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\\Mz-cw-fs-066\d8394_1\Compartilhado_Secoes\Sustentabilidade\Voluntariado\Ações\01 Ações Corporativas\2023\O Natal da Esperança 2023\Rede Gerando Falcões\2023\"/>
    </mc:Choice>
  </mc:AlternateContent>
  <xr:revisionPtr revIDLastSave="0" documentId="13_ncr:1_{B734DD89-D8CA-4BE4-9D68-77AF5B5A71ED}" xr6:coauthVersionLast="47" xr6:coauthVersionMax="47" xr10:uidLastSave="{00000000-0000-0000-0000-000000000000}"/>
  <bookViews>
    <workbookView xWindow="-110" yWindow="-110" windowWidth="19420" windowHeight="10420" firstSheet="5" activeTab="5" xr2:uid="{00000000-000D-0000-FFFF-FFFF00000000}"/>
  </bookViews>
  <sheets>
    <sheet name="Líderes" sheetId="2" state="hidden" r:id="rId1"/>
    <sheet name="Auto Refresh Execution Log" sheetId="3" state="hidden" r:id="rId2"/>
    <sheet name="MKT ONGs com nívelamento" sheetId="4" state="hidden" r:id="rId3"/>
    <sheet name="CTG Líder - PROCV" sheetId="5" state="hidden" r:id="rId4"/>
    <sheet name="Tabela Categorização - Oct 1" sheetId="8" state="hidden" r:id="rId5"/>
    <sheet name="Rede - Gerando Falcões" sheetId="9" r:id="rId6"/>
    <sheet name="Tabela Categorização - Sep 1" sheetId="10" state="hidden" r:id="rId7"/>
    <sheet name="Tabela Categorização - Aug 1" sheetId="11" state="hidden" r:id="rId8"/>
    <sheet name="Tabela Categorização - Jul 1" sheetId="12" state="hidden" r:id="rId9"/>
    <sheet name="Tabela Categorização - Jun 1" sheetId="13" state="hidden" r:id="rId10"/>
    <sheet name="Tabela Categorização - May 1" sheetId="14" state="hidden" r:id="rId11"/>
    <sheet name="Tabela Categorização - Apr 1" sheetId="15" state="hidden" r:id="rId12"/>
    <sheet name="Tabela Categorização - Mar 1" sheetId="16" state="hidden" r:id="rId13"/>
    <sheet name="Tabela Categorização - Feb 1" sheetId="17" state="hidden" r:id="rId14"/>
    <sheet name="Tabela Categorização - Jan 1" sheetId="18" state="hidden" r:id="rId15"/>
  </sheets>
  <definedNames>
    <definedName name="_xlnm._FilterDatabase" localSheetId="3" hidden="1">'CTG Líder - PROCV'!$A$1:$K$600</definedName>
    <definedName name="_xlnm._FilterDatabase" localSheetId="2" hidden="1">'MKT ONGs com nívelamento'!$A$1:$BY$1000</definedName>
    <definedName name="_xlnm._FilterDatabase" localSheetId="5" hidden="1">'Rede - Gerando Falcões'!$A$1:$H$21</definedName>
    <definedName name="_xlnm._FilterDatabase" localSheetId="7" hidden="1">'Tabela Categorização - Aug 1'!$A$2:$S$1000</definedName>
    <definedName name="_xlnm._FilterDatabase" localSheetId="8" hidden="1">'Tabela Categorização - Jul 1'!$A$1:$S$911</definedName>
    <definedName name="_xlnm._FilterDatabase" localSheetId="4" hidden="1">'Tabela Categorização - Oct 1'!$A$2:$S$1063</definedName>
    <definedName name="_xlnm._FilterDatabase" localSheetId="6" hidden="1">'Tabela Categorização - Sep 1'!$A$2:$S$1000</definedName>
    <definedName name="coeff_d_615fd5e1_5fd7_418b_a07c_50bb725f3319">'Rede - Gerando Falcões'!$A$1:$H$858</definedName>
    <definedName name="coeff_d_7ff84362_bb34_4f8c_844f_5c2bef37f1b5">#REF!</definedName>
    <definedName name="coeff_d_9969e184_3939_4135_bedb_ede09256e6dd">#REF!</definedName>
    <definedName name="coeff_d_a6ec0267_7053_42af_974c_4dec6646d2c6">#REF!</definedName>
    <definedName name="coeff_d_abc65b7c_8f72_4afc_b787_11a2f1ca2f45">#REF!</definedName>
    <definedName name="coeff_d_c7a9e320_7149_428d_a18d_37b8aaf80392">#REF!</definedName>
    <definedName name="coeff_d_c86a1a89_75ea_446c_a600_4982e3733729">#REF!</definedName>
    <definedName name="coeff_d_db014ed5_8185_4f91_9b2e_9df198f3dae5">#REF!</definedName>
    <definedName name="coeff_d_f643caa2_8b37_4951_a185_a3a987c10ddd">#REF!</definedName>
    <definedName name="coeff_d_fe4f7083_b2db_45d1_b06d_bbe7a0ec0c41">#REF!</definedName>
    <definedName name="Z_0544E540_745C_4D0A_9B44_D3C5D649D1DA_.wvu.FilterData" localSheetId="5" hidden="1">'Rede - Gerando Falcões'!$A$1:$H$373</definedName>
    <definedName name="Z_0544E540_745C_4D0A_9B44_D3C5D649D1DA_.wvu.FilterData" localSheetId="7" hidden="1">'Tabela Categorização - Aug 1'!$A$1:$S$934</definedName>
    <definedName name="Z_0544E540_745C_4D0A_9B44_D3C5D649D1DA_.wvu.FilterData" localSheetId="4" hidden="1">'Tabela Categorização - Oct 1'!$A$1:$S$934</definedName>
    <definedName name="Z_0544E540_745C_4D0A_9B44_D3C5D649D1DA_.wvu.FilterData" localSheetId="6" hidden="1">'Tabela Categorização - Sep 1'!$A$1:$S$934</definedName>
    <definedName name="Z_9DAC7724_64C5_4159_8748_5458F3380950_.wvu.FilterData" localSheetId="5" hidden="1">'Rede - Gerando Falcões'!$A$1:$H$400</definedName>
    <definedName name="Z_FAF87334_FA65_465B_8B18_3F67967D2ED5_.wvu.FilterData" localSheetId="5" hidden="1">'Rede - Gerando Falcões'!$A$1:$H$15</definedName>
  </definedNames>
  <calcPr calcId="191029"/>
  <customWorkbookViews>
    <customWorkbookView name="Filtro 1" guid="{0544E540-745C-4D0A-9B44-D3C5D649D1DA}" maximized="1" windowWidth="0" windowHeight="0" activeSheetId="0"/>
    <customWorkbookView name="Filtro 2" guid="{9DAC7724-64C5-4159-8748-5458F3380950}" maximized="1" windowWidth="0" windowHeight="0" activeSheetId="0"/>
    <customWorkbookView name="Filtro 3" guid="{FAF87334-FA65-465B-8B18-3F67967D2ED5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91" i="18" l="1"/>
  <c r="A590" i="18"/>
  <c r="A589" i="18"/>
  <c r="A588" i="18"/>
  <c r="A587" i="18"/>
  <c r="A586" i="18"/>
  <c r="A585" i="18"/>
  <c r="A584" i="18"/>
  <c r="A583" i="18"/>
  <c r="A582" i="18"/>
  <c r="A581" i="18"/>
  <c r="A580" i="18"/>
  <c r="A579" i="18"/>
  <c r="A578" i="18"/>
  <c r="A577" i="18"/>
  <c r="A576" i="18"/>
  <c r="A575" i="18"/>
  <c r="A574" i="18"/>
  <c r="A573" i="18"/>
  <c r="A572" i="18"/>
  <c r="A571" i="18"/>
  <c r="A570" i="18"/>
  <c r="A569" i="18"/>
  <c r="A568" i="18"/>
  <c r="A567" i="18"/>
  <c r="A566" i="18"/>
  <c r="A565" i="18"/>
  <c r="A564" i="18"/>
  <c r="A563" i="18"/>
  <c r="A562" i="18"/>
  <c r="A561" i="18"/>
  <c r="A560" i="18"/>
  <c r="A559" i="18"/>
  <c r="A558" i="18"/>
  <c r="A557" i="18"/>
  <c r="A556" i="18"/>
  <c r="A555" i="18"/>
  <c r="A554" i="18"/>
  <c r="A553" i="18"/>
  <c r="A552" i="18"/>
  <c r="A551" i="18"/>
  <c r="A550" i="18"/>
  <c r="A549" i="18"/>
  <c r="A548" i="18"/>
  <c r="A547" i="18"/>
  <c r="A546" i="18"/>
  <c r="A545" i="18"/>
  <c r="A544" i="18"/>
  <c r="A543" i="18"/>
  <c r="A542" i="18"/>
  <c r="A541" i="18"/>
  <c r="A540" i="18"/>
  <c r="A539" i="18"/>
  <c r="A538" i="18"/>
  <c r="A537" i="18"/>
  <c r="A536" i="18"/>
  <c r="A535" i="18"/>
  <c r="A534" i="18"/>
  <c r="A533" i="18"/>
  <c r="A532" i="18"/>
  <c r="A531" i="18"/>
  <c r="A530" i="18"/>
  <c r="A529" i="18"/>
  <c r="A528" i="18"/>
  <c r="A527" i="18"/>
  <c r="A526" i="18"/>
  <c r="A525" i="18"/>
  <c r="A524" i="18"/>
  <c r="A523" i="18"/>
  <c r="A522" i="18"/>
  <c r="A521" i="18"/>
  <c r="A520" i="18"/>
  <c r="A519" i="18"/>
  <c r="A518" i="18"/>
  <c r="A517" i="18"/>
  <c r="A516" i="18"/>
  <c r="A515" i="18"/>
  <c r="A514" i="18"/>
  <c r="A513" i="18"/>
  <c r="A512" i="18"/>
  <c r="A511" i="18"/>
  <c r="A510" i="18"/>
  <c r="A509" i="18"/>
  <c r="A508" i="18"/>
  <c r="A507" i="18"/>
  <c r="A506" i="18"/>
  <c r="A505" i="18"/>
  <c r="A504" i="18"/>
  <c r="A503" i="18"/>
  <c r="A502" i="18"/>
  <c r="A501" i="18"/>
  <c r="A500" i="18"/>
  <c r="A499" i="18"/>
  <c r="A498" i="18"/>
  <c r="A497" i="18"/>
  <c r="A496" i="18"/>
  <c r="A495" i="18"/>
  <c r="A494" i="18"/>
  <c r="A493" i="18"/>
  <c r="A492" i="18"/>
  <c r="A491" i="18"/>
  <c r="A490" i="18"/>
  <c r="A489" i="18"/>
  <c r="A488" i="18"/>
  <c r="A487" i="18"/>
  <c r="A486" i="18"/>
  <c r="A485" i="18"/>
  <c r="A484" i="18"/>
  <c r="A483" i="18"/>
  <c r="A482" i="18"/>
  <c r="A481" i="18"/>
  <c r="A480" i="18"/>
  <c r="A479" i="18"/>
  <c r="A478" i="18"/>
  <c r="A477" i="18"/>
  <c r="A476" i="18"/>
  <c r="A475" i="18"/>
  <c r="A474" i="18"/>
  <c r="A473" i="18"/>
  <c r="A472" i="18"/>
  <c r="A471" i="18"/>
  <c r="A470" i="18"/>
  <c r="A469" i="18"/>
  <c r="A468" i="18"/>
  <c r="A467" i="18"/>
  <c r="A466" i="18"/>
  <c r="A465" i="18"/>
  <c r="A464" i="18"/>
  <c r="A463" i="18"/>
  <c r="A462" i="18"/>
  <c r="A461" i="18"/>
  <c r="A460" i="18"/>
  <c r="A459" i="18"/>
  <c r="A458" i="18"/>
  <c r="A457" i="18"/>
  <c r="A456" i="18"/>
  <c r="A455" i="18"/>
  <c r="A454" i="18"/>
  <c r="A453" i="18"/>
  <c r="A452" i="18"/>
  <c r="A451" i="18"/>
  <c r="A450" i="18"/>
  <c r="A449" i="18"/>
  <c r="A448" i="18"/>
  <c r="A447" i="18"/>
  <c r="A446" i="18"/>
  <c r="A445" i="18"/>
  <c r="A444" i="18"/>
  <c r="A443" i="18"/>
  <c r="A442" i="18"/>
  <c r="A441" i="18"/>
  <c r="A440" i="18"/>
  <c r="A439" i="18"/>
  <c r="A438" i="18"/>
  <c r="A437" i="18"/>
  <c r="A436" i="18"/>
  <c r="A435" i="18"/>
  <c r="A434" i="18"/>
  <c r="A433" i="18"/>
  <c r="A432" i="18"/>
  <c r="A431" i="18"/>
  <c r="A430" i="18"/>
  <c r="A429" i="18"/>
  <c r="A428" i="18"/>
  <c r="A427" i="18"/>
  <c r="A426" i="18"/>
  <c r="A425" i="18"/>
  <c r="A424" i="18"/>
  <c r="A423" i="18"/>
  <c r="A422" i="18"/>
  <c r="A421" i="18"/>
  <c r="A420" i="18"/>
  <c r="A419" i="18"/>
  <c r="A418" i="18"/>
  <c r="A417" i="18"/>
  <c r="A416" i="18"/>
  <c r="A415" i="18"/>
  <c r="A414" i="18"/>
  <c r="A413" i="18"/>
  <c r="A412" i="18"/>
  <c r="A411" i="18"/>
  <c r="A410" i="18"/>
  <c r="A409" i="18"/>
  <c r="A408" i="18"/>
  <c r="A407" i="18"/>
  <c r="A406" i="18"/>
  <c r="A405" i="18"/>
  <c r="A404" i="18"/>
  <c r="A403" i="18"/>
  <c r="A402" i="18"/>
  <c r="A401" i="18"/>
  <c r="A400" i="18"/>
  <c r="A399" i="18"/>
  <c r="A398" i="18"/>
  <c r="A397" i="18"/>
  <c r="A396" i="18"/>
  <c r="A395" i="18"/>
  <c r="A394" i="18"/>
  <c r="A393" i="18"/>
  <c r="A392" i="18"/>
  <c r="A391" i="18"/>
  <c r="A390" i="18"/>
  <c r="A389" i="18"/>
  <c r="A388" i="18"/>
  <c r="A387" i="18"/>
  <c r="A386" i="18"/>
  <c r="A385" i="18"/>
  <c r="A384" i="18"/>
  <c r="A383" i="18"/>
  <c r="A382" i="18"/>
  <c r="A381" i="18"/>
  <c r="A380" i="18"/>
  <c r="A379" i="18"/>
  <c r="A378" i="18"/>
  <c r="A377" i="18"/>
  <c r="A376" i="18"/>
  <c r="A375" i="18"/>
  <c r="A374" i="18"/>
  <c r="A373" i="18"/>
  <c r="A372" i="18"/>
  <c r="A371" i="18"/>
  <c r="A370" i="18"/>
  <c r="A369" i="18"/>
  <c r="A368" i="18"/>
  <c r="A367" i="18"/>
  <c r="A366" i="18"/>
  <c r="A365" i="18"/>
  <c r="A364" i="18"/>
  <c r="A363" i="18"/>
  <c r="A362" i="18"/>
  <c r="A361" i="18"/>
  <c r="A360" i="18"/>
  <c r="A359" i="18"/>
  <c r="A358" i="18"/>
  <c r="A357" i="18"/>
  <c r="A356" i="18"/>
  <c r="A355" i="18"/>
  <c r="A354" i="18"/>
  <c r="A353" i="18"/>
  <c r="A352" i="18"/>
  <c r="A351" i="18"/>
  <c r="A350" i="18"/>
  <c r="A349" i="18"/>
  <c r="A348" i="18"/>
  <c r="A347" i="18"/>
  <c r="A346" i="18"/>
  <c r="A345" i="18"/>
  <c r="A344" i="18"/>
  <c r="A343" i="18"/>
  <c r="A342" i="18"/>
  <c r="A341" i="18"/>
  <c r="A340" i="18"/>
  <c r="A339" i="18"/>
  <c r="A338" i="18"/>
  <c r="A337" i="18"/>
  <c r="A336" i="18"/>
  <c r="A335" i="18"/>
  <c r="A334" i="18"/>
  <c r="A333" i="18"/>
  <c r="A332" i="18"/>
  <c r="A331" i="18"/>
  <c r="A330" i="18"/>
  <c r="A329" i="18"/>
  <c r="A328" i="18"/>
  <c r="A327" i="18"/>
  <c r="A326" i="18"/>
  <c r="A325" i="18"/>
  <c r="A324" i="18"/>
  <c r="A323" i="18"/>
  <c r="A322" i="18"/>
  <c r="A321" i="18"/>
  <c r="A320" i="18"/>
  <c r="A319" i="18"/>
  <c r="A318" i="18"/>
  <c r="A317" i="18"/>
  <c r="A316" i="18"/>
  <c r="A315" i="18"/>
  <c r="A314" i="18"/>
  <c r="A313" i="18"/>
  <c r="A312" i="18"/>
  <c r="A311" i="18"/>
  <c r="A310" i="18"/>
  <c r="A309" i="18"/>
  <c r="A308" i="18"/>
  <c r="A307" i="18"/>
  <c r="A306" i="18"/>
  <c r="A305" i="18"/>
  <c r="A304" i="18"/>
  <c r="A303" i="18"/>
  <c r="A302" i="18"/>
  <c r="A301" i="18"/>
  <c r="A300" i="18"/>
  <c r="A299" i="18"/>
  <c r="A298" i="18"/>
  <c r="A297" i="18"/>
  <c r="A296" i="18"/>
  <c r="A295" i="18"/>
  <c r="A294" i="18"/>
  <c r="A293" i="18"/>
  <c r="A292" i="18"/>
  <c r="A291" i="18"/>
  <c r="A290" i="18"/>
  <c r="A289" i="18"/>
  <c r="A288" i="18"/>
  <c r="A287" i="18"/>
  <c r="A286" i="18"/>
  <c r="A285" i="18"/>
  <c r="A284" i="18"/>
  <c r="A283" i="18"/>
  <c r="A282" i="18"/>
  <c r="A281" i="18"/>
  <c r="A280" i="18"/>
  <c r="A279" i="18"/>
  <c r="A278" i="18"/>
  <c r="A277" i="18"/>
  <c r="A276" i="18"/>
  <c r="A275" i="18"/>
  <c r="A274" i="18"/>
  <c r="A273" i="18"/>
  <c r="A272" i="18"/>
  <c r="A271" i="18"/>
  <c r="A270" i="18"/>
  <c r="A269" i="18"/>
  <c r="A268" i="18"/>
  <c r="A267" i="18"/>
  <c r="A266" i="18"/>
  <c r="A265" i="18"/>
  <c r="A264" i="18"/>
  <c r="A263" i="18"/>
  <c r="A262" i="18"/>
  <c r="A261" i="18"/>
  <c r="A260" i="18"/>
  <c r="A259" i="18"/>
  <c r="A258" i="18"/>
  <c r="A257" i="18"/>
  <c r="A256" i="18"/>
  <c r="A255" i="18"/>
  <c r="A254" i="18"/>
  <c r="A253" i="18"/>
  <c r="A252" i="18"/>
  <c r="A251" i="18"/>
  <c r="A250" i="18"/>
  <c r="A249" i="18"/>
  <c r="A248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230" i="18"/>
  <c r="A229" i="18"/>
  <c r="A228" i="18"/>
  <c r="A227" i="18"/>
  <c r="A226" i="18"/>
  <c r="A225" i="18"/>
  <c r="A224" i="18"/>
  <c r="A223" i="18"/>
  <c r="A222" i="18"/>
  <c r="A221" i="18"/>
  <c r="A220" i="18"/>
  <c r="A219" i="18"/>
  <c r="A218" i="18"/>
  <c r="A217" i="18"/>
  <c r="A216" i="18"/>
  <c r="A215" i="18"/>
  <c r="A214" i="18"/>
  <c r="A213" i="18"/>
  <c r="A212" i="18"/>
  <c r="A211" i="18"/>
  <c r="A210" i="18"/>
  <c r="A209" i="18"/>
  <c r="A208" i="18"/>
  <c r="A207" i="18"/>
  <c r="A206" i="18"/>
  <c r="A205" i="18"/>
  <c r="A204" i="18"/>
  <c r="A203" i="18"/>
  <c r="A202" i="18"/>
  <c r="A201" i="18"/>
  <c r="A200" i="18"/>
  <c r="A199" i="18"/>
  <c r="A198" i="18"/>
  <c r="A197" i="18"/>
  <c r="A196" i="18"/>
  <c r="A195" i="18"/>
  <c r="A194" i="18"/>
  <c r="A193" i="18"/>
  <c r="A192" i="18"/>
  <c r="A191" i="18"/>
  <c r="A190" i="18"/>
  <c r="A189" i="18"/>
  <c r="A188" i="18"/>
  <c r="A187" i="18"/>
  <c r="A186" i="18"/>
  <c r="A185" i="18"/>
  <c r="A184" i="18"/>
  <c r="A183" i="18"/>
  <c r="A182" i="18"/>
  <c r="A181" i="18"/>
  <c r="A180" i="18"/>
  <c r="A179" i="18"/>
  <c r="A178" i="18"/>
  <c r="A177" i="18"/>
  <c r="A176" i="18"/>
  <c r="A175" i="18"/>
  <c r="A174" i="18"/>
  <c r="A173" i="18"/>
  <c r="A172" i="18"/>
  <c r="A171" i="18"/>
  <c r="A170" i="18"/>
  <c r="A169" i="18"/>
  <c r="A168" i="18"/>
  <c r="A167" i="18"/>
  <c r="A166" i="18"/>
  <c r="A165" i="18"/>
  <c r="A164" i="18"/>
  <c r="A163" i="18"/>
  <c r="A162" i="18"/>
  <c r="A161" i="18"/>
  <c r="A160" i="18"/>
  <c r="A159" i="18"/>
  <c r="A158" i="18"/>
  <c r="A157" i="18"/>
  <c r="A156" i="18"/>
  <c r="A155" i="18"/>
  <c r="A154" i="18"/>
  <c r="A153" i="18"/>
  <c r="A152" i="18"/>
  <c r="A151" i="18"/>
  <c r="A150" i="18"/>
  <c r="A149" i="18"/>
  <c r="A148" i="18"/>
  <c r="A147" i="18"/>
  <c r="A146" i="18"/>
  <c r="A145" i="18"/>
  <c r="A144" i="18"/>
  <c r="A143" i="18"/>
  <c r="A142" i="18"/>
  <c r="A141" i="18"/>
  <c r="A140" i="18"/>
  <c r="A139" i="18"/>
  <c r="A138" i="18"/>
  <c r="A137" i="18"/>
  <c r="A136" i="18"/>
  <c r="A135" i="18"/>
  <c r="A134" i="18"/>
  <c r="A133" i="18"/>
  <c r="A132" i="18"/>
  <c r="A131" i="18"/>
  <c r="A130" i="18"/>
  <c r="A129" i="18"/>
  <c r="A128" i="18"/>
  <c r="A127" i="18"/>
  <c r="A126" i="18"/>
  <c r="A125" i="18"/>
  <c r="A124" i="18"/>
  <c r="A123" i="18"/>
  <c r="A122" i="18"/>
  <c r="A121" i="18"/>
  <c r="A120" i="18"/>
  <c r="A119" i="18"/>
  <c r="A118" i="18"/>
  <c r="A117" i="18"/>
  <c r="A116" i="18"/>
  <c r="A115" i="18"/>
  <c r="A114" i="18"/>
  <c r="A113" i="18"/>
  <c r="A112" i="18"/>
  <c r="A111" i="18"/>
  <c r="A110" i="18"/>
  <c r="A109" i="18"/>
  <c r="A108" i="18"/>
  <c r="A107" i="18"/>
  <c r="A106" i="18"/>
  <c r="A105" i="18"/>
  <c r="A104" i="18"/>
  <c r="A103" i="18"/>
  <c r="A102" i="18"/>
  <c r="A101" i="18"/>
  <c r="A100" i="18"/>
  <c r="A99" i="18"/>
  <c r="A98" i="18"/>
  <c r="A97" i="18"/>
  <c r="A96" i="18"/>
  <c r="A95" i="18"/>
  <c r="A94" i="18"/>
  <c r="A93" i="18"/>
  <c r="A92" i="18"/>
  <c r="A91" i="18"/>
  <c r="A90" i="18"/>
  <c r="A89" i="18"/>
  <c r="A88" i="18"/>
  <c r="A87" i="18"/>
  <c r="A86" i="18"/>
  <c r="A85" i="18"/>
  <c r="A84" i="18"/>
  <c r="A83" i="18"/>
  <c r="A82" i="18"/>
  <c r="A81" i="18"/>
  <c r="A80" i="18"/>
  <c r="A79" i="18"/>
  <c r="A78" i="18"/>
  <c r="A77" i="18"/>
  <c r="A76" i="18"/>
  <c r="A75" i="18"/>
  <c r="A74" i="18"/>
  <c r="A73" i="18"/>
  <c r="A72" i="18"/>
  <c r="A71" i="18"/>
  <c r="A70" i="18"/>
  <c r="A69" i="18"/>
  <c r="A68" i="18"/>
  <c r="A67" i="18"/>
  <c r="A66" i="18"/>
  <c r="A65" i="18"/>
  <c r="A64" i="18"/>
  <c r="A63" i="18"/>
  <c r="A62" i="18"/>
  <c r="A61" i="18"/>
  <c r="A60" i="18"/>
  <c r="A59" i="18"/>
  <c r="A58" i="18"/>
  <c r="A57" i="18"/>
  <c r="A56" i="18"/>
  <c r="A55" i="18"/>
  <c r="A54" i="18"/>
  <c r="A53" i="18"/>
  <c r="A52" i="18"/>
  <c r="A51" i="18"/>
  <c r="A50" i="18"/>
  <c r="A49" i="18"/>
  <c r="A48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9" i="18"/>
  <c r="A8" i="18"/>
  <c r="A7" i="18"/>
  <c r="A6" i="18"/>
  <c r="A5" i="18"/>
  <c r="A4" i="18"/>
  <c r="A3" i="18"/>
  <c r="A744" i="17"/>
  <c r="A743" i="17"/>
  <c r="A742" i="17"/>
  <c r="A741" i="17"/>
  <c r="A740" i="17"/>
  <c r="A739" i="17"/>
  <c r="A738" i="17"/>
  <c r="A737" i="17"/>
  <c r="A736" i="17"/>
  <c r="A735" i="17"/>
  <c r="A734" i="17"/>
  <c r="A733" i="17"/>
  <c r="A732" i="17"/>
  <c r="A731" i="17"/>
  <c r="A730" i="17"/>
  <c r="A729" i="17"/>
  <c r="A728" i="17"/>
  <c r="A727" i="17"/>
  <c r="A726" i="17"/>
  <c r="A725" i="17"/>
  <c r="A724" i="17"/>
  <c r="A723" i="17"/>
  <c r="A722" i="17"/>
  <c r="A721" i="17"/>
  <c r="A720" i="17"/>
  <c r="A719" i="17"/>
  <c r="A718" i="17"/>
  <c r="A717" i="17"/>
  <c r="A716" i="17"/>
  <c r="A715" i="17"/>
  <c r="A714" i="17"/>
  <c r="A713" i="17"/>
  <c r="A712" i="17"/>
  <c r="A711" i="17"/>
  <c r="A710" i="17"/>
  <c r="A709" i="17"/>
  <c r="A708" i="17"/>
  <c r="A707" i="17"/>
  <c r="A706" i="17"/>
  <c r="A705" i="17"/>
  <c r="A704" i="17"/>
  <c r="A703" i="17"/>
  <c r="A702" i="17"/>
  <c r="A701" i="17"/>
  <c r="A700" i="17"/>
  <c r="A699" i="17"/>
  <c r="A698" i="17"/>
  <c r="A697" i="17"/>
  <c r="A696" i="17"/>
  <c r="A695" i="17"/>
  <c r="A694" i="17"/>
  <c r="A693" i="17"/>
  <c r="A692" i="17"/>
  <c r="A691" i="17"/>
  <c r="A690" i="17"/>
  <c r="A689" i="17"/>
  <c r="A688" i="17"/>
  <c r="A687" i="17"/>
  <c r="A686" i="17"/>
  <c r="A685" i="17"/>
  <c r="A684" i="17"/>
  <c r="A683" i="17"/>
  <c r="A682" i="17"/>
  <c r="A681" i="17"/>
  <c r="A680" i="17"/>
  <c r="A679" i="17"/>
  <c r="A678" i="17"/>
  <c r="A677" i="17"/>
  <c r="A676" i="17"/>
  <c r="A675" i="17"/>
  <c r="A674" i="17"/>
  <c r="A673" i="17"/>
  <c r="A672" i="17"/>
  <c r="A671" i="17"/>
  <c r="A670" i="17"/>
  <c r="A669" i="17"/>
  <c r="A668" i="17"/>
  <c r="A667" i="17"/>
  <c r="A666" i="17"/>
  <c r="A665" i="17"/>
  <c r="A664" i="17"/>
  <c r="A663" i="17"/>
  <c r="A662" i="17"/>
  <c r="A661" i="17"/>
  <c r="A660" i="17"/>
  <c r="A659" i="17"/>
  <c r="A658" i="17"/>
  <c r="A657" i="17"/>
  <c r="A656" i="17"/>
  <c r="A655" i="17"/>
  <c r="A654" i="17"/>
  <c r="A653" i="17"/>
  <c r="A652" i="17"/>
  <c r="A651" i="17"/>
  <c r="A650" i="17"/>
  <c r="A649" i="17"/>
  <c r="A648" i="17"/>
  <c r="A647" i="17"/>
  <c r="A646" i="17"/>
  <c r="A645" i="17"/>
  <c r="A644" i="17"/>
  <c r="A643" i="17"/>
  <c r="A642" i="17"/>
  <c r="A641" i="17"/>
  <c r="A640" i="17"/>
  <c r="A639" i="17"/>
  <c r="A638" i="17"/>
  <c r="A637" i="17"/>
  <c r="A636" i="17"/>
  <c r="A635" i="17"/>
  <c r="A634" i="17"/>
  <c r="A633" i="17"/>
  <c r="A632" i="17"/>
  <c r="A631" i="17"/>
  <c r="A630" i="17"/>
  <c r="A629" i="17"/>
  <c r="A628" i="17"/>
  <c r="A627" i="17"/>
  <c r="A626" i="17"/>
  <c r="A625" i="17"/>
  <c r="A624" i="17"/>
  <c r="A623" i="17"/>
  <c r="A622" i="17"/>
  <c r="A621" i="17"/>
  <c r="A620" i="17"/>
  <c r="A619" i="17"/>
  <c r="A618" i="17"/>
  <c r="A617" i="17"/>
  <c r="A616" i="17"/>
  <c r="A615" i="17"/>
  <c r="A614" i="17"/>
  <c r="A613" i="17"/>
  <c r="A612" i="17"/>
  <c r="A611" i="17"/>
  <c r="A610" i="17"/>
  <c r="A609" i="17"/>
  <c r="A608" i="17"/>
  <c r="A607" i="17"/>
  <c r="A606" i="17"/>
  <c r="A605" i="17"/>
  <c r="A604" i="17"/>
  <c r="A603" i="17"/>
  <c r="A602" i="17"/>
  <c r="A601" i="17"/>
  <c r="A600" i="17"/>
  <c r="A599" i="17"/>
  <c r="A598" i="17"/>
  <c r="A597" i="17"/>
  <c r="A596" i="17"/>
  <c r="A595" i="17"/>
  <c r="A594" i="17"/>
  <c r="A593" i="17"/>
  <c r="A592" i="17"/>
  <c r="A591" i="17"/>
  <c r="A590" i="17"/>
  <c r="A589" i="17"/>
  <c r="A588" i="17"/>
  <c r="A587" i="17"/>
  <c r="A586" i="17"/>
  <c r="A585" i="17"/>
  <c r="A584" i="17"/>
  <c r="A583" i="17"/>
  <c r="A582" i="17"/>
  <c r="A581" i="17"/>
  <c r="A580" i="17"/>
  <c r="A579" i="17"/>
  <c r="A578" i="17"/>
  <c r="A577" i="17"/>
  <c r="A576" i="17"/>
  <c r="A575" i="17"/>
  <c r="A574" i="17"/>
  <c r="A573" i="17"/>
  <c r="A572" i="17"/>
  <c r="A571" i="17"/>
  <c r="A570" i="17"/>
  <c r="A569" i="17"/>
  <c r="A568" i="17"/>
  <c r="A567" i="17"/>
  <c r="A566" i="17"/>
  <c r="A565" i="17"/>
  <c r="A564" i="17"/>
  <c r="A563" i="17"/>
  <c r="A562" i="17"/>
  <c r="A561" i="17"/>
  <c r="A560" i="17"/>
  <c r="A559" i="17"/>
  <c r="A558" i="17"/>
  <c r="A557" i="17"/>
  <c r="A556" i="17"/>
  <c r="A555" i="17"/>
  <c r="A554" i="17"/>
  <c r="A553" i="17"/>
  <c r="A552" i="17"/>
  <c r="A551" i="17"/>
  <c r="A550" i="17"/>
  <c r="A549" i="17"/>
  <c r="A548" i="17"/>
  <c r="A547" i="17"/>
  <c r="A546" i="17"/>
  <c r="A545" i="17"/>
  <c r="A544" i="17"/>
  <c r="A543" i="17"/>
  <c r="A542" i="17"/>
  <c r="A541" i="17"/>
  <c r="A540" i="17"/>
  <c r="A539" i="17"/>
  <c r="A538" i="17"/>
  <c r="A537" i="17"/>
  <c r="A536" i="17"/>
  <c r="A535" i="17"/>
  <c r="A534" i="17"/>
  <c r="A533" i="17"/>
  <c r="A532" i="17"/>
  <c r="A531" i="17"/>
  <c r="A530" i="17"/>
  <c r="A529" i="17"/>
  <c r="A528" i="17"/>
  <c r="A527" i="17"/>
  <c r="A526" i="17"/>
  <c r="A525" i="17"/>
  <c r="A524" i="17"/>
  <c r="A523" i="17"/>
  <c r="A522" i="17"/>
  <c r="A521" i="17"/>
  <c r="A520" i="17"/>
  <c r="A519" i="17"/>
  <c r="A518" i="17"/>
  <c r="A517" i="17"/>
  <c r="A516" i="17"/>
  <c r="A515" i="17"/>
  <c r="A514" i="17"/>
  <c r="A513" i="17"/>
  <c r="A512" i="17"/>
  <c r="A511" i="17"/>
  <c r="A510" i="17"/>
  <c r="A509" i="17"/>
  <c r="A508" i="17"/>
  <c r="A507" i="17"/>
  <c r="A506" i="17"/>
  <c r="A505" i="17"/>
  <c r="A504" i="17"/>
  <c r="A503" i="17"/>
  <c r="A502" i="17"/>
  <c r="A501" i="17"/>
  <c r="A500" i="17"/>
  <c r="A499" i="17"/>
  <c r="A498" i="17"/>
  <c r="A497" i="17"/>
  <c r="A496" i="17"/>
  <c r="A495" i="17"/>
  <c r="A494" i="17"/>
  <c r="A493" i="17"/>
  <c r="A492" i="17"/>
  <c r="A491" i="17"/>
  <c r="A490" i="17"/>
  <c r="A489" i="17"/>
  <c r="A488" i="17"/>
  <c r="A487" i="17"/>
  <c r="A486" i="17"/>
  <c r="A485" i="17"/>
  <c r="A484" i="17"/>
  <c r="A483" i="17"/>
  <c r="A482" i="17"/>
  <c r="A481" i="17"/>
  <c r="A480" i="17"/>
  <c r="A479" i="17"/>
  <c r="A478" i="17"/>
  <c r="A477" i="17"/>
  <c r="A476" i="17"/>
  <c r="A475" i="17"/>
  <c r="A474" i="17"/>
  <c r="A473" i="17"/>
  <c r="A472" i="17"/>
  <c r="A471" i="17"/>
  <c r="A470" i="17"/>
  <c r="A469" i="17"/>
  <c r="A468" i="17"/>
  <c r="A467" i="17"/>
  <c r="A466" i="17"/>
  <c r="A465" i="17"/>
  <c r="A464" i="17"/>
  <c r="A463" i="17"/>
  <c r="A462" i="17"/>
  <c r="A461" i="17"/>
  <c r="A460" i="17"/>
  <c r="A459" i="17"/>
  <c r="A458" i="17"/>
  <c r="A457" i="17"/>
  <c r="A456" i="17"/>
  <c r="A455" i="17"/>
  <c r="A454" i="17"/>
  <c r="A453" i="17"/>
  <c r="A452" i="17"/>
  <c r="A451" i="17"/>
  <c r="A450" i="17"/>
  <c r="A449" i="17"/>
  <c r="A448" i="17"/>
  <c r="A447" i="17"/>
  <c r="A446" i="17"/>
  <c r="A445" i="17"/>
  <c r="A444" i="17"/>
  <c r="A443" i="17"/>
  <c r="A442" i="17"/>
  <c r="A441" i="17"/>
  <c r="A440" i="17"/>
  <c r="A439" i="17"/>
  <c r="A438" i="17"/>
  <c r="A437" i="17"/>
  <c r="A436" i="17"/>
  <c r="A435" i="17"/>
  <c r="A434" i="17"/>
  <c r="A433" i="17"/>
  <c r="A432" i="17"/>
  <c r="A431" i="17"/>
  <c r="A430" i="17"/>
  <c r="A429" i="17"/>
  <c r="A428" i="17"/>
  <c r="A427" i="17"/>
  <c r="A426" i="17"/>
  <c r="A425" i="17"/>
  <c r="A424" i="17"/>
  <c r="A423" i="17"/>
  <c r="A422" i="17"/>
  <c r="A421" i="17"/>
  <c r="A420" i="17"/>
  <c r="A419" i="17"/>
  <c r="A418" i="17"/>
  <c r="A417" i="17"/>
  <c r="A416" i="17"/>
  <c r="A415" i="17"/>
  <c r="A414" i="17"/>
  <c r="A413" i="17"/>
  <c r="A412" i="17"/>
  <c r="A411" i="17"/>
  <c r="A410" i="17"/>
  <c r="A409" i="17"/>
  <c r="A408" i="17"/>
  <c r="A407" i="17"/>
  <c r="A406" i="17"/>
  <c r="A405" i="17"/>
  <c r="A404" i="17"/>
  <c r="A403" i="17"/>
  <c r="A402" i="17"/>
  <c r="A401" i="17"/>
  <c r="A400" i="17"/>
  <c r="A399" i="17"/>
  <c r="A398" i="17"/>
  <c r="A397" i="17"/>
  <c r="A396" i="17"/>
  <c r="A395" i="17"/>
  <c r="A394" i="17"/>
  <c r="A393" i="17"/>
  <c r="A392" i="17"/>
  <c r="A391" i="17"/>
  <c r="A390" i="17"/>
  <c r="A389" i="17"/>
  <c r="A388" i="17"/>
  <c r="A387" i="17"/>
  <c r="A386" i="17"/>
  <c r="A385" i="17"/>
  <c r="A384" i="17"/>
  <c r="A383" i="17"/>
  <c r="A382" i="17"/>
  <c r="A381" i="17"/>
  <c r="A380" i="17"/>
  <c r="A379" i="17"/>
  <c r="A378" i="17"/>
  <c r="A377" i="17"/>
  <c r="A376" i="17"/>
  <c r="A375" i="17"/>
  <c r="A374" i="17"/>
  <c r="A373" i="17"/>
  <c r="A372" i="17"/>
  <c r="A371" i="17"/>
  <c r="A370" i="17"/>
  <c r="A369" i="17"/>
  <c r="A368" i="17"/>
  <c r="A367" i="17"/>
  <c r="A366" i="17"/>
  <c r="A365" i="17"/>
  <c r="A364" i="17"/>
  <c r="A363" i="17"/>
  <c r="A362" i="17"/>
  <c r="A361" i="17"/>
  <c r="A360" i="17"/>
  <c r="A359" i="17"/>
  <c r="A358" i="17"/>
  <c r="A357" i="17"/>
  <c r="A356" i="17"/>
  <c r="A355" i="17"/>
  <c r="A354" i="17"/>
  <c r="A353" i="17"/>
  <c r="A352" i="17"/>
  <c r="A351" i="17"/>
  <c r="A350" i="17"/>
  <c r="A349" i="17"/>
  <c r="A348" i="17"/>
  <c r="A347" i="17"/>
  <c r="A346" i="17"/>
  <c r="A345" i="17"/>
  <c r="A344" i="17"/>
  <c r="A343" i="17"/>
  <c r="A342" i="17"/>
  <c r="A341" i="17"/>
  <c r="A340" i="17"/>
  <c r="A339" i="17"/>
  <c r="A338" i="17"/>
  <c r="A337" i="17"/>
  <c r="A336" i="17"/>
  <c r="A335" i="17"/>
  <c r="A334" i="17"/>
  <c r="A333" i="17"/>
  <c r="A332" i="17"/>
  <c r="A331" i="17"/>
  <c r="A330" i="17"/>
  <c r="A329" i="17"/>
  <c r="A328" i="17"/>
  <c r="A327" i="17"/>
  <c r="A326" i="17"/>
  <c r="A325" i="17"/>
  <c r="A324" i="17"/>
  <c r="A323" i="17"/>
  <c r="A322" i="17"/>
  <c r="A321" i="17"/>
  <c r="A320" i="17"/>
  <c r="A319" i="17"/>
  <c r="A318" i="17"/>
  <c r="A317" i="17"/>
  <c r="A316" i="17"/>
  <c r="A315" i="17"/>
  <c r="A314" i="17"/>
  <c r="A313" i="17"/>
  <c r="A312" i="17"/>
  <c r="A311" i="17"/>
  <c r="A310" i="17"/>
  <c r="A309" i="17"/>
  <c r="A308" i="17"/>
  <c r="A307" i="17"/>
  <c r="A306" i="17"/>
  <c r="A305" i="17"/>
  <c r="A304" i="17"/>
  <c r="A303" i="17"/>
  <c r="A302" i="17"/>
  <c r="A301" i="17"/>
  <c r="A300" i="17"/>
  <c r="A299" i="17"/>
  <c r="A298" i="17"/>
  <c r="A297" i="17"/>
  <c r="A296" i="17"/>
  <c r="A295" i="17"/>
  <c r="A294" i="17"/>
  <c r="A293" i="17"/>
  <c r="A292" i="17"/>
  <c r="A291" i="17"/>
  <c r="A290" i="17"/>
  <c r="A289" i="17"/>
  <c r="A288" i="17"/>
  <c r="A287" i="17"/>
  <c r="A286" i="17"/>
  <c r="A285" i="17"/>
  <c r="A284" i="17"/>
  <c r="A283" i="17"/>
  <c r="A282" i="17"/>
  <c r="A281" i="17"/>
  <c r="A280" i="17"/>
  <c r="A279" i="17"/>
  <c r="A278" i="17"/>
  <c r="A277" i="17"/>
  <c r="A276" i="17"/>
  <c r="A275" i="17"/>
  <c r="A274" i="17"/>
  <c r="A273" i="17"/>
  <c r="A272" i="17"/>
  <c r="A271" i="17"/>
  <c r="A270" i="17"/>
  <c r="A269" i="17"/>
  <c r="A268" i="17"/>
  <c r="A267" i="17"/>
  <c r="A266" i="17"/>
  <c r="A265" i="17"/>
  <c r="A264" i="17"/>
  <c r="A263" i="17"/>
  <c r="A262" i="17"/>
  <c r="A261" i="17"/>
  <c r="A260" i="17"/>
  <c r="A259" i="17"/>
  <c r="A258" i="17"/>
  <c r="A257" i="17"/>
  <c r="A256" i="17"/>
  <c r="A255" i="17"/>
  <c r="A254" i="17"/>
  <c r="A253" i="17"/>
  <c r="A252" i="17"/>
  <c r="A251" i="17"/>
  <c r="A250" i="17"/>
  <c r="A249" i="17"/>
  <c r="A248" i="17"/>
  <c r="A247" i="17"/>
  <c r="A246" i="17"/>
  <c r="A245" i="17"/>
  <c r="A244" i="17"/>
  <c r="A243" i="17"/>
  <c r="A242" i="17"/>
  <c r="A241" i="17"/>
  <c r="A240" i="17"/>
  <c r="A239" i="17"/>
  <c r="A238" i="17"/>
  <c r="A237" i="17"/>
  <c r="A236" i="17"/>
  <c r="A235" i="17"/>
  <c r="A234" i="17"/>
  <c r="A233" i="17"/>
  <c r="A232" i="17"/>
  <c r="A231" i="17"/>
  <c r="A230" i="17"/>
  <c r="A229" i="17"/>
  <c r="A228" i="17"/>
  <c r="A227" i="17"/>
  <c r="A226" i="17"/>
  <c r="A225" i="17"/>
  <c r="A224" i="17"/>
  <c r="A223" i="17"/>
  <c r="A222" i="17"/>
  <c r="A221" i="17"/>
  <c r="A220" i="17"/>
  <c r="A219" i="17"/>
  <c r="A218" i="17"/>
  <c r="A217" i="17"/>
  <c r="A216" i="17"/>
  <c r="A215" i="17"/>
  <c r="A214" i="17"/>
  <c r="A213" i="17"/>
  <c r="A212" i="17"/>
  <c r="A211" i="17"/>
  <c r="A210" i="17"/>
  <c r="A209" i="17"/>
  <c r="A208" i="17"/>
  <c r="A207" i="17"/>
  <c r="A206" i="17"/>
  <c r="A205" i="17"/>
  <c r="A204" i="17"/>
  <c r="A203" i="17"/>
  <c r="A202" i="17"/>
  <c r="A201" i="17"/>
  <c r="A200" i="17"/>
  <c r="A199" i="17"/>
  <c r="A198" i="17"/>
  <c r="A197" i="17"/>
  <c r="A196" i="17"/>
  <c r="A195" i="17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79" i="17"/>
  <c r="A178" i="17"/>
  <c r="A177" i="17"/>
  <c r="A176" i="17"/>
  <c r="A175" i="17"/>
  <c r="A174" i="17"/>
  <c r="A173" i="17"/>
  <c r="A172" i="17"/>
  <c r="A171" i="17"/>
  <c r="A170" i="17"/>
  <c r="A169" i="17"/>
  <c r="A168" i="17"/>
  <c r="A167" i="17"/>
  <c r="A166" i="17"/>
  <c r="A165" i="17"/>
  <c r="A164" i="17"/>
  <c r="A163" i="17"/>
  <c r="A162" i="17"/>
  <c r="A161" i="17"/>
  <c r="A160" i="17"/>
  <c r="A159" i="17"/>
  <c r="A158" i="17"/>
  <c r="A157" i="17"/>
  <c r="A156" i="17"/>
  <c r="A155" i="17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39" i="17"/>
  <c r="A138" i="17"/>
  <c r="A137" i="17"/>
  <c r="A136" i="17"/>
  <c r="A135" i="17"/>
  <c r="A134" i="17"/>
  <c r="A133" i="17"/>
  <c r="A132" i="17"/>
  <c r="A131" i="17"/>
  <c r="A130" i="17"/>
  <c r="A129" i="17"/>
  <c r="A128" i="17"/>
  <c r="A127" i="17"/>
  <c r="A126" i="17"/>
  <c r="A125" i="17"/>
  <c r="A124" i="17"/>
  <c r="A123" i="17"/>
  <c r="A122" i="17"/>
  <c r="A121" i="17"/>
  <c r="A120" i="17"/>
  <c r="A119" i="17"/>
  <c r="A118" i="17"/>
  <c r="A117" i="17"/>
  <c r="A116" i="17"/>
  <c r="A115" i="17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101" i="17"/>
  <c r="A100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7" i="17"/>
  <c r="A86" i="17"/>
  <c r="A85" i="17"/>
  <c r="A84" i="17"/>
  <c r="A83" i="17"/>
  <c r="A82" i="17"/>
  <c r="A81" i="17"/>
  <c r="A80" i="17"/>
  <c r="A79" i="17"/>
  <c r="A78" i="17"/>
  <c r="A77" i="17"/>
  <c r="A76" i="17"/>
  <c r="A75" i="17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9" i="17"/>
  <c r="A58" i="17"/>
  <c r="A57" i="17"/>
  <c r="A56" i="17"/>
  <c r="A55" i="17"/>
  <c r="A54" i="17"/>
  <c r="A53" i="17"/>
  <c r="A52" i="17"/>
  <c r="A51" i="17"/>
  <c r="A50" i="17"/>
  <c r="A49" i="17"/>
  <c r="A48" i="17"/>
  <c r="A47" i="17"/>
  <c r="A46" i="17"/>
  <c r="A45" i="17"/>
  <c r="A44" i="17"/>
  <c r="A43" i="17"/>
  <c r="A42" i="17"/>
  <c r="A41" i="17"/>
  <c r="A40" i="17"/>
  <c r="A39" i="17"/>
  <c r="A38" i="17"/>
  <c r="A37" i="17"/>
  <c r="A36" i="17"/>
  <c r="A35" i="17"/>
  <c r="A34" i="17"/>
  <c r="A33" i="17"/>
  <c r="A32" i="17"/>
  <c r="A31" i="17"/>
  <c r="A30" i="17"/>
  <c r="A29" i="17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7" i="17"/>
  <c r="A6" i="17"/>
  <c r="A5" i="17"/>
  <c r="A4" i="17"/>
  <c r="A3" i="17"/>
  <c r="A900" i="16"/>
  <c r="A899" i="16"/>
  <c r="A898" i="16"/>
  <c r="A897" i="16"/>
  <c r="A896" i="16"/>
  <c r="A895" i="16"/>
  <c r="A894" i="16"/>
  <c r="A893" i="16"/>
  <c r="A892" i="16"/>
  <c r="A891" i="16"/>
  <c r="A890" i="16"/>
  <c r="A889" i="16"/>
  <c r="A888" i="16"/>
  <c r="A887" i="16"/>
  <c r="A886" i="16"/>
  <c r="A885" i="16"/>
  <c r="A884" i="16"/>
  <c r="A883" i="16"/>
  <c r="A882" i="16"/>
  <c r="A881" i="16"/>
  <c r="A880" i="16"/>
  <c r="A879" i="16"/>
  <c r="A878" i="16"/>
  <c r="A877" i="16"/>
  <c r="A876" i="16"/>
  <c r="A875" i="16"/>
  <c r="A874" i="16"/>
  <c r="A873" i="16"/>
  <c r="A872" i="16"/>
  <c r="A871" i="16"/>
  <c r="A870" i="16"/>
  <c r="A869" i="16"/>
  <c r="A868" i="16"/>
  <c r="A867" i="16"/>
  <c r="A866" i="16"/>
  <c r="A865" i="16"/>
  <c r="A864" i="16"/>
  <c r="A863" i="16"/>
  <c r="A862" i="16"/>
  <c r="A861" i="16"/>
  <c r="A860" i="16"/>
  <c r="A859" i="16"/>
  <c r="A858" i="16"/>
  <c r="A857" i="16"/>
  <c r="A856" i="16"/>
  <c r="A855" i="16"/>
  <c r="A854" i="16"/>
  <c r="A853" i="16"/>
  <c r="A852" i="16"/>
  <c r="A851" i="16"/>
  <c r="A850" i="16"/>
  <c r="A849" i="16"/>
  <c r="A848" i="16"/>
  <c r="A847" i="16"/>
  <c r="A846" i="16"/>
  <c r="A845" i="16"/>
  <c r="A844" i="16"/>
  <c r="A843" i="16"/>
  <c r="A842" i="16"/>
  <c r="A841" i="16"/>
  <c r="A840" i="16"/>
  <c r="A839" i="16"/>
  <c r="A838" i="16"/>
  <c r="A837" i="16"/>
  <c r="A836" i="16"/>
  <c r="A835" i="16"/>
  <c r="A834" i="16"/>
  <c r="A833" i="16"/>
  <c r="A832" i="16"/>
  <c r="A831" i="16"/>
  <c r="A830" i="16"/>
  <c r="A829" i="16"/>
  <c r="A828" i="16"/>
  <c r="A827" i="16"/>
  <c r="A826" i="16"/>
  <c r="A825" i="16"/>
  <c r="A824" i="16"/>
  <c r="A823" i="16"/>
  <c r="A822" i="16"/>
  <c r="A821" i="16"/>
  <c r="A820" i="16"/>
  <c r="A819" i="16"/>
  <c r="A818" i="16"/>
  <c r="A817" i="16"/>
  <c r="A816" i="16"/>
  <c r="A815" i="16"/>
  <c r="A814" i="16"/>
  <c r="A813" i="16"/>
  <c r="A812" i="16"/>
  <c r="A811" i="16"/>
  <c r="A810" i="16"/>
  <c r="A809" i="16"/>
  <c r="A808" i="16"/>
  <c r="A807" i="16"/>
  <c r="A806" i="16"/>
  <c r="A805" i="16"/>
  <c r="A804" i="16"/>
  <c r="A803" i="16"/>
  <c r="A802" i="16"/>
  <c r="A801" i="16"/>
  <c r="A800" i="16"/>
  <c r="A799" i="16"/>
  <c r="A798" i="16"/>
  <c r="A797" i="16"/>
  <c r="A796" i="16"/>
  <c r="A795" i="16"/>
  <c r="A794" i="16"/>
  <c r="A793" i="16"/>
  <c r="A792" i="16"/>
  <c r="A791" i="16"/>
  <c r="A790" i="16"/>
  <c r="A789" i="16"/>
  <c r="A788" i="16"/>
  <c r="A787" i="16"/>
  <c r="A786" i="16"/>
  <c r="A785" i="16"/>
  <c r="A784" i="16"/>
  <c r="A783" i="16"/>
  <c r="A782" i="16"/>
  <c r="A781" i="16"/>
  <c r="A780" i="16"/>
  <c r="A779" i="16"/>
  <c r="A778" i="16"/>
  <c r="A777" i="16"/>
  <c r="A776" i="16"/>
  <c r="A775" i="16"/>
  <c r="A774" i="16"/>
  <c r="A773" i="16"/>
  <c r="A772" i="16"/>
  <c r="A771" i="16"/>
  <c r="A770" i="16"/>
  <c r="A769" i="16"/>
  <c r="A768" i="16"/>
  <c r="A767" i="16"/>
  <c r="A766" i="16"/>
  <c r="A765" i="16"/>
  <c r="A764" i="16"/>
  <c r="A763" i="16"/>
  <c r="A762" i="16"/>
  <c r="A761" i="16"/>
  <c r="A760" i="16"/>
  <c r="A759" i="16"/>
  <c r="A758" i="16"/>
  <c r="A757" i="16"/>
  <c r="A756" i="16"/>
  <c r="A755" i="16"/>
  <c r="A754" i="16"/>
  <c r="A753" i="16"/>
  <c r="A752" i="16"/>
  <c r="A751" i="16"/>
  <c r="A750" i="16"/>
  <c r="A749" i="16"/>
  <c r="A748" i="16"/>
  <c r="A747" i="16"/>
  <c r="A746" i="16"/>
  <c r="A745" i="16"/>
  <c r="A744" i="16"/>
  <c r="A743" i="16"/>
  <c r="A742" i="16"/>
  <c r="A741" i="16"/>
  <c r="A740" i="16"/>
  <c r="A739" i="16"/>
  <c r="A738" i="16"/>
  <c r="A737" i="16"/>
  <c r="A736" i="16"/>
  <c r="A735" i="16"/>
  <c r="A734" i="16"/>
  <c r="A733" i="16"/>
  <c r="A732" i="16"/>
  <c r="A731" i="16"/>
  <c r="A730" i="16"/>
  <c r="A729" i="16"/>
  <c r="A728" i="16"/>
  <c r="A727" i="16"/>
  <c r="A726" i="16"/>
  <c r="A725" i="16"/>
  <c r="A724" i="16"/>
  <c r="A723" i="16"/>
  <c r="A722" i="16"/>
  <c r="A721" i="16"/>
  <c r="A720" i="16"/>
  <c r="A719" i="16"/>
  <c r="A718" i="16"/>
  <c r="A717" i="16"/>
  <c r="A716" i="16"/>
  <c r="A715" i="16"/>
  <c r="A714" i="16"/>
  <c r="A713" i="16"/>
  <c r="A712" i="16"/>
  <c r="A711" i="16"/>
  <c r="A710" i="16"/>
  <c r="A709" i="16"/>
  <c r="A708" i="16"/>
  <c r="A707" i="16"/>
  <c r="A706" i="16"/>
  <c r="A705" i="16"/>
  <c r="A704" i="16"/>
  <c r="A703" i="16"/>
  <c r="A702" i="16"/>
  <c r="A701" i="16"/>
  <c r="A700" i="16"/>
  <c r="A699" i="16"/>
  <c r="A698" i="16"/>
  <c r="A697" i="16"/>
  <c r="A696" i="16"/>
  <c r="A695" i="16"/>
  <c r="A694" i="16"/>
  <c r="A693" i="16"/>
  <c r="A692" i="16"/>
  <c r="A691" i="16"/>
  <c r="A690" i="16"/>
  <c r="A689" i="16"/>
  <c r="A688" i="16"/>
  <c r="A687" i="16"/>
  <c r="A686" i="16"/>
  <c r="A685" i="16"/>
  <c r="A684" i="16"/>
  <c r="A683" i="16"/>
  <c r="A682" i="16"/>
  <c r="A681" i="16"/>
  <c r="A680" i="16"/>
  <c r="A679" i="16"/>
  <c r="A678" i="16"/>
  <c r="A677" i="16"/>
  <c r="A676" i="16"/>
  <c r="A675" i="16"/>
  <c r="A674" i="16"/>
  <c r="A673" i="16"/>
  <c r="A672" i="16"/>
  <c r="A671" i="16"/>
  <c r="A670" i="16"/>
  <c r="A669" i="16"/>
  <c r="A668" i="16"/>
  <c r="A667" i="16"/>
  <c r="A666" i="16"/>
  <c r="A665" i="16"/>
  <c r="A664" i="16"/>
  <c r="A663" i="16"/>
  <c r="A662" i="16"/>
  <c r="A661" i="16"/>
  <c r="A660" i="16"/>
  <c r="A659" i="16"/>
  <c r="A658" i="16"/>
  <c r="A657" i="16"/>
  <c r="A656" i="16"/>
  <c r="A655" i="16"/>
  <c r="A654" i="16"/>
  <c r="A653" i="16"/>
  <c r="A652" i="16"/>
  <c r="A651" i="16"/>
  <c r="A650" i="16"/>
  <c r="A649" i="16"/>
  <c r="A648" i="16"/>
  <c r="A647" i="16"/>
  <c r="A646" i="16"/>
  <c r="A645" i="16"/>
  <c r="A644" i="16"/>
  <c r="A643" i="16"/>
  <c r="A642" i="16"/>
  <c r="A641" i="16"/>
  <c r="A640" i="16"/>
  <c r="A639" i="16"/>
  <c r="A638" i="16"/>
  <c r="A637" i="16"/>
  <c r="A636" i="16"/>
  <c r="A635" i="16"/>
  <c r="A634" i="16"/>
  <c r="A633" i="16"/>
  <c r="A632" i="16"/>
  <c r="A631" i="16"/>
  <c r="A630" i="16"/>
  <c r="A629" i="16"/>
  <c r="A628" i="16"/>
  <c r="A627" i="16"/>
  <c r="A626" i="16"/>
  <c r="A625" i="16"/>
  <c r="A624" i="16"/>
  <c r="A623" i="16"/>
  <c r="A622" i="16"/>
  <c r="A621" i="16"/>
  <c r="A620" i="16"/>
  <c r="A619" i="16"/>
  <c r="A618" i="16"/>
  <c r="A617" i="16"/>
  <c r="A616" i="16"/>
  <c r="A615" i="16"/>
  <c r="A614" i="16"/>
  <c r="A613" i="16"/>
  <c r="A612" i="16"/>
  <c r="A611" i="16"/>
  <c r="A610" i="16"/>
  <c r="A609" i="16"/>
  <c r="A608" i="16"/>
  <c r="A607" i="16"/>
  <c r="A606" i="16"/>
  <c r="A605" i="16"/>
  <c r="A604" i="16"/>
  <c r="A603" i="16"/>
  <c r="A602" i="16"/>
  <c r="A601" i="16"/>
  <c r="A600" i="16"/>
  <c r="A599" i="16"/>
  <c r="A598" i="16"/>
  <c r="A597" i="16"/>
  <c r="A596" i="16"/>
  <c r="A595" i="16"/>
  <c r="A594" i="16"/>
  <c r="A593" i="16"/>
  <c r="A592" i="16"/>
  <c r="A591" i="16"/>
  <c r="A590" i="16"/>
  <c r="A589" i="16"/>
  <c r="A588" i="16"/>
  <c r="A587" i="16"/>
  <c r="A586" i="16"/>
  <c r="A585" i="16"/>
  <c r="A584" i="16"/>
  <c r="A583" i="16"/>
  <c r="A582" i="16"/>
  <c r="A581" i="16"/>
  <c r="A580" i="16"/>
  <c r="A579" i="16"/>
  <c r="A578" i="16"/>
  <c r="A577" i="16"/>
  <c r="A576" i="16"/>
  <c r="A575" i="16"/>
  <c r="A574" i="16"/>
  <c r="A573" i="16"/>
  <c r="A572" i="16"/>
  <c r="A571" i="16"/>
  <c r="A570" i="16"/>
  <c r="A569" i="16"/>
  <c r="A568" i="16"/>
  <c r="A567" i="16"/>
  <c r="A566" i="16"/>
  <c r="A565" i="16"/>
  <c r="A564" i="16"/>
  <c r="A563" i="16"/>
  <c r="A562" i="16"/>
  <c r="A561" i="16"/>
  <c r="A560" i="16"/>
  <c r="A559" i="16"/>
  <c r="A558" i="16"/>
  <c r="A557" i="16"/>
  <c r="A556" i="16"/>
  <c r="A555" i="16"/>
  <c r="A554" i="16"/>
  <c r="A553" i="16"/>
  <c r="A552" i="16"/>
  <c r="A551" i="16"/>
  <c r="A550" i="16"/>
  <c r="A549" i="16"/>
  <c r="A548" i="16"/>
  <c r="A547" i="16"/>
  <c r="A546" i="16"/>
  <c r="A545" i="16"/>
  <c r="A544" i="16"/>
  <c r="A543" i="16"/>
  <c r="A542" i="16"/>
  <c r="A541" i="16"/>
  <c r="A540" i="16"/>
  <c r="A539" i="16"/>
  <c r="A538" i="16"/>
  <c r="A537" i="16"/>
  <c r="A536" i="16"/>
  <c r="A535" i="16"/>
  <c r="A534" i="16"/>
  <c r="A533" i="16"/>
  <c r="A532" i="16"/>
  <c r="A531" i="16"/>
  <c r="A530" i="16"/>
  <c r="A529" i="16"/>
  <c r="A528" i="16"/>
  <c r="A527" i="16"/>
  <c r="A526" i="16"/>
  <c r="A525" i="16"/>
  <c r="A524" i="16"/>
  <c r="A523" i="16"/>
  <c r="A522" i="16"/>
  <c r="A521" i="16"/>
  <c r="A520" i="16"/>
  <c r="A519" i="16"/>
  <c r="A518" i="16"/>
  <c r="A517" i="16"/>
  <c r="A516" i="16"/>
  <c r="A515" i="16"/>
  <c r="A514" i="16"/>
  <c r="A513" i="16"/>
  <c r="A512" i="16"/>
  <c r="A511" i="16"/>
  <c r="A510" i="16"/>
  <c r="A509" i="16"/>
  <c r="A508" i="16"/>
  <c r="A507" i="16"/>
  <c r="A506" i="16"/>
  <c r="A505" i="16"/>
  <c r="A504" i="16"/>
  <c r="A503" i="16"/>
  <c r="A502" i="16"/>
  <c r="A501" i="16"/>
  <c r="A500" i="16"/>
  <c r="A499" i="16"/>
  <c r="A498" i="16"/>
  <c r="A497" i="16"/>
  <c r="A496" i="16"/>
  <c r="A495" i="16"/>
  <c r="A494" i="16"/>
  <c r="A493" i="16"/>
  <c r="A492" i="16"/>
  <c r="A491" i="16"/>
  <c r="A490" i="16"/>
  <c r="A489" i="16"/>
  <c r="A488" i="16"/>
  <c r="A487" i="16"/>
  <c r="A486" i="16"/>
  <c r="A485" i="16"/>
  <c r="A484" i="16"/>
  <c r="A483" i="16"/>
  <c r="A482" i="16"/>
  <c r="A481" i="16"/>
  <c r="A480" i="16"/>
  <c r="A479" i="16"/>
  <c r="A478" i="16"/>
  <c r="A477" i="16"/>
  <c r="A476" i="16"/>
  <c r="A475" i="16"/>
  <c r="A474" i="16"/>
  <c r="A473" i="16"/>
  <c r="A472" i="16"/>
  <c r="A471" i="16"/>
  <c r="A470" i="16"/>
  <c r="A469" i="16"/>
  <c r="A468" i="16"/>
  <c r="A467" i="16"/>
  <c r="A466" i="16"/>
  <c r="A465" i="16"/>
  <c r="A464" i="16"/>
  <c r="A463" i="16"/>
  <c r="A462" i="16"/>
  <c r="A461" i="16"/>
  <c r="A460" i="16"/>
  <c r="A459" i="16"/>
  <c r="A458" i="16"/>
  <c r="A457" i="16"/>
  <c r="A456" i="16"/>
  <c r="A455" i="16"/>
  <c r="A454" i="16"/>
  <c r="A453" i="16"/>
  <c r="A452" i="16"/>
  <c r="A451" i="16"/>
  <c r="A450" i="16"/>
  <c r="A449" i="16"/>
  <c r="A448" i="16"/>
  <c r="A447" i="16"/>
  <c r="A446" i="16"/>
  <c r="A445" i="16"/>
  <c r="A444" i="16"/>
  <c r="A443" i="16"/>
  <c r="A442" i="16"/>
  <c r="A441" i="16"/>
  <c r="A440" i="16"/>
  <c r="A439" i="16"/>
  <c r="A438" i="16"/>
  <c r="A437" i="16"/>
  <c r="A436" i="16"/>
  <c r="A435" i="16"/>
  <c r="A434" i="16"/>
  <c r="A433" i="16"/>
  <c r="A432" i="16"/>
  <c r="A431" i="16"/>
  <c r="A430" i="16"/>
  <c r="A429" i="16"/>
  <c r="A428" i="16"/>
  <c r="A427" i="16"/>
  <c r="A426" i="16"/>
  <c r="A425" i="16"/>
  <c r="A424" i="16"/>
  <c r="A423" i="16"/>
  <c r="A422" i="16"/>
  <c r="A421" i="16"/>
  <c r="A420" i="16"/>
  <c r="A419" i="16"/>
  <c r="A418" i="16"/>
  <c r="A417" i="16"/>
  <c r="A416" i="16"/>
  <c r="A415" i="16"/>
  <c r="A414" i="16"/>
  <c r="A413" i="16"/>
  <c r="A412" i="16"/>
  <c r="A411" i="16"/>
  <c r="A410" i="16"/>
  <c r="A409" i="16"/>
  <c r="A408" i="16"/>
  <c r="A407" i="16"/>
  <c r="A406" i="16"/>
  <c r="A405" i="16"/>
  <c r="A404" i="16"/>
  <c r="A403" i="16"/>
  <c r="A402" i="16"/>
  <c r="A401" i="16"/>
  <c r="A400" i="16"/>
  <c r="A399" i="16"/>
  <c r="A398" i="16"/>
  <c r="A397" i="16"/>
  <c r="A396" i="16"/>
  <c r="A395" i="16"/>
  <c r="A394" i="16"/>
  <c r="A393" i="16"/>
  <c r="A392" i="16"/>
  <c r="A391" i="16"/>
  <c r="A390" i="16"/>
  <c r="A389" i="16"/>
  <c r="A388" i="16"/>
  <c r="A387" i="16"/>
  <c r="A386" i="16"/>
  <c r="A385" i="16"/>
  <c r="A384" i="16"/>
  <c r="A383" i="16"/>
  <c r="A382" i="16"/>
  <c r="A381" i="16"/>
  <c r="A380" i="16"/>
  <c r="A379" i="16"/>
  <c r="A378" i="16"/>
  <c r="A377" i="16"/>
  <c r="A376" i="16"/>
  <c r="A375" i="16"/>
  <c r="A374" i="16"/>
  <c r="A373" i="16"/>
  <c r="A372" i="16"/>
  <c r="A371" i="16"/>
  <c r="A370" i="16"/>
  <c r="A369" i="16"/>
  <c r="A368" i="16"/>
  <c r="A367" i="16"/>
  <c r="A366" i="16"/>
  <c r="A365" i="16"/>
  <c r="A364" i="16"/>
  <c r="A363" i="16"/>
  <c r="A362" i="16"/>
  <c r="A361" i="16"/>
  <c r="A360" i="16"/>
  <c r="A359" i="16"/>
  <c r="A358" i="16"/>
  <c r="A357" i="16"/>
  <c r="A356" i="16"/>
  <c r="A355" i="16"/>
  <c r="A354" i="16"/>
  <c r="A353" i="16"/>
  <c r="A352" i="16"/>
  <c r="A351" i="16"/>
  <c r="A350" i="16"/>
  <c r="A349" i="16"/>
  <c r="A348" i="16"/>
  <c r="A347" i="16"/>
  <c r="A346" i="16"/>
  <c r="A345" i="16"/>
  <c r="A344" i="16"/>
  <c r="A343" i="16"/>
  <c r="A342" i="16"/>
  <c r="A341" i="16"/>
  <c r="A340" i="16"/>
  <c r="A339" i="16"/>
  <c r="A338" i="16"/>
  <c r="A337" i="16"/>
  <c r="A336" i="16"/>
  <c r="A335" i="16"/>
  <c r="A334" i="16"/>
  <c r="A333" i="16"/>
  <c r="A332" i="16"/>
  <c r="A331" i="16"/>
  <c r="A330" i="16"/>
  <c r="A329" i="16"/>
  <c r="A328" i="16"/>
  <c r="A327" i="16"/>
  <c r="A326" i="16"/>
  <c r="A325" i="16"/>
  <c r="A324" i="16"/>
  <c r="A323" i="16"/>
  <c r="A322" i="16"/>
  <c r="A321" i="16"/>
  <c r="A320" i="16"/>
  <c r="A319" i="16"/>
  <c r="A318" i="16"/>
  <c r="A317" i="16"/>
  <c r="A316" i="16"/>
  <c r="A315" i="16"/>
  <c r="A314" i="16"/>
  <c r="A313" i="16"/>
  <c r="A312" i="16"/>
  <c r="A311" i="16"/>
  <c r="A310" i="16"/>
  <c r="A309" i="16"/>
  <c r="A308" i="16"/>
  <c r="A307" i="16"/>
  <c r="A306" i="16"/>
  <c r="A305" i="16"/>
  <c r="A304" i="16"/>
  <c r="A303" i="16"/>
  <c r="A302" i="16"/>
  <c r="A301" i="16"/>
  <c r="A300" i="16"/>
  <c r="A299" i="16"/>
  <c r="A298" i="16"/>
  <c r="A297" i="16"/>
  <c r="A296" i="16"/>
  <c r="A295" i="16"/>
  <c r="A294" i="16"/>
  <c r="A293" i="16"/>
  <c r="A292" i="16"/>
  <c r="A291" i="16"/>
  <c r="A290" i="16"/>
  <c r="A289" i="16"/>
  <c r="A288" i="16"/>
  <c r="A287" i="16"/>
  <c r="A286" i="16"/>
  <c r="A285" i="16"/>
  <c r="A284" i="16"/>
  <c r="A283" i="16"/>
  <c r="A282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64" i="16"/>
  <c r="A263" i="16"/>
  <c r="A262" i="16"/>
  <c r="A261" i="16"/>
  <c r="A260" i="16"/>
  <c r="A259" i="16"/>
  <c r="A258" i="16"/>
  <c r="A257" i="16"/>
  <c r="A256" i="16"/>
  <c r="A255" i="16"/>
  <c r="A254" i="16"/>
  <c r="A253" i="16"/>
  <c r="A252" i="16"/>
  <c r="A251" i="16"/>
  <c r="A250" i="16"/>
  <c r="A249" i="16"/>
  <c r="A248" i="16"/>
  <c r="A247" i="16"/>
  <c r="A246" i="16"/>
  <c r="A245" i="16"/>
  <c r="A244" i="16"/>
  <c r="A243" i="16"/>
  <c r="A242" i="16"/>
  <c r="A241" i="16"/>
  <c r="A240" i="16"/>
  <c r="A239" i="16"/>
  <c r="A238" i="16"/>
  <c r="A237" i="16"/>
  <c r="A236" i="16"/>
  <c r="A235" i="16"/>
  <c r="A234" i="16"/>
  <c r="A233" i="16"/>
  <c r="A232" i="16"/>
  <c r="A231" i="16"/>
  <c r="A230" i="16"/>
  <c r="A229" i="16"/>
  <c r="A228" i="16"/>
  <c r="A227" i="16"/>
  <c r="A226" i="16"/>
  <c r="A225" i="16"/>
  <c r="A224" i="16"/>
  <c r="A223" i="16"/>
  <c r="A222" i="16"/>
  <c r="A221" i="16"/>
  <c r="A220" i="16"/>
  <c r="A219" i="16"/>
  <c r="A218" i="16"/>
  <c r="A217" i="16"/>
  <c r="A216" i="16"/>
  <c r="A215" i="16"/>
  <c r="A214" i="16"/>
  <c r="A213" i="16"/>
  <c r="A212" i="16"/>
  <c r="A211" i="16"/>
  <c r="A210" i="16"/>
  <c r="A209" i="16"/>
  <c r="A208" i="16"/>
  <c r="A207" i="16"/>
  <c r="A206" i="16"/>
  <c r="A205" i="16"/>
  <c r="A204" i="16"/>
  <c r="A203" i="16"/>
  <c r="A202" i="16"/>
  <c r="A201" i="16"/>
  <c r="A200" i="16"/>
  <c r="A199" i="16"/>
  <c r="A198" i="16"/>
  <c r="A197" i="16"/>
  <c r="A196" i="16"/>
  <c r="A195" i="16"/>
  <c r="A194" i="16"/>
  <c r="A193" i="16"/>
  <c r="A192" i="16"/>
  <c r="A191" i="16"/>
  <c r="A190" i="16"/>
  <c r="A189" i="16"/>
  <c r="A188" i="16"/>
  <c r="A187" i="16"/>
  <c r="A186" i="16"/>
  <c r="A185" i="16"/>
  <c r="A184" i="16"/>
  <c r="A183" i="16"/>
  <c r="A182" i="16"/>
  <c r="A181" i="16"/>
  <c r="A180" i="16"/>
  <c r="A179" i="16"/>
  <c r="A178" i="16"/>
  <c r="A177" i="16"/>
  <c r="A176" i="16"/>
  <c r="A175" i="16"/>
  <c r="A174" i="16"/>
  <c r="A173" i="16"/>
  <c r="A172" i="16"/>
  <c r="A171" i="16"/>
  <c r="A170" i="16"/>
  <c r="A169" i="16"/>
  <c r="A168" i="16"/>
  <c r="A167" i="16"/>
  <c r="A166" i="16"/>
  <c r="A165" i="16"/>
  <c r="A164" i="16"/>
  <c r="A163" i="16"/>
  <c r="A162" i="16"/>
  <c r="A161" i="16"/>
  <c r="A160" i="16"/>
  <c r="A159" i="16"/>
  <c r="A158" i="16"/>
  <c r="A157" i="16"/>
  <c r="A156" i="16"/>
  <c r="A155" i="16"/>
  <c r="A154" i="16"/>
  <c r="A153" i="16"/>
  <c r="A152" i="16"/>
  <c r="A151" i="16"/>
  <c r="A150" i="16"/>
  <c r="A149" i="16"/>
  <c r="A148" i="16"/>
  <c r="A147" i="16"/>
  <c r="A146" i="16"/>
  <c r="A145" i="16"/>
  <c r="A144" i="16"/>
  <c r="A143" i="16"/>
  <c r="A142" i="16"/>
  <c r="A141" i="16"/>
  <c r="A140" i="16"/>
  <c r="A139" i="16"/>
  <c r="A138" i="16"/>
  <c r="A137" i="16"/>
  <c r="A136" i="16"/>
  <c r="A135" i="16"/>
  <c r="A134" i="16"/>
  <c r="A133" i="16"/>
  <c r="A132" i="16"/>
  <c r="A131" i="16"/>
  <c r="A130" i="16"/>
  <c r="A129" i="16"/>
  <c r="A128" i="16"/>
  <c r="A127" i="16"/>
  <c r="A126" i="16"/>
  <c r="A125" i="16"/>
  <c r="A124" i="16"/>
  <c r="A123" i="16"/>
  <c r="A122" i="16"/>
  <c r="A121" i="16"/>
  <c r="A120" i="16"/>
  <c r="A119" i="16"/>
  <c r="A118" i="16"/>
  <c r="A117" i="16"/>
  <c r="A116" i="16"/>
  <c r="A115" i="16"/>
  <c r="A114" i="16"/>
  <c r="A113" i="16"/>
  <c r="A112" i="16"/>
  <c r="A111" i="16"/>
  <c r="A110" i="16"/>
  <c r="A109" i="16"/>
  <c r="A108" i="16"/>
  <c r="A107" i="16"/>
  <c r="A106" i="16"/>
  <c r="A105" i="16"/>
  <c r="A104" i="16"/>
  <c r="A103" i="16"/>
  <c r="A102" i="16"/>
  <c r="A101" i="16"/>
  <c r="A100" i="16"/>
  <c r="A99" i="16"/>
  <c r="A98" i="16"/>
  <c r="A97" i="16"/>
  <c r="A96" i="16"/>
  <c r="A95" i="16"/>
  <c r="A94" i="16"/>
  <c r="A93" i="16"/>
  <c r="A92" i="16"/>
  <c r="A91" i="16"/>
  <c r="A90" i="16"/>
  <c r="A89" i="16"/>
  <c r="A88" i="16"/>
  <c r="A87" i="16"/>
  <c r="A86" i="16"/>
  <c r="A85" i="16"/>
  <c r="A84" i="16"/>
  <c r="A83" i="16"/>
  <c r="A82" i="16"/>
  <c r="A81" i="16"/>
  <c r="A80" i="16"/>
  <c r="A79" i="16"/>
  <c r="A78" i="16"/>
  <c r="A77" i="16"/>
  <c r="A76" i="16"/>
  <c r="A75" i="16"/>
  <c r="A74" i="16"/>
  <c r="A73" i="16"/>
  <c r="A72" i="16"/>
  <c r="A71" i="16"/>
  <c r="A70" i="16"/>
  <c r="A69" i="16"/>
  <c r="A68" i="16"/>
  <c r="A67" i="16"/>
  <c r="A66" i="16"/>
  <c r="A65" i="16"/>
  <c r="A64" i="16"/>
  <c r="A63" i="16"/>
  <c r="A62" i="16"/>
  <c r="A61" i="16"/>
  <c r="A60" i="16"/>
  <c r="A59" i="16"/>
  <c r="A58" i="16"/>
  <c r="A57" i="16"/>
  <c r="A56" i="16"/>
  <c r="A55" i="16"/>
  <c r="A54" i="16"/>
  <c r="A53" i="16"/>
  <c r="A52" i="16"/>
  <c r="A51" i="16"/>
  <c r="A50" i="16"/>
  <c r="A49" i="16"/>
  <c r="A48" i="16"/>
  <c r="A47" i="16"/>
  <c r="A46" i="16"/>
  <c r="A45" i="16"/>
  <c r="A44" i="16"/>
  <c r="A43" i="16"/>
  <c r="A42" i="16"/>
  <c r="A41" i="16"/>
  <c r="A40" i="16"/>
  <c r="A39" i="16"/>
  <c r="A38" i="16"/>
  <c r="A37" i="16"/>
  <c r="A36" i="16"/>
  <c r="A35" i="16"/>
  <c r="A34" i="16"/>
  <c r="A33" i="16"/>
  <c r="A32" i="16"/>
  <c r="A31" i="16"/>
  <c r="A30" i="16"/>
  <c r="A29" i="16"/>
  <c r="A28" i="16"/>
  <c r="A27" i="16"/>
  <c r="A26" i="16"/>
  <c r="A25" i="16"/>
  <c r="A24" i="16"/>
  <c r="A23" i="16"/>
  <c r="A22" i="16"/>
  <c r="A21" i="16"/>
  <c r="A20" i="16"/>
  <c r="A19" i="16"/>
  <c r="A18" i="16"/>
  <c r="A17" i="16"/>
  <c r="A16" i="16"/>
  <c r="A15" i="16"/>
  <c r="A14" i="16"/>
  <c r="A13" i="16"/>
  <c r="A12" i="16"/>
  <c r="A11" i="16"/>
  <c r="A10" i="16"/>
  <c r="A9" i="16"/>
  <c r="A8" i="16"/>
  <c r="A7" i="16"/>
  <c r="A6" i="16"/>
  <c r="A5" i="16"/>
  <c r="A4" i="16"/>
  <c r="A3" i="16"/>
  <c r="A913" i="15"/>
  <c r="A912" i="15"/>
  <c r="A911" i="15"/>
  <c r="A910" i="15"/>
  <c r="A909" i="15"/>
  <c r="A908" i="15"/>
  <c r="A907" i="15"/>
  <c r="A906" i="15"/>
  <c r="A905" i="15"/>
  <c r="A904" i="15"/>
  <c r="A903" i="15"/>
  <c r="A902" i="15"/>
  <c r="A901" i="15"/>
  <c r="A900" i="15"/>
  <c r="A899" i="15"/>
  <c r="A898" i="15"/>
  <c r="A897" i="15"/>
  <c r="A896" i="15"/>
  <c r="A895" i="15"/>
  <c r="A894" i="15"/>
  <c r="A893" i="15"/>
  <c r="A892" i="15"/>
  <c r="A891" i="15"/>
  <c r="A890" i="15"/>
  <c r="A889" i="15"/>
  <c r="A888" i="15"/>
  <c r="A887" i="15"/>
  <c r="A886" i="15"/>
  <c r="A885" i="15"/>
  <c r="A884" i="15"/>
  <c r="A883" i="15"/>
  <c r="A882" i="15"/>
  <c r="A881" i="15"/>
  <c r="A880" i="15"/>
  <c r="A879" i="15"/>
  <c r="A878" i="15"/>
  <c r="A877" i="15"/>
  <c r="A876" i="15"/>
  <c r="A875" i="15"/>
  <c r="A874" i="15"/>
  <c r="A873" i="15"/>
  <c r="A872" i="15"/>
  <c r="A871" i="15"/>
  <c r="A870" i="15"/>
  <c r="A869" i="15"/>
  <c r="A868" i="15"/>
  <c r="A867" i="15"/>
  <c r="A866" i="15"/>
  <c r="A865" i="15"/>
  <c r="A864" i="15"/>
  <c r="A863" i="15"/>
  <c r="A862" i="15"/>
  <c r="A861" i="15"/>
  <c r="A860" i="15"/>
  <c r="A859" i="15"/>
  <c r="A858" i="15"/>
  <c r="A857" i="15"/>
  <c r="A856" i="15"/>
  <c r="A855" i="15"/>
  <c r="A854" i="15"/>
  <c r="A853" i="15"/>
  <c r="A852" i="15"/>
  <c r="A851" i="15"/>
  <c r="A850" i="15"/>
  <c r="A849" i="15"/>
  <c r="A848" i="15"/>
  <c r="A847" i="15"/>
  <c r="A846" i="15"/>
  <c r="A845" i="15"/>
  <c r="A844" i="15"/>
  <c r="A843" i="15"/>
  <c r="A842" i="15"/>
  <c r="A841" i="15"/>
  <c r="A840" i="15"/>
  <c r="A839" i="15"/>
  <c r="A838" i="15"/>
  <c r="A837" i="15"/>
  <c r="A836" i="15"/>
  <c r="A835" i="15"/>
  <c r="A834" i="15"/>
  <c r="A833" i="15"/>
  <c r="A832" i="15"/>
  <c r="A831" i="15"/>
  <c r="A830" i="15"/>
  <c r="A829" i="15"/>
  <c r="A828" i="15"/>
  <c r="A827" i="15"/>
  <c r="A826" i="15"/>
  <c r="A825" i="15"/>
  <c r="A824" i="15"/>
  <c r="A823" i="15"/>
  <c r="A822" i="15"/>
  <c r="A821" i="15"/>
  <c r="A820" i="15"/>
  <c r="A819" i="15"/>
  <c r="A818" i="15"/>
  <c r="A817" i="15"/>
  <c r="A816" i="15"/>
  <c r="A815" i="15"/>
  <c r="A814" i="15"/>
  <c r="A813" i="15"/>
  <c r="A812" i="15"/>
  <c r="A811" i="15"/>
  <c r="A810" i="15"/>
  <c r="A809" i="15"/>
  <c r="A808" i="15"/>
  <c r="A807" i="15"/>
  <c r="A806" i="15"/>
  <c r="A805" i="15"/>
  <c r="A804" i="15"/>
  <c r="A803" i="15"/>
  <c r="A802" i="15"/>
  <c r="A801" i="15"/>
  <c r="A800" i="15"/>
  <c r="A799" i="15"/>
  <c r="A798" i="15"/>
  <c r="A797" i="15"/>
  <c r="A796" i="15"/>
  <c r="A795" i="15"/>
  <c r="A794" i="15"/>
  <c r="A793" i="15"/>
  <c r="A792" i="15"/>
  <c r="A791" i="15"/>
  <c r="A790" i="15"/>
  <c r="A789" i="15"/>
  <c r="A788" i="15"/>
  <c r="A787" i="15"/>
  <c r="A786" i="15"/>
  <c r="A785" i="15"/>
  <c r="A784" i="15"/>
  <c r="A783" i="15"/>
  <c r="A782" i="15"/>
  <c r="A781" i="15"/>
  <c r="A780" i="15"/>
  <c r="A779" i="15"/>
  <c r="A778" i="15"/>
  <c r="A777" i="15"/>
  <c r="A776" i="15"/>
  <c r="A775" i="15"/>
  <c r="A774" i="15"/>
  <c r="A773" i="15"/>
  <c r="A772" i="15"/>
  <c r="A771" i="15"/>
  <c r="A770" i="15"/>
  <c r="A769" i="15"/>
  <c r="A768" i="15"/>
  <c r="A767" i="15"/>
  <c r="A766" i="15"/>
  <c r="A765" i="15"/>
  <c r="A764" i="15"/>
  <c r="A763" i="15"/>
  <c r="A762" i="15"/>
  <c r="A761" i="15"/>
  <c r="A760" i="15"/>
  <c r="A759" i="15"/>
  <c r="A758" i="15"/>
  <c r="A757" i="15"/>
  <c r="A756" i="15"/>
  <c r="A755" i="15"/>
  <c r="A754" i="15"/>
  <c r="A753" i="15"/>
  <c r="A752" i="15"/>
  <c r="A751" i="15"/>
  <c r="A750" i="15"/>
  <c r="A749" i="15"/>
  <c r="A748" i="15"/>
  <c r="A747" i="15"/>
  <c r="A746" i="15"/>
  <c r="A745" i="15"/>
  <c r="A744" i="15"/>
  <c r="A743" i="15"/>
  <c r="A742" i="15"/>
  <c r="A741" i="15"/>
  <c r="A740" i="15"/>
  <c r="A739" i="15"/>
  <c r="A738" i="15"/>
  <c r="A737" i="15"/>
  <c r="A736" i="15"/>
  <c r="A735" i="15"/>
  <c r="A734" i="15"/>
  <c r="A733" i="15"/>
  <c r="A732" i="15"/>
  <c r="A731" i="15"/>
  <c r="A730" i="15"/>
  <c r="A729" i="15"/>
  <c r="A728" i="15"/>
  <c r="A727" i="15"/>
  <c r="A726" i="15"/>
  <c r="A725" i="15"/>
  <c r="A724" i="15"/>
  <c r="A723" i="15"/>
  <c r="A722" i="15"/>
  <c r="A721" i="15"/>
  <c r="A720" i="15"/>
  <c r="A719" i="15"/>
  <c r="A718" i="15"/>
  <c r="A717" i="15"/>
  <c r="A716" i="15"/>
  <c r="A715" i="15"/>
  <c r="A714" i="15"/>
  <c r="A713" i="15"/>
  <c r="A712" i="15"/>
  <c r="A711" i="15"/>
  <c r="A710" i="15"/>
  <c r="A709" i="15"/>
  <c r="A708" i="15"/>
  <c r="A707" i="15"/>
  <c r="A706" i="15"/>
  <c r="A705" i="15"/>
  <c r="A704" i="15"/>
  <c r="A703" i="15"/>
  <c r="A702" i="15"/>
  <c r="A701" i="15"/>
  <c r="A700" i="15"/>
  <c r="A699" i="15"/>
  <c r="A698" i="15"/>
  <c r="A697" i="15"/>
  <c r="A696" i="15"/>
  <c r="A695" i="15"/>
  <c r="A694" i="15"/>
  <c r="A693" i="15"/>
  <c r="A692" i="15"/>
  <c r="A691" i="15"/>
  <c r="A690" i="15"/>
  <c r="A689" i="15"/>
  <c r="A688" i="15"/>
  <c r="A687" i="15"/>
  <c r="A686" i="15"/>
  <c r="A685" i="15"/>
  <c r="A684" i="15"/>
  <c r="A683" i="15"/>
  <c r="A682" i="15"/>
  <c r="A681" i="15"/>
  <c r="A680" i="15"/>
  <c r="A679" i="15"/>
  <c r="A678" i="15"/>
  <c r="A677" i="15"/>
  <c r="A676" i="15"/>
  <c r="A675" i="15"/>
  <c r="A674" i="15"/>
  <c r="A673" i="15"/>
  <c r="A672" i="15"/>
  <c r="A671" i="15"/>
  <c r="A670" i="15"/>
  <c r="A669" i="15"/>
  <c r="A668" i="15"/>
  <c r="A667" i="15"/>
  <c r="A666" i="15"/>
  <c r="A665" i="15"/>
  <c r="A664" i="15"/>
  <c r="A663" i="15"/>
  <c r="A662" i="15"/>
  <c r="A661" i="15"/>
  <c r="A660" i="15"/>
  <c r="A659" i="15"/>
  <c r="A658" i="15"/>
  <c r="A657" i="15"/>
  <c r="A656" i="15"/>
  <c r="A655" i="15"/>
  <c r="A654" i="15"/>
  <c r="A653" i="15"/>
  <c r="A652" i="15"/>
  <c r="A651" i="15"/>
  <c r="A650" i="15"/>
  <c r="A649" i="15"/>
  <c r="A648" i="15"/>
  <c r="A647" i="15"/>
  <c r="A646" i="15"/>
  <c r="A645" i="15"/>
  <c r="A644" i="15"/>
  <c r="A643" i="15"/>
  <c r="A642" i="15"/>
  <c r="A641" i="15"/>
  <c r="A640" i="15"/>
  <c r="A639" i="15"/>
  <c r="A638" i="15"/>
  <c r="A637" i="15"/>
  <c r="A636" i="15"/>
  <c r="A635" i="15"/>
  <c r="A634" i="15"/>
  <c r="A633" i="15"/>
  <c r="A632" i="15"/>
  <c r="A631" i="15"/>
  <c r="A630" i="15"/>
  <c r="A629" i="15"/>
  <c r="A628" i="15"/>
  <c r="A627" i="15"/>
  <c r="A626" i="15"/>
  <c r="A625" i="15"/>
  <c r="A624" i="15"/>
  <c r="A623" i="15"/>
  <c r="A622" i="15"/>
  <c r="A621" i="15"/>
  <c r="A620" i="15"/>
  <c r="A619" i="15"/>
  <c r="A618" i="15"/>
  <c r="A617" i="15"/>
  <c r="A616" i="15"/>
  <c r="A615" i="15"/>
  <c r="A614" i="15"/>
  <c r="A613" i="15"/>
  <c r="A612" i="15"/>
  <c r="A611" i="15"/>
  <c r="A610" i="15"/>
  <c r="A609" i="15"/>
  <c r="A608" i="15"/>
  <c r="A607" i="15"/>
  <c r="A606" i="15"/>
  <c r="A605" i="15"/>
  <c r="A604" i="15"/>
  <c r="A603" i="15"/>
  <c r="A602" i="15"/>
  <c r="A601" i="15"/>
  <c r="A600" i="15"/>
  <c r="A599" i="15"/>
  <c r="A598" i="15"/>
  <c r="A597" i="15"/>
  <c r="A596" i="15"/>
  <c r="A595" i="15"/>
  <c r="A594" i="15"/>
  <c r="A593" i="15"/>
  <c r="A592" i="15"/>
  <c r="A591" i="15"/>
  <c r="A590" i="15"/>
  <c r="A589" i="15"/>
  <c r="A588" i="15"/>
  <c r="A587" i="15"/>
  <c r="A586" i="15"/>
  <c r="A585" i="15"/>
  <c r="A584" i="15"/>
  <c r="A583" i="15"/>
  <c r="A582" i="15"/>
  <c r="A581" i="15"/>
  <c r="A580" i="15"/>
  <c r="A579" i="15"/>
  <c r="A578" i="15"/>
  <c r="A577" i="15"/>
  <c r="A576" i="15"/>
  <c r="A575" i="15"/>
  <c r="A574" i="15"/>
  <c r="A573" i="15"/>
  <c r="A572" i="15"/>
  <c r="A571" i="15"/>
  <c r="A570" i="15"/>
  <c r="A569" i="15"/>
  <c r="A568" i="15"/>
  <c r="A567" i="15"/>
  <c r="A566" i="15"/>
  <c r="A565" i="15"/>
  <c r="A564" i="15"/>
  <c r="A563" i="15"/>
  <c r="A562" i="15"/>
  <c r="A561" i="15"/>
  <c r="A560" i="15"/>
  <c r="A559" i="15"/>
  <c r="A558" i="15"/>
  <c r="A557" i="15"/>
  <c r="A556" i="15"/>
  <c r="A555" i="15"/>
  <c r="A554" i="15"/>
  <c r="A553" i="15"/>
  <c r="A552" i="15"/>
  <c r="A551" i="15"/>
  <c r="A550" i="15"/>
  <c r="A549" i="15"/>
  <c r="A548" i="15"/>
  <c r="A547" i="15"/>
  <c r="A546" i="15"/>
  <c r="A545" i="15"/>
  <c r="A544" i="15"/>
  <c r="A543" i="15"/>
  <c r="A542" i="15"/>
  <c r="A541" i="15"/>
  <c r="A540" i="15"/>
  <c r="A539" i="15"/>
  <c r="A538" i="15"/>
  <c r="A537" i="15"/>
  <c r="A536" i="15"/>
  <c r="A535" i="15"/>
  <c r="A534" i="15"/>
  <c r="A533" i="15"/>
  <c r="A532" i="15"/>
  <c r="A531" i="15"/>
  <c r="A530" i="15"/>
  <c r="A529" i="15"/>
  <c r="A528" i="15"/>
  <c r="A527" i="15"/>
  <c r="A526" i="15"/>
  <c r="A525" i="15"/>
  <c r="A524" i="15"/>
  <c r="A523" i="15"/>
  <c r="A522" i="15"/>
  <c r="A521" i="15"/>
  <c r="A520" i="15"/>
  <c r="A519" i="15"/>
  <c r="A518" i="15"/>
  <c r="A517" i="15"/>
  <c r="A516" i="15"/>
  <c r="A515" i="15"/>
  <c r="A514" i="15"/>
  <c r="A513" i="15"/>
  <c r="A512" i="15"/>
  <c r="A511" i="15"/>
  <c r="A510" i="15"/>
  <c r="A509" i="15"/>
  <c r="A508" i="15"/>
  <c r="A507" i="15"/>
  <c r="A506" i="15"/>
  <c r="A505" i="15"/>
  <c r="A504" i="15"/>
  <c r="A503" i="15"/>
  <c r="A502" i="15"/>
  <c r="A501" i="15"/>
  <c r="A500" i="15"/>
  <c r="A499" i="15"/>
  <c r="A498" i="15"/>
  <c r="A497" i="15"/>
  <c r="A496" i="15"/>
  <c r="A495" i="15"/>
  <c r="A494" i="15"/>
  <c r="A493" i="15"/>
  <c r="A492" i="15"/>
  <c r="A491" i="15"/>
  <c r="A490" i="15"/>
  <c r="A489" i="15"/>
  <c r="A488" i="15"/>
  <c r="A487" i="15"/>
  <c r="A486" i="15"/>
  <c r="A485" i="15"/>
  <c r="A484" i="15"/>
  <c r="A483" i="15"/>
  <c r="A482" i="15"/>
  <c r="A481" i="15"/>
  <c r="A480" i="15"/>
  <c r="A479" i="15"/>
  <c r="A478" i="15"/>
  <c r="A477" i="15"/>
  <c r="A476" i="15"/>
  <c r="A475" i="15"/>
  <c r="A474" i="15"/>
  <c r="A473" i="15"/>
  <c r="A472" i="15"/>
  <c r="A471" i="15"/>
  <c r="A470" i="15"/>
  <c r="A469" i="15"/>
  <c r="A468" i="15"/>
  <c r="A467" i="15"/>
  <c r="A466" i="15"/>
  <c r="A465" i="15"/>
  <c r="A464" i="15"/>
  <c r="A463" i="15"/>
  <c r="A462" i="15"/>
  <c r="A461" i="15"/>
  <c r="A460" i="15"/>
  <c r="A459" i="15"/>
  <c r="A458" i="15"/>
  <c r="A457" i="15"/>
  <c r="A456" i="15"/>
  <c r="A455" i="15"/>
  <c r="A454" i="15"/>
  <c r="A453" i="15"/>
  <c r="A452" i="15"/>
  <c r="A451" i="15"/>
  <c r="A450" i="15"/>
  <c r="A449" i="15"/>
  <c r="A448" i="15"/>
  <c r="A447" i="15"/>
  <c r="A446" i="15"/>
  <c r="A445" i="15"/>
  <c r="A444" i="15"/>
  <c r="A443" i="15"/>
  <c r="A442" i="15"/>
  <c r="A441" i="15"/>
  <c r="A440" i="15"/>
  <c r="A439" i="15"/>
  <c r="A438" i="15"/>
  <c r="A437" i="15"/>
  <c r="A436" i="15"/>
  <c r="A435" i="15"/>
  <c r="A434" i="15"/>
  <c r="A433" i="15"/>
  <c r="A432" i="15"/>
  <c r="A431" i="15"/>
  <c r="A430" i="15"/>
  <c r="A429" i="15"/>
  <c r="A428" i="15"/>
  <c r="A427" i="15"/>
  <c r="A426" i="15"/>
  <c r="A425" i="15"/>
  <c r="A424" i="15"/>
  <c r="A423" i="15"/>
  <c r="A422" i="15"/>
  <c r="A421" i="15"/>
  <c r="A420" i="15"/>
  <c r="A419" i="15"/>
  <c r="A418" i="15"/>
  <c r="A417" i="15"/>
  <c r="A416" i="15"/>
  <c r="A415" i="15"/>
  <c r="A414" i="15"/>
  <c r="A413" i="15"/>
  <c r="A412" i="15"/>
  <c r="A411" i="15"/>
  <c r="A410" i="15"/>
  <c r="A409" i="15"/>
  <c r="A408" i="15"/>
  <c r="A407" i="15"/>
  <c r="A406" i="15"/>
  <c r="A405" i="15"/>
  <c r="A404" i="15"/>
  <c r="A403" i="15"/>
  <c r="A402" i="15"/>
  <c r="A401" i="15"/>
  <c r="A400" i="15"/>
  <c r="A399" i="15"/>
  <c r="A398" i="15"/>
  <c r="A397" i="15"/>
  <c r="A396" i="15"/>
  <c r="A395" i="15"/>
  <c r="A394" i="15"/>
  <c r="A393" i="15"/>
  <c r="A392" i="15"/>
  <c r="A391" i="15"/>
  <c r="A390" i="15"/>
  <c r="A389" i="15"/>
  <c r="A388" i="15"/>
  <c r="A387" i="15"/>
  <c r="A386" i="15"/>
  <c r="A385" i="15"/>
  <c r="A384" i="15"/>
  <c r="A383" i="15"/>
  <c r="A382" i="15"/>
  <c r="A381" i="15"/>
  <c r="A380" i="15"/>
  <c r="A379" i="15"/>
  <c r="A378" i="15"/>
  <c r="A377" i="15"/>
  <c r="A376" i="15"/>
  <c r="A375" i="15"/>
  <c r="A374" i="15"/>
  <c r="A373" i="15"/>
  <c r="A372" i="15"/>
  <c r="A371" i="15"/>
  <c r="A370" i="15"/>
  <c r="A369" i="15"/>
  <c r="A368" i="15"/>
  <c r="A367" i="15"/>
  <c r="A366" i="15"/>
  <c r="A365" i="15"/>
  <c r="A364" i="15"/>
  <c r="A363" i="15"/>
  <c r="A362" i="15"/>
  <c r="A361" i="15"/>
  <c r="A360" i="15"/>
  <c r="A359" i="15"/>
  <c r="A358" i="15"/>
  <c r="A357" i="15"/>
  <c r="A356" i="15"/>
  <c r="A355" i="15"/>
  <c r="A354" i="15"/>
  <c r="A353" i="15"/>
  <c r="A352" i="15"/>
  <c r="A351" i="15"/>
  <c r="A350" i="15"/>
  <c r="A349" i="15"/>
  <c r="A348" i="15"/>
  <c r="A347" i="15"/>
  <c r="A346" i="15"/>
  <c r="A345" i="15"/>
  <c r="A344" i="15"/>
  <c r="A343" i="15"/>
  <c r="A342" i="15"/>
  <c r="A341" i="15"/>
  <c r="A340" i="15"/>
  <c r="A339" i="15"/>
  <c r="A338" i="15"/>
  <c r="A337" i="15"/>
  <c r="A336" i="15"/>
  <c r="A335" i="15"/>
  <c r="A334" i="15"/>
  <c r="A333" i="15"/>
  <c r="A332" i="15"/>
  <c r="A331" i="15"/>
  <c r="A330" i="15"/>
  <c r="A329" i="15"/>
  <c r="A328" i="15"/>
  <c r="A327" i="15"/>
  <c r="A326" i="15"/>
  <c r="A325" i="15"/>
  <c r="A324" i="15"/>
  <c r="A323" i="15"/>
  <c r="A322" i="15"/>
  <c r="A321" i="15"/>
  <c r="A320" i="15"/>
  <c r="A319" i="15"/>
  <c r="A318" i="15"/>
  <c r="A317" i="15"/>
  <c r="A316" i="15"/>
  <c r="A315" i="15"/>
  <c r="A314" i="15"/>
  <c r="A313" i="15"/>
  <c r="A312" i="15"/>
  <c r="A311" i="15"/>
  <c r="A310" i="15"/>
  <c r="A309" i="15"/>
  <c r="A308" i="15"/>
  <c r="A307" i="15"/>
  <c r="A306" i="15"/>
  <c r="A305" i="15"/>
  <c r="A304" i="15"/>
  <c r="A303" i="15"/>
  <c r="A302" i="15"/>
  <c r="A301" i="15"/>
  <c r="A300" i="15"/>
  <c r="A299" i="15"/>
  <c r="A298" i="15"/>
  <c r="A297" i="15"/>
  <c r="A296" i="15"/>
  <c r="A295" i="15"/>
  <c r="A294" i="15"/>
  <c r="A293" i="15"/>
  <c r="A292" i="15"/>
  <c r="A291" i="15"/>
  <c r="A290" i="15"/>
  <c r="A289" i="15"/>
  <c r="A288" i="15"/>
  <c r="A287" i="15"/>
  <c r="A286" i="15"/>
  <c r="A285" i="15"/>
  <c r="A284" i="15"/>
  <c r="A283" i="15"/>
  <c r="A282" i="15"/>
  <c r="A281" i="15"/>
  <c r="A280" i="15"/>
  <c r="A279" i="15"/>
  <c r="A278" i="15"/>
  <c r="A277" i="15"/>
  <c r="A276" i="15"/>
  <c r="A275" i="15"/>
  <c r="A274" i="15"/>
  <c r="A273" i="15"/>
  <c r="A272" i="15"/>
  <c r="A271" i="15"/>
  <c r="A270" i="15"/>
  <c r="A269" i="15"/>
  <c r="A268" i="15"/>
  <c r="A267" i="15"/>
  <c r="A266" i="15"/>
  <c r="A265" i="15"/>
  <c r="A264" i="15"/>
  <c r="A263" i="15"/>
  <c r="A262" i="15"/>
  <c r="A261" i="15"/>
  <c r="A260" i="15"/>
  <c r="A259" i="15"/>
  <c r="A258" i="15"/>
  <c r="A257" i="15"/>
  <c r="A256" i="15"/>
  <c r="A255" i="15"/>
  <c r="A254" i="15"/>
  <c r="A253" i="15"/>
  <c r="A252" i="15"/>
  <c r="A251" i="15"/>
  <c r="A250" i="15"/>
  <c r="A249" i="15"/>
  <c r="A248" i="15"/>
  <c r="A247" i="15"/>
  <c r="A246" i="15"/>
  <c r="A245" i="15"/>
  <c r="A244" i="15"/>
  <c r="A243" i="15"/>
  <c r="A242" i="15"/>
  <c r="A241" i="15"/>
  <c r="A240" i="15"/>
  <c r="A239" i="15"/>
  <c r="A238" i="15"/>
  <c r="A237" i="15"/>
  <c r="A236" i="15"/>
  <c r="A235" i="15"/>
  <c r="A234" i="15"/>
  <c r="A233" i="15"/>
  <c r="A232" i="15"/>
  <c r="A231" i="15"/>
  <c r="A230" i="15"/>
  <c r="A229" i="15"/>
  <c r="A228" i="15"/>
  <c r="A227" i="15"/>
  <c r="A226" i="15"/>
  <c r="A225" i="15"/>
  <c r="A224" i="15"/>
  <c r="A223" i="15"/>
  <c r="A222" i="15"/>
  <c r="A221" i="15"/>
  <c r="A220" i="15"/>
  <c r="A219" i="15"/>
  <c r="A218" i="15"/>
  <c r="A217" i="15"/>
  <c r="A216" i="15"/>
  <c r="A215" i="15"/>
  <c r="A214" i="15"/>
  <c r="A213" i="15"/>
  <c r="A212" i="15"/>
  <c r="A211" i="15"/>
  <c r="A210" i="15"/>
  <c r="A209" i="15"/>
  <c r="A208" i="15"/>
  <c r="A207" i="15"/>
  <c r="A206" i="15"/>
  <c r="A205" i="15"/>
  <c r="A204" i="15"/>
  <c r="A203" i="15"/>
  <c r="A202" i="15"/>
  <c r="A201" i="15"/>
  <c r="A200" i="15"/>
  <c r="A199" i="15"/>
  <c r="A198" i="15"/>
  <c r="A197" i="15"/>
  <c r="A196" i="15"/>
  <c r="A195" i="15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79" i="15"/>
  <c r="A178" i="15"/>
  <c r="A177" i="15"/>
  <c r="A176" i="15"/>
  <c r="A175" i="15"/>
  <c r="A174" i="15"/>
  <c r="A173" i="15"/>
  <c r="A172" i="15"/>
  <c r="A171" i="15"/>
  <c r="A170" i="15"/>
  <c r="A169" i="15"/>
  <c r="A168" i="15"/>
  <c r="A167" i="15"/>
  <c r="A166" i="15"/>
  <c r="A165" i="15"/>
  <c r="A164" i="15"/>
  <c r="A163" i="15"/>
  <c r="A162" i="15"/>
  <c r="A161" i="15"/>
  <c r="A160" i="15"/>
  <c r="A159" i="15"/>
  <c r="A158" i="15"/>
  <c r="A157" i="15"/>
  <c r="A156" i="15"/>
  <c r="A155" i="15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39" i="15"/>
  <c r="A138" i="15"/>
  <c r="A137" i="15"/>
  <c r="A136" i="15"/>
  <c r="A135" i="15"/>
  <c r="A134" i="15"/>
  <c r="A133" i="15"/>
  <c r="A132" i="15"/>
  <c r="A131" i="15"/>
  <c r="A130" i="15"/>
  <c r="A129" i="15"/>
  <c r="A128" i="15"/>
  <c r="A127" i="15"/>
  <c r="A126" i="15"/>
  <c r="A125" i="15"/>
  <c r="A124" i="15"/>
  <c r="A123" i="15"/>
  <c r="A122" i="15"/>
  <c r="A121" i="15"/>
  <c r="A120" i="15"/>
  <c r="A119" i="15"/>
  <c r="A118" i="15"/>
  <c r="A117" i="15"/>
  <c r="A116" i="15"/>
  <c r="A115" i="15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9" i="15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11" i="15"/>
  <c r="A10" i="15"/>
  <c r="A9" i="15"/>
  <c r="A8" i="15"/>
  <c r="A7" i="15"/>
  <c r="A6" i="15"/>
  <c r="A5" i="15"/>
  <c r="A4" i="15"/>
  <c r="A3" i="15"/>
  <c r="A911" i="14"/>
  <c r="A910" i="14"/>
  <c r="A909" i="14"/>
  <c r="A908" i="14"/>
  <c r="A907" i="14"/>
  <c r="A906" i="14"/>
  <c r="A905" i="14"/>
  <c r="A904" i="14"/>
  <c r="A903" i="14"/>
  <c r="A902" i="14"/>
  <c r="A901" i="14"/>
  <c r="A900" i="14"/>
  <c r="A899" i="14"/>
  <c r="A898" i="14"/>
  <c r="A897" i="14"/>
  <c r="A896" i="14"/>
  <c r="A895" i="14"/>
  <c r="A894" i="14"/>
  <c r="A893" i="14"/>
  <c r="A892" i="14"/>
  <c r="A891" i="14"/>
  <c r="A890" i="14"/>
  <c r="A889" i="14"/>
  <c r="A888" i="14"/>
  <c r="A887" i="14"/>
  <c r="A886" i="14"/>
  <c r="A885" i="14"/>
  <c r="A884" i="14"/>
  <c r="A883" i="14"/>
  <c r="A882" i="14"/>
  <c r="A881" i="14"/>
  <c r="A880" i="14"/>
  <c r="A879" i="14"/>
  <c r="A878" i="14"/>
  <c r="A877" i="14"/>
  <c r="A876" i="14"/>
  <c r="A875" i="14"/>
  <c r="A874" i="14"/>
  <c r="A873" i="14"/>
  <c r="A872" i="14"/>
  <c r="A871" i="14"/>
  <c r="A870" i="14"/>
  <c r="A869" i="14"/>
  <c r="A868" i="14"/>
  <c r="A867" i="14"/>
  <c r="A866" i="14"/>
  <c r="A865" i="14"/>
  <c r="A864" i="14"/>
  <c r="A863" i="14"/>
  <c r="A862" i="14"/>
  <c r="A861" i="14"/>
  <c r="A860" i="14"/>
  <c r="A859" i="14"/>
  <c r="A858" i="14"/>
  <c r="A857" i="14"/>
  <c r="A856" i="14"/>
  <c r="A855" i="14"/>
  <c r="A854" i="14"/>
  <c r="A853" i="14"/>
  <c r="A852" i="14"/>
  <c r="A851" i="14"/>
  <c r="A850" i="14"/>
  <c r="A849" i="14"/>
  <c r="A848" i="14"/>
  <c r="A847" i="14"/>
  <c r="A846" i="14"/>
  <c r="A845" i="14"/>
  <c r="A844" i="14"/>
  <c r="A843" i="14"/>
  <c r="A842" i="14"/>
  <c r="A841" i="14"/>
  <c r="A840" i="14"/>
  <c r="A839" i="14"/>
  <c r="A838" i="14"/>
  <c r="A837" i="14"/>
  <c r="A836" i="14"/>
  <c r="A835" i="14"/>
  <c r="A834" i="14"/>
  <c r="A833" i="14"/>
  <c r="A832" i="14"/>
  <c r="A831" i="14"/>
  <c r="A830" i="14"/>
  <c r="A829" i="14"/>
  <c r="A828" i="14"/>
  <c r="A827" i="14"/>
  <c r="A826" i="14"/>
  <c r="A825" i="14"/>
  <c r="A824" i="14"/>
  <c r="A823" i="14"/>
  <c r="A822" i="14"/>
  <c r="A821" i="14"/>
  <c r="A820" i="14"/>
  <c r="A819" i="14"/>
  <c r="A818" i="14"/>
  <c r="A817" i="14"/>
  <c r="A816" i="14"/>
  <c r="A815" i="14"/>
  <c r="A814" i="14"/>
  <c r="A813" i="14"/>
  <c r="A812" i="14"/>
  <c r="A811" i="14"/>
  <c r="A810" i="14"/>
  <c r="A809" i="14"/>
  <c r="A808" i="14"/>
  <c r="A807" i="14"/>
  <c r="A806" i="14"/>
  <c r="A805" i="14"/>
  <c r="A804" i="14"/>
  <c r="A803" i="14"/>
  <c r="A802" i="14"/>
  <c r="A801" i="14"/>
  <c r="A800" i="14"/>
  <c r="A799" i="14"/>
  <c r="A798" i="14"/>
  <c r="A797" i="14"/>
  <c r="A796" i="14"/>
  <c r="A795" i="14"/>
  <c r="A794" i="14"/>
  <c r="A793" i="14"/>
  <c r="A792" i="14"/>
  <c r="A791" i="14"/>
  <c r="A790" i="14"/>
  <c r="A789" i="14"/>
  <c r="A788" i="14"/>
  <c r="A787" i="14"/>
  <c r="A786" i="14"/>
  <c r="A785" i="14"/>
  <c r="A784" i="14"/>
  <c r="A783" i="14"/>
  <c r="A782" i="14"/>
  <c r="A781" i="14"/>
  <c r="A780" i="14"/>
  <c r="A779" i="14"/>
  <c r="A778" i="14"/>
  <c r="A777" i="14"/>
  <c r="A776" i="14"/>
  <c r="A775" i="14"/>
  <c r="A774" i="14"/>
  <c r="A773" i="14"/>
  <c r="A772" i="14"/>
  <c r="A771" i="14"/>
  <c r="A770" i="14"/>
  <c r="A769" i="14"/>
  <c r="A768" i="14"/>
  <c r="A767" i="14"/>
  <c r="A766" i="14"/>
  <c r="A765" i="14"/>
  <c r="A764" i="14"/>
  <c r="A763" i="14"/>
  <c r="A762" i="14"/>
  <c r="A761" i="14"/>
  <c r="A760" i="14"/>
  <c r="A759" i="14"/>
  <c r="A758" i="14"/>
  <c r="A757" i="14"/>
  <c r="A756" i="14"/>
  <c r="A755" i="14"/>
  <c r="A754" i="14"/>
  <c r="A753" i="14"/>
  <c r="A752" i="14"/>
  <c r="A751" i="14"/>
  <c r="A750" i="14"/>
  <c r="A749" i="14"/>
  <c r="A748" i="14"/>
  <c r="A747" i="14"/>
  <c r="A746" i="14"/>
  <c r="A745" i="14"/>
  <c r="A744" i="14"/>
  <c r="A743" i="14"/>
  <c r="A742" i="14"/>
  <c r="A741" i="14"/>
  <c r="A740" i="14"/>
  <c r="A739" i="14"/>
  <c r="A738" i="14"/>
  <c r="A737" i="14"/>
  <c r="A736" i="14"/>
  <c r="A735" i="14"/>
  <c r="A734" i="14"/>
  <c r="A733" i="14"/>
  <c r="A732" i="14"/>
  <c r="A731" i="14"/>
  <c r="A730" i="14"/>
  <c r="A729" i="14"/>
  <c r="A728" i="14"/>
  <c r="A727" i="14"/>
  <c r="A726" i="14"/>
  <c r="A725" i="14"/>
  <c r="A724" i="14"/>
  <c r="A723" i="14"/>
  <c r="A722" i="14"/>
  <c r="A721" i="14"/>
  <c r="A720" i="14"/>
  <c r="A719" i="14"/>
  <c r="A718" i="14"/>
  <c r="A717" i="14"/>
  <c r="A716" i="14"/>
  <c r="A715" i="14"/>
  <c r="A714" i="14"/>
  <c r="A713" i="14"/>
  <c r="A712" i="14"/>
  <c r="A711" i="14"/>
  <c r="A710" i="14"/>
  <c r="A709" i="14"/>
  <c r="A708" i="14"/>
  <c r="A707" i="14"/>
  <c r="A706" i="14"/>
  <c r="A705" i="14"/>
  <c r="A704" i="14"/>
  <c r="A703" i="14"/>
  <c r="A702" i="14"/>
  <c r="A701" i="14"/>
  <c r="A700" i="14"/>
  <c r="A699" i="14"/>
  <c r="A698" i="14"/>
  <c r="A697" i="14"/>
  <c r="A696" i="14"/>
  <c r="A695" i="14"/>
  <c r="A694" i="14"/>
  <c r="A693" i="14"/>
  <c r="A692" i="14"/>
  <c r="A691" i="14"/>
  <c r="A690" i="14"/>
  <c r="A689" i="14"/>
  <c r="A688" i="14"/>
  <c r="A687" i="14"/>
  <c r="A686" i="14"/>
  <c r="A685" i="14"/>
  <c r="A684" i="14"/>
  <c r="A683" i="14"/>
  <c r="A682" i="14"/>
  <c r="A681" i="14"/>
  <c r="A680" i="14"/>
  <c r="A679" i="14"/>
  <c r="A678" i="14"/>
  <c r="A677" i="14"/>
  <c r="A676" i="14"/>
  <c r="A675" i="14"/>
  <c r="A674" i="14"/>
  <c r="A673" i="14"/>
  <c r="A672" i="14"/>
  <c r="A671" i="14"/>
  <c r="A670" i="14"/>
  <c r="A669" i="14"/>
  <c r="A668" i="14"/>
  <c r="A667" i="14"/>
  <c r="A666" i="14"/>
  <c r="A665" i="14"/>
  <c r="A664" i="14"/>
  <c r="A663" i="14"/>
  <c r="A662" i="14"/>
  <c r="A661" i="14"/>
  <c r="A660" i="14"/>
  <c r="A659" i="14"/>
  <c r="A658" i="14"/>
  <c r="A657" i="14"/>
  <c r="A656" i="14"/>
  <c r="A655" i="14"/>
  <c r="A654" i="14"/>
  <c r="A653" i="14"/>
  <c r="A652" i="14"/>
  <c r="A651" i="14"/>
  <c r="A650" i="14"/>
  <c r="A649" i="14"/>
  <c r="A648" i="14"/>
  <c r="A647" i="14"/>
  <c r="A646" i="14"/>
  <c r="A645" i="14"/>
  <c r="A644" i="14"/>
  <c r="A643" i="14"/>
  <c r="A642" i="14"/>
  <c r="A641" i="14"/>
  <c r="A640" i="14"/>
  <c r="A639" i="14"/>
  <c r="A638" i="14"/>
  <c r="A637" i="14"/>
  <c r="A636" i="14"/>
  <c r="A635" i="14"/>
  <c r="A634" i="14"/>
  <c r="A633" i="14"/>
  <c r="A632" i="14"/>
  <c r="A631" i="14"/>
  <c r="A630" i="14"/>
  <c r="A629" i="14"/>
  <c r="A628" i="14"/>
  <c r="A627" i="14"/>
  <c r="A626" i="14"/>
  <c r="A625" i="14"/>
  <c r="A624" i="14"/>
  <c r="A623" i="14"/>
  <c r="A622" i="14"/>
  <c r="A621" i="14"/>
  <c r="A620" i="14"/>
  <c r="A619" i="14"/>
  <c r="A618" i="14"/>
  <c r="A617" i="14"/>
  <c r="A616" i="14"/>
  <c r="A615" i="14"/>
  <c r="A614" i="14"/>
  <c r="A613" i="14"/>
  <c r="A612" i="14"/>
  <c r="A611" i="14"/>
  <c r="A610" i="14"/>
  <c r="A609" i="14"/>
  <c r="A608" i="14"/>
  <c r="A607" i="14"/>
  <c r="A606" i="14"/>
  <c r="A605" i="14"/>
  <c r="A604" i="14"/>
  <c r="A603" i="14"/>
  <c r="A602" i="14"/>
  <c r="A601" i="14"/>
  <c r="A600" i="14"/>
  <c r="A599" i="14"/>
  <c r="A598" i="14"/>
  <c r="A597" i="14"/>
  <c r="A596" i="14"/>
  <c r="A595" i="14"/>
  <c r="A594" i="14"/>
  <c r="A593" i="14"/>
  <c r="A592" i="14"/>
  <c r="A591" i="14"/>
  <c r="A590" i="14"/>
  <c r="A589" i="14"/>
  <c r="A588" i="14"/>
  <c r="A587" i="14"/>
  <c r="A586" i="14"/>
  <c r="A585" i="14"/>
  <c r="A584" i="14"/>
  <c r="A583" i="14"/>
  <c r="A582" i="14"/>
  <c r="A581" i="14"/>
  <c r="A580" i="14"/>
  <c r="A579" i="14"/>
  <c r="A578" i="14"/>
  <c r="A577" i="14"/>
  <c r="A576" i="14"/>
  <c r="A575" i="14"/>
  <c r="A574" i="14"/>
  <c r="A573" i="14"/>
  <c r="A572" i="14"/>
  <c r="A571" i="14"/>
  <c r="A570" i="14"/>
  <c r="A569" i="14"/>
  <c r="A568" i="14"/>
  <c r="A567" i="14"/>
  <c r="A566" i="14"/>
  <c r="A565" i="14"/>
  <c r="A564" i="14"/>
  <c r="A563" i="14"/>
  <c r="A562" i="14"/>
  <c r="A561" i="14"/>
  <c r="A560" i="14"/>
  <c r="A559" i="14"/>
  <c r="A558" i="14"/>
  <c r="A557" i="14"/>
  <c r="A556" i="14"/>
  <c r="A555" i="14"/>
  <c r="A554" i="14"/>
  <c r="A553" i="14"/>
  <c r="A552" i="14"/>
  <c r="A551" i="14"/>
  <c r="A550" i="14"/>
  <c r="A549" i="14"/>
  <c r="A548" i="14"/>
  <c r="A547" i="14"/>
  <c r="A546" i="14"/>
  <c r="A545" i="14"/>
  <c r="A544" i="14"/>
  <c r="A543" i="14"/>
  <c r="A542" i="14"/>
  <c r="A541" i="14"/>
  <c r="A540" i="14"/>
  <c r="A539" i="14"/>
  <c r="A538" i="14"/>
  <c r="A537" i="14"/>
  <c r="A536" i="14"/>
  <c r="A535" i="14"/>
  <c r="A534" i="14"/>
  <c r="A533" i="14"/>
  <c r="A532" i="14"/>
  <c r="A531" i="14"/>
  <c r="A530" i="14"/>
  <c r="A529" i="14"/>
  <c r="A528" i="14"/>
  <c r="A527" i="14"/>
  <c r="A526" i="14"/>
  <c r="A525" i="14"/>
  <c r="A524" i="14"/>
  <c r="A523" i="14"/>
  <c r="A522" i="14"/>
  <c r="A521" i="14"/>
  <c r="A520" i="14"/>
  <c r="A519" i="14"/>
  <c r="A518" i="14"/>
  <c r="A517" i="14"/>
  <c r="A516" i="14"/>
  <c r="A515" i="14"/>
  <c r="A514" i="14"/>
  <c r="A513" i="14"/>
  <c r="A512" i="14"/>
  <c r="A511" i="14"/>
  <c r="A510" i="14"/>
  <c r="A509" i="14"/>
  <c r="A508" i="14"/>
  <c r="A507" i="14"/>
  <c r="A506" i="14"/>
  <c r="A505" i="14"/>
  <c r="A504" i="14"/>
  <c r="A503" i="14"/>
  <c r="A502" i="14"/>
  <c r="A501" i="14"/>
  <c r="A500" i="14"/>
  <c r="A499" i="14"/>
  <c r="A498" i="14"/>
  <c r="A497" i="14"/>
  <c r="A496" i="14"/>
  <c r="A495" i="14"/>
  <c r="A494" i="14"/>
  <c r="A493" i="14"/>
  <c r="A492" i="14"/>
  <c r="A491" i="14"/>
  <c r="A490" i="14"/>
  <c r="A489" i="14"/>
  <c r="A488" i="14"/>
  <c r="A487" i="14"/>
  <c r="A486" i="14"/>
  <c r="A485" i="14"/>
  <c r="A484" i="14"/>
  <c r="A483" i="14"/>
  <c r="A482" i="14"/>
  <c r="A481" i="14"/>
  <c r="A480" i="14"/>
  <c r="A479" i="14"/>
  <c r="A478" i="14"/>
  <c r="A477" i="14"/>
  <c r="A476" i="14"/>
  <c r="A475" i="14"/>
  <c r="A474" i="14"/>
  <c r="A473" i="14"/>
  <c r="A472" i="14"/>
  <c r="A471" i="14"/>
  <c r="A470" i="14"/>
  <c r="A469" i="14"/>
  <c r="A468" i="14"/>
  <c r="A467" i="14"/>
  <c r="A466" i="14"/>
  <c r="A465" i="14"/>
  <c r="A464" i="14"/>
  <c r="A463" i="14"/>
  <c r="A462" i="14"/>
  <c r="A461" i="14"/>
  <c r="A460" i="14"/>
  <c r="A459" i="14"/>
  <c r="A458" i="14"/>
  <c r="A457" i="14"/>
  <c r="A456" i="14"/>
  <c r="A455" i="14"/>
  <c r="A454" i="14"/>
  <c r="A453" i="14"/>
  <c r="A452" i="14"/>
  <c r="A451" i="14"/>
  <c r="A450" i="14"/>
  <c r="A449" i="14"/>
  <c r="A448" i="14"/>
  <c r="A447" i="14"/>
  <c r="A446" i="14"/>
  <c r="A445" i="14"/>
  <c r="A444" i="14"/>
  <c r="A443" i="14"/>
  <c r="A442" i="14"/>
  <c r="A441" i="14"/>
  <c r="A440" i="14"/>
  <c r="A439" i="14"/>
  <c r="A438" i="14"/>
  <c r="A437" i="14"/>
  <c r="A436" i="14"/>
  <c r="A435" i="14"/>
  <c r="A434" i="14"/>
  <c r="A433" i="14"/>
  <c r="A432" i="14"/>
  <c r="A431" i="14"/>
  <c r="A430" i="14"/>
  <c r="A429" i="14"/>
  <c r="A428" i="14"/>
  <c r="A427" i="14"/>
  <c r="A426" i="14"/>
  <c r="A425" i="14"/>
  <c r="A424" i="14"/>
  <c r="A423" i="14"/>
  <c r="A422" i="14"/>
  <c r="A421" i="14"/>
  <c r="A420" i="14"/>
  <c r="A419" i="14"/>
  <c r="A418" i="14"/>
  <c r="A417" i="14"/>
  <c r="A416" i="14"/>
  <c r="A415" i="14"/>
  <c r="A414" i="14"/>
  <c r="A413" i="14"/>
  <c r="A412" i="14"/>
  <c r="A411" i="14"/>
  <c r="A410" i="14"/>
  <c r="A409" i="14"/>
  <c r="A408" i="14"/>
  <c r="A407" i="14"/>
  <c r="A406" i="14"/>
  <c r="A405" i="14"/>
  <c r="A404" i="14"/>
  <c r="A403" i="14"/>
  <c r="A402" i="14"/>
  <c r="A401" i="14"/>
  <c r="A400" i="14"/>
  <c r="A399" i="14"/>
  <c r="A398" i="14"/>
  <c r="A397" i="14"/>
  <c r="A396" i="14"/>
  <c r="A395" i="14"/>
  <c r="A394" i="14"/>
  <c r="A393" i="14"/>
  <c r="A392" i="14"/>
  <c r="A391" i="14"/>
  <c r="A390" i="14"/>
  <c r="A389" i="14"/>
  <c r="A388" i="14"/>
  <c r="A387" i="14"/>
  <c r="A386" i="14"/>
  <c r="A385" i="14"/>
  <c r="A384" i="14"/>
  <c r="A383" i="14"/>
  <c r="A382" i="14"/>
  <c r="A381" i="14"/>
  <c r="A380" i="14"/>
  <c r="A379" i="14"/>
  <c r="A378" i="14"/>
  <c r="A377" i="14"/>
  <c r="A376" i="14"/>
  <c r="A375" i="14"/>
  <c r="A374" i="14"/>
  <c r="A373" i="14"/>
  <c r="A372" i="14"/>
  <c r="A371" i="14"/>
  <c r="A370" i="14"/>
  <c r="A369" i="14"/>
  <c r="A368" i="14"/>
  <c r="A367" i="14"/>
  <c r="A366" i="14"/>
  <c r="A365" i="14"/>
  <c r="A364" i="14"/>
  <c r="A363" i="14"/>
  <c r="A362" i="14"/>
  <c r="A361" i="14"/>
  <c r="A360" i="14"/>
  <c r="A359" i="14"/>
  <c r="A358" i="14"/>
  <c r="A357" i="14"/>
  <c r="A356" i="14"/>
  <c r="A355" i="14"/>
  <c r="A354" i="14"/>
  <c r="A353" i="14"/>
  <c r="A352" i="14"/>
  <c r="A351" i="14"/>
  <c r="A350" i="14"/>
  <c r="A349" i="14"/>
  <c r="A348" i="14"/>
  <c r="A347" i="14"/>
  <c r="A346" i="14"/>
  <c r="A345" i="14"/>
  <c r="A344" i="14"/>
  <c r="A343" i="14"/>
  <c r="A342" i="14"/>
  <c r="A341" i="14"/>
  <c r="A340" i="14"/>
  <c r="A339" i="14"/>
  <c r="A338" i="14"/>
  <c r="A337" i="14"/>
  <c r="A336" i="14"/>
  <c r="A335" i="14"/>
  <c r="A334" i="14"/>
  <c r="A333" i="14"/>
  <c r="A332" i="14"/>
  <c r="A331" i="14"/>
  <c r="A330" i="14"/>
  <c r="A329" i="14"/>
  <c r="A328" i="14"/>
  <c r="A327" i="14"/>
  <c r="A326" i="14"/>
  <c r="A325" i="14"/>
  <c r="A324" i="14"/>
  <c r="A323" i="14"/>
  <c r="A322" i="14"/>
  <c r="A321" i="14"/>
  <c r="A320" i="14"/>
  <c r="A319" i="14"/>
  <c r="A318" i="14"/>
  <c r="A317" i="14"/>
  <c r="A316" i="14"/>
  <c r="A315" i="14"/>
  <c r="A314" i="14"/>
  <c r="A313" i="14"/>
  <c r="A312" i="14"/>
  <c r="A311" i="14"/>
  <c r="A310" i="14"/>
  <c r="A309" i="14"/>
  <c r="A308" i="14"/>
  <c r="A307" i="14"/>
  <c r="A306" i="14"/>
  <c r="A305" i="14"/>
  <c r="A304" i="14"/>
  <c r="A303" i="14"/>
  <c r="A302" i="14"/>
  <c r="A301" i="14"/>
  <c r="A300" i="14"/>
  <c r="A299" i="14"/>
  <c r="A298" i="14"/>
  <c r="A297" i="14"/>
  <c r="A296" i="14"/>
  <c r="A295" i="14"/>
  <c r="A294" i="14"/>
  <c r="A293" i="14"/>
  <c r="A292" i="14"/>
  <c r="A291" i="14"/>
  <c r="A290" i="14"/>
  <c r="A289" i="14"/>
  <c r="A288" i="14"/>
  <c r="A287" i="14"/>
  <c r="A286" i="14"/>
  <c r="A285" i="14"/>
  <c r="A284" i="14"/>
  <c r="A283" i="14"/>
  <c r="A282" i="14"/>
  <c r="A281" i="14"/>
  <c r="A280" i="14"/>
  <c r="A279" i="14"/>
  <c r="A278" i="14"/>
  <c r="A277" i="14"/>
  <c r="A276" i="14"/>
  <c r="A275" i="14"/>
  <c r="A274" i="14"/>
  <c r="A273" i="14"/>
  <c r="A272" i="14"/>
  <c r="A271" i="14"/>
  <c r="A270" i="14"/>
  <c r="A269" i="14"/>
  <c r="A268" i="14"/>
  <c r="A267" i="14"/>
  <c r="A266" i="14"/>
  <c r="A265" i="14"/>
  <c r="A264" i="14"/>
  <c r="A263" i="14"/>
  <c r="A262" i="14"/>
  <c r="A261" i="14"/>
  <c r="A260" i="14"/>
  <c r="A259" i="14"/>
  <c r="A258" i="14"/>
  <c r="A257" i="14"/>
  <c r="A256" i="14"/>
  <c r="A255" i="14"/>
  <c r="A254" i="14"/>
  <c r="A253" i="14"/>
  <c r="A252" i="14"/>
  <c r="A251" i="14"/>
  <c r="A250" i="14"/>
  <c r="A249" i="14"/>
  <c r="A248" i="14"/>
  <c r="A247" i="14"/>
  <c r="A246" i="14"/>
  <c r="A245" i="14"/>
  <c r="A244" i="14"/>
  <c r="A243" i="14"/>
  <c r="A242" i="14"/>
  <c r="A241" i="14"/>
  <c r="A240" i="14"/>
  <c r="A239" i="14"/>
  <c r="A238" i="14"/>
  <c r="A237" i="14"/>
  <c r="A236" i="14"/>
  <c r="A235" i="14"/>
  <c r="A234" i="14"/>
  <c r="A233" i="14"/>
  <c r="A232" i="14"/>
  <c r="A231" i="14"/>
  <c r="A230" i="14"/>
  <c r="A229" i="14"/>
  <c r="A228" i="14"/>
  <c r="A227" i="14"/>
  <c r="A226" i="14"/>
  <c r="A225" i="14"/>
  <c r="A224" i="14"/>
  <c r="A223" i="14"/>
  <c r="A222" i="14"/>
  <c r="A221" i="14"/>
  <c r="A220" i="14"/>
  <c r="A219" i="14"/>
  <c r="A218" i="14"/>
  <c r="A217" i="14"/>
  <c r="A216" i="14"/>
  <c r="A215" i="14"/>
  <c r="A214" i="14"/>
  <c r="A213" i="14"/>
  <c r="A212" i="14"/>
  <c r="A211" i="14"/>
  <c r="A210" i="14"/>
  <c r="A209" i="14"/>
  <c r="A208" i="14"/>
  <c r="A207" i="14"/>
  <c r="A206" i="14"/>
  <c r="A205" i="14"/>
  <c r="A204" i="14"/>
  <c r="A203" i="14"/>
  <c r="A202" i="14"/>
  <c r="A201" i="14"/>
  <c r="A200" i="14"/>
  <c r="A199" i="14"/>
  <c r="A198" i="14"/>
  <c r="A197" i="14"/>
  <c r="A196" i="14"/>
  <c r="A195" i="14"/>
  <c r="A194" i="14"/>
  <c r="A193" i="14"/>
  <c r="A192" i="14"/>
  <c r="A191" i="14"/>
  <c r="A190" i="14"/>
  <c r="A189" i="14"/>
  <c r="A188" i="14"/>
  <c r="A187" i="14"/>
  <c r="A186" i="14"/>
  <c r="A185" i="14"/>
  <c r="A184" i="14"/>
  <c r="A183" i="14"/>
  <c r="A182" i="14"/>
  <c r="A181" i="14"/>
  <c r="A180" i="14"/>
  <c r="A179" i="14"/>
  <c r="A178" i="14"/>
  <c r="A177" i="14"/>
  <c r="A176" i="14"/>
  <c r="A175" i="14"/>
  <c r="A174" i="14"/>
  <c r="A173" i="14"/>
  <c r="A172" i="14"/>
  <c r="A171" i="14"/>
  <c r="A170" i="14"/>
  <c r="A169" i="14"/>
  <c r="A168" i="14"/>
  <c r="A167" i="14"/>
  <c r="A166" i="14"/>
  <c r="A165" i="14"/>
  <c r="A164" i="14"/>
  <c r="A163" i="14"/>
  <c r="A162" i="14"/>
  <c r="A161" i="14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41" i="14"/>
  <c r="A140" i="14"/>
  <c r="A139" i="14"/>
  <c r="A138" i="14"/>
  <c r="A137" i="14"/>
  <c r="A136" i="14"/>
  <c r="A135" i="14"/>
  <c r="A134" i="14"/>
  <c r="A133" i="14"/>
  <c r="A132" i="14"/>
  <c r="A131" i="14"/>
  <c r="A130" i="14"/>
  <c r="A129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A108" i="14"/>
  <c r="A107" i="14"/>
  <c r="A106" i="14"/>
  <c r="A105" i="14"/>
  <c r="A104" i="14"/>
  <c r="A103" i="14"/>
  <c r="A102" i="14"/>
  <c r="A101" i="14"/>
  <c r="A100" i="14"/>
  <c r="A99" i="14"/>
  <c r="A98" i="14"/>
  <c r="A97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  <c r="A911" i="13"/>
  <c r="A910" i="13"/>
  <c r="A909" i="13"/>
  <c r="A908" i="13"/>
  <c r="A907" i="13"/>
  <c r="A906" i="13"/>
  <c r="A905" i="13"/>
  <c r="A904" i="13"/>
  <c r="A903" i="13"/>
  <c r="A902" i="13"/>
  <c r="A901" i="13"/>
  <c r="A900" i="13"/>
  <c r="A899" i="13"/>
  <c r="A898" i="13"/>
  <c r="A897" i="13"/>
  <c r="A896" i="13"/>
  <c r="A895" i="13"/>
  <c r="A894" i="13"/>
  <c r="A893" i="13"/>
  <c r="A892" i="13"/>
  <c r="A891" i="13"/>
  <c r="A890" i="13"/>
  <c r="A889" i="13"/>
  <c r="A888" i="13"/>
  <c r="A887" i="13"/>
  <c r="A886" i="13"/>
  <c r="A885" i="13"/>
  <c r="A884" i="13"/>
  <c r="A883" i="13"/>
  <c r="A882" i="13"/>
  <c r="A881" i="13"/>
  <c r="A880" i="13"/>
  <c r="A879" i="13"/>
  <c r="A878" i="13"/>
  <c r="A877" i="13"/>
  <c r="A876" i="13"/>
  <c r="A875" i="13"/>
  <c r="A874" i="13"/>
  <c r="A873" i="13"/>
  <c r="A872" i="13"/>
  <c r="A871" i="13"/>
  <c r="A870" i="13"/>
  <c r="A869" i="13"/>
  <c r="A868" i="13"/>
  <c r="A867" i="13"/>
  <c r="A866" i="13"/>
  <c r="A865" i="13"/>
  <c r="A864" i="13"/>
  <c r="A863" i="13"/>
  <c r="A862" i="13"/>
  <c r="A861" i="13"/>
  <c r="A860" i="13"/>
  <c r="A859" i="13"/>
  <c r="A858" i="13"/>
  <c r="A857" i="13"/>
  <c r="A856" i="13"/>
  <c r="A855" i="13"/>
  <c r="A854" i="13"/>
  <c r="A853" i="13"/>
  <c r="A852" i="13"/>
  <c r="A851" i="13"/>
  <c r="A850" i="13"/>
  <c r="A849" i="13"/>
  <c r="A848" i="13"/>
  <c r="A847" i="13"/>
  <c r="A846" i="13"/>
  <c r="A845" i="13"/>
  <c r="A844" i="13"/>
  <c r="A843" i="13"/>
  <c r="A842" i="13"/>
  <c r="A841" i="13"/>
  <c r="A840" i="13"/>
  <c r="A839" i="13"/>
  <c r="A838" i="13"/>
  <c r="A837" i="13"/>
  <c r="A836" i="13"/>
  <c r="A835" i="13"/>
  <c r="A834" i="13"/>
  <c r="A833" i="13"/>
  <c r="A832" i="13"/>
  <c r="A831" i="13"/>
  <c r="A830" i="13"/>
  <c r="A829" i="13"/>
  <c r="A828" i="13"/>
  <c r="A827" i="13"/>
  <c r="A826" i="13"/>
  <c r="A825" i="13"/>
  <c r="A824" i="13"/>
  <c r="A823" i="13"/>
  <c r="A822" i="13"/>
  <c r="A821" i="13"/>
  <c r="A820" i="13"/>
  <c r="A819" i="13"/>
  <c r="A818" i="13"/>
  <c r="A817" i="13"/>
  <c r="A816" i="13"/>
  <c r="A815" i="13"/>
  <c r="A814" i="13"/>
  <c r="A813" i="13"/>
  <c r="A812" i="13"/>
  <c r="A811" i="13"/>
  <c r="A810" i="13"/>
  <c r="A809" i="13"/>
  <c r="A808" i="13"/>
  <c r="A807" i="13"/>
  <c r="A806" i="13"/>
  <c r="A805" i="13"/>
  <c r="A804" i="13"/>
  <c r="A803" i="13"/>
  <c r="A802" i="13"/>
  <c r="A801" i="13"/>
  <c r="A800" i="13"/>
  <c r="A799" i="13"/>
  <c r="A798" i="13"/>
  <c r="A797" i="13"/>
  <c r="A796" i="13"/>
  <c r="A795" i="13"/>
  <c r="A794" i="13"/>
  <c r="A793" i="13"/>
  <c r="A792" i="13"/>
  <c r="A791" i="13"/>
  <c r="A790" i="13"/>
  <c r="A789" i="13"/>
  <c r="A788" i="13"/>
  <c r="A787" i="13"/>
  <c r="A786" i="13"/>
  <c r="A785" i="13"/>
  <c r="A784" i="13"/>
  <c r="A783" i="13"/>
  <c r="A782" i="13"/>
  <c r="A781" i="13"/>
  <c r="A780" i="13"/>
  <c r="A779" i="13"/>
  <c r="A778" i="13"/>
  <c r="A777" i="13"/>
  <c r="A776" i="13"/>
  <c r="A775" i="13"/>
  <c r="A774" i="13"/>
  <c r="A773" i="13"/>
  <c r="A772" i="13"/>
  <c r="A771" i="13"/>
  <c r="A770" i="13"/>
  <c r="A769" i="13"/>
  <c r="A768" i="13"/>
  <c r="A767" i="13"/>
  <c r="A766" i="13"/>
  <c r="A765" i="13"/>
  <c r="A764" i="13"/>
  <c r="A763" i="13"/>
  <c r="A762" i="13"/>
  <c r="A761" i="13"/>
  <c r="A760" i="13"/>
  <c r="A759" i="13"/>
  <c r="A758" i="13"/>
  <c r="A757" i="13"/>
  <c r="A756" i="13"/>
  <c r="A755" i="13"/>
  <c r="A754" i="13"/>
  <c r="A753" i="13"/>
  <c r="A752" i="13"/>
  <c r="A751" i="13"/>
  <c r="A750" i="13"/>
  <c r="A749" i="13"/>
  <c r="A748" i="13"/>
  <c r="A747" i="13"/>
  <c r="A746" i="13"/>
  <c r="A745" i="13"/>
  <c r="A744" i="13"/>
  <c r="A743" i="13"/>
  <c r="A742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A728" i="13"/>
  <c r="A727" i="13"/>
  <c r="A726" i="13"/>
  <c r="A725" i="13"/>
  <c r="A724" i="13"/>
  <c r="A723" i="13"/>
  <c r="A722" i="13"/>
  <c r="A721" i="13"/>
  <c r="A720" i="13"/>
  <c r="A719" i="13"/>
  <c r="A718" i="13"/>
  <c r="A717" i="13"/>
  <c r="A716" i="13"/>
  <c r="A715" i="13"/>
  <c r="A714" i="13"/>
  <c r="A713" i="13"/>
  <c r="A712" i="13"/>
  <c r="A711" i="13"/>
  <c r="A710" i="13"/>
  <c r="A709" i="13"/>
  <c r="A708" i="13"/>
  <c r="A707" i="13"/>
  <c r="A706" i="13"/>
  <c r="A705" i="13"/>
  <c r="A704" i="13"/>
  <c r="A703" i="13"/>
  <c r="A702" i="13"/>
  <c r="A701" i="13"/>
  <c r="A700" i="13"/>
  <c r="A699" i="13"/>
  <c r="A698" i="13"/>
  <c r="A697" i="13"/>
  <c r="A696" i="13"/>
  <c r="A695" i="13"/>
  <c r="A694" i="13"/>
  <c r="A693" i="13"/>
  <c r="A692" i="13"/>
  <c r="A691" i="13"/>
  <c r="A690" i="13"/>
  <c r="A689" i="13"/>
  <c r="A688" i="13"/>
  <c r="A687" i="13"/>
  <c r="A686" i="13"/>
  <c r="A685" i="13"/>
  <c r="A684" i="13"/>
  <c r="A683" i="13"/>
  <c r="A682" i="13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A665" i="13"/>
  <c r="A664" i="13"/>
  <c r="A663" i="13"/>
  <c r="A662" i="13"/>
  <c r="A661" i="13"/>
  <c r="A660" i="13"/>
  <c r="A659" i="13"/>
  <c r="A658" i="13"/>
  <c r="A657" i="13"/>
  <c r="A656" i="13"/>
  <c r="A655" i="13"/>
  <c r="A654" i="13"/>
  <c r="A653" i="13"/>
  <c r="A652" i="13"/>
  <c r="A651" i="13"/>
  <c r="A650" i="13"/>
  <c r="A649" i="13"/>
  <c r="A648" i="13"/>
  <c r="A647" i="13"/>
  <c r="A646" i="13"/>
  <c r="A645" i="13"/>
  <c r="A644" i="13"/>
  <c r="A643" i="13"/>
  <c r="A642" i="13"/>
  <c r="A641" i="13"/>
  <c r="A640" i="13"/>
  <c r="A639" i="13"/>
  <c r="A638" i="13"/>
  <c r="A637" i="13"/>
  <c r="A636" i="13"/>
  <c r="A635" i="13"/>
  <c r="A634" i="13"/>
  <c r="A633" i="13"/>
  <c r="A632" i="13"/>
  <c r="A631" i="13"/>
  <c r="A630" i="13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A608" i="13"/>
  <c r="A607" i="13"/>
  <c r="A606" i="13"/>
  <c r="A605" i="13"/>
  <c r="A604" i="13"/>
  <c r="A603" i="13"/>
  <c r="A602" i="13"/>
  <c r="A601" i="13"/>
  <c r="A600" i="13"/>
  <c r="A599" i="13"/>
  <c r="A598" i="13"/>
  <c r="A597" i="13"/>
  <c r="A596" i="13"/>
  <c r="A595" i="13"/>
  <c r="A594" i="13"/>
  <c r="A593" i="13"/>
  <c r="A592" i="13"/>
  <c r="A591" i="13"/>
  <c r="A590" i="13"/>
  <c r="A589" i="13"/>
  <c r="A588" i="13"/>
  <c r="A587" i="13"/>
  <c r="A586" i="13"/>
  <c r="A585" i="13"/>
  <c r="A584" i="13"/>
  <c r="A583" i="13"/>
  <c r="A582" i="13"/>
  <c r="A581" i="13"/>
  <c r="A580" i="13"/>
  <c r="A579" i="13"/>
  <c r="A578" i="13"/>
  <c r="A577" i="13"/>
  <c r="A576" i="13"/>
  <c r="A575" i="13"/>
  <c r="A574" i="13"/>
  <c r="A573" i="13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A551" i="13"/>
  <c r="A550" i="13"/>
  <c r="A549" i="13"/>
  <c r="A548" i="13"/>
  <c r="A547" i="13"/>
  <c r="A546" i="13"/>
  <c r="A545" i="13"/>
  <c r="A544" i="13"/>
  <c r="A543" i="13"/>
  <c r="A542" i="13"/>
  <c r="A541" i="13"/>
  <c r="A540" i="13"/>
  <c r="A539" i="13"/>
  <c r="A538" i="13"/>
  <c r="A537" i="13"/>
  <c r="A536" i="13"/>
  <c r="A535" i="13"/>
  <c r="A534" i="13"/>
  <c r="A533" i="13"/>
  <c r="A532" i="13"/>
  <c r="A531" i="13"/>
  <c r="A530" i="13"/>
  <c r="A529" i="13"/>
  <c r="A528" i="13"/>
  <c r="A527" i="13"/>
  <c r="A526" i="13"/>
  <c r="A525" i="13"/>
  <c r="A524" i="13"/>
  <c r="A523" i="13"/>
  <c r="A522" i="13"/>
  <c r="A521" i="13"/>
  <c r="A520" i="13"/>
  <c r="A519" i="13"/>
  <c r="A518" i="13"/>
  <c r="A517" i="13"/>
  <c r="A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A494" i="13"/>
  <c r="A493" i="13"/>
  <c r="A492" i="13"/>
  <c r="A491" i="13"/>
  <c r="A490" i="13"/>
  <c r="A489" i="13"/>
  <c r="A488" i="13"/>
  <c r="A487" i="13"/>
  <c r="A486" i="13"/>
  <c r="A485" i="13"/>
  <c r="A484" i="13"/>
  <c r="A483" i="13"/>
  <c r="A482" i="13"/>
  <c r="A481" i="13"/>
  <c r="A480" i="13"/>
  <c r="A479" i="13"/>
  <c r="A478" i="13"/>
  <c r="A477" i="13"/>
  <c r="A476" i="13"/>
  <c r="A475" i="13"/>
  <c r="A474" i="13"/>
  <c r="A473" i="13"/>
  <c r="A472" i="13"/>
  <c r="A471" i="13"/>
  <c r="A470" i="13"/>
  <c r="A469" i="13"/>
  <c r="A468" i="13"/>
  <c r="A467" i="13"/>
  <c r="A466" i="13"/>
  <c r="A465" i="13"/>
  <c r="A464" i="13"/>
  <c r="A463" i="13"/>
  <c r="A462" i="13"/>
  <c r="A461" i="13"/>
  <c r="A460" i="13"/>
  <c r="A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A437" i="13"/>
  <c r="A436" i="13"/>
  <c r="A435" i="13"/>
  <c r="A434" i="13"/>
  <c r="A433" i="13"/>
  <c r="A432" i="13"/>
  <c r="A431" i="13"/>
  <c r="A430" i="13"/>
  <c r="A429" i="13"/>
  <c r="A428" i="13"/>
  <c r="A427" i="13"/>
  <c r="A426" i="13"/>
  <c r="A425" i="13"/>
  <c r="A424" i="13"/>
  <c r="A423" i="13"/>
  <c r="A422" i="13"/>
  <c r="A421" i="13"/>
  <c r="A420" i="13"/>
  <c r="A419" i="13"/>
  <c r="A418" i="13"/>
  <c r="A417" i="13"/>
  <c r="A416" i="13"/>
  <c r="A415" i="13"/>
  <c r="A414" i="13"/>
  <c r="A413" i="13"/>
  <c r="A412" i="13"/>
  <c r="A411" i="13"/>
  <c r="A410" i="13"/>
  <c r="A409" i="13"/>
  <c r="A408" i="13"/>
  <c r="A407" i="13"/>
  <c r="A406" i="13"/>
  <c r="A405" i="13"/>
  <c r="A404" i="13"/>
  <c r="A403" i="13"/>
  <c r="A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A380" i="13"/>
  <c r="A379" i="13"/>
  <c r="A378" i="13"/>
  <c r="A377" i="13"/>
  <c r="A376" i="13"/>
  <c r="A375" i="13"/>
  <c r="A374" i="13"/>
  <c r="A373" i="13"/>
  <c r="A372" i="13"/>
  <c r="A371" i="13"/>
  <c r="A370" i="13"/>
  <c r="A369" i="13"/>
  <c r="A368" i="13"/>
  <c r="A367" i="13"/>
  <c r="A366" i="13"/>
  <c r="A365" i="13"/>
  <c r="A364" i="13"/>
  <c r="A363" i="13"/>
  <c r="A362" i="13"/>
  <c r="A361" i="13"/>
  <c r="A360" i="13"/>
  <c r="A359" i="13"/>
  <c r="A358" i="13"/>
  <c r="A357" i="13"/>
  <c r="A356" i="13"/>
  <c r="A355" i="13"/>
  <c r="A354" i="13"/>
  <c r="A353" i="13"/>
  <c r="A352" i="13"/>
  <c r="A351" i="13"/>
  <c r="A350" i="13"/>
  <c r="A349" i="13"/>
  <c r="A348" i="13"/>
  <c r="A347" i="13"/>
  <c r="A346" i="13"/>
  <c r="A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A323" i="13"/>
  <c r="A322" i="13"/>
  <c r="A321" i="13"/>
  <c r="A320" i="13"/>
  <c r="A319" i="13"/>
  <c r="A318" i="13"/>
  <c r="A317" i="13"/>
  <c r="A316" i="13"/>
  <c r="A315" i="13"/>
  <c r="A314" i="13"/>
  <c r="A313" i="13"/>
  <c r="A312" i="13"/>
  <c r="A311" i="13"/>
  <c r="A310" i="13"/>
  <c r="A309" i="13"/>
  <c r="A308" i="13"/>
  <c r="A307" i="13"/>
  <c r="A306" i="13"/>
  <c r="A305" i="13"/>
  <c r="A304" i="13"/>
  <c r="A303" i="13"/>
  <c r="A302" i="13"/>
  <c r="A301" i="13"/>
  <c r="A300" i="13"/>
  <c r="A299" i="13"/>
  <c r="A298" i="13"/>
  <c r="A297" i="13"/>
  <c r="A296" i="13"/>
  <c r="A295" i="13"/>
  <c r="A294" i="13"/>
  <c r="A293" i="13"/>
  <c r="A292" i="13"/>
  <c r="A291" i="13"/>
  <c r="A290" i="13"/>
  <c r="A289" i="13"/>
  <c r="A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5" i="13"/>
  <c r="A264" i="13"/>
  <c r="A263" i="13"/>
  <c r="A262" i="13"/>
  <c r="A261" i="13"/>
  <c r="A260" i="13"/>
  <c r="A259" i="13"/>
  <c r="A258" i="13"/>
  <c r="A257" i="13"/>
  <c r="A256" i="13"/>
  <c r="A255" i="13"/>
  <c r="A254" i="13"/>
  <c r="A253" i="13"/>
  <c r="A252" i="13"/>
  <c r="A251" i="13"/>
  <c r="A250" i="13"/>
  <c r="A249" i="13"/>
  <c r="A248" i="13"/>
  <c r="A247" i="13"/>
  <c r="A246" i="13"/>
  <c r="A245" i="13"/>
  <c r="A244" i="13"/>
  <c r="A243" i="13"/>
  <c r="A242" i="13"/>
  <c r="A241" i="13"/>
  <c r="A240" i="13"/>
  <c r="A239" i="13"/>
  <c r="A238" i="13"/>
  <c r="A237" i="13"/>
  <c r="A236" i="13"/>
  <c r="A235" i="13"/>
  <c r="A234" i="13"/>
  <c r="A233" i="13"/>
  <c r="A232" i="13"/>
  <c r="A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A209" i="13"/>
  <c r="A208" i="13"/>
  <c r="A207" i="13"/>
  <c r="A206" i="13"/>
  <c r="A205" i="13"/>
  <c r="A204" i="13"/>
  <c r="A203" i="13"/>
  <c r="A202" i="13"/>
  <c r="A201" i="13"/>
  <c r="A200" i="13"/>
  <c r="A199" i="13"/>
  <c r="A198" i="13"/>
  <c r="A197" i="13"/>
  <c r="A196" i="13"/>
  <c r="A195" i="13"/>
  <c r="A194" i="13"/>
  <c r="A193" i="13"/>
  <c r="A192" i="13"/>
  <c r="A191" i="13"/>
  <c r="A190" i="13"/>
  <c r="A189" i="13"/>
  <c r="A188" i="13"/>
  <c r="A187" i="13"/>
  <c r="A186" i="13"/>
  <c r="A185" i="13"/>
  <c r="A184" i="13"/>
  <c r="A183" i="13"/>
  <c r="A182" i="13"/>
  <c r="A181" i="13"/>
  <c r="A180" i="13"/>
  <c r="A179" i="13"/>
  <c r="A178" i="13"/>
  <c r="A177" i="13"/>
  <c r="A176" i="13"/>
  <c r="A175" i="13"/>
  <c r="A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911" i="12"/>
  <c r="A910" i="12"/>
  <c r="A909" i="12"/>
  <c r="A908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9" i="12"/>
  <c r="A888" i="12"/>
  <c r="A887" i="12"/>
  <c r="A886" i="12"/>
  <c r="A885" i="12"/>
  <c r="A884" i="12"/>
  <c r="A883" i="12"/>
  <c r="A882" i="12"/>
  <c r="A881" i="12"/>
  <c r="A880" i="12"/>
  <c r="A879" i="12"/>
  <c r="A878" i="12"/>
  <c r="A877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1" i="12"/>
  <c r="A860" i="12"/>
  <c r="A859" i="12"/>
  <c r="A858" i="12"/>
  <c r="A857" i="12"/>
  <c r="A856" i="12"/>
  <c r="A855" i="12"/>
  <c r="A854" i="12"/>
  <c r="A853" i="12"/>
  <c r="A852" i="12"/>
  <c r="A851" i="12"/>
  <c r="A850" i="12"/>
  <c r="A849" i="12"/>
  <c r="A848" i="12"/>
  <c r="A847" i="12"/>
  <c r="A846" i="12"/>
  <c r="A845" i="12"/>
  <c r="A844" i="12"/>
  <c r="A843" i="12"/>
  <c r="A842" i="12"/>
  <c r="A841" i="12"/>
  <c r="A840" i="12"/>
  <c r="A839" i="12"/>
  <c r="A838" i="12"/>
  <c r="A837" i="12"/>
  <c r="A836" i="12"/>
  <c r="A835" i="12"/>
  <c r="A834" i="12"/>
  <c r="A833" i="12"/>
  <c r="A832" i="12"/>
  <c r="A831" i="12"/>
  <c r="A830" i="12"/>
  <c r="A829" i="12"/>
  <c r="A828" i="12"/>
  <c r="A827" i="12"/>
  <c r="A826" i="12"/>
  <c r="A825" i="12"/>
  <c r="A824" i="12"/>
  <c r="A823" i="12"/>
  <c r="A822" i="12"/>
  <c r="A821" i="12"/>
  <c r="A820" i="12"/>
  <c r="A819" i="12"/>
  <c r="A818" i="12"/>
  <c r="A817" i="12"/>
  <c r="A816" i="12"/>
  <c r="A815" i="12"/>
  <c r="A814" i="12"/>
  <c r="A813" i="12"/>
  <c r="A812" i="12"/>
  <c r="A811" i="12"/>
  <c r="A810" i="12"/>
  <c r="A809" i="12"/>
  <c r="A808" i="12"/>
  <c r="A807" i="12"/>
  <c r="A806" i="12"/>
  <c r="A805" i="12"/>
  <c r="A804" i="12"/>
  <c r="A803" i="12"/>
  <c r="A802" i="12"/>
  <c r="A801" i="12"/>
  <c r="A800" i="12"/>
  <c r="A799" i="12"/>
  <c r="A798" i="12"/>
  <c r="A797" i="12"/>
  <c r="A796" i="12"/>
  <c r="A795" i="12"/>
  <c r="A794" i="12"/>
  <c r="A793" i="12"/>
  <c r="A792" i="12"/>
  <c r="A791" i="12"/>
  <c r="A790" i="12"/>
  <c r="A789" i="12"/>
  <c r="A788" i="12"/>
  <c r="A787" i="12"/>
  <c r="A786" i="12"/>
  <c r="A785" i="12"/>
  <c r="A784" i="12"/>
  <c r="A783" i="12"/>
  <c r="A782" i="12"/>
  <c r="A781" i="12"/>
  <c r="A780" i="12"/>
  <c r="A779" i="12"/>
  <c r="A778" i="12"/>
  <c r="A777" i="12"/>
  <c r="A776" i="12"/>
  <c r="A775" i="12"/>
  <c r="A774" i="12"/>
  <c r="A773" i="12"/>
  <c r="A772" i="12"/>
  <c r="A771" i="12"/>
  <c r="A770" i="12"/>
  <c r="A769" i="12"/>
  <c r="A768" i="12"/>
  <c r="A767" i="12"/>
  <c r="A766" i="12"/>
  <c r="A765" i="12"/>
  <c r="A764" i="12"/>
  <c r="A763" i="12"/>
  <c r="A762" i="12"/>
  <c r="A761" i="12"/>
  <c r="A760" i="12"/>
  <c r="A759" i="12"/>
  <c r="A758" i="12"/>
  <c r="A757" i="12"/>
  <c r="A756" i="12"/>
  <c r="A755" i="12"/>
  <c r="A754" i="12"/>
  <c r="A753" i="12"/>
  <c r="A752" i="12"/>
  <c r="A751" i="12"/>
  <c r="A750" i="12"/>
  <c r="A749" i="12"/>
  <c r="A748" i="12"/>
  <c r="A747" i="12"/>
  <c r="A746" i="12"/>
  <c r="A745" i="12"/>
  <c r="A744" i="12"/>
  <c r="A743" i="12"/>
  <c r="A742" i="12"/>
  <c r="A741" i="12"/>
  <c r="A740" i="12"/>
  <c r="A739" i="12"/>
  <c r="A738" i="12"/>
  <c r="A737" i="12"/>
  <c r="A736" i="12"/>
  <c r="A735" i="12"/>
  <c r="A734" i="12"/>
  <c r="A733" i="12"/>
  <c r="A732" i="12"/>
  <c r="A731" i="12"/>
  <c r="A730" i="12"/>
  <c r="A729" i="12"/>
  <c r="A728" i="12"/>
  <c r="A727" i="12"/>
  <c r="A726" i="12"/>
  <c r="A725" i="12"/>
  <c r="A724" i="12"/>
  <c r="A723" i="12"/>
  <c r="A722" i="12"/>
  <c r="A721" i="12"/>
  <c r="A720" i="12"/>
  <c r="A719" i="12"/>
  <c r="A718" i="12"/>
  <c r="A717" i="12"/>
  <c r="A716" i="12"/>
  <c r="A715" i="12"/>
  <c r="A714" i="12"/>
  <c r="A713" i="12"/>
  <c r="A712" i="12"/>
  <c r="A711" i="12"/>
  <c r="A710" i="12"/>
  <c r="A709" i="12"/>
  <c r="A708" i="12"/>
  <c r="A707" i="12"/>
  <c r="A706" i="12"/>
  <c r="A705" i="12"/>
  <c r="A704" i="12"/>
  <c r="A703" i="12"/>
  <c r="A702" i="12"/>
  <c r="A701" i="12"/>
  <c r="A700" i="12"/>
  <c r="A699" i="12"/>
  <c r="A698" i="12"/>
  <c r="A697" i="12"/>
  <c r="A696" i="12"/>
  <c r="A695" i="12"/>
  <c r="A694" i="12"/>
  <c r="A693" i="12"/>
  <c r="A692" i="12"/>
  <c r="A691" i="12"/>
  <c r="A690" i="12"/>
  <c r="A689" i="12"/>
  <c r="A688" i="12"/>
  <c r="A687" i="12"/>
  <c r="A686" i="12"/>
  <c r="A685" i="12"/>
  <c r="A684" i="12"/>
  <c r="A683" i="12"/>
  <c r="A682" i="12"/>
  <c r="A681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8" i="12"/>
  <c r="A667" i="12"/>
  <c r="A666" i="12"/>
  <c r="A665" i="12"/>
  <c r="A664" i="12"/>
  <c r="A663" i="12"/>
  <c r="A662" i="12"/>
  <c r="A661" i="12"/>
  <c r="A660" i="12"/>
  <c r="A659" i="12"/>
  <c r="A658" i="12"/>
  <c r="A657" i="12"/>
  <c r="A656" i="12"/>
  <c r="A655" i="12"/>
  <c r="A654" i="12"/>
  <c r="A653" i="12"/>
  <c r="A652" i="12"/>
  <c r="A651" i="12"/>
  <c r="A650" i="12"/>
  <c r="A649" i="12"/>
  <c r="A648" i="12"/>
  <c r="A647" i="12"/>
  <c r="A646" i="12"/>
  <c r="A645" i="12"/>
  <c r="A644" i="12"/>
  <c r="A643" i="12"/>
  <c r="A642" i="12"/>
  <c r="A641" i="12"/>
  <c r="A640" i="12"/>
  <c r="A639" i="12"/>
  <c r="A638" i="12"/>
  <c r="A637" i="12"/>
  <c r="A636" i="12"/>
  <c r="A635" i="12"/>
  <c r="A634" i="12"/>
  <c r="A633" i="12"/>
  <c r="A632" i="12"/>
  <c r="A631" i="12"/>
  <c r="A630" i="12"/>
  <c r="A629" i="12"/>
  <c r="A628" i="12"/>
  <c r="A627" i="12"/>
  <c r="A626" i="12"/>
  <c r="A625" i="12"/>
  <c r="A624" i="12"/>
  <c r="A623" i="12"/>
  <c r="A622" i="12"/>
  <c r="A621" i="12"/>
  <c r="A620" i="12"/>
  <c r="A619" i="12"/>
  <c r="A618" i="12"/>
  <c r="A617" i="12"/>
  <c r="A616" i="12"/>
  <c r="A615" i="12"/>
  <c r="A614" i="12"/>
  <c r="A613" i="12"/>
  <c r="A612" i="12"/>
  <c r="A611" i="12"/>
  <c r="A610" i="12"/>
  <c r="A609" i="12"/>
  <c r="A608" i="12"/>
  <c r="A607" i="12"/>
  <c r="A606" i="12"/>
  <c r="A605" i="12"/>
  <c r="A604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9" i="12"/>
  <c r="A488" i="12"/>
  <c r="A487" i="12"/>
  <c r="A486" i="12"/>
  <c r="A485" i="12"/>
  <c r="A484" i="12"/>
  <c r="A483" i="12"/>
  <c r="A482" i="12"/>
  <c r="A481" i="12"/>
  <c r="A480" i="12"/>
  <c r="A479" i="12"/>
  <c r="A478" i="12"/>
  <c r="A477" i="12"/>
  <c r="A476" i="12"/>
  <c r="A475" i="12"/>
  <c r="A474" i="12"/>
  <c r="A473" i="12"/>
  <c r="A472" i="12"/>
  <c r="A471" i="12"/>
  <c r="A470" i="12"/>
  <c r="A469" i="12"/>
  <c r="A468" i="12"/>
  <c r="A467" i="12"/>
  <c r="A466" i="12"/>
  <c r="A465" i="12"/>
  <c r="A464" i="12"/>
  <c r="A463" i="12"/>
  <c r="A462" i="12"/>
  <c r="A461" i="12"/>
  <c r="A460" i="12"/>
  <c r="A459" i="12"/>
  <c r="A458" i="12"/>
  <c r="A457" i="12"/>
  <c r="A456" i="12"/>
  <c r="A455" i="12"/>
  <c r="A454" i="12"/>
  <c r="A453" i="12"/>
  <c r="A452" i="12"/>
  <c r="A451" i="12"/>
  <c r="A450" i="12"/>
  <c r="A449" i="12"/>
  <c r="A448" i="12"/>
  <c r="A447" i="12"/>
  <c r="A446" i="12"/>
  <c r="A445" i="12"/>
  <c r="A444" i="12"/>
  <c r="A443" i="12"/>
  <c r="A442" i="12"/>
  <c r="A441" i="12"/>
  <c r="A440" i="12"/>
  <c r="A439" i="12"/>
  <c r="A438" i="12"/>
  <c r="A437" i="12"/>
  <c r="A436" i="12"/>
  <c r="A435" i="12"/>
  <c r="A434" i="12"/>
  <c r="A433" i="12"/>
  <c r="A432" i="12"/>
  <c r="A431" i="12"/>
  <c r="A430" i="12"/>
  <c r="A429" i="12"/>
  <c r="A428" i="12"/>
  <c r="A427" i="12"/>
  <c r="A426" i="12"/>
  <c r="A425" i="12"/>
  <c r="A424" i="12"/>
  <c r="A423" i="12"/>
  <c r="A422" i="12"/>
  <c r="A421" i="12"/>
  <c r="A420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6" i="12"/>
  <c r="A385" i="12"/>
  <c r="A384" i="12"/>
  <c r="A383" i="12"/>
  <c r="A382" i="12"/>
  <c r="A381" i="12"/>
  <c r="A380" i="12"/>
  <c r="A379" i="12"/>
  <c r="A378" i="12"/>
  <c r="A377" i="12"/>
  <c r="A376" i="12"/>
  <c r="A375" i="12"/>
  <c r="A374" i="12"/>
  <c r="A373" i="12"/>
  <c r="A372" i="12"/>
  <c r="A371" i="12"/>
  <c r="A370" i="12"/>
  <c r="A369" i="12"/>
  <c r="A368" i="12"/>
  <c r="A367" i="12"/>
  <c r="A366" i="12"/>
  <c r="A365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8" i="12"/>
  <c r="A337" i="12"/>
  <c r="A336" i="12"/>
  <c r="A335" i="12"/>
  <c r="A334" i="12"/>
  <c r="A333" i="12"/>
  <c r="A332" i="12"/>
  <c r="A331" i="12"/>
  <c r="A330" i="12"/>
  <c r="A329" i="12"/>
  <c r="A328" i="12"/>
  <c r="A327" i="12"/>
  <c r="A326" i="12"/>
  <c r="A325" i="12"/>
  <c r="A324" i="12"/>
  <c r="A323" i="12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91" i="12"/>
  <c r="A290" i="12"/>
  <c r="A289" i="12"/>
  <c r="A288" i="12"/>
  <c r="A287" i="12"/>
  <c r="A286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8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5" i="12"/>
  <c r="A4" i="12"/>
  <c r="A3" i="12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A997" i="10"/>
  <c r="A996" i="10"/>
  <c r="A995" i="10"/>
  <c r="A994" i="10"/>
  <c r="A993" i="10"/>
  <c r="A992" i="10"/>
  <c r="A991" i="10"/>
  <c r="A990" i="10"/>
  <c r="A989" i="10"/>
  <c r="A988" i="10"/>
  <c r="A987" i="10"/>
  <c r="A986" i="10"/>
  <c r="A985" i="10"/>
  <c r="A984" i="10"/>
  <c r="A983" i="10"/>
  <c r="A982" i="10"/>
  <c r="A981" i="10"/>
  <c r="A980" i="10"/>
  <c r="A979" i="10"/>
  <c r="A978" i="10"/>
  <c r="A977" i="10"/>
  <c r="A976" i="10"/>
  <c r="A975" i="10"/>
  <c r="A974" i="10"/>
  <c r="A973" i="10"/>
  <c r="A972" i="10"/>
  <c r="A971" i="10"/>
  <c r="A970" i="10"/>
  <c r="A969" i="10"/>
  <c r="A968" i="10"/>
  <c r="A967" i="10"/>
  <c r="A966" i="10"/>
  <c r="A965" i="10"/>
  <c r="A964" i="10"/>
  <c r="A963" i="10"/>
  <c r="A962" i="10"/>
  <c r="A961" i="10"/>
  <c r="A960" i="10"/>
  <c r="A959" i="10"/>
  <c r="A958" i="10"/>
  <c r="A957" i="10"/>
  <c r="A956" i="10"/>
  <c r="A955" i="10"/>
  <c r="A954" i="10"/>
  <c r="A953" i="10"/>
  <c r="A952" i="10"/>
  <c r="A951" i="10"/>
  <c r="A950" i="10"/>
  <c r="A949" i="10"/>
  <c r="A948" i="10"/>
  <c r="A947" i="10"/>
  <c r="A946" i="10"/>
  <c r="A945" i="10"/>
  <c r="A944" i="10"/>
  <c r="A943" i="10"/>
  <c r="A942" i="10"/>
  <c r="A941" i="10"/>
  <c r="A940" i="10"/>
  <c r="A939" i="10"/>
  <c r="A938" i="10"/>
  <c r="A937" i="10"/>
  <c r="A936" i="10"/>
  <c r="A935" i="10"/>
  <c r="A934" i="10"/>
  <c r="A933" i="10"/>
  <c r="A932" i="10"/>
  <c r="A931" i="10"/>
  <c r="A930" i="10"/>
  <c r="A929" i="10"/>
  <c r="A928" i="10"/>
  <c r="A927" i="10"/>
  <c r="A926" i="10"/>
  <c r="A925" i="10"/>
  <c r="A924" i="10"/>
  <c r="A923" i="10"/>
  <c r="A922" i="10"/>
  <c r="A921" i="10"/>
  <c r="A920" i="10"/>
  <c r="A919" i="10"/>
  <c r="A918" i="10"/>
  <c r="A917" i="10"/>
  <c r="A916" i="10"/>
  <c r="A915" i="10"/>
  <c r="A914" i="10"/>
  <c r="A913" i="10"/>
  <c r="A912" i="10"/>
  <c r="A911" i="10"/>
  <c r="A910" i="10"/>
  <c r="A909" i="10"/>
  <c r="A908" i="10"/>
  <c r="A907" i="10"/>
  <c r="A906" i="10"/>
  <c r="A905" i="10"/>
  <c r="A904" i="10"/>
  <c r="A903" i="10"/>
  <c r="A902" i="10"/>
  <c r="A901" i="10"/>
  <c r="A900" i="10"/>
  <c r="A899" i="10"/>
  <c r="A898" i="10"/>
  <c r="A897" i="10"/>
  <c r="A896" i="10"/>
  <c r="A895" i="10"/>
  <c r="A894" i="10"/>
  <c r="A893" i="10"/>
  <c r="A892" i="10"/>
  <c r="A891" i="10"/>
  <c r="A890" i="10"/>
  <c r="A889" i="10"/>
  <c r="A888" i="10"/>
  <c r="A887" i="10"/>
  <c r="A886" i="10"/>
  <c r="A885" i="10"/>
  <c r="A884" i="10"/>
  <c r="A883" i="10"/>
  <c r="A882" i="10"/>
  <c r="A881" i="10"/>
  <c r="A880" i="10"/>
  <c r="A879" i="10"/>
  <c r="A878" i="10"/>
  <c r="A877" i="10"/>
  <c r="A876" i="10"/>
  <c r="A875" i="10"/>
  <c r="A874" i="10"/>
  <c r="A873" i="10"/>
  <c r="A872" i="10"/>
  <c r="A871" i="10"/>
  <c r="A870" i="10"/>
  <c r="A869" i="10"/>
  <c r="A868" i="10"/>
  <c r="A867" i="10"/>
  <c r="A866" i="10"/>
  <c r="A865" i="10"/>
  <c r="A864" i="10"/>
  <c r="A863" i="10"/>
  <c r="A862" i="10"/>
  <c r="A861" i="10"/>
  <c r="A860" i="10"/>
  <c r="A859" i="10"/>
  <c r="A858" i="10"/>
  <c r="A857" i="10"/>
  <c r="A856" i="10"/>
  <c r="A855" i="10"/>
  <c r="A854" i="10"/>
  <c r="A853" i="10"/>
  <c r="A852" i="10"/>
  <c r="A851" i="10"/>
  <c r="A850" i="10"/>
  <c r="A849" i="10"/>
  <c r="A848" i="10"/>
  <c r="A847" i="10"/>
  <c r="A846" i="10"/>
  <c r="A845" i="10"/>
  <c r="A844" i="10"/>
  <c r="A843" i="10"/>
  <c r="A842" i="10"/>
  <c r="A841" i="10"/>
  <c r="A840" i="10"/>
  <c r="A839" i="10"/>
  <c r="A838" i="10"/>
  <c r="A837" i="10"/>
  <c r="A836" i="10"/>
  <c r="A835" i="10"/>
  <c r="A834" i="10"/>
  <c r="A833" i="10"/>
  <c r="A832" i="10"/>
  <c r="A831" i="10"/>
  <c r="A830" i="10"/>
  <c r="A829" i="10"/>
  <c r="A828" i="10"/>
  <c r="A827" i="10"/>
  <c r="A826" i="10"/>
  <c r="A825" i="10"/>
  <c r="A824" i="10"/>
  <c r="A823" i="10"/>
  <c r="A822" i="10"/>
  <c r="A821" i="10"/>
  <c r="A820" i="10"/>
  <c r="A819" i="10"/>
  <c r="A818" i="10"/>
  <c r="A817" i="10"/>
  <c r="A816" i="10"/>
  <c r="A815" i="10"/>
  <c r="A814" i="10"/>
  <c r="A813" i="10"/>
  <c r="A812" i="10"/>
  <c r="A811" i="10"/>
  <c r="A810" i="10"/>
  <c r="A809" i="10"/>
  <c r="A808" i="10"/>
  <c r="A807" i="10"/>
  <c r="A806" i="10"/>
  <c r="A805" i="10"/>
  <c r="A804" i="10"/>
  <c r="A803" i="10"/>
  <c r="A802" i="10"/>
  <c r="A801" i="10"/>
  <c r="A800" i="10"/>
  <c r="A799" i="10"/>
  <c r="A798" i="10"/>
  <c r="A797" i="10"/>
  <c r="A796" i="10"/>
  <c r="A795" i="10"/>
  <c r="A794" i="10"/>
  <c r="A793" i="10"/>
  <c r="A792" i="10"/>
  <c r="A791" i="10"/>
  <c r="A790" i="10"/>
  <c r="A789" i="10"/>
  <c r="A788" i="10"/>
  <c r="A787" i="10"/>
  <c r="A786" i="10"/>
  <c r="A785" i="10"/>
  <c r="A784" i="10"/>
  <c r="A783" i="10"/>
  <c r="A782" i="10"/>
  <c r="A781" i="10"/>
  <c r="A780" i="10"/>
  <c r="A779" i="10"/>
  <c r="A778" i="10"/>
  <c r="A777" i="10"/>
  <c r="A776" i="10"/>
  <c r="A775" i="10"/>
  <c r="A774" i="10"/>
  <c r="A773" i="10"/>
  <c r="A772" i="10"/>
  <c r="A771" i="10"/>
  <c r="A770" i="10"/>
  <c r="A769" i="10"/>
  <c r="A768" i="10"/>
  <c r="A767" i="10"/>
  <c r="A766" i="10"/>
  <c r="A765" i="10"/>
  <c r="A764" i="10"/>
  <c r="A763" i="10"/>
  <c r="A762" i="10"/>
  <c r="A761" i="10"/>
  <c r="A760" i="10"/>
  <c r="A759" i="10"/>
  <c r="A758" i="10"/>
  <c r="A757" i="10"/>
  <c r="A756" i="10"/>
  <c r="A755" i="10"/>
  <c r="A754" i="10"/>
  <c r="A753" i="10"/>
  <c r="A752" i="10"/>
  <c r="A751" i="10"/>
  <c r="A750" i="10"/>
  <c r="A749" i="10"/>
  <c r="A748" i="10"/>
  <c r="A747" i="10"/>
  <c r="A746" i="10"/>
  <c r="A745" i="10"/>
  <c r="A744" i="10"/>
  <c r="A743" i="10"/>
  <c r="A742" i="10"/>
  <c r="A741" i="10"/>
  <c r="A740" i="10"/>
  <c r="A739" i="10"/>
  <c r="A738" i="10"/>
  <c r="A737" i="10"/>
  <c r="A736" i="10"/>
  <c r="A735" i="10"/>
  <c r="A734" i="10"/>
  <c r="A733" i="10"/>
  <c r="A732" i="10"/>
  <c r="A731" i="10"/>
  <c r="A730" i="10"/>
  <c r="A729" i="10"/>
  <c r="A728" i="10"/>
  <c r="A727" i="10"/>
  <c r="A726" i="10"/>
  <c r="A725" i="10"/>
  <c r="A724" i="10"/>
  <c r="A723" i="10"/>
  <c r="A722" i="10"/>
  <c r="A721" i="10"/>
  <c r="A720" i="10"/>
  <c r="A719" i="10"/>
  <c r="A718" i="10"/>
  <c r="A717" i="10"/>
  <c r="A716" i="10"/>
  <c r="A715" i="10"/>
  <c r="A714" i="10"/>
  <c r="A713" i="10"/>
  <c r="A712" i="10"/>
  <c r="A711" i="10"/>
  <c r="A710" i="10"/>
  <c r="A709" i="10"/>
  <c r="A708" i="10"/>
  <c r="A707" i="10"/>
  <c r="A706" i="10"/>
  <c r="A705" i="10"/>
  <c r="A704" i="10"/>
  <c r="A703" i="10"/>
  <c r="A702" i="10"/>
  <c r="A701" i="10"/>
  <c r="A700" i="10"/>
  <c r="A699" i="10"/>
  <c r="A698" i="10"/>
  <c r="A697" i="10"/>
  <c r="A696" i="10"/>
  <c r="A695" i="10"/>
  <c r="A694" i="10"/>
  <c r="A693" i="10"/>
  <c r="A692" i="10"/>
  <c r="A691" i="10"/>
  <c r="A690" i="10"/>
  <c r="A689" i="10"/>
  <c r="A688" i="10"/>
  <c r="A687" i="10"/>
  <c r="A686" i="10"/>
  <c r="A685" i="10"/>
  <c r="A684" i="10"/>
  <c r="A683" i="10"/>
  <c r="A682" i="10"/>
  <c r="A681" i="10"/>
  <c r="A680" i="10"/>
  <c r="A679" i="10"/>
  <c r="A678" i="10"/>
  <c r="A677" i="10"/>
  <c r="A676" i="10"/>
  <c r="A675" i="10"/>
  <c r="A674" i="10"/>
  <c r="A673" i="10"/>
  <c r="A672" i="10"/>
  <c r="A671" i="10"/>
  <c r="A670" i="10"/>
  <c r="A669" i="10"/>
  <c r="A668" i="10"/>
  <c r="A667" i="10"/>
  <c r="A666" i="10"/>
  <c r="A665" i="10"/>
  <c r="A664" i="10"/>
  <c r="A663" i="10"/>
  <c r="A662" i="10"/>
  <c r="A661" i="10"/>
  <c r="A660" i="10"/>
  <c r="A659" i="10"/>
  <c r="A658" i="10"/>
  <c r="A657" i="10"/>
  <c r="A656" i="10"/>
  <c r="A655" i="10"/>
  <c r="A654" i="10"/>
  <c r="A653" i="10"/>
  <c r="A652" i="10"/>
  <c r="A651" i="10"/>
  <c r="A650" i="10"/>
  <c r="A649" i="10"/>
  <c r="A648" i="10"/>
  <c r="A647" i="10"/>
  <c r="A646" i="10"/>
  <c r="A645" i="10"/>
  <c r="A644" i="10"/>
  <c r="A643" i="10"/>
  <c r="A642" i="10"/>
  <c r="A641" i="10"/>
  <c r="A640" i="10"/>
  <c r="A639" i="10"/>
  <c r="A638" i="10"/>
  <c r="A637" i="10"/>
  <c r="A636" i="10"/>
  <c r="A635" i="10"/>
  <c r="A634" i="10"/>
  <c r="A633" i="10"/>
  <c r="A632" i="10"/>
  <c r="A631" i="10"/>
  <c r="A630" i="10"/>
  <c r="A629" i="10"/>
  <c r="A628" i="10"/>
  <c r="A627" i="10"/>
  <c r="A626" i="10"/>
  <c r="A625" i="10"/>
  <c r="A624" i="10"/>
  <c r="A623" i="10"/>
  <c r="A622" i="10"/>
  <c r="A621" i="10"/>
  <c r="A620" i="10"/>
  <c r="A619" i="10"/>
  <c r="A618" i="10"/>
  <c r="A617" i="10"/>
  <c r="A616" i="10"/>
  <c r="A615" i="10"/>
  <c r="A614" i="10"/>
  <c r="A613" i="10"/>
  <c r="A612" i="10"/>
  <c r="A611" i="10"/>
  <c r="A610" i="10"/>
  <c r="A609" i="10"/>
  <c r="A608" i="10"/>
  <c r="A607" i="10"/>
  <c r="A606" i="10"/>
  <c r="A605" i="10"/>
  <c r="A604" i="10"/>
  <c r="A603" i="10"/>
  <c r="A602" i="10"/>
  <c r="A601" i="10"/>
  <c r="A600" i="10"/>
  <c r="A599" i="10"/>
  <c r="A598" i="10"/>
  <c r="A597" i="10"/>
  <c r="A596" i="10"/>
  <c r="A595" i="10"/>
  <c r="A594" i="10"/>
  <c r="A593" i="10"/>
  <c r="A592" i="10"/>
  <c r="A591" i="10"/>
  <c r="A590" i="10"/>
  <c r="A589" i="10"/>
  <c r="A588" i="10"/>
  <c r="A587" i="10"/>
  <c r="A586" i="10"/>
  <c r="A585" i="10"/>
  <c r="A584" i="10"/>
  <c r="A583" i="10"/>
  <c r="A582" i="10"/>
  <c r="A581" i="10"/>
  <c r="A580" i="10"/>
  <c r="A579" i="10"/>
  <c r="A578" i="10"/>
  <c r="A577" i="10"/>
  <c r="A576" i="10"/>
  <c r="A575" i="10"/>
  <c r="A574" i="10"/>
  <c r="A573" i="10"/>
  <c r="A572" i="10"/>
  <c r="A571" i="10"/>
  <c r="A570" i="10"/>
  <c r="A569" i="10"/>
  <c r="A568" i="10"/>
  <c r="A567" i="10"/>
  <c r="A566" i="10"/>
  <c r="A565" i="10"/>
  <c r="A564" i="10"/>
  <c r="A563" i="10"/>
  <c r="A562" i="10"/>
  <c r="A561" i="10"/>
  <c r="A560" i="10"/>
  <c r="A559" i="10"/>
  <c r="A558" i="10"/>
  <c r="A557" i="10"/>
  <c r="A556" i="10"/>
  <c r="A555" i="10"/>
  <c r="A554" i="10"/>
  <c r="A553" i="10"/>
  <c r="A552" i="10"/>
  <c r="A551" i="10"/>
  <c r="A550" i="10"/>
  <c r="A549" i="10"/>
  <c r="A548" i="10"/>
  <c r="A547" i="10"/>
  <c r="A546" i="10"/>
  <c r="A545" i="10"/>
  <c r="A544" i="10"/>
  <c r="A543" i="10"/>
  <c r="A542" i="10"/>
  <c r="A541" i="10"/>
  <c r="A540" i="10"/>
  <c r="A539" i="10"/>
  <c r="A538" i="10"/>
  <c r="A537" i="10"/>
  <c r="A536" i="10"/>
  <c r="A535" i="10"/>
  <c r="A534" i="10"/>
  <c r="A533" i="10"/>
  <c r="A532" i="10"/>
  <c r="A531" i="10"/>
  <c r="A530" i="10"/>
  <c r="A529" i="10"/>
  <c r="A528" i="10"/>
  <c r="A527" i="10"/>
  <c r="A526" i="10"/>
  <c r="A525" i="10"/>
  <c r="A524" i="10"/>
  <c r="A523" i="10"/>
  <c r="A522" i="10"/>
  <c r="A521" i="10"/>
  <c r="A520" i="10"/>
  <c r="A519" i="10"/>
  <c r="A518" i="10"/>
  <c r="A517" i="10"/>
  <c r="A516" i="10"/>
  <c r="A515" i="10"/>
  <c r="A514" i="10"/>
  <c r="A513" i="10"/>
  <c r="A512" i="10"/>
  <c r="A511" i="10"/>
  <c r="A510" i="10"/>
  <c r="A509" i="10"/>
  <c r="A508" i="10"/>
  <c r="A507" i="10"/>
  <c r="A506" i="10"/>
  <c r="A505" i="10"/>
  <c r="A504" i="10"/>
  <c r="A503" i="10"/>
  <c r="A502" i="10"/>
  <c r="A501" i="10"/>
  <c r="A500" i="10"/>
  <c r="A499" i="10"/>
  <c r="A498" i="10"/>
  <c r="A497" i="10"/>
  <c r="A496" i="10"/>
  <c r="A495" i="10"/>
  <c r="A494" i="10"/>
  <c r="A493" i="10"/>
  <c r="A492" i="10"/>
  <c r="A491" i="10"/>
  <c r="A490" i="10"/>
  <c r="A489" i="10"/>
  <c r="A488" i="10"/>
  <c r="A487" i="10"/>
  <c r="A486" i="10"/>
  <c r="A485" i="10"/>
  <c r="A484" i="10"/>
  <c r="A483" i="10"/>
  <c r="A482" i="10"/>
  <c r="A481" i="10"/>
  <c r="A480" i="10"/>
  <c r="A479" i="10"/>
  <c r="A478" i="10"/>
  <c r="A477" i="10"/>
  <c r="A476" i="10"/>
  <c r="A475" i="10"/>
  <c r="A474" i="10"/>
  <c r="A473" i="10"/>
  <c r="A472" i="10"/>
  <c r="A471" i="10"/>
  <c r="A470" i="10"/>
  <c r="A469" i="10"/>
  <c r="A468" i="10"/>
  <c r="A467" i="10"/>
  <c r="A466" i="10"/>
  <c r="A465" i="10"/>
  <c r="A464" i="10"/>
  <c r="A463" i="10"/>
  <c r="A462" i="10"/>
  <c r="A461" i="10"/>
  <c r="A460" i="10"/>
  <c r="A459" i="10"/>
  <c r="A458" i="10"/>
  <c r="A457" i="10"/>
  <c r="A456" i="10"/>
  <c r="A455" i="10"/>
  <c r="A454" i="10"/>
  <c r="A453" i="10"/>
  <c r="A452" i="10"/>
  <c r="A451" i="10"/>
  <c r="A450" i="10"/>
  <c r="A449" i="10"/>
  <c r="A448" i="10"/>
  <c r="A447" i="10"/>
  <c r="A446" i="10"/>
  <c r="A445" i="10"/>
  <c r="A444" i="10"/>
  <c r="A443" i="10"/>
  <c r="A442" i="10"/>
  <c r="A441" i="10"/>
  <c r="A440" i="10"/>
  <c r="A439" i="10"/>
  <c r="A438" i="10"/>
  <c r="A437" i="10"/>
  <c r="A436" i="10"/>
  <c r="A435" i="10"/>
  <c r="A434" i="10"/>
  <c r="A433" i="10"/>
  <c r="A432" i="10"/>
  <c r="A431" i="10"/>
  <c r="A430" i="10"/>
  <c r="A429" i="10"/>
  <c r="A428" i="10"/>
  <c r="A427" i="10"/>
  <c r="A426" i="10"/>
  <c r="A425" i="10"/>
  <c r="A424" i="10"/>
  <c r="A423" i="10"/>
  <c r="A422" i="10"/>
  <c r="A421" i="10"/>
  <c r="A420" i="10"/>
  <c r="A419" i="10"/>
  <c r="A418" i="10"/>
  <c r="A417" i="10"/>
  <c r="A416" i="10"/>
  <c r="A415" i="10"/>
  <c r="A414" i="10"/>
  <c r="A413" i="10"/>
  <c r="A412" i="10"/>
  <c r="A411" i="10"/>
  <c r="A410" i="10"/>
  <c r="A409" i="10"/>
  <c r="A408" i="10"/>
  <c r="A407" i="10"/>
  <c r="A406" i="10"/>
  <c r="A405" i="10"/>
  <c r="A404" i="10"/>
  <c r="A403" i="10"/>
  <c r="A402" i="10"/>
  <c r="A401" i="10"/>
  <c r="A400" i="10"/>
  <c r="A399" i="10"/>
  <c r="A398" i="10"/>
  <c r="A397" i="10"/>
  <c r="A396" i="10"/>
  <c r="A395" i="10"/>
  <c r="A394" i="10"/>
  <c r="A393" i="10"/>
  <c r="A392" i="10"/>
  <c r="A391" i="10"/>
  <c r="A390" i="10"/>
  <c r="A389" i="10"/>
  <c r="A388" i="10"/>
  <c r="A387" i="10"/>
  <c r="A386" i="10"/>
  <c r="A385" i="10"/>
  <c r="A384" i="10"/>
  <c r="A383" i="10"/>
  <c r="A382" i="10"/>
  <c r="A381" i="10"/>
  <c r="A380" i="10"/>
  <c r="A379" i="10"/>
  <c r="A378" i="10"/>
  <c r="A377" i="10"/>
  <c r="A376" i="10"/>
  <c r="A375" i="10"/>
  <c r="A374" i="10"/>
  <c r="A373" i="10"/>
  <c r="A372" i="10"/>
  <c r="A371" i="10"/>
  <c r="A370" i="10"/>
  <c r="A369" i="10"/>
  <c r="A368" i="10"/>
  <c r="A367" i="10"/>
  <c r="A366" i="10"/>
  <c r="A365" i="10"/>
  <c r="A364" i="10"/>
  <c r="A363" i="10"/>
  <c r="A362" i="10"/>
  <c r="A361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A346" i="10"/>
  <c r="A345" i="10"/>
  <c r="A344" i="10"/>
  <c r="A343" i="10"/>
  <c r="A342" i="10"/>
  <c r="A341" i="10"/>
  <c r="A340" i="10"/>
  <c r="A339" i="10"/>
  <c r="A338" i="10"/>
  <c r="A337" i="10"/>
  <c r="A336" i="10"/>
  <c r="A335" i="10"/>
  <c r="A334" i="10"/>
  <c r="A333" i="10"/>
  <c r="A332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A4" i="10"/>
  <c r="A3" i="10"/>
  <c r="A1056" i="8"/>
  <c r="A1055" i="8"/>
  <c r="A1054" i="8"/>
  <c r="A1053" i="8"/>
  <c r="A1052" i="8"/>
  <c r="A1051" i="8"/>
  <c r="A1050" i="8"/>
  <c r="A1049" i="8"/>
  <c r="A1048" i="8"/>
  <c r="A1047" i="8"/>
  <c r="A1046" i="8"/>
  <c r="A1045" i="8"/>
  <c r="A1044" i="8"/>
  <c r="A1043" i="8"/>
  <c r="A1042" i="8"/>
  <c r="A1041" i="8"/>
  <c r="A1040" i="8"/>
  <c r="A1039" i="8"/>
  <c r="A1038" i="8"/>
  <c r="A1037" i="8"/>
  <c r="A1036" i="8"/>
  <c r="A1035" i="8"/>
  <c r="A1034" i="8"/>
  <c r="A1033" i="8"/>
  <c r="A1032" i="8"/>
  <c r="A1031" i="8"/>
  <c r="A1030" i="8"/>
  <c r="A1029" i="8"/>
  <c r="A1028" i="8"/>
  <c r="A1027" i="8"/>
  <c r="A1026" i="8"/>
  <c r="A1025" i="8"/>
  <c r="A1024" i="8"/>
  <c r="A1023" i="8"/>
  <c r="A1022" i="8"/>
  <c r="A1021" i="8"/>
  <c r="A1020" i="8"/>
  <c r="A1019" i="8"/>
  <c r="A1018" i="8"/>
  <c r="A1017" i="8"/>
  <c r="A1016" i="8"/>
  <c r="A1015" i="8"/>
  <c r="A1014" i="8"/>
  <c r="A1013" i="8"/>
  <c r="A1012" i="8"/>
  <c r="A1011" i="8"/>
  <c r="A1010" i="8"/>
  <c r="A1009" i="8"/>
  <c r="A1008" i="8"/>
  <c r="A1007" i="8"/>
  <c r="A1006" i="8"/>
  <c r="A1005" i="8"/>
  <c r="A1004" i="8"/>
  <c r="A1003" i="8"/>
  <c r="A1002" i="8"/>
  <c r="A1001" i="8"/>
  <c r="A1000" i="8"/>
  <c r="A999" i="8"/>
  <c r="A998" i="8"/>
  <c r="A997" i="8"/>
  <c r="A996" i="8"/>
  <c r="A995" i="8"/>
  <c r="A994" i="8"/>
  <c r="A993" i="8"/>
  <c r="A992" i="8"/>
  <c r="A991" i="8"/>
  <c r="A990" i="8"/>
  <c r="A989" i="8"/>
  <c r="A988" i="8"/>
  <c r="A987" i="8"/>
  <c r="A986" i="8"/>
  <c r="A985" i="8"/>
  <c r="A984" i="8"/>
  <c r="A983" i="8"/>
  <c r="A982" i="8"/>
  <c r="A981" i="8"/>
  <c r="A980" i="8"/>
  <c r="A979" i="8"/>
  <c r="A978" i="8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2" i="8"/>
  <c r="A951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2" i="8"/>
  <c r="A901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2" i="8"/>
  <c r="A851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804" i="8"/>
  <c r="A803" i="8"/>
  <c r="A802" i="8"/>
  <c r="A801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2" i="8"/>
  <c r="A751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2" i="8"/>
  <c r="A701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2" i="8"/>
  <c r="A651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2" i="8"/>
  <c r="A601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I2" i="5"/>
  <c r="A1" i="5"/>
  <c r="A1" i="4"/>
  <c r="H597" i="5" l="1"/>
  <c r="H590" i="5" s="1"/>
  <c r="H581" i="5" s="1"/>
  <c r="H574" i="5" s="1"/>
  <c r="H599" i="5" s="1"/>
  <c r="H592" i="5" s="1"/>
  <c r="H583" i="5" s="1"/>
  <c r="H576" i="5" s="1"/>
  <c r="H567" i="5" s="1"/>
  <c r="H560" i="5" s="1"/>
  <c r="H551" i="5" s="1"/>
  <c r="H544" i="5" s="1"/>
  <c r="H535" i="5" s="1"/>
  <c r="H528" i="5" s="1"/>
  <c r="H519" i="5" s="1"/>
  <c r="H512" i="5" s="1"/>
  <c r="H503" i="5" s="1"/>
  <c r="H496" i="5" s="1"/>
  <c r="H594" i="5" s="1"/>
  <c r="H585" i="5" s="1"/>
  <c r="H578" i="5" s="1"/>
  <c r="H569" i="5" s="1"/>
  <c r="H562" i="5" s="1"/>
  <c r="H553" i="5" s="1"/>
  <c r="H546" i="5" s="1"/>
  <c r="H537" i="5" s="1"/>
  <c r="H530" i="5" s="1"/>
  <c r="H596" i="5" s="1"/>
  <c r="H587" i="5" s="1"/>
  <c r="H580" i="5" s="1"/>
  <c r="H571" i="5" s="1"/>
  <c r="H564" i="5" s="1"/>
  <c r="H555" i="5" s="1"/>
  <c r="H548" i="5" s="1"/>
  <c r="H539" i="5" s="1"/>
  <c r="H532" i="5" s="1"/>
  <c r="H523" i="5" s="1"/>
  <c r="H516" i="5" s="1"/>
  <c r="H507" i="5" s="1"/>
  <c r="H500" i="5" s="1"/>
  <c r="H491" i="5" s="1"/>
  <c r="H598" i="5" s="1"/>
  <c r="H589" i="5" s="1"/>
  <c r="H582" i="5" s="1"/>
  <c r="H573" i="5" s="1"/>
  <c r="H566" i="5" s="1"/>
  <c r="H557" i="5" s="1"/>
  <c r="H550" i="5" s="1"/>
  <c r="H541" i="5" s="1"/>
  <c r="H534" i="5" s="1"/>
  <c r="H600" i="5" s="1"/>
  <c r="H591" i="5" s="1"/>
  <c r="H584" i="5" s="1"/>
  <c r="H575" i="5" s="1"/>
  <c r="H568" i="5" s="1"/>
  <c r="H559" i="5" s="1"/>
  <c r="H552" i="5" s="1"/>
  <c r="H543" i="5" s="1"/>
  <c r="H536" i="5" s="1"/>
  <c r="H527" i="5" s="1"/>
  <c r="H520" i="5" s="1"/>
  <c r="H511" i="5" s="1"/>
  <c r="H504" i="5" s="1"/>
  <c r="H495" i="5" s="1"/>
  <c r="H488" i="5" s="1"/>
  <c r="H593" i="5" s="1"/>
  <c r="H586" i="5" s="1"/>
  <c r="H577" i="5" s="1"/>
  <c r="H570" i="5" s="1"/>
  <c r="H561" i="5" s="1"/>
  <c r="H554" i="5" s="1"/>
  <c r="H545" i="5" s="1"/>
  <c r="H538" i="5" s="1"/>
  <c r="H529" i="5" s="1"/>
  <c r="H522" i="5" s="1"/>
  <c r="H595" i="5" s="1"/>
  <c r="H588" i="5" s="1"/>
  <c r="H579" i="5" s="1"/>
  <c r="H572" i="5" s="1"/>
  <c r="H563" i="5" s="1"/>
  <c r="H556" i="5" s="1"/>
  <c r="H547" i="5" s="1"/>
  <c r="H540" i="5" s="1"/>
  <c r="H531" i="5" s="1"/>
  <c r="H524" i="5" s="1"/>
  <c r="H515" i="5" s="1"/>
  <c r="H508" i="5" s="1"/>
  <c r="H499" i="5" s="1"/>
  <c r="H492" i="5" s="1"/>
  <c r="H558" i="5" s="1"/>
  <c r="H505" i="5" s="1"/>
  <c r="H502" i="5" s="1"/>
  <c r="H480" i="5" s="1"/>
  <c r="H472" i="5" s="1"/>
  <c r="H464" i="5" s="1"/>
  <c r="H456" i="5" s="1"/>
  <c r="H448" i="5" s="1"/>
  <c r="H440" i="5" s="1"/>
  <c r="H432" i="5" s="1"/>
  <c r="H424" i="5" s="1"/>
  <c r="H416" i="5" s="1"/>
  <c r="H408" i="5" s="1"/>
  <c r="H400" i="5" s="1"/>
  <c r="H392" i="5" s="1"/>
  <c r="H384" i="5" s="1"/>
  <c r="H374" i="5" s="1"/>
  <c r="H367" i="5" s="1"/>
  <c r="H358" i="5" s="1"/>
  <c r="H351" i="5" s="1"/>
  <c r="H342" i="5" s="1"/>
  <c r="H335" i="5" s="1"/>
  <c r="H326" i="5" s="1"/>
  <c r="H319" i="5" s="1"/>
  <c r="H565" i="5" s="1"/>
  <c r="H493" i="5" s="1"/>
  <c r="H490" i="5" s="1"/>
  <c r="H485" i="5" s="1"/>
  <c r="H477" i="5" s="1"/>
  <c r="H469" i="5" s="1"/>
  <c r="H461" i="5" s="1"/>
  <c r="H453" i="5" s="1"/>
  <c r="H445" i="5" s="1"/>
  <c r="H437" i="5" s="1"/>
  <c r="H429" i="5" s="1"/>
  <c r="H421" i="5" s="1"/>
  <c r="H413" i="5" s="1"/>
  <c r="H405" i="5" s="1"/>
  <c r="H397" i="5" s="1"/>
  <c r="H389" i="5" s="1"/>
  <c r="H381" i="5" s="1"/>
  <c r="H376" i="5" s="1"/>
  <c r="H369" i="5" s="1"/>
  <c r="H360" i="5" s="1"/>
  <c r="H353" i="5" s="1"/>
  <c r="H344" i="5" s="1"/>
  <c r="H337" i="5" s="1"/>
  <c r="H328" i="5" s="1"/>
  <c r="H321" i="5" s="1"/>
  <c r="H312" i="5" s="1"/>
  <c r="H305" i="5" s="1"/>
  <c r="H296" i="5" s="1"/>
  <c r="H525" i="5" s="1"/>
  <c r="H513" i="5" s="1"/>
  <c r="H510" i="5" s="1"/>
  <c r="H482" i="5" s="1"/>
  <c r="H474" i="5" s="1"/>
  <c r="H466" i="5" s="1"/>
  <c r="H458" i="5" s="1"/>
  <c r="H450" i="5" s="1"/>
  <c r="H442" i="5" s="1"/>
  <c r="H434" i="5" s="1"/>
  <c r="H426" i="5" s="1"/>
  <c r="H418" i="5" s="1"/>
  <c r="H410" i="5" s="1"/>
  <c r="H402" i="5" s="1"/>
  <c r="H394" i="5" s="1"/>
  <c r="H386" i="5" s="1"/>
  <c r="H378" i="5" s="1"/>
  <c r="H371" i="5" s="1"/>
  <c r="H362" i="5" s="1"/>
  <c r="H355" i="5" s="1"/>
  <c r="H346" i="5" s="1"/>
  <c r="H339" i="5" s="1"/>
  <c r="H330" i="5" s="1"/>
  <c r="H323" i="5" s="1"/>
  <c r="H314" i="5" s="1"/>
  <c r="H307" i="5" s="1"/>
  <c r="H298" i="5" s="1"/>
  <c r="H542" i="5" s="1"/>
  <c r="H501" i="5" s="1"/>
  <c r="H498" i="5" s="1"/>
  <c r="H487" i="5" s="1"/>
  <c r="H479" i="5" s="1"/>
  <c r="H471" i="5" s="1"/>
  <c r="H463" i="5" s="1"/>
  <c r="H455" i="5" s="1"/>
  <c r="H447" i="5" s="1"/>
  <c r="H439" i="5" s="1"/>
  <c r="H431" i="5" s="1"/>
  <c r="H423" i="5" s="1"/>
  <c r="H415" i="5" s="1"/>
  <c r="H407" i="5" s="1"/>
  <c r="H399" i="5" s="1"/>
  <c r="H391" i="5" s="1"/>
  <c r="H383" i="5" s="1"/>
  <c r="H373" i="5" s="1"/>
  <c r="H364" i="5" s="1"/>
  <c r="H357" i="5" s="1"/>
  <c r="H348" i="5" s="1"/>
  <c r="H341" i="5" s="1"/>
  <c r="H332" i="5" s="1"/>
  <c r="H325" i="5" s="1"/>
  <c r="H316" i="5" s="1"/>
  <c r="H309" i="5" s="1"/>
  <c r="H300" i="5" s="1"/>
  <c r="H293" i="5" s="1"/>
  <c r="H549" i="5" s="1"/>
  <c r="H521" i="5" s="1"/>
  <c r="H518" i="5" s="1"/>
  <c r="H484" i="5" s="1"/>
  <c r="H476" i="5" s="1"/>
  <c r="H468" i="5" s="1"/>
  <c r="H460" i="5" s="1"/>
  <c r="H452" i="5" s="1"/>
  <c r="H444" i="5" s="1"/>
  <c r="H436" i="5" s="1"/>
  <c r="H428" i="5" s="1"/>
  <c r="H420" i="5" s="1"/>
  <c r="H412" i="5" s="1"/>
  <c r="H404" i="5" s="1"/>
  <c r="H396" i="5" s="1"/>
  <c r="H388" i="5" s="1"/>
  <c r="H380" i="5" s="1"/>
  <c r="H375" i="5" s="1"/>
  <c r="H366" i="5" s="1"/>
  <c r="H359" i="5" s="1"/>
  <c r="H350" i="5" s="1"/>
  <c r="H343" i="5" s="1"/>
  <c r="H334" i="5" s="1"/>
  <c r="H327" i="5" s="1"/>
  <c r="H318" i="5" s="1"/>
  <c r="H311" i="5" s="1"/>
  <c r="H302" i="5" s="1"/>
  <c r="H509" i="5" s="1"/>
  <c r="H506" i="5" s="1"/>
  <c r="H489" i="5" s="1"/>
  <c r="H481" i="5" s="1"/>
  <c r="H473" i="5" s="1"/>
  <c r="H465" i="5" s="1"/>
  <c r="H457" i="5" s="1"/>
  <c r="H449" i="5" s="1"/>
  <c r="H441" i="5" s="1"/>
  <c r="H433" i="5" s="1"/>
  <c r="H425" i="5" s="1"/>
  <c r="H417" i="5" s="1"/>
  <c r="H409" i="5" s="1"/>
  <c r="H401" i="5" s="1"/>
  <c r="H393" i="5" s="1"/>
  <c r="H385" i="5" s="1"/>
  <c r="H377" i="5" s="1"/>
  <c r="H368" i="5" s="1"/>
  <c r="H361" i="5" s="1"/>
  <c r="H352" i="5" s="1"/>
  <c r="H345" i="5" s="1"/>
  <c r="H336" i="5" s="1"/>
  <c r="H329" i="5" s="1"/>
  <c r="H320" i="5" s="1"/>
  <c r="H313" i="5" s="1"/>
  <c r="H304" i="5" s="1"/>
  <c r="H497" i="5" s="1"/>
  <c r="H494" i="5" s="1"/>
  <c r="H486" i="5" s="1"/>
  <c r="H478" i="5" s="1"/>
  <c r="H470" i="5" s="1"/>
  <c r="H462" i="5" s="1"/>
  <c r="H454" i="5" s="1"/>
  <c r="H446" i="5" s="1"/>
  <c r="H438" i="5" s="1"/>
  <c r="H430" i="5" s="1"/>
  <c r="H422" i="5" s="1"/>
  <c r="H414" i="5" s="1"/>
  <c r="H406" i="5" s="1"/>
  <c r="H398" i="5" s="1"/>
  <c r="H390" i="5" s="1"/>
  <c r="H382" i="5" s="1"/>
  <c r="H370" i="5" s="1"/>
  <c r="H363" i="5" s="1"/>
  <c r="H354" i="5" s="1"/>
  <c r="H347" i="5" s="1"/>
  <c r="H338" i="5" s="1"/>
  <c r="H331" i="5" s="1"/>
  <c r="H322" i="5" s="1"/>
  <c r="H315" i="5" s="1"/>
  <c r="H306" i="5" s="1"/>
  <c r="H299" i="5" s="1"/>
  <c r="H533" i="5" s="1"/>
  <c r="H526" i="5" s="1"/>
  <c r="H517" i="5" s="1"/>
  <c r="H514" i="5" s="1"/>
  <c r="H483" i="5" s="1"/>
  <c r="H475" i="5" s="1"/>
  <c r="H467" i="5" s="1"/>
  <c r="H459" i="5" s="1"/>
  <c r="H451" i="5" s="1"/>
  <c r="H443" i="5" s="1"/>
  <c r="H435" i="5" s="1"/>
  <c r="H427" i="5" s="1"/>
  <c r="H419" i="5" s="1"/>
  <c r="H411" i="5" s="1"/>
  <c r="H403" i="5" s="1"/>
  <c r="H395" i="5" s="1"/>
  <c r="H387" i="5" s="1"/>
  <c r="H379" i="5" s="1"/>
  <c r="H372" i="5" s="1"/>
  <c r="H365" i="5" s="1"/>
  <c r="H356" i="5" s="1"/>
  <c r="H349" i="5" s="1"/>
  <c r="H340" i="5" s="1"/>
  <c r="H333" i="5" s="1"/>
  <c r="H324" i="5" s="1"/>
  <c r="H317" i="5" s="1"/>
  <c r="H308" i="5" s="1"/>
  <c r="H301" i="5" s="1"/>
  <c r="H292" i="5" s="1"/>
  <c r="H290" i="5" s="1"/>
  <c r="H283" i="5" s="1"/>
  <c r="H274" i="5" s="1"/>
  <c r="H267" i="5" s="1"/>
  <c r="H258" i="5" s="1"/>
  <c r="H251" i="5" s="1"/>
  <c r="H242" i="5" s="1"/>
  <c r="H235" i="5" s="1"/>
  <c r="H226" i="5" s="1"/>
  <c r="H219" i="5" s="1"/>
  <c r="H210" i="5" s="1"/>
  <c r="H203" i="5" s="1"/>
  <c r="H194" i="5" s="1"/>
  <c r="H295" i="5" s="1"/>
  <c r="H285" i="5" s="1"/>
  <c r="H276" i="5" s="1"/>
  <c r="H269" i="5" s="1"/>
  <c r="H260" i="5" s="1"/>
  <c r="H253" i="5" s="1"/>
  <c r="H244" i="5" s="1"/>
  <c r="H237" i="5" s="1"/>
  <c r="H228" i="5" s="1"/>
  <c r="H221" i="5" s="1"/>
  <c r="H212" i="5" s="1"/>
  <c r="H205" i="5" s="1"/>
  <c r="H196" i="5" s="1"/>
  <c r="H189" i="5" s="1"/>
  <c r="H187" i="5" s="1"/>
  <c r="H185" i="5" s="1"/>
  <c r="H183" i="5" s="1"/>
  <c r="H181" i="5" s="1"/>
  <c r="H179" i="5" s="1"/>
  <c r="H177" i="5" s="1"/>
  <c r="H175" i="5" s="1"/>
  <c r="H173" i="5" s="1"/>
  <c r="H171" i="5" s="1"/>
  <c r="H169" i="5" s="1"/>
  <c r="H167" i="5" s="1"/>
  <c r="H165" i="5" s="1"/>
  <c r="H163" i="5" s="1"/>
  <c r="H287" i="5" s="1"/>
  <c r="H278" i="5" s="1"/>
  <c r="H271" i="5" s="1"/>
  <c r="H262" i="5" s="1"/>
  <c r="H255" i="5" s="1"/>
  <c r="H246" i="5" s="1"/>
  <c r="H239" i="5" s="1"/>
  <c r="H230" i="5" s="1"/>
  <c r="H223" i="5" s="1"/>
  <c r="H214" i="5" s="1"/>
  <c r="H207" i="5" s="1"/>
  <c r="H198" i="5" s="1"/>
  <c r="H297" i="5" s="1"/>
  <c r="H289" i="5" s="1"/>
  <c r="H280" i="5" s="1"/>
  <c r="H273" i="5" s="1"/>
  <c r="H264" i="5" s="1"/>
  <c r="H257" i="5" s="1"/>
  <c r="H248" i="5" s="1"/>
  <c r="H241" i="5" s="1"/>
  <c r="H232" i="5" s="1"/>
  <c r="H225" i="5" s="1"/>
  <c r="H216" i="5" s="1"/>
  <c r="H209" i="5" s="1"/>
  <c r="H200" i="5" s="1"/>
  <c r="H294" i="5" s="1"/>
  <c r="H291" i="5" s="1"/>
  <c r="H282" i="5" s="1"/>
  <c r="H275" i="5" s="1"/>
  <c r="H266" i="5" s="1"/>
  <c r="H259" i="5" s="1"/>
  <c r="H250" i="5" s="1"/>
  <c r="H243" i="5" s="1"/>
  <c r="H234" i="5" s="1"/>
  <c r="H227" i="5" s="1"/>
  <c r="H218" i="5" s="1"/>
  <c r="H211" i="5" s="1"/>
  <c r="H202" i="5" s="1"/>
  <c r="H284" i="5" s="1"/>
  <c r="H277" i="5" s="1"/>
  <c r="H268" i="5" s="1"/>
  <c r="H261" i="5" s="1"/>
  <c r="H252" i="5" s="1"/>
  <c r="H245" i="5" s="1"/>
  <c r="H236" i="5" s="1"/>
  <c r="H229" i="5" s="1"/>
  <c r="H220" i="5" s="1"/>
  <c r="H213" i="5" s="1"/>
  <c r="H204" i="5" s="1"/>
  <c r="H197" i="5" s="1"/>
  <c r="H188" i="5" s="1"/>
  <c r="H186" i="5" s="1"/>
  <c r="H184" i="5" s="1"/>
  <c r="H182" i="5" s="1"/>
  <c r="H180" i="5" s="1"/>
  <c r="H178" i="5" s="1"/>
  <c r="H176" i="5" s="1"/>
  <c r="H174" i="5" s="1"/>
  <c r="H172" i="5" s="1"/>
  <c r="H170" i="5" s="1"/>
  <c r="H168" i="5" s="1"/>
  <c r="H166" i="5" s="1"/>
  <c r="H164" i="5" s="1"/>
  <c r="H162" i="5" s="1"/>
  <c r="H160" i="5" s="1"/>
  <c r="H158" i="5" s="1"/>
  <c r="H156" i="5" s="1"/>
  <c r="H154" i="5" s="1"/>
  <c r="H152" i="5" s="1"/>
  <c r="H150" i="5" s="1"/>
  <c r="H148" i="5" s="1"/>
  <c r="H146" i="5" s="1"/>
  <c r="H144" i="5" s="1"/>
  <c r="H142" i="5" s="1"/>
  <c r="H140" i="5" s="1"/>
  <c r="H138" i="5" s="1"/>
  <c r="H136" i="5" s="1"/>
  <c r="H134" i="5" s="1"/>
  <c r="H132" i="5" s="1"/>
  <c r="H130" i="5" s="1"/>
  <c r="H128" i="5" s="1"/>
  <c r="H126" i="5" s="1"/>
  <c r="H124" i="5" s="1"/>
  <c r="H122" i="5" s="1"/>
  <c r="H120" i="5" s="1"/>
  <c r="H118" i="5" s="1"/>
  <c r="H116" i="5" s="1"/>
  <c r="H114" i="5" s="1"/>
  <c r="H112" i="5" s="1"/>
  <c r="H110" i="5" s="1"/>
  <c r="H108" i="5" s="1"/>
  <c r="H106" i="5" s="1"/>
  <c r="H104" i="5" s="1"/>
  <c r="H102" i="5" s="1"/>
  <c r="H100" i="5" s="1"/>
  <c r="H303" i="5" s="1"/>
  <c r="H286" i="5" s="1"/>
  <c r="H279" i="5" s="1"/>
  <c r="H270" i="5" s="1"/>
  <c r="H263" i="5" s="1"/>
  <c r="H254" i="5" s="1"/>
  <c r="H247" i="5" s="1"/>
  <c r="H238" i="5" s="1"/>
  <c r="H231" i="5" s="1"/>
  <c r="H222" i="5" s="1"/>
  <c r="H215" i="5" s="1"/>
  <c r="H310" i="5" s="1"/>
  <c r="H288" i="5" s="1"/>
  <c r="H281" i="5" s="1"/>
  <c r="H272" i="5" s="1"/>
  <c r="H265" i="5" s="1"/>
  <c r="H256" i="5" s="1"/>
  <c r="H249" i="5" s="1"/>
  <c r="H240" i="5" s="1"/>
  <c r="H233" i="5" s="1"/>
  <c r="H224" i="5" s="1"/>
  <c r="H217" i="5" s="1"/>
  <c r="H208" i="5" s="1"/>
  <c r="H195" i="5" s="1"/>
  <c r="H190" i="5" s="1"/>
  <c r="H93" i="5" s="1"/>
  <c r="H84" i="5" s="1"/>
  <c r="H77" i="5" s="1"/>
  <c r="H68" i="5" s="1"/>
  <c r="H61" i="5" s="1"/>
  <c r="H79" i="5" s="1"/>
  <c r="H70" i="5" s="1"/>
  <c r="H63" i="5" s="1"/>
  <c r="H161" i="5" s="1"/>
  <c r="H153" i="5" s="1"/>
  <c r="H145" i="5" s="1"/>
  <c r="H137" i="5" s="1"/>
  <c r="H129" i="5" s="1"/>
  <c r="H121" i="5" s="1"/>
  <c r="H113" i="5" s="1"/>
  <c r="H105" i="5" s="1"/>
  <c r="H95" i="5" s="1"/>
  <c r="H86" i="5" s="1"/>
  <c r="H201" i="5" s="1"/>
  <c r="H192" i="5" s="1"/>
  <c r="H97" i="5" s="1"/>
  <c r="H88" i="5" s="1"/>
  <c r="H81" i="5" s="1"/>
  <c r="H72" i="5" s="1"/>
  <c r="H65" i="5" s="1"/>
  <c r="H56" i="5" s="1"/>
  <c r="H54" i="5" s="1"/>
  <c r="H52" i="5" s="1"/>
  <c r="H50" i="5" s="1"/>
  <c r="H48" i="5" s="1"/>
  <c r="H46" i="5" s="1"/>
  <c r="H44" i="5" s="1"/>
  <c r="H42" i="5" s="1"/>
  <c r="H40" i="5" s="1"/>
  <c r="H38" i="5" s="1"/>
  <c r="H36" i="5" s="1"/>
  <c r="H34" i="5" s="1"/>
  <c r="H32" i="5" s="1"/>
  <c r="H30" i="5" s="1"/>
  <c r="H28" i="5" s="1"/>
  <c r="H26" i="5" s="1"/>
  <c r="H24" i="5" s="1"/>
  <c r="H22" i="5" s="1"/>
  <c r="H20" i="5" s="1"/>
  <c r="H18" i="5" s="1"/>
  <c r="H16" i="5" s="1"/>
  <c r="H14" i="5" s="1"/>
  <c r="H12" i="5" s="1"/>
  <c r="H10" i="5" s="1"/>
  <c r="H8" i="5" s="1"/>
  <c r="H6" i="5" s="1"/>
  <c r="H4" i="5" s="1"/>
  <c r="H2" i="5" s="1"/>
  <c r="H155" i="5" s="1"/>
  <c r="H147" i="5" s="1"/>
  <c r="H139" i="5" s="1"/>
  <c r="H131" i="5" s="1"/>
  <c r="H123" i="5" s="1"/>
  <c r="H115" i="5" s="1"/>
  <c r="H107" i="5" s="1"/>
  <c r="H99" i="5" s="1"/>
  <c r="H90" i="5" s="1"/>
  <c r="H83" i="5" s="1"/>
  <c r="H74" i="5" s="1"/>
  <c r="H67" i="5" s="1"/>
  <c r="H58" i="5" s="1"/>
  <c r="H92" i="5" s="1"/>
  <c r="H85" i="5" s="1"/>
  <c r="H76" i="5" s="1"/>
  <c r="H69" i="5" s="1"/>
  <c r="H60" i="5" s="1"/>
  <c r="H191" i="5" s="1"/>
  <c r="H157" i="5" s="1"/>
  <c r="H149" i="5" s="1"/>
  <c r="H141" i="5" s="1"/>
  <c r="H133" i="5" s="1"/>
  <c r="H125" i="5" s="1"/>
  <c r="H117" i="5" s="1"/>
  <c r="H109" i="5" s="1"/>
  <c r="H101" i="5" s="1"/>
  <c r="H94" i="5" s="1"/>
  <c r="H87" i="5" s="1"/>
  <c r="H78" i="5" s="1"/>
  <c r="H71" i="5" s="1"/>
  <c r="H62" i="5" s="1"/>
  <c r="H47" i="5" s="1"/>
  <c r="H41" i="5" s="1"/>
  <c r="H37" i="5" s="1"/>
  <c r="H33" i="5" s="1"/>
  <c r="H31" i="5" s="1"/>
  <c r="H27" i="5" s="1"/>
  <c r="H23" i="5" s="1"/>
  <c r="H21" i="5" s="1"/>
  <c r="H17" i="5" s="1"/>
  <c r="H13" i="5" s="1"/>
  <c r="H9" i="5" s="1"/>
  <c r="H7" i="5" s="1"/>
  <c r="H3" i="5" s="1"/>
  <c r="H193" i="5" s="1"/>
  <c r="H96" i="5" s="1"/>
  <c r="H89" i="5" s="1"/>
  <c r="H80" i="5" s="1"/>
  <c r="H73" i="5" s="1"/>
  <c r="H64" i="5" s="1"/>
  <c r="H57" i="5" s="1"/>
  <c r="H55" i="5" s="1"/>
  <c r="H53" i="5" s="1"/>
  <c r="H51" i="5" s="1"/>
  <c r="H49" i="5" s="1"/>
  <c r="H45" i="5" s="1"/>
  <c r="H43" i="5" s="1"/>
  <c r="H39" i="5" s="1"/>
  <c r="H35" i="5" s="1"/>
  <c r="H29" i="5" s="1"/>
  <c r="H25" i="5" s="1"/>
  <c r="H19" i="5" s="1"/>
  <c r="H15" i="5" s="1"/>
  <c r="H11" i="5" s="1"/>
  <c r="H5" i="5" s="1"/>
  <c r="H206" i="5" s="1"/>
  <c r="H199" i="5" s="1"/>
  <c r="H159" i="5" s="1"/>
  <c r="H151" i="5" s="1"/>
  <c r="H143" i="5" s="1"/>
  <c r="H135" i="5" s="1"/>
  <c r="H127" i="5" s="1"/>
  <c r="H119" i="5" s="1"/>
  <c r="H111" i="5" s="1"/>
  <c r="H103" i="5" s="1"/>
  <c r="H98" i="5" s="1"/>
  <c r="H91" i="5" s="1"/>
  <c r="H82" i="5" s="1"/>
  <c r="H75" i="5" s="1"/>
  <c r="H66" i="5" s="1"/>
  <c r="H59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0000-000001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Account.Tipo_de_Programa__c</t>
        </r>
      </text>
    </comment>
    <comment ref="B1" authorId="0" shapeId="0" xr:uid="{00000000-0006-0000-0000-000002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CONTACT_ID</t>
        </r>
      </text>
    </comment>
    <comment ref="C1" authorId="0" shapeId="0" xr:uid="{00000000-0006-0000-0000-000003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FIRST_NAME</t>
        </r>
      </text>
    </comment>
    <comment ref="D1" authorId="0" shapeId="0" xr:uid="{00000000-0006-0000-0000-000004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LAST_NAME</t>
        </r>
      </text>
    </comment>
    <comment ref="E1" authorId="0" shapeId="0" xr:uid="{00000000-0006-0000-0000-000005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Contact.Status_Lider__c</t>
        </r>
      </text>
    </comment>
    <comment ref="F1" authorId="0" shapeId="0" xr:uid="{00000000-0006-0000-0000-000006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Contact.Semestre_Falcons__c</t>
        </r>
      </text>
    </comment>
    <comment ref="G1" authorId="0" shapeId="0" xr:uid="{00000000-0006-0000-0000-000007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EMAIL</t>
        </r>
      </text>
    </comment>
    <comment ref="H1" authorId="0" shapeId="0" xr:uid="{00000000-0006-0000-0000-000008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PHONE3</t>
        </r>
      </text>
    </comment>
    <comment ref="I1" authorId="0" shapeId="0" xr:uid="{00000000-0006-0000-0000-000009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BIRTHDATE</t>
        </r>
      </text>
    </comment>
    <comment ref="J1" authorId="0" shapeId="0" xr:uid="{00000000-0006-0000-0000-00000A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Contact.Idade__c</t>
        </r>
      </text>
    </comment>
    <comment ref="K1" authorId="0" shapeId="0" xr:uid="{00000000-0006-0000-0000-00000B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Contact.RG__c</t>
        </r>
      </text>
    </comment>
    <comment ref="L1" authorId="0" shapeId="0" xr:uid="{00000000-0006-0000-0000-00000C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Contact.CPF__c</t>
        </r>
      </text>
    </comment>
    <comment ref="M1" authorId="0" shapeId="0" xr:uid="{00000000-0006-0000-0000-00000D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Contact.rea_de_Forma_o__c</t>
        </r>
      </text>
    </comment>
    <comment ref="N1" authorId="0" shapeId="0" xr:uid="{00000000-0006-0000-0000-00000E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TITLE</t>
        </r>
      </text>
    </comment>
    <comment ref="O1" authorId="0" shapeId="0" xr:uid="{00000000-0006-0000-0000-00000F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Contact.Tamanho_da_camiseta__c</t>
        </r>
      </text>
    </comment>
    <comment ref="P1" authorId="0" shapeId="0" xr:uid="{00000000-0006-0000-0000-000010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Contact.Qual_raca_etnia__c</t>
        </r>
      </text>
    </comment>
    <comment ref="Q1" authorId="0" shapeId="0" xr:uid="{00000000-0006-0000-0000-000011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Contact.Qual_o_seu_g_nero__c</t>
        </r>
      </text>
    </comment>
    <comment ref="R1" authorId="0" shapeId="0" xr:uid="{00000000-0006-0000-0000-000012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Contact.Trabalha_em_tempo_integral_na_ONG__c</t>
        </r>
      </text>
    </comment>
    <comment ref="S1" authorId="0" shapeId="0" xr:uid="{00000000-0006-0000-0000-000013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Contact.Mini_Biografia__c</t>
        </r>
      </text>
    </comment>
    <comment ref="T1" authorId="0" shapeId="0" xr:uid="{00000000-0006-0000-0000-000014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Contact.Sexo_Biol_gico__c</t>
        </r>
      </text>
    </comment>
    <comment ref="U1" authorId="0" shapeId="0" xr:uid="{00000000-0006-0000-0000-000015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Contact.Orienta_o_Sexual__c</t>
        </r>
      </text>
    </comment>
    <comment ref="V1" authorId="0" shapeId="0" xr:uid="{00000000-0006-0000-0000-000016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Contact.Escolaridade__c</t>
        </r>
      </text>
    </comment>
    <comment ref="W1" authorId="0" shapeId="0" xr:uid="{00000000-0006-0000-0000-000017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Contact.Tipo_de_institui_o_de_ensino_b_sico__c</t>
        </r>
      </text>
    </comment>
    <comment ref="X1" authorId="0" shapeId="0" xr:uid="{00000000-0006-0000-0000-000018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Contact.N_vel_de_ensino_superior__c</t>
        </r>
      </text>
    </comment>
    <comment ref="Y1" authorId="0" shapeId="0" xr:uid="{00000000-0006-0000-0000-000019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Contact.Tipo_de_institui_o_de_ensino_superior__c</t>
        </r>
      </text>
    </comment>
    <comment ref="Z1" authorId="0" shapeId="0" xr:uid="{00000000-0006-0000-0000-00001A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ADDRESS2_STREET</t>
        </r>
      </text>
    </comment>
    <comment ref="AA1" authorId="0" shapeId="0" xr:uid="{00000000-0006-0000-0000-00001B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Contact.N_mero_da_resid_ncia__c</t>
        </r>
      </text>
    </comment>
    <comment ref="AB1" authorId="0" shapeId="0" xr:uid="{00000000-0006-0000-0000-00001C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Contact.Complemento_de_correspond_ncia__c</t>
        </r>
      </text>
    </comment>
    <comment ref="AC1" authorId="0" shapeId="0" xr:uid="{00000000-0006-0000-0000-00001D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ADDRESS2_CITY</t>
        </r>
      </text>
    </comment>
    <comment ref="AD1" authorId="0" shapeId="0" xr:uid="{00000000-0006-0000-0000-00001E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ADDRESS2_ZIP</t>
        </r>
      </text>
    </comment>
    <comment ref="AE1" authorId="0" shapeId="0" xr:uid="{00000000-0006-0000-0000-00001F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ADDRESS2_STATE</t>
        </r>
      </text>
    </comment>
    <comment ref="AF1" authorId="0" shapeId="0" xr:uid="{00000000-0006-0000-0000-000020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Contact.Valor_bruto_da_Renda__c</t>
        </r>
      </text>
    </comment>
    <comment ref="AG1" authorId="0" shapeId="0" xr:uid="{00000000-0006-0000-0000-000021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Contact.Condi_o_de_emprego_dos_membros_familia__c</t>
        </r>
      </text>
    </comment>
    <comment ref="AH1" authorId="0" shapeId="0" xr:uid="{00000000-0006-0000-0000-000022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Contact.Condi_es_de_moradia__c</t>
        </r>
      </text>
    </comment>
    <comment ref="AI1" authorId="0" shapeId="0" xr:uid="{00000000-0006-0000-0000-000023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Contact.Quantas_pessoas_dependem_dessa_renda__c</t>
        </r>
      </text>
    </comment>
    <comment ref="AJ1" authorId="0" shapeId="0" xr:uid="{00000000-0006-0000-0000-000024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Contact.Voc_tem_alguma_defici_ncia__c</t>
        </r>
      </text>
    </comment>
    <comment ref="AK1" authorId="0" shapeId="0" xr:uid="{00000000-0006-0000-0000-000025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Contact.Voc_possui_alguma_restri_o_alimentar__c</t>
        </r>
      </text>
    </comment>
    <comment ref="AL1" authorId="0" shapeId="0" xr:uid="{00000000-0006-0000-0000-000026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Contact.Link_linkedin_lider__c</t>
        </r>
      </text>
    </comment>
    <comment ref="AM1" authorId="0" shapeId="0" xr:uid="{00000000-0006-0000-0000-000027000000}">
      <text>
        <r>
          <rPr>
            <sz val="10"/>
            <color rgb="FF000000"/>
            <rFont val="Arial"/>
            <family val="2"/>
            <scheme val="minor"/>
          </rPr>
          <t>Salesforce Report Data
Report: Relatório OFICIAL Líderes - Operações
Field: Contact.Link_Instagram_l_der__c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I1" authorId="0" shapeId="0" xr:uid="{00000000-0006-0000-0300-000001000000}">
      <text>
        <r>
          <rPr>
            <sz val="10"/>
            <color rgb="FF000000"/>
            <rFont val="Arial"/>
            <family val="2"/>
            <scheme val="minor"/>
          </rPr>
          <t>Coefficient writeback result</t>
        </r>
      </text>
    </comment>
    <comment ref="J1" authorId="0" shapeId="0" xr:uid="{00000000-0006-0000-0300-000002000000}">
      <text>
        <r>
          <rPr>
            <sz val="10"/>
            <color rgb="FF000000"/>
            <rFont val="Arial"/>
            <family val="2"/>
            <scheme val="minor"/>
          </rPr>
          <t>Coefficient writeback result</t>
        </r>
      </text>
    </comment>
    <comment ref="K1" authorId="0" shapeId="0" xr:uid="{00000000-0006-0000-0300-000003000000}">
      <text>
        <r>
          <rPr>
            <sz val="10"/>
            <color rgb="FF000000"/>
            <rFont val="Arial"/>
            <family val="2"/>
            <scheme val="minor"/>
          </rPr>
          <t>Coefficient writeback result</t>
        </r>
      </text>
    </comment>
  </commentList>
</comments>
</file>

<file path=xl/sharedStrings.xml><?xml version="1.0" encoding="utf-8"?>
<sst xmlns="http://schemas.openxmlformats.org/spreadsheetml/2006/main" count="64743" uniqueCount="7769">
  <si>
    <t>Tipo de Programa</t>
  </si>
  <si>
    <t>Telefone</t>
  </si>
  <si>
    <t>Fellow</t>
  </si>
  <si>
    <t>AL</t>
  </si>
  <si>
    <t>Padre Cicero</t>
  </si>
  <si>
    <t>Boca da Mata</t>
  </si>
  <si>
    <t>57680-000</t>
  </si>
  <si>
    <t>Sim</t>
  </si>
  <si>
    <t>ASSOCIAÇÃO DO MORRO PARA O RINGUE</t>
  </si>
  <si>
    <t>RJ</t>
  </si>
  <si>
    <t>Benfica</t>
  </si>
  <si>
    <t>Rio de Janeiro</t>
  </si>
  <si>
    <t>[]</t>
  </si>
  <si>
    <t>MG</t>
  </si>
  <si>
    <t>Jardim Teresópolis</t>
  </si>
  <si>
    <t>Betim</t>
  </si>
  <si>
    <t>17997433941</t>
  </si>
  <si>
    <t>SP</t>
  </si>
  <si>
    <t>Fernandópolis</t>
  </si>
  <si>
    <t>Complexo do Alemão</t>
  </si>
  <si>
    <t>Não</t>
  </si>
  <si>
    <t>São Paulo</t>
  </si>
  <si>
    <t>PALAVRAS ENCANTADAS</t>
  </si>
  <si>
    <t>(32)8800-7547</t>
  </si>
  <si>
    <t>Morro Nossa Senhora da Conceição</t>
  </si>
  <si>
    <t>Além Paraíba</t>
  </si>
  <si>
    <t>36660-000</t>
  </si>
  <si>
    <t>Acelerada</t>
  </si>
  <si>
    <t>aron.ramos@institutoresgatandovidas.org.br</t>
  </si>
  <si>
    <t>dodopercu@hotmail.com</t>
  </si>
  <si>
    <t>Belo Horizonte</t>
  </si>
  <si>
    <t>diretoramotivar@gmail.com</t>
  </si>
  <si>
    <t>RN</t>
  </si>
  <si>
    <t>NATAL</t>
  </si>
  <si>
    <t>...</t>
  </si>
  <si>
    <t>abracocampeao@gmail.com</t>
  </si>
  <si>
    <t>financeiro@mandaver.org</t>
  </si>
  <si>
    <t> </t>
  </si>
  <si>
    <t>Maceió</t>
  </si>
  <si>
    <t>duci@coresdomara.org.br</t>
  </si>
  <si>
    <t>MA</t>
  </si>
  <si>
    <t>Rua Tarquinio Lopes</t>
  </si>
  <si>
    <t>São Luís</t>
  </si>
  <si>
    <t>leomartins@institutoogrito.org</t>
  </si>
  <si>
    <t>Rua Serro</t>
  </si>
  <si>
    <t>Contagem</t>
  </si>
  <si>
    <t>rafaelmarcelinooliveira@gmail.com</t>
  </si>
  <si>
    <t>GO</t>
  </si>
  <si>
    <t>Goiânia</t>
  </si>
  <si>
    <t>ASSOCIACAO APRENDER CULTURA</t>
  </si>
  <si>
    <t>ES</t>
  </si>
  <si>
    <t>Cariacica</t>
  </si>
  <si>
    <t>PR</t>
  </si>
  <si>
    <t>Itirapina</t>
  </si>
  <si>
    <t>camila@institutoincanto.org.br</t>
  </si>
  <si>
    <t>Curitiba</t>
  </si>
  <si>
    <t>thiagooterovale@gmail.com</t>
  </si>
  <si>
    <t>Rua Belo Horizonte</t>
  </si>
  <si>
    <t>Ninheira</t>
  </si>
  <si>
    <t>Uberlândia</t>
  </si>
  <si>
    <t>PE</t>
  </si>
  <si>
    <t>Recife</t>
  </si>
  <si>
    <t>Suzano</t>
  </si>
  <si>
    <t>rdcnina@gmail.com</t>
  </si>
  <si>
    <t>RS</t>
  </si>
  <si>
    <t>Porto Alegre</t>
  </si>
  <si>
    <t>Unidade Própria</t>
  </si>
  <si>
    <t>gerandofalcoes@gerandofalcoes.com</t>
  </si>
  <si>
    <t>(11)7745-9862</t>
  </si>
  <si>
    <t>Rua Niterói</t>
  </si>
  <si>
    <t>Poá</t>
  </si>
  <si>
    <t>contatogf@gerandofalcoes.com</t>
  </si>
  <si>
    <t>Cidade Kemel</t>
  </si>
  <si>
    <t>katiana.lider@gmail.com</t>
  </si>
  <si>
    <t>CE</t>
  </si>
  <si>
    <t>Fortaleza</t>
  </si>
  <si>
    <t>60540-605</t>
  </si>
  <si>
    <t>PROJETO VIELA</t>
  </si>
  <si>
    <t>projeto.viela@gmail.com</t>
  </si>
  <si>
    <t>Rua Macedônio Fernandes</t>
  </si>
  <si>
    <t>05818-340</t>
  </si>
  <si>
    <t>AGECOM- PROJETO GERAÇÃO DA CHICO</t>
  </si>
  <si>
    <t>projetoagecom@gmail.com</t>
  </si>
  <si>
    <t>(48)9999-5583</t>
  </si>
  <si>
    <t>SC</t>
  </si>
  <si>
    <t>Servidao pétalas dumont</t>
  </si>
  <si>
    <t>Monte Cristo- comunidade Chico Mendes</t>
  </si>
  <si>
    <t>São José</t>
  </si>
  <si>
    <t>institutodasaguias@gmail.com</t>
  </si>
  <si>
    <t>Rua Tenente Renato Aguiar</t>
  </si>
  <si>
    <t>Serrinha</t>
  </si>
  <si>
    <t>institutorahamim@gmail.com</t>
  </si>
  <si>
    <t>SE</t>
  </si>
  <si>
    <t>Rua 32</t>
  </si>
  <si>
    <t>Aracaju</t>
  </si>
  <si>
    <t>PROJETO TIJOLINHO</t>
  </si>
  <si>
    <t>projetoespacotijolinho@gmail.com</t>
  </si>
  <si>
    <t>(00)0000-0000</t>
  </si>
  <si>
    <t>Maré</t>
  </si>
  <si>
    <t>Rio De Janeiro</t>
  </si>
  <si>
    <t>ASSOCIAÇÃO PROTOTIPANDO A QUEBRADA</t>
  </si>
  <si>
    <t>prototipandoaquebrada@gmail.com</t>
  </si>
  <si>
    <t>(48)9934-4387</t>
  </si>
  <si>
    <t>Centro</t>
  </si>
  <si>
    <t>Palhoça</t>
  </si>
  <si>
    <t>ASSOCIACAO ESPORTIVA TRANSFORMACAO</t>
  </si>
  <si>
    <t>transformacao.tsc@hotmail.com</t>
  </si>
  <si>
    <t>serra</t>
  </si>
  <si>
    <t>casa</t>
  </si>
  <si>
    <t>ASSOCIAÇÃO ZEIZA DOJO</t>
  </si>
  <si>
    <t>zeizadojo@gmail.com</t>
  </si>
  <si>
    <t>GRANADA</t>
  </si>
  <si>
    <t>&lt;a href="javascript:openPopupFocus%28%27https%3A%2F%2Fwww.linkedin.com%2Fin%2Fzeiza-matildes-840235155%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title="https://www.linkedin.com/in/zeiza-matildes-840235155/ (Nova janela)"&gt;https://www.linkedin.com/in/zeiza-matildes-840235155/&lt;/a&gt;</t>
  </si>
  <si>
    <t>Duque de Caixa</t>
  </si>
  <si>
    <t>Rua São Vicente</t>
  </si>
  <si>
    <t>FAVELA RADICAL</t>
  </si>
  <si>
    <t>favelaradical@gmail.com</t>
  </si>
  <si>
    <t>Rua Libania de Lima Croock</t>
  </si>
  <si>
    <t>São Vicente</t>
  </si>
  <si>
    <t>11335-050</t>
  </si>
  <si>
    <t>Mesquita</t>
  </si>
  <si>
    <t>Alameda Cleveland</t>
  </si>
  <si>
    <t>S/N</t>
  </si>
  <si>
    <t>Serra</t>
  </si>
  <si>
    <t>Rua Tancredo Neves</t>
  </si>
  <si>
    <t>Vitória</t>
  </si>
  <si>
    <t>balletnapontadospes@gmail.com</t>
  </si>
  <si>
    <t>direcao@grupoanjosdatiastellinha.org.br</t>
  </si>
  <si>
    <t>VOZES DAS PERIFERIAS</t>
  </si>
  <si>
    <t>cesar@vozesdasperiferias.com</t>
  </si>
  <si>
    <t>marcelo@novosherdeiros.com.br</t>
  </si>
  <si>
    <t>maiara@fortini.org.br</t>
  </si>
  <si>
    <t>amandaoliveiraes@gmail.com</t>
  </si>
  <si>
    <t>São José do Rio Preto</t>
  </si>
  <si>
    <t>odilon@institutosonharalto.org</t>
  </si>
  <si>
    <t>Rua Igarapava</t>
  </si>
  <si>
    <t>Guarulhos</t>
  </si>
  <si>
    <t>PENSANDO BEM</t>
  </si>
  <si>
    <t>ruteniodesign@gmail.com</t>
  </si>
  <si>
    <t>Rua Rosinha Sampaio</t>
  </si>
  <si>
    <t>cintiasantanna.rc@gmail.com</t>
  </si>
  <si>
    <t>Ladeira do Faria</t>
  </si>
  <si>
    <t>anapaulasilvasouza69@gmail.com</t>
  </si>
  <si>
    <t>Senador Elói de Souza</t>
  </si>
  <si>
    <t>leonardo.precioso@recomecar360.org</t>
  </si>
  <si>
    <t>NA</t>
  </si>
  <si>
    <t>SANTA CRUZ PONTA DA SERRA</t>
  </si>
  <si>
    <t>patriciawyniver@outlook.com</t>
  </si>
  <si>
    <t>BA</t>
  </si>
  <si>
    <t>ASSENTAMENTO CAIMÃ PONTA DA SERRA</t>
  </si>
  <si>
    <t>ADUSTINA</t>
  </si>
  <si>
    <t>Rua João Fernandes Neto</t>
  </si>
  <si>
    <t>Belford Roxo</t>
  </si>
  <si>
    <t>contatodaniluzia@gmail.com</t>
  </si>
  <si>
    <t>Rua Professor Francisco Pinheiro</t>
  </si>
  <si>
    <t>Av. Caititu</t>
  </si>
  <si>
    <t>mauricio@rugbyparatodos.org.br</t>
  </si>
  <si>
    <t>castro.lenir@gmail.com</t>
  </si>
  <si>
    <t>Divinópolis</t>
  </si>
  <si>
    <t>Duque de Caxias</t>
  </si>
  <si>
    <t>CENTRO CULTURAL DONA ANTÔNIA</t>
  </si>
  <si>
    <t>comunicacao@donaantonia.org.br</t>
  </si>
  <si>
    <t>Novo Horizonte</t>
  </si>
  <si>
    <t>Servidão Farias</t>
  </si>
  <si>
    <t>Florianópolis</t>
  </si>
  <si>
    <t>Guarujá</t>
  </si>
  <si>
    <t>PB</t>
  </si>
  <si>
    <t>Maturéia</t>
  </si>
  <si>
    <t>Rua Coronel França Leite</t>
  </si>
  <si>
    <t>São João de Meriti</t>
  </si>
  <si>
    <t>Avenida Artur Bernardes</t>
  </si>
  <si>
    <t>ASSOCIAÇAO CIRCUITO INCLUSAO</t>
  </si>
  <si>
    <t>circuitoinclusao@gmail.com</t>
  </si>
  <si>
    <t>RUA DAS CHÁCARAS</t>
  </si>
  <si>
    <t>LUA NOVA PAMPULHA</t>
  </si>
  <si>
    <t>ASSOCIAÇÃO PROJETO PONTO E VÍRGULA</t>
  </si>
  <si>
    <t>associacaoppv@gmail.com</t>
  </si>
  <si>
    <t>JD Etelvina</t>
  </si>
  <si>
    <t>Ferraz De Vasconcelos</t>
  </si>
  <si>
    <t>ASSOCIAÇÃO CULTURAL DESPORTIVA SAPUCAIENSE DE CAPOEIRA</t>
  </si>
  <si>
    <t>capoeira.acdsc@gmail.com</t>
  </si>
  <si>
    <t>Lomba da Palmeira</t>
  </si>
  <si>
    <t>Sapucaia Do Sul</t>
  </si>
  <si>
    <t>(11)2372-8897</t>
  </si>
  <si>
    <t>Rua Graciano Altierio</t>
  </si>
  <si>
    <t>Casa Verde Alta</t>
  </si>
  <si>
    <t>ma.raquelcabral@gmail.com</t>
  </si>
  <si>
    <t>Travessa Valter Cavalcante</t>
  </si>
  <si>
    <t>Bonsucesso</t>
  </si>
  <si>
    <t>correntedoamor.uniao@gmail.com</t>
  </si>
  <si>
    <t>(38)9185-1718</t>
  </si>
  <si>
    <t>morrinhos</t>
  </si>
  <si>
    <t>Montes Claros</t>
  </si>
  <si>
    <t>semeando.instituto.social@gmail.com</t>
  </si>
  <si>
    <t>COLETIVO ANDANÇAS DF</t>
  </si>
  <si>
    <t>andancasdfoficial@gmail.com</t>
  </si>
  <si>
    <t>DF</t>
  </si>
  <si>
    <t>Rua do Mato/Fercal</t>
  </si>
  <si>
    <t>Sobradinho</t>
  </si>
  <si>
    <t>poliana@herdar.org.br</t>
  </si>
  <si>
    <t>São Gabriel</t>
  </si>
  <si>
    <t>KYRIUS CIA DE ARTES</t>
  </si>
  <si>
    <t>kyrius.artes@gmail.com</t>
  </si>
  <si>
    <t>Rua São Marcos</t>
  </si>
  <si>
    <t>Água Branca</t>
  </si>
  <si>
    <t>MARGARIDAS PROJETOS PRA VIDA</t>
  </si>
  <si>
    <t>margaridasprojeto@gmail.com</t>
  </si>
  <si>
    <t>Quitandinha</t>
  </si>
  <si>
    <t>Timóteo</t>
  </si>
  <si>
    <t>16A</t>
  </si>
  <si>
    <t>ORGANIZAÇÃO LIBERTARIOS DO CAPÃO REDONDO</t>
  </si>
  <si>
    <t>contato@libertariosdocapao.org.br</t>
  </si>
  <si>
    <t>JD. SÃO BENTO NOVO</t>
  </si>
  <si>
    <t>PONTINCLUSIVA</t>
  </si>
  <si>
    <t>pontinclusiva@gmail.com</t>
  </si>
  <si>
    <t>Não possui sede ainda</t>
  </si>
  <si>
    <t>&lt;a href="javascript:openPopupFocus%28%27https%3A%2F%2Fwww.instagram.com%2Fpontinclusiva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title="https://www.instagram.com/pontinclusiva/ (Nova janela)"&gt;https://www.instagram.com/pontinclusiva/&lt;/a&gt;</t>
  </si>
  <si>
    <t>ASSOCIACAO OFICINA DO ESPORTE DE PIRAUBA</t>
  </si>
  <si>
    <t>projetooficinadoesporte@gmail.com</t>
  </si>
  <si>
    <t>CENTRO</t>
  </si>
  <si>
    <t>Pirauba</t>
  </si>
  <si>
    <t>ASSOCIAÇÃO PROJETO CASA ABERTA</t>
  </si>
  <si>
    <t>projetocasaabertacontagem@gmail.com</t>
  </si>
  <si>
    <t>Av. Carmelita Drummond Diniz</t>
  </si>
  <si>
    <t>Parque Maracanã</t>
  </si>
  <si>
    <t>Casa</t>
  </si>
  <si>
    <t>MOVIMENTO INSPIRE</t>
  </si>
  <si>
    <t>inspireolinda@gmail.com</t>
  </si>
  <si>
    <t>Rua Ulisses Tenório de Albuquerque</t>
  </si>
  <si>
    <t>Casa Caiada</t>
  </si>
  <si>
    <t>Olinda</t>
  </si>
  <si>
    <t>apto 106</t>
  </si>
  <si>
    <t>ASSOCIAÇÃO MISSÃO INTENSIDADE</t>
  </si>
  <si>
    <t>contato@missaointensidade.org.br</t>
  </si>
  <si>
    <t>(11)7657-9996</t>
  </si>
  <si>
    <t>Residencial Novo Horizonte</t>
  </si>
  <si>
    <t>Mogi Das Cruzes</t>
  </si>
  <si>
    <t>&lt;a href="javascript:openPopupFocus%28%27https%3A%2F%2Fwww.instagram.com%2Fprofessorrodrigao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title="https://www.instagram.com/professorrodrigao/ (Nova janela)"&gt;https://www.instagram.com/professorrodrigao/&lt;/a&gt;</t>
  </si>
  <si>
    <t>institutomeduca@gmail.com</t>
  </si>
  <si>
    <t>(21)2660-3333</t>
  </si>
  <si>
    <t>MARAPICU</t>
  </si>
  <si>
    <t>Nova Iguaçu</t>
  </si>
  <si>
    <t>ASSOCIAÇÃO DE EDUCAÇÃO E ARTE</t>
  </si>
  <si>
    <t>iamaoficial2020@gmail.com</t>
  </si>
  <si>
    <t>(98)8756-6267</t>
  </si>
  <si>
    <t>Maiobão</t>
  </si>
  <si>
    <t>Paço Do Lumiar</t>
  </si>
  <si>
    <t>&lt;a href="javascript:openPopupFocus%28%27https%3A%2F%2Fwww.instagram.com%2Fp%2FCQXSEKlHgIM%2F%3Futm_medium%3Dcopy_link%27%2C%20%27_blank%27%2C%20620%2C%20430%2C%20%27width%3D620%2Cheight%3D430%2Cresizable%3Dyes%2Ctoolbar%3Dyes%2Cstatus%3Dyes%2Cscrollbars%3Dyes%2Cmenubar%3Dyes%2Cdirectories%3Dyes%2Clocation%3Dyes%2Cdependant%3Dno%27%2C%20false%2C%20true%29%3B" title="https://www.instagram.com/p/CQXSEKlHgIM/?utm_medium=copy_link (Nova janela)"&gt;https://www.instagram.com/p/CQXSEKlHgIM/?utm_medium=copy_link&lt;/a&gt;</t>
  </si>
  <si>
    <t>CENTRO DE DESENVOLVIMENTO COMUNITÁRIO VILA LEONINA</t>
  </si>
  <si>
    <t>novoreconstruir@gmail.com</t>
  </si>
  <si>
    <t>Nova Lima</t>
  </si>
  <si>
    <t>sararoyer@hotmail.com</t>
  </si>
  <si>
    <t>PA</t>
  </si>
  <si>
    <t>Av. Brasil</t>
  </si>
  <si>
    <t>Jardim Planalto</t>
  </si>
  <si>
    <t>Novo Progresso</t>
  </si>
  <si>
    <t>popularculturabh@gmail.com</t>
  </si>
  <si>
    <t>(31)7155-0682</t>
  </si>
  <si>
    <t>São Cristóvão</t>
  </si>
  <si>
    <t>ASSOCIAÇÃO BENEFICENTE AMIGAS SOLIDÁRIAS</t>
  </si>
  <si>
    <t>associacaoamigassolidarias@gmail.com</t>
  </si>
  <si>
    <t>Rua: Cacique</t>
  </si>
  <si>
    <t>Parada XV de Novembro</t>
  </si>
  <si>
    <t>Francisco Morato</t>
  </si>
  <si>
    <t>&lt;a href="javascript:openPopupFocus%28%27https%3A%2F%2Fwww.instagram.com%2Fassociacaobeneficenteamigas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title="https://www.instagram.com/associacaobeneficenteamigas/ (Nova janela)"&gt;https://www.instagram.com/associacaobeneficenteamigas/&lt;/a&gt;</t>
  </si>
  <si>
    <t>RESILIENTE SLUM</t>
  </si>
  <si>
    <t>fabioanacleto1990@gmail.com</t>
  </si>
  <si>
    <t>Rua Nicolina de Lima</t>
  </si>
  <si>
    <t>Havai</t>
  </si>
  <si>
    <t>institutosocialebenezer@gmail.com</t>
  </si>
  <si>
    <t>Rua Antônio de Melo Freitas</t>
  </si>
  <si>
    <t>Parque Novo Santo Amaro</t>
  </si>
  <si>
    <t>ASSOCIAÇÃO DESPORTIVA E SOCIO CULTURAL CELEIRO DE BAMBAS</t>
  </si>
  <si>
    <t>ongceleirodebambas@gmail.com</t>
  </si>
  <si>
    <t>(81)8854-1441</t>
  </si>
  <si>
    <t>AREIAS</t>
  </si>
  <si>
    <t>OBRAS SOCIAIS DO CENTRO ESPÍRITA OBREIROS DO SENHOR</t>
  </si>
  <si>
    <t>gestor@osceos.org.br</t>
  </si>
  <si>
    <t>Rua Machado de Assis</t>
  </si>
  <si>
    <t>São João</t>
  </si>
  <si>
    <t>Itumbiara</t>
  </si>
  <si>
    <t>&lt;a href="javascript:openPopupFocus%28%27https%3A%2F%2Fwww.instagram.com%2Fp%2FCLsPnUJDm-2%2F%3Futm_medium%3Dcopy_link%27%2C%20%27_blank%27%2C%20620%2C%20430%2C%20%27width%3D620%2Cheight%3D430%2Cresizable%3Dyes%2Ctoolbar%3Dyes%2Cstatus%3Dyes%2Cscrollbars%3Dyes%2Cmenubar%3Dyes%2Cdirectories%3Dyes%2Clocation%3Dyes%2Cdependant%3Dno%27%2C%20false%2C%20true%29%3B" title="https://www.instagram.com/p/CLsPnUJDm-2/?utm_medium=copy_link (Nova janela)"&gt;https://www.instagram.com/p/CLsPnUJDm-2/?utm_medium=copy_link&lt;/a&gt;</t>
  </si>
  <si>
    <t>ongasvioletas@gmail.com</t>
  </si>
  <si>
    <t>presidencia.inarv@outlook.com</t>
  </si>
  <si>
    <t>Frei Calixto</t>
  </si>
  <si>
    <t>Salvador</t>
  </si>
  <si>
    <t>icssus50@gmail.com</t>
  </si>
  <si>
    <t>AM</t>
  </si>
  <si>
    <t>PALMARES</t>
  </si>
  <si>
    <t>Parintins</t>
  </si>
  <si>
    <t>&lt;a href="javascript:openPopupFocus%28%27https%3A%2F%2Fwww.linkedin.com%2Fin%2Fizabel-porto-88b88149%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title="https://www.linkedin.com/in/izabel-porto-88b88149/ (Nova janela)"&gt;https://www.linkedin.com/in/izabel-porto-88b88149/&lt;/a&gt;</t>
  </si>
  <si>
    <t>institutovidaspelofuturo@gmail.com</t>
  </si>
  <si>
    <t>Av Ernesto Souza Cruz</t>
  </si>
  <si>
    <t>Cid AE Carvalho</t>
  </si>
  <si>
    <t>ASSOCIAÇÃO GRUPO DE ASSISTÊNCIA INTEGRAL À INFÂNCIA E ADOLESCÊNCIA</t>
  </si>
  <si>
    <t>institutogaiia@gmail.com</t>
  </si>
  <si>
    <t>São Francisco</t>
  </si>
  <si>
    <t>Carandaí</t>
  </si>
  <si>
    <t>ESPAÇO HUMANA.MENTE PSICOLOGIA SOCIAL E COMUNITÁRIA NA FAVELA</t>
  </si>
  <si>
    <t>psihumana.mente@outlook.com</t>
  </si>
  <si>
    <t>ASSOCIAÇÃO COLETIVO MOTIRÕ</t>
  </si>
  <si>
    <t>coletivomotirodf@gmail.com</t>
  </si>
  <si>
    <t>Brasília</t>
  </si>
  <si>
    <t>institutoentreaspas@gmail.com</t>
  </si>
  <si>
    <t>Rua Paulo VI</t>
  </si>
  <si>
    <t>Santa Cruz</t>
  </si>
  <si>
    <t>CENTRO DE RECREAÇÃO INFANTIL AMAR MAIS MUITO MAIS</t>
  </si>
  <si>
    <t>criamarmaismuitomais@gmail.com</t>
  </si>
  <si>
    <t>(11)3859-0317</t>
  </si>
  <si>
    <t>RUA CARIACICA</t>
  </si>
  <si>
    <t>JD. SANTA CRUZ</t>
  </si>
  <si>
    <t>ASSOCIAÇÃO ESPERANÇA E DESTINO</t>
  </si>
  <si>
    <t>esperancaedestino@gmail.com</t>
  </si>
  <si>
    <t>Rua Israel Gonçalvez Cruz</t>
  </si>
  <si>
    <t>Jardim Maite</t>
  </si>
  <si>
    <t>ASSOCIAÇAO DE MULHERES EMPODERADAS DO MONTE CRISTO</t>
  </si>
  <si>
    <t>associacaomulheresempreendem@gmail.com</t>
  </si>
  <si>
    <t>MONTE CRISTO</t>
  </si>
  <si>
    <t>Florianopolis</t>
  </si>
  <si>
    <t>institutovidareal@hotmail.com</t>
  </si>
  <si>
    <t>Ramos</t>
  </si>
  <si>
    <t>institutoprimeiroestagioce@gmail.com</t>
  </si>
  <si>
    <t>Quixeramobim</t>
  </si>
  <si>
    <t>instituto.amargen@gmail.com</t>
  </si>
  <si>
    <t>(32)9154-9234</t>
  </si>
  <si>
    <t>Dom Bosco</t>
  </si>
  <si>
    <t>Juiz De Fora</t>
  </si>
  <si>
    <t>contato@institutomacunaima.org.br</t>
  </si>
  <si>
    <t>Belo Horizonte Minas Gerais Brasil</t>
  </si>
  <si>
    <t>casadebarro@gmail.com</t>
  </si>
  <si>
    <t>Serra Grande (distrito)</t>
  </si>
  <si>
    <t>Cachoeira</t>
  </si>
  <si>
    <t>projetovemser@yahoo.com.br</t>
  </si>
  <si>
    <t>(31)8634-0926</t>
  </si>
  <si>
    <t>Ouro Branco</t>
  </si>
  <si>
    <t>ASSOCIAÇÃO DESPERTAR SABEDORIA NO SOL NASCETE</t>
  </si>
  <si>
    <t>margaridash@gmail.com</t>
  </si>
  <si>
    <t>Sol Nascente</t>
  </si>
  <si>
    <t>Sol Nascente/Por Do Sol</t>
  </si>
  <si>
    <t>PROJETO BODYBOARD PARÁ</t>
  </si>
  <si>
    <t>xandinha_pororoca@hotmail.com</t>
  </si>
  <si>
    <t>Coqueiro</t>
  </si>
  <si>
    <t>Belém</t>
  </si>
  <si>
    <t>ASSOCIAÇÃO TINGUI</t>
  </si>
  <si>
    <t>ajenai.9202@hotmail.com</t>
  </si>
  <si>
    <t>Rua Padre Willy</t>
  </si>
  <si>
    <t>Jenipapo De Minas</t>
  </si>
  <si>
    <t>PROJETO SEMEAR</t>
  </si>
  <si>
    <t>projetosemearbh2018@gmail.com</t>
  </si>
  <si>
    <t>Vila Sumaré</t>
  </si>
  <si>
    <t>ASSOCIAÇÃO BENEFICENTE AMIGOS PELA CARIDADE</t>
  </si>
  <si>
    <t>amigospelacaridade@gmail.com</t>
  </si>
  <si>
    <t>Realengo</t>
  </si>
  <si>
    <t>&lt;a href="javascript:openPopupFocus%28%27https%3A%2F%2Fwww.instagram.com%2Finvites%2Fcontact%2F%3Fi%3Dubhv815ulg3l%26utm_content%3Dpj9c0l%27%2C%20%27_blank%27%2C%20620%2C%20430%2C%20%27width%3D620%2Cheight%3D430%2Cresizable%3Dyes%2Ctoolbar%3Dyes%2Cstatus%3Dyes%2Cscrollbars%3Dyes%2Cmenubar%3Dyes%2Cdirectories%3Dyes%2Clocation%3Dyes%2Cdependant%3Dno%27%2C%20false%2C%20true%29%3B" title="https://www.instagram.com/invites/contact/?i=ubhv815ulg3l&amp;utm_content=pj9c0l (Nova janela)"&gt;https://www.instagram.com/invites/contact/?i=ubhv815ulg3l&amp;utm_content=pj9c0l&lt;/a&gt;</t>
  </si>
  <si>
    <t>NOS SOMOS A PONTE</t>
  </si>
  <si>
    <t>CIDADE NOVA HELIÓPOLIS</t>
  </si>
  <si>
    <t>CENTRO SOCIAL DÍNAMUS</t>
  </si>
  <si>
    <t>projetodinamus@projetodinamus.com</t>
  </si>
  <si>
    <t>Tabuleiro dos Martins</t>
  </si>
  <si>
    <t>institutoideias05@hotmail.com</t>
  </si>
  <si>
    <t>rua Glicerio de almeida</t>
  </si>
  <si>
    <t>Industrial</t>
  </si>
  <si>
    <t>Santana Do Paraíso</t>
  </si>
  <si>
    <t>ASSOCIAÇÃO CULTURAL PISADA DO SERTÃO</t>
  </si>
  <si>
    <t>gestao@pisadadosertao.org</t>
  </si>
  <si>
    <t>Poço De José De Moura</t>
  </si>
  <si>
    <t>instituto@immetamorfose.org</t>
  </si>
  <si>
    <t>CASA DA COMUNIDADE DO BERARDO - CCB SOCIAL</t>
  </si>
  <si>
    <t>CCB SOCIAL</t>
  </si>
  <si>
    <t>casasocialdacomunidade@yahoo.com</t>
  </si>
  <si>
    <t>Rua Professor Lins e Silva</t>
  </si>
  <si>
    <t>PRADO</t>
  </si>
  <si>
    <t>ASSOCIAÇÃO SWELL SURF BAÍA FORMOSA</t>
  </si>
  <si>
    <t>projetoswellsurf@gmail.com</t>
  </si>
  <si>
    <t>(84)0000-0000</t>
  </si>
  <si>
    <t>Baía Formosa</t>
  </si>
  <si>
    <t>ESPAÇO DE ACOLHIMENTO DA CRIANÇA E DO ADOLESCENTE - EACA</t>
  </si>
  <si>
    <t>eacainstituto@gmail.com</t>
  </si>
  <si>
    <t>Estrada de Itararé</t>
  </si>
  <si>
    <t>ASSOCIAÇÃO LACRE DO BEM</t>
  </si>
  <si>
    <t>contato@lacredobem.org.br</t>
  </si>
  <si>
    <t>grupodomjf@gmail.com</t>
  </si>
  <si>
    <t>ID do contato</t>
  </si>
  <si>
    <t>Primeiro Nome</t>
  </si>
  <si>
    <t>Sobrenome</t>
  </si>
  <si>
    <t>Status Líder</t>
  </si>
  <si>
    <t>Semestre Falcons</t>
  </si>
  <si>
    <t>Email</t>
  </si>
  <si>
    <t>Celular</t>
  </si>
  <si>
    <t>Data de nascimento</t>
  </si>
  <si>
    <t>Idade</t>
  </si>
  <si>
    <t>RG</t>
  </si>
  <si>
    <t>CPF</t>
  </si>
  <si>
    <t>Área de Formação</t>
  </si>
  <si>
    <t>Cargo</t>
  </si>
  <si>
    <t>Tamanho da camiseta</t>
  </si>
  <si>
    <t>Qual sua raça/etnia</t>
  </si>
  <si>
    <t>Qual é o seu gênero?</t>
  </si>
  <si>
    <t>Trabalha em tempo integral  na ONG?</t>
  </si>
  <si>
    <t>Mini Biografia</t>
  </si>
  <si>
    <t>Sexo Biológico</t>
  </si>
  <si>
    <t>Orientação Sexual</t>
  </si>
  <si>
    <t>Escolaridade</t>
  </si>
  <si>
    <t>Tipo de instituição de ensino básico</t>
  </si>
  <si>
    <t>Nível de ensino superior</t>
  </si>
  <si>
    <t>Tipo de instituição de ensino superior</t>
  </si>
  <si>
    <t>Rua de correspondência</t>
  </si>
  <si>
    <t>Número da residência</t>
  </si>
  <si>
    <t>Complemento de correspondência</t>
  </si>
  <si>
    <t>Cidade de correspondência</t>
  </si>
  <si>
    <t>CEP de correspondência</t>
  </si>
  <si>
    <t>Estado/Província de correspondência</t>
  </si>
  <si>
    <t>Valor bruto da Renda</t>
  </si>
  <si>
    <t>Condição de emprego dos membros familia</t>
  </si>
  <si>
    <t>Condições de moradia</t>
  </si>
  <si>
    <t>Quantas pessoas dependem dessa renda</t>
  </si>
  <si>
    <t>Você tem alguma deficiência</t>
  </si>
  <si>
    <t>Você possui alguma restrição alimentar?</t>
  </si>
  <si>
    <t>Link Linkedin líder</t>
  </si>
  <si>
    <t>Link Instagram líder</t>
  </si>
  <si>
    <t>0034X000032Hrzz</t>
  </si>
  <si>
    <t>Bianca</t>
  </si>
  <si>
    <t>Aragão Esteves</t>
  </si>
  <si>
    <t>Ativo</t>
  </si>
  <si>
    <t>bianca.aragao@institutoarvoredavida.org</t>
  </si>
  <si>
    <t>MG 18540506</t>
  </si>
  <si>
    <t>Feminino</t>
  </si>
  <si>
    <t>Ensino Médio</t>
  </si>
  <si>
    <t>Público</t>
  </si>
  <si>
    <t>Graduação</t>
  </si>
  <si>
    <t>Privado</t>
  </si>
  <si>
    <t>Rua Botumirim, 214</t>
  </si>
  <si>
    <t>32684-046</t>
  </si>
  <si>
    <t>Acima de 5 salários mínimos</t>
  </si>
  <si>
    <t>["Funcionário Público"]</t>
  </si>
  <si>
    <t>Casa própria</t>
  </si>
  <si>
    <t>0034X000032HsDd</t>
  </si>
  <si>
    <t>Juliana</t>
  </si>
  <si>
    <t>Alves da Silva</t>
  </si>
  <si>
    <t>juliana.psicologa@outlook.com.br</t>
  </si>
  <si>
    <t>415424239</t>
  </si>
  <si>
    <t>Ensino Superior</t>
  </si>
  <si>
    <t>Rua Guilherme Cecchini, 98</t>
  </si>
  <si>
    <t>15603-750</t>
  </si>
  <si>
    <t>["CLT"]</t>
  </si>
  <si>
    <t>0034X000032Hs7K</t>
  </si>
  <si>
    <t>Ellen</t>
  </si>
  <si>
    <t>Regina da Costa Serra</t>
  </si>
  <si>
    <t>ellenserra@gmail.com</t>
  </si>
  <si>
    <t>21987394551</t>
  </si>
  <si>
    <t>113436497</t>
  </si>
  <si>
    <t>Produção Cultural</t>
  </si>
  <si>
    <t>Rua Astreia, casa 101</t>
  </si>
  <si>
    <t>21050-700</t>
  </si>
  <si>
    <t>Entre 1 até 3 salários mínimos</t>
  </si>
  <si>
    <t>0034X000032Hs9p</t>
  </si>
  <si>
    <t>José Sandro</t>
  </si>
  <si>
    <t>das Neves Santos</t>
  </si>
  <si>
    <t>igds@igds.org.br</t>
  </si>
  <si>
    <t>2002001040086</t>
  </si>
  <si>
    <t>Pedagogia e pós em gestão e coordenação pedagógica</t>
  </si>
  <si>
    <t>Masculino</t>
  </si>
  <si>
    <t>Pós-Graduação</t>
  </si>
  <si>
    <t>Rua José Duda Silva, 67</t>
  </si>
  <si>
    <t>Casa cedida</t>
  </si>
  <si>
    <t>0034X000032Hs00</t>
  </si>
  <si>
    <t>Bruna</t>
  </si>
  <si>
    <t>Costa Mendes da Silva</t>
  </si>
  <si>
    <t>21 96707-6513</t>
  </si>
  <si>
    <t>Curso de Treinadora de Boxe</t>
  </si>
  <si>
    <t>Rua Célio Nascimento, 48</t>
  </si>
  <si>
    <t>20930-050</t>
  </si>
  <si>
    <t>["Trabalho informal"]</t>
  </si>
  <si>
    <t>Aluguel</t>
  </si>
  <si>
    <t>0034X000032HsHf</t>
  </si>
  <si>
    <t>Maria Jaciara</t>
  </si>
  <si>
    <t>Oliveira Roberto</t>
  </si>
  <si>
    <t>jacyara_kedi@hotmail.com</t>
  </si>
  <si>
    <t>Avenida Nossa Senhora dos Pobres</t>
  </si>
  <si>
    <t>Berilo</t>
  </si>
  <si>
    <t>39640-000</t>
  </si>
  <si>
    <t>["MEI"]</t>
  </si>
  <si>
    <t>0034X000032HsKK</t>
  </si>
  <si>
    <t>Pedro Augusto</t>
  </si>
  <si>
    <t>Rocha Costa</t>
  </si>
  <si>
    <t>pedroarochacosta@gmail.com</t>
  </si>
  <si>
    <t>Educador Musical</t>
  </si>
  <si>
    <t>Rua José Neto, 1</t>
  </si>
  <si>
    <t>["Desempregado"]</t>
  </si>
  <si>
    <t>&lt;a href="javascript:openPopupFocus%28%27http%3A%2F%2Fwww.linkedin.com%2Fin%2Fpedroarocha%27%2C%20%27_blank%27%2C%20620%2C%20430%2C%20%27width%3D620%2Cheight%3D430%2Cresizable%3Dyes%2Ctoolbar%3Dyes%2Cstatus%3Dyes%2Cscrollbars%3Dyes%2Cmenubar%3Dyes%2Cdirectories%3Dyes%2Clocation%3Dyes%2Cdependant%3Dno%27%2C%20false%2C%20true%29%3B" title="http://www.linkedin.com/in/pedroarocha (Nova janela)"&gt;http://www.linkedin.com/in/pedroarocha&lt;/a&gt;</t>
  </si>
  <si>
    <t>&lt;a href="javascript:openPopupFocus%28%27http%3A%2F%2Finstagram.com%2Fpedrorochacosta%27%2C%20%27_blank%27%2C%20620%2C%20430%2C%20%27width%3D620%2Cheight%3D430%2Cresizable%3Dyes%2Ctoolbar%3Dyes%2Cstatus%3Dyes%2Cscrollbars%3Dyes%2Cmenubar%3Dyes%2Cdirectories%3Dyes%2Clocation%3Dyes%2Cdependant%3Dno%27%2C%20false%2C%20true%29%3B" title="http://instagram.com/pedrorochacosta (Nova janela)"&gt;http://instagram.com/pedrorochacosta&lt;/a&gt;</t>
  </si>
  <si>
    <t>0034P00003maBVs</t>
  </si>
  <si>
    <t>Leandro</t>
  </si>
  <si>
    <t>Alves Martins</t>
  </si>
  <si>
    <t>Primeiro Semestre 2019</t>
  </si>
  <si>
    <t>MG 11606495</t>
  </si>
  <si>
    <t>Designer</t>
  </si>
  <si>
    <t>Inconformado com a falta de estrutura da sua comunidade; Léo; em 2016 decidiu dar o Grito de esperança; paz; liberdade; alegria; justiça e então junto com amigos fundou o Instituto o Grito com o intuito de oferecer uma nova perspectiva de vida para todos...</t>
  </si>
  <si>
    <t>Av. Dr. Paulo Ribeiro Nunes</t>
  </si>
  <si>
    <t>apto 204 Bl 04</t>
  </si>
  <si>
    <t>0034P00003maBVn</t>
  </si>
  <si>
    <t>Aline</t>
  </si>
  <si>
    <t>Daniely Gomes de Melo</t>
  </si>
  <si>
    <t>Primeiro Semestre 2021</t>
  </si>
  <si>
    <t>Rua José devoci</t>
  </si>
  <si>
    <t>59090-568</t>
  </si>
  <si>
    <t>0034P00003maBVo</t>
  </si>
  <si>
    <t>Alan</t>
  </si>
  <si>
    <t>Luiz Duarte</t>
  </si>
  <si>
    <t>Primeiro Semestre 2020</t>
  </si>
  <si>
    <t>Educação Física</t>
  </si>
  <si>
    <t> Alan Luiz Duarte -- Líder do Abraço Campeão; nascido e criado no Complexo do Alemão. Sua infância e adolescência foram marcadas por uma guerra intensa entre gangues rivais; polícia e BOPE. Os inúmeros tiroteios pelo qual ele passou muitas vezes mataram ...</t>
  </si>
  <si>
    <t>av itaoca</t>
  </si>
  <si>
    <t>0034P00003maBVp</t>
  </si>
  <si>
    <t>Aron</t>
  </si>
  <si>
    <t>Fernando Ramos</t>
  </si>
  <si>
    <t>Planejamento Estratégico Empresarial</t>
  </si>
  <si>
    <t>Pai; marido; graduado ; negro; periférico e empreendedor social. Este é um resumo de Aron Ramos; CEO de Instituto Resgatando Vidas; uma das melhores e mais bem estruturadas ONGs da Zona Norte de SP. No começo de sua trajetória Aron era um adolescente reb...</t>
  </si>
  <si>
    <t>Rua Camilo Peçanha</t>
  </si>
  <si>
    <t>02670-030</t>
  </si>
  <si>
    <t>0034P00003maBVq</t>
  </si>
  <si>
    <t>Anderson</t>
  </si>
  <si>
    <t>da Silva</t>
  </si>
  <si>
    <t>Segundo Semestre 2020</t>
  </si>
  <si>
    <t>Mg11671624</t>
  </si>
  <si>
    <t>Formação em musica</t>
  </si>
  <si>
    <t>Na minha vida; era para dar tudo errado; cresci vendo minha mãe apanhando; sai da escola e acabei entrando nas drogas; e fui confundindo com outra pessoa; mais um dia minha mãe disse que: Se você quer chegar aos seus sonhos; lute; não deixe o tempo ser s...</t>
  </si>
  <si>
    <t>Rua marechal Jofre</t>
  </si>
  <si>
    <t>ap 202</t>
  </si>
  <si>
    <t>0034P00003maBVr</t>
  </si>
  <si>
    <t>Ducilene</t>
  </si>
  <si>
    <t>França Pereira</t>
  </si>
  <si>
    <t>Serviço Social</t>
  </si>
  <si>
    <t>Duci França; fundadora do Instituto Cores do Mará; empreendedora Social; formada em Serviço Social; com mais de 10 anos de experiências na implantação e execução de programas sociais governamentais. Co-criadora da metodologia das Cores do Mará.</t>
  </si>
  <si>
    <t>0034P00003maBVR</t>
  </si>
  <si>
    <t>Miquéias</t>
  </si>
  <si>
    <t>Gonçalves Silva</t>
  </si>
  <si>
    <t>miqartes@gmail.com</t>
  </si>
  <si>
    <t>Não aplicável.</t>
  </si>
  <si>
    <t>Produção cultural e artística (PJ)</t>
  </si>
  <si>
    <t>Rua da Liberdade</t>
  </si>
  <si>
    <t>29152-632</t>
  </si>
  <si>
    <t>0034P00003maBVt</t>
  </si>
  <si>
    <t>Rafael</t>
  </si>
  <si>
    <t>Marcelino de Oliveira</t>
  </si>
  <si>
    <t>Graduado em Musicoterapia pela Universidade Federal de Goiás e Especialista em Administração de Empresas pela Fundação Getúlio Vargas</t>
  </si>
  <si>
    <t>Rafael Marcelino de Oliveira; está no terceiro setor desde sua infância; acompanhando seus pais nos trabalhos sociais que eles sempre ajudaram. Com 12 anos de idade começou a liderar algumas campanhas de arrecadações de donativos para distribuir em comun...</t>
  </si>
  <si>
    <t>Rua da Charita</t>
  </si>
  <si>
    <t>Qd. 137</t>
  </si>
  <si>
    <t>Lt. 01/12 Aptº 702</t>
  </si>
  <si>
    <t>0034P00003maBVu</t>
  </si>
  <si>
    <t>LISANIA</t>
  </si>
  <si>
    <t>PEREIRA DA SILVA PASCOAL</t>
  </si>
  <si>
    <t>presidencia@mandaver.org</t>
  </si>
  <si>
    <t>GRADUADA ADMINISTRAÇÃO - POS GESTÃO ESTRATEGICA DE MARKETING - GRADUANDA CIENCIAS CONTABEIS</t>
  </si>
  <si>
    <t>Lisania; 33 anos; casada e mãe de 2 filhos. Nordestina e alagoana; criada no interior do estado e logo depois foi residir na capital; Maceió; para concluir os estudos. Presidente do Instituto e Cofundadora do Banco Social do Mandaver. Aprendeu desde nova...</t>
  </si>
  <si>
    <t>RUA MARIA CELESTE DA ROCHA</t>
  </si>
  <si>
    <t>0034P00003maBVv</t>
  </si>
  <si>
    <t>Nadjane</t>
  </si>
  <si>
    <t>Cristina Santos Vieira</t>
  </si>
  <si>
    <t>nadjanecristina@hotmail.com</t>
  </si>
  <si>
    <t>Rua Arapoema</t>
  </si>
  <si>
    <t>0034P00003maEuB</t>
  </si>
  <si>
    <t>Maria</t>
  </si>
  <si>
    <t>Alves Viana</t>
  </si>
  <si>
    <t>maria.viana@institutoemaus.org.br</t>
  </si>
  <si>
    <t>Comunicação Social e Teologia</t>
  </si>
  <si>
    <t>rua Maria Helena</t>
  </si>
  <si>
    <t>08560-210</t>
  </si>
  <si>
    <t>0034P00003maBVI</t>
  </si>
  <si>
    <t>Ronaldo</t>
  </si>
  <si>
    <t>CLEBER CACERES</t>
  </si>
  <si>
    <t>ronaldo@umchuteparaofuturo.org.br</t>
  </si>
  <si>
    <t>Trabalho só  no projeto  um chute para o futuro</t>
  </si>
  <si>
    <t>Rua Prudêncio sotelo</t>
  </si>
  <si>
    <t>n.470</t>
  </si>
  <si>
    <t>Foz do Iguaçu</t>
  </si>
  <si>
    <t>0034P00003maBVM</t>
  </si>
  <si>
    <t>Camila</t>
  </si>
  <si>
    <t>Casagrande</t>
  </si>
  <si>
    <t>Publicidade e Propaganda / Pós: Empreendedorismo Social e Negócios Sociais / Mba em Dança - Gestão e Produção Cultural / Produção de Arte e Gestão da Cultura</t>
  </si>
  <si>
    <t>Camila desde pequena é apaixonada por arte; sua dedicação e força de vontade foram fundamentais na realização de inúmeras produções culturais e eventos em seus 10 anos de caminhada como coreógrafa e coordenadora do Grupo de Dança Senses; que em 2017 se t...</t>
  </si>
  <si>
    <t>Rua da Divina Providência</t>
  </si>
  <si>
    <t>0034P00003maBVS</t>
  </si>
  <si>
    <t>Thiago</t>
  </si>
  <si>
    <t>Otero de Sousa</t>
  </si>
  <si>
    <t>MG16274654</t>
  </si>
  <si>
    <t>Graduação em Análise e Desenvolvimento de Sistemas. Pós em Andamento de Gestão de Projetos e Programas Sociais</t>
  </si>
  <si>
    <t>Nas horas vagas realizo freelancer na área de TI não conflitando com o horário da ONG</t>
  </si>
  <si>
    <t> Thiago Otero; 28 anos; casado; é presidente e fundador do Sementes do Vale. Nascido em Guaxupé-MG; foi criado em Janaúba-MG; no norte de Minas Gerais. É formado em Análise e Desenvolvimento de Sistema e Pós-Graduando em Gestão de Projetos e Programas So...</t>
  </si>
  <si>
    <t>Fazenda Bananeira</t>
  </si>
  <si>
    <t>39553-000</t>
  </si>
  <si>
    <t>0034P00003maBVB</t>
  </si>
  <si>
    <t>Nilton</t>
  </si>
  <si>
    <t>José Sales Sávio</t>
  </si>
  <si>
    <t>nilton.savio@amaitirapina.org.br</t>
  </si>
  <si>
    <t>Ciências Humanas</t>
  </si>
  <si>
    <t>No momento eu estou desempregado no seguro-desemprego.</t>
  </si>
  <si>
    <t>Rua Tupiniquins</t>
  </si>
  <si>
    <t>0034P00003maBVl</t>
  </si>
  <si>
    <t>Amanda</t>
  </si>
  <si>
    <t>Aparecida Silva Figueira</t>
  </si>
  <si>
    <t>amandasfigueira1@gmail.com</t>
  </si>
  <si>
    <t>MG17312647</t>
  </si>
  <si>
    <t>Relações Internacionais</t>
  </si>
  <si>
    <t>Gestora de Oportunidades - OSC Ação Moradia (Uberlândia -MG)</t>
  </si>
  <si>
    <t>Avenida</t>
  </si>
  <si>
    <t>NULL</t>
  </si>
  <si>
    <t>0034P00003maBVU</t>
  </si>
  <si>
    <t>Luma</t>
  </si>
  <si>
    <t>de Camargo Silva Rodrigues</t>
  </si>
  <si>
    <t>lumarodrigues09@gmail.com</t>
  </si>
  <si>
    <t>Gestão do Terceiro Setor</t>
  </si>
  <si>
    <t>Focado 100% no projeto social</t>
  </si>
  <si>
    <t>Rua avinhado</t>
  </si>
  <si>
    <t>casa 1</t>
  </si>
  <si>
    <t>08032-320</t>
  </si>
  <si>
    <t>0034P00003maBV4</t>
  </si>
  <si>
    <t>Jefferson</t>
  </si>
  <si>
    <t>Lima</t>
  </si>
  <si>
    <t>(48) 99934-4387</t>
  </si>
  <si>
    <t>História</t>
  </si>
  <si>
    <t>Mestrado</t>
  </si>
  <si>
    <t>Vinicius de Moraes</t>
  </si>
  <si>
    <t>Ap 302</t>
  </si>
  <si>
    <t>88130-605</t>
  </si>
  <si>
    <t>De 3 até 5 salários mínimos</t>
  </si>
  <si>
    <t>&lt;a href="javascript:openPopupFocus%28%27https%3A%2F%2Fwww.linkedin.com%2Fin%2Fjefferson-lima-prototipandoaquebrada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title="https://www.linkedin.com/in/jefferson-lima-prototipandoaquebrada/ (Nova janela)"&gt;https://www.linkedin.com/in/jefferson-lima-prototipandoaquebrada/&lt;/a&gt;</t>
  </si>
  <si>
    <t>&lt;a href="javascript:openPopupFocus%28%27https%3A%2F%2Fwww.instagram.com%2Flima3d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title="https://www.instagram.com/lima3d/ (Nova janela)"&gt;https://www.instagram.com/lima3d/&lt;/a&gt;</t>
  </si>
  <si>
    <t>0034P00003maBUv</t>
  </si>
  <si>
    <t>Fernando</t>
  </si>
  <si>
    <t>Luiz de Oliveira Valença</t>
  </si>
  <si>
    <t>g4instituto@gmail.com</t>
  </si>
  <si>
    <t>Gestão de Processos Gerenciais</t>
  </si>
  <si>
    <t>Rua Baltazar Passos</t>
  </si>
  <si>
    <t>440/607</t>
  </si>
  <si>
    <t>51130-290</t>
  </si>
  <si>
    <t>0034P00003maBUw</t>
  </si>
  <si>
    <t>FÁBIO</t>
  </si>
  <si>
    <t>ROGÉRIO RODRIGUES DA SILVA</t>
  </si>
  <si>
    <t>acesaorg@gmail.com</t>
  </si>
  <si>
    <t>EDUCAÇÃO FÍSICA</t>
  </si>
  <si>
    <t>Rua Peru</t>
  </si>
  <si>
    <t>alamenda da Luz casa -6</t>
  </si>
  <si>
    <t>0034P00003maBUx</t>
  </si>
  <si>
    <t>da Silva Ferreira</t>
  </si>
  <si>
    <t>rafael.ferreira@mirantecultural.com.br</t>
  </si>
  <si>
    <t>Educação- Música- Teologia.</t>
  </si>
  <si>
    <t>rua vicente antonio de oliveira</t>
  </si>
  <si>
    <t>0034P00003maBUz</t>
  </si>
  <si>
    <t>Simone</t>
  </si>
  <si>
    <t>Rezende Klaussner</t>
  </si>
  <si>
    <t>veca_machado@hotmail.com</t>
  </si>
  <si>
    <t>Graduada em Psicologia /  Psicologia Organizacional e extensão em dependencia Quimica e alcool</t>
  </si>
  <si>
    <t>Av. João Paulo I</t>
  </si>
  <si>
    <t>torre1</t>
  </si>
  <si>
    <t>02842-280</t>
  </si>
  <si>
    <t>0034P00003maBV0</t>
  </si>
  <si>
    <t>Ana</t>
  </si>
  <si>
    <t>Karolina Dias De Oliveira</t>
  </si>
  <si>
    <t>anakarolinapsi@gmail.com</t>
  </si>
  <si>
    <t>Psicologia</t>
  </si>
  <si>
    <t>Psicóloga por conta da renda. mas 90% e para o projeto</t>
  </si>
  <si>
    <t>Rua Francisco Pedro Machado</t>
  </si>
  <si>
    <t>Bloco B 1105</t>
  </si>
  <si>
    <t>88117-402</t>
  </si>
  <si>
    <t>&lt;a href="javascript:openPopupFocus%28%27https%3A%2F%2Fwww.instagram.com%2Finvites%2Fcontact%2F%3Fi%3D35k9snooc66s%26utm_content%3D4o0sak%27%2C%20%27_blank%27%2C%20620%2C%20430%2C%20%27width%3D620%2Cheight%3D430%2Cresizable%3Dyes%2Ctoolbar%3Dyes%2Cstatus%3Dyes%2Cscrollbars%3Dyes%2Cmenubar%3Dyes%2Cdirectories%3Dyes%2Clocation%3Dyes%2Cdependant%3Dno%27%2C%20false%2C%20true%29%3B" title="https://www.instagram.com/invites/contact/?i=35k9snooc66s&amp;utm_content=4o0sak (Nova janela)"&gt;https://www.instagram.com/invites/contact/?i=35k9snooc66s&amp;utm_content=4o0sak&lt;/a&gt;</t>
  </si>
  <si>
    <t>0034P00003maBV1</t>
  </si>
  <si>
    <t>André</t>
  </si>
  <si>
    <t>Felipe Silva De Sousa</t>
  </si>
  <si>
    <t>(85)99159-8826</t>
  </si>
  <si>
    <t>CEO</t>
  </si>
  <si>
    <t>60743-714</t>
  </si>
  <si>
    <t>&lt;a href="javascript:openPopupFocus%28%27https%3A%2F%2Fwww.linkedin.com%2Fin%2Fandr%25C3%25A9-felipe-0baa0a1a4%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title="https://www.linkedin.com/in/andr%C3%A9-felipe-0baa0a1a4/ (Nova janela)"&gt;https://www.linkedin.com/in/andr%C3%A9-felipe-0baa0a1a4/&lt;/a&gt;</t>
  </si>
  <si>
    <t>&lt;a href="javascript:openPopupFocus%28%27https%3A%2F%2Finstagram.com%2Fandredasaguias%3Futm_medium%3Dcopy_link%27%2C%20%27_blank%27%2C%20620%2C%20430%2C%20%27width%3D620%2Cheight%3D430%2Cresizable%3Dyes%2Ctoolbar%3Dyes%2Cstatus%3Dyes%2Cscrollbars%3Dyes%2Cmenubar%3Dyes%2Cdirectories%3Dyes%2Clocation%3Dyes%2Cdependant%3Dno%27%2C%20false%2C%20true%29%3B" title="https://instagram.com/andredasaguias?utm_medium=copy_link (Nova janela)"&gt;https://instagram.com/andredasaguias?utm_medium=copy_link&lt;/a&gt;</t>
  </si>
  <si>
    <t>0034P00003maBV2</t>
  </si>
  <si>
    <t>Cristiano</t>
  </si>
  <si>
    <t>Lima Santos</t>
  </si>
  <si>
    <t>Teologia completo e serviço social incompleto.</t>
  </si>
  <si>
    <t>CEO e vice-presidente</t>
  </si>
  <si>
    <t>nº 122</t>
  </si>
  <si>
    <t>Conjunto Padre Pedro</t>
  </si>
  <si>
    <t>0034P00003maBV3</t>
  </si>
  <si>
    <t>Jeferson</t>
  </si>
  <si>
    <t>Costa Silva</t>
  </si>
  <si>
    <t>shaoliiin.52@gmail.com</t>
  </si>
  <si>
    <t>(21) 97573-1481</t>
  </si>
  <si>
    <t>Ed Física</t>
  </si>
  <si>
    <t>Rua carlos Lacerda</t>
  </si>
  <si>
    <t>casa 101</t>
  </si>
  <si>
    <t>21044-700</t>
  </si>
  <si>
    <t>&lt;a href="javascript:openPopupFocus%28%27https%3A%2F%2Fwww.instagram.com%2Fshaolinbjj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title="https://www.instagram.com/shaolinbjj/ (Nova janela)"&gt;https://www.instagram.com/shaolinbjj/&lt;/a&gt;</t>
  </si>
  <si>
    <t>0034P00003maBV5</t>
  </si>
  <si>
    <t>Marcus</t>
  </si>
  <si>
    <t>Vinicius Do Nascimento</t>
  </si>
  <si>
    <t>marcus006181@hotmail.com</t>
  </si>
  <si>
    <t>31 97313-4322</t>
  </si>
  <si>
    <t>Bacharel Em Teologia</t>
  </si>
  <si>
    <t>empreendedor social (mei)</t>
  </si>
  <si>
    <t>rua maria carmen valadares</t>
  </si>
  <si>
    <t>30260-580</t>
  </si>
  <si>
    <t>&lt;a href="javascript:openPopupFocus%28%27https%3A%2F%2Fwww.linkedin.com%2Fin%2Fmarcus-vinicius-do-nascimento-a0ab634b%27%2C%20%27_blank%27%2C%20620%2C%20430%2C%20%27width%3D620%2Cheight%3D430%2Cresizable%3Dyes%2Ctoolbar%3Dyes%2Cstatus%3Dyes%2Cscrollbars%3Dyes%2Cmenubar%3Dyes%2Cdirectories%3Dyes%2Clocation%3Dyes%2Cdependant%3Dno%27%2C%20false%2C%20true%29%3B" title="https://www.linkedin.com/in/marcus-vinicius-do-nascimento-a0ab634b (Nova janela)"&gt;https://www.linkedin.com/in/marcus-vinicius-do-nascimento-a0ab634b&lt;/a&gt;</t>
  </si>
  <si>
    <t>&lt;a href="javascript:openPopupFocus%28%27https%3A%2F%2Fwww.instagram.com%2Fp%2FCShOz9CnU9K%2F%3Futm_medium%3Dcopy_link%27%2C%20%27_blank%27%2C%20620%2C%20430%2C%20%27width%3D620%2Cheight%3D430%2Cresizable%3Dyes%2Ctoolbar%3Dyes%2Cstatus%3Dyes%2Cscrollbars%3Dyes%2Cmenubar%3Dyes%2Cdirectories%3Dyes%2Clocation%3Dyes%2Cdependant%3Dno%27%2C%20false%2C%20true%29%3B" title="https://www.instagram.com/p/CShOz9CnU9K/?utm_medium=copy_link (Nova janela)"&gt;https://www.instagram.com/p/CShOz9CnU9K/?utm_medium=copy_link&lt;/a&gt;</t>
  </si>
  <si>
    <t>0034P00003maBV6</t>
  </si>
  <si>
    <t>Zeiza</t>
  </si>
  <si>
    <t>Matildes Da Silva</t>
  </si>
  <si>
    <t>(34)99123-3535</t>
  </si>
  <si>
    <t>Administração De Empresas/Gestão Financeira</t>
  </si>
  <si>
    <t>Associação Zeiza Dojo</t>
  </si>
  <si>
    <t>Rua Graciano Faria Arantes</t>
  </si>
  <si>
    <t>38410-078</t>
  </si>
  <si>
    <t>&lt;a href="javascript:openPopupFocus%28%27http%3A%2F%2Fwww.instagram%2Fzeizadojo%27%2C%20%27_blank%27%2C%20620%2C%20430%2C%20%27width%3D620%2Cheight%3D430%2Cresizable%3Dyes%2Ctoolbar%3Dyes%2Cstatus%3Dyes%2Cscrollbars%3Dyes%2Cmenubar%3Dyes%2Cdirectories%3Dyes%2Clocation%3Dyes%2Cdependant%3Dno%27%2C%20false%2C%20true%29%3B" title="http://www.instagram/zeizadojo (Nova janela)"&gt;http://www.instagram/zeizadojo&lt;/a&gt;</t>
  </si>
  <si>
    <t>0034P00003maBV7</t>
  </si>
  <si>
    <t>Walderson</t>
  </si>
  <si>
    <t>Baptista Bonifácio</t>
  </si>
  <si>
    <t>coordenacaoluar@gmail.com</t>
  </si>
  <si>
    <t>Artes Cênicas - Ator</t>
  </si>
  <si>
    <t>Trabalho como Animador cultural em uma escola em regime de CLT com carga horaria de 10 horas semanais.  Na ONG cumpro 38 horas i</t>
  </si>
  <si>
    <t>Alameda Francisco de Miranda</t>
  </si>
  <si>
    <t>57014-750</t>
  </si>
  <si>
    <t>0034P00003maBV8</t>
  </si>
  <si>
    <t>Salete</t>
  </si>
  <si>
    <t>Alexandre Ritir</t>
  </si>
  <si>
    <t>projeto.brejal.2k19@gmail.com</t>
  </si>
  <si>
    <t>RH - MEDIADORA DE CONFLITOS</t>
  </si>
  <si>
    <t>Rua Demócrito Gracindo</t>
  </si>
  <si>
    <t>91530-310</t>
  </si>
  <si>
    <t>0034P00003maBV9</t>
  </si>
  <si>
    <t>Nina</t>
  </si>
  <si>
    <t>Rosa Dias Cardoso</t>
  </si>
  <si>
    <t>Pedagogia</t>
  </si>
  <si>
    <t>Coordenadora Pedagógica e administrativa no Centro Social Padre Irineu Brand</t>
  </si>
  <si>
    <t>Pedagoga; ativista ; líder e empreendedora social! Nos 18 anos em que vive o terceiro Setor; já liderou projetos na Proteção Social da baixa até a alta complexidade! CEO e cofundadora do Instituto Ascendendo Mentes; Nina é uma pessoa que acredita que cad...</t>
  </si>
  <si>
    <t>av Elias Cirne Lima</t>
  </si>
  <si>
    <t>29032-567</t>
  </si>
  <si>
    <t>0034P00003maBVA</t>
  </si>
  <si>
    <t>Gilmar</t>
  </si>
  <si>
    <t>Lima dos Santos</t>
  </si>
  <si>
    <t>gillmarsantoslima@hotmail.com</t>
  </si>
  <si>
    <t>1898098ES</t>
  </si>
  <si>
    <t>Educador Social</t>
  </si>
  <si>
    <t>nº 165</t>
  </si>
  <si>
    <t>0034P00003maBVC</t>
  </si>
  <si>
    <t>Tuany</t>
  </si>
  <si>
    <t>Tomaz Nascimento</t>
  </si>
  <si>
    <t>Educação Física Licenciada</t>
  </si>
  <si>
    <t>Sou bailarina da Cia de Dança REC</t>
  </si>
  <si>
    <t>Morro do Adeus/Complexo do Alemão; Tuany é a primeira mulher preta a construir uma escola de balé no alto da sua própria favela. A jovem de 27 anos é formada em educação física licenciada; bailarina da Cia Rec e ganhadora da maior premiação feminina da A...</t>
  </si>
  <si>
    <t>Rua Oricá</t>
  </si>
  <si>
    <t>casa 2</t>
  </si>
  <si>
    <t>212150-260</t>
  </si>
  <si>
    <t>0034P00003maBVD</t>
  </si>
  <si>
    <t>Stella</t>
  </si>
  <si>
    <t>Maris Monteiro Moraes</t>
  </si>
  <si>
    <t>Graduação em Serviço social- pós graduação em gestão de políticas públicas para a família- infância e juventude- pós graduação em elaboração e gestão de projetos sociais e pós graduação em direitos humanos- cidadania global e responsabilidade social</t>
  </si>
  <si>
    <t>Stella nasceu em família com recursos; estudou em escolas referências na Zona Sul do Rio; e não por coincidência; a única negra em diversas salas. Sofreu racismo e preconceito; e somente se sentia bem nos meios sociais que tivessem filhos de empregada; d...</t>
  </si>
  <si>
    <t>Rua Leopoldino Bastos</t>
  </si>
  <si>
    <t>bloco 2 apt 802</t>
  </si>
  <si>
    <t>0034P00003maBVE</t>
  </si>
  <si>
    <t>Cesar</t>
  </si>
  <si>
    <t>Gouveia</t>
  </si>
  <si>
    <t>Graduado em Comunicação Social- com ênfase em Jornalismo</t>
  </si>
  <si>
    <t>Cesar Gouveia; 29 anos; empreendedor social e jornalista. Formado em jornalismo e empreende em comunicação desde 2013; quando criou o Vozes das Periferias; atualmente um Instituto que oferece para famílias em vulnerabilidade atividades em cultura; esport...</t>
  </si>
  <si>
    <t>Av. Casa Grande</t>
  </si>
  <si>
    <t>Apto 123 C</t>
  </si>
  <si>
    <t>03260-000</t>
  </si>
  <si>
    <t>0034P00003maBVF</t>
  </si>
  <si>
    <t>Marcelo</t>
  </si>
  <si>
    <t>Dias</t>
  </si>
  <si>
    <t>Gestão Publica</t>
  </si>
  <si>
    <t>Rua Irani</t>
  </si>
  <si>
    <t>0034P00003maBVG</t>
  </si>
  <si>
    <t>Maiara</t>
  </si>
  <si>
    <t>de Aquino Wenceslau</t>
  </si>
  <si>
    <t>MG15.765.056</t>
  </si>
  <si>
    <t>Maiara Wenceslau viveu a infância na favela do Maracanã (em Contagem; MG); aos 14 anos se mudou para o município de Ibirité e teve a sua adolescência marcada pela participação em um programa de Responsabilidade Social voltado para a compreensão dos Direi...</t>
  </si>
  <si>
    <t>Rua Papa Paulo VI</t>
  </si>
  <si>
    <t>Apto 302</t>
  </si>
  <si>
    <t>32 260 370</t>
  </si>
  <si>
    <t>0034P00003maBVH</t>
  </si>
  <si>
    <t>Oliveira</t>
  </si>
  <si>
    <t>Psicologia e Pedagogia</t>
  </si>
  <si>
    <t>Amanda Oliveira; 31 anos nasceu em uma favela na grande São Paulo e viu sua vida mudar ainda na infância;  por meio da musica que vinha das salas de aulas de um projeto social. Cresceu; se  tornou mulher; musicista; empreendedora social e resolveu multip...</t>
  </si>
  <si>
    <t>Ferez Gattaz</t>
  </si>
  <si>
    <t>0034P00003maBVJ</t>
  </si>
  <si>
    <t>Odilon</t>
  </si>
  <si>
    <t>Araujo de Oliveira Neto</t>
  </si>
  <si>
    <t>Licenciatura e Bacharelado em Educação Física</t>
  </si>
  <si>
    <t>Odilon Araújo; 34 anos; casado com Evelayne e pai da Ariel. Cresceu em uma favela em Guarulhos -SP. Ainda criança; perdeu seu pai e foi morar na casa de parentes. Na sua juventude se envolveu com drogas e alcoolismo; mas graças ao esporte e a fé; venceu ...</t>
  </si>
  <si>
    <t>Estrada da água chata</t>
  </si>
  <si>
    <t>Bloco 02 Apt 402</t>
  </si>
  <si>
    <t>0034P00003maBVK</t>
  </si>
  <si>
    <t>Rutenio</t>
  </si>
  <si>
    <t>Florencio Monte</t>
  </si>
  <si>
    <t>rutenio@pensandobem.org</t>
  </si>
  <si>
    <t>não se aplica</t>
  </si>
  <si>
    <t>Rutenio; professor de Muay Thai e ex designer gráfico; há 11 anos era só mais um menino na favela do Inferninho; em Fortaleza; onde nasceu e cresceu. O esporte foi o escape pra sua vida; e foi através dele que novos caminhos se abriram. Com apenas 19 ano...</t>
  </si>
  <si>
    <t>0034P00003maBVL</t>
  </si>
  <si>
    <t>Cintia</t>
  </si>
  <si>
    <t>Roberta Coelho Santana</t>
  </si>
  <si>
    <t>técnico em Artes Cênicas</t>
  </si>
  <si>
    <t> Cintia Sant'Anna; atriz; líder social; nascida e criada na primeira favela do Brasil; cresceu em dois cômodos de em uma moradia coletiva. Aos 21 conheceu o teatro e se engajou por oito anos no Grupo Tá Na Rua. Este movimento de mudança culmina na fundaç...</t>
  </si>
  <si>
    <t>nº 88 fundos</t>
  </si>
  <si>
    <t>0034P00003maCd8</t>
  </si>
  <si>
    <t>Paula Silva de Souza</t>
  </si>
  <si>
    <t>cursando tecnico enfermagem</t>
  </si>
  <si>
    <t> Ana Paula; 41 anos; mãe de 3 filhos; agricultora familiar; moradora do assentamento Passagem do Juazeiro no município de Elói de Souza e CEO da empresa sem fins lucrativos Instituto família criativa do campo. Em 2004 mudou para Natal; para lecionar aula...</t>
  </si>
  <si>
    <t>rua maria ivone campos Bairro:  assentamento passagem do juazeiro</t>
  </si>
  <si>
    <t>59250-000</t>
  </si>
  <si>
    <t>0034P00003maBVN</t>
  </si>
  <si>
    <t>Figueiredo Quirino</t>
  </si>
  <si>
    <t>Liderança Social</t>
  </si>
  <si>
    <t> Me chamo Jefferson Quirino sou nascido e criado em uma comunidade chamada Turano localizada na zona norte do Rio de Janeiro.  
Minha história de vida está totalmente relacionada a potência e influência que esse território tem na formação social das pess...</t>
  </si>
  <si>
    <t>Rua do Bispo Bairro:  Rio Comprido</t>
  </si>
  <si>
    <t>20261-063</t>
  </si>
  <si>
    <t>0034P00003maBVO</t>
  </si>
  <si>
    <t>Leonardo</t>
  </si>
  <si>
    <t>M. Precioso</t>
  </si>
  <si>
    <t>Educação</t>
  </si>
  <si>
    <t>Rua Baltazar Lemos Navarro Bairro:  Itaim Paulista</t>
  </si>
  <si>
    <t>0034P00003maBVP</t>
  </si>
  <si>
    <t>Eduardo</t>
  </si>
  <si>
    <t>Oliveira Rodrigues</t>
  </si>
  <si>
    <t>professor</t>
  </si>
  <si>
    <t>rua luan jacoby Bairro:</t>
  </si>
  <si>
    <t>0034P00003maBVQ</t>
  </si>
  <si>
    <t>Veronica</t>
  </si>
  <si>
    <t>Silva Machado</t>
  </si>
  <si>
    <t>Empreendedorismo (curso 10.000 Mulheres Empreendedora da Goldman Sachs)</t>
  </si>
  <si>
    <t>Av. João Paulo I Bairro:  Brasilândia</t>
  </si>
  <si>
    <t>0034P00003maBVT</t>
  </si>
  <si>
    <t>MARIA</t>
  </si>
  <si>
    <t>PATRICIA SANTANA OLIVEIRA</t>
  </si>
  <si>
    <t>ADMINISTRAÇÃO</t>
  </si>
  <si>
    <t> Patrícia; fundadora do Instituto Santa Cruz Ponta da Serra.</t>
  </si>
  <si>
    <t>48435-000</t>
  </si>
  <si>
    <t>0034P00003maBVV</t>
  </si>
  <si>
    <t>Jessyca</t>
  </si>
  <si>
    <t>Rodrigues Lopes</t>
  </si>
  <si>
    <t>jessyca@esportemais.org</t>
  </si>
  <si>
    <t>Técnica Esportiva no Centro de Formação Olímpica -  CFO</t>
  </si>
  <si>
    <t>Rua Paraisópolis</t>
  </si>
  <si>
    <t>60865-140</t>
  </si>
  <si>
    <t>0034P00003maBVc</t>
  </si>
  <si>
    <t>Debora</t>
  </si>
  <si>
    <t>do Espirito Santo da</t>
  </si>
  <si>
    <t>simeusoudomeio@gmail.com</t>
  </si>
  <si>
    <t>Rua Major João Pinheiro</t>
  </si>
  <si>
    <t>nº130</t>
  </si>
  <si>
    <t>0034P00003tQ7A1</t>
  </si>
  <si>
    <t>Katiana</t>
  </si>
  <si>
    <t>Pena Morais</t>
  </si>
  <si>
    <t>Educação Fisica, tecnico em danca e coreografa.</t>
  </si>
  <si>
    <t>Katiana iniciou a vida artística aos 7 anos; quando descobriu o ABC Circo Escola – Bom Jardim. Com três anos no circo; fez o teste de seleção da recém-criada EDISCA. Lá; ficou de 1992 a 2006; conheceu o Brasil inteiro com sua dança; bem como parte da Eur...</t>
  </si>
  <si>
    <t>Rua mirtes cordeiro 3360</t>
  </si>
  <si>
    <t>0034P00003tZGGo</t>
  </si>
  <si>
    <t>Verdiano Agostinho</t>
  </si>
  <si>
    <t>Anderson; mais conhecido como Buiu; casado com Elisa; pai da Helena e morador da comunidade do Jardim Ibirapuera; desde cedo escolheu correr atrás dos seus sonhos e isso que o move. É empreendedor na Viela Veste e Presidente/Fundador do Projeto Viela. Na...</t>
  </si>
  <si>
    <t>travessa Ibirapuera 266</t>
  </si>
  <si>
    <t>0034P00003xgnQ1</t>
  </si>
  <si>
    <t>Bruno</t>
  </si>
  <si>
    <t>Desidério</t>
  </si>
  <si>
    <t>bruno.poa@gerandofalcoes.com</t>
  </si>
  <si>
    <t>Líder Social</t>
  </si>
  <si>
    <t>Negro</t>
  </si>
  <si>
    <t>Heterossexual</t>
  </si>
  <si>
    <t>Avenida Elias Zugaib</t>
  </si>
  <si>
    <t>08554-300</t>
  </si>
  <si>
    <t>0034P00003xgujU</t>
  </si>
  <si>
    <t>Correia Da Costa</t>
  </si>
  <si>
    <t>miqueias.costa@gerandofalcoes.com</t>
  </si>
  <si>
    <t>(11) 96025-3835</t>
  </si>
  <si>
    <t>Processos Gerenciais.</t>
  </si>
  <si>
    <t>Manoel Alabarce lopes</t>
  </si>
  <si>
    <t>Bloco 07 / Apto 104</t>
  </si>
  <si>
    <t>08663-495</t>
  </si>
  <si>
    <t>&lt;a href="javascript:openPopupFocus%28%27https%3A%2F%2Fwww.linkedin.com%2Fin%2Fmiqu%25C3%25A9ias-costa-b578b18a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title="https://www.linkedin.com/in/miqu%C3%A9ias-costa-b578b18a/ (Nova janela)"&gt;https://www.linkedin.com/in/miqu%C3%A9ias-costa-b578b18a/&lt;/a&gt;</t>
  </si>
  <si>
    <t>&lt;a href="javascript:openPopupFocus%28%27https%3A%2F%2Fwww.instagram.com%2Fmiqueiascoosta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title="https://www.instagram.com/miqueiascoosta/ (Nova janela)"&gt;https://www.instagram.com/miqueiascoosta/&lt;/a&gt;</t>
  </si>
  <si>
    <t>0034P00003xh63p</t>
  </si>
  <si>
    <t>Dos Santos Do Nascimento</t>
  </si>
  <si>
    <t>thiago.nascimneto@gerandofalcoes.com</t>
  </si>
  <si>
    <t>(11)97745-9862</t>
  </si>
  <si>
    <t>Lider Social</t>
  </si>
  <si>
    <t>G</t>
  </si>
  <si>
    <t>Rua Mario Covas</t>
  </si>
  <si>
    <t>08130-060</t>
  </si>
  <si>
    <t>&lt;a href="javascript:openPopupFocus%28%27https%3A%2F%2Fwww.linkedin.com%2Fin%2Fthiago-nascimento-7486b1215%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title="https://www.linkedin.com/in/thiago-nascimento-7486b1215/ (Nova janela)"&gt;https://www.linkedin.com/in/thiago-nascimento-7486b1215/&lt;/a&gt;</t>
  </si>
  <si>
    <t>&lt;a href="javascript:openPopupFocus%28%27https%3A%2F%2Fwww.instagram.com%2Fthiagonascimentogf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title="https://www.instagram.com/thiagonascimentogf/ (Nova janela)"&gt;https://www.instagram.com/thiagonascimentogf/&lt;/a&gt;</t>
  </si>
  <si>
    <t>0034P00003q10qj</t>
  </si>
  <si>
    <t>Dener Marcos</t>
  </si>
  <si>
    <t>Xavier</t>
  </si>
  <si>
    <t>dener.xavier@hotmail.com</t>
  </si>
  <si>
    <t>48.638.709-4</t>
  </si>
  <si>
    <t>Comércio Exterior</t>
  </si>
  <si>
    <t>Globalhood - Co-fundador e gestor (Ensino de Idiomas)</t>
  </si>
  <si>
    <t>0034P00003u8pO7</t>
  </si>
  <si>
    <t>Joana</t>
  </si>
  <si>
    <t>Gabriela de Assis Machado Rodrigue</t>
  </si>
  <si>
    <t>joanamachado@institutosonhe.org</t>
  </si>
  <si>
    <t>1196342-4890</t>
  </si>
  <si>
    <t>Enfermagem</t>
  </si>
  <si>
    <t>Rua Vitorino Carmilo</t>
  </si>
  <si>
    <t>01153-000</t>
  </si>
  <si>
    <t>0034P00003uQScg</t>
  </si>
  <si>
    <t>Claudio</t>
  </si>
  <si>
    <t>Mendes Monteiro</t>
  </si>
  <si>
    <t>claudio@institutopeb.org.br</t>
  </si>
  <si>
    <t>Coordenação</t>
  </si>
  <si>
    <t>Rua Paranaguá</t>
  </si>
  <si>
    <t>0034P00003maBVW</t>
  </si>
  <si>
    <t>Anália Timbó Catunda Filha</t>
  </si>
  <si>
    <t>contato@vidanca.org</t>
  </si>
  <si>
    <t>Danças</t>
  </si>
  <si>
    <t>Rua Pereira Valente</t>
  </si>
  <si>
    <t>0034P00003maBVX</t>
  </si>
  <si>
    <t>Danielle</t>
  </si>
  <si>
    <t>Luzia da Silva</t>
  </si>
  <si>
    <t>Não tenho</t>
  </si>
  <si>
    <t>Mãe da Duda e da Nanda; filha do senhor Izaias e da dona Iramir; empreendedora social; fundadora Instituto Izaias Luzia; formada na Falcons University ( Gerando Falcões); sofreu racismo e bulying na infância; passou por 02 Anos de depressão profunda; TOC...</t>
  </si>
  <si>
    <t>Rua Serra do mar</t>
  </si>
  <si>
    <t>apto 64</t>
  </si>
  <si>
    <t>08410-160</t>
  </si>
  <si>
    <t>0034P00003maBVY</t>
  </si>
  <si>
    <t>Dener</t>
  </si>
  <si>
    <t>Luan Moraes de Jesus</t>
  </si>
  <si>
    <t>dener.moraes.adv@gmail.com</t>
  </si>
  <si>
    <t>Graduação em Direito</t>
  </si>
  <si>
    <t>08223-000</t>
  </si>
  <si>
    <t>0034P00003maBVZ</t>
  </si>
  <si>
    <t>Maurício</t>
  </si>
  <si>
    <t>Alexandre Pérez Draghi</t>
  </si>
  <si>
    <t>Administração de Empresas</t>
  </si>
  <si>
    <t>Renomado e emblemático Atleta de Rugby no Brasil; Maurício foi capitão e líder; em seus times trouxe os valores e a garra de sua carreira; para impactar a sociedade com seu sonho de promover o acesso à educação de qualidade para todos. Aos 18; entrou na ...</t>
  </si>
  <si>
    <t>Rua Senador Casemiro da Rocha</t>
  </si>
  <si>
    <t>04047-003</t>
  </si>
  <si>
    <t>0034P00003maBVa</t>
  </si>
  <si>
    <t>Lenir</t>
  </si>
  <si>
    <t>Ferreira de Castro</t>
  </si>
  <si>
    <t>MG 7766051</t>
  </si>
  <si>
    <t>Educadora Social- Produtora Cultural -Técnico em Administração .</t>
  </si>
  <si>
    <t>Depois de perder os pais ainda criança; Lenir Ferreira de Castro passou a maior parte da sua infância em orfanato aonde sofreu abandono e abusos. Passados os anos superou todas as dificuldades sociais; e foi salva pela Arte. Criou em 2003 o Projeto Fazen...</t>
  </si>
  <si>
    <t>Rua Peru Bairro:  Bairro: Santa Rosa</t>
  </si>
  <si>
    <t>0034P00003maBVb</t>
  </si>
  <si>
    <t>Nilcimar</t>
  </si>
  <si>
    <t>Maria Silvestre dos Santos</t>
  </si>
  <si>
    <t>amacmulheres@gmail.com</t>
  </si>
  <si>
    <t>Empreendedora Social</t>
  </si>
  <si>
    <t>Rua Manoel da Rocha Mendes</t>
  </si>
  <si>
    <t>25045-485</t>
  </si>
  <si>
    <t>0034P00003q1C2W</t>
  </si>
  <si>
    <t>Bruna Simãozinho Carvalho</t>
  </si>
  <si>
    <t>Morais</t>
  </si>
  <si>
    <t>bruna.mundonovo@gmail.com</t>
  </si>
  <si>
    <t>13.236.331-8</t>
  </si>
  <si>
    <t>Acessibilidade Cultural UFRJ -  Serviço social e o Trabalho com as famílias UNISUAM - Gestão cultura em curso cândido Mendes e gestão e elaboração de Projetos Sociais em curso</t>
  </si>
  <si>
    <t>Instituto Mundo Novo - Coordenadora Geral de Projetos</t>
  </si>
  <si>
    <t>Rua Abel de Alvarenga</t>
  </si>
  <si>
    <t>26585-000</t>
  </si>
  <si>
    <t>0034P00003maBVd</t>
  </si>
  <si>
    <t>Rosangela</t>
  </si>
  <si>
    <t>de Freitas Costa</t>
  </si>
  <si>
    <t>rfcosta7@hotmail.com</t>
  </si>
  <si>
    <t>Formação em Design de Interiores - Mestranda Design área de Mídia e Tecnologia</t>
  </si>
  <si>
    <t>Divido tempo com Mestrado sou bolsista Capes</t>
  </si>
  <si>
    <t>0034P00003maBVf</t>
  </si>
  <si>
    <t>Jocélio</t>
  </si>
  <si>
    <t>de Jesus (Beatriz Laurindo-representante)</t>
  </si>
  <si>
    <t>beatriz.artemis@uol.com.br</t>
  </si>
  <si>
    <t>2R 487825SSI/SC</t>
  </si>
  <si>
    <t>Gestão Ambiental - Pós graduada em Gestão Integrada (Qualidade - Meio Ambiente - Responsabilidade Social - Saúde e Segurança do Trabalho) - Pós em Transdiciplinaridade Holística de Base - Especialista em Educação Social e Psicologia Transpessoal - Pós em</t>
  </si>
  <si>
    <t>Artemis Consultoria - Consultora - Projetos socioambientais</t>
  </si>
  <si>
    <t>Rua Bandeirantes</t>
  </si>
  <si>
    <t>nº 481</t>
  </si>
  <si>
    <t>Ap. 51</t>
  </si>
  <si>
    <t>11443-520</t>
  </si>
  <si>
    <t>0034P00003maBVg</t>
  </si>
  <si>
    <t>Emanuel</t>
  </si>
  <si>
    <t>Heliomar Medeiros de Souza</t>
  </si>
  <si>
    <t>emanuel.medeiros.souza@gmail.com</t>
  </si>
  <si>
    <t>2209897 SSP/PB</t>
  </si>
  <si>
    <t>Licenciatura Plena em Geografia</t>
  </si>
  <si>
    <t>N/A</t>
  </si>
  <si>
    <t>Rua Santa Maria</t>
  </si>
  <si>
    <t>s/n</t>
  </si>
  <si>
    <t>58737-000</t>
  </si>
  <si>
    <t>0034P00003maBVh</t>
  </si>
  <si>
    <t>da Silva Pereira</t>
  </si>
  <si>
    <t>andersonpedagogiaufrrj@gmail.com</t>
  </si>
  <si>
    <t>115528903 DETRAN/RJ</t>
  </si>
  <si>
    <t>Corretor de Imóveis - Imobiliária Inteligente (Própria)</t>
  </si>
  <si>
    <t>Rua Araci</t>
  </si>
  <si>
    <t>1111a</t>
  </si>
  <si>
    <t>25530-460</t>
  </si>
  <si>
    <t>0034P00003maBVj</t>
  </si>
  <si>
    <t>César da Silva (Nil</t>
  </si>
  <si>
    <t>desenvolvimento.estrategico.beco@gmail.com</t>
  </si>
  <si>
    <t>MG8575410</t>
  </si>
  <si>
    <t>Bacharel em Administração e MBA em Marketing- Branding e Growth</t>
  </si>
  <si>
    <t>Realizo um trabalho como autônomo no canal de mídias sociais "Vista da Laje" e também ofereço palestras remuneradas professor de</t>
  </si>
  <si>
    <t>Rua União</t>
  </si>
  <si>
    <t>0034P00003maBVk</t>
  </si>
  <si>
    <t>Fábio</t>
  </si>
  <si>
    <t>Gonçalves da Silva</t>
  </si>
  <si>
    <t>vilaemprogresso@gmail.com</t>
  </si>
  <si>
    <t>Somente  médio completo</t>
  </si>
  <si>
    <t>Rua Dr Mario Moura Viela</t>
  </si>
  <si>
    <t>casa 5</t>
  </si>
  <si>
    <t>0034P00003maBVm</t>
  </si>
  <si>
    <t>ALEXANDRE</t>
  </si>
  <si>
    <t>MAGNO BATISTA FERREIRA</t>
  </si>
  <si>
    <t>alexandrejdnagashima@gmail.com</t>
  </si>
  <si>
    <t>1522154 SSP/RN</t>
  </si>
  <si>
    <t>EDUCAÇÃO FÍSICA - PÓS GRADUAÇÃO EM EDUCAÇÃO FÍSICA ESCOLAR</t>
  </si>
  <si>
    <t>PROFESSOR DE ESCOLA PARTICULAR</t>
  </si>
  <si>
    <t>RUA MANOEL DE CASTRO</t>
  </si>
  <si>
    <t>59070-700</t>
  </si>
  <si>
    <t>0034P000043fOng</t>
  </si>
  <si>
    <t>Sérgio</t>
  </si>
  <si>
    <t>André Martins</t>
  </si>
  <si>
    <t>sergio.martins1300@gmail.com</t>
  </si>
  <si>
    <t>(31)97179-0255</t>
  </si>
  <si>
    <t>Direito</t>
  </si>
  <si>
    <t>M</t>
  </si>
  <si>
    <t>Pardo</t>
  </si>
  <si>
    <t>Rua Serra Negra</t>
  </si>
  <si>
    <t>32616-296</t>
  </si>
  <si>
    <t>&lt;a href="javascript:openPopupFocus%28%27https%3A%2F%2Fwww.linkedin.com%2Fin%2Fsergio-martins-m-269018212%27%2C%20%27_blank%27%2C%20620%2C%20430%2C%20%27width%3D620%2Cheight%3D430%2Cresizable%3Dyes%2Ctoolbar%3Dyes%2Cstatus%3Dyes%2Cscrollbars%3Dyes%2Cmenubar%3Dyes%2Cdirectories%3Dyes%2Clocation%3Dyes%2Cdependant%3Dno%27%2C%20false%2C%20true%29%3B" title="https://www.linkedin.com/in/sergio-martins-m-269018212 (Nova janela)"&gt;https://www.linkedin.com/in/sergio-martins-m-269018212&lt;/a&gt;</t>
  </si>
  <si>
    <t>&lt;a href="javascript:openPopupFocus%28%27https%3A%2F%2Finstagram.com%2Foficialsergiokibe%27%2C%20%27_blank%27%2C%20620%2C%20430%2C%20%27width%3D620%2Cheight%3D430%2Cresizable%3Dyes%2Ctoolbar%3Dyes%2Cstatus%3Dyes%2Cscrollbars%3Dyes%2Cmenubar%3Dyes%2Cdirectories%3Dyes%2Clocation%3Dyes%2Cdependant%3Dno%27%2C%20false%2C%20true%29%3B" title="https://instagram.com/oficialsergiokibe (Nova janela)"&gt;https://instagram.com/oficialsergiokibe&lt;/a&gt;</t>
  </si>
  <si>
    <t>0034P000043fOnh</t>
  </si>
  <si>
    <t>Elias</t>
  </si>
  <si>
    <t>Toio Farias Dos Santos</t>
  </si>
  <si>
    <t>tom.abadacapoeira@gamil.com</t>
  </si>
  <si>
    <t>(51) 98149-8022</t>
  </si>
  <si>
    <t>Rua rosinha Joaquina da Silveira</t>
  </si>
  <si>
    <t>93222-420</t>
  </si>
  <si>
    <t>&lt;a href="javascript:openPopupFocus%28%27https%3A%2F%2Finstagram.com%2Ftom_maiorcapoeira%3Futm_medium%3Dcopy_link%27%2C%20%27_blank%27%2C%20620%2C%20430%2C%20%27width%3D620%2Cheight%3D430%2Cresizable%3Dyes%2Ctoolbar%3Dyes%2Cstatus%3Dyes%2Cscrollbars%3Dyes%2Cmenubar%3Dyes%2Cdirectories%3Dyes%2Clocation%3Dyes%2Cdependant%3Dno%27%2C%20false%2C%20true%29%3B" title="https://instagram.com/tom_maiorcapoeira?utm_medium=copy_link (Nova janela)"&gt;https://instagram.com/tom_maiorcapoeira?utm_medium=copy_link&lt;/a&gt;</t>
  </si>
  <si>
    <t>0034P000043fOnd</t>
  </si>
  <si>
    <t>Dayane Batista</t>
  </si>
  <si>
    <t>3198568-1797</t>
  </si>
  <si>
    <t>Engenharia Mecanica</t>
  </si>
  <si>
    <t>Natural da cidade de João Monlevade; atleta; formada em mecânica; técnico em eletromecânica; formada em empreendedorismo pelo Senac; mãe de três meninas; reside na cidade de Contagem; fundadora do Circuito inclusão.</t>
  </si>
  <si>
    <t>bloco 07 apt 102</t>
  </si>
  <si>
    <t>32187-585</t>
  </si>
  <si>
    <t>&lt;a href="javascript:openPopupFocus%28%27https%3A%2F%2Fwww.linkedin.com%2Fin%2Fdebora-batista-04a18614a%27%2C%20%27_blank%27%2C%20620%2C%20430%2C%20%27width%3D620%2Cheight%3D430%2Cresizable%3Dyes%2Ctoolbar%3Dyes%2Cstatus%3Dyes%2Cscrollbars%3Dyes%2Cmenubar%3Dyes%2Cdirectories%3Dyes%2Clocation%3Dyes%2Cdependant%3Dno%27%2C%20false%2C%20true%29%3B" title="https://www.linkedin.com/in/debora-batista-04a18614a (Nova janela)"&gt;https://www.linkedin.com/in/debora-batista-04a18614a&lt;/a&gt;</t>
  </si>
  <si>
    <t>&lt;a href="javascript:openPopupFocus%28%27https%3A%2F%2Fwww.instagram.com%2Fdeborabatistacis%27%2C%20%27_blank%27%2C%20620%2C%20430%2C%20%27width%3D620%2Cheight%3D430%2Cresizable%3Dyes%2Ctoolbar%3Dyes%2Cstatus%3Dyes%2Cscrollbars%3Dyes%2Cmenubar%3Dyes%2Cdirectories%3Dyes%2Clocation%3Dyes%2Cdependant%3Dno%27%2C%20false%2C%20true%29%3B" title="https://www.instagram.com/deborabatistacis (Nova janela)"&gt;https://www.instagram.com/deborabatistacis&lt;/a&gt;</t>
  </si>
  <si>
    <t>0034P000043fOnf</t>
  </si>
  <si>
    <t>Elaine</t>
  </si>
  <si>
    <t>Cristina Silva Bassi</t>
  </si>
  <si>
    <t>(11) 97189-6880</t>
  </si>
  <si>
    <t>Administração Coordenação De Projetos Sociais E Educadores Sociais Cursando Gestão Do Terceiro</t>
  </si>
  <si>
    <t>Sindica profissional condomínio Residência Manacá</t>
  </si>
  <si>
    <t>Rua Massato Sakai</t>
  </si>
  <si>
    <t>Manaca bl 04 apto 32</t>
  </si>
  <si>
    <t>08538-300</t>
  </si>
  <si>
    <t>&lt;a href="javascript:openPopupFocus%28%27http%3A%2F%2Fwww.linkedin.com%2Fin%2Felainecbassi%27%2C%20%27_blank%27%2C%20620%2C%20430%2C%20%27width%3D620%2Cheight%3D430%2Cresizable%3Dyes%2Ctoolbar%3Dyes%2Cstatus%3Dyes%2Cscrollbars%3Dyes%2Cmenubar%3Dyes%2Cdirectories%3Dyes%2Clocation%3Dyes%2Cdependant%3Dno%27%2C%20false%2C%20true%29%3B" title="http://www.linkedin.com/in/elainecbassi (Nova janela)"&gt;http://www.linkedin.com/in/elainecbassi&lt;/a&gt;</t>
  </si>
  <si>
    <t>&lt;a href="javascript:openPopupFocus%28%27https%3A%2F%2Fwww.instagram.com%2Felainecristinabassi%27%2C%20%27_blank%27%2C%20620%2C%20430%2C%20%27width%3D620%2Cheight%3D430%2Cresizable%3Dyes%2Ctoolbar%3Dyes%2Cstatus%3Dyes%2Cscrollbars%3Dyes%2Cmenubar%3Dyes%2Cdirectories%3Dyes%2Clocation%3Dyes%2Cdependant%3Dno%27%2C%20false%2C%20true%29%3B" title="https://www.instagram.com/elainecristinabassi (Nova janela)"&gt;https://www.instagram.com/elainecristinabassi&lt;/a&gt;</t>
  </si>
  <si>
    <t>0034P000043fOo3</t>
  </si>
  <si>
    <t>Thamires</t>
  </si>
  <si>
    <t>Andrade Castro</t>
  </si>
  <si>
    <t>thamirescastroa@gmail.com</t>
  </si>
  <si>
    <t>(31) 98534-6345</t>
  </si>
  <si>
    <t>Direito E Designer De Moda</t>
  </si>
  <si>
    <t>Advogada - Andrade Castro Advocacia</t>
  </si>
  <si>
    <t>Rua Margarida Menezes</t>
  </si>
  <si>
    <t>35180-071</t>
  </si>
  <si>
    <t>&lt;a href="javascript:openPopupFocus%28%27https%3A%2F%2Fwww.linkedin.com%2Fin%2Fthamires-castro-03901810a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title="https://www.linkedin.com/in/thamires-castro-03901810a/ (Nova janela)"&gt;https://www.linkedin.com/in/thamires-castro-03901810a/&lt;/a&gt;</t>
  </si>
  <si>
    <t>&lt;a href="javascript:openPopupFocus%28%27https%3A%2F%2Fwww.instagram.com%2Fthamirescastroa%27%2C%20%27_blank%27%2C%20620%2C%20430%2C%20%27width%3D620%2Cheight%3D430%2Cresizable%3Dyes%2Ctoolbar%3Dyes%2Cstatus%3Dyes%2Cscrollbars%3Dyes%2Cmenubar%3Dyes%2Cdirectories%3Dyes%2Clocation%3Dyes%2Cdependant%3Dno%27%2C%20false%2C%20true%29%3B" title="https://www.instagram.com/thamirescastroa (Nova janela)"&gt;https://www.instagram.com/thamirescastroa&lt;/a&gt;</t>
  </si>
  <si>
    <t>0034P000043fPDm</t>
  </si>
  <si>
    <t>Raquel De Souza</t>
  </si>
  <si>
    <t>(85) 99872-5479</t>
  </si>
  <si>
    <t>Assistente do controle de qualidade- M DIAS BRANCO ( FÁBRICA DE MARGARINAS E GORDURAS)- SETOR INDUSTRIAL</t>
  </si>
  <si>
    <t>60542-135</t>
  </si>
  <si>
    <t>&lt;a href="javascript:openPopupFocus%28%27https%3A%2F%2Fwww.linkedin.com%2Fin%2Fmaria-raquel-9a561b112%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title="https://www.linkedin.com/in/maria-raquel-9a561b112/ (Nova janela)"&gt;https://www.linkedin.com/in/maria-raquel-9a561b112/&lt;/a&gt;</t>
  </si>
  <si>
    <t>&lt;a href="javascript:openPopupFocus%28%27https%3A%2F%2Finstagram.com%2Fma.raquelcabral%3Futm_medium%3Dcopy_link%27%2C%20%27_blank%27%2C%20620%2C%20430%2C%20%27width%3D620%2Cheight%3D430%2Cresizable%3Dyes%2Ctoolbar%3Dyes%2Cstatus%3Dyes%2Cscrollbars%3Dyes%2Cmenubar%3Dyes%2Cdirectories%3Dyes%2Clocation%3Dyes%2Cdependant%3Dno%27%2C%20false%2C%20true%29%3B" title="https://instagram.com/ma.raquelcabral?utm_medium=copy_link (Nova janela)"&gt;https://instagram.com/ma.raquelcabral?utm_medium=copy_link&lt;/a&gt;</t>
  </si>
  <si>
    <t>0034P000043fPDn</t>
  </si>
  <si>
    <t>Katia</t>
  </si>
  <si>
    <t>Helena De Jesus Soares</t>
  </si>
  <si>
    <t>kajesoares@gmail.com</t>
  </si>
  <si>
    <t>(31)99175-5109</t>
  </si>
  <si>
    <t>Graduação Em Ciências Socaiais/Antropologia (Ufmg) Especialização Em Pesquisa E Ensino Em Arte E Cultura (Uemg) Mestranda No Curso De Letras ( Puc Minas)</t>
  </si>
  <si>
    <t>Contrato temporário-Secretaria Estadual de Educação-MG</t>
  </si>
  <si>
    <t>Rua Flamboyant</t>
  </si>
  <si>
    <t>32310-240</t>
  </si>
  <si>
    <t>&lt;a href="javascript:openPopupFocus%28%27https%3A%2F%2Fwww.linkedin.com%2Fin%2Fkatia-soares-38359858%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title="https://www.linkedin.com/in/katia-soares-38359858/ (Nova janela)"&gt;https://www.linkedin.com/in/katia-soares-38359858/&lt;/a&gt;</t>
  </si>
  <si>
    <t>&lt;a href="javascript:openPopupFocus%28%27https%3A%2F%2Fwww.instagram.com%2Fkajesoares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title="https://www.instagram.com/kajesoares/ (Nova janela)"&gt;https://www.instagram.com/kajesoares/&lt;/a&gt;</t>
  </si>
  <si>
    <t>0034P000043fOny</t>
  </si>
  <si>
    <t>Lidinalva</t>
  </si>
  <si>
    <t>Fernandes De Araújo</t>
  </si>
  <si>
    <t>lidinalva.fernandes@gmail.com</t>
  </si>
  <si>
    <t>rua bahia</t>
  </si>
  <si>
    <t>39400-443</t>
  </si>
  <si>
    <t>&lt;a href="javascript:openPopupFocus%28%27https%3A%2F%2Fwww.instagram.com%2Flidinalva.fernandes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title="https://www.instagram.com/lidinalva.fernandes/ (Nova janela)"&gt;https://www.instagram.com/lidinalva.fernandes/&lt;/a&gt;</t>
  </si>
  <si>
    <t>0034P000043fOnz</t>
  </si>
  <si>
    <t>Sidnea</t>
  </si>
  <si>
    <t>Lucia Prado</t>
  </si>
  <si>
    <t>sidnea.prado@gmail.com</t>
  </si>
  <si>
    <t>(31) 9 9715-3006</t>
  </si>
  <si>
    <t>Contábil</t>
  </si>
  <si>
    <t>Indígena</t>
  </si>
  <si>
    <t>Rua Macarena</t>
  </si>
  <si>
    <t>30865-060</t>
  </si>
  <si>
    <t>&lt;a href="javascript:openPopupFocus%28%27https%3A%2F%2Fwww.linkedin.com%2Fin%2Fsidnea-lucia-prado-524261144%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title="https://www.linkedin.com/in/sidnea-lucia-prado-524261144/ (Nova janela)"&gt;https://www.linkedin.com/in/sidnea-lucia-prado-524261144/&lt;/a&gt;</t>
  </si>
  <si>
    <t>&lt;a href="javascript:openPopupFocus%28%27https%3A%2F%2Fwww.instagram.com%2Fsidneaprado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title="https://www.instagram.com/sidneaprado/ (Nova janela)"&gt;https://www.instagram.com/sidneaprado/&lt;/a&gt;</t>
  </si>
  <si>
    <t>0034P000043fOo0</t>
  </si>
  <si>
    <t>Patricia</t>
  </si>
  <si>
    <t>Maia De Souza Brito</t>
  </si>
  <si>
    <t>patriciabailarina@hotmail.com</t>
  </si>
  <si>
    <t>11 98443-4620</t>
  </si>
  <si>
    <t>Educação Física - Bacharel / Educação Física Escolar - Pós Graduação</t>
  </si>
  <si>
    <t>Rua Nicolau Tolentino de Almeida</t>
  </si>
  <si>
    <t>Apartamento 24 Bloco K</t>
  </si>
  <si>
    <t>02671-020</t>
  </si>
  <si>
    <t>&lt;a href="javascript:openPopupFocus%28%27https%3A%2F%2Fwww.linkedin.com%2Fmwlite%2Fin%2Fpatricia-maia-485200217%27%2C%20%27_blank%27%2C%20620%2C%20430%2C%20%27width%3D620%2Cheight%3D430%2Cresizable%3Dyes%2Ctoolbar%3Dyes%2Cstatus%3Dyes%2Cscrollbars%3Dyes%2Cmenubar%3Dyes%2Cdirectories%3Dyes%2Clocation%3Dyes%2Cdependant%3Dno%27%2C%20false%2C%20true%29%3B" title="https://www.linkedin.com/mwlite/in/patricia-maia-485200217 (Nova janela)"&gt;https://www.linkedin.com/mwlite/in/patricia-maia-485200217&lt;/a&gt;</t>
  </si>
  <si>
    <t>&lt;a href="javascript:openPopupFocus%28%27https%3A%2F%2Finstagram.com%2Fpatymaiapersonal%3Futm_medium%3Dcopy_link%27%2C%20%27_blank%27%2C%20620%2C%20430%2C%20%27width%3D620%2Cheight%3D430%2Cresizable%3Dyes%2Ctoolbar%3Dyes%2Cstatus%3Dyes%2Cscrollbars%3Dyes%2Cmenubar%3Dyes%2Cdirectories%3Dyes%2Clocation%3Dyes%2Cdependant%3Dno%27%2C%20false%2C%20true%29%3B" title="https://instagram.com/patymaiapersonal?utm_medium=copy_link (Nova janela)"&gt;https://instagram.com/patymaiapersonal?utm_medium=copy_link&lt;/a&gt;</t>
  </si>
  <si>
    <t>0034P000043fOo2</t>
  </si>
  <si>
    <t>Poliana</t>
  </si>
  <si>
    <t>A Rodrigues</t>
  </si>
  <si>
    <t>(31) 98688-7119</t>
  </si>
  <si>
    <t>Administração Negócios</t>
  </si>
  <si>
    <t>Branco</t>
  </si>
  <si>
    <t>Rua da Batalha dos Palmares</t>
  </si>
  <si>
    <t>apto 101 bloco 8</t>
  </si>
  <si>
    <t>31985-160</t>
  </si>
  <si>
    <t>&lt;a href="javascript:openPopupFocus%28%27https%3A%2F%2Fwww.linkedin.com%2Fin%2Frodrigues-poliana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title="https://www.linkedin.com/in/rodrigues-poliana/ (Nova janela)"&gt;https://www.linkedin.com/in/rodrigues-poliana/&lt;/a&gt;</t>
  </si>
  <si>
    <t>&lt;a href="javascript:openPopupFocus%28%27https%3A%2F%2Fwww.instagram.com%2Frodriguespolyeli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title="https://www.instagram.com/rodriguespolyeli/ (Nova janela)"&gt;https://www.instagram.com/rodriguespolyeli/&lt;/a&gt;</t>
  </si>
  <si>
    <t>0034P000043fOo4</t>
  </si>
  <si>
    <t>Priscila</t>
  </si>
  <si>
    <t>Do Carmo Araujo</t>
  </si>
  <si>
    <t>prisciladocarmo.cultural@gmail.com</t>
  </si>
  <si>
    <t>(61) 99335-8340</t>
  </si>
  <si>
    <t>Comunicação</t>
  </si>
  <si>
    <t>Articuladora territorial/Secretaria de Justiça do Distrito Federal</t>
  </si>
  <si>
    <t>Quadra 16 Conjunto L Casa</t>
  </si>
  <si>
    <t>73050-172</t>
  </si>
  <si>
    <t>Trabalho informal</t>
  </si>
  <si>
    <t>&lt;a href="javascript:openPopupFocus%28%27http%3A%2F%2FAluguel%27%2C%20%27_blank%27%2C%20620%2C%20430%2C%20%27width%3D620%2Cheight%3D430%2Cresizable%3Dyes%2Ctoolbar%3Dyes%2Cstatus%3Dyes%2Cscrollbars%3Dyes%2Cmenubar%3Dyes%2Cdirectories%3Dyes%2Clocation%3Dyes%2Cdependant%3Dno%27%2C%20false%2C%20true%29%3B" title="http://Aluguel (Nova janela)"&gt;http://Aluguel&lt;/a&gt;</t>
  </si>
  <si>
    <t>&lt;a href="javascript:openPopupFocus%28%27https%3A%2F%2Fwww.linkedin.com%2Fin%2Fpriscila-do-carmo-ara%25C3%25BAjo-7065b331%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title="https://www.linkedin.com/in/priscila-do-carmo-ara%C3%BAjo-7065b331/ (Nova janela)"&gt;https://www.linkedin.com/in/priscila-do-carmo-ara%C3%BAjo-7065b331/&lt;/a&gt;</t>
  </si>
  <si>
    <t>0034P000043fOo5</t>
  </si>
  <si>
    <t>Johnny</t>
  </si>
  <si>
    <t>Santana</t>
  </si>
  <si>
    <t>johnnysantana22@gmail.com</t>
  </si>
  <si>
    <t>(32)99928-2607</t>
  </si>
  <si>
    <t>Educação ( Matemática E Educação Física)</t>
  </si>
  <si>
    <t>Prefeitura Municipal de Piraúba - Fiscal de tributos</t>
  </si>
  <si>
    <t>Leito da ANTIGA LINHA FÉRREA</t>
  </si>
  <si>
    <t>36170-000</t>
  </si>
  <si>
    <t>["CLT","Desempregado"]</t>
  </si>
  <si>
    <t>&lt;a href="javascript:openPopupFocus%28%27https%3A%2F%2Fwww.linkedin.com%2Fin%2Fjohnny-santana-014aa0216%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title="https://www.linkedin.com/in/johnny-santana-014aa0216/ (Nova janela)"&gt;https://www.linkedin.com/in/johnny-santana-014aa0216/&lt;/a&gt;</t>
  </si>
  <si>
    <t>&lt;a href="javascript:openPopupFocus%28%27https%3A%2F%2Fwww.instagram.com%2Fjohnnysantana89%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title="https://www.instagram.com/johnnysantana89/ (Nova janela)"&gt;https://www.instagram.com/johnnysantana89/&lt;/a&gt;</t>
  </si>
  <si>
    <t>0034P000043fOo7</t>
  </si>
  <si>
    <t>Pedro</t>
  </si>
  <si>
    <t>Augusto Rocha Costa</t>
  </si>
  <si>
    <t>(32)98887-9662</t>
  </si>
  <si>
    <t>Professor de Educação Musical</t>
  </si>
  <si>
    <t>P</t>
  </si>
  <si>
    <t>Rua José Neto</t>
  </si>
  <si>
    <t>0034P000043fOo8</t>
  </si>
  <si>
    <t>Roberta</t>
  </si>
  <si>
    <t>Maria Pessoa Maranhão De Lima</t>
  </si>
  <si>
    <t>robertamaranhao.pe@gmail.com</t>
  </si>
  <si>
    <t>(81)99763-0905</t>
  </si>
  <si>
    <t>Pós Gestão De Pessoas E Bacharel Design Gráfico</t>
  </si>
  <si>
    <t>Secretária do Gabinete da Secretária de Desenvolvimento Social de Olinda</t>
  </si>
  <si>
    <t>Roberta Maranhão - 43 anos; desde sempre moradora de Olinda e apaixonada pela sua cidade; seu povo e suas tradições.  Mãe de Lucas; 16 anos; filha de D. Mariza; servidora pública federal que criou sozinhas as suas 3 filhas. Cresceu na classe média por mé...</t>
  </si>
  <si>
    <t>53130-510</t>
  </si>
  <si>
    <t>&lt;a href="javascript:openPopupFocus%28%27http%3A%2F%2Frobertamaranhao.pe%27%2C%20%27_blank%27%2C%20620%2C%20430%2C%20%27width%3D620%2Cheight%3D430%2Cresizable%3Dyes%2Ctoolbar%3Dyes%2Cstatus%3Dyes%2Cscrollbars%3Dyes%2Cmenubar%3Dyes%2Cdirectories%3Dyes%2Clocation%3Dyes%2Cdependant%3Dno%27%2C%20false%2C%20true%29%3B" title="http://robertamaranhao.pe (Nova janela)"&gt;http://robertamaranhao.pe&lt;/a&gt;</t>
  </si>
  <si>
    <t>&lt;a href="javascript:openPopupFocus%28%27http%3A%2F%2Finstagram.com%2Froberta_inspire%27%2C%20%27_blank%27%2C%20620%2C%20430%2C%20%27width%3D620%2Cheight%3D430%2Cresizable%3Dyes%2Ctoolbar%3Dyes%2Cstatus%3Dyes%2Cscrollbars%3Dyes%2Cmenubar%3Dyes%2Cdirectories%3Dyes%2Clocation%3Dyes%2Cdependant%3Dno%27%2C%20false%2C%20true%29%3B" title="http://instagram.com/roberta_inspire (Nova janela)"&gt;http://instagram.com/roberta_inspire&lt;/a&gt;</t>
  </si>
  <si>
    <t>0034P000043fOo9</t>
  </si>
  <si>
    <t>Danilo</t>
  </si>
  <si>
    <t>César Trindade</t>
  </si>
  <si>
    <t>professordancesar@gmail.com</t>
  </si>
  <si>
    <t>31 9 8872-9239</t>
  </si>
  <si>
    <t>Eespecialista Em Atividades Físicas E Esportivas Para Pessoas Com Deficiência</t>
  </si>
  <si>
    <t>Servidor Público / Professor de Educação Física</t>
  </si>
  <si>
    <t>Rua Ney Werneck</t>
  </si>
  <si>
    <t>30810-630</t>
  </si>
  <si>
    <t>["CLT","Trabalho informal"]</t>
  </si>
  <si>
    <t>&lt;a href="javascript:openPopupFocus%28%27https%3A%2F%2Fwww.linkedin.com%2Fin%2Fdanilo-c%25C3%25A9sar-trindade-pereir%27%2C%20%27_blank%27%2C%20620%2C%20430%2C%20%27width%3D620%2Cheight%3D430%2Cresizable%3Dyes%2Ctoolbar%3Dyes%2Cstatus%3Dyes%2Cscrollbars%3Dyes%2Cmenubar%3Dyes%2Cdirectories%3Dyes%2Clocation%3Dyes%2Cdependant%3Dno%27%2C%20false%2C%20true%29%3B" title="https://www.linkedin.com/in/danilo-c%C3%A9sar-trindade-pereir (Nova janela)"&gt;https://www.linkedin.com/in/danilo-c%C3%A9sar-trindade-pereir&lt;/a&gt;</t>
  </si>
  <si>
    <t>0034P000043fOoA</t>
  </si>
  <si>
    <t>Rodrigo</t>
  </si>
  <si>
    <t>De Souza</t>
  </si>
  <si>
    <t>rodrigo@missaointensidade.org.br</t>
  </si>
  <si>
    <t>(11)99661-1025</t>
  </si>
  <si>
    <t>Educação Fisica</t>
  </si>
  <si>
    <t>AMAC ( Associação Mogiana de Ações para a Cidadania) Educador físico.</t>
  </si>
  <si>
    <t>Rua Maria Piedade da Silva.</t>
  </si>
  <si>
    <t>08720-390</t>
  </si>
  <si>
    <t>&lt;a href="javascript:openPopupFocus%28%27https%3A%2F%2Fwww.linkedin.com%2Fin%2Frodrigo-de-souza-62a803194%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title="https://www.linkedin.com/in/rodrigo-de-souza-62a803194/ (Nova janela)"&gt;https://www.linkedin.com/in/rodrigo-de-souza-62a803194/&lt;/a&gt;</t>
  </si>
  <si>
    <t>0034P000043fOoB</t>
  </si>
  <si>
    <t>Sadraque</t>
  </si>
  <si>
    <t>Albino De Souza</t>
  </si>
  <si>
    <t>sadraquealbino@gmail.com</t>
  </si>
  <si>
    <t>(21)99551-6397</t>
  </si>
  <si>
    <t>Rua Dom Antônio</t>
  </si>
  <si>
    <t>26260-180</t>
  </si>
  <si>
    <t>["Trabalho informal","Desempregado"]</t>
  </si>
  <si>
    <t>&lt;a href="javascript:openPopupFocus%28%27https%3A%2F%2Fwww.linkedin.com%2Fin%2Fsadraque-albino-de-souza-57600871%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title="https://www.linkedin.com/in/sadraque-albino-de-souza-57600871/ (Nova janela)"&gt;https://www.linkedin.com/in/sadraque-albino-de-souza-57600871/&lt;/a&gt;</t>
  </si>
  <si>
    <t>&lt;a href="javascript:openPopupFocus%28%27https%3A%2F%2Fwww.instagram.com%2Fsadraquealbino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title="https://www.instagram.com/sadraquealbino/ (Nova janela)"&gt;https://www.instagram.com/sadraquealbino/&lt;/a&gt;</t>
  </si>
  <si>
    <t>0034P000043fOoC</t>
  </si>
  <si>
    <t>Sara</t>
  </si>
  <si>
    <t>Abreu Silva</t>
  </si>
  <si>
    <t>saraabreu.2016@gmail.com</t>
  </si>
  <si>
    <t>(98)98756-6267</t>
  </si>
  <si>
    <t>Pedagogia Psicopedagogia Saúde Mental Assistência Social Na Saúde E Escola</t>
  </si>
  <si>
    <t>Escola Comunitária Professor Cidinho Marques - Diretora</t>
  </si>
  <si>
    <t>Amarelo</t>
  </si>
  <si>
    <t>Rua D</t>
  </si>
  <si>
    <t>65130-000</t>
  </si>
  <si>
    <t>0034P000043fOoD</t>
  </si>
  <si>
    <t>Green</t>
  </si>
  <si>
    <t>Saimonton Garcia Dias</t>
  </si>
  <si>
    <t>greendias@gmail.com</t>
  </si>
  <si>
    <t>31 99494-5092</t>
  </si>
  <si>
    <t>Engenharia Civil</t>
  </si>
  <si>
    <t>Desdêmona</t>
  </si>
  <si>
    <t>34011-123</t>
  </si>
  <si>
    <t>&lt;a href="javascript:openPopupFocus%28%27http%3A%2F%2Flinkedin.com%2Fin%2Fsaimon-dias-946881178%27%2C%20%27_blank%27%2C%20620%2C%20430%2C%20%27width%3D620%2Cheight%3D430%2Cresizable%3Dyes%2Ctoolbar%3Dyes%2Cstatus%3Dyes%2Cscrollbars%3Dyes%2Cmenubar%3Dyes%2Cdirectories%3Dyes%2Clocation%3Dyes%2Cdependant%3Dno%27%2C%20false%2C%20true%29%3B" title="http://linkedin.com/in/saimon-dias-946881178 (Nova janela)"&gt;http://linkedin.com/in/saimon-dias-946881178&lt;/a&gt;</t>
  </si>
  <si>
    <t>&lt;a href="javascript:openPopupFocus%28%27https%3A%2F%2Fwww.instagram.com%2Fgreen_dias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title="https://www.instagram.com/green_dias/ (Nova janela)"&gt;https://www.instagram.com/green_dias/&lt;/a&gt;</t>
  </si>
  <si>
    <t>0034P000043fOoF</t>
  </si>
  <si>
    <t>Priscilla</t>
  </si>
  <si>
    <t>Rubia De Siqueira</t>
  </si>
  <si>
    <t>jasmimabadamg@gmail.com</t>
  </si>
  <si>
    <t>(31)97112-7045</t>
  </si>
  <si>
    <t>Contabilidade Tributária</t>
  </si>
  <si>
    <t>Prestadora de serviço revendedora da ar condicionado.</t>
  </si>
  <si>
    <t>Rua Aderbal Rodrigues Vaz</t>
  </si>
  <si>
    <t>30690-000</t>
  </si>
  <si>
    <t>&lt;a href="javascript:openPopupFocus%28%27https%3A%2F%2Fwww.google.com%2Furl%3Fsa%3Dt%26source%3Dweb%26rct%3Dj%26url%3Dhttps%3A%2F%2Fbr.linkedin.com%2Fin%2Fpriscilla-siqueira-841959137%26ved%3D2ahUKEwi8i6TJuqLxAhUllZUCHTnoCLgQjjgwAHoECAQQAg%26usg%3DAOvVaw3ilHL_Q4gf10IKc3aa-P_4%27%2C%20%27_blank%27%2C%20620%2C%20430%2C%20%27width%3D620%2Cheight%3D430%2Cresizable%3Dyes%2Ctoolbar%3Dyes%2Cstatus%3Dyes%2Cscrollbars%3Dyes%2Cmenubar%3Dyes%2Cdirectories%3Dyes%2Clocation%3Dyes%2Cdependant%3Dno%27%2C%20false%2C%20true%29%3B" title="https://www.google.com/url?sa=t&amp;source=web&amp;rct=j&amp;url=https://br.linkedin.com/in/priscilla-siqueira-841959137&amp;ved=2ahUKEwi8i6TJuqLxAhUllZUCHTnoCLgQjjgwAHoECAQQAg&amp;usg=AOvVaw3ilHL_Q4gf10IKc3aa-P_4 (Nova janela)"&gt;https://www.google.com/url?sa=t&amp;source=web&amp;rct=j&amp;url=https://br.linkedin.com/in/priscilla-siqueira-841959137&amp;ved=2ahUKEwi8i6TJuqLxAhUllZUCHTnoCLgQjjgwAHoECAQQAg&amp;usg=AOvVaw3ilHL_Q4gf10IKc3aa-P_4&lt;/a&gt;</t>
  </si>
  <si>
    <t>&lt;a href="javascript:openPopupFocus%28%27https%3A%2F%2Fwww.instagram.com%2Fp%2FCQR0-4gF0moYnAf6RNobcLW1ZODNR1lrvNKSo80%2F%3Futm_medium%3Dcopy_link%27%2C%20%27_blank%27%2C%20620%2C%20430%2C%20%27width%3D620%2Cheight%3D430%2Cresizable%3Dyes%2Ctoolbar%3Dyes%2Cstatus%3Dyes%2Cscrollbars%3Dyes%2Cmenubar%3Dyes%2Cdirectories%3Dyes%2Clocation%3Dyes%2Cdependant%3Dno%27%2C%20false%2C%20true%29%3B" title="https://www.instagram.com/p/CQR0-4gF0moYnAf6RNobcLW1ZODNR1lrvNKSo80/?utm_medium=copy_link (Nova janela)"&gt;https://www.instagram.com/p/CQR0-4gF0moYnAf6RNobcLW1ZODNR1lrvNKSo80/?utm_medium=copy_link&lt;/a&gt;</t>
  </si>
  <si>
    <t>0034P000043fOoG</t>
  </si>
  <si>
    <t>Silvana</t>
  </si>
  <si>
    <t>Alves De França Mansanari</t>
  </si>
  <si>
    <t>silmansanari@gmail.com</t>
  </si>
  <si>
    <t>(11) 96560-6533</t>
  </si>
  <si>
    <t>Rua: Arcilio Federzoni</t>
  </si>
  <si>
    <t>07951-310</t>
  </si>
  <si>
    <t>&lt;a href="javascript:openPopupFocus%28%27https%3A%2F%2Fwww.linkedin.com%2Fin%2Fsilvana-alves-01454a216%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title="https://www.linkedin.com/in/silvana-alves-01454a216/ (Nova janela)"&gt;https://www.linkedin.com/in/silvana-alves-01454a216/&lt;/a&gt;</t>
  </si>
  <si>
    <t>0034P000043fOoH</t>
  </si>
  <si>
    <t>Fabio</t>
  </si>
  <si>
    <t>Anacleto</t>
  </si>
  <si>
    <t>31 98657-5234</t>
  </si>
  <si>
    <t>Rua do Campo Beco da Pituca</t>
  </si>
  <si>
    <t>30421-657</t>
  </si>
  <si>
    <t>&lt;a href="javascript:openPopupFocus%28%27https%3A%2F%2Fwww.linkedin.com%2Ffeed%2F%3Ftrk%3Dhomepage-basic_google-one-tap-submit%27%2C%20%27_blank%27%2C%20620%2C%20430%2C%20%27width%3D620%2Cheight%3D430%2Cresizable%3Dyes%2Ctoolbar%3Dyes%2Cstatus%3Dyes%2Cscrollbars%3Dyes%2Cmenubar%3Dyes%2Cdirectories%3Dyes%2Clocation%3Dyes%2Cdependant%3Dno%27%2C%20false%2C%20true%29%3B" title="https://www.linkedin.com/feed/?trk=homepage-basic_google-one-tap-submit (Nova janela)"&gt;https://www.linkedin.com/feed/?trk=homepage-basic_google-one-tap-submit&lt;/a&gt;</t>
  </si>
  <si>
    <t>&lt;a href="javascript:openPopupFocus%28%27https%3A%2F%2Fwww.instagram.com%2Ffabiioanacleto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title="https://www.instagram.com/fabiioanacleto/ (Nova janela)"&gt;https://www.instagram.com/fabiioanacleto/&lt;/a&gt;</t>
  </si>
  <si>
    <t>0034P000043fOoJ</t>
  </si>
  <si>
    <t>Ueliton</t>
  </si>
  <si>
    <t>Moreira Rocha</t>
  </si>
  <si>
    <t>uelitonmr@hotmail.com</t>
  </si>
  <si>
    <t>(11) 95979-0349</t>
  </si>
  <si>
    <t>Bissexual</t>
  </si>
  <si>
    <t>05874-030</t>
  </si>
  <si>
    <t>&lt;a href="javascript:openPopupFocus%28%27http%3A%2F%2Fwww.linkedin.com%2Fin%2Fuelitonrocha%27%2C%20%27_blank%27%2C%20620%2C%20430%2C%20%27width%3D620%2Cheight%3D430%2Cresizable%3Dyes%2Ctoolbar%3Dyes%2Cstatus%3Dyes%2Cscrollbars%3Dyes%2Cmenubar%3Dyes%2Cdirectories%3Dyes%2Clocation%3Dyes%2Cdependant%3Dno%27%2C%20false%2C%20true%29%3B" title="http://www.linkedin.com/in/uelitonrocha (Nova janela)"&gt;http://www.linkedin.com/in/uelitonrocha&lt;/a&gt;</t>
  </si>
  <si>
    <t>&lt;a href="javascript:openPopupFocus%28%27https%3A%2F%2Finstagram.com%2Fuelitonrochaoficial%27%2C%20%27_blank%27%2C%20620%2C%20430%2C%20%27width%3D620%2Cheight%3D430%2Cresizable%3Dyes%2Ctoolbar%3Dyes%2Cstatus%3Dyes%2Cscrollbars%3Dyes%2Cmenubar%3Dyes%2Cdirectories%3Dyes%2Clocation%3Dyes%2Cdependant%3Dno%27%2C%20false%2C%20true%29%3B" title="https://instagram.com/uelitonrochaoficial (Nova janela)"&gt;https://instagram.com/uelitonrochaoficial&lt;/a&gt;</t>
  </si>
  <si>
    <t>0034P000043fOni</t>
  </si>
  <si>
    <t>Elisandra</t>
  </si>
  <si>
    <t>Aparecida Martins Melo</t>
  </si>
  <si>
    <t>elisandra79melo@gmail.com</t>
  </si>
  <si>
    <t>(64)99233-9387</t>
  </si>
  <si>
    <t>Rua dos Cinquenta</t>
  </si>
  <si>
    <t>75522-045</t>
  </si>
  <si>
    <t>&lt;a href="javascript:openPopupFocus%28%27https%3A%2F%2Fwww.linkedin.com%2Fin%2Felisandra-aparecida-martins-melo-367843215%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title="https://www.linkedin.com/in/elisandra-aparecida-martins-melo-367843215/ (Nova janela)"&gt;https://www.linkedin.com/in/elisandra-aparecida-martins-melo-367843215/&lt;/a&gt;</t>
  </si>
  <si>
    <t>0034P000043fOnj</t>
  </si>
  <si>
    <t>Elizangela</t>
  </si>
  <si>
    <t>Maria Dos Santos</t>
  </si>
  <si>
    <t>eliz_social@outlook.com</t>
  </si>
  <si>
    <t>(11)96477-1181</t>
  </si>
  <si>
    <t>Bacharel Em Serviço Social</t>
  </si>
  <si>
    <t>Rua: Josè Bonifáco</t>
  </si>
  <si>
    <t>01003-001</t>
  </si>
  <si>
    <t>Ocupação/Invasão</t>
  </si>
  <si>
    <t>&lt;a href="javascript:openPopupFocus%28%27https%3A%2F%2Fwww.linkedin.com%2Ffeed%2F%27%2C%20%27_blank%27%2C%20620%2C%20430%2C%20%27width%3D620%2Cheight%3D430%2Cresizable%3Dyes%2Ctoolbar%3Dyes%2Cstatus%3Dyes%2Cscrollbars%3Dyes%2Cmenubar%3Dyes%2Cdirectories%3Dyes%2Clocation%3Dyes%2Cdependant%3Dno%27%2C%20false%2C%20true%29%3B" title="https://www.linkedin.com/feed/ (Nova janela)"&gt;https://www.linkedin.com/feed/&lt;/a&gt;</t>
  </si>
  <si>
    <t>&lt;a href="javascript:openPopupFocus%28%27https%3A%2F%2Fwww.instagram.com%2Fpretaeliz%27%2C%20%27_blank%27%2C%20620%2C%20430%2C%20%27width%3D620%2Cheight%3D430%2Cresizable%3Dyes%2Ctoolbar%3Dyes%2Cstatus%3Dyes%2Cscrollbars%3Dyes%2Cmenubar%3Dyes%2Cdirectories%3Dyes%2Clocation%3Dyes%2Cdependant%3Dno%27%2C%20false%2C%20true%29%3B" title="https://www.instagram.com/pretaeliz (Nova janela)"&gt;https://www.instagram.com/pretaeliz&lt;/a&gt;</t>
  </si>
  <si>
    <t>0034P000043fOnk</t>
  </si>
  <si>
    <t>Elizeu</t>
  </si>
  <si>
    <t>Da Silva Santos</t>
  </si>
  <si>
    <t>inarv.adm@gmail.com</t>
  </si>
  <si>
    <t>(71)9 9158-3966</t>
  </si>
  <si>
    <t>Ciências Contábeis Mba'S: Gestão Pública E Particular E Tributária.</t>
  </si>
  <si>
    <t>Dedicação Exclusiva</t>
  </si>
  <si>
    <t>Rua Buri</t>
  </si>
  <si>
    <t>41385-060</t>
  </si>
  <si>
    <t>["CLT","MEI","Funcionário Público","Desempregado"]</t>
  </si>
  <si>
    <t>&lt;a href="javascript:openPopupFocus%28%27https%3A%2F%2Fwww.linkedin.com%2Fin%2Felizeu-silva-2bb139101%27%2C%20%27_blank%27%2C%20620%2C%20430%2C%20%27width%3D620%2Cheight%3D430%2Cresizable%3Dyes%2Ctoolbar%3Dyes%2Cstatus%3Dyes%2Cscrollbars%3Dyes%2Cmenubar%3Dyes%2Cdirectories%3Dyes%2Clocation%3Dyes%2Cdependant%3Dno%27%2C%20false%2C%20true%29%3B" title="https://www.linkedin.com/in/elizeu-silva-2bb139101 (Nova janela)"&gt;https://www.linkedin.com/in/elizeu-silva-2bb139101&lt;/a&gt;</t>
  </si>
  <si>
    <t>&lt;a href="javascript:openPopupFocus%28%27https%3A%2F%2Fwww.instagram.com%2Feliseu_santto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title="https://www.instagram.com/eliseu_santto/ (Nova janela)"&gt;https://www.instagram.com/eliseu_santto/&lt;/a&gt;</t>
  </si>
  <si>
    <t>0034P000043fOnl</t>
  </si>
  <si>
    <t>Fernanda</t>
  </si>
  <si>
    <t>Bento Gomes Da Silva</t>
  </si>
  <si>
    <t>fefabensilva@gmail.com</t>
  </si>
  <si>
    <t>(11)93458-8230</t>
  </si>
  <si>
    <t>Ciências Contábeis</t>
  </si>
  <si>
    <t>Rua Flor de Pelicano</t>
  </si>
  <si>
    <t>08230-820</t>
  </si>
  <si>
    <t>&lt;a href="javascript:openPopupFocus%28%27https%3A%2F%2Fwww.linkedin.com%2Fin%2Ffernanda-bento-silva-82b93816a%27%2C%20%27_blank%27%2C%20620%2C%20430%2C%20%27width%3D620%2Cheight%3D430%2Cresizable%3Dyes%2Ctoolbar%3Dyes%2Cstatus%3Dyes%2Cscrollbars%3Dyes%2Cmenubar%3Dyes%2Cdirectories%3Dyes%2Clocation%3Dyes%2Cdependant%3Dno%27%2C%20false%2C%20true%29%3B" title="https://www.linkedin.com/in/fernanda-bento-silva-82b93816a (Nova janela)"&gt;https://www.linkedin.com/in/fernanda-bento-silva-82b93816a&lt;/a&gt;</t>
  </si>
  <si>
    <t>&lt;a href="javascript:openPopupFocus%28%27https%3A%2F%2Fwww.instagram.com%2Finvites%2Fcontact%2F%3Fi%3D1c4d0z908j43n%26utm_content%3Dm8gnu34%27%2C%20%27_blank%27%2C%20620%2C%20430%2C%20%27width%3D620%2Cheight%3D430%2Cresizable%3Dyes%2Ctoolbar%3Dyes%2Cstatus%3Dyes%2Cscrollbars%3Dyes%2Cmenubar%3Dyes%2Cdirectories%3Dyes%2Clocation%3Dyes%2Cdependant%3Dno%27%2C%20false%2C%20true%29%3B" title="https://www.instagram.com/invites/contact/?i=1c4d0z908j43n&amp;utm_content=m8gnu34 (Nova janela)"&gt;https://www.instagram.com/invites/contact/?i=1c4d0z908j43n&amp;utm_content=m8gnu34&lt;/a&gt;</t>
  </si>
  <si>
    <t>0034P000043fOnm</t>
  </si>
  <si>
    <t>Francilaine</t>
  </si>
  <si>
    <t>Nunes Araújo Melo</t>
  </si>
  <si>
    <t>laineasocial@gmail.com</t>
  </si>
  <si>
    <t>(32)99932-1867</t>
  </si>
  <si>
    <t>Serviço Social Gestão De Políticas Públicas E Sociais</t>
  </si>
  <si>
    <t>Prefeitura de Carandaí e APAE</t>
  </si>
  <si>
    <t>GG</t>
  </si>
  <si>
    <t>Rua Juca Fonseca</t>
  </si>
  <si>
    <t>Ap. 301</t>
  </si>
  <si>
    <t>36280-000</t>
  </si>
  <si>
    <t>&lt;a href="javascript:openPopupFocus%28%27http%3A%2F%2Flinkedin.com%2Fin%2Ffrancilaine-melo-856922212%27%2C%20%27_blank%27%2C%20620%2C%20430%2C%20%27width%3D620%2Cheight%3D430%2Cresizable%3Dyes%2Ctoolbar%3Dyes%2Cstatus%3Dyes%2Cscrollbars%3Dyes%2Cmenubar%3Dyes%2Cdirectories%3Dyes%2Clocation%3Dyes%2Cdependant%3Dno%27%2C%20false%2C%20true%29%3B" title="http://linkedin.com/in/francilaine-melo-856922212 (Nova janela)"&gt;http://linkedin.com/in/francilaine-melo-856922212&lt;/a&gt;</t>
  </si>
  <si>
    <t>&lt;a href="javascript:openPopupFocus%28%27https%3A%2F%2Finstagram.com%2Ffrancilaine_melo%27%2C%20%27_blank%27%2C%20620%2C%20430%2C%20%27width%3D620%2Cheight%3D430%2Cresizable%3Dyes%2Ctoolbar%3Dyes%2Cstatus%3Dyes%2Cscrollbars%3Dyes%2Cmenubar%3Dyes%2Cdirectories%3Dyes%2Clocation%3Dyes%2Cdependant%3Dno%27%2C%20false%2C%20true%29%3B" title="https://instagram.com/francilaine_melo (Nova janela)"&gt;https://instagram.com/francilaine_melo&lt;/a&gt;</t>
  </si>
  <si>
    <t>0034P000043fOnn</t>
  </si>
  <si>
    <t>Maria Silva Novais Oliveira</t>
  </si>
  <si>
    <t>aninhanovaisoliveira@hotmail.com</t>
  </si>
  <si>
    <t>(31)98595-6044</t>
  </si>
  <si>
    <t>Graduação - Psicologia</t>
  </si>
  <si>
    <t>Rua Narcisio Teixeira Abreu</t>
  </si>
  <si>
    <t>BECO SÃO LUIZ Nº05</t>
  </si>
  <si>
    <t>31580-250</t>
  </si>
  <si>
    <t>&lt;a href="javascript:openPopupFocus%28%27http%3A%2F%2Flinkedin.com%2Fin%2Fana-maria-oliveira-545397194%27%2C%20%27_blank%27%2C%20620%2C%20430%2C%20%27width%3D620%2Cheight%3D430%2Cresizable%3Dyes%2Ctoolbar%3Dyes%2Cstatus%3Dyes%2Cscrollbars%3Dyes%2Cmenubar%3Dyes%2Cdirectories%3Dyes%2Clocation%3Dyes%2Cdependant%3Dno%27%2C%20false%2C%20true%29%3B" title="http://linkedin.com/in/ana-maria-oliveira-545397194 (Nova janela)"&gt;http://linkedin.com/in/ana-maria-oliveira-545397194&lt;/a&gt;</t>
  </si>
  <si>
    <t>&lt;a href="javascript:openPopupFocus%28%27http%3A%2F%2F%40anaoliveira_psihumana.mente%27%2C%20%27_blank%27%2C%20620%2C%20430%2C%20%27width%3D620%2Cheight%3D430%2Cresizable%3Dyes%2Ctoolbar%3Dyes%2Cstatus%3Dyes%2Cscrollbars%3Dyes%2Cmenubar%3Dyes%2Cdirectories%3Dyes%2Clocation%3Dyes%2Cdependant%3Dno%27%2C%20false%2C%20true%29%3B" title="http://@anaoliveira_psihumana.mente (Nova janela)"&gt;http://@anaoliveira_psihumana.mente&lt;/a&gt;</t>
  </si>
  <si>
    <t>0034P000043fOno</t>
  </si>
  <si>
    <t>Francisca</t>
  </si>
  <si>
    <t>Izabel Castro Porto</t>
  </si>
  <si>
    <t>izabelporto@hotmail.com</t>
  </si>
  <si>
    <t>(92)99114-2962</t>
  </si>
  <si>
    <t>Filosofia E Docência Do Ensino Superior</t>
  </si>
  <si>
    <t>Avenida Amazonas</t>
  </si>
  <si>
    <t>69151-000</t>
  </si>
  <si>
    <t>["Funcionário Público","Desempregado"]</t>
  </si>
  <si>
    <t>0034P000043fOnp</t>
  </si>
  <si>
    <t>Flávio</t>
  </si>
  <si>
    <t>Almeida Batista</t>
  </si>
  <si>
    <t>(61) 99574-7001</t>
  </si>
  <si>
    <t>Projetista Cadista</t>
  </si>
  <si>
    <t>Autônomo</t>
  </si>
  <si>
    <t> 46 anos; nascido e criado em Ceilândia; cidade satélite periférica no Distrito Federal; casado com Eliane há 23 anos; pai da Bruna e Júlia. Gestor de projetos sociais; desde 2008 trabalhando com famílias em situação de vulnerabilidade social e moradores...</t>
  </si>
  <si>
    <t>QN 501 CONJUNTO 16 LOTES 02/03 LOJA</t>
  </si>
  <si>
    <t>72311-216</t>
  </si>
  <si>
    <t>&lt;a href="javascript:openPopupFocus%28%27https%3A%2F%2Fwww.linkedin.com%2Fin%2Ffl%25C3%25A1vio-almeida-729a731ba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title="https://www.linkedin.com/in/fl%C3%A1vio-almeida-729a731ba/ (Nova janela)"&gt;https://www.linkedin.com/in/fl%C3%A1vio-almeida-729a731ba/&lt;/a&gt;</t>
  </si>
  <si>
    <t>&lt;a href="javascript:openPopupFocus%28%27https%3A%2F%2Fwww.instagram.com%2Fflavioalmeidaf3%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title="https://www.instagram.com/flavioalmeidaf3/ (Nova janela)"&gt;https://www.instagram.com/flavioalmeidaf3/&lt;/a&gt;</t>
  </si>
  <si>
    <t>0034P000043fOnq</t>
  </si>
  <si>
    <t>Gil</t>
  </si>
  <si>
    <t>Sacramento Da Silva</t>
  </si>
  <si>
    <t>falecomleon@gmail.com</t>
  </si>
  <si>
    <t>71 9.9636-1142</t>
  </si>
  <si>
    <t>Não Tem</t>
  </si>
  <si>
    <t>Ensino Fundamental</t>
  </si>
  <si>
    <t>Travessa São Benedito</t>
  </si>
  <si>
    <t>Chapada do Rio Vermelho</t>
  </si>
  <si>
    <t>41925-565</t>
  </si>
  <si>
    <t>&lt;a href="javascript:openPopupFocus%28%27https%3A%2F%2Fmeet.google.com%2Fcvq-zyft-nqx%20Para%20participar%20por%20telefone%20disque%20%2B55%2041%204560-9564%20e%20digite%20este%20PIN%3A%20974%20208%20190%23%20Para%20ver%20mais%20n%C3%BAmeros%20de%20telefone%20clique%20neste%20link%3A%20https%3A%2F%2Ftel.meet%2Fcvq-zyft-nqx%3Fhs%3D5%27%2C%20%27_blank%27%2C%20620%2C%20430%2C%20%27width%3D620%2Cheight%3D430%2Cresizable%3Dyes%2Ctoolbar%3Dyes%2Cstatus%3Dyes%2Cscrollbars%3Dyes%2Cmenubar%3Dyes%2Cdirectories%3Dyes%2Clocation%3Dyes%2Cdependant%3Dno%27%2C%20false%2C%20true%29%3B" title="https://meet.google.com/cvq-zyft-nqx Para participar por telefone disque +55 41 4560-9564 e digite este PIN: 974 208 190# Para ver mais números de telefone clique neste link: https://tel.meet/cvq-zyft-nqx?hs=5 (Nova janela)"&gt;https://meet.google.com/cvq-zyft-nqx Para participar por telefone disque +55 41 4560-9564 e digite este PIN: 974 208 190# Para ver mais números de telefone clique neste link: https://tel.meet/cvq-zyft-nqx?hs=5&lt;/a&gt;</t>
  </si>
  <si>
    <t>&lt;a href="javascript:openPopupFocus%28%27https%3A%2F%2Fwww.instagram.com%2Fgildeleonn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title="https://www.instagram.com/gildeleonn/ (Nova janela)"&gt;https://www.instagram.com/gildeleonn/&lt;/a&gt;</t>
  </si>
  <si>
    <t>0034P000043fOnr</t>
  </si>
  <si>
    <t>Girlane</t>
  </si>
  <si>
    <t>Souza Do Nascimento Salarini Gimenez</t>
  </si>
  <si>
    <t>(11) 98894-9209</t>
  </si>
  <si>
    <t>02672-060</t>
  </si>
  <si>
    <t>&lt;a href="javascript:openPopupFocus%28%27https%3A%2F%2Finstagram.com%2Fgigimenez6%3Futm_medium%3Dcopy_link%27%2C%20%27_blank%27%2C%20620%2C%20430%2C%20%27width%3D620%2Cheight%3D430%2Cresizable%3Dyes%2Ctoolbar%3Dyes%2Cstatus%3Dyes%2Cscrollbars%3Dyes%2Cmenubar%3Dyes%2Cdirectories%3Dyes%2Clocation%3Dyes%2Cdependant%3Dno%27%2C%20false%2C%20true%29%3B" title="https://instagram.com/gigimenez6?utm_medium=copy_link (Nova janela)"&gt;https://instagram.com/gigimenez6?utm_medium=copy_link&lt;/a&gt;</t>
  </si>
  <si>
    <t>&lt;a href="javascript:openPopupFocus%28%27https%3A%2F%2Fwww.linkedin.com%2Fauthwall%3Ftrk%3Dripf%26trkInfo%3DAQGxbcZziSnZQQAAAXqN3CIgfRP_hUIGQrEXuJovFzaFijos31nTAnj1cH--9_DcbpOsQf2-e_AJQ_WM7nIV8zsUu8F2n0pAg1OhlQoLhgYpuczWyT7orODnKN5EQtfKNlWgxPw%3D%26originalReferer%3Dhttps%3A%2F%2Fwww.google.com%2F%26sessionRedirect%3Dhttps%253A%252F%27%2C%20%27_blank%27%2C%20620%2C%20430%2C%20%27width%3D620%2Cheight%3D430%2Cresizable%3Dyes%2Ctoolbar%3Dyes%2Cstatus%3Dyes%2Cscrollbars%3Dyes%2Cmenubar%3Dyes%2Cdirectories%3Dyes%2Clocation%3Dyes%2Cdependant%3Dno%27%2C%20false%2C%20true%29%3B" title="https://www.linkedin.com/authwall?trk=ripf&amp;trkInfo=AQGxbcZziSnZQQAAAXqN3CIgfRP_hUIGQrEXuJovFzaFijos31nTAnj1cH--9_DcbpOsQf2-e_AJQ_WM7nIV8zsUu8F2n0pAg1OhlQoLhgYpuczWyT7orODnKN5EQtfKNlWgxPw=&amp;originalReferer=https://www.google.com/&amp;sessionRedirect=https%3A%2F (Nova janela)"&gt;https://www.linkedin.com/authwall?trk=ripf&amp;trkInfo=AQGxbcZziSnZQQAAAXqN3CIgfRP_hUIGQrEXuJovFzaFijos31nTAnj1cH--9_DcbpOsQf2-e_AJQ_WM7nIV8zsUu8F2n0pAg1OhlQoLhgYpuczWyT7orODnKN5EQtfKNlWgxPw=&amp;originalReferer=https://www.google.com/&amp;sessionRedirect=https%3A%2F&lt;/a&gt;</t>
  </si>
  <si>
    <t>0034P000043fOns</t>
  </si>
  <si>
    <t>Graziella</t>
  </si>
  <si>
    <t>Porfirio Da Silva Baptista</t>
  </si>
  <si>
    <t>grazindiana12@gmail.com</t>
  </si>
  <si>
    <t>1199673-1642</t>
  </si>
  <si>
    <t>Graduada Em Pedagogia</t>
  </si>
  <si>
    <t>Rua Antonio Augusto Claro</t>
  </si>
  <si>
    <t>08676-190</t>
  </si>
  <si>
    <t>&lt;a href="javascript:openPopupFocus%28%27https%3A%2F%2Fwww.linkedin.com%2Fin%2Fgraziella-porfirio-263b68190%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title="https://www.linkedin.com/in/graziella-porfirio-263b68190/ (Nova janela)"&gt;https://www.linkedin.com/in/graziella-porfirio-263b68190/&lt;/a&gt;</t>
  </si>
  <si>
    <t>&lt;a href="javascript:openPopupFocus%28%27https%3A%2F%2Fwww.instagram.com%2Fgrazi_porfirio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title="https://www.instagram.com/grazi_porfirio/ (Nova janela)"&gt;https://www.instagram.com/grazi_porfirio/&lt;/a&gt;</t>
  </si>
  <si>
    <t>0034P000043fOnt</t>
  </si>
  <si>
    <t>Jaqueline</t>
  </si>
  <si>
    <t>De Sousa Ribeiro</t>
  </si>
  <si>
    <t>jacksousa1989@gmail.com</t>
  </si>
  <si>
    <t>(48)98812-1209</t>
  </si>
  <si>
    <t>servidao anjo gabriel</t>
  </si>
  <si>
    <t>88090-578</t>
  </si>
  <si>
    <t>&lt;a href="javascript:openPopupFocus%28%27https%3A%2F%2Fwww.linkedin.com%2Fin%2Fjaqueline-ribeiro-5265751ab%27%2C%20%27_blank%27%2C%20620%2C%20430%2C%20%27width%3D620%2Cheight%3D430%2Cresizable%3Dyes%2Ctoolbar%3Dyes%2Cstatus%3Dyes%2Cscrollbars%3Dyes%2Cmenubar%3Dyes%2Cdirectories%3Dyes%2Clocation%3Dyes%2Cdependant%3Dno%27%2C%20false%2C%20true%29%3B" title="https://www.linkedin.com/in/jaqueline-ribeiro-5265751ab (Nova janela)"&gt;https://www.linkedin.com/in/jaqueline-ribeiro-5265751ab&lt;/a&gt;</t>
  </si>
  <si>
    <t>&lt;a href="javascript:openPopupFocus%28%27https%3A%2F%2Fwww.instagram.com%2Fjacksousa25%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title="https://www.instagram.com/jacksousa25/ (Nova janela)"&gt;https://www.instagram.com/jacksousa25/&lt;/a&gt;</t>
  </si>
  <si>
    <t>0034P000043fPDj</t>
  </si>
  <si>
    <t>Jose</t>
  </si>
  <si>
    <t>Carlos Dos Reis</t>
  </si>
  <si>
    <t>jcr2294@gmail.com</t>
  </si>
  <si>
    <t>2196426-1172</t>
  </si>
  <si>
    <t>Bacharelado Em Administração De Empresas</t>
  </si>
  <si>
    <t>Coodernador Adminostrativo Financeiro - Observatório de Favelas do RJ - Organização Social</t>
  </si>
  <si>
    <t>XG</t>
  </si>
  <si>
    <t>RUA CALDAS BARBOSA</t>
  </si>
  <si>
    <t>casa 102</t>
  </si>
  <si>
    <t>20740-170</t>
  </si>
  <si>
    <t>&lt;a href="javascript:openPopupFocus%28%27https%3A%2F%2Fwww.instagram.com%2Fandre2294%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title="https://www.instagram.com/andre2294/ (Nova janela)"&gt;https://www.instagram.com/andre2294/&lt;/a&gt;</t>
  </si>
  <si>
    <t>0034P000043fPDk</t>
  </si>
  <si>
    <t>José</t>
  </si>
  <si>
    <t>Wellton De Souza Brito</t>
  </si>
  <si>
    <t>(88) 9 9952-6976</t>
  </si>
  <si>
    <t>Prefeitura Municipal de Quixeramobim</t>
  </si>
  <si>
    <t>Homossexual</t>
  </si>
  <si>
    <t>Rua Idelzuite Almeida</t>
  </si>
  <si>
    <t>Casa 102</t>
  </si>
  <si>
    <t>63800-000</t>
  </si>
  <si>
    <t>&lt;a href="javascript:openPopupFocus%28%27https%3A%2F%2Fwww.linkedin.com%2Fin%2Fwellton-brito-092536216%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title="https://www.linkedin.com/in/wellton-brito-092536216/ (Nova janela)"&gt;https://www.linkedin.com/in/wellton-brito-092536216/&lt;/a&gt;</t>
  </si>
  <si>
    <t>&lt;a href="javascript:openPopupFocus%28%27https%3A%2F%2Fwww.instagram.com%2Fwellton_brito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title="https://www.instagram.com/wellton_brito/ (Nova janela)"&gt;https://www.instagram.com/wellton_brito/&lt;/a&gt;</t>
  </si>
  <si>
    <t>0034P000043fOnu</t>
  </si>
  <si>
    <t>Livia</t>
  </si>
  <si>
    <t>Silveira Sant'Anna</t>
  </si>
  <si>
    <t>liviasilveirasantanna@gmail.com</t>
  </si>
  <si>
    <t>32 99130-0969</t>
  </si>
  <si>
    <t>Augustinho Guerra Pontes</t>
  </si>
  <si>
    <t>36032-480</t>
  </si>
  <si>
    <t>&lt;a href="javascript:openPopupFocus%28%27https%3A%2F%2Fwww.instagram.com%2Fliviasilveiraa%2F%3Fhl%3Dpt-br%27%2C%20%27_blank%27%2C%20620%2C%20430%2C%20%27width%3D620%2Cheight%3D430%2Cresizable%3Dyes%2Ctoolbar%3Dyes%2Cstatus%3Dyes%2Cscrollbars%3Dyes%2Cmenubar%3Dyes%2Cdirectories%3Dyes%2Clocation%3Dyes%2Cdependant%3Dno%27%2C%20false%2C%20true%29%3B" title="https://www.instagram.com/liviasilveiraa/?hl=pt-br (Nova janela)"&gt;https://www.instagram.com/liviasilveiraa/?hl=pt-br&lt;/a&gt;</t>
  </si>
  <si>
    <t>0034P000043fOnv</t>
  </si>
  <si>
    <t>Mateus Zacarias Silva</t>
  </si>
  <si>
    <t>rodrigo@institutomacunaima.org.br</t>
  </si>
  <si>
    <t>(31) 99944-9113</t>
  </si>
  <si>
    <t>Sociológia</t>
  </si>
  <si>
    <t>rua jose forçal</t>
  </si>
  <si>
    <t>30642-460</t>
  </si>
  <si>
    <t>&lt;a href="javascript:openPopupFocus%28%27https%3A%2F%2Fwww.linkedin.com%2Fin%2Frodrigo-zacarias-23a8a81b3%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title="https://www.linkedin.com/in/rodrigo-zacarias-23a8a81b3/ (Nova janela)"&gt;https://www.linkedin.com/in/rodrigo-zacarias-23a8a81b3/&lt;/a&gt;</t>
  </si>
  <si>
    <t>&lt;a href="javascript:openPopupFocus%28%27https%3A%2F%2Fwww.instagram.com%2Fsidaomacunaima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title="https://www.instagram.com/sidaomacunaima/ (Nova janela)"&gt;https://www.instagram.com/sidaomacunaima/&lt;/a&gt;</t>
  </si>
  <si>
    <t>0034P000043fOnw</t>
  </si>
  <si>
    <t>Luísa</t>
  </si>
  <si>
    <t>Mahin Araújo Lima Do Nascimento</t>
  </si>
  <si>
    <t>luisamahin@gmail.com</t>
  </si>
  <si>
    <t>(75)99264-2453</t>
  </si>
  <si>
    <t>Comunicação Social (Graduação) I Desenvolvimento E Gestão Social (Mestrado 1) I Ciências Sociais (Mestrado 2)</t>
  </si>
  <si>
    <t>Praça João Gualberto</t>
  </si>
  <si>
    <t>44300-000</t>
  </si>
  <si>
    <t>&lt;a href="javascript:openPopupFocus%28%27https%3A%2F%2Fbr.linkedin.com%2F%27%2C%20%27_blank%27%2C%20620%2C%20430%2C%20%27width%3D620%2Cheight%3D430%2Cresizable%3Dyes%2Ctoolbar%3Dyes%2Cstatus%3Dyes%2Cscrollbars%3Dyes%2Cmenubar%3Dyes%2Cdirectories%3Dyes%2Clocation%3Dyes%2Cdependant%3Dno%27%2C%20false%2C%20true%29%3B" title="https://br.linkedin.com/ (Nova janela)"&gt;https://br.linkedin.com/&lt;/a&gt;</t>
  </si>
  <si>
    <t>&lt;a href="javascript:openPopupFocus%28%27http%3A%2F%2Fwww.instagram.com%2Fluisamahin%2F%27%2C%20%27_blank%27%2C%20620%2C%20430%2C%20%27width%3D620%2Cheight%3D430%2Cresizable%3Dyes%2Ctoolbar%3Dyes%2Cstatus%3Dyes%2Cscrollbars%3Dyes%2Cmenubar%3Dyes%2Cdirectories%3Dyes%2Clocation%3Dyes%2Cdependant%3Dno%27%2C%20false%2C%20true%29%3B" title="http://www.instagram.com/luisamahin/ (Nova janela)"&gt;http://www.instagram.com/luisamahin/&lt;/a&gt;</t>
  </si>
  <si>
    <t>0034P000043fOnx</t>
  </si>
  <si>
    <t>Geralda</t>
  </si>
  <si>
    <t>Aparecida Do Socorro Silveira</t>
  </si>
  <si>
    <t>socorro502015silveira@gmail.com</t>
  </si>
  <si>
    <t>Psicopedagogia</t>
  </si>
  <si>
    <t> Graduada em Pedagogia pela FAFIC - Faculdade Filosofia Ciências e Letras; especialista em Psicopedagogia pelas Faculdades Integradas Simonsen; nasci em uma cidade muito pequena no interior de Minas Gerais e durante minha trajetória passei por muitas dif...</t>
  </si>
  <si>
    <t>Rua Celestino Euzébio Fernandes</t>
  </si>
  <si>
    <t>36420-000</t>
  </si>
  <si>
    <t>&lt;a href="javascript:openPopupFocus%28%27https%3A%2F%2Fwww.linkedin.com%2Fin%2Fsocorro-silveira-silveira-25593067%27%2C%20%27_blank%27%2C%20620%2C%20430%2C%20%27width%3D620%2Cheight%3D430%2Cresizable%3Dyes%2Ctoolbar%3Dyes%2Cstatus%3Dyes%2Cscrollbars%3Dyes%2Cmenubar%3Dyes%2Cdirectories%3Dyes%2Clocation%3Dyes%2Cdependant%3Dno%27%2C%20false%2C%20true%29%3B" title="https://www.linkedin.com/in/socorro-silveira-silveira-25593067 (Nova janela)"&gt;https://www.linkedin.com/in/socorro-silveira-silveira-25593067&lt;/a&gt;</t>
  </si>
  <si>
    <t>&lt;a href="javascript:openPopupFocus%28%27http%3A%2F%2Finstagran.com%2Fsocorrosilveira50%27%2C%20%27_blank%27%2C%20620%2C%20430%2C%20%27width%3D620%2Cheight%3D430%2Cresizable%3Dyes%2Ctoolbar%3Dyes%2Cstatus%3Dyes%2Cscrollbars%3Dyes%2Cmenubar%3Dyes%2Cdirectories%3Dyes%2Clocation%3Dyes%2Cdependant%3Dno%27%2C%20false%2C%20true%29%3B" title="http://instagran.com/socorrosilveira50 (Nova janela)"&gt;http://instagran.com/socorrosilveira50&lt;/a&gt;</t>
  </si>
  <si>
    <t>0034P000043fPDl</t>
  </si>
  <si>
    <t>Margarida</t>
  </si>
  <si>
    <t>Minervina Da Silva</t>
  </si>
  <si>
    <t>(61)98585-9130</t>
  </si>
  <si>
    <t>Assistente Social E Pedagogia.</t>
  </si>
  <si>
    <t>SHSN Condomínio Genesis Quadra F</t>
  </si>
  <si>
    <t>72236-800</t>
  </si>
  <si>
    <t>["CLT","MEI"]</t>
  </si>
  <si>
    <t>&lt;a href="javascript:openPopupFocus%28%27https%3A%2F%2Fwww.linkedin.com%2Fin%2Fmargarida-minervina-da-silva-790661169%27%2C%20%27_blank%27%2C%20620%2C%20430%2C%20%27width%3D620%2Cheight%3D430%2Cresizable%3Dyes%2Ctoolbar%3Dyes%2Cstatus%3Dyes%2Cscrollbars%3Dyes%2Cmenubar%3Dyes%2Cdirectories%3Dyes%2Clocation%3Dyes%2Cdependant%3Dno%27%2C%20false%2C%20true%29%3B" title="https://www.linkedin.com/in/margarida-minervina-da-silva-790661169 (Nova janela)"&gt;https://www.linkedin.com/in/margarida-minervina-da-silva-790661169&lt;/a&gt;</t>
  </si>
  <si>
    <t>&lt;a href="javascript:openPopupFocus%28%27https%3A%2F%2Finstagram.com%2Fmargaridamilech%3Futm_medium%3Dcopy_link%27%2C%20%27_blank%27%2C%20620%2C%20430%2C%20%27width%3D620%2Cheight%3D430%2Cresizable%3Dyes%2Ctoolbar%3Dyes%2Cstatus%3Dyes%2Cscrollbars%3Dyes%2Cmenubar%3Dyes%2Cdirectories%3Dyes%2Clocation%3Dyes%2Cdependant%3Dno%27%2C%20false%2C%20true%29%3B" title="https://instagram.com/margaridamilech?utm_medium=copy_link (Nova janela)"&gt;https://instagram.com/margaridamilech?utm_medium=copy_link&lt;/a&gt;</t>
  </si>
  <si>
    <t>0034P000043fOnT</t>
  </si>
  <si>
    <t>Alcione</t>
  </si>
  <si>
    <t>Rodrigues</t>
  </si>
  <si>
    <t>alcione_r@hotmail.com</t>
  </si>
  <si>
    <t>(11)95232-1013</t>
  </si>
  <si>
    <t>Esducação Física - Pós De Inovação Design E Estratégia ( Trancada )</t>
  </si>
  <si>
    <t>Nasci e cresci na maior favela de São Paulo - Heliópolis e quando eu era pequena meu sonho era morar em uma casa de tijolo. Com 14 anos trabalhei entregando papel na rua; de frentista e não conseguia enxergar outras possibilidades. Foi no emprego de cobr...</t>
  </si>
  <si>
    <t>ESTRADA DAS LAGRIMAS</t>
  </si>
  <si>
    <t>04245-000</t>
  </si>
  <si>
    <t>&lt;a href="javascript:openPopupFocus%28%27http%3A%2F%2Flinkedin.com%2Fin%2Falcione-rodrigues-b22213121%27%2C%20%27_blank%27%2C%20620%2C%20430%2C%20%27width%3D620%2Cheight%3D430%2Cresizable%3Dyes%2Ctoolbar%3Dyes%2Cstatus%3Dyes%2Cscrollbars%3Dyes%2Cmenubar%3Dyes%2Cdirectories%3Dyes%2Clocation%3Dyes%2Cdependant%3Dno%27%2C%20false%2C%20true%29%3B" title="http://linkedin.com/in/alcione-rodrigues-b22213121 (Nova janela)"&gt;http://linkedin.com/in/alcione-rodrigues-b22213121&lt;/a&gt;</t>
  </si>
  <si>
    <t>&lt;a href="javascript:openPopupFocus%28%27https%3A%2F%2Fwww.instagram.com%2Fp%2FCQ-2-3dMURM%2F%3Futm_medium%3Dcopy_link%27%2C%20%27_blank%27%2C%20620%2C%20430%2C%20%27width%3D620%2Cheight%3D430%2Cresizable%3Dyes%2Ctoolbar%3Dyes%2Cstatus%3Dyes%2Cscrollbars%3Dyes%2Cmenubar%3Dyes%2Cdirectories%3Dyes%2Clocation%3Dyes%2Cdependant%3Dno%27%2C%20false%2C%20true%29%3B" title="https://www.instagram.com/p/CQ-2-3dMURM/?utm_medium=copy_link (Nova janela)"&gt;https://www.instagram.com/p/CQ-2-3dMURM/?utm_medium=copy_link&lt;/a&gt;</t>
  </si>
  <si>
    <t>0034P000043fPDo</t>
  </si>
  <si>
    <t>Da Silva Gomes Pereira</t>
  </si>
  <si>
    <t>rafael@libertariosdocapao.org.br</t>
  </si>
  <si>
    <t>(11) 97711-9607</t>
  </si>
  <si>
    <t>Rua Aviadora Anésia Pinheiro Machado</t>
  </si>
  <si>
    <t>Ap 207 Bloco A</t>
  </si>
  <si>
    <t>05886-610</t>
  </si>
  <si>
    <t>&lt;a href="javascript:openPopupFocus%28%27https%3A%2F%2Fwww.linkedin.com%2Fin%2Fong-libertarios-do-cap%25C3%25A3o-redondo-0a58b157%27%2C%20%27_blank%27%2C%20620%2C%20430%2C%20%27width%3D620%2Cheight%3D430%2Cresizable%3Dyes%2Ctoolbar%3Dyes%2Cstatus%3Dyes%2Cscrollbars%3Dyes%2Cmenubar%3Dyes%2Cdirectories%3Dyes%2Clocation%3Dyes%2Cdependant%3Dno%27%2C%20false%2C%20true%29%3B" title="https://www.linkedin.com/in/ong-libertarios-do-cap%C3%A3o-redondo-0a58b157 (Nova janela)"&gt;https://www.linkedin.com/in/ong-libertarios-do-cap%C3%A3o-redondo-0a58b157&lt;/a&gt;</t>
  </si>
  <si>
    <t>&lt;a href="javascript:openPopupFocus%28%27https%3A%2F%2Finstagram.com%2Frafaelsilvagomesperira%3Futm_medium%3Dcopy_link%27%2C%20%27_blank%27%2C%20620%2C%20430%2C%20%27width%3D620%2Cheight%3D430%2Cresizable%3Dyes%2Ctoolbar%3Dyes%2Cstatus%3Dyes%2Cscrollbars%3Dyes%2Cmenubar%3Dyes%2Cdirectories%3Dyes%2Clocation%3Dyes%2Cdependant%3Dno%27%2C%20false%2C%20true%29%3B" title="https://instagram.com/rafaelsilvagomesperira?utm_medium=copy_link (Nova janela)"&gt;https://instagram.com/rafaelsilvagomesperira?utm_medium=copy_link&lt;/a&gt;</t>
  </si>
  <si>
    <t>0034P000043fPDp</t>
  </si>
  <si>
    <t>Maria Royer Schneider</t>
  </si>
  <si>
    <t>(93) 98124-5186</t>
  </si>
  <si>
    <t>Pedagogia - Pós Graduação Didática E Metodologia Do Ensino Médio E Superior</t>
  </si>
  <si>
    <t>Desde que me conheço como gente sempre gostei de estudar e tinha o sonho de ser professora; inspirada nos meus professores; porque na época eu via uma admiração e prestígio pela profissão. Aos 14 anos; no interior; iniciei nessa jornada; fiz o ensino méd...</t>
  </si>
  <si>
    <t>Não Binário</t>
  </si>
  <si>
    <t>Rua Acácia</t>
  </si>
  <si>
    <t>68193-000</t>
  </si>
  <si>
    <t>&lt;a href="javascript:openPopupFocus%28%27https%3A%2F%2Flinktr.ee%2Fier%27%2C%20%27_blank%27%2C%20620%2C%20430%2C%20%27width%3D620%2Cheight%3D430%2Cresizable%3Dyes%2Ctoolbar%3Dyes%2Cstatus%3Dyes%2Cscrollbars%3Dyes%2Cmenubar%3Dyes%2Cdirectories%3Dyes%2Clocation%3Dyes%2Cdependant%3Dno%27%2C%20false%2C%20true%29%3B" title="https://linktr.ee/ier (Nova janela)"&gt;https://linktr.ee/ier&lt;/a&gt;</t>
  </si>
  <si>
    <t>&lt;a href="javascript:openPopupFocus%28%27https%3A%2F%2Fwww.instagram.com%2Fsararoyernp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title="https://www.instagram.com/sararoyernp/ (Nova janela)"&gt;https://www.instagram.com/sararoyernp/&lt;/a&gt;</t>
  </si>
  <si>
    <t>0034P000043fOnQ</t>
  </si>
  <si>
    <t>Elisângela</t>
  </si>
  <si>
    <t>Pedroso Lopes</t>
  </si>
  <si>
    <t>elisangelalope18@gmail.com</t>
  </si>
  <si>
    <t>33 98832-3290</t>
  </si>
  <si>
    <t>Professora de Educação Básica na rede estadual de Minas Gerais</t>
  </si>
  <si>
    <t>Rua Ceará</t>
  </si>
  <si>
    <t>39645-000</t>
  </si>
  <si>
    <t>&lt;a href="javascript:openPopupFocus%28%27https%3A%2F%2Fwww.linkedin.com%2Fin%2Felisangela-li-6b4865217%27%2C%20%27_blank%27%2C%20620%2C%20430%2C%20%27width%3D620%2Cheight%3D430%2Cresizable%3Dyes%2Ctoolbar%3Dyes%2Cstatus%3Dyes%2Cscrollbars%3Dyes%2Cmenubar%3Dyes%2Cdirectories%3Dyes%2Clocation%3Dyes%2Cdependant%3Dno%27%2C%20false%2C%20true%29%3B" title="https://www.linkedin.com/in/elisangela-li-6b4865217 (Nova janela)"&gt;https://www.linkedin.com/in/elisangela-li-6b4865217&lt;/a&gt;</t>
  </si>
  <si>
    <t>&lt;a href="javascript:openPopupFocus%28%27https%3A%2F%2Fwww.instagram.com%2Felisangelapedrosolopes%3Fr%3Dnametag%27%2C%20%27_blank%27%2C%20620%2C%20430%2C%20%27width%3D620%2Cheight%3D430%2Cresizable%3Dyes%2Ctoolbar%3Dyes%2Cstatus%3Dyes%2Cscrollbars%3Dyes%2Cmenubar%3Dyes%2Cdirectories%3Dyes%2Clocation%3Dyes%2Cdependant%3Dno%27%2C%20false%2C%20true%29%3B" title="https://www.instagram.com/elisangelapedrosolopes?r=nametag (Nova janela)"&gt;https://www.instagram.com/elisangelapedrosolopes?r=nametag&lt;/a&gt;</t>
  </si>
  <si>
    <t>0034P000043fOnU</t>
  </si>
  <si>
    <t>Luiz De Macedo Silva</t>
  </si>
  <si>
    <t>pastorandre2009@hotmail.com</t>
  </si>
  <si>
    <t>31 98769-0898</t>
  </si>
  <si>
    <t>G1</t>
  </si>
  <si>
    <t>Rua Reis de Abreu</t>
  </si>
  <si>
    <t>Bloco q Apartamento 207</t>
  </si>
  <si>
    <t>31250-080</t>
  </si>
  <si>
    <t>&lt;a href="javascript:openPopupFocus%28%27https%3A%2F%2Fwww.linkedin.com%2Fin%2Fandr%C3%A9-luiz-de-macedo-silva-627262219%27%2C%20%27_blank%27%2C%20620%2C%20430%2C%20%27width%3D620%2Cheight%3D430%2Cresizable%3Dyes%2Ctoolbar%3Dyes%2Cstatus%3Dyes%2Cscrollbars%3Dyes%2Cmenubar%3Dyes%2Cdirectories%3Dyes%2Clocation%3Dyes%2Cdependant%3Dno%27%2C%20false%2C%20true%29%3B" title="https://www.linkedin.com/in/andré-luiz-de-macedo-silva-627262219 (Nova janela)"&gt;https://www.linkedin.com/in/andré-luiz-de-macedo-silva-627262219&lt;/a&gt;</t>
  </si>
  <si>
    <t>&lt;a href="javascript:openPopupFocus%28%27https%3A%2F%2Fwww.instagram.com%2Fandreluizmacedosilva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title="https://www.instagram.com/andreluizmacedosilva/ (Nova janela)"&gt;https://www.instagram.com/andreluizmacedosilva/&lt;/a&gt;</t>
  </si>
  <si>
    <t>0034P000043fOnR</t>
  </si>
  <si>
    <t>Agnes</t>
  </si>
  <si>
    <t>Ribeiro Gomes De Jesus</t>
  </si>
  <si>
    <t>agnes_tap@hotmail.com</t>
  </si>
  <si>
    <t>21 99819-4273</t>
  </si>
  <si>
    <t>Bióloga De Formação E Cursando Graduação Em Serviço Social</t>
  </si>
  <si>
    <t>travessa da Brandura</t>
  </si>
  <si>
    <t>apt.203</t>
  </si>
  <si>
    <t>21211-800</t>
  </si>
  <si>
    <t>&lt;a href="javascript:openPopupFocus%28%27https%3A%2F%2Fwww.linkedin.com%2Fin%2Fagnes-ribeiro-gomes-de-jesus-2585b7215%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title="https://www.linkedin.com/in/agnes-ribeiro-gomes-de-jesus-2585b7215/ (Nova janela)"&gt;https://www.linkedin.com/in/agnes-ribeiro-gomes-de-jesus-2585b7215/&lt;/a&gt;</t>
  </si>
  <si>
    <t>0034P000043fOnS</t>
  </si>
  <si>
    <t>Alexandra</t>
  </si>
  <si>
    <t>Dos Santos Ereiro</t>
  </si>
  <si>
    <t>(22)98171-8299</t>
  </si>
  <si>
    <t>Nao</t>
  </si>
  <si>
    <t>Conjunto Maguari Alameda</t>
  </si>
  <si>
    <t>Secundaria</t>
  </si>
  <si>
    <t>66823-086</t>
  </si>
  <si>
    <t>&lt;a href="javascript:openPopupFocus%28%27https%3A%2F%2Fwww.instagram.com%2Fp%2FCRAg6gKs8Lz%2F%3Futm_medium%3Dcopy_link%27%2C%20%27_blank%27%2C%20620%2C%20430%2C%20%27width%3D620%2Cheight%3D430%2Cresizable%3Dyes%2Ctoolbar%3Dyes%2Cstatus%3Dyes%2Cscrollbars%3Dyes%2Cmenubar%3Dyes%2Cdirectories%3Dyes%2Clocation%3Dyes%2Cdependant%3Dno%27%2C%20false%2C%20true%29%3B" title="https://www.instagram.com/p/CRAg6gKs8Lz/?utm_medium=copy_link (Nova janela)"&gt;https://www.instagram.com/p/CRAg6gKs8Lz/?utm_medium=copy_link&lt;/a&gt;</t>
  </si>
  <si>
    <t>0034P000045knPD</t>
  </si>
  <si>
    <t>Adilma</t>
  </si>
  <si>
    <t>Maria Gonçalves</t>
  </si>
  <si>
    <t>adilmagoncalves2021@gmail.com</t>
  </si>
  <si>
    <t>(81)98854-1441</t>
  </si>
  <si>
    <t>RUA DOS PRAZERES</t>
  </si>
  <si>
    <t>50860-240</t>
  </si>
  <si>
    <t>&lt;a href="javascript:openPopupFocus%28%27https%3A%2F%2Fwww.linkedin.com%2Fin%2Fadilma-gon%C3%A7alves-0726a2215%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title="https://www.linkedin.com/in/adilma-gonçalves-0726a2215/ (Nova janela)"&gt;https://www.linkedin.com/in/adilma-gonçalves-0726a2215/&lt;/a&gt;</t>
  </si>
  <si>
    <t>&lt;a href="javascript:openPopupFocus%28%27https%3A%2F%2Fwww.instagram.com%2Fadilmadaong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title="https://www.instagram.com/adilmadaong/ (Nova janela)"&gt;https://www.instagram.com/adilmadaong/&lt;/a&gt;</t>
  </si>
  <si>
    <t>0034P000043fPDh</t>
  </si>
  <si>
    <t>Alexandre</t>
  </si>
  <si>
    <t>Luiz Tuller Telles</t>
  </si>
  <si>
    <t>dinamus.gf@projetodinamus.com</t>
  </si>
  <si>
    <t>(82)98182-1071</t>
  </si>
  <si>
    <t>Licenciatura Em Matemática (Pós Em Psicopedagogia Clínica E Institucional)</t>
  </si>
  <si>
    <t>Secretaria Estadual de Ensino - Professor</t>
  </si>
  <si>
    <t>Residencial Village das Artes</t>
  </si>
  <si>
    <t>Bloco q Apto 207</t>
  </si>
  <si>
    <t>57084-144</t>
  </si>
  <si>
    <t>&lt;a href="javascript:openPopupFocus%28%27https%3A%2F%2Fwww.linkedin.com%2Fin%2Falexandre-tuller-461a841a9%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title="https://www.linkedin.com/in/alexandre-tuller-461a841a9/ (Nova janela)"&gt;https://www.linkedin.com/in/alexandre-tuller-461a841a9/&lt;/a&gt;</t>
  </si>
  <si>
    <t>&lt;a href="javascript:openPopupFocus%28%27http%3A%2F%2Finstagram.com%2Falexandretuller%27%2C%20%27_blank%27%2C%20620%2C%20430%2C%20%27width%3D620%2Cheight%3D430%2Cresizable%3Dyes%2Ctoolbar%3Dyes%2Cstatus%3Dyes%2Cscrollbars%3Dyes%2Cmenubar%3Dyes%2Cdirectories%3Dyes%2Clocation%3Dyes%2Cdependant%3Dno%27%2C%20false%2C%20true%29%3B" title="http://instagram.com/alexandretuller (Nova janela)"&gt;http://instagram.com/alexandretuller&lt;/a&gt;</t>
  </si>
  <si>
    <t>0034P000043fOnV</t>
  </si>
  <si>
    <t>Alison</t>
  </si>
  <si>
    <t>Fernandes Lopes</t>
  </si>
  <si>
    <t>3198613-8165</t>
  </si>
  <si>
    <t>35179-000</t>
  </si>
  <si>
    <t>&lt;a href="javascript:openPopupFocus%28%27http%3A%2F%2Fwww.linkedin.com%2Fin%2Falisonfernandeslopes%27%2C%20%27_blank%27%2C%20620%2C%20430%2C%20%27width%3D620%2Cheight%3D430%2Cresizable%3Dyes%2Ctoolbar%3Dyes%2Cstatus%3Dyes%2Cscrollbars%3Dyes%2Cmenubar%3Dyes%2Cdirectories%3Dyes%2Clocation%3Dyes%2Cdependant%3Dno%27%2C%20false%2C%20true%29%3B" title="http://www.linkedin.com/in/alisonfernandeslopes (Nova janela)"&gt;http://www.linkedin.com/in/alisonfernandeslopes&lt;/a&gt;</t>
  </si>
  <si>
    <t>&lt;a href="javascript:openPopupFocus%28%27http%3A%2F%2Fwww.instagram%2Finstituto_ideias%27%2C%20%27_blank%27%2C%20620%2C%20430%2C%20%27width%3D620%2Cheight%3D430%2Cresizable%3Dyes%2Ctoolbar%3Dyes%2Cstatus%3Dyes%2Cscrollbars%3Dyes%2Cmenubar%3Dyes%2Cdirectories%3Dyes%2Clocation%3Dyes%2Cdependant%3Dno%27%2C%20false%2C%20true%29%3B" title="http://www.instagram/instituto_ideias (Nova janela)"&gt;http://www.instagram/instituto_ideias&lt;/a&gt;</t>
  </si>
  <si>
    <t>0034P000043fOnY</t>
  </si>
  <si>
    <t>Neiry De Moura Alves</t>
  </si>
  <si>
    <t>ananeiry@pisadadosertao.org</t>
  </si>
  <si>
    <t>(83)99878-0123</t>
  </si>
  <si>
    <t>Licenciatura Plena Em Letras E Administração</t>
  </si>
  <si>
    <t>Sou professora da rede municipal de educação em modalidade efetiva</t>
  </si>
  <si>
    <t>Mulher nordestina e sertaneja que nunca baixou a cabeça diante das adversidades da vida; bem como dos estigmas; rótulos e preconceitos vivenciados. Era uma criança alegre e criativa na qual não faltavam oportunidades de inventar; inovar e visualizar uma ...</t>
  </si>
  <si>
    <t>Antônio Gonçalves Pinheiro</t>
  </si>
  <si>
    <t>58908-000</t>
  </si>
  <si>
    <t>&lt;a href="javascript:openPopupFocus%28%27https%3A%2F%2Fwww.linkedin.com%2Fin%2Fana-neiry-moura-a50781196%27%2C%20%27_blank%27%2C%20620%2C%20430%2C%20%27width%3D620%2Cheight%3D430%2Cresizable%3Dyes%2Ctoolbar%3Dyes%2Cstatus%3Dyes%2Cscrollbars%3Dyes%2Cmenubar%3Dyes%2Cdirectories%3Dyes%2Clocation%3Dyes%2Cdependant%3Dno%27%2C%20false%2C%20true%29%3B" title="https://www.linkedin.com/in/ana-neiry-moura-a50781196 (Nova janela)"&gt;https://www.linkedin.com/in/ana-neiry-moura-a50781196&lt;/a&gt;</t>
  </si>
  <si>
    <t>&lt;a href="javascript:openPopupFocus%28%27https%3A%2F%2Fwww.instagram.com%2Fananeirymoura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title="https://www.instagram.com/ananeirymoura/ (Nova janela)"&gt;https://www.instagram.com/ananeirymoura/&lt;/a&gt;</t>
  </si>
  <si>
    <t>0034P000043fOnX</t>
  </si>
  <si>
    <t>Anailton</t>
  </si>
  <si>
    <t>De Sousa Fernandes</t>
  </si>
  <si>
    <t>anailton.fernandes@immetamorfose.org</t>
  </si>
  <si>
    <t>(85) 98756-1978</t>
  </si>
  <si>
    <t>Graduação Em Serviço Social E Pós Em Gerenciamento De Projetos Em Conclusão</t>
  </si>
  <si>
    <t>Rua São Gerardo</t>
  </si>
  <si>
    <t>Baixo</t>
  </si>
  <si>
    <t>60180-100</t>
  </si>
  <si>
    <t>&lt;a href="javascript:openPopupFocus%28%27https%3A%2F%2Fwww.instagram.com%2Fanailton.fer%2F%27%2C%20%27_blank%27%2C%20620%2C%20430%2C%20%27width%3D620%2Cheight%3D430%2Cresizable%3Dyes%2Ctoolbar%3Dyes%2Cstatus%3Dyes%2Cscrollbars%3Dyes%2Cmenubar%3Dyes%2Cdirectories%3Dyes%2Clocation%3Dyes%2Cdependant%3Dno%27%2C%20false%2C%20true%29%3B" title="https://www.instagram.com/anailton.fer/ (Nova janela)"&gt;https://www.instagram.com/anailton.fer/&lt;/a&gt;</t>
  </si>
  <si>
    <t>0034P000043fOnZ</t>
  </si>
  <si>
    <t>Angelo</t>
  </si>
  <si>
    <t>Felipe Do Nascimento Bezerra</t>
  </si>
  <si>
    <t>angelofnb@yahoo.com.br</t>
  </si>
  <si>
    <t>81.98769-8014</t>
  </si>
  <si>
    <t>Licenciatura Em História E Pós Graduação Gestão Ambiental</t>
  </si>
  <si>
    <t>50720-139</t>
  </si>
  <si>
    <t>&lt;a href="javascript:openPopupFocus%28%27https%3A%2F%2Fwww.linkedin.com%2Fin%2Fangelo-felipe-1261281b2%27%2C%20%27_blank%27%2C%20620%2C%20430%2C%20%27width%3D620%2Cheight%3D430%2Cresizable%3Dyes%2Ctoolbar%3Dyes%2Cstatus%3Dyes%2Cscrollbars%3Dyes%2Cmenubar%3Dyes%2Cdirectories%3Dyes%2Clocation%3Dyes%2Cdependant%3Dno%27%2C%20false%2C%20true%29%3B" title="https://www.linkedin.com/in/angelo-felipe-1261281b2 (Nova janela)"&gt;https://www.linkedin.com/in/angelo-felipe-1261281b2&lt;/a&gt;</t>
  </si>
  <si>
    <t>&lt;a href="javascript:openPopupFocus%28%27https%3A%2F%2Fwww.instagram.com%2Fangelofelipe_ccb%3Fr%3Dnametag%27%2C%20%27_blank%27%2C%20620%2C%20430%2C%20%27width%3D620%2Cheight%3D430%2Cresizable%3Dyes%2Ctoolbar%3Dyes%2Cstatus%3Dyes%2Cscrollbars%3Dyes%2Cmenubar%3Dyes%2Cdirectories%3Dyes%2Clocation%3Dyes%2Cdependant%3Dno%27%2C%20false%2C%20true%29%3B" title="https://www.instagram.com/angelofelipe_ccb?r=nametag (Nova janela)"&gt;https://www.instagram.com/angelofelipe_ccb?r=nametag&lt;/a&gt;</t>
  </si>
  <si>
    <t>0034P000043fPDi</t>
  </si>
  <si>
    <t>Barbara</t>
  </si>
  <si>
    <t>Coelho Souza Syllio</t>
  </si>
  <si>
    <t>(84)99643-5090</t>
  </si>
  <si>
    <t>Pedagogia Com Pós Em Neuropedagogia E Gestão De Projetos Do 3° Setor</t>
  </si>
  <si>
    <t>SEEC RN - FUNCIONÁRIA PÚBLICA ESTADUAL PROFESSORA DE EDUCAÇÃO ESPECIAL</t>
  </si>
  <si>
    <t>Rua Tertuliano Nobre de Lima</t>
  </si>
  <si>
    <t>59194-000</t>
  </si>
  <si>
    <t>&lt;a href="javascript:openPopupFocus%28%27https%3A%2F%2Fwww.linkedin.com%2Fin%2Fbarbara-coelho-18361b216%27%2C%20%27_blank%27%2C%20620%2C%20430%2C%20%27width%3D620%2Cheight%3D430%2Cresizable%3Dyes%2Ctoolbar%3Dyes%2Cstatus%3Dyes%2Cscrollbars%3Dyes%2Cmenubar%3Dyes%2Cdirectories%3Dyes%2Clocation%3Dyes%2Cdependant%3Dno%27%2C%20false%2C%20true%29%3B" title="https://www.linkedin.com/in/barbara-coelho-18361b216 (Nova janela)"&gt;https://www.linkedin.com/in/barbara-coelho-18361b216&lt;/a&gt;</t>
  </si>
  <si>
    <t>&lt;a href="javascript:openPopupFocus%28%27https%3A%2F%2Finstagram.com%2Fbarbaracoelho_3%3Futm_medium%3Dcopy_link%27%2C%20%27_blank%27%2C%20620%2C%20430%2C%20%27width%3D620%2Cheight%3D430%2Cresizable%3Dyes%2Ctoolbar%3Dyes%2Cstatus%3Dyes%2Cscrollbars%3Dyes%2Cmenubar%3Dyes%2Cdirectories%3Dyes%2Clocation%3Dyes%2Cdependant%3Dno%27%2C%20false%2C%20true%29%3B" title="https://instagram.com/barbaracoelho_3?utm_medium=copy_link (Nova janela)"&gt;https://instagram.com/barbaracoelho_3?utm_medium=copy_link&lt;/a&gt;</t>
  </si>
  <si>
    <t>0034P000043fOna</t>
  </si>
  <si>
    <t>Claudia</t>
  </si>
  <si>
    <t>Souza Da Silva</t>
  </si>
  <si>
    <t>claudiasouacs@gmail.com</t>
  </si>
  <si>
    <t>(21)98469-7301</t>
  </si>
  <si>
    <t>bloco 1/202</t>
  </si>
  <si>
    <t>21061-240</t>
  </si>
  <si>
    <t>&lt;a href="javascript:openPopupFocus%28%27https%3A%2F%2Fwww.linkedin.com%2Fin%2Fclaudia-souza-da-silva-189060204%27%2C%20%27_blank%27%2C%20620%2C%20430%2C%20%27width%3D620%2Cheight%3D430%2Cresizable%3Dyes%2Ctoolbar%3Dyes%2Cstatus%3Dyes%2Cscrollbars%3Dyes%2Cmenubar%3Dyes%2Cdirectories%3Dyes%2Clocation%3Dyes%2Cdependant%3Dno%27%2C%20false%2C%20true%29%3B" title="https://www.linkedin.com/in/claudia-souza-da-silva-189060204 (Nova janela)"&gt;https://www.linkedin.com/in/claudia-souza-da-silva-189060204&lt;/a&gt;</t>
  </si>
  <si>
    <t>&lt;a href="javascript:openPopupFocus%28%27https%3A%2F%2Fwww.instagram.com%2Fp%2FCPt6_nHJWM-%2F%3Futm_medium%3Dcopy_link%27%2C%20%27_blank%27%2C%20620%2C%20430%2C%20%27width%3D620%2Cheight%3D430%2Cresizable%3Dyes%2Ctoolbar%3Dyes%2Cstatus%3Dyes%2Cscrollbars%3Dyes%2Cmenubar%3Dyes%2Cdirectories%3Dyes%2Clocation%3Dyes%2Cdependant%3Dno%27%2C%20false%2C%20true%29%3B" title="https://www.instagram.com/p/CPt6_nHJWM-/?utm_medium=copy_link (Nova janela)"&gt;https://www.instagram.com/p/CPt6_nHJWM-/?utm_medium=copy_link&lt;/a&gt;</t>
  </si>
  <si>
    <t>0034P000043fOnb</t>
  </si>
  <si>
    <t>Ivete</t>
  </si>
  <si>
    <t>Rodrigues De Macedo</t>
  </si>
  <si>
    <t>lacredobem@gmail.com</t>
  </si>
  <si>
    <t>(31)99608-8314</t>
  </si>
  <si>
    <t>Administração - Gestão Do Varejo</t>
  </si>
  <si>
    <t>rua padre nobrega</t>
  </si>
  <si>
    <t>apto 701</t>
  </si>
  <si>
    <t>30730-230</t>
  </si>
  <si>
    <t>&lt;a href="javascript:openPopupFocus%28%27https%3A%2F%2Fwww.linkedin.com%2Fin%2Fivette-rodrigues-de-macedo-8070bb120%2F%27%2C%20%27_blank%27%2C%20620%2C%20430%2C%20%27width%3D620%2Cheight%3D430%2Cresizable%3Dyes%2Ctoolbar%3Dyes%2Cstatus%3Dyes%2Cscrollbars%3Dyes%2Cmenubar%3Dyes%2Cdirectories%3Dyes%2Clocation%3Dyes%2Cdependant%3Dno%27%2C%20false%2C%20true%29%3B" title="https://www.linkedin.com/in/ivette-rodrigues-de-macedo-8070bb120/ (Nova janela)"&gt;https://www.linkedin.com/in/ivette-rodrigues-de-macedo-8070bb120/&lt;/a&gt;</t>
  </si>
  <si>
    <t>&lt;a href="javascript:openPopupFocus%28%27https%3A%2F%2Fwww.instagram.com%2Fivette.macedo%2F%3Fhl%3Dpt-br%27%2C%20%27_blank%27%2C%20620%2C%20430%2C%20%27width%3D620%2Cheight%3D430%2Cresizable%3Dyes%2Ctoolbar%3Dyes%2Cstatus%3Dyes%2Cscrollbars%3Dyes%2Cmenubar%3Dyes%2Cdirectories%3Dyes%2Clocation%3Dyes%2Cdependant%3Dno%27%2C%20false%2C%20true%29%3B" title="https://www.instagram.com/ivette.macedo/?hl=pt-br (Nova janela)"&gt;https://www.instagram.com/ivette.macedo/?hl=pt-br&lt;/a&gt;</t>
  </si>
  <si>
    <t>0034P000043fOnc</t>
  </si>
  <si>
    <t>Edmar</t>
  </si>
  <si>
    <t>Cassimiro Pedro</t>
  </si>
  <si>
    <t>edmarufjf@gmail.com.br</t>
  </si>
  <si>
    <t>(32)98417-0749</t>
  </si>
  <si>
    <t>Educação Física / Música</t>
  </si>
  <si>
    <t>Silverio da silveira</t>
  </si>
  <si>
    <t>saca</t>
  </si>
  <si>
    <t>36025-610</t>
  </si>
  <si>
    <t>&lt;a href="javascript:openPopupFocus%28%27http%3A%2F%2Fcassimiro.edmar%27%2C%20%27_blank%27%2C%20620%2C%20430%2C%20%27width%3D620%2Cheight%3D430%2Cresizable%3Dyes%2Ctoolbar%3Dyes%2Cstatus%3Dyes%2Cscrollbars%3Dyes%2Cmenubar%3Dyes%2Cdirectories%3Dyes%2Clocation%3Dyes%2Cdependant%3Dno%27%2C%20false%2C%20true%29%3B" title="http://cassimiro.edmar (Nova janela)"&gt;http://cassimiro.edmar&lt;/a&gt;</t>
  </si>
  <si>
    <t>&lt;a href="javascript:openPopupFocus%28%27http%3A%2F%2F%40cassimiro.edmar%27%2C%20%27_blank%27%2C%20620%2C%20430%2C%20%27width%3D620%2Cheight%3D430%2Cresizable%3Dyes%2Ctoolbar%3Dyes%2Cstatus%3Dyes%2Cscrollbars%3Dyes%2Cmenubar%3Dyes%2Cdirectories%3Dyes%2Clocation%3Dyes%2Cdependant%3Dno%27%2C%20false%2C%20true%29%3B" title="http://@cassimiro.edmar (Nova janela)"&gt;http://@cassimiro.edmar&lt;/a&gt;</t>
  </si>
  <si>
    <t>Refresh Time</t>
  </si>
  <si>
    <t>Sheet</t>
  </si>
  <si>
    <t>Operation</t>
  </si>
  <si>
    <t>Status</t>
  </si>
  <si>
    <t>User</t>
  </si>
  <si>
    <t>Líderes</t>
  </si>
  <si>
    <t>Report Id: 00O4X000009dHCHUA2</t>
  </si>
  <si>
    <t>Success</t>
  </si>
  <si>
    <t>bruno.cardoso@gerandofalcoes.com</t>
  </si>
  <si>
    <t>ONGs</t>
  </si>
  <si>
    <t>Report Id: 00O4X000009dHBsUAM</t>
  </si>
  <si>
    <t>Categorização</t>
  </si>
  <si>
    <t>validacao_ctg</t>
  </si>
  <si>
    <t>Record ID</t>
  </si>
  <si>
    <t>Result</t>
  </si>
  <si>
    <t>Timestamp</t>
  </si>
  <si>
    <t>OK</t>
  </si>
  <si>
    <t>2022-09-13 13:01</t>
  </si>
  <si>
    <t/>
  </si>
  <si>
    <t>IDConta(18)</t>
  </si>
  <si>
    <t>Nome da unidade</t>
  </si>
  <si>
    <t>Conta: Status</t>
  </si>
  <si>
    <t>Nota auditoria</t>
  </si>
  <si>
    <t>Num. Funcionários</t>
  </si>
  <si>
    <t>Num. Frentes ativas</t>
  </si>
  <si>
    <t>Valor anual captado</t>
  </si>
  <si>
    <t>Num. Atendidos</t>
  </si>
  <si>
    <t>Valor total</t>
  </si>
  <si>
    <t>CTG Nota auditoria</t>
  </si>
  <si>
    <t>CTG Num. Funcionários</t>
  </si>
  <si>
    <t>CTG Num. Frentes ativas</t>
  </si>
  <si>
    <t>CTG Valor anual captado</t>
  </si>
  <si>
    <t>CTG Num. Atendidos</t>
  </si>
  <si>
    <t>Conta: E-mail ONG</t>
  </si>
  <si>
    <t>Categorização: Data de criação</t>
  </si>
  <si>
    <t>ASSOCIAÇÃO SEMENTES DO VALE</t>
  </si>
  <si>
    <t>Estruturação</t>
  </si>
  <si>
    <t>contato@sementesdovale.org</t>
  </si>
  <si>
    <t>thiago@sementesdovale.org</t>
  </si>
  <si>
    <t xml:space="preserve"> MANDAVER</t>
  </si>
  <si>
    <t>Avançada</t>
  </si>
  <si>
    <t xml:space="preserve"> DE CAPACITAÇÃO E AÇÃO SOCIAL O GRITO</t>
  </si>
  <si>
    <t xml:space="preserve"> FAROL NA QUEBRADA</t>
  </si>
  <si>
    <t>flavioalmeidaf3@gmail.com</t>
  </si>
  <si>
    <t xml:space="preserve"> AS VALQUIRIAS</t>
  </si>
  <si>
    <t xml:space="preserve"> ENTRE O CÉU E A FAVELA PARA ARTE EDUCAÇÃO E CIDADANIA</t>
  </si>
  <si>
    <t>INCANTO -  DE CULTURA ARTE E NOVAS TECNOLOGIAS</t>
  </si>
  <si>
    <t>ASSOCIAÇÃO BRASILEIRA FEMININA DE BODYBOARDING</t>
  </si>
  <si>
    <t>alinemelo@motivar.ong.br</t>
  </si>
  <si>
    <t xml:space="preserve"> MIGUEL FERNANDES TORRES</t>
  </si>
  <si>
    <t xml:space="preserve"> RECOMEÇAR</t>
  </si>
  <si>
    <t xml:space="preserve"> MANÁ DO CÉU PARA OS POVOS</t>
  </si>
  <si>
    <t>contato@manadoceu.org.br</t>
  </si>
  <si>
    <t>negracarlams@gmail.com</t>
  </si>
  <si>
    <t xml:space="preserve"> KATIANA PENA</t>
  </si>
  <si>
    <t xml:space="preserve"> EDSON ROYER</t>
  </si>
  <si>
    <t xml:space="preserve"> REVERBERA</t>
  </si>
  <si>
    <t>Inicial 2</t>
  </si>
  <si>
    <t xml:space="preserve"> EDUCA MAIS ESPORTE</t>
  </si>
  <si>
    <t>educamaisesporte@outlook.com</t>
  </si>
  <si>
    <t>ASSOCIAÇÃO EDUCACIONAL ESPORTIVA E SOCIAL VOZ ATIVA</t>
  </si>
  <si>
    <t>girlenobarbosa@bol.com.br</t>
  </si>
  <si>
    <t>girlenomenezes@gmail.com</t>
  </si>
  <si>
    <t>ORGANIZAÇÃO DA SOCIEDADE CIVIL IZAIAS LUZIA DA SILVA</t>
  </si>
  <si>
    <t>FORTINI INVESTIMENTO SOCIAL</t>
  </si>
  <si>
    <t xml:space="preserve"> ASCENDENDO MENTES</t>
  </si>
  <si>
    <t>ninacardoso@ascendendomentes.org.br</t>
  </si>
  <si>
    <t xml:space="preserve"> RAHAMIM</t>
  </si>
  <si>
    <t>rutenioce@gmail.com</t>
  </si>
  <si>
    <t>GRUPO ANJOS DA TIA STELLINHA</t>
  </si>
  <si>
    <t>Inativo</t>
  </si>
  <si>
    <t>ASSOCIAÇÃO BENEFICENTE VIVENDA DA CRIANÇA</t>
  </si>
  <si>
    <t>simone.rezende@vivendadacrianca.org.br</t>
  </si>
  <si>
    <t xml:space="preserve"> RESGATANDO VIDAS PARA VIDA</t>
  </si>
  <si>
    <t xml:space="preserve"> SONHAR ALTO</t>
  </si>
  <si>
    <t>ASSOCIAÇÃO CULTURAL EDUCACIONAL E ESPORTIVA NA PONTA DOS PÉS</t>
  </si>
  <si>
    <t>tuanynasc@napontadospes.com.br</t>
  </si>
  <si>
    <t>ASSOCIAÇÃO CULTURAL ARAUTOS DO GUETO</t>
  </si>
  <si>
    <t>projetoponte.adm@gmail.com</t>
  </si>
  <si>
    <t>ASSOCIAÇÃO CIDADANIA SOCIAL E SUSTENTABILIDADE</t>
  </si>
  <si>
    <t xml:space="preserve"> AMARGEN</t>
  </si>
  <si>
    <t xml:space="preserve"> ECLESIA MOVEMENT</t>
  </si>
  <si>
    <t>iem@institutoeclesia.org.br</t>
  </si>
  <si>
    <t>jhow.roots28@gmail.com</t>
  </si>
  <si>
    <t>ASSOCIAÇÃO MENINOS DA ARACY</t>
  </si>
  <si>
    <t>patriciaoliveira@institutosantacruzpontadaserra.org</t>
  </si>
  <si>
    <t xml:space="preserve"> MISSIONARIO METAMORFOSE</t>
  </si>
  <si>
    <t>ASSOCIACAO O APRISCO</t>
  </si>
  <si>
    <t>adm.aprisco@outlook.com.br</t>
  </si>
  <si>
    <t>oaprisco.liderwashington@outlook.com</t>
  </si>
  <si>
    <t>ASSOCIAÇÃO CULTURAL DE EDUCAÇÃO SOCIAL E ARTÍSTICA - ACESA</t>
  </si>
  <si>
    <t xml:space="preserve"> PRIMEIRO ESTÁGIO DE ESPORTE CULTURA E EDUCAÇÃO</t>
  </si>
  <si>
    <t>jwsbpersonal@hotmail.com</t>
  </si>
  <si>
    <t xml:space="preserve"> SOS REVIVER</t>
  </si>
  <si>
    <t xml:space="preserve"> HERDAR</t>
  </si>
  <si>
    <t>samara@herdar.org.br</t>
  </si>
  <si>
    <t>SOCIEDADE ESPÍRITA TRABALHO E ESPERANÇA</t>
  </si>
  <si>
    <t>coordenador@sete.org.br</t>
  </si>
  <si>
    <t xml:space="preserve"> RUGBY PARA TODOS</t>
  </si>
  <si>
    <t>ASSOCIAÇÃO PROVER</t>
  </si>
  <si>
    <t>prover@associacaoprover.org</t>
  </si>
  <si>
    <t>flaviasimonsen@gmail.com</t>
  </si>
  <si>
    <t>miq@aprendercultura.org</t>
  </si>
  <si>
    <t xml:space="preserve"> GIRASSOL DE DESENVOLVIMENTO SOCIAL</t>
  </si>
  <si>
    <t>contato@sandrosantos.eti.br</t>
  </si>
  <si>
    <t xml:space="preserve"> SONHE</t>
  </si>
  <si>
    <t>ASSOCIAÇÃO ESPORTIVA CULTURAL E E EDUCACIONAL ABRAÇO CAMPEÃO</t>
  </si>
  <si>
    <t>alanduartegerandofalcoes@gmail.com</t>
  </si>
  <si>
    <t>ASSOCIAÇÃO EMAÚS</t>
  </si>
  <si>
    <t>jeffquirino@favelaradical.com.br</t>
  </si>
  <si>
    <t>ASSOCIAÇÃO DAS MULHERES DE NAZARÉ DA MATA</t>
  </si>
  <si>
    <t>amunam1988@gmail.com</t>
  </si>
  <si>
    <t>elirodriguesandrade@outlook.com.br</t>
  </si>
  <si>
    <t>ASSOCIAÇÃO DE CULTURA E ARTES CASA DE BAMBAS</t>
  </si>
  <si>
    <t>aca.casadebambas@gmail.com</t>
  </si>
  <si>
    <t>janaina@acasadebambas.org</t>
  </si>
  <si>
    <t xml:space="preserve"> CORES DO MARÁ</t>
  </si>
  <si>
    <t>IASAL</t>
  </si>
  <si>
    <t>contato@institutoamigosdasopa.org.br</t>
  </si>
  <si>
    <t>diretoria@institutoamigosdasopa.org.br</t>
  </si>
  <si>
    <t xml:space="preserve"> MUNDO NOVO DA CULTURA VIVA</t>
  </si>
  <si>
    <t>bruna@institutomundonovo.org.br</t>
  </si>
  <si>
    <t>APAT - ASSOCIAÇÃO DE PAIS E AMIGOS DOS TENISTAS DE OURO BRANCO</t>
  </si>
  <si>
    <t>apatslice@gmail.com</t>
  </si>
  <si>
    <t xml:space="preserve"> GERAÇÃO 4</t>
  </si>
  <si>
    <t xml:space="preserve"> VID'ART</t>
  </si>
  <si>
    <t>ASSOCIAÇÃO DE MULHERES DE ATITUDE E COMPROMISSO SOCIAL</t>
  </si>
  <si>
    <t xml:space="preserve"> 7 GERAÇÕES</t>
  </si>
  <si>
    <t>hans@7geracoes.org.br</t>
  </si>
  <si>
    <t>7geracoes@gmail.com</t>
  </si>
  <si>
    <t xml:space="preserve"> DE DESENVOLVIMENTO HUMANO E SOCIAL PELO ESPORTE EDUCAÇÃO CULTURA E CIDADANIA</t>
  </si>
  <si>
    <t xml:space="preserve"> VIDA REAL</t>
  </si>
  <si>
    <t xml:space="preserve"> FAMÍLIA CRIATIVA DO CAMPO</t>
  </si>
  <si>
    <t>ASSOCIAÇÃO SOCIAL BLACK'S URBANO</t>
  </si>
  <si>
    <t xml:space="preserve"> PEB _PROJETO EDUCA BASQUETE</t>
  </si>
  <si>
    <t>coordenacao@institutopeb.org.br</t>
  </si>
  <si>
    <t>EMPREENDE MENINA</t>
  </si>
  <si>
    <t>empreendemeninas@gmail.com</t>
  </si>
  <si>
    <t>helenafagundesassumpcao@gmail.com</t>
  </si>
  <si>
    <t>ASSOCIACAO CULTURAL, DESPORTIVA E DE ACAO SOCIAL REDE PROTAGONISTA</t>
  </si>
  <si>
    <t>gilmarsantoslima@hotmail.com</t>
  </si>
  <si>
    <t xml:space="preserve"> FLORIANO PEÇANHA DOS SANTOS</t>
  </si>
  <si>
    <t>adm@ifps.org.br</t>
  </si>
  <si>
    <t>thalitaoliveiragarcia@gmail.com</t>
  </si>
  <si>
    <t>UNIÃO POPULAR PELA VIDA</t>
  </si>
  <si>
    <t>uppvmv@gmail.com</t>
  </si>
  <si>
    <t>inaldoaraujomv@gmail.com</t>
  </si>
  <si>
    <t>GRUPO CENTRAL CULTURA URBANA</t>
  </si>
  <si>
    <t>contato@grupoculturaurbana.org</t>
  </si>
  <si>
    <t>fabricio@grupoculturaurbana.org</t>
  </si>
  <si>
    <t xml:space="preserve"> NACIONAL DE DESENVOLVIMENTO SOCIAL E QUALIFICAÇÃO PROFISSIONAL</t>
  </si>
  <si>
    <t>diretoria@idesq.org</t>
  </si>
  <si>
    <t>eudazio@idesq.org</t>
  </si>
  <si>
    <t xml:space="preserve"> DE DESENVOLVIMENTO PESSOAL E SOCIAL OS SONHADORES</t>
  </si>
  <si>
    <t xml:space="preserve"> RAÍZES</t>
  </si>
  <si>
    <t>raizes@institutoraizes.org</t>
  </si>
  <si>
    <t>ORGANIZAÇÃO DE DESENVOLVIMENTO DO POTENCIAL HUMANO</t>
  </si>
  <si>
    <t>administrativo@odph.org.br</t>
  </si>
  <si>
    <t>kauanna@odph.org.br</t>
  </si>
  <si>
    <t xml:space="preserve"> SOCIAL CULTURAL DE APOIO À VIDA PADRE ALCIDES TRES</t>
  </si>
  <si>
    <t>ipatmt2013@gmail.com</t>
  </si>
  <si>
    <t>leletoalquimista@gmail.com</t>
  </si>
  <si>
    <t>MOVIMENTO SOCIAL E CULTURAL CORES DO AMANHÃ</t>
  </si>
  <si>
    <t>movimentoculturalcoresdoamanha@gmail.com</t>
  </si>
  <si>
    <t>ASSOCIAÇÃO REMEDIAR</t>
  </si>
  <si>
    <t>Inicial 1</t>
  </si>
  <si>
    <t>remediarong@gmail.com</t>
  </si>
  <si>
    <t>valicastros@gmail.com</t>
  </si>
  <si>
    <t>CRECHE ESCOLA MARIA DE NAZARÉ</t>
  </si>
  <si>
    <t>cmnazare@gmail.com</t>
  </si>
  <si>
    <t>rreginamarall@gmail.com</t>
  </si>
  <si>
    <t>ASSOCIAÇÃO LIVRE - CENTRO DE FORMAÇÃO E TRANSFORMAÇÃO SOCIAL (TRANSFORMAR)</t>
  </si>
  <si>
    <t>transformar.comunica@gmail.com</t>
  </si>
  <si>
    <t>ellis.amorim6@gmail.com</t>
  </si>
  <si>
    <t xml:space="preserve"> SAINT NICHOLAS CARE</t>
  </si>
  <si>
    <t>institutosaintnicholas@gmail.com</t>
  </si>
  <si>
    <t>patriciassistente.social25@gmail.com</t>
  </si>
  <si>
    <t>NATURELIFE</t>
  </si>
  <si>
    <t>ASSOCIAÇÃO SOCIAL PAULO VI</t>
  </si>
  <si>
    <t>cdvida_defesadavida@hotmail.com</t>
  </si>
  <si>
    <t>raquelsnarciso@yahoo.com.br</t>
  </si>
  <si>
    <t>CASA SÃO FRANCISCO</t>
  </si>
  <si>
    <t>contato@casasaofrancisco.org</t>
  </si>
  <si>
    <t>rafaelflaviomkt@gmail.com</t>
  </si>
  <si>
    <t>PROJETO AMOR E ESPERANÇA/ ASSOCIAÇÃO CONSTRUINDO A CIDADANIA</t>
  </si>
  <si>
    <t>ASSOCIAÇÃO MÚSICA DE BAIRRO</t>
  </si>
  <si>
    <t>Afastado</t>
  </si>
  <si>
    <t xml:space="preserve"> USINA DOS ATOS</t>
  </si>
  <si>
    <t>usina@usinadosatos.org.br</t>
  </si>
  <si>
    <t>caio@usinadosatos.org.br</t>
  </si>
  <si>
    <t>ASSOCIAÇÃO VOAR</t>
  </si>
  <si>
    <t>contato@associacaovoar.org</t>
  </si>
  <si>
    <t>eraldo@associacaovoar.org</t>
  </si>
  <si>
    <t>EM CENA ARTE E CIDADANIA</t>
  </si>
  <si>
    <t>emcena@hotlink.com.br</t>
  </si>
  <si>
    <t>betania.emcena@gmail.com</t>
  </si>
  <si>
    <t xml:space="preserve"> ZOE DE MURIAÉ</t>
  </si>
  <si>
    <t>institutozoedemuriae@gmail.com</t>
  </si>
  <si>
    <t>marisalimacanta@gmail.com</t>
  </si>
  <si>
    <t>TECH GIRLS</t>
  </si>
  <si>
    <t>gisele@techgirls.com.br</t>
  </si>
  <si>
    <t>techgirlsbr@gmail.com</t>
  </si>
  <si>
    <t xml:space="preserve"> KALEO</t>
  </si>
  <si>
    <t>contato.jipa@institutokaleo.org</t>
  </si>
  <si>
    <t>contato@institutokaleo.org</t>
  </si>
  <si>
    <t>ASSOCIAÇAO DE ARTESANATO E APICULTURA DOS POVOADOS TIGRE E JUNÇA</t>
  </si>
  <si>
    <t>aaaptjdm@gmail.com</t>
  </si>
  <si>
    <t>lisboadomingos75@gmail.com</t>
  </si>
  <si>
    <t>INSTITUIÇÃO SOCIAL DE AMOR CRISTÃO-ISAC</t>
  </si>
  <si>
    <t>isacprojetosocial@gmail.com</t>
  </si>
  <si>
    <t>CECRE CENTRO EDUCACIONAL COMUNITÁRIO REDENÇÃO</t>
  </si>
  <si>
    <t>cecre.redencao95@gmail.com</t>
  </si>
  <si>
    <t>fatimasaboia70@gmail.com</t>
  </si>
  <si>
    <t>CASA CULTURAL DONA ANTÔNIA</t>
  </si>
  <si>
    <t>sergiomartins@donaantonia.org.br</t>
  </si>
  <si>
    <t xml:space="preserve"> MARIANA</t>
  </si>
  <si>
    <t>institutomariana20@gmail.com</t>
  </si>
  <si>
    <t>neuzagf2022@gmail.com</t>
  </si>
  <si>
    <t>CENTRO CIDADANIA AÇÃO E EDUCAÇÃO SOCIOAMBIENTAL</t>
  </si>
  <si>
    <t>INSTITUIÇÃO DE INCENTIVO À CRIANÇA E AO ADOLESCENTE DE MOGI MIRIM</t>
  </si>
  <si>
    <t>comunicacao@projetoica.org.br</t>
  </si>
  <si>
    <t>CHEGANÇA ESCOLA</t>
  </si>
  <si>
    <t>contato@cheganca.com.br</t>
  </si>
  <si>
    <t>thiago@cheganca.com.br</t>
  </si>
  <si>
    <t>ASSOCIAÇÃO CASA HACKER</t>
  </si>
  <si>
    <t>falae@casahacker.org</t>
  </si>
  <si>
    <t>geraldo@casahacker.org</t>
  </si>
  <si>
    <t xml:space="preserve"> AMPARANDO</t>
  </si>
  <si>
    <t>administrativo@institutoamparando.org</t>
  </si>
  <si>
    <t>robertaazevedo@institutoamparando.org</t>
  </si>
  <si>
    <t>INSPIRANDO GERAÇÕES EM AMOR</t>
  </si>
  <si>
    <t>contatoinspirando@hotmail.com</t>
  </si>
  <si>
    <t>contatoedubeijo@gmail.com</t>
  </si>
  <si>
    <t xml:space="preserve"> CONFORME</t>
  </si>
  <si>
    <t>institutoconforme@comunidadesiloe.com.br</t>
  </si>
  <si>
    <t>rosely.oliveira@terra.com.br</t>
  </si>
  <si>
    <t>PROJETO AURORA</t>
  </si>
  <si>
    <t>projetoaurorarecife@gmail.com</t>
  </si>
  <si>
    <t>SOCIEDADE BENEFICIENTE ISRAELITA BRASILEIRA TALMUD THORA</t>
  </si>
  <si>
    <t>leila@cerzindo.org.br</t>
  </si>
  <si>
    <t>leilastungis@gmail.com</t>
  </si>
  <si>
    <t>ARC -ASSOCIAÇÃO RECREATIVA E CULTURAL DO JARDIM TREZE DE MAIO</t>
  </si>
  <si>
    <t>arc.acoesolidarias@gmail.com</t>
  </si>
  <si>
    <t>angelicaclucena2@gmail.com</t>
  </si>
  <si>
    <t>PROJETO MOURÃO ELES NÃO SÃO INVISIVEIS</t>
  </si>
  <si>
    <t>projetomourao2026@gmail.com</t>
  </si>
  <si>
    <t>netodeoliveirab@gmail.com</t>
  </si>
  <si>
    <t>ABC MUNDO NOVO</t>
  </si>
  <si>
    <t>ongabc2022@gmail.com</t>
  </si>
  <si>
    <t>sarapaganotti16@gmail.com</t>
  </si>
  <si>
    <t xml:space="preserve"> PATERNUS</t>
  </si>
  <si>
    <t>instituto.paternus@gmail.com</t>
  </si>
  <si>
    <t>pr.kildery@gmail.com</t>
  </si>
  <si>
    <t>gislainegimenez@gmail.com</t>
  </si>
  <si>
    <t xml:space="preserve"> CONERAGIR</t>
  </si>
  <si>
    <t>instituto@coneragir.org</t>
  </si>
  <si>
    <t>wanderson@coneragir.org</t>
  </si>
  <si>
    <t xml:space="preserve"> DE ARTE E CIDADANIA DO CEARÁ</t>
  </si>
  <si>
    <t>instituto-ac2017@hotmail.com</t>
  </si>
  <si>
    <t>iacceeditais@gmail.com</t>
  </si>
  <si>
    <t xml:space="preserve"> CRISTIANE CAMARGO</t>
  </si>
  <si>
    <t>lumacamargoz@icloud.com</t>
  </si>
  <si>
    <t>luamacamargoz@icloud.com</t>
  </si>
  <si>
    <t>INSTITUIÇÃO SOCIEDADE PLURAL SÃO JOÃO BATISTA / ISP-SJB</t>
  </si>
  <si>
    <t>sociedadeplural@gmail.com</t>
  </si>
  <si>
    <t xml:space="preserve"> SUBLIM</t>
  </si>
  <si>
    <t>institutosublim@gmail.com</t>
  </si>
  <si>
    <t xml:space="preserve"> ESPERANÇA</t>
  </si>
  <si>
    <t>gestao.esperancainstituto@gmail.com</t>
  </si>
  <si>
    <t xml:space="preserve"> ÁRVORE DA VIDA</t>
  </si>
  <si>
    <t>erliaesteves@gmail.com</t>
  </si>
  <si>
    <t>ASSOCIACAO DIAMANTES NA COZINHA</t>
  </si>
  <si>
    <t>comercial@diamantesnacozinha.org</t>
  </si>
  <si>
    <t>ASSOCIACAO ELISABETH BRUYERE</t>
  </si>
  <si>
    <t>elisabethbruyere@yahoo.com.br</t>
  </si>
  <si>
    <t>SOCIEDADE CULTURAL PROJETO LUAR</t>
  </si>
  <si>
    <t>PROJETO AVANTE</t>
  </si>
  <si>
    <t>contato@projetoavante.com</t>
  </si>
  <si>
    <t>ESPAÇO CULTURAL NOVA BONSUCESSO</t>
  </si>
  <si>
    <t>ecultural20@gmail.com</t>
  </si>
  <si>
    <t>ledasantosbahia@gmail.com</t>
  </si>
  <si>
    <t>ASSOCIAÇÃO BENEFICENTE DA CRIANÇA E DO ADOLESCENTE</t>
  </si>
  <si>
    <t>abca@hotmail.com.br</t>
  </si>
  <si>
    <t>PROGRAMA SOCIAL SIM! EU SOU DO MEIO (SESM)</t>
  </si>
  <si>
    <t>debora.simeusoudomeio@gmail.com</t>
  </si>
  <si>
    <t xml:space="preserve"> PROJETO CRIA - CULTURA E EDUCAÇÃO</t>
  </si>
  <si>
    <t>producaoprojetocria@gmail.com</t>
  </si>
  <si>
    <t>lauracamposbraz@gmail.com</t>
  </si>
  <si>
    <t>ASSOCIAÇÃO CIVIL PROJETO JUVENTUDE ESPERANÇA DO AMANHÃ</t>
  </si>
  <si>
    <t>diretoria@projetojeda.org.br</t>
  </si>
  <si>
    <t>fgoncalves.fgd@gmail.com</t>
  </si>
  <si>
    <t xml:space="preserve"> MUCAMBO</t>
  </si>
  <si>
    <t>contato@mucamboinstituto.org</t>
  </si>
  <si>
    <t>mucambo2022@gmail.com</t>
  </si>
  <si>
    <t xml:space="preserve"> FÁBRICA DE VENCEDOR</t>
  </si>
  <si>
    <t>gestaoararaquara@gmail.com</t>
  </si>
  <si>
    <t xml:space="preserve"> REVIVER</t>
  </si>
  <si>
    <t>revivertocantins@gmail.com</t>
  </si>
  <si>
    <t>soraiatoedfisica@gmail.com</t>
  </si>
  <si>
    <t>ASSOCIAÇÃO ÁGUIA</t>
  </si>
  <si>
    <t>rosangelaamancia@gmail.com</t>
  </si>
  <si>
    <t xml:space="preserve"> SOCIAL KAIROS</t>
  </si>
  <si>
    <t>ccaamu@gmail.com</t>
  </si>
  <si>
    <t>cidaferreiraalves1@gmail.com</t>
  </si>
  <si>
    <t>PROJETO TERNURA</t>
  </si>
  <si>
    <t>projeto.ternura.contato@gmail.com</t>
  </si>
  <si>
    <t>ozeiaskf@gmail.com</t>
  </si>
  <si>
    <t>CENTRO CULTURAL RITA DE CASSIA</t>
  </si>
  <si>
    <t>contato@educarmais.net</t>
  </si>
  <si>
    <t>ana.caroline.empregos@gmail.com</t>
  </si>
  <si>
    <t>ASSOCIAÇÃO EDUCACIONAL* CULTURAL E SOCIAL APRENDER</t>
  </si>
  <si>
    <t>aecsaprender@gmail.com</t>
  </si>
  <si>
    <t>mauradinagp@gmail.com</t>
  </si>
  <si>
    <t>ASSOCIAÇÃO BENEFICENTE HEBROM (NÚCLEO TEFÉ AM)</t>
  </si>
  <si>
    <t>contato@hebrombahia.com.br</t>
  </si>
  <si>
    <t>dosanjosdebora1997@gmail.com</t>
  </si>
  <si>
    <t xml:space="preserve"> BATISTA SIMON PR SIMON HORBACZYK</t>
  </si>
  <si>
    <t>ibsh.instituto@gmail.com</t>
  </si>
  <si>
    <t>ASSOCIAÇÃO ESPORTE E VIDA</t>
  </si>
  <si>
    <t>associacaoesporteevida@gmail.com</t>
  </si>
  <si>
    <t>myrian.silveira@yahoo.com.br</t>
  </si>
  <si>
    <t>ASSOCIAÇÃO SOCIAL SAGRADA FAMÍLIA</t>
  </si>
  <si>
    <t>sagradafamilia.ba@hotmail.com</t>
  </si>
  <si>
    <t>celiapassosana715@gmail.com</t>
  </si>
  <si>
    <t>ORGANIZAÇÃO NOVOS HERDEIROS HUMANÍSTICOS</t>
  </si>
  <si>
    <t>marcelodiasdaong@gmail.com</t>
  </si>
  <si>
    <t>CONJER - CONSELHO COMUNITÁRIO DO ALTO JERUSALÉM</t>
  </si>
  <si>
    <t>altojerusalem@gmail.com</t>
  </si>
  <si>
    <t>selmagomes3456@gmail.com</t>
  </si>
  <si>
    <t>ASSOCIAÇÃO AMOR E VIDA</t>
  </si>
  <si>
    <t>contato@projetoamorevida.org</t>
  </si>
  <si>
    <t>mfqdeoliveira@yahoo.com.br</t>
  </si>
  <si>
    <t>CENTRO DE QUALIFICAÇÃO INICIAL, CONTINUADA E PROFISSIONAL  PERTENCER CARFER</t>
  </si>
  <si>
    <t>institutopertenser.carfer@gmail.com</t>
  </si>
  <si>
    <t>carfermarcia@gmail.com</t>
  </si>
  <si>
    <t>PATRONATO SANTANA</t>
  </si>
  <si>
    <t>patronato.santana@gmail.com</t>
  </si>
  <si>
    <t>martinsnycollassilva@gmail.com</t>
  </si>
  <si>
    <t xml:space="preserve"> AME MAIS</t>
  </si>
  <si>
    <t>psamemais@gmail.com</t>
  </si>
  <si>
    <t xml:space="preserve"> BRASILEIRO DE EXECUTIVOS DE FINANÇAS DO PARANÁ</t>
  </si>
  <si>
    <t>ibefpr@ibefpr.com.br</t>
  </si>
  <si>
    <t>gilsimara.lima@gmail.com</t>
  </si>
  <si>
    <t>ASSOCIAÇÃO MISSÃO EM AÇÃO SOCIAL - AMEAS</t>
  </si>
  <si>
    <t>assocameas@gmail.com</t>
  </si>
  <si>
    <t>ASSOCIAÇÃO PROJETO SURFAR</t>
  </si>
  <si>
    <t>gicele.falcons@gmail.com</t>
  </si>
  <si>
    <t>PROJETO ESPERANÇA</t>
  </si>
  <si>
    <t>projeto.esperanca.do.gogo@gmail.com</t>
  </si>
  <si>
    <t xml:space="preserve"> DE DESENVOLVIMENTO ESPORTIVO* SOCIAL E CULTURAL IMPACTANDO GERAÇÕES</t>
  </si>
  <si>
    <t>institutoimpactandogeracoes@gmail.com</t>
  </si>
  <si>
    <t>andersonrugelvaz@gmail.com</t>
  </si>
  <si>
    <t xml:space="preserve"> CAUSADORES DA ALEGRIA</t>
  </si>
  <si>
    <t>causadoresdaalegria@gmail.com</t>
  </si>
  <si>
    <t>fernandoeufigenio@hotmail.com</t>
  </si>
  <si>
    <t xml:space="preserve"> CONQUIST</t>
  </si>
  <si>
    <t>contato@institutoconquistsorrisos.org</t>
  </si>
  <si>
    <t>elainecorrea540@gmail.com</t>
  </si>
  <si>
    <t>ASSOCIAÇÃO COMUNITÁRIA MARIA JOÃO DE DEUS</t>
  </si>
  <si>
    <t>maria.joaodedeus@hotmail.com</t>
  </si>
  <si>
    <t>douglascostamartins75@gmail.com</t>
  </si>
  <si>
    <t>REDE POSTINHO DE SAÚDE ORGANIZAÇÃO DE SAÚDE PREVENTIVA MULTIDISCIPLINAR SOCIAL</t>
  </si>
  <si>
    <t>paulagmesquita@yahoo.com.br</t>
  </si>
  <si>
    <t>TEREZINHA OSMARI BAGATINI</t>
  </si>
  <si>
    <t>maisquepalavrascultura@gmail.com</t>
  </si>
  <si>
    <t>culturaextremooeste@outlook.com</t>
  </si>
  <si>
    <t>COLETIVO OLHANDO PRA FRENTE</t>
  </si>
  <si>
    <t>coletivo.olhandoprafrente@gmail.com</t>
  </si>
  <si>
    <t>jardelsilvestre775@gmail.com</t>
  </si>
  <si>
    <t>ASSOCIAÇÃO CASA UP</t>
  </si>
  <si>
    <t>casaupadl@gmail.com</t>
  </si>
  <si>
    <t>pastortiaozinho@gmail.com</t>
  </si>
  <si>
    <t>ASSOCIAÇÃO COMUNITÁRIA UNIÃO POTENGI</t>
  </si>
  <si>
    <t>uniaopotengi@gmail.com</t>
  </si>
  <si>
    <t>jaciane.cd@gmail.com</t>
  </si>
  <si>
    <t xml:space="preserve"> É POSSÍVEL SONHAR</t>
  </si>
  <si>
    <t>institutoepossivelsonhar@gmail.com</t>
  </si>
  <si>
    <t>psicologadanielageneroso@gmail.com</t>
  </si>
  <si>
    <t>COLMEIA MARICA</t>
  </si>
  <si>
    <t>colmeiamarica@gmail.com</t>
  </si>
  <si>
    <t>thaamunizz@gmail.com</t>
  </si>
  <si>
    <t>COLETIVO AUTÔNOMO MORRO DA CRUZ</t>
  </si>
  <si>
    <t>admin@coletivomdc.org</t>
  </si>
  <si>
    <t>eleniramartins69@gmail.com</t>
  </si>
  <si>
    <t xml:space="preserve"> ANTÔNIO COELHO DE CASTRO</t>
  </si>
  <si>
    <t>institutoantoniocoelhodecastro@gmail.com</t>
  </si>
  <si>
    <t>deniseburjack7@gmail.com</t>
  </si>
  <si>
    <t xml:space="preserve"> SEED</t>
  </si>
  <si>
    <t>seedsurfescola@gmail.com</t>
  </si>
  <si>
    <t>glaucianorodrigues.surf@gmail.com</t>
  </si>
  <si>
    <t>GESCA - GRÊMIO EDUCACIONAL* SOCIAL E CULTURAL ÁGUIAS DE SANTO ANTÔNIO DE JESUS</t>
  </si>
  <si>
    <t>contato@gesca.org.br</t>
  </si>
  <si>
    <t>lucilenesqueiroz.souza@gmail.com</t>
  </si>
  <si>
    <t xml:space="preserve"> SEMENTINHA PARA EDUCAÇÃO E PROTEÇÃO A CRIANÇA E AO ADOLESCENTE</t>
  </si>
  <si>
    <t>institutosementinha@gmail.com</t>
  </si>
  <si>
    <t>tatianevasconcellos2012@gmail.com</t>
  </si>
  <si>
    <t>ASSOCIAÇÃO ETHOS SUSTENTÁVEL</t>
  </si>
  <si>
    <t>contato.ethossustentavel@gmail.com</t>
  </si>
  <si>
    <t>pratoverdesustentavel@gmail.com</t>
  </si>
  <si>
    <t>ASSOCIAÇÃO DE PROTEÇÃO À INFÂNCIA VOVÔ VITORINO</t>
  </si>
  <si>
    <t>associacaovovovitorino@gmail.com</t>
  </si>
  <si>
    <t>mariajuliadovovovitorino@gmail.com</t>
  </si>
  <si>
    <t>C.A.E.F.A - CENTRO DE APOIO A EDUCAÇÃO E FORMAÇÃO DO ADOLESCENTE</t>
  </si>
  <si>
    <t>caefa.fernandopolis@hotmail.com</t>
  </si>
  <si>
    <t>marlenemarques714@gmail.com</t>
  </si>
  <si>
    <t xml:space="preserve"> MOVIMENTO PARA A VIDA</t>
  </si>
  <si>
    <t>instituto.m.v@hotmail.com</t>
  </si>
  <si>
    <t>profalinezabotto2020@gmail.com</t>
  </si>
  <si>
    <t xml:space="preserve"> SUPERAÇÃO RUBENS AZEVEDO SECATO</t>
  </si>
  <si>
    <t>institutosuperacaoras@outlook.com</t>
  </si>
  <si>
    <t>edna_baptista@hotmail.com</t>
  </si>
  <si>
    <t>danielasalvares@gmail.com</t>
  </si>
  <si>
    <t>ASSOCIAÇÃO UNAIENSE DE DESENVOLVIMENTO E CIDADANIA</t>
  </si>
  <si>
    <t>matheusgoncalves.pastor@gmail.com</t>
  </si>
  <si>
    <t>MULTIPLICAR O AMOR INCLUIR O SABER</t>
  </si>
  <si>
    <t>multiplicaramor2020@gmail.com</t>
  </si>
  <si>
    <t>daitins63@gmail.com</t>
  </si>
  <si>
    <t>tom.abadacapoeira@gmail.com</t>
  </si>
  <si>
    <t>TERNO MOÇAMBIQUE ESTRELA GUIA</t>
  </si>
  <si>
    <t>femininal@hotmail.com</t>
  </si>
  <si>
    <t>iaraaparecidaferreiraferreira@gmail.com</t>
  </si>
  <si>
    <t xml:space="preserve"> PASSO DE ANJO</t>
  </si>
  <si>
    <t>institutopassodeanjo@gmail.com</t>
  </si>
  <si>
    <t>amoarymesseder@gmail.com</t>
  </si>
  <si>
    <t>COLETIVO MULHERES DO BRASIL EM AÇÃO CMBA</t>
  </si>
  <si>
    <t>cmbacoletivodemulheres@gmail.com</t>
  </si>
  <si>
    <t xml:space="preserve"> SOCIOAMBIENTAL DAS VERTENTES</t>
  </si>
  <si>
    <t>institutoivert9@gmail.com</t>
  </si>
  <si>
    <t>carmemwerneck@gmail.com</t>
  </si>
  <si>
    <t>ASSOCIAÇÃO PADRE PAULO TONUCCI</t>
  </si>
  <si>
    <t>apptonucci@hotmail.com</t>
  </si>
  <si>
    <t>dayseportugalmelo@gmail.com</t>
  </si>
  <si>
    <t>NÚCLEO DE APOIO AO PEQUENO CIDADÃO</t>
  </si>
  <si>
    <t>pequenocidadao@pequenocidadao.org.br</t>
  </si>
  <si>
    <t>valquiria.moraes@pequenocidadao.org.br</t>
  </si>
  <si>
    <t>PROJETO SAUDE NOS BAIRROS</t>
  </si>
  <si>
    <t>charlesbispo1@hotmail.com</t>
  </si>
  <si>
    <t>ASSOCIAÇÃO SANTO DIAS</t>
  </si>
  <si>
    <t>asdbrasil.pb@gmail.com</t>
  </si>
  <si>
    <t>talvesg16@gmail.com</t>
  </si>
  <si>
    <t>ASSOCIAÇÃO TONKIRI VOA</t>
  </si>
  <si>
    <t>tonkirialimenta@gmail.com</t>
  </si>
  <si>
    <t>leslie.scarpelli@gmail.com</t>
  </si>
  <si>
    <t>CAMA-CENTRO DE ARTE E MEIO AMBIENTE</t>
  </si>
  <si>
    <t>centrodeartemeioambiente@gmail.com</t>
  </si>
  <si>
    <t>andreiaaraujo.bio@gmail.com</t>
  </si>
  <si>
    <t>VIADUTO DAS ARTES</t>
  </si>
  <si>
    <t>viadutodasartes@gmail.com</t>
  </si>
  <si>
    <t>ONG HERÓIS DOS LACRES</t>
  </si>
  <si>
    <t>lacredobemermelino@gmail.com</t>
  </si>
  <si>
    <t>djalmanunes.consultor@gmail.com</t>
  </si>
  <si>
    <t xml:space="preserve"> PRA TODO MUNDO</t>
  </si>
  <si>
    <t>instituto@pratodomundo.org.br</t>
  </si>
  <si>
    <t>CENTRAL DA SOLIDARIEDADE</t>
  </si>
  <si>
    <t>csolidariedade@yahoo.com.br</t>
  </si>
  <si>
    <t>maurocentral2021@gmail.com</t>
  </si>
  <si>
    <t>ASSOCIAÇÃO CRIANÇA FELIZ DE SOROCABA</t>
  </si>
  <si>
    <t>ssocialasfeliz@gmail.com</t>
  </si>
  <si>
    <t>anaiculmira@gmail.com</t>
  </si>
  <si>
    <t xml:space="preserve"> SEMEAR PLANTAR E TRANSFORMAR</t>
  </si>
  <si>
    <t>institutospt@gmail.com</t>
  </si>
  <si>
    <t>eddanidogobele@gmail.com</t>
  </si>
  <si>
    <t>EDUCAÇÃO PARA A LIBERDADE</t>
  </si>
  <si>
    <t>joaopaulo.camargo@eplx.com.br</t>
  </si>
  <si>
    <t xml:space="preserve"> S.O.S PERIFERIA</t>
  </si>
  <si>
    <t>contato.sos.periferia@gmail.com</t>
  </si>
  <si>
    <t>lucas.pt.alves@gmail.com</t>
  </si>
  <si>
    <t>ASSOCIAÇÃO DEFICIÊNCIA SUPERANDO LIMITES - ADESUL</t>
  </si>
  <si>
    <t>adesulceara@adesul.org</t>
  </si>
  <si>
    <t>ksamyaf@hotmail.com</t>
  </si>
  <si>
    <t xml:space="preserve"> PAPEL DE MENINO</t>
  </si>
  <si>
    <t>silvana@papeldemenino.org.br</t>
  </si>
  <si>
    <t>acarvalho@papeldemenino.org.br</t>
  </si>
  <si>
    <t>ASSOCIAÇAO INFANCIA E FAMILIA</t>
  </si>
  <si>
    <t>associacaoinfam@gmail.com</t>
  </si>
  <si>
    <t>pedagogamonalisa12@gmail.com</t>
  </si>
  <si>
    <t>thamirescastromargaridas@gmail.com</t>
  </si>
  <si>
    <t>PROJETO BAYERNZINHO</t>
  </si>
  <si>
    <t>projetobayernzinho@gmail.com</t>
  </si>
  <si>
    <t>SOMOS TODOS MURIBECA - STM</t>
  </si>
  <si>
    <t>equipe@somostodosmuribeca.com.br</t>
  </si>
  <si>
    <t>marcelo@jmdinformatica.com.br</t>
  </si>
  <si>
    <t>PROJETO DE DESENVOLVIMENTO CULTURAL ARTE E COR</t>
  </si>
  <si>
    <t>projeto.cultura@hotmail.com</t>
  </si>
  <si>
    <t>SEMEAR-ASSOCIACAO DE EDUCACAO AMBIENTAL E ECOLOGICA: ARTE DE RECICLAR</t>
  </si>
  <si>
    <t>semearcampossales@gmail.com</t>
  </si>
  <si>
    <t>INTITUTO GERAÇÃO ELEITA MOVA-SE.</t>
  </si>
  <si>
    <t>gemmovase@gmail.com</t>
  </si>
  <si>
    <t>stela.bonifaciosilva@gmail.com</t>
  </si>
  <si>
    <t>ASSOCIAÇÃO ZEDAKAH DE JUSTIÇA SOCIAL</t>
  </si>
  <si>
    <t>contato@institutozedakah.com</t>
  </si>
  <si>
    <t>estudodavida.bms@gmail.com</t>
  </si>
  <si>
    <t>ASSOCIAÇÃO CASA DE GENTIL CULTURAS E CONVÍVIOS</t>
  </si>
  <si>
    <t>casadegentilcc@gmail.com</t>
  </si>
  <si>
    <t>nuriabispo@gmail.com</t>
  </si>
  <si>
    <t>ASSOCIAÇÃO DE CAPOEIRA MULEKI É TU</t>
  </si>
  <si>
    <t>mulekietu@hotmail.com</t>
  </si>
  <si>
    <t>neipontao@gmail.com</t>
  </si>
  <si>
    <t xml:space="preserve"> EDUCAR GOLANDIM</t>
  </si>
  <si>
    <t>educargolandim@gmail.com</t>
  </si>
  <si>
    <t xml:space="preserve"> LIVROS EM TODO LUGAR</t>
  </si>
  <si>
    <t>emtodolugarlivros@gmail.com</t>
  </si>
  <si>
    <t>farelodequiat@gmail.com</t>
  </si>
  <si>
    <t xml:space="preserve"> REGGARTE</t>
  </si>
  <si>
    <t>institutoreggarte@gmail.com</t>
  </si>
  <si>
    <t>projetoreggarte@gmail.com</t>
  </si>
  <si>
    <t xml:space="preserve"> BRASILEIRO DE EXPEDIÇÕES SOCIAIS</t>
  </si>
  <si>
    <t>contato@ibes.org.br</t>
  </si>
  <si>
    <t>ASSOCIACAO CULTURAL BELEZA INTERIOR</t>
  </si>
  <si>
    <t>institutobelezainterior@gmail.com</t>
  </si>
  <si>
    <t>paulomenndessilva@gmail.com</t>
  </si>
  <si>
    <t>ASSOCIACAO DO APICULTORES E PRODUTORES DE MEL DO POTENGI</t>
  </si>
  <si>
    <t>bezerra.fatima.st@gmail.com</t>
  </si>
  <si>
    <t xml:space="preserve"> INOVAÇÃO SUSTENTÁVEL - ONG MENSAGEIROS DA ESPERANÇA</t>
  </si>
  <si>
    <t xml:space="preserve"> DE ESTUDOS E PRESERVAÇÃO DAS CULTURAS INDÊ­GENAS BRASILEIRAS</t>
  </si>
  <si>
    <t>eduardo@institutonawa.org</t>
  </si>
  <si>
    <t>edupizaroli@gmail.com</t>
  </si>
  <si>
    <t>PROJETO PELA RUA PELO REINO</t>
  </si>
  <si>
    <t>p.r.v.pelaruapeloreino@gmail.com</t>
  </si>
  <si>
    <t>ASSOCIAÇÃO BENEFICENTE EDUCACIONAL CORUJINHAS</t>
  </si>
  <si>
    <t>associacaobeneficiente2018@hotmail.com</t>
  </si>
  <si>
    <t>felixppp74@gmail.com</t>
  </si>
  <si>
    <t>PROJETO SOCIAL PATRULHA DO BEM</t>
  </si>
  <si>
    <t>patrulhadobem01@gmail.com</t>
  </si>
  <si>
    <t>fabykauan@hotmail.com</t>
  </si>
  <si>
    <t>NEAC - NÚCLEO ESPECIAL DE ATENÇÃO À CRIANÇA</t>
  </si>
  <si>
    <t>abelcolberth@gmail.com</t>
  </si>
  <si>
    <t>ASSOCIAÇÃO LYRA</t>
  </si>
  <si>
    <t>associacaolyra@gmail.com</t>
  </si>
  <si>
    <t>pedagogo.lima27@gmail.com</t>
  </si>
  <si>
    <t>DIA DO AMOR</t>
  </si>
  <si>
    <t>carla@diadoamor.org</t>
  </si>
  <si>
    <t>carla.amuller@gmail.com</t>
  </si>
  <si>
    <t>ASSOCIAÇÃO DE APOIO ÀS FAMÍLIAS VULNERÁVEIS</t>
  </si>
  <si>
    <t>aafv.doacoes@gmail.com</t>
  </si>
  <si>
    <t>janeide2892@gmail.com</t>
  </si>
  <si>
    <t>ASSOCIAÇÃO VIDANÇA COMPANHIA DE DANÇAS DO CEARÁ</t>
  </si>
  <si>
    <t>analiatimbo@vidanca.org</t>
  </si>
  <si>
    <t>ARCANJO GABRIEL</t>
  </si>
  <si>
    <t>institutoarcanjogabrieloficial@gmail.com</t>
  </si>
  <si>
    <t>siberllyaguiar18@gmail.com</t>
  </si>
  <si>
    <t xml:space="preserve"> SOMOS ÁGAPE</t>
  </si>
  <si>
    <t>somosagapejlle@gmail.com</t>
  </si>
  <si>
    <t>raquel.suzi10@gmail.com</t>
  </si>
  <si>
    <t>ASSOCIACAO IYD BRASIL</t>
  </si>
  <si>
    <t>oi@iydbrasil.com</t>
  </si>
  <si>
    <t>juliasaldanhagoulart@gmail.com</t>
  </si>
  <si>
    <t xml:space="preserve"> NOVA UNIÃO DA ARTE</t>
  </si>
  <si>
    <t>institutonua@hotmail.com</t>
  </si>
  <si>
    <t>institutonuapassarinho@gmail.com</t>
  </si>
  <si>
    <t>CONSELHO COMUNITÁRIO DE AÇÕES SOCIAIS DO CONJUNTO VILA VELHA</t>
  </si>
  <si>
    <t>conselhocomunitariocis@gmail.com</t>
  </si>
  <si>
    <t>godoiamaria7@gmail.com</t>
  </si>
  <si>
    <t>FUNDAÇÃO BENEFICENTE EVANGÉLICA JESUS DE NAZARÉ</t>
  </si>
  <si>
    <t>daienematteus@gmail.com</t>
  </si>
  <si>
    <t>ASSOCIAÇÃO NOSSA CASA MÃE ÁFRICA ESTUDOS E COMUNICAÇÃO</t>
  </si>
  <si>
    <t>maeafricaoficial@gmail.com</t>
  </si>
  <si>
    <t>carlosveneranda@gmail.com</t>
  </si>
  <si>
    <t>SOCIEDADE UNIÃO DA VILA DOS EUCALIPTOS - SUVE</t>
  </si>
  <si>
    <t>ong.suve@gmail.com</t>
  </si>
  <si>
    <t>mariorlm3@gmail.com</t>
  </si>
  <si>
    <t>CASA DE APOIO À CRIANÇA COM CÂNCER VIDA DIVINA</t>
  </si>
  <si>
    <t>coordenacao@cavd.org.br</t>
  </si>
  <si>
    <t>lucas.estevam.freitas@gmail.com</t>
  </si>
  <si>
    <t xml:space="preserve"> EMARCA DE PESQUISA E EDUCACAO PROFESSIONAL</t>
  </si>
  <si>
    <t>eliana.emarca@gmail.com</t>
  </si>
  <si>
    <t>GRUPO DE ASSISTENCIA SOCIAL* CULTURAL* ESPORTES E LAZER - G.A.S</t>
  </si>
  <si>
    <t>jhupriscila@gmail.com</t>
  </si>
  <si>
    <t xml:space="preserve"> DE DESENVOLVIMENTO E PROTEÇÃO SOCIAL</t>
  </si>
  <si>
    <t>institutoacudir@hotmail.com</t>
  </si>
  <si>
    <t>edvaldocarlospdt@gmail.com</t>
  </si>
  <si>
    <t>CIDADELA CENTRO CULTURAL E AMBIENTAL</t>
  </si>
  <si>
    <t>cidadela.al.org@gmail.com</t>
  </si>
  <si>
    <t>livia.tropicus@gmail.com</t>
  </si>
  <si>
    <t>ASSOCIAÇÃO DOS MORADORES DA COMUNIDADE DO BAIRRO ZITA CUNHA</t>
  </si>
  <si>
    <t>amcbzitacunha@gmail.com</t>
  </si>
  <si>
    <t>chirlei.sborges@gmail.com</t>
  </si>
  <si>
    <t>COMPAIXÃO INTERNACIONAL</t>
  </si>
  <si>
    <t>compaixaointernacional@gmail.com</t>
  </si>
  <si>
    <t>arlisfreitas@gmail.com</t>
  </si>
  <si>
    <t xml:space="preserve"> FELIZ CIDADE</t>
  </si>
  <si>
    <t>onginstitutofelizcidade@gmail.com</t>
  </si>
  <si>
    <t>rogeriorofer@gmail.com</t>
  </si>
  <si>
    <t>COMUNIDADE PORTA DA ESPERANÇA DO BAIRRO PADRE ANDRADE</t>
  </si>
  <si>
    <t>portacomunidade@gmail.com</t>
  </si>
  <si>
    <t>ciroerenata@yahoo.com.br</t>
  </si>
  <si>
    <t>ACIESP PROJETO ATRAVES DO ESPELHO</t>
  </si>
  <si>
    <t>aciespms@gmail.com</t>
  </si>
  <si>
    <t>ceureciramos@gmail.com</t>
  </si>
  <si>
    <t>ASSOCIAÇÃO DE APOIO A MÃES DE ESPECIAIS-  AME</t>
  </si>
  <si>
    <t>bomfim.luciane@gmail.com</t>
  </si>
  <si>
    <t>ENCANTOS  SÓCIO CULTURAL E BENEFICENTE</t>
  </si>
  <si>
    <t>instituto.encantos@hotmail.com</t>
  </si>
  <si>
    <t>lauracosta_28@yahoo.com.br</t>
  </si>
  <si>
    <t>JUNTA QUE AJUDA</t>
  </si>
  <si>
    <t>juntaqueajuda@outlook.com</t>
  </si>
  <si>
    <t>fercampanile@gmail.com</t>
  </si>
  <si>
    <t>CENTRO DE INTEGRAÇÃO SOCIAL E CULTURAL  - CISC "UMA CHANCE"</t>
  </si>
  <si>
    <t>ciscumachance20032020@gmail.com</t>
  </si>
  <si>
    <t>ericamara03@gmail.com</t>
  </si>
  <si>
    <t xml:space="preserve"> ROSA REVIVER</t>
  </si>
  <si>
    <t>institutorosairfc@gmail.com</t>
  </si>
  <si>
    <t>dani.cassiano24@gmail.com</t>
  </si>
  <si>
    <t>ASSOCIAÇÃO BENEFICENTE RAUL DAS TINTAS</t>
  </si>
  <si>
    <t>abrauldastintasfutsal@gmail.com</t>
  </si>
  <si>
    <t>garotinhogoleiro@gmail.com</t>
  </si>
  <si>
    <t>COLETIVO AYOKÁ</t>
  </si>
  <si>
    <t>coletivoayoka@gmail.com</t>
  </si>
  <si>
    <t>kelmanunes@gmail.com</t>
  </si>
  <si>
    <t xml:space="preserve"> MAIS VIDA</t>
  </si>
  <si>
    <t>imvmaceio@gmail.com</t>
  </si>
  <si>
    <t xml:space="preserve"> TRANSFORMAR</t>
  </si>
  <si>
    <t>institutotransformaribicarai@gmail.com</t>
  </si>
  <si>
    <t>cristinaaraujoinstituto2020@gmail.com</t>
  </si>
  <si>
    <t>PROJETO ONDAS</t>
  </si>
  <si>
    <t>jojo@projetoondas.org.br</t>
  </si>
  <si>
    <t xml:space="preserve"> SOCIAL DE TODO CORAÇÃO</t>
  </si>
  <si>
    <t>institutodetodocoracao@gmail.com</t>
  </si>
  <si>
    <t>euseliadutra@gmail.com</t>
  </si>
  <si>
    <t>coordenacaotransformar.edu@gmail.com</t>
  </si>
  <si>
    <t>leandrocardosoibicarai@gmail.com</t>
  </si>
  <si>
    <t>ASSOCIAÇÃO MÚSICA AMIGOS SOLIDÁRIOS AMAS</t>
  </si>
  <si>
    <t>amigossolidariosac@gmail.com</t>
  </si>
  <si>
    <t>souzaderineudo@gmail.com</t>
  </si>
  <si>
    <t>ONG ESPERANÇA BRASIL</t>
  </si>
  <si>
    <t>daiani@esperancabrasil.org</t>
  </si>
  <si>
    <t>COLETIVO ARAUTOS DA POESIA</t>
  </si>
  <si>
    <t>arautosdapoesiasabara@gmail.com</t>
  </si>
  <si>
    <t>aguida.alves.oliveira@gmail.com</t>
  </si>
  <si>
    <t>WATER IS LIFE BRASIL</t>
  </si>
  <si>
    <t>baruc@waterislife.com</t>
  </si>
  <si>
    <t>ASSOCIAÇÃO JOGANDO PELO REINO</t>
  </si>
  <si>
    <t>institutojogandopeloreino@gmail.com</t>
  </si>
  <si>
    <t>PROJETO SOCIAL E CULTURAL REGATY</t>
  </si>
  <si>
    <t>resgaty123@gmail.com</t>
  </si>
  <si>
    <t>ASSOCIAÇÃO BENEFICEENTE ANJOS DE OURO</t>
  </si>
  <si>
    <t>associacaobenefanjosdeouro@yahoo.com</t>
  </si>
  <si>
    <t>paty.cavalcante@yahoo.com.br</t>
  </si>
  <si>
    <t>brunnamendes138@gmail.com</t>
  </si>
  <si>
    <t>ASSOCIAÇÃO SEMEANDO AMOR</t>
  </si>
  <si>
    <t>leticia@associacaosemeandoamor.org.br</t>
  </si>
  <si>
    <t>leticiawitzkimorona@gmail.com</t>
  </si>
  <si>
    <t xml:space="preserve"> CARANGONDÉ CIDADANIA</t>
  </si>
  <si>
    <t>carangondecidadania@gmail.com</t>
  </si>
  <si>
    <t>daiannyaurbanista@gmail.com</t>
  </si>
  <si>
    <t>MATRIARCAS EM AÇAO</t>
  </si>
  <si>
    <t>matriarcasemacao@gmail.com</t>
  </si>
  <si>
    <t>ASSOCIACAO CENTRO DE APOIO ACOLHER</t>
  </si>
  <si>
    <t>walissonk01@gmail.com</t>
  </si>
  <si>
    <t>magnaaguilar@hotmail.com</t>
  </si>
  <si>
    <t>FEDERAÇÃO INTERNACIONAL DE SORVEBOL</t>
  </si>
  <si>
    <t>suporte.sorvebol@gmail.com</t>
  </si>
  <si>
    <t>claudiogm3@gmail.com</t>
  </si>
  <si>
    <t>ASSOCIAÇÃO LER E SABER NA COMUNIDADE</t>
  </si>
  <si>
    <t>leresabernacomunidade@gmail.com</t>
  </si>
  <si>
    <t>vanessadaya@gmail.com</t>
  </si>
  <si>
    <t>ASSOCIAÇÃO PROJETO ESPERANÇA DO BRASIL</t>
  </si>
  <si>
    <t>associacaopepp@gmail.com</t>
  </si>
  <si>
    <t>ASSOCIAÇÃO INTERNACIONAL DE CAPOEIRA OS BAMBAS DO SOL NASCENTE DE SALVADOR</t>
  </si>
  <si>
    <t>bambadosolnascente@yahoo.com.br</t>
  </si>
  <si>
    <t>teodorocapoeira@gmail.com</t>
  </si>
  <si>
    <t>ASSOCIAÇÃO BRASILEIRA MISSÃO E ESPERANÇA (ASBRAME)</t>
  </si>
  <si>
    <t>cristianesantos@asbramebrasil.org</t>
  </si>
  <si>
    <t>BUTIJA SOCIAL ESPORTE E CULTURA</t>
  </si>
  <si>
    <t>brunasguedes@gmail.com</t>
  </si>
  <si>
    <t>ASSOCIAÇÃO SERVOS</t>
  </si>
  <si>
    <t>servosassociacao@gmail.com</t>
  </si>
  <si>
    <t>welton.morais84@gmail.com</t>
  </si>
  <si>
    <t>CENTRO COMUNITÁRIO DO RADIONAL E ADJACÊNCIAS</t>
  </si>
  <si>
    <t>centrocra@bol.com.br</t>
  </si>
  <si>
    <t>neuzalinas@gmail.com</t>
  </si>
  <si>
    <t>professorrodrigao@hotmail.com</t>
  </si>
  <si>
    <t>ASSOCIACAO GIBI ESPORTE E EDUCACAO</t>
  </si>
  <si>
    <t>administrador@gibiesporteeducacao.org.br</t>
  </si>
  <si>
    <t>ASSOCIAÇÃO UM CHUTE PARA O FUTURO</t>
  </si>
  <si>
    <t>ASSOCIAÇÃO DOS CUIDADORES DE PESSOAS EM SITUAÇÃO DE VULNERABILIDADE NA BAHIA</t>
  </si>
  <si>
    <t>ong.acpsvb01@gmail.com</t>
  </si>
  <si>
    <t>shamah1473@gmail.com</t>
  </si>
  <si>
    <t>CENTRO SOCIAL COMUNITÁRIO FAVELA EM DESENVOLVIMENTO</t>
  </si>
  <si>
    <t>favelaemdesenvolvimento@gmail.com</t>
  </si>
  <si>
    <t>rennanleta@gmail.com</t>
  </si>
  <si>
    <t>ASSOCIAÇÃO COMUNIDADE SOLIDÁRIA DO JARDIM SÃO BERNARDO</t>
  </si>
  <si>
    <t>associacaojardimsaobernardo@gmail.com</t>
  </si>
  <si>
    <t>alexteodoro.educacao@gmail.com</t>
  </si>
  <si>
    <t xml:space="preserve"> DICA FERREIRA</t>
  </si>
  <si>
    <t>institutodicaferreira@gmail.com</t>
  </si>
  <si>
    <t>andropereira2018@gmail.com</t>
  </si>
  <si>
    <t xml:space="preserve"> JUNTOS SOMOS MAIS FORTES</t>
  </si>
  <si>
    <t>jsmf.brasilia@gmail.com</t>
  </si>
  <si>
    <t>anapaulacaldas32@gmail.com</t>
  </si>
  <si>
    <t xml:space="preserve"> JOAQUIM TÁVORA</t>
  </si>
  <si>
    <t>eudesjrbar@gmail.com</t>
  </si>
  <si>
    <t>joaquimtavorainstituto@gmail.com</t>
  </si>
  <si>
    <t>MISSÃO EBEDE MELEQUE</t>
  </si>
  <si>
    <t>ebedemeleque2014@gmail.com</t>
  </si>
  <si>
    <t>SEMPRE CRIANÇA</t>
  </si>
  <si>
    <t>contato@semprecrianca.org</t>
  </si>
  <si>
    <t>gabriela@semprecrianca.org</t>
  </si>
  <si>
    <t xml:space="preserve"> CRIANÇA MAIS FELIZ RS</t>
  </si>
  <si>
    <t>criancamaisfelizrstreinamento@gmail.com</t>
  </si>
  <si>
    <t>alexandre@projetodinamus.com</t>
  </si>
  <si>
    <t>ASSOCIAÇÃO COMUNITARIA TRANSFORMAR</t>
  </si>
  <si>
    <t>admannaprado@gmail.com</t>
  </si>
  <si>
    <t>PROJETO VIDANÇAR</t>
  </si>
  <si>
    <t xml:space="preserve"> DAS ÁGUIAS</t>
  </si>
  <si>
    <t>ASSOCIAÇÃO  DE MULHERES NEGRAS HERDEIRAS DE CANDACES</t>
  </si>
  <si>
    <t>institutocandaces@gmail.com</t>
  </si>
  <si>
    <t>herdeirasdecandaces@gmail.com</t>
  </si>
  <si>
    <t xml:space="preserve"> CPL PARÁ DE MINAS</t>
  </si>
  <si>
    <t>instpadreliberio@gmail.com</t>
  </si>
  <si>
    <t>andrea.attuar@gmail.com</t>
  </si>
  <si>
    <t>CENTRO COMUNITÁRIO MANOEL VITORINO</t>
  </si>
  <si>
    <t>contato@fazendoarte.org.br</t>
  </si>
  <si>
    <t>evandromachadoator@gmail.com</t>
  </si>
  <si>
    <t>NUCLEO DE APOIO A COMUNIDADES</t>
  </si>
  <si>
    <t>nucleodeapoioacomunidades@gmail.com</t>
  </si>
  <si>
    <t>PROGRAMA DE ASSISTÊNCIA AS CRIANÇAS E ADOLESCENTES</t>
  </si>
  <si>
    <t>danielasolnascente@gmail.com</t>
  </si>
  <si>
    <t>CENTRO COMUNITÁRIO DO ROSARINHO</t>
  </si>
  <si>
    <t>rosarinhocecor@gmail.com</t>
  </si>
  <si>
    <t>netymorena@hotmail.com</t>
  </si>
  <si>
    <t>PROJETO EFRAIM</t>
  </si>
  <si>
    <t>projetoefraim@bol.com.br</t>
  </si>
  <si>
    <t>paularangel1987@gmail.com</t>
  </si>
  <si>
    <t>COLETIVO CULTURAL E SOCIAL SOL NASCENTE</t>
  </si>
  <si>
    <t>cdebora.alencar@gmail.com</t>
  </si>
  <si>
    <t>AMIGUINHOS DE JESUS CURIO</t>
  </si>
  <si>
    <t>amiguinhosdejesusjo1512@gmail.com</t>
  </si>
  <si>
    <t>genimeire@hotmail.com</t>
  </si>
  <si>
    <t>ONG  VITÓRIA DE SÁ</t>
  </si>
  <si>
    <t>ongvitoriadesa123@gmail.com</t>
  </si>
  <si>
    <t>shirleycafe00@gmail.com</t>
  </si>
  <si>
    <t>ASSOCIAÇÃO SOCIOCULTURAL DO BOM JARDIM</t>
  </si>
  <si>
    <t>ascbj.ascbj@gmail.com</t>
  </si>
  <si>
    <t>georgemarconi22@gmail.com</t>
  </si>
  <si>
    <t xml:space="preserve"> BATUCANDO A ESPERANÇA</t>
  </si>
  <si>
    <t>comunicacaobatucando@gmail.com</t>
  </si>
  <si>
    <t>lucyene.costa0206@gmail.com</t>
  </si>
  <si>
    <t>ICEF-  DOM</t>
  </si>
  <si>
    <t>edmarufjf@gmail.com</t>
  </si>
  <si>
    <t>CINECLUBE TIA NILDA</t>
  </si>
  <si>
    <t>cineclubetianilda@gmail.com</t>
  </si>
  <si>
    <t>d.diegoglima2@gmail.com</t>
  </si>
  <si>
    <t>CLUBE DO BEM</t>
  </si>
  <si>
    <t>pablolgoncalves@gmail.com</t>
  </si>
  <si>
    <t xml:space="preserve"> MOVER VIDAS</t>
  </si>
  <si>
    <t>instituto@movervidas.org</t>
  </si>
  <si>
    <t>amanda@movervidas.org</t>
  </si>
  <si>
    <t>TERERÊ KIDS PROJECT</t>
  </si>
  <si>
    <t>tererekidsproject@gmail.com</t>
  </si>
  <si>
    <t>ls.tomazg@gmail.com</t>
  </si>
  <si>
    <t>ASSOCIAÇÃO ARTE DE AMAR</t>
  </si>
  <si>
    <t>projetofilhoscps@gmail.com</t>
  </si>
  <si>
    <t>fcs.dani@gmail.com</t>
  </si>
  <si>
    <t>ASSOCIAÇÃO ELAS PODEM RN</t>
  </si>
  <si>
    <t>willa.natal@yahoo.com.br</t>
  </si>
  <si>
    <t>MISSÃO CASA GAIO</t>
  </si>
  <si>
    <t>missaocasagaio@gmail.com</t>
  </si>
  <si>
    <t>ASSOCIAÇÃO COMUNITÁRIA NOSSA SENHORA DO CARMO</t>
  </si>
  <si>
    <t>nossasenhoraassociacao021@gmail.com</t>
  </si>
  <si>
    <t>marcio.felix1000@gmaiil.com</t>
  </si>
  <si>
    <t>PROJETO FLOR DE LÓTUS</t>
  </si>
  <si>
    <t>p.florlotus@gmail.com</t>
  </si>
  <si>
    <t>viviane.almeida.torres@gmail.com</t>
  </si>
  <si>
    <t>ASSOCIAÇÃO ONG DO RISO</t>
  </si>
  <si>
    <t>dorisosince2019@gmail.com</t>
  </si>
  <si>
    <t>socialmayara.barbosa@gmail.com</t>
  </si>
  <si>
    <t>FUNDAÇÃO GETSÊMANI</t>
  </si>
  <si>
    <t>getsemani@ipgnet.com.br</t>
  </si>
  <si>
    <t>elaine.morac@gmail.com</t>
  </si>
  <si>
    <t>MULHERES ARRETADAS</t>
  </si>
  <si>
    <t>mulheresarretadasdafavela@gmail.com</t>
  </si>
  <si>
    <t>leydex@gmail.com</t>
  </si>
  <si>
    <t xml:space="preserve"> RASTRO</t>
  </si>
  <si>
    <t>rastroinstituto@gmail.com</t>
  </si>
  <si>
    <t>gerlidiat@gmail.com</t>
  </si>
  <si>
    <t>ASSOCIAÇÃO CIDADANIA* DESPORTO* LAZER E CULTURA- CELC</t>
  </si>
  <si>
    <t>associacaocelc@gmail.com</t>
  </si>
  <si>
    <t>jurunapretolima@gmail.com</t>
  </si>
  <si>
    <t>VOLUNTÁRIOS FAZENDO CRIANÇA SORRIR</t>
  </si>
  <si>
    <t>ongvoluntario@yahoo.com.br</t>
  </si>
  <si>
    <t>ASSOCIAÇÃO CULTURAL ESPORTIVA SOCIAL AMIGOS - ACESA</t>
  </si>
  <si>
    <t>fabbiorrs@hotmail.com</t>
  </si>
  <si>
    <t xml:space="preserve"> RESGATANDO VIDAS</t>
  </si>
  <si>
    <t>doutoreliseusantos@gmail.com</t>
  </si>
  <si>
    <t>ONG ABRAÇAR FILHAS DE MARIA</t>
  </si>
  <si>
    <t>ongabracarfilhasdemaria@gmail.com</t>
  </si>
  <si>
    <t xml:space="preserve"> DE CIDADANIA AMOR AO PRÓXIMO</t>
  </si>
  <si>
    <t>ofamoraoproximo@gmail.com</t>
  </si>
  <si>
    <t>profissionalcaiolima@gmail.com</t>
  </si>
  <si>
    <t>PROJETO CRESCENDO COM CRISTO</t>
  </si>
  <si>
    <t>crescendocomcristoprojetosocia@gmail.com</t>
  </si>
  <si>
    <t>emillyrastelly26@gmail.com</t>
  </si>
  <si>
    <t xml:space="preserve"> VERDE CRIANDO VIDAS</t>
  </si>
  <si>
    <t>institutoverdeliberdance@gmail.com</t>
  </si>
  <si>
    <t>projetodancateatro@gmail.com</t>
  </si>
  <si>
    <t>GRAM GRUPO DE APOIO À MULHER</t>
  </si>
  <si>
    <t>gramfalesconosco@gmail.com</t>
  </si>
  <si>
    <t>solrevoredo@gmail.com</t>
  </si>
  <si>
    <t>ENSINAR XADREZ PARA AS CRIANÇAS QUE NECESSITAM UM FUTURO MELHOR</t>
  </si>
  <si>
    <t>sedecantinhodaamizade@gmail.com</t>
  </si>
  <si>
    <t>UNIFICAÇÃO DAS QUEBRADAS</t>
  </si>
  <si>
    <t>unificacaodasquebradas@gmail.com</t>
  </si>
  <si>
    <t>tigo.unificacaodasquebradas@gmail.com</t>
  </si>
  <si>
    <t>CENTRAL DE APOIO DOS AMIGOS SOLIDARIOS</t>
  </si>
  <si>
    <t>caasamigosolidario@gmail.com</t>
  </si>
  <si>
    <t>ASSOC. C. RAIO DE CRISTAL</t>
  </si>
  <si>
    <t>raiodecristal@yahoo.com.br</t>
  </si>
  <si>
    <t>mercedeslopes359@gmail.com</t>
  </si>
  <si>
    <t xml:space="preserve"> TIA FLÁVIA</t>
  </si>
  <si>
    <t>institutotiaflavia.social@gmail.com</t>
  </si>
  <si>
    <t>PROJETO OUSADIA</t>
  </si>
  <si>
    <t>projetoousadiaitaquera@gmail.com</t>
  </si>
  <si>
    <t>jackekaique@gmail.com</t>
  </si>
  <si>
    <t>PROJETO DOS AMIGOS DOAR FAZ BEM</t>
  </si>
  <si>
    <t>doarfazbem2@gmail.com</t>
  </si>
  <si>
    <t>leandrosilvle@hotmail.com</t>
  </si>
  <si>
    <t>ASSOCIAÇÃO INTEGRANDO E CONSTRUINDO O CONHECIMENTO-AICC</t>
  </si>
  <si>
    <t>ongaicc@gmail.com</t>
  </si>
  <si>
    <t>DESPERTANDO AMOR HOJE</t>
  </si>
  <si>
    <t>despertandoamorhoje@gmail.com</t>
  </si>
  <si>
    <t>danielladespertandoamor@gmail.com</t>
  </si>
  <si>
    <t>ASSOCIAÇÃO BENEFICENTE EDUCACIONAL TABERNACULO</t>
  </si>
  <si>
    <t>asstabernaculo@gmail.com</t>
  </si>
  <si>
    <t>JAMPA INVISÍVEL</t>
  </si>
  <si>
    <t>paraibainvisivel@gmail.com</t>
  </si>
  <si>
    <t>stefanymmiranda@gmail.com</t>
  </si>
  <si>
    <t>ASSOCIAÇÃO PROJETO MALTRAPILHO</t>
  </si>
  <si>
    <t>maltrapilhocomunicacao@gmail.com</t>
  </si>
  <si>
    <t>jmvalvassori88@gmail.com</t>
  </si>
  <si>
    <t>PROJETO BRIGADA SOLIDÁRIA</t>
  </si>
  <si>
    <t>projetobrigadasolidaria@gmail.com</t>
  </si>
  <si>
    <t>brunomarcondesanastacio@hotmail.com</t>
  </si>
  <si>
    <t>ASSOCIAÇÃO RAÍZES DE GERICINÓ</t>
  </si>
  <si>
    <t>raizesdegericino@gmail.com</t>
  </si>
  <si>
    <t>auriceliamerces@gmail.com</t>
  </si>
  <si>
    <t>ASSOCIAÇÃO BENEFICENTE AÇÃO E AMOR</t>
  </si>
  <si>
    <t>abaa.contato@gmail.com</t>
  </si>
  <si>
    <t>CLUBE DE AJUDA</t>
  </si>
  <si>
    <t>paulosextobahia@gmail.com</t>
  </si>
  <si>
    <t xml:space="preserve"> GERANDO SONHOS</t>
  </si>
  <si>
    <t>institutogerandosonhos@gmail.com</t>
  </si>
  <si>
    <t>luciana.simaozinho@gmail.com</t>
  </si>
  <si>
    <t>JOSÉ JUNIOR TEIXEIRA</t>
  </si>
  <si>
    <t>teixeira2803.jjt@gmail.com</t>
  </si>
  <si>
    <t>CASULO</t>
  </si>
  <si>
    <t>associacaocasulo2020@gmail.com</t>
  </si>
  <si>
    <t>henriquecosta.potiguar@gmail.com</t>
  </si>
  <si>
    <t>BERIMBAU HOSTEL E COZINHA ARTESANAL</t>
  </si>
  <si>
    <t>tuanyadmtransmutar@gmail.com</t>
  </si>
  <si>
    <t>nathypassosykamiabas@gmail.com</t>
  </si>
  <si>
    <t>MAM - MULHERES APOIAM MULHERES</t>
  </si>
  <si>
    <t>yugishiguemori@gmail.com</t>
  </si>
  <si>
    <t>SEMENTE PROFISSIONAL</t>
  </si>
  <si>
    <t>michelmac@hotmail.com</t>
  </si>
  <si>
    <t xml:space="preserve"> DAH ARAUJO</t>
  </si>
  <si>
    <t>contato@institutodaharaujo.com.br</t>
  </si>
  <si>
    <t>dalena.lurdes@live.com</t>
  </si>
  <si>
    <t>jeff@prototipandoaquebrada.org</t>
  </si>
  <si>
    <t>PRETAS RUAS</t>
  </si>
  <si>
    <t>pretasruas@gmail.com</t>
  </si>
  <si>
    <t>pamellaoliveira.adv@gmail.com</t>
  </si>
  <si>
    <t>PROJETO NOVA HISTÓRIA/REDE DE MULHERES GIRASSOL</t>
  </si>
  <si>
    <t>ericaleferreira@gmail.com</t>
  </si>
  <si>
    <t>ASSOCIACAO  SOCIAL DE ASSISTENCIA COMUNITARIA BRANDAO 10 - ISACB10</t>
  </si>
  <si>
    <t>valdiresportes7@gmail.com</t>
  </si>
  <si>
    <t xml:space="preserve"> DE CULTURA E LAZER EBENÉZER</t>
  </si>
  <si>
    <t>RONGO-RJ - ASSOCIAÇÃO REGIÃO DE OFICINA NACIONAL DE GRAFITE ORGANIZADO DO RIO DE JANEIRO</t>
  </si>
  <si>
    <t>museudograffiti@gmail.com</t>
  </si>
  <si>
    <t>rongo.rj@hotmail.com</t>
  </si>
  <si>
    <t>MOTIRÔ</t>
  </si>
  <si>
    <t>projetomotirocontato@gmail.com</t>
  </si>
  <si>
    <t>marcelafernandessiqueira@gmail.com</t>
  </si>
  <si>
    <t>EXTRAORDINÁRIOS</t>
  </si>
  <si>
    <t>ongextraordinarios@gmail.com</t>
  </si>
  <si>
    <t>santosrenato760@gmail.com</t>
  </si>
  <si>
    <t>CUIDAR</t>
  </si>
  <si>
    <t>missionariotulio@gmail.com</t>
  </si>
  <si>
    <t xml:space="preserve"> EMPREGA+</t>
  </si>
  <si>
    <t>empregamaisfortaleza@gmail.com</t>
  </si>
  <si>
    <t xml:space="preserve"> CULTURAL ANÍBAL MACHADO</t>
  </si>
  <si>
    <t>borrachalioteca@gmail.com</t>
  </si>
  <si>
    <t>tuliodamascena@gmail.com</t>
  </si>
  <si>
    <t>ASOCIAÇÃO BENEFICIENTE ARCA DA VITORIA</t>
  </si>
  <si>
    <t>arcadavitoriareis@yahoo.com.br</t>
  </si>
  <si>
    <t xml:space="preserve"> SOCIAL CORRENTE DO AMOR</t>
  </si>
  <si>
    <t>ONG RESGATANDO A INOCENCIA</t>
  </si>
  <si>
    <t>projetoresgatandoainocencia@gmail.com</t>
  </si>
  <si>
    <t>sxandy304@gmail.com</t>
  </si>
  <si>
    <t>ASSOCIAÇÃO FUTURO CAMPEÃO</t>
  </si>
  <si>
    <t>INVESTIDORES DA ESPERANÇA</t>
  </si>
  <si>
    <t>investidoresdaesperanca@gmail.com</t>
  </si>
  <si>
    <t>ASSOCIAÇÃO ESTRELAS DO AMANHÃ</t>
  </si>
  <si>
    <t>estrelasdoamanhaprojeto@gmail.com</t>
  </si>
  <si>
    <t>maicon.justino@outlook.com</t>
  </si>
  <si>
    <t>ANGU DAS ARTES</t>
  </si>
  <si>
    <t>angudasartes@gmail.com</t>
  </si>
  <si>
    <t>BALÉ DA RALE</t>
  </si>
  <si>
    <t>baledarale@gmail.com</t>
  </si>
  <si>
    <t>sarynefernandes@gmail.com</t>
  </si>
  <si>
    <t>DOA??AÇÃO</t>
  </si>
  <si>
    <t>marquesamand@gmail.com</t>
  </si>
  <si>
    <t xml:space="preserve"> DESENVOLVIMENTO ESPERANÇA</t>
  </si>
  <si>
    <t>projetopossa@gmail.com</t>
  </si>
  <si>
    <t>CASA DO CONTO</t>
  </si>
  <si>
    <t>cdcitacare@gmail.com</t>
  </si>
  <si>
    <t>crisherculian@gmail.com</t>
  </si>
  <si>
    <t>QUEIRA O BEM</t>
  </si>
  <si>
    <t>aqueiraobem@gmail.com</t>
  </si>
  <si>
    <t>VELHO CHICO ATIVO</t>
  </si>
  <si>
    <t>institutomarnosertao@outlook.com</t>
  </si>
  <si>
    <t>ygoalmeida54@gmail.com</t>
  </si>
  <si>
    <t>FÓRUM DE JUVENTUDES DO TERRITÓRIO DO BEM</t>
  </si>
  <si>
    <t>fjterritoriodobem@gmail.com</t>
  </si>
  <si>
    <t>rodriguesgmarly@gmail.com</t>
  </si>
  <si>
    <t>ONG POTIARTE EDUCAÇÃO PAE PROJETO ABC HIP HOP KIDS</t>
  </si>
  <si>
    <t>kamalartistapotiguar@yahoo.com</t>
  </si>
  <si>
    <t>CENTRO DE CIDADANIA VIDA NOVA BELFORD ROXO PIAM</t>
  </si>
  <si>
    <t>ccvnbelfordroxopiam@gmail.com</t>
  </si>
  <si>
    <t>silviasantossouzamae@gmail.com</t>
  </si>
  <si>
    <t>CHAMA VIVA MISSÕES URBANAS</t>
  </si>
  <si>
    <t>prrafamendes@gmail.com</t>
  </si>
  <si>
    <t>LEIA E APRENDA</t>
  </si>
  <si>
    <t>joaolino@leiaeaprenda.com.br</t>
  </si>
  <si>
    <t>jlmcpo@terra.com.br</t>
  </si>
  <si>
    <t>ASSOCIAÇÃO AMIGOS DO BAIRRO E DO VOVO</t>
  </si>
  <si>
    <t>pauloe.raposo@gmail.com</t>
  </si>
  <si>
    <t>PROJETO BREJAL</t>
  </si>
  <si>
    <t>ritiralexandre@gmail.com</t>
  </si>
  <si>
    <t>ASSOCIAÇÃO ITAMAR PARA PROMOÇÃO DE ESPORTES E CULTURA NA FAVELA</t>
  </si>
  <si>
    <t>projetoitamarbh@gmail.com</t>
  </si>
  <si>
    <t>laufb29@yahoo.com</t>
  </si>
  <si>
    <t>PROJETO QUERO AJUDAR</t>
  </si>
  <si>
    <t>projetoqueroajudara@gmail.com</t>
  </si>
  <si>
    <t>oliveiracarlosantonio133@gmail.com</t>
  </si>
  <si>
    <t>ONG CENTRO  ZUMBI DOS PALMARES</t>
  </si>
  <si>
    <t>alinemcajc48@gmail.com</t>
  </si>
  <si>
    <t>PRÓ-AÇÃO DE APOIO A EDUCAÇÃO E CIDADANIA</t>
  </si>
  <si>
    <t>pproacao@gmail.com</t>
  </si>
  <si>
    <t>marcelo.martins100721@gmail.com</t>
  </si>
  <si>
    <t>marcustsc@hotmail.com</t>
  </si>
  <si>
    <t>PROJETO FORÇA JOVEM</t>
  </si>
  <si>
    <t>oliveiracarleon@gmail.com</t>
  </si>
  <si>
    <t xml:space="preserve"> QUINTAL TIA JURA</t>
  </si>
  <si>
    <t>hugueney.santos@gmail.com</t>
  </si>
  <si>
    <t>ASSOCIAÇÃO VIVENDO A ARTE</t>
  </si>
  <si>
    <t>psvivendoaarte@gmail.com</t>
  </si>
  <si>
    <t>kgustavosantiago@gmail.com</t>
  </si>
  <si>
    <t>MUCA - MULHERES UNIDAS DO CARATOIRA</t>
  </si>
  <si>
    <t>mulheresunidasdocaratoira@gmail.com</t>
  </si>
  <si>
    <t>winyfabiano@gmail.com</t>
  </si>
  <si>
    <t>PROJETO ESPALHE CESTAS</t>
  </si>
  <si>
    <t>espalhecestas@hotmail.com</t>
  </si>
  <si>
    <t>nathalhacavalcante10@gmail.com</t>
  </si>
  <si>
    <t>PROJETO RESGATE UMA VIDA</t>
  </si>
  <si>
    <t>projetoresgateumavidaa@gmail.com</t>
  </si>
  <si>
    <t>roseli.pinheiro0421@gmail.com</t>
  </si>
  <si>
    <t>PROJETO FOME DE QUÊ?</t>
  </si>
  <si>
    <t>dkmello13@gmail.com</t>
  </si>
  <si>
    <t xml:space="preserve"> PRO MAIS</t>
  </si>
  <si>
    <t>institutopromais@uol.com.br</t>
  </si>
  <si>
    <t>alcides.paes@uol.com.br</t>
  </si>
  <si>
    <t>PROJETO SOCIAL ENTRANDO NA LINHA</t>
  </si>
  <si>
    <t>projetoentrandonalinha@gmail.com</t>
  </si>
  <si>
    <t>juberoliveira47@gmail.com</t>
  </si>
  <si>
    <t>CENTRO ESCOLA MANGUE</t>
  </si>
  <si>
    <t>escolamangue@gmail.com</t>
  </si>
  <si>
    <t>luadeogum55@gmail.com</t>
  </si>
  <si>
    <t>OSCIP JOVEM SERTÃO</t>
  </si>
  <si>
    <t>oscipjovem@gmail.com</t>
  </si>
  <si>
    <t>aluisiogomes.aluisio@gmail.com</t>
  </si>
  <si>
    <t>ASSOCIAÇÃO DE MORADORES DA RUA TRAVASSOS</t>
  </si>
  <si>
    <t>adm@institutonaif.org</t>
  </si>
  <si>
    <t>diretor@institutonaif.org</t>
  </si>
  <si>
    <t>ASSOCIAÇÃO DE MULHERES NEGRAS DO ACRE E SEUS APOIADORES</t>
  </si>
  <si>
    <t>associacaomulheresnegrasac@gmail.com</t>
  </si>
  <si>
    <t>limaroselene170@gmail.com</t>
  </si>
  <si>
    <t>CORRENTE DO BEMFSA</t>
  </si>
  <si>
    <t>correntedobemfsa@gmail.com</t>
  </si>
  <si>
    <t>COLETIVO VIDA NOVA</t>
  </si>
  <si>
    <t>coletivovidanova@gmail.com</t>
  </si>
  <si>
    <t>leopoldo.matiass@gmail.com</t>
  </si>
  <si>
    <t>VOZ NAS COMUNIDADES</t>
  </si>
  <si>
    <t>voznascomunidades@gmail.com</t>
  </si>
  <si>
    <t>davidsoncarvalhocbjr@gmail.com</t>
  </si>
  <si>
    <t>JUDO UNIAO DE GUAIANASES</t>
  </si>
  <si>
    <t>sasoasi68@yaho.com.br</t>
  </si>
  <si>
    <t>ESPAÇO SOCIAL E CULTURAL É TUDO NOSSO</t>
  </si>
  <si>
    <t>angelajuscelino01@gmail.com</t>
  </si>
  <si>
    <t>PERALTA</t>
  </si>
  <si>
    <t>projetoperalta@gmail.com</t>
  </si>
  <si>
    <t>ze.daniloguerra@gmail.com</t>
  </si>
  <si>
    <t xml:space="preserve"> ATITUDE SP</t>
  </si>
  <si>
    <t>contato@atitudesp.ong.br</t>
  </si>
  <si>
    <t>alinepierrobom@hotmail.com</t>
  </si>
  <si>
    <t>MAAC - MOVIMENTO DE ARTICULAÇÃO AMBIENTAL E CULTURAL</t>
  </si>
  <si>
    <t>maac.recife@gmail.com</t>
  </si>
  <si>
    <t>senamaac.07@gmail.com</t>
  </si>
  <si>
    <t>PROJETO TAMO JUNTO</t>
  </si>
  <si>
    <t>lanaabreu.94@gmail.com</t>
  </si>
  <si>
    <t xml:space="preserve"> MESTRE NORDESTINO</t>
  </si>
  <si>
    <t>institutomestrenordestino@gmail.com</t>
  </si>
  <si>
    <t>ESCOLA PÚBLICA PRESENTE</t>
  </si>
  <si>
    <t>escolapublicapresente@gmail.com</t>
  </si>
  <si>
    <t>davischoenardie2002@gmail.com</t>
  </si>
  <si>
    <t>COMPLEXO ENCANTO GRUPO DE APOIO SOCIAL - CEGAS</t>
  </si>
  <si>
    <t>complexoencanto@gmail.com</t>
  </si>
  <si>
    <t>seabrapantoja@gmail.com</t>
  </si>
  <si>
    <t>IMPACTAÇÃO TRANSFORMAÇÃO SOCIAL</t>
  </si>
  <si>
    <t>impactacaosocial@gmail.com</t>
  </si>
  <si>
    <t>gilbertorodrilla@gmail.com</t>
  </si>
  <si>
    <t>CENTRO DOS JOVENS UNIDOS NA MILITANCIA COMUNITARIA DE PAULISTA</t>
  </si>
  <si>
    <t>cejumic2021@gmail.com</t>
  </si>
  <si>
    <t>walleskasocial2021@gmail.com</t>
  </si>
  <si>
    <t>ASSOCIAÇÃO DESPERTAR SABEDORIA NO SOL NASCENTE</t>
  </si>
  <si>
    <t>ASSOCIAÇÃO SÃO VICENTE DE PAULO DO JD VITÓRIA</t>
  </si>
  <si>
    <t>acssaovicentedepaulo@gmail.com</t>
  </si>
  <si>
    <t>franciscanenem5@gmail.com</t>
  </si>
  <si>
    <t>PROJETO VIDA EMANUEL</t>
  </si>
  <si>
    <t>projetovidaemanuel@gmail.com</t>
  </si>
  <si>
    <t>deybsonjunior@gmail.com</t>
  </si>
  <si>
    <t>CAÇADORES</t>
  </si>
  <si>
    <t>andrechatubamma@gmail.com</t>
  </si>
  <si>
    <t>MISSÃO SERTÃO</t>
  </si>
  <si>
    <t>adoniran2007@gmail.com</t>
  </si>
  <si>
    <t>RECICLANDO VIDAS</t>
  </si>
  <si>
    <t>reciclandovidasrodrigosabiah@gmail.com</t>
  </si>
  <si>
    <t>antoniosabiah@gmail.com</t>
  </si>
  <si>
    <t>O2 EDUCATION</t>
  </si>
  <si>
    <t>asjr.professor@hotmail.com</t>
  </si>
  <si>
    <t>ENTREGUE SORRISOS</t>
  </si>
  <si>
    <t>entreguesorrisos@gmail.com</t>
  </si>
  <si>
    <t>msuzaribeiro@hotmail.com</t>
  </si>
  <si>
    <t>BATUCARTE</t>
  </si>
  <si>
    <t>institutobatucarte@gmail.com</t>
  </si>
  <si>
    <t>PROJETO TRANSFORMAÇÃO</t>
  </si>
  <si>
    <t>lucimararibeirocosta@gmail.com</t>
  </si>
  <si>
    <t>ASSOCIAÇÃO DOS AMIGOS E RESIDENTES DO 13 DE MAIO</t>
  </si>
  <si>
    <t>angelalmeida2005@hotmail.com</t>
  </si>
  <si>
    <t>magnofranca518@gmail.com</t>
  </si>
  <si>
    <t xml:space="preserve"> 100% MORRO</t>
  </si>
  <si>
    <t>institutomorro@gmail.com</t>
  </si>
  <si>
    <t>elainepinheiro795@gmail.com</t>
  </si>
  <si>
    <t>EMPÓRIO GERMINE</t>
  </si>
  <si>
    <t>emporiogermine@gmail.com</t>
  </si>
  <si>
    <t>adrianamake@gmail.com</t>
  </si>
  <si>
    <t>PROJETO SOCIAL FAZER O BEM FAZ BEM A VIDA</t>
  </si>
  <si>
    <t>santosleid@gmail.com</t>
  </si>
  <si>
    <t xml:space="preserve"> EGBE DÚDÚ</t>
  </si>
  <si>
    <t>zildaacs@hotmail.com</t>
  </si>
  <si>
    <t>zillzootecnia@gmail.com</t>
  </si>
  <si>
    <t>GRUPO CULTURAL ARTD'RUA</t>
  </si>
  <si>
    <t>lucianoadrcrew@gmail.com</t>
  </si>
  <si>
    <t>FAMÍLIA LANATANPA</t>
  </si>
  <si>
    <t>rcflanatanpa@gmail.com</t>
  </si>
  <si>
    <t>maia.oliveira.juliana@gmail.com</t>
  </si>
  <si>
    <t>SOFTWARE E PROCESSOS LTDA</t>
  </si>
  <si>
    <t>victorlqueiroz@gmail.com</t>
  </si>
  <si>
    <t xml:space="preserve"> MAIS MULHER</t>
  </si>
  <si>
    <t>contato.institutomaismulher@gmail.com</t>
  </si>
  <si>
    <t>souza.dlarissa@gmail.com</t>
  </si>
  <si>
    <t>MANIFESTA MOVEMENT</t>
  </si>
  <si>
    <t>caiofalcons@gmail.com</t>
  </si>
  <si>
    <t xml:space="preserve"> MISTURAÍ</t>
  </si>
  <si>
    <t>misturaipoa@gmail.com</t>
  </si>
  <si>
    <t>tatianalinhares82@gmail.com</t>
  </si>
  <si>
    <t xml:space="preserve"> TCHIBUM</t>
  </si>
  <si>
    <t>daydagnaisser@gmail.com</t>
  </si>
  <si>
    <t>rafaelle.rnc@gmail.com</t>
  </si>
  <si>
    <t>ASSOCIAÇÃO DE MORADORES DO BAIRRO ALVORADA</t>
  </si>
  <si>
    <t>diretoriaamba21@gmail.com</t>
  </si>
  <si>
    <t>flavianevo@gmail.com</t>
  </si>
  <si>
    <t>COLETIVO CARANGUEJO TABAIARES RESISTE</t>
  </si>
  <si>
    <t>caranguejotabaiaresresiste@gmail.com</t>
  </si>
  <si>
    <t>sarahmarquesnascimento727@gmail.com</t>
  </si>
  <si>
    <t>ASSOCIAÇÃO PARCEIROS DA ALEGRIA</t>
  </si>
  <si>
    <t>tamarassolivieri@gmail.com</t>
  </si>
  <si>
    <t>DOA CG</t>
  </si>
  <si>
    <t>doacampogrande@gmail.com</t>
  </si>
  <si>
    <t>ggoularte1@gmail.com</t>
  </si>
  <si>
    <t>PROJETO CABE +1</t>
  </si>
  <si>
    <t>projetocabemaisum@gmail.com</t>
  </si>
  <si>
    <t>alcinesiofilho@gmail.com</t>
  </si>
  <si>
    <t xml:space="preserve"> NOVA CHANCE</t>
  </si>
  <si>
    <t>novachance.aracati@gmail.com</t>
  </si>
  <si>
    <t>rorberti12345odorico@gmail.com</t>
  </si>
  <si>
    <t>ASSOCIAÇÃO PRO CULTURA- MONTE SANTO DE MINAS</t>
  </si>
  <si>
    <t>associacaoproculturamsm@gmail.com</t>
  </si>
  <si>
    <t>jujuduarty@hotmail.com</t>
  </si>
  <si>
    <t>COMISSÃO SOLIDÁRIA VILA DA BARCA</t>
  </si>
  <si>
    <t>comissaosolidariaviladabarca@gmail.com</t>
  </si>
  <si>
    <t>giselemendes7288@gmail.com</t>
  </si>
  <si>
    <t> TRANSFORMAÇÃO</t>
  </si>
  <si>
    <t>ctt.institutotransformacao@gmail.com</t>
  </si>
  <si>
    <t>elidifagundes36@gmail.com</t>
  </si>
  <si>
    <t>BOA SAFRA TEAM</t>
  </si>
  <si>
    <t>bandockdiogo@gmail.com</t>
  </si>
  <si>
    <t>VILA EM PROGRESSO</t>
  </si>
  <si>
    <t>planetloboazul.2015@gmail.com</t>
  </si>
  <si>
    <t>CASA DAS JUVENTUDES / ASSOCIAÇÃO SANTO AGOSTINHO</t>
  </si>
  <si>
    <t>jaquelineoliveirajuv231@gmail.com</t>
  </si>
  <si>
    <t>CHEF ANGELO MAGNO</t>
  </si>
  <si>
    <t>angelomagnopc@gmail.com</t>
  </si>
  <si>
    <t>MUTAMB</t>
  </si>
  <si>
    <t>mutiraoambienta878@gmail.com</t>
  </si>
  <si>
    <t>brendaamkl@gmail.com</t>
  </si>
  <si>
    <t xml:space="preserve"> VIDAS PELO FUTURO</t>
  </si>
  <si>
    <t xml:space="preserve"> ÁGAPE FORTALEZA</t>
  </si>
  <si>
    <t>ps.agapemanaus@gmail.com</t>
  </si>
  <si>
    <t>eldanascimento60@gmail.com</t>
  </si>
  <si>
    <t>CAISCA - CENTRO DE ARTES E INTEGRAÇÃO SOCIAL PARA CRIANÇAS E ADOLESCENTE</t>
  </si>
  <si>
    <t>ong.caisca.rsa.pb@gmail.com</t>
  </si>
  <si>
    <t>alexandrefelizardo1975@gmail.com</t>
  </si>
  <si>
    <t>TRAZEMOS SORRISOS</t>
  </si>
  <si>
    <t>trazemossorrisos@gmail.com</t>
  </si>
  <si>
    <t>prisciladiasvitor@gmail.com</t>
  </si>
  <si>
    <t>GERAÇÃO GK</t>
  </si>
  <si>
    <t>naiararochatnt@gmail.com</t>
  </si>
  <si>
    <t>VILA CARIOCA FERTIL</t>
  </si>
  <si>
    <t>coletivoverdigal@gmail.com</t>
  </si>
  <si>
    <t xml:space="preserve"> NACIONAL LAR DOS SONHOS</t>
  </si>
  <si>
    <t>inslardossonhos@gmail.com</t>
  </si>
  <si>
    <t>oliveirailaci@gmail.com</t>
  </si>
  <si>
    <t>GRUPO COMUNITÁRIO SEMENTE DA ESPERANÇA</t>
  </si>
  <si>
    <t>gcse1992@gmail.com</t>
  </si>
  <si>
    <t>narlize30@gmail.com</t>
  </si>
  <si>
    <t>PROJETO SITIO CIPÓ</t>
  </si>
  <si>
    <t>projetositiocipo22@gmail.com</t>
  </si>
  <si>
    <t>sara.sayonara@gmail.com</t>
  </si>
  <si>
    <t>PROJETO ASSISTENCIAL SEMENTES DE ESPERANÇA</t>
  </si>
  <si>
    <t>ongpases@gmail.com</t>
  </si>
  <si>
    <t>ivonegazola.brasil@gmail.com</t>
  </si>
  <si>
    <t xml:space="preserve"> DE ARTE E EDUCAÇÃO DA BAHIA</t>
  </si>
  <si>
    <t>selmara.melina@teatroescola.org</t>
  </si>
  <si>
    <t>selmaramelina@gmail.com</t>
  </si>
  <si>
    <t>ASSOCIAÇÃO DE LAZER ESPORTE EDUCAÇÃO E CULTURA - LEEC</t>
  </si>
  <si>
    <t>organizacaoleec@gmail.com</t>
  </si>
  <si>
    <t>dannyburu@gmail.com</t>
  </si>
  <si>
    <t>ASSOCIAÇÃO PROJETO PRÓ BEM</t>
  </si>
  <si>
    <t>probembotujuru@gmail.com</t>
  </si>
  <si>
    <t>marquesdudu35@icloud.com</t>
  </si>
  <si>
    <t>QUERUBINS CRIANÇAS VIVAS E SEM DROGAS</t>
  </si>
  <si>
    <t>jeovajiredeliveryadm@gmail.com</t>
  </si>
  <si>
    <t xml:space="preserve"> SÓ ALEGRIA</t>
  </si>
  <si>
    <t>gilsonsoares353@gmail.com</t>
  </si>
  <si>
    <t>ASSOCIAÇÃO SOCIEDADE BENEFICENTE O BOM SAMARITANO DE CACHOEIRINHA</t>
  </si>
  <si>
    <t>alex.silva281179@gmail.com</t>
  </si>
  <si>
    <t>alexministry@live.com</t>
  </si>
  <si>
    <t>PROJETO SOCIAL</t>
  </si>
  <si>
    <t>aoproximoprojetoamor@gmail.com</t>
  </si>
  <si>
    <t>pregoeiroflavio@gmail.com</t>
  </si>
  <si>
    <t>REINTEGRA RECIFE</t>
  </si>
  <si>
    <t>reintegra.rec@gmail.com</t>
  </si>
  <si>
    <t>do.vale@yahoo.com.br</t>
  </si>
  <si>
    <t>COLAÍ MOVIMENTO DE CULTURA</t>
  </si>
  <si>
    <t>ongcolai@gmail.com</t>
  </si>
  <si>
    <t>fcondecabral@gmail.com</t>
  </si>
  <si>
    <t>CENTRO DE EDUCAÇÃO INTEGRADA CRAQUES DA VIDA</t>
  </si>
  <si>
    <t>ong@craquesdavida.org</t>
  </si>
  <si>
    <t>franklinvila2@gmail.com</t>
  </si>
  <si>
    <t xml:space="preserve"> CASA DE BARRO - CULTURA ARTE EDUCAÇÃO</t>
  </si>
  <si>
    <t>ORGANIZACAO SOCIAL IDENTIDADE PERIFERICA</t>
  </si>
  <si>
    <t>wellsmatos@gmail.com</t>
  </si>
  <si>
    <t>RETURN PROJECTS</t>
  </si>
  <si>
    <t>contato@returnprojects.com</t>
  </si>
  <si>
    <t>matheus@returnprojects.com</t>
  </si>
  <si>
    <t>OSC CRESCE COMUNIDADE</t>
  </si>
  <si>
    <t>osccrescecomunidade@gmail.com</t>
  </si>
  <si>
    <t>claudiacrescecomunidade@gmail.com</t>
  </si>
  <si>
    <t>CRIEATIVIDADE GESTÃO ESPORTIVA EMPRESARIAL LTDA</t>
  </si>
  <si>
    <t>crieatividade.ge@gmail.com</t>
  </si>
  <si>
    <t>natanaelcrieatividade@gmail.com</t>
  </si>
  <si>
    <t xml:space="preserve"> SOCIAL DE ASSISTÊNCIA COMUNITÁRIA MÃO AMIGA</t>
  </si>
  <si>
    <t>projetoinstitutoma.2020@gmail.com</t>
  </si>
  <si>
    <t>elvesc682@gmail.com</t>
  </si>
  <si>
    <t>UMA GOTA DE ESPERANÇA</t>
  </si>
  <si>
    <t>umagtesperanca@gmail.com</t>
  </si>
  <si>
    <t>thaismonik25@gmail.com</t>
  </si>
  <si>
    <t>CASA DA REVOLUÇÃO/PROJETO ESMERALDA</t>
  </si>
  <si>
    <t>alexdecampos@hotmail.com</t>
  </si>
  <si>
    <t>alexdecampos17@gmail.com</t>
  </si>
  <si>
    <t>PROJETO EVOLUIR SEMEANDO O AMANHÃ</t>
  </si>
  <si>
    <t>projetoevoluirsemeandoamanha@gmail.com</t>
  </si>
  <si>
    <t>dossantosmirian286@gmail.com</t>
  </si>
  <si>
    <t>REDE ABLAN</t>
  </si>
  <si>
    <t>redeablan@gmail.com</t>
  </si>
  <si>
    <t>meher.dangt@gmail.com</t>
  </si>
  <si>
    <t>ASSOCIAÇÃO AMIGOS DE GEGÊ  FOS MORADORES DA GAMBOA DE BAIXO</t>
  </si>
  <si>
    <t>associacaogamboadebaixo@gmail.com</t>
  </si>
  <si>
    <t>anacaminha17@gmail.com</t>
  </si>
  <si>
    <t>ONG DEUS É FIEL</t>
  </si>
  <si>
    <t>ongdeusefieloficial@gmail.com</t>
  </si>
  <si>
    <t>fernandaangela1978@gmail.com</t>
  </si>
  <si>
    <t>ASSOIAÇÃO MÃES QUE INFORMAM</t>
  </si>
  <si>
    <t>aassociacaomaesqueinformam@gmail.com</t>
  </si>
  <si>
    <t xml:space="preserve"> FAMÍLIA CHEGADOS</t>
  </si>
  <si>
    <t>ASSOCIAÇÃO CULTURAL E SOCIAL VILA NOVA</t>
  </si>
  <si>
    <t>acsvnadm@gmail.com</t>
  </si>
  <si>
    <t>lucasubuntu2020@gmail.com</t>
  </si>
  <si>
    <t xml:space="preserve"> QUADRO DE ESPERANÇA</t>
  </si>
  <si>
    <t>institutoquadroesperanca@gmail.com</t>
  </si>
  <si>
    <t>valvsm20@gmail.com</t>
  </si>
  <si>
    <t>ASSOCIAÇÃO SHOTO KARATÊ DO KAI</t>
  </si>
  <si>
    <t>associacaoaskkpe@gmail.com</t>
  </si>
  <si>
    <t xml:space="preserve"> F.S.D.</t>
  </si>
  <si>
    <t>wando38designer@gmail.com</t>
  </si>
  <si>
    <t>OXENTE MAINHA SOCIAL</t>
  </si>
  <si>
    <t>oxentemainha2017@gmail.com</t>
  </si>
  <si>
    <t>emanuela.betancourt28@gmail.com</t>
  </si>
  <si>
    <t>CENTRO COMUNITÁRIO MÁRIO ANDRADE</t>
  </si>
  <si>
    <t>centrocomunitariomarioandrade@gmail.com</t>
  </si>
  <si>
    <t>joelmalima.andrade13@gmail.com</t>
  </si>
  <si>
    <t xml:space="preserve"> JUDO REGASTANDO VIDAS</t>
  </si>
  <si>
    <t>alberestaylor@gmail.com</t>
  </si>
  <si>
    <t>PROJETO SEMENTES DA FÉ</t>
  </si>
  <si>
    <t>edila.regina890@gmail.com</t>
  </si>
  <si>
    <t>ASSOCIAÇÃO DOS REUMÁTICOS DE UBERLÂNDIA E REGIÃO - ARUR</t>
  </si>
  <si>
    <t>arur.uberlandia@gmail.com</t>
  </si>
  <si>
    <t>AMIGOS DA SOLIDARIEDADE RJ</t>
  </si>
  <si>
    <t>amigosdasolidariedaderio@gmail.com</t>
  </si>
  <si>
    <t>marilda.ngomes87@gmail.com</t>
  </si>
  <si>
    <t xml:space="preserve"> MACUNAÍMA DE CULTURA - ESCOLA DE CIDADANIA</t>
  </si>
  <si>
    <t>PEREIRINHA FUTEBOL CLUBE</t>
  </si>
  <si>
    <t>pereirinhafc@hotmail.com</t>
  </si>
  <si>
    <t>elias1802@gmail.com</t>
  </si>
  <si>
    <t>PATRONATO JUVENIL GARCENSE</t>
  </si>
  <si>
    <t>patronatojuvenil@gmail.com</t>
  </si>
  <si>
    <t>elianamoretti688@gmail.com</t>
  </si>
  <si>
    <t>ASSOCIAÇÃO COMUNITÁRIA ÁGAPE BRAZILIAN DOLL</t>
  </si>
  <si>
    <t>projetoagape98@gmail.com</t>
  </si>
  <si>
    <t>CCM - CENTRO CULTURAL MAMULENGO</t>
  </si>
  <si>
    <t>centromamulengo@gmail.com</t>
  </si>
  <si>
    <t>natan2.0@hotmail.com</t>
  </si>
  <si>
    <t xml:space="preserve"> GERAÇÃO TATAMI</t>
  </si>
  <si>
    <t>geracaotatami@gmail.com</t>
  </si>
  <si>
    <t>galileupaolo@gmail.com</t>
  </si>
  <si>
    <t>O BOM SAMARITANO CONTAGEM</t>
  </si>
  <si>
    <t>obomsamaritanocontagem@gmail.com</t>
  </si>
  <si>
    <t>anapaula.almeidarodrigues@gmail.com</t>
  </si>
  <si>
    <t>UNIÃO DE PAIS E AMIGOS DA EDUCAÇÃO</t>
  </si>
  <si>
    <t>institutoeducacao2022@gmail.com</t>
  </si>
  <si>
    <t>luanadinizassistenteformacao@gmail.com</t>
  </si>
  <si>
    <t>PROJETO PPL PEDREIRA PRADO LOPES</t>
  </si>
  <si>
    <t>ASSOCIAÇÃO ESPORTIVA CULTURAL E EDUCACIONAL  IGOR CHATUBINHA</t>
  </si>
  <si>
    <t>institutoigorchatubinha@gmail.com</t>
  </si>
  <si>
    <t>igorfernandes586@yahoo.com.br</t>
  </si>
  <si>
    <t>CENTRO DE RECUPERAÇÃO E EDUCAÇÃO NUTRICIONAL</t>
  </si>
  <si>
    <t>diretoria_adm@cren.org.br</t>
  </si>
  <si>
    <t>caiodervage27@gmail.com</t>
  </si>
  <si>
    <t>projetosocialefraim.ba@gmail.com</t>
  </si>
  <si>
    <t>leidejaneborges1@hotmail.com</t>
  </si>
  <si>
    <t>CANTINHO DA BELINHA</t>
  </si>
  <si>
    <t>cec.dabelinha@gmail.com</t>
  </si>
  <si>
    <t>brunodalvitec@gmail.com</t>
  </si>
  <si>
    <t>ASSOCIACAO MARIAS DE ARTE, CULTURA, EDUCACAO, ESPORTE E CIDADANIA</t>
  </si>
  <si>
    <t>mariasinstituto@gmail.com</t>
  </si>
  <si>
    <t>dudalemosproducao@gmail.com</t>
  </si>
  <si>
    <t>MULHERES EM SUPERAÇÃO NA AMAZÔNIA</t>
  </si>
  <si>
    <t>imes.amazonia@gmail.com</t>
  </si>
  <si>
    <t>anereis2021@gmail.com</t>
  </si>
  <si>
    <t>ASSOCIAÇÃO DE MORADORES DE MONTE CRISTO</t>
  </si>
  <si>
    <t>silvanneidemartins@gmail.com</t>
  </si>
  <si>
    <t>ASSOCIAÇAO PROJETO GADITAS</t>
  </si>
  <si>
    <t>dudugaditas@gmail.com</t>
  </si>
  <si>
    <t>ANJOS DE ASAS NO MUNDO AZUL</t>
  </si>
  <si>
    <t>mundoaanjosdeasas@gmail.com</t>
  </si>
  <si>
    <t>claudiarubiah443@gmail.com</t>
  </si>
  <si>
    <t xml:space="preserve"> AMAR</t>
  </si>
  <si>
    <t>instituto.yaaa@gmail.com</t>
  </si>
  <si>
    <t>allana.tamires17@gmail.com</t>
  </si>
  <si>
    <t>PROJETO DESAFIANDO GIGANTES</t>
  </si>
  <si>
    <t>associacaodesafiandogigantes@gmail.com</t>
  </si>
  <si>
    <t>rs4218206@gmail.com</t>
  </si>
  <si>
    <t xml:space="preserve">ZHALUART </t>
  </si>
  <si>
    <t>zhaluartinstituto@gmail.com</t>
  </si>
  <si>
    <t>josiasadolfojr@hotmail.com</t>
  </si>
  <si>
    <t>UNIÃO MARCIAL MAUÁ</t>
  </si>
  <si>
    <t>projetosocialuniaomarcialmaua@gmail.com</t>
  </si>
  <si>
    <t>alisson.fp.4.13@hotmail.com</t>
  </si>
  <si>
    <t>TOP CLUBE DE XADREZ</t>
  </si>
  <si>
    <t>topclubedexadrez@gmail.com</t>
  </si>
  <si>
    <t>feinho.oliveira@gmail.com</t>
  </si>
  <si>
    <t>ASSOCIAÇÃO CULTURAL E EDUCACIONAL VIOLETA ELIZ</t>
  </si>
  <si>
    <t>eliz_santos@outlook.com</t>
  </si>
  <si>
    <t xml:space="preserve"> DONA MARIA</t>
  </si>
  <si>
    <t>institutodonamaria@gmail.com</t>
  </si>
  <si>
    <t>ESPORTE CLUBE ARARA NEGRA</t>
  </si>
  <si>
    <t>j1jardimms@gmail.com</t>
  </si>
  <si>
    <t>PROJETO UNIÃO PARQUE</t>
  </si>
  <si>
    <t>uniaoparquep@gmail.com</t>
  </si>
  <si>
    <t>andersonsantosagp@gmail.com</t>
  </si>
  <si>
    <t xml:space="preserve"> CRESCENDO EM DEUS</t>
  </si>
  <si>
    <t>netoperegrino2@gmail.com</t>
  </si>
  <si>
    <t>M.A.L.O.C.A.( MOVIMENTO ARTICULADO LIBERTÁRIO ORGANIZADO EM PROL DA CIDADANIA E DO APOIO SOCIAL)</t>
  </si>
  <si>
    <t>malocadacidadania@gmail.com</t>
  </si>
  <si>
    <t xml:space="preserve"> SILVEIRA MARQUES</t>
  </si>
  <si>
    <t>institutosilveiramarques@gmail.com</t>
  </si>
  <si>
    <t>andresasilveira4@gmail.com</t>
  </si>
  <si>
    <t>ASSOCIAÇÃO NÚCLEO DE EDUCAÇÃO COMUNITÁRIA DO COROADINHO</t>
  </si>
  <si>
    <t>larissacolins23@gmail.com</t>
  </si>
  <si>
    <t>DEFICIENTE EFICIENTE</t>
  </si>
  <si>
    <t>deficiente07eficiente@gmail.com</t>
  </si>
  <si>
    <t>COMUNIDADE PRO MORADIA</t>
  </si>
  <si>
    <t>profa.auciliamaria@gmail.com</t>
  </si>
  <si>
    <t>anaoliveiramodestobernardo@gmail.com</t>
  </si>
  <si>
    <t>COLETIVO MULHERES NEGRAS DA PERIFERIA</t>
  </si>
  <si>
    <t>coletivomulheresnegras10@gmail.com</t>
  </si>
  <si>
    <t>meirivaniasc@gmail.com</t>
  </si>
  <si>
    <t>BRINCAR E APRENDER</t>
  </si>
  <si>
    <t>ongbrincareaprender1@gmail.com</t>
  </si>
  <si>
    <t>santiagomachadorafael@gmail.com</t>
  </si>
  <si>
    <t>INSTUTUTO CULTURAL E SOCIAL COLORADO</t>
  </si>
  <si>
    <t>institutocolorado@gmail.com</t>
  </si>
  <si>
    <t>ASSOCIAÇÃO COMUNITÁRIA DE CONSTRUÇÃO NOVO AMANHECER</t>
  </si>
  <si>
    <t>associacaocomunitaria78@gmail.com</t>
  </si>
  <si>
    <t>tamarafernandes45@gmail.com</t>
  </si>
  <si>
    <t xml:space="preserve"> DE DESENVOLVIMENTO ARTÍSTICO E CULTURAL DO CEARÁ</t>
  </si>
  <si>
    <t>institutoindace@gmail.com</t>
  </si>
  <si>
    <t>gleysonprodutor23@gmail.com</t>
  </si>
  <si>
    <t xml:space="preserve"> JOSEFINA BAKHITA</t>
  </si>
  <si>
    <t>muncaomarisa@gmail.com</t>
  </si>
  <si>
    <t>ASSOCIAÇÃO MAIS HUMANOS</t>
  </si>
  <si>
    <t>associacaomaishumanos@gmail.com</t>
  </si>
  <si>
    <t>eliassuncaosilva@gmail.com</t>
  </si>
  <si>
    <t>NÃO POSSUI - SONIA MARIA</t>
  </si>
  <si>
    <t>bcmlm123@gmail.com</t>
  </si>
  <si>
    <t>soniaam959@gmail.com</t>
  </si>
  <si>
    <t xml:space="preserve"> SOCIAL NOVO OLHAR</t>
  </si>
  <si>
    <t>institutonovoolhar2019@gmail.com</t>
  </si>
  <si>
    <t>raimundaelaine21@gmail.com</t>
  </si>
  <si>
    <t>AGENTES DE TRANSFORMAÇÃO ASSOCIAÇÃO CIVIL</t>
  </si>
  <si>
    <t>agentesdetransformacaoong@gmail.com</t>
  </si>
  <si>
    <t>douglasfernandodeassissilva@gmail.com</t>
  </si>
  <si>
    <t>ASSOCIAÇÃO MÃO NO ARADO</t>
  </si>
  <si>
    <t>associacaomaonoarado@gmail.com</t>
  </si>
  <si>
    <t>coordenacaomaonoardo@gmail.com</t>
  </si>
  <si>
    <t>ASSOCIACAO REDE ACESSIBILIDADE</t>
  </si>
  <si>
    <t>anasouza6745@gmail.com</t>
  </si>
  <si>
    <t>ASSOCIACAO MANA - ACOES QUE TRANSFORMAM VIDAS</t>
  </si>
  <si>
    <t>institutotmj@gmail.com</t>
  </si>
  <si>
    <t>rafaelararipesilva@gmail.com</t>
  </si>
  <si>
    <t xml:space="preserve"> PORTAL DAS CORES</t>
  </si>
  <si>
    <t>coresportaldascores@gmail.com</t>
  </si>
  <si>
    <t>ana.caups@gmail.com</t>
  </si>
  <si>
    <t xml:space="preserve"> DE EDUCACAO CULTURA E MINISTERIO EDUCARE</t>
  </si>
  <si>
    <t>PROJETO FÁBRICA</t>
  </si>
  <si>
    <t>fabricadolazer@gmail.com</t>
  </si>
  <si>
    <t>kleyton.turmaboa@gmail.com</t>
  </si>
  <si>
    <t>ACTUM BRAZIL</t>
  </si>
  <si>
    <t>actum.diretoria@gmail.com</t>
  </si>
  <si>
    <t>jessicabrendacp@gmail.com</t>
  </si>
  <si>
    <t>DELÍ­CIAS CASEIRAS</t>
  </si>
  <si>
    <t>cesarfilho.silva@gmail.com</t>
  </si>
  <si>
    <t>PROJETO AMOR AO PRÓXIMO</t>
  </si>
  <si>
    <t>luzirenibritoluzireni@gmail.com</t>
  </si>
  <si>
    <t>luziadojp@gmail.com</t>
  </si>
  <si>
    <t>PROJETO SOLIDÁRIOS</t>
  </si>
  <si>
    <t>projetosolidarios.adm@gmail.com</t>
  </si>
  <si>
    <t>margaridaoliveira14@hotmail.com</t>
  </si>
  <si>
    <t>LOBO &amp; DUREY ARQUITETURA LTDA.</t>
  </si>
  <si>
    <t>contato@donaobra.arq.br</t>
  </si>
  <si>
    <t>dbdurey@gmail.com</t>
  </si>
  <si>
    <t xml:space="preserve"> GERANDO FALCÕES - UNIDADE POÁ</t>
  </si>
  <si>
    <t xml:space="preserve"> GERANDO FALCÕES - UNIDADE SUZANO</t>
  </si>
  <si>
    <t xml:space="preserve"> GERANDO FALCÕES - UNIDADE FERRAZ</t>
  </si>
  <si>
    <t>thiago.nascimento@gerandofalcoes.com</t>
  </si>
  <si>
    <t>ASSOCIAÇÃO CULTURAL CASA DO BECO</t>
  </si>
  <si>
    <t>ABFB ALIANÇA BAYEUX FRANCO BRASILEIRA</t>
  </si>
  <si>
    <t>diretoriaaliancabayeux@gmail.com</t>
  </si>
  <si>
    <t>MOVIMENTO DE ENSINO E ACONSELHAMENTO À JUVENTUDE - ME AJUDE</t>
  </si>
  <si>
    <t>jaquelineponto@gmail.com</t>
  </si>
  <si>
    <t>renatinhaslima@gmail.com</t>
  </si>
  <si>
    <t xml:space="preserve"> ENTRE ASPAS DE AÇÃO COMUNITARIA</t>
  </si>
  <si>
    <t>luartepimentel@hotmail.com</t>
  </si>
  <si>
    <t>ABC DO GLÓRIA</t>
  </si>
  <si>
    <t>isabella@abcdogloria.org</t>
  </si>
  <si>
    <t>BRASIL EM AÇÃO</t>
  </si>
  <si>
    <t>brasilemacaosocial1@gmail.com</t>
  </si>
  <si>
    <t xml:space="preserve"> HÁ ESPERANÇA</t>
  </si>
  <si>
    <t>contatohaesperanca@gmail.com</t>
  </si>
  <si>
    <t>tayana_leoncio@yahoo.com.br</t>
  </si>
  <si>
    <t xml:space="preserve"> DANDO VOZ</t>
  </si>
  <si>
    <t>institutodandovoz@gmail.com</t>
  </si>
  <si>
    <t>kellylibras22@gmail.com</t>
  </si>
  <si>
    <t xml:space="preserve"> DE DESENVOLVIMENTO EDUCACIONAL E INTEGRAÇÃO AMBIENTAL E SOCIAL</t>
  </si>
  <si>
    <t xml:space="preserve"> SOCIAL SEMEANDO</t>
  </si>
  <si>
    <t>CENTRO INTEGRADO DE ACOES COMUNITARIAS PELA VIDA</t>
  </si>
  <si>
    <t>ongcicovi@gmail.com</t>
  </si>
  <si>
    <t>ASSOCIACAO DE ARTE E ARTESANATO VALE DA ESPERANCA ''AAAVE''</t>
  </si>
  <si>
    <t>cdaccaarapo@gmail.com</t>
  </si>
  <si>
    <t>zemarmaalmeida@gmail.com</t>
  </si>
  <si>
    <t xml:space="preserve"> ENTREASPAS DE ACAO COMUNITARIA</t>
  </si>
  <si>
    <t xml:space="preserve"> SEMA SEMEANDO AMOR, TRANSFORMANDO VIDAS</t>
  </si>
  <si>
    <t>institutosemahortolandia@gmail.com</t>
  </si>
  <si>
    <t>ASSOCIACAO ACOES COM AMOR</t>
  </si>
  <si>
    <t>acoescomamor@gmail.com</t>
  </si>
  <si>
    <t>acsarebecaufs@hotmail.com</t>
  </si>
  <si>
    <t>ASSOCIACAO DO CLUBE DE MAES CRIANCA ESPERANCA DE SANTO INACIO</t>
  </si>
  <si>
    <t>cmcesi@bol.com.br</t>
  </si>
  <si>
    <t xml:space="preserve"> DA CRIANCA ALBERTO DE MOURA</t>
  </si>
  <si>
    <t>atendimento@institutoalbertodemoura.org.br</t>
  </si>
  <si>
    <t>thiagosantana.social@gmail.com</t>
  </si>
  <si>
    <t xml:space="preserve"> SANTA LUZIA</t>
  </si>
  <si>
    <t>institutosantaluzia99@gmail.com</t>
  </si>
  <si>
    <t>castrolanna456@gmail.com</t>
  </si>
  <si>
    <t xml:space="preserve"> SOCIOEMOCIONAL IRMÃS COACH</t>
  </si>
  <si>
    <t>irmascoach@gmail.com</t>
  </si>
  <si>
    <t>LIA GERANDO VIDAS</t>
  </si>
  <si>
    <t>vaneide.coan@gmail.com</t>
  </si>
  <si>
    <t>ASSOCIACAO CEARENSE DE INCLUSAO E ASSISTENCIA SOCIAL</t>
  </si>
  <si>
    <t>projetoomartelodedeus@hotmail.com</t>
  </si>
  <si>
    <t>drmarciomelo@outlook.com</t>
  </si>
  <si>
    <t>LOMAR LAR AONDE MORA O AMOR</t>
  </si>
  <si>
    <t>deboraribeirovalenca@gmail.com</t>
  </si>
  <si>
    <t>JOVEM VIDA PLENA</t>
  </si>
  <si>
    <t>jovemvidaplena@gmail.com</t>
  </si>
  <si>
    <t>moabmarinho9017@gmail.com</t>
  </si>
  <si>
    <t>PEQUENO SAMURAI</t>
  </si>
  <si>
    <t>bushidojj33@gmail.com</t>
  </si>
  <si>
    <t>MULHERE-SE</t>
  </si>
  <si>
    <t>daiane.rose@hotmail.com</t>
  </si>
  <si>
    <t>ASSOCIACAO COMUNITARIA SANTOS DO JARDIM DAS OLIVEIRAS</t>
  </si>
  <si>
    <t>santosdooliveirasa@gmail.com</t>
  </si>
  <si>
    <t>isabelsantosfutebol@gmail.com</t>
  </si>
  <si>
    <t>ONG UM OLHAR</t>
  </si>
  <si>
    <t>isistenorio2018@gmail.com</t>
  </si>
  <si>
    <t>OBRA SOCIAL FILHOS DA RAZAO E JUSTICA</t>
  </si>
  <si>
    <t>obrasocialrazaoejustica@gmail.com</t>
  </si>
  <si>
    <t>faustomadeira70@gmail.com</t>
  </si>
  <si>
    <t>ABRACE COM AMOR</t>
  </si>
  <si>
    <t>fisiolarissamagalhaes@gmail.com</t>
  </si>
  <si>
    <t>VEMSER</t>
  </si>
  <si>
    <t>thaynarakarine28@gmail.com</t>
  </si>
  <si>
    <t>CENTRO UNIAO BENEF DOS M DO BAIRRO DA GRANJA PORTUGAL</t>
  </si>
  <si>
    <t>uniao.moradoresdagranjaportugal@gmail.com</t>
  </si>
  <si>
    <t>reginamaiasilva10@gmail.com</t>
  </si>
  <si>
    <t xml:space="preserve"> CONVERGIR</t>
  </si>
  <si>
    <t>institutoconvergirbahia@gmail.com</t>
  </si>
  <si>
    <t>rodrigoalvesagenda@gmail.com</t>
  </si>
  <si>
    <t>ASSOCIACAO DE DESENVOLVIMENTO MENINO CRESCER</t>
  </si>
  <si>
    <t>projetomeninocrescer@gmail.com</t>
  </si>
  <si>
    <t>tarquinosilva@yahoo.com.br</t>
  </si>
  <si>
    <t>ASSOCIACAO DE MAES E AMIGOS DOS AUTISTAS DE UNAI - AMAA</t>
  </si>
  <si>
    <t>maesatipicasunai@gmail.com</t>
  </si>
  <si>
    <t>luceliags22@hotmail.com</t>
  </si>
  <si>
    <t>ASSOCIACAO COMUNITARIA QUILOMBOLA DE VEREDA VIANA</t>
  </si>
  <si>
    <t>associacaoquilombola10@yahoo.com</t>
  </si>
  <si>
    <t>lindomarpereira764@gmail.com</t>
  </si>
  <si>
    <t>SERVINDO AMOR</t>
  </si>
  <si>
    <t>contato@servindoamor.org</t>
  </si>
  <si>
    <t>julianafreiregomes@gmail.com</t>
  </si>
  <si>
    <t>CORREDESSA</t>
  </si>
  <si>
    <t>torresandre1972@gmail.com</t>
  </si>
  <si>
    <t>ASSOCIAÇÃO DE DESENVOLVIMENTO SUSTENTÁVEL TIO HENRIQUE E CIA</t>
  </si>
  <si>
    <t>henrik.dos.santos@gmail.com</t>
  </si>
  <si>
    <t>CRISTIAN MORETTI BAZAN 32185760831</t>
  </si>
  <si>
    <t>cristian@oheducacao.com.br</t>
  </si>
  <si>
    <t>cristianbazan00@gmail.com</t>
  </si>
  <si>
    <t>ASSOCIACAO PROJETO EMUNAH</t>
  </si>
  <si>
    <t>projetoemunahrj@gmail.com</t>
  </si>
  <si>
    <t>silvanadutra4f@gmail.com</t>
  </si>
  <si>
    <t>ASSOCIACAO  EFEITO URBANO</t>
  </si>
  <si>
    <t>contato@institutoefeitourbano.org.br</t>
  </si>
  <si>
    <t>ellencosta@institutoefeitourbano.org.br</t>
  </si>
  <si>
    <t>ASSOCIACAO ACOLHER MACAPA</t>
  </si>
  <si>
    <t>ibiemmacapa@gmail.com</t>
  </si>
  <si>
    <t>pr.luizneto@gmail.com</t>
  </si>
  <si>
    <t>ASSOCIACAO DE MORADORES FRANCISCO NUNES</t>
  </si>
  <si>
    <t>assoc.amofran@gmail.com</t>
  </si>
  <si>
    <t>MOVIMENTO DE MULHERES DE APOIO HUMANITARIO</t>
  </si>
  <si>
    <t>movimentommah@gmail.com</t>
  </si>
  <si>
    <t xml:space="preserve"> AMIGOS DA PERIFERIA</t>
  </si>
  <si>
    <t>egatolopes@gmail.com</t>
  </si>
  <si>
    <t xml:space="preserve"> DE EDUCACAO E CULTURA DE EQUADOR - IECE</t>
  </si>
  <si>
    <t>instituto.equador@gmail.com</t>
  </si>
  <si>
    <t>jbequador@hotmail.com</t>
  </si>
  <si>
    <t>ASSOCIACAO BENEFICENTE UNIAO DO PARANA</t>
  </si>
  <si>
    <t>abuparana@gmail.com</t>
  </si>
  <si>
    <t>elianedeandrade87@gmail.com</t>
  </si>
  <si>
    <t>TEATRO ESCOLA SERTÃO VIVO</t>
  </si>
  <si>
    <t>teatroescolasertaovivo@gmail.com</t>
  </si>
  <si>
    <t>luamorkay1@gmail.com</t>
  </si>
  <si>
    <t>VEM SER FUTSAL</t>
  </si>
  <si>
    <t>nettonojosa@gmail.com</t>
  </si>
  <si>
    <t>ASSOCIACAO ARTE SEM FRONTEIRA</t>
  </si>
  <si>
    <t>projetoasf@yahoo.com.br</t>
  </si>
  <si>
    <t>estrelabarros27@gmail.com</t>
  </si>
  <si>
    <t>CASA DA COMUNIDADE UNIDOS POR CRISTO</t>
  </si>
  <si>
    <t>pauloxbj@gmail.com</t>
  </si>
  <si>
    <t>CENTRO POTIGUARES DE ESPORTE, CULTURA E CIDADANIA</t>
  </si>
  <si>
    <t>comunicacao@potiguaresrace.com.br</t>
  </si>
  <si>
    <t>guimaraes.mno@gmail.com</t>
  </si>
  <si>
    <t>PROJETO SERVENTINA</t>
  </si>
  <si>
    <t>projetoserventina@gmail.com</t>
  </si>
  <si>
    <t>tininhadido@gmail.com</t>
  </si>
  <si>
    <t>ESTA EM ANDAMENTO</t>
  </si>
  <si>
    <t>michelpucaribeiro@hotmail.com</t>
  </si>
  <si>
    <t>BIBLIOTECA COMUNITÁRIA ROEDORES DE LIVROS</t>
  </si>
  <si>
    <t>roedoresdelivros.adm@gmail.com</t>
  </si>
  <si>
    <t>afonsoadriano@gmail.com</t>
  </si>
  <si>
    <t>FUNDACAO PROJETO DIFERENTE</t>
  </si>
  <si>
    <t>fprojetodiferente@gmail.com</t>
  </si>
  <si>
    <t>darlenymoreiraa@gmail.com</t>
  </si>
  <si>
    <t>MULHERES EM MOVIMENTO</t>
  </si>
  <si>
    <t>veronica.francisco15@gmail.com</t>
  </si>
  <si>
    <t>veronica.francisco15@gmail.com.br</t>
  </si>
  <si>
    <t>PROJETO SOLIDÁRIO MARIA LUIZA</t>
  </si>
  <si>
    <t>rosicleidesilva123@gmail.com</t>
  </si>
  <si>
    <t xml:space="preserve"> LAR - LEVANTE, ANDE E RECOMECE</t>
  </si>
  <si>
    <t>contato@institutolar.org.br</t>
  </si>
  <si>
    <t>anapaulariosengenharia@gmail.com</t>
  </si>
  <si>
    <t>ASSOCIACAO MENINAS E MULHERES DO MORRO</t>
  </si>
  <si>
    <t>contato@meninasemulheresdomorro.org.br</t>
  </si>
  <si>
    <t>kely@meninasemulheresdomorro.org.br</t>
  </si>
  <si>
    <t>ASSOCIAÇÃO DO CALVÁRIO</t>
  </si>
  <si>
    <t>talita.pacheco@yahoo.com</t>
  </si>
  <si>
    <t>KILOMBECO</t>
  </si>
  <si>
    <t>dolabibliotecacomunitariakilom@gmail.com</t>
  </si>
  <si>
    <t>calricardo202@gmail.com</t>
  </si>
  <si>
    <t xml:space="preserve"> DE DEFESA DA CIDADANIA COMUNITARIA - IDECC</t>
  </si>
  <si>
    <t>ideccinstituto@gmail.com</t>
  </si>
  <si>
    <t>elisangelammm@gmail.com</t>
  </si>
  <si>
    <t>ASSOCIACAO EDUCAR, TRANSFORMAR E INCLUIR</t>
  </si>
  <si>
    <t>eti.associacao2020@gmail.com</t>
  </si>
  <si>
    <t>renatasara1580@gmail.com</t>
  </si>
  <si>
    <t>CARLOS AUGUSTO GOUVEA FERREIRA 01129215237</t>
  </si>
  <si>
    <t>igarapeconsultoria@outlook.com</t>
  </si>
  <si>
    <t>caosgouvea@gmail.com</t>
  </si>
  <si>
    <t>PROJETO FILADELFIA</t>
  </si>
  <si>
    <t>juliocassinipr@gmail.com</t>
  </si>
  <si>
    <t xml:space="preserve"> DASPE</t>
  </si>
  <si>
    <t>aline_damazo@hotmail.com</t>
  </si>
  <si>
    <t>LNSTITUTO CONEXÃO DORCAS</t>
  </si>
  <si>
    <t>dorcas.social@gmail.com</t>
  </si>
  <si>
    <t>dorcasfreitas6@gmail.com</t>
  </si>
  <si>
    <t>ASSOCIACAO PESTALOZZI DE PARINTINS</t>
  </si>
  <si>
    <t>associacaopestalozziparintins@gmail.com</t>
  </si>
  <si>
    <t>dalva_maria_ribeiro@hotmail.com</t>
  </si>
  <si>
    <t>PROJETO SONHART</t>
  </si>
  <si>
    <t>sonhart17@gmail.com</t>
  </si>
  <si>
    <t xml:space="preserve"> EDUCACIONAL DE BOMBEIROS CIVIL DO MARANHAO</t>
  </si>
  <si>
    <t>esc.com.militarluispires@hotmail.com</t>
  </si>
  <si>
    <t>esc.educmilitarluispires@gmail.com</t>
  </si>
  <si>
    <t>PROHUMANO - DELEGACIA DE DIREITOS HUMANOS</t>
  </si>
  <si>
    <t>prohumanoddh@gmail.com</t>
  </si>
  <si>
    <t>jotaprohumano@gmail.com</t>
  </si>
  <si>
    <t xml:space="preserve"> EU FACO O BEM</t>
  </si>
  <si>
    <t>eufacoobeminstituto@gmail.com</t>
  </si>
  <si>
    <t>costalindaruiva@gmail.com</t>
  </si>
  <si>
    <t>ASSOCIACAO TOCANDO EM FRENTE</t>
  </si>
  <si>
    <t>tocandoemfrente1305@gmail.com</t>
  </si>
  <si>
    <t>arleteartes1010@gmail.com</t>
  </si>
  <si>
    <t xml:space="preserve"> ESPERANCA DO BRASIL</t>
  </si>
  <si>
    <t>esperancabrasil2021@gmail.com</t>
  </si>
  <si>
    <t xml:space="preserve"> GILGAL</t>
  </si>
  <si>
    <t>projetosocial.gilgal@hotmail.com</t>
  </si>
  <si>
    <t>palatino.rj@hotmail.com</t>
  </si>
  <si>
    <t>TV PERIFERIA EM FOCO</t>
  </si>
  <si>
    <t>frazaow8@gmail.com</t>
  </si>
  <si>
    <t>ASSOCIACAO CULTURAL E ESPORTIVA AQUIDABA - ACESA</t>
  </si>
  <si>
    <t>acesa.aquidaba@gmail.com</t>
  </si>
  <si>
    <t>emaildmarcos@gmail.com</t>
  </si>
  <si>
    <t xml:space="preserve"> COMUNITARIO VOVO MACIEL</t>
  </si>
  <si>
    <t>institutocomunitariovovomaciel@gmail.com</t>
  </si>
  <si>
    <t>reyllatrin@gmail.com</t>
  </si>
  <si>
    <t>ASSOCIACAO SONS DO BEM</t>
  </si>
  <si>
    <t>sonsdobem@hotmail.com</t>
  </si>
  <si>
    <t>carladossantos008@yahoo.com.br</t>
  </si>
  <si>
    <t>CENTRO EDUCACIONAL COMUNITARIO ADONAY CRUZEIRO DE SANTA BARBARA</t>
  </si>
  <si>
    <t>ceces2017@gmail.com</t>
  </si>
  <si>
    <t>damyfreitas@gmail.com</t>
  </si>
  <si>
    <t>ASSOCIACAO DOS ESPORTES RADICAIS DE AQUIRAZ</t>
  </si>
  <si>
    <t>aeraosc@hotmail.com</t>
  </si>
  <si>
    <t>celiorochalima1636@gmail.com</t>
  </si>
  <si>
    <t>JB AGUIA  DE APOIO SOCIAL</t>
  </si>
  <si>
    <t>atendimentojbaguia@gmail.com</t>
  </si>
  <si>
    <t>jonatanblackgerandofalcoes@gmail.com</t>
  </si>
  <si>
    <t>SEMEART</t>
  </si>
  <si>
    <t>semeart.2022@gmail.com</t>
  </si>
  <si>
    <t>sneri232617@gmail.com</t>
  </si>
  <si>
    <t>ellenfaye8@gmail.com</t>
  </si>
  <si>
    <t>ASSOCIACAO RECREATIVA CULTURAL E EDUCACIONAL MALCOLM X</t>
  </si>
  <si>
    <t>malcolmxssa@gmail.com</t>
  </si>
  <si>
    <t>pricilapassos@hotmail.com</t>
  </si>
  <si>
    <t>JIU-JITSU PARA TODOS</t>
  </si>
  <si>
    <t>leobpepe@gmail.com</t>
  </si>
  <si>
    <t>PROJETO IDE COM AMOR</t>
  </si>
  <si>
    <t>reny.lt43@hotmail.com</t>
  </si>
  <si>
    <t>CLUBE DONAS</t>
  </si>
  <si>
    <t>selmacrcoutinho@gmail.com</t>
  </si>
  <si>
    <t>AGENCIA FACILITADORA PARA INVESTIMENTOS CULTURAIS</t>
  </si>
  <si>
    <t>africaagencia@yahoo.com.br</t>
  </si>
  <si>
    <t>jeferio@hotmail.com</t>
  </si>
  <si>
    <t>ASSOCIACAO ACAO SOCIAL JESUS DE NAZARE</t>
  </si>
  <si>
    <t>associacao@acaosocialjesusdenazare.org.br</t>
  </si>
  <si>
    <t>dije@acaosocialjesusdenazare.org.br</t>
  </si>
  <si>
    <t>NUCLEO SOCIO-CULTURAL SEMENTE DO AMANHA</t>
  </si>
  <si>
    <t>doacoes@sementedofuturo.org.br</t>
  </si>
  <si>
    <t>projetos@sementedofuturo.org.br</t>
  </si>
  <si>
    <t>PROJETO AVELINO</t>
  </si>
  <si>
    <t>edcarlostal@gmail.com</t>
  </si>
  <si>
    <t>ASSOCIACAO PROJETO NOVA ESPERANCA TAPANA</t>
  </si>
  <si>
    <t>projetonovaesperancatapana@gmail.com</t>
  </si>
  <si>
    <t>renilson.freire@hotmail.com</t>
  </si>
  <si>
    <t>COLETIVO FILHOS NOS BRAÇOS DO PAI</t>
  </si>
  <si>
    <t>joseanemartins032@gmail.com</t>
  </si>
  <si>
    <t>BRINQUEDOTECA DA TIA ANA</t>
  </si>
  <si>
    <t>anapedagogia2018.1@gmail.com</t>
  </si>
  <si>
    <t>CORPORACAO ALIANCA</t>
  </si>
  <si>
    <t>corporacaoalianca.ong@gmail.com</t>
  </si>
  <si>
    <t>jgiseles32@gmail.com</t>
  </si>
  <si>
    <t>ASSOCIACAO SERGIPANA DE TRANSGENEROS</t>
  </si>
  <si>
    <t>astraglbt@gmail.com</t>
  </si>
  <si>
    <t>pqpjow1994@gmail.com</t>
  </si>
  <si>
    <t xml:space="preserve"> REDENCAO</t>
  </si>
  <si>
    <t>miltaodoeterno1977@gmail.com</t>
  </si>
  <si>
    <t>SEMENTES DA FE</t>
  </si>
  <si>
    <t>cristianomendesgab@gmail.com</t>
  </si>
  <si>
    <t xml:space="preserve"> SOCIOCULTURAL ECOVIDA</t>
  </si>
  <si>
    <t>coletivoecovida@gmail.com</t>
  </si>
  <si>
    <t>amandabtheo@gmail.com</t>
  </si>
  <si>
    <t>ASSOCIACAO BENEFICENTE DE ITAPORE</t>
  </si>
  <si>
    <t>abita@uol.com.br</t>
  </si>
  <si>
    <t>elietecm@hotmail.com</t>
  </si>
  <si>
    <t>ORGANIZACAO SOCIAL VOKUIM</t>
  </si>
  <si>
    <t>ongvokuim@yahoo.com.br</t>
  </si>
  <si>
    <t>albadutra@yahoo.com.br</t>
  </si>
  <si>
    <t>ASSOCIACAO CENTRO DE EDUCACAO INFANTIL JOAO PAULO II</t>
  </si>
  <si>
    <t>crechejp2@yahoo.com.br</t>
  </si>
  <si>
    <t>magalibonfim@yahoo.com.br</t>
  </si>
  <si>
    <t>ASSOCIACAO EDUCATIVA E CULTURAL ARTE GERACAO</t>
  </si>
  <si>
    <t>associacaoartegeracao@gmail.com</t>
  </si>
  <si>
    <t>silviaasbs@gmail.com</t>
  </si>
  <si>
    <t>GRUPO RESGATE ONG</t>
  </si>
  <si>
    <t>onggruporesgate@gmail.com</t>
  </si>
  <si>
    <t>andersoncqc22@gmail.com</t>
  </si>
  <si>
    <t xml:space="preserve"> MANCALA</t>
  </si>
  <si>
    <t>institutomancala@gmail.com</t>
  </si>
  <si>
    <t>rosanivmatoso@gmail.com</t>
  </si>
  <si>
    <t>GREMIO ESTUDANTIL ELITE ECODOM</t>
  </si>
  <si>
    <t>guilhermeluzoficial@gmail.com</t>
  </si>
  <si>
    <t>ASSOCIACAO COMUNITARIA CASA DA UNIDADE</t>
  </si>
  <si>
    <t>contato@aaccs.org.br</t>
  </si>
  <si>
    <t>chicoramosbc@gmail.com</t>
  </si>
  <si>
    <t>FENIX - CENTRO CULTURAL DE EDUCACAO E DESENVOLVIMENTO DAS COMUNIDADES</t>
  </si>
  <si>
    <t>diretoria@fenixcentrocultural.org.br</t>
  </si>
  <si>
    <t>carlos.caphe@gmail.com</t>
  </si>
  <si>
    <t>PROJETO MILAGRES</t>
  </si>
  <si>
    <t>sn118403@gmail.com</t>
  </si>
  <si>
    <t>ASSOCIACAO CLUBINHO AMIGOS E AMIGAS</t>
  </si>
  <si>
    <t>tiamarli51000@gmail.com</t>
  </si>
  <si>
    <t>ASSOCIACAO DE ESPORTE, ARTE E EDUCACAO DO BAIRRO NOVO HORIZONTE</t>
  </si>
  <si>
    <t>projetonovohorizonteoficial@gmail.com</t>
  </si>
  <si>
    <t>diegopiratakimura@gmail.com</t>
  </si>
  <si>
    <t>ORGANIZACAO DA SOCIEDADE CIVIL JUNTOS AO LAR DE SAO FRANCISCO DE ASSIS EM SAO PAULO</t>
  </si>
  <si>
    <t>lasfalar@gmail.com</t>
  </si>
  <si>
    <t>MENINOS DA BOLA</t>
  </si>
  <si>
    <t>michellecavalcante0503@gmail.com</t>
  </si>
  <si>
    <t>ASSOCIACAO RENASCER CONSTRUINDO O FUTURO - ARCF</t>
  </si>
  <si>
    <t>associacaorenascerconstruidoof@gmail.com</t>
  </si>
  <si>
    <t>elinaldacastro@gmail.com</t>
  </si>
  <si>
    <t>ACAO SOCIAL ARQUIDIOCESANA DE PALMAS</t>
  </si>
  <si>
    <t>acaosocial.asap.1999@gmail.com</t>
  </si>
  <si>
    <t>amilsom18@gmail.com</t>
  </si>
  <si>
    <t>ASSOCIACAO DAS FAMILIAS DE ANJOS DO ESTADO DE ALAGOAS</t>
  </si>
  <si>
    <t>familia.de.anjos.al@gmail.com</t>
  </si>
  <si>
    <t>alessandra.hora.santos@gmail.com</t>
  </si>
  <si>
    <t xml:space="preserve"> FORMANDO VENCEDORES</t>
  </si>
  <si>
    <t>acaosocialiefa@gmail.com</t>
  </si>
  <si>
    <t>ASSOCIACAO  TRANSFORMAR</t>
  </si>
  <si>
    <t>institutotransformar@institutotransformar.org.br</t>
  </si>
  <si>
    <t>fabricio.o.pacheco@gmail.com</t>
  </si>
  <si>
    <t>ASSOCIACAO SOLIDARIA DE DESENVOLVIMENTO HUMANO - ASDH</t>
  </si>
  <si>
    <t>asdhparnaiba@gmail.com</t>
  </si>
  <si>
    <t>as.belzinha@gmail.com</t>
  </si>
  <si>
    <t>FALCÕES DO MORRO POAENSE</t>
  </si>
  <si>
    <t>vaniacardoso1620@gmail.com</t>
  </si>
  <si>
    <t xml:space="preserve"> CANGAÇO FIGHT</t>
  </si>
  <si>
    <t>cangaceirotairan@gmail.com</t>
  </si>
  <si>
    <t>cangaceirotairan@gamail.com</t>
  </si>
  <si>
    <t>AMIGO SOLIDARIO</t>
  </si>
  <si>
    <t>sergiocosta273344@gmail.com</t>
  </si>
  <si>
    <t>LAR BATISTA DE CRIANCAS</t>
  </si>
  <si>
    <t>aclimacao@larbatista.com.br</t>
  </si>
  <si>
    <t>schunemann49@gmail.com</t>
  </si>
  <si>
    <t xml:space="preserve"> DE DESENVOLVIMENTO SUSTENTAVEL CONEXAO</t>
  </si>
  <si>
    <t>contatoinstitutoconexao@gmail.com</t>
  </si>
  <si>
    <t>pc.landim.miranda@gmail.com</t>
  </si>
  <si>
    <t>ASSOCIACAO DAS OBRAS PAVONIANAS DE ASSISTENCIA</t>
  </si>
  <si>
    <t>aopagama@yahoo.com.br</t>
  </si>
  <si>
    <t>isis.assistentesocial@gmail.com</t>
  </si>
  <si>
    <t>ASSOCIACAO SERGIPANA DE DESENVOLVIMENTO COMUNITARIO E RESGATE DA CIDADANIA - ASDECRAC</t>
  </si>
  <si>
    <t>asdecrac.asdecrac@gmail.com</t>
  </si>
  <si>
    <t>dum.josealves@gmail.com</t>
  </si>
  <si>
    <t xml:space="preserve"> AGAPE CHAPADA</t>
  </si>
  <si>
    <t>projetoagapechapada@gmail.com</t>
  </si>
  <si>
    <t>victorc.lima@gmail.com</t>
  </si>
  <si>
    <t>CENTRO COMUNITARIO DA VILA PALMEIRA</t>
  </si>
  <si>
    <t>centrocomunitariovp@gmail.com</t>
  </si>
  <si>
    <t>kelmakerline@gmail.com</t>
  </si>
  <si>
    <t xml:space="preserve"> JUVENTUDE CRIATIVA</t>
  </si>
  <si>
    <t>andersoncoutinhobr@gmail.com</t>
  </si>
  <si>
    <t>ASSOCIACAO DAS PESSOAS COM DEFICIENCIA BOM VIVER</t>
  </si>
  <si>
    <t>abvassociacao700@gmail.com</t>
  </si>
  <si>
    <t>mdefatimao@yahoo.com.br</t>
  </si>
  <si>
    <t>PROJETO NOVA VIDA</t>
  </si>
  <si>
    <t>projetoigrejinhaipnv@gmail.com</t>
  </si>
  <si>
    <t>socialvitoriaalves@gmail.com</t>
  </si>
  <si>
    <t>CYGANU' S MOTO CLUBE  EDUCACIONAL E PROFISSIONALIZANTE</t>
  </si>
  <si>
    <t>acecinstituto@gmail.com</t>
  </si>
  <si>
    <t>claudialferreira0103@gmail.com</t>
  </si>
  <si>
    <t>ASSOCIACAO EDUCACIONAL E ESPORTIVA ALEM DAS 4 LINHAS</t>
  </si>
  <si>
    <t>alemdas4linhas01@gmail.com</t>
  </si>
  <si>
    <t>flavio5luiz@hotmail.com</t>
  </si>
  <si>
    <t>ASSOCIACAO DOS MORADORES E AMIGOS DO BAIRRO ITINGA</t>
  </si>
  <si>
    <t>amabisocial@gmail.com</t>
  </si>
  <si>
    <t>t.krausse@gmail.com</t>
  </si>
  <si>
    <t xml:space="preserve"> METOCHI</t>
  </si>
  <si>
    <t>institutometochi@gmail.com</t>
  </si>
  <si>
    <t>anizia.goncalves60@gmail.com</t>
  </si>
  <si>
    <t>GRUPO COMUNITARIO PAZ E AMOR</t>
  </si>
  <si>
    <t>pazeamorgrupocomunitario@gmail.com</t>
  </si>
  <si>
    <t>kinhode1@hotmail.com</t>
  </si>
  <si>
    <t>VIDAS PRECIOSAS</t>
  </si>
  <si>
    <t>c.a.oliveira15@outlook.com</t>
  </si>
  <si>
    <t>ca404074@gmail.com</t>
  </si>
  <si>
    <t>ASS DOS MORAD DOS B FRUTILANDIA I E II E FULO DO MATO</t>
  </si>
  <si>
    <t>ambffm15@gmail.com</t>
  </si>
  <si>
    <t>queziaalbano@hotmail.com</t>
  </si>
  <si>
    <t>GRUPO ESPIRITA SEARA DA CARIDADE</t>
  </si>
  <si>
    <t>gesc.igarassu@outlook.com</t>
  </si>
  <si>
    <t>raquelgusmao@hotmail.com</t>
  </si>
  <si>
    <t>ASSOCIACAO COMUNITARIA DOS MORADORES E AMIGOS DO TRAPICHE DA BARRA</t>
  </si>
  <si>
    <t>asscomat@outlook.com</t>
  </si>
  <si>
    <t>mnwmartins@gmail.com</t>
  </si>
  <si>
    <t xml:space="preserve"> VIVER A VIDA</t>
  </si>
  <si>
    <t>dasmariaaparecida417@gmail.com</t>
  </si>
  <si>
    <t>dasmariaaparecidada417@gmail.com</t>
  </si>
  <si>
    <t xml:space="preserve"> TIBAGI</t>
  </si>
  <si>
    <t>projetos@institutotibagi.org.br</t>
  </si>
  <si>
    <t>ASSOCIACAO VIDIGAL CULTURAL</t>
  </si>
  <si>
    <t>projetovidigalcapoeira@gmail.com</t>
  </si>
  <si>
    <t>messiasnf@gmail.com</t>
  </si>
  <si>
    <t xml:space="preserve"> ANDORINHAS BALTAZAR</t>
  </si>
  <si>
    <t>andorinhasbaltazar@gmail.com</t>
  </si>
  <si>
    <t>eglenascimento1728@gmail.com</t>
  </si>
  <si>
    <t>ASSOCIACAO INICIATIVA CULTURAL</t>
  </si>
  <si>
    <t>contato@passosdacrianca.org.br</t>
  </si>
  <si>
    <t>julyana.crianca@gmail.com</t>
  </si>
  <si>
    <t>ASSOCIACAO FORCA ESPERANCA</t>
  </si>
  <si>
    <t>babolsantos37@gmail.com</t>
  </si>
  <si>
    <t xml:space="preserve"> HEROIS E PRINCESAS DA ALEGRIA</t>
  </si>
  <si>
    <t>institutoheroiseprincesas@gmail.com</t>
  </si>
  <si>
    <t>AMIGOS SOLIDÁRIOS DE PARNAÍBA</t>
  </si>
  <si>
    <t>amigossolidariosphb@gmail.com</t>
  </si>
  <si>
    <t>anaangelicaalencar1486@gmail.com</t>
  </si>
  <si>
    <t>PROJETO ACOLHER DE PARNAÍBA</t>
  </si>
  <si>
    <t>projetoacolherparnaiba@gmail.com</t>
  </si>
  <si>
    <t xml:space="preserve"> RIPAXOTE DE CULTURA</t>
  </si>
  <si>
    <t>presidencia@institutoripaxote.org.br</t>
  </si>
  <si>
    <t>ttonydaniel@hotmail.com</t>
  </si>
  <si>
    <t>ÁFRICA BASQUETE</t>
  </si>
  <si>
    <t>wanderdiniz@hotmail.com</t>
  </si>
  <si>
    <t xml:space="preserve"> ALMAS AZUIS</t>
  </si>
  <si>
    <t>almasazuispessoascdeficiencia@gmail.com</t>
  </si>
  <si>
    <t>CENTRO SOCIAL ACOLHER</t>
  </si>
  <si>
    <t>centrosocialacolher@gmail.com</t>
  </si>
  <si>
    <t xml:space="preserve"> ANALICE MULHERES DE MAOS DADAS</t>
  </si>
  <si>
    <t>projetodemaosdadasalvador@gmail.com</t>
  </si>
  <si>
    <t>tatianaconceicao307@gmail.com</t>
  </si>
  <si>
    <t xml:space="preserve"> SOCIAL DE EDUCAÇÃO DA SAÚDE E ORIENTAÇÃO FAMILIAR</t>
  </si>
  <si>
    <t>isaberviverba@gmail.com</t>
  </si>
  <si>
    <t>iarafarias2012@hotmail.com</t>
  </si>
  <si>
    <t>ASSOCIACAO DOS PRODUTORES E AGRICULTORES DE SAO BOA VENTURA</t>
  </si>
  <si>
    <t>mariaelizianefelix17@gmail.com</t>
  </si>
  <si>
    <t>ASSOCIACAO PERY FERIA</t>
  </si>
  <si>
    <t>associacaoperyferia@hotmail.com</t>
  </si>
  <si>
    <t>flavinhaflavinhafla2019@gmail.com</t>
  </si>
  <si>
    <t xml:space="preserve"> O CANTO DO PATATIVA</t>
  </si>
  <si>
    <t>icpassareceara@gmail.com</t>
  </si>
  <si>
    <t>kellyrodrigues1571@gmail.com</t>
  </si>
  <si>
    <t>ASSOCIACAO CLUBE DE MAES DO LAR PEROLAS DE CRISTO</t>
  </si>
  <si>
    <t>coordenacaogeral@perolasdecristo.org</t>
  </si>
  <si>
    <t xml:space="preserve"> EPURANIOS</t>
  </si>
  <si>
    <t>faleepuranios@gmail.com</t>
  </si>
  <si>
    <t>paulajreis1@gmail.com</t>
  </si>
  <si>
    <t>CASA ASSISTENCIAL PAI JOAQUIM DE ANGOLA</t>
  </si>
  <si>
    <t>capaja2010@hotmail.com</t>
  </si>
  <si>
    <t>paiclaudio50@gmail.com</t>
  </si>
  <si>
    <t>COCOMOD CONSELHO COMUNITARIO OITO DE DEZEMBRO</t>
  </si>
  <si>
    <t>fatimafreire8795@gmail.com</t>
  </si>
  <si>
    <t>ASSOCIACAO PECEM EU TE AMO</t>
  </si>
  <si>
    <t>pecemteamo@gmail.com</t>
  </si>
  <si>
    <t>uednamesquita@gmail.com</t>
  </si>
  <si>
    <t>ASSOCIACAO PROJETO IRMAO SOL IRMA LUA</t>
  </si>
  <si>
    <t>projetoirmaosolirmaolua@yahoo.com.br</t>
  </si>
  <si>
    <t>AMIRES-ASSOCIACAO MISSAO RESPLANDECER</t>
  </si>
  <si>
    <t>amiresmissao@gmail.com</t>
  </si>
  <si>
    <t>cleide.jane@yahoo.com.br</t>
  </si>
  <si>
    <t>CLUBE DE MAES MARIA DE FATIMA CALDAS</t>
  </si>
  <si>
    <t>vovoanalia1@gmail.com</t>
  </si>
  <si>
    <t>vvovoanalia1@gmail.com</t>
  </si>
  <si>
    <t xml:space="preserve"> NEOQAV</t>
  </si>
  <si>
    <t>institutoneoqav@gmail.com</t>
  </si>
  <si>
    <t>advogadateles@gmail.com</t>
  </si>
  <si>
    <t>ASSOCIACAO DO  ULLY</t>
  </si>
  <si>
    <t>elietepeixinhodourado@yahoo.com.br</t>
  </si>
  <si>
    <t>ASSOCIACAO COMUNITARIA DOS MORADORES DO PARQUE NAZARE</t>
  </si>
  <si>
    <t>moradoresascopan@gmail.com</t>
  </si>
  <si>
    <t>augustosilva47@hotmail.com</t>
  </si>
  <si>
    <t>CENTRO COMUNITARIO UNIDOS PELO SOCIAL</t>
  </si>
  <si>
    <t>ccups.cosmedefarias@gmail.com</t>
  </si>
  <si>
    <t>tomcargas34@gmail.com</t>
  </si>
  <si>
    <t>CONSELHO COMUNITARIO DE ACOES SOCIAIS DO CONJUNTO VILA VELHA II</t>
  </si>
  <si>
    <t>marttinsvirginia@gmail.com</t>
  </si>
  <si>
    <t xml:space="preserve"> DE ARTES E DANCAS O SENHOR E CONTIGO</t>
  </si>
  <si>
    <t>conceiballet@gmail.com</t>
  </si>
  <si>
    <t>luizasantos839@gmail.com</t>
  </si>
  <si>
    <t xml:space="preserve"> MUNDIAL SAO LAZARO DE APOIO A CRIANCA E ADOLESCENTE</t>
  </si>
  <si>
    <t>institutomundialsaolazaro@gmail.com</t>
  </si>
  <si>
    <t>raquelmirian10@gmail.com</t>
  </si>
  <si>
    <t xml:space="preserve"> + VIDA</t>
  </si>
  <si>
    <t>instituto2k@gmail.com</t>
  </si>
  <si>
    <t>vitor.nascimento.santos@hotmail.com</t>
  </si>
  <si>
    <t>CENTRO EDUCACIONAL/ CULTURAL E SOCIAL DO IBURA</t>
  </si>
  <si>
    <t>centroculturaldoibura@gmail.com</t>
  </si>
  <si>
    <t>NUCLEO SOCIAL E PROFISSIONALIZANTE EL-SHADAY (N.S.P.E.S.)</t>
  </si>
  <si>
    <t>ivanhorasilva@hotmail.com</t>
  </si>
  <si>
    <t>EU DIGO NAO AS DROGAS</t>
  </si>
  <si>
    <t>lucianocarlos966@gmail.com</t>
  </si>
  <si>
    <t>COMUNIDADEATIVADOARCO</t>
  </si>
  <si>
    <t>coletivofenix@yahoo.com</t>
  </si>
  <si>
    <t>cassiacatizinha@hotmail.com</t>
  </si>
  <si>
    <t>AMARALIMPA</t>
  </si>
  <si>
    <t>ferreiradepaula1961@gmail.com</t>
  </si>
  <si>
    <t xml:space="preserve"> ANA RIBEIRO DO SUBURBIO FERROVIARIO</t>
  </si>
  <si>
    <t>institutoinar.bahia@gmail.com</t>
  </si>
  <si>
    <t>anamribeiro39@yahoo.com.br</t>
  </si>
  <si>
    <t>PROJETO SOCIAL INDIO GLADIADOR PALMEIRAS-BA</t>
  </si>
  <si>
    <t>ednaldosousa.palmeiras@gmail.com</t>
  </si>
  <si>
    <t>ednadosousa.palmeiras@gmail.com</t>
  </si>
  <si>
    <t>CENTRO DE ACAO COMUNITARIA DO CEARA - CACC</t>
  </si>
  <si>
    <t>caccbrasil@gmail.com</t>
  </si>
  <si>
    <t>filhog262@gmail.com</t>
  </si>
  <si>
    <t>ABRAÇO PERIFÉRICO</t>
  </si>
  <si>
    <t>abracoperiferico@gmail.com</t>
  </si>
  <si>
    <t>bcabral.hc@gmail.com</t>
  </si>
  <si>
    <t>REMES</t>
  </si>
  <si>
    <t>remes.economiacriativa@gmail.com</t>
  </si>
  <si>
    <t>geni_sobreira@hotmail.com</t>
  </si>
  <si>
    <t>ASSOCIACAO AMOR PELA COMUNIDADE DO COQUE</t>
  </si>
  <si>
    <t>a.p.c.c@hotmail.com</t>
  </si>
  <si>
    <t>lulaferreiralvlf@gmail.com</t>
  </si>
  <si>
    <t>ONG CASA DA VOVÓ  CHICA</t>
  </si>
  <si>
    <t>ong.casadavovochica@gmail.com</t>
  </si>
  <si>
    <t>fr5946748@gmail.com</t>
  </si>
  <si>
    <t>ASSOCIACAO ''PROJETO RELFE''</t>
  </si>
  <si>
    <t>contato@institutorelfe.org.br</t>
  </si>
  <si>
    <t>bgrassano@hotmail.com</t>
  </si>
  <si>
    <t>COMPARTILHANDO LEITURA</t>
  </si>
  <si>
    <t>projetocompartilhandoleituraudi@yahoo.com</t>
  </si>
  <si>
    <t>zeaugust17@gmail.com</t>
  </si>
  <si>
    <t>PLOJETO SOCIAL SIM EU SOU DE SANTA</t>
  </si>
  <si>
    <t>alessandracastrogomes1981@gmail.com</t>
  </si>
  <si>
    <t>alessandragomes@gmail.com</t>
  </si>
  <si>
    <t>ASSOCIACAO RESILIENCIA</t>
  </si>
  <si>
    <t>cristiane.resiliencia@gmail.com</t>
  </si>
  <si>
    <t xml:space="preserve"> DE DESENVOLVIMENTO SOCIOAMBIENTAL JOAO DE BARRO</t>
  </si>
  <si>
    <t>institutosocialjoaodebarro@outlook.com</t>
  </si>
  <si>
    <t>alinebbcavalcante@gmail.com</t>
  </si>
  <si>
    <t>CORRENTE DO BEM URUCANIA</t>
  </si>
  <si>
    <t>jaquerobsoncerqueira@gmail.com</t>
  </si>
  <si>
    <t>ORGANIZACAO ECO-SOCIAL AGUA AZUL</t>
  </si>
  <si>
    <t>ongaguaazul@yahoo.com.br</t>
  </si>
  <si>
    <t>dricaefs@gmail.com</t>
  </si>
  <si>
    <t>PROJETO SOCIAL RESTAURAR</t>
  </si>
  <si>
    <t>psrprojetosocialrestaurar@gmail.com</t>
  </si>
  <si>
    <t>elissantos811@gmail.com</t>
  </si>
  <si>
    <t>ONG CENTRO DE TREINAMENTO DE SURF LUGAR AO SOL</t>
  </si>
  <si>
    <t>ctlugaraosol@gmail.com</t>
  </si>
  <si>
    <t xml:space="preserve"> ATLETAS DE OURO DO JARDIM GRAMACHO</t>
  </si>
  <si>
    <t>jgatletasdeouro@outlook.com</t>
  </si>
  <si>
    <t>itinha25@gmail.com</t>
  </si>
  <si>
    <t>FAMÍLIA CONSTRUINDO O FUTURO (JUNTOS SOMOS MAIS FORTES)</t>
  </si>
  <si>
    <t>familiaconstruindoofuturo@gmail.com</t>
  </si>
  <si>
    <t>margopedagoga@hotmail.com</t>
  </si>
  <si>
    <t xml:space="preserve"> MARIA EDUARDA</t>
  </si>
  <si>
    <t>institutomariaeduardarj@gmail.com</t>
  </si>
  <si>
    <t>uidsonferreira@gmail.com</t>
  </si>
  <si>
    <t>WBIRACY PAIS DA COSTA 26166244860</t>
  </si>
  <si>
    <t>wbiracyarte@gmail.com</t>
  </si>
  <si>
    <t xml:space="preserve"> NOVA AMAZONIA - INA</t>
  </si>
  <si>
    <t>contato@institutoina.org</t>
  </si>
  <si>
    <t>patriciaantropo@gmail.com</t>
  </si>
  <si>
    <t>COMUNIDADE TERAPEUTICA DO MARANHAO</t>
  </si>
  <si>
    <t>rosaniria@hotmail.com</t>
  </si>
  <si>
    <t>ALIANCA DE JOVENS EVANGELICOS EM ILHA DE JOANEIRO</t>
  </si>
  <si>
    <t>patricialms.andre@gmail.com</t>
  </si>
  <si>
    <t>SUBÚRBIO EM AÇÃO</t>
  </si>
  <si>
    <t>projetosocialsuburbioemacaosub@gmail.com</t>
  </si>
  <si>
    <t>adelinerochadavila@gmail.com</t>
  </si>
  <si>
    <t xml:space="preserve"> SEJA LUZ, YURI REIS</t>
  </si>
  <si>
    <t>sejaluzyr@gmail.com</t>
  </si>
  <si>
    <t>PROJETO SONHAR E AÇÃO</t>
  </si>
  <si>
    <t>luscadiaz@gmail.com</t>
  </si>
  <si>
    <t>LIONS CLUBE DE NATAL FUTURAS GERAÇÕES</t>
  </si>
  <si>
    <t>lionsnatal.fg@gmail.com</t>
  </si>
  <si>
    <t>marlycuesta@gmail.com</t>
  </si>
  <si>
    <t xml:space="preserve"> AMPLIANDO HORIZONTES</t>
  </si>
  <si>
    <t>amandaabreu.edu@gmail.com</t>
  </si>
  <si>
    <t>021NOSSASHISTÓRIAS</t>
  </si>
  <si>
    <t>021nossashistorias@gmail.com</t>
  </si>
  <si>
    <t>julio.muniz.ufrj@gmail.com</t>
  </si>
  <si>
    <t>CASA DE CULTURA AFRO DESCENDENTES FILHOS DE MARIA</t>
  </si>
  <si>
    <t>casadeculturaafro@gmail.com</t>
  </si>
  <si>
    <t>katitadt@yahoo.com.br</t>
  </si>
  <si>
    <t>BRIGADA BRASIL POSTO DA MATA</t>
  </si>
  <si>
    <t>janainaamorimcruz@yahoo.com.br</t>
  </si>
  <si>
    <t>CENTRO SOCIAL CAMINHO SEGURO</t>
  </si>
  <si>
    <t>cscaminhoseguro@gmail.com</t>
  </si>
  <si>
    <t>marcialeitesousa65@gmail.com</t>
  </si>
  <si>
    <t>ELAINE PINHEIRO SANTOS 05564527399</t>
  </si>
  <si>
    <t>elainepinheiros48@gmail.com</t>
  </si>
  <si>
    <t xml:space="preserve"> SOCIAL, ANA MARIA SANTOS - ( MAEZONA)</t>
  </si>
  <si>
    <t>institutomaezona@gmail.com</t>
  </si>
  <si>
    <t>deasantosadm@gmail.com</t>
  </si>
  <si>
    <t>ONG HUMANITARIA A FAVOR DA VIDA</t>
  </si>
  <si>
    <t>adaomaosqueajudam2024@gmail.com</t>
  </si>
  <si>
    <t>PROJETO TRANSFORMAR</t>
  </si>
  <si>
    <t>projetotransformar@hotmail.com</t>
  </si>
  <si>
    <t>neto.transformar@gmail.com</t>
  </si>
  <si>
    <t>CENTRO ASSISTENCIAL ATITUDES SOLIDARIAS</t>
  </si>
  <si>
    <t>acrsj100000@gmail.com</t>
  </si>
  <si>
    <t>HANDEBOL SOCIAL IMBATÍVEIS</t>
  </si>
  <si>
    <t>johncleberj@gmail.com</t>
  </si>
  <si>
    <t>CENTRO CULTURAL NACAO MESTICA</t>
  </si>
  <si>
    <t>culturalcentro63@gmail.com</t>
  </si>
  <si>
    <t>rosanamottaoliveira022@gmail.com</t>
  </si>
  <si>
    <t>ASSOCIACAO HUMANITARIA PEQUENINOS DO MONTE</t>
  </si>
  <si>
    <t>pequeninosdomonte.09@gmail.com</t>
  </si>
  <si>
    <t>cristianormoraes77@gmail.com</t>
  </si>
  <si>
    <t>ASSOCIACAO SOCIEDADE EM ACAO</t>
  </si>
  <si>
    <t>contato.sociedadeemacao@gmail.com</t>
  </si>
  <si>
    <t>taniasawaya27@gmail.com</t>
  </si>
  <si>
    <t xml:space="preserve"> SOCIAL IDE BR</t>
  </si>
  <si>
    <t>ceomar.1888@gmail.com</t>
  </si>
  <si>
    <t>EXITUS  SOCIOAMBIENTAL</t>
  </si>
  <si>
    <t>exitusinstituto@yahoo.com.br</t>
  </si>
  <si>
    <t>mouzart.afonso@gmail.com</t>
  </si>
  <si>
    <t>COLETIVO SARGENTO PERIFA</t>
  </si>
  <si>
    <t>sargento.perifa@gmail.com</t>
  </si>
  <si>
    <t>gilbertoluiz426@gmail.com</t>
  </si>
  <si>
    <t>OS FILHOS DE MAE LUIZA</t>
  </si>
  <si>
    <t>escoladesurffilhosdemaeluiza@gmail.com</t>
  </si>
  <si>
    <t>fcoventura2015@gmail.com</t>
  </si>
  <si>
    <t>ASSOCIACAO FILANTROPICA ARTE SALVA VIDAS</t>
  </si>
  <si>
    <t>aartesalvavidas@gmail.com</t>
  </si>
  <si>
    <t>ASSOCIACAO VIVER EM FAMILIA PARA UM FUTURO MELHOR</t>
  </si>
  <si>
    <t>projetoviver@projetoviver.org.br</t>
  </si>
  <si>
    <t>thiago.carlos@projetoviver.org.br</t>
  </si>
  <si>
    <t>REVIVER CENTRO DE INTEGRACAO DA CRIANCA E DO ADOLESCENTE-(RECICA)</t>
  </si>
  <si>
    <t>ongrecica@gmail.com</t>
  </si>
  <si>
    <t>nessagarcia20@gmail.com</t>
  </si>
  <si>
    <t>ASSOCIACAO DAS DONAS DE CASA DA SALINA DO SACAVEM</t>
  </si>
  <si>
    <t>assoc.comrosadesahron@outlook.com</t>
  </si>
  <si>
    <t>telmaarouche@gmail.com</t>
  </si>
  <si>
    <t xml:space="preserve"> STREET TENT</t>
  </si>
  <si>
    <t>institutostreettent@gmail.com</t>
  </si>
  <si>
    <t>prbicalho2013@gmail.com</t>
  </si>
  <si>
    <t>CCVH</t>
  </si>
  <si>
    <t>centrodecidadaniaccvh@gmail.com</t>
  </si>
  <si>
    <t>felipebrum.2019@gmail.com</t>
  </si>
  <si>
    <t>NEIMAR TAVARES SILVA JÚNIOR</t>
  </si>
  <si>
    <t>maap.social.org@gmail.com</t>
  </si>
  <si>
    <t>TESTE ATUALIZAÇÃO ONG</t>
  </si>
  <si>
    <t>ong@test.com.br</t>
  </si>
  <si>
    <t>jefferdestroyer@gmail.com</t>
  </si>
  <si>
    <t xml:space="preserve"> EDUCACIONAL ASSISTENCIAL COROADINHO</t>
  </si>
  <si>
    <t>eims2010@hotmail.com</t>
  </si>
  <si>
    <t>rosianec.cardoso23@gmail.com</t>
  </si>
  <si>
    <t>ASSOCIACAO EDUCACAO,CULTURA,ARTE E CIDADANIA</t>
  </si>
  <si>
    <t>institutoecac@gmail.com</t>
  </si>
  <si>
    <t>rofertel@gmail.com</t>
  </si>
  <si>
    <t>ABRIGO BENEFICENTE BRACOS ABERTOS ( ABBA)</t>
  </si>
  <si>
    <t>oficial@institutoabba.org</t>
  </si>
  <si>
    <t>gepklayn@gmail.com</t>
  </si>
  <si>
    <t xml:space="preserve"> AYÓ</t>
  </si>
  <si>
    <t>institutoayo1@gmail.com</t>
  </si>
  <si>
    <t>siqueiraferreiradrica@gmail.com</t>
  </si>
  <si>
    <t xml:space="preserve"> TREM DAS ONZE NOVA VIDA</t>
  </si>
  <si>
    <t>rosangelamaria36127@gmail.com</t>
  </si>
  <si>
    <t xml:space="preserve"> GERANDO FALCOES</t>
  </si>
  <si>
    <t>ong@test.com.gf</t>
  </si>
  <si>
    <t>ASSOCIACAO BENEFICIENTE ROSA DALIA</t>
  </si>
  <si>
    <t>abrod.ieve2018@gmail.com</t>
  </si>
  <si>
    <t>manucrisoliveira51@gmail.com</t>
  </si>
  <si>
    <t>PROJETO SOCIAL SÓ JESUS SALVA</t>
  </si>
  <si>
    <t>felipefariasdosreis18@gmail.com</t>
  </si>
  <si>
    <t>ASSOCIACAO DE BENEFICENCIA A DEPENDENTES QUIMICOS SAO JOSE - ABDEQUI</t>
  </si>
  <si>
    <t>adilania2022@gmail.com</t>
  </si>
  <si>
    <t>ASMIE-BR - ASSOCIACAO DE MINISTROS E IGREJAS EVANGELICAS DO BRASIL CONSELHO DE MINISTERIOS E ACAO SOCIAL</t>
  </si>
  <si>
    <t>asmie.br@gmail.com</t>
  </si>
  <si>
    <t>reinaldo37@gmail.com</t>
  </si>
  <si>
    <t>ASSOCIACAO COMUNIDADE ESPORTIVA SHALKE-XII</t>
  </si>
  <si>
    <t>shalke.xii@gmail.com</t>
  </si>
  <si>
    <t>farionconselheiro@gmail.com</t>
  </si>
  <si>
    <t>COLETIVO CULTURA BETHANIA</t>
  </si>
  <si>
    <t>culturabethania18@gmail.com</t>
  </si>
  <si>
    <t>adrielencoelho@gmail.com</t>
  </si>
  <si>
    <t>REDE MULTILATERAL</t>
  </si>
  <si>
    <t>coordenacaomultilateral201821@gmail.com</t>
  </si>
  <si>
    <t>styvepessoa@gmail.com</t>
  </si>
  <si>
    <t xml:space="preserve"> HA ESPERANCA</t>
  </si>
  <si>
    <t>contato@haesperanca.org</t>
  </si>
  <si>
    <t>ASSOCIACAO CRESCER, APRENDER E SE DIVERTIR - ACAD</t>
  </si>
  <si>
    <t>cresceraprenderesedivertir@gmail.com</t>
  </si>
  <si>
    <t>minharro89@gmail.com</t>
  </si>
  <si>
    <t xml:space="preserve"> SOCIAL KADOSH</t>
  </si>
  <si>
    <t>projetostartkids@gmail.com</t>
  </si>
  <si>
    <t>ilnara.ssn@gmail.com</t>
  </si>
  <si>
    <t xml:space="preserve"> ARENA</t>
  </si>
  <si>
    <t>institutoarena2021@gmail.com</t>
  </si>
  <si>
    <t>rodrigoaugustomenezes@hotmail.com</t>
  </si>
  <si>
    <t>CORRENTE DO BEM SE</t>
  </si>
  <si>
    <t>questionariocdb@gmail.com</t>
  </si>
  <si>
    <t>izianesilvab@gmail.com</t>
  </si>
  <si>
    <t>ASSOCIACAO BENEFICENTE DOE AMOR - ABDA/MCZ</t>
  </si>
  <si>
    <t>aldofloresbarbosa@gmail.com</t>
  </si>
  <si>
    <t>GRUPO VIGILANTES DA LUZ AMIGOS DO BEM</t>
  </si>
  <si>
    <t>nelmaluz@yahoo.com.br</t>
  </si>
  <si>
    <t>ASSOCIACAO CAMINHANDO PARA MAIS UM SONHO</t>
  </si>
  <si>
    <t>acamis2511@gmail.com</t>
  </si>
  <si>
    <t>mayhara262@hotmail.com</t>
  </si>
  <si>
    <t xml:space="preserve"> SOCIO EDUCACIONAL E TECNOLOGICO SEMEAR</t>
  </si>
  <si>
    <t>diretoriasemear1@gmail.com</t>
  </si>
  <si>
    <t>mariuza.g@gmail.com</t>
  </si>
  <si>
    <t xml:space="preserve"> SOCIAL FONTE DE LUZ</t>
  </si>
  <si>
    <t>institutosocialfontedeluz@gmail.com</t>
  </si>
  <si>
    <t>PROJETO CONEXAO VIDA</t>
  </si>
  <si>
    <t>geraldomina_ceo_ts3@hotmail.com</t>
  </si>
  <si>
    <t>PROJETO SOCIOCULTURAL AMIGOS DO JOAO XX</t>
  </si>
  <si>
    <t>projeto.amigosdojoaoxx@hotmail.com</t>
  </si>
  <si>
    <t>marcelopyry@hotmail.com</t>
  </si>
  <si>
    <t>LARISSA SIQUEIRA PONTES 07146589447</t>
  </si>
  <si>
    <t>eficientess@gmail.com</t>
  </si>
  <si>
    <t>barkokebasjornalismo@hotmail.com</t>
  </si>
  <si>
    <t xml:space="preserve"> SOCIAL NOVOLHAR</t>
  </si>
  <si>
    <t>gustavovieir77@gmail.com</t>
  </si>
  <si>
    <t>BROTHERS DO BEM</t>
  </si>
  <si>
    <t>jf.brothersdobem@gmail.com</t>
  </si>
  <si>
    <t>brothersdobem.jf@gmail.com</t>
  </si>
  <si>
    <t>VALDENEY SILVA NEVES 04261213257</t>
  </si>
  <si>
    <t>valdeneysneves1997@gmail.com</t>
  </si>
  <si>
    <t>ASSOCIACAO ZUMBI DE CAPOEIRA - AZC</t>
  </si>
  <si>
    <t>azceventos@gmail.com</t>
  </si>
  <si>
    <t>carlafortaleza1@gmail.com</t>
  </si>
  <si>
    <t>ASSOCIACAO COMUNITARIA JOSE DOS SANTOS</t>
  </si>
  <si>
    <t>institutorenovar.pe@gmail.com</t>
  </si>
  <si>
    <t>sidneysantos_gt@outlook.com</t>
  </si>
  <si>
    <t>FÊNIX - MULHERES GIGANTES</t>
  </si>
  <si>
    <t>maria.portoprojetos@hotmail.com</t>
  </si>
  <si>
    <t>ASSOCIACAO EDUCACIONAL E ASSISTENCIAL CASA DOS AMARELINHOS</t>
  </si>
  <si>
    <t>consoladororg@hotmail.com</t>
  </si>
  <si>
    <t>anaconsolador@gmail.com</t>
  </si>
  <si>
    <t>ASSOCIACAO DE ORIENTACAO PARA EMPREGO, EDUCACAO E SAUDE - ORIGEM/AMORIM</t>
  </si>
  <si>
    <t>origemamorim@gmail.com</t>
  </si>
  <si>
    <t>limareismariana@gmail.com</t>
  </si>
  <si>
    <t>TURMA DO SAPO</t>
  </si>
  <si>
    <t>anderson1234.ads@gmail.com</t>
  </si>
  <si>
    <t>PINTANDO 7 SOLIDÁRIO</t>
  </si>
  <si>
    <t>pintando7solidario@gmail.com</t>
  </si>
  <si>
    <t>siumaisimpacto@gmail.com</t>
  </si>
  <si>
    <t xml:space="preserve"> BRAULINO DE SOUZA NASCIMENTO</t>
  </si>
  <si>
    <t>instituto.braulinosn@gmail.com</t>
  </si>
  <si>
    <t>eliete.sandra@yahoo.com.br</t>
  </si>
  <si>
    <t>BAIRRO DA JUVENTUDE DOS PADRES ROGACIONISTAS</t>
  </si>
  <si>
    <t>lilian@bairrodajuventude.org.br</t>
  </si>
  <si>
    <t>nei@bairrodajuventude.org.br</t>
  </si>
  <si>
    <t>UNIAO COMUNITARIA DE DESENVOLVIMENTO DE FREXEIRAS</t>
  </si>
  <si>
    <t>ucdf.de.paracuru@gmail.com</t>
  </si>
  <si>
    <t>aline_brauna@hotmail.com</t>
  </si>
  <si>
    <t>ASSOCIACAO ARTE PELA PAZ</t>
  </si>
  <si>
    <t>artepelapaz292@gmail.com</t>
  </si>
  <si>
    <t>andersonartepelapaz@gmail.com</t>
  </si>
  <si>
    <t>PROJETO AMOR AQUEM</t>
  </si>
  <si>
    <t>amoraquemprojeto@gmail.com</t>
  </si>
  <si>
    <t>napolianaflavia@gmail.com</t>
  </si>
  <si>
    <t>LAPIDANDO TALENTOS NA QUEBRADA - ( ALTERANDO PARA PROJETO BASE)</t>
  </si>
  <si>
    <t>lapidandotalentosnaquebrada22@gmail.com</t>
  </si>
  <si>
    <t xml:space="preserve"> IMPROVAVEIS DA VIDA</t>
  </si>
  <si>
    <t>su.bueno09@gmail.com</t>
  </si>
  <si>
    <t>IGREJA EVANGELICA PENTECOSTAL FONTE DAS AGUAS VIVAS</t>
  </si>
  <si>
    <t>atendimento@rnunes.adv.br</t>
  </si>
  <si>
    <t>SEGUNDA CHANCE -  CRISTAO DE AUXILIO AOS NECESSITADOS</t>
  </si>
  <si>
    <t>segundachancemissoes@gmail.com</t>
  </si>
  <si>
    <t>CENTRO EDUCACIONAL POPULAR SABER VIVER</t>
  </si>
  <si>
    <t>centrosaberviver@hotmail.com</t>
  </si>
  <si>
    <t>ASSOCIACAO DE REINTEGRACAO MAIS VIDA</t>
  </si>
  <si>
    <t>maisvida.coordenacao@gmail.com</t>
  </si>
  <si>
    <t>antonio_bneto@yahoo.com.br</t>
  </si>
  <si>
    <t xml:space="preserve"> RESGATA CIDADAO</t>
  </si>
  <si>
    <t>institutoresgatacidadao@gmail.com</t>
  </si>
  <si>
    <t>UNIAO DOS MORADORES DO TURU</t>
  </si>
  <si>
    <t>u.m.turumatoes@gmail.com</t>
  </si>
  <si>
    <t>raullhernestto@gmail.com</t>
  </si>
  <si>
    <t>MAANAIM AÇÃO SOCIAL</t>
  </si>
  <si>
    <t>apriscomaanaim@hotmail.com</t>
  </si>
  <si>
    <t>geane_divina@hotmail.com</t>
  </si>
  <si>
    <t>FLORESCER</t>
  </si>
  <si>
    <t>projetoflorescerbr@gmail.com</t>
  </si>
  <si>
    <t>PROJETO ESTRELA DO DESERTO</t>
  </si>
  <si>
    <t>contato2@estreladodeserto.ong.br</t>
  </si>
  <si>
    <t>contato2@estreladodeserto.on.br</t>
  </si>
  <si>
    <t>RECRIANDO SORRISOS</t>
  </si>
  <si>
    <t>gh.oliveirha@gmail.com</t>
  </si>
  <si>
    <t>CENTRO EDUCACIONAL DE ESPORTE E LAZER COMUNIDADES UNIDAS</t>
  </si>
  <si>
    <t>talitaqueren1208@gmail.com</t>
  </si>
  <si>
    <t xml:space="preserve"> FAVELARTE</t>
  </si>
  <si>
    <t>providenciasocioambiental@gmail.com</t>
  </si>
  <si>
    <t>ASSOCIACAO SOCIAL EM ACAO</t>
  </si>
  <si>
    <t>emacaoprojetosocial@gmail.com</t>
  </si>
  <si>
    <t>ASSOCIACAO FAMILIA RACA NEGRA JARDIM SAO CARLOS</t>
  </si>
  <si>
    <t>f.racanegra@yahoo.com.br</t>
  </si>
  <si>
    <t>chefveralucia@yahoo.com.br</t>
  </si>
  <si>
    <t>ASSOCIACAO ESCULTOLAR - ESPORTE, CULTURA E LAZER</t>
  </si>
  <si>
    <t>alan.kc@hotmail.com</t>
  </si>
  <si>
    <t xml:space="preserve"> PRETA VELHA</t>
  </si>
  <si>
    <t>comunicapretavelha@gmail.com</t>
  </si>
  <si>
    <t>tattycardoso24@gmail.com</t>
  </si>
  <si>
    <t>PROJETO CICLO SOLIDÁRIO</t>
  </si>
  <si>
    <t>crisromarinho@hotmail.com</t>
  </si>
  <si>
    <t>TRANSFORMAR</t>
  </si>
  <si>
    <t>jz.debora.aragao@gmail.com</t>
  </si>
  <si>
    <t>UNIAO DOS MORADORES E COMERCIANTES DO SAO CAETANO</t>
  </si>
  <si>
    <t>alves22618@hotmail.com</t>
  </si>
  <si>
    <t>caarlos9927@gmail.com</t>
  </si>
  <si>
    <t>UNIAO BEM ESTAR - UBE</t>
  </si>
  <si>
    <t>uniaobemestar@gmail.com</t>
  </si>
  <si>
    <t>PROJETO SONHAR E FAZER ACONTECER</t>
  </si>
  <si>
    <t>projetosonharefazeracontecer@gmail.com</t>
  </si>
  <si>
    <t>goodburgerluiz@gmail.com</t>
  </si>
  <si>
    <t>ASSOCIACAO DE MORADORES DA VILA SAO FRANCISCO E ADJACENCIAS POA-SP</t>
  </si>
  <si>
    <t>associacaomvsfa@gmail.com</t>
  </si>
  <si>
    <t>adrianareginacosta@gmail.com</t>
  </si>
  <si>
    <t>PROJETO CULTURA E CIDADANIA LEO DO PIFE</t>
  </si>
  <si>
    <t>leopaivasax@hotmail.com</t>
  </si>
  <si>
    <t>FAVELA INC</t>
  </si>
  <si>
    <t>adam@favelainc.com</t>
  </si>
  <si>
    <t>tatiane@favelainc.com</t>
  </si>
  <si>
    <t>ASSOCIACAO CRECHE ESPERANCA</t>
  </si>
  <si>
    <t>contato@crecheesperanca.com.br</t>
  </si>
  <si>
    <t>ASSOCIACAO COLETIVO VILA BEIRA MAR</t>
  </si>
  <si>
    <t>coletivovilabeiramar@gmail.com</t>
  </si>
  <si>
    <t>01.zeliamaria@gmail.com</t>
  </si>
  <si>
    <t>PROJETO CRIANCA FELIZ  DO PV</t>
  </si>
  <si>
    <t>projetocriancafelizdopv@gmail.com</t>
  </si>
  <si>
    <t>ranasousamaciel@gmail.com.br</t>
  </si>
  <si>
    <t>PROJETO JOVENS EM AÇÃO</t>
  </si>
  <si>
    <t>angelicadesouzamartins6@gmail.com</t>
  </si>
  <si>
    <t>CENTRO SOCIAL NOSSA SENHORA DO BOM PARTO</t>
  </si>
  <si>
    <t>sansouzacomercial@gmail.com</t>
  </si>
  <si>
    <t>ASSOCIACAO BALLET MANGUINHOS</t>
  </si>
  <si>
    <t>ballet.manguinhos@gmail.com</t>
  </si>
  <si>
    <t>ASSOCIACAO BENEFICENTE CULTURAL UGO MEREGALLI</t>
  </si>
  <si>
    <t>gmmb2707@gmail.com</t>
  </si>
  <si>
    <t>COMUNIDADE TERAPEUTICA ZION</t>
  </si>
  <si>
    <t>williamjeronimocezar@gmail.com</t>
  </si>
  <si>
    <t xml:space="preserve"> ANDRE DE SOUZA</t>
  </si>
  <si>
    <t>instituto.andredesouza@gmail.com</t>
  </si>
  <si>
    <t>eder.ramos2016@gmail.com</t>
  </si>
  <si>
    <t>ASSOCIACAO PROT ASSIST MATERN INFANCIA LAGOA REDONDA</t>
  </si>
  <si>
    <t>gotasolidariafortaleza@gmail.com</t>
  </si>
  <si>
    <t>barbaralimaaraujo13@gmail.com</t>
  </si>
  <si>
    <t>ONE WAY - ASSISTENCIA AS CRIANCAS E ADOLESCENTES CARENTES</t>
  </si>
  <si>
    <t>espacooneway@gmail.com</t>
  </si>
  <si>
    <t>ASSOCIACAO DE MORADORES DA VILA FELICIDADE</t>
  </si>
  <si>
    <t>associacaomoradores.c@gmail.com</t>
  </si>
  <si>
    <t>betania.sind45@gmail.com</t>
  </si>
  <si>
    <t>ANGELS</t>
  </si>
  <si>
    <t>anginhaedf@gmail.com</t>
  </si>
  <si>
    <t>ASSOCIACAO COMUNITARIA A VITORIA E NOSSA</t>
  </si>
  <si>
    <t>kleeecya.regina@gmail.com</t>
  </si>
  <si>
    <t>CONEXÃO DO BEM</t>
  </si>
  <si>
    <t>michele.souza1210@gmail.com</t>
  </si>
  <si>
    <t>CENTRO SOCIAL DON JOAO COSTA</t>
  </si>
  <si>
    <t>ir.luiza@centrosdjc.org.br</t>
  </si>
  <si>
    <t>EMPREENDEDORISMO VOLUNTARIO</t>
  </si>
  <si>
    <t>evoluntariogyn@gmail.com</t>
  </si>
  <si>
    <t>ONG GERACAO RUACH</t>
  </si>
  <si>
    <t>geracaoruach@hotmail.com</t>
  </si>
  <si>
    <t>jrchenk@gmail.com</t>
  </si>
  <si>
    <t>PROJETO SOMAR</t>
  </si>
  <si>
    <t>renato.lucena8@gmail.com</t>
  </si>
  <si>
    <t>ASSOCIACAO IDEAL DO AMANHA GUAICUY - AILMG</t>
  </si>
  <si>
    <t>idealdoamanha.org@gmail.com</t>
  </si>
  <si>
    <t>marciatrodrigues@yahoo.com.br</t>
  </si>
  <si>
    <t>RAQUEL ALBUQUERQUE 77352203249</t>
  </si>
  <si>
    <t>raquelalbuquerque_ac@yahoo.com.br</t>
  </si>
  <si>
    <t>PROJETO AVANTE E AVANTE</t>
  </si>
  <si>
    <t>projetoavanteeavante@gmail.com</t>
  </si>
  <si>
    <t>soniabernardibenini@gmail.com</t>
  </si>
  <si>
    <t>SOCIEDADE ESPIRITA BENEFICENTE AMOR E CARIDADE</t>
  </si>
  <si>
    <t>bibliotecadoarvoredo@gmail.com</t>
  </si>
  <si>
    <t>ehpeixoto@outlook.com</t>
  </si>
  <si>
    <t xml:space="preserve">  DAMILIA</t>
  </si>
  <si>
    <t>institutodamilia@outlook.com</t>
  </si>
  <si>
    <t>leciliaffrazao@gmail.com</t>
  </si>
  <si>
    <t>COMBATE_PELO_BEM</t>
  </si>
  <si>
    <t>elianayaquino@gmail.com</t>
  </si>
  <si>
    <t>ASSOCIAÇÃO DE SURF DA PRAIA DE MIAMI E AREIA PRETA</t>
  </si>
  <si>
    <t>juliandersonbodyboardpotiguar2@gmail.com</t>
  </si>
  <si>
    <t>PROJETO EDUCA SURF SOCIAL</t>
  </si>
  <si>
    <t>educasurfsocial@gmail.com</t>
  </si>
  <si>
    <t>MÃO AMIGA</t>
  </si>
  <si>
    <t xml:space="preserve"> DE :RESPONSABILIDADE E INVESTIMENTO SOCIAL IRIS</t>
  </si>
  <si>
    <t>ASSOCIAÇÃO COMUNITÁRIA DE AGENTE AMBIENTAL</t>
  </si>
  <si>
    <t>83125579vania@gmail.com</t>
  </si>
  <si>
    <t>UNIVERSUS ESC ART POD ART CULTURAL</t>
  </si>
  <si>
    <t>escritoriocultural@gmail.com</t>
  </si>
  <si>
    <t>FAZER A DIFERENÇA</t>
  </si>
  <si>
    <t>mariaprazeres07@gmail.com</t>
  </si>
  <si>
    <t>INSTITUIÇÃO CULTURAL TRANSMUTAR GERAÇÃO</t>
  </si>
  <si>
    <t>tuany.franciele@gmail.com</t>
  </si>
  <si>
    <t xml:space="preserve"> ROSEMERE CHAVES</t>
  </si>
  <si>
    <t>institutorosemerechaves@gmail.com</t>
  </si>
  <si>
    <t>monicacostasilva13@gmail.com</t>
  </si>
  <si>
    <t>AVGG - ASSOCIAÇÃO DE VOLUNTÁRIOS GRUPO GOIANIANIA</t>
  </si>
  <si>
    <t>lucash.2013@hotmail.com</t>
  </si>
  <si>
    <t>ASSOCIAÇÃO ENSINANDO A PESCAR</t>
  </si>
  <si>
    <t>complexojardimelba@gmail.com</t>
  </si>
  <si>
    <t>vbgamalemann@gmail.com</t>
  </si>
  <si>
    <t>TUTTI ALLEGRO - COMPANHIA DE ARTE</t>
  </si>
  <si>
    <t>jandersson_rocha@hotmail.com</t>
  </si>
  <si>
    <t>EMPODERA</t>
  </si>
  <si>
    <t>cibelle.campos.ca@gmail.com</t>
  </si>
  <si>
    <t xml:space="preserve"> PELICANO</t>
  </si>
  <si>
    <t>contato.institutopelicano@gmail.com</t>
  </si>
  <si>
    <t>jackquinelen@gmail.com</t>
  </si>
  <si>
    <t>PROJETO CRIANÇA FELIZ ITAQUERA</t>
  </si>
  <si>
    <t>projetocriancafelizitaquera@outlook.com</t>
  </si>
  <si>
    <t>brenda_bed@yahoo.com.br</t>
  </si>
  <si>
    <t xml:space="preserve"> AJUDE O PANTANAL OFICIAL</t>
  </si>
  <si>
    <t>ajudeopantanal@gmail.com</t>
  </si>
  <si>
    <t>rita.playprodutora@gmail.com</t>
  </si>
  <si>
    <t>SOBREVIVENTES DA PERIFERIA</t>
  </si>
  <si>
    <t>sindy.ss@hotmail.com</t>
  </si>
  <si>
    <t>ASSOCIACAO OLHAR DO FUTURO</t>
  </si>
  <si>
    <t>institutoolhardofuturo@gmail.com</t>
  </si>
  <si>
    <t>olivia.martiniano@hotmail.com</t>
  </si>
  <si>
    <t>PAC - PROJETOS AMIGOS DAS CRIANCAS</t>
  </si>
  <si>
    <t>contato@projetopac.org.br</t>
  </si>
  <si>
    <t>fernanda.fbm@hotmail.com</t>
  </si>
  <si>
    <t>ASSOCIACAO ALCANDO VELAS</t>
  </si>
  <si>
    <t>alcandovelas@gmail.com</t>
  </si>
  <si>
    <t>simone.com198@gemail.com</t>
  </si>
  <si>
    <t>ASSOCIACAO UNIACAO UNIAO DE AMIGOS EM ACAO</t>
  </si>
  <si>
    <t>contato@uniacao.org.br</t>
  </si>
  <si>
    <t>MENTES BRILHANTES F.S</t>
  </si>
  <si>
    <t>mentesbrilhantesfs@gmail.com</t>
  </si>
  <si>
    <t>moisesporta@gmail.com</t>
  </si>
  <si>
    <t>ASSOCIACAO UNIDA PELA FE FORCA E ESPERANCA</t>
  </si>
  <si>
    <t>unidospelaffesperanca@hotmail.com</t>
  </si>
  <si>
    <t>solzinha1sol@yahoo.com</t>
  </si>
  <si>
    <t xml:space="preserve"> CEGONHA- ACAO E DESENVOLVIMENTO EDUCACIONAL, CULTURAL, ESPORTIVO E SOCIAL</t>
  </si>
  <si>
    <t>institutocegonha@hotmail.com</t>
  </si>
  <si>
    <t>soniacris61@hotmail.com</t>
  </si>
  <si>
    <t xml:space="preserve"> SOCIAL &amp; EDUCACIONAL E CULTURAL ECOFUTURO</t>
  </si>
  <si>
    <t>ecofuturoinstituto@gmail.com</t>
  </si>
  <si>
    <t>deby.rosa.63@gmail.com</t>
  </si>
  <si>
    <t>JUVENTUDE RAÇA</t>
  </si>
  <si>
    <t>prof.wellingtonlemos@gmail.com</t>
  </si>
  <si>
    <t xml:space="preserve"> BUSSOLA JOVEM</t>
  </si>
  <si>
    <t>presidencia@institutobussolajovem.org.br</t>
  </si>
  <si>
    <t>DÉBORA ANTUNES</t>
  </si>
  <si>
    <t>matheusant213@gmail.com</t>
  </si>
  <si>
    <t>ASSOCIACAO GRUPO ACAO SOCIAL ATENDER SEMPRE</t>
  </si>
  <si>
    <t>atendersempre@gmail.com</t>
  </si>
  <si>
    <t>emrufini@gmail.com</t>
  </si>
  <si>
    <t xml:space="preserve"> SOS IRMAOS CARENTES</t>
  </si>
  <si>
    <t>sosirmaoscarentes@gmail.com</t>
  </si>
  <si>
    <t>fabianabonil@gmail.com</t>
  </si>
  <si>
    <t xml:space="preserve"> PORTAL SOCIAL DA PONTE</t>
  </si>
  <si>
    <t>projetos@oportal.org</t>
  </si>
  <si>
    <t>isismonteiroc@gmail.com</t>
  </si>
  <si>
    <t>ASSOCIAÇÃO PLENITUDE DO AMOR (APA)</t>
  </si>
  <si>
    <t>associacaoplenitudedoamor@gmail.com</t>
  </si>
  <si>
    <t>elainemidianews@gmail.com</t>
  </si>
  <si>
    <t>FAVELA SURF CLUBE</t>
  </si>
  <si>
    <t>favelasurfclube12@gmail.com</t>
  </si>
  <si>
    <t>andersonsurfclass@gmail.com</t>
  </si>
  <si>
    <t>ASSOCIAÇÃO SER CIDADÃO</t>
  </si>
  <si>
    <t>sercidadao@sercidadao.org.br</t>
  </si>
  <si>
    <t>francisco.jorge@sercidadao.org.br</t>
  </si>
  <si>
    <t>ACMDQ - ASSOCIACAO COLETIVA MULHERES DA QUEBRADA</t>
  </si>
  <si>
    <t>admulheresdaquebrada@gmail.com</t>
  </si>
  <si>
    <t>simonececas@gmail.com</t>
  </si>
  <si>
    <t>ASSOCIAÇÃO EMÍLIA MACHADO BAHIA</t>
  </si>
  <si>
    <t>aemba2018@gmail.com</t>
  </si>
  <si>
    <t>edianars19@hotmail.com</t>
  </si>
  <si>
    <t>AÇÃO SOCIAL ABAS DO BEM</t>
  </si>
  <si>
    <t>abasdobem23@gmail.com</t>
  </si>
  <si>
    <t>mairacastro09@gmail.com</t>
  </si>
  <si>
    <t>AFA PROJETO AMAR A FAVELA</t>
  </si>
  <si>
    <t>projetoamarafavela@gmail.com</t>
  </si>
  <si>
    <t>everaldinorosario@gmail.com</t>
  </si>
  <si>
    <t>PROJETO CRIANÇA CONTENTE</t>
  </si>
  <si>
    <t>layzaneles@gmail.com</t>
  </si>
  <si>
    <t>PROJETO NOVO AMANHECER</t>
  </si>
  <si>
    <t>novoamanhecerrecife@gmail.com</t>
  </si>
  <si>
    <t>igormendonca353@gmail.com</t>
  </si>
  <si>
    <t>MOVIMENTANDO VIDAS</t>
  </si>
  <si>
    <t>robsonnascimentomv@gmail.com</t>
  </si>
  <si>
    <t>ASSOCIACAO PROJETO PROCEDER</t>
  </si>
  <si>
    <t>adrianaalves1977@hotmail.com</t>
  </si>
  <si>
    <t>VAI TER GORDA</t>
  </si>
  <si>
    <t>vaitergorda@gmail.com</t>
  </si>
  <si>
    <t>adriladyplus@gmail.com</t>
  </si>
  <si>
    <t>CENTRO DE INTEGRACAO SOCIAL AMIGOS DE NOVA ERA</t>
  </si>
  <si>
    <t>maceiomaceio815@gmail.com</t>
  </si>
  <si>
    <t>FALA BEM MORRO</t>
  </si>
  <si>
    <t>espacofalabemmorro@gmail.com</t>
  </si>
  <si>
    <t>rosimaryoliveira304@gmail.com</t>
  </si>
  <si>
    <t>TESTE MEIRE ONG 310823 1238</t>
  </si>
  <si>
    <t>meire.shiguemori.ext@gmail.com</t>
  </si>
  <si>
    <t>meireyukie17@gmail.com</t>
  </si>
  <si>
    <t xml:space="preserve"> DE ATIVISMO COMUNITARIO - REDE MOBILIZE</t>
  </si>
  <si>
    <t>coordenacao.redemobilize@gmail.com</t>
  </si>
  <si>
    <t>artur.freitas2019@gmail.com</t>
  </si>
  <si>
    <t xml:space="preserve"> DE URBANISMO ECOSSISTEMICO - LAURB</t>
  </si>
  <si>
    <t>laurbcontato@gmail.com</t>
  </si>
  <si>
    <t>dninatavora@gmail.com</t>
  </si>
  <si>
    <t>ASSOCIACAO ANJO RAFAEL</t>
  </si>
  <si>
    <t>contato@anjorafael.com</t>
  </si>
  <si>
    <t>dantas.f@gmail.com</t>
  </si>
  <si>
    <t>GAV - GRUPO DE APOIO VOLUNTARIO</t>
  </si>
  <si>
    <t>gav.manaus@gmail.com</t>
  </si>
  <si>
    <t>fabianasazevedo@gmai.com</t>
  </si>
  <si>
    <t xml:space="preserve"> INCLUA</t>
  </si>
  <si>
    <t>contato@institutoinclua.com.br</t>
  </si>
  <si>
    <t>caiotoledo@institutoinclua.com.br</t>
  </si>
  <si>
    <t>ASSOCIACAO BENEFICENTE A CRIANCA E A FAMILIA CARENTE</t>
  </si>
  <si>
    <t>contato@asbenfam.org.br</t>
  </si>
  <si>
    <t>lucivandaferreira10@gmail.com</t>
  </si>
  <si>
    <t xml:space="preserve"> EDUCACIONAL NOSSA SENHORA DE FATIMA</t>
  </si>
  <si>
    <t>instednsf@hotmail.com</t>
  </si>
  <si>
    <t>lucia.reginno@hotmail.com</t>
  </si>
  <si>
    <t xml:space="preserve"> EDSON CARIUS</t>
  </si>
  <si>
    <t>institutoedsoncarius@gmail.com</t>
  </si>
  <si>
    <t>gabriele.adahil@gmail.com</t>
  </si>
  <si>
    <t>CREPUSCULO - CENTRO DE DESENVOLVIMENTO HUMANO</t>
  </si>
  <si>
    <t>financeiro@crepusculo.org.br</t>
  </si>
  <si>
    <t>meideboraoliveira@gmail.com</t>
  </si>
  <si>
    <t xml:space="preserve"> QUEIRA BEM</t>
  </si>
  <si>
    <t>queirabemprojeto@gmail.com</t>
  </si>
  <si>
    <t>andressa.delfino@hotmail.com</t>
  </si>
  <si>
    <t>ASSOCIACAO DOS AMIGOS NO COMBATE A EXCLUSAO SOCIAL</t>
  </si>
  <si>
    <t>amigosdabarradoceara@gmail.com</t>
  </si>
  <si>
    <t>valdecirpaiva@gmail.com</t>
  </si>
  <si>
    <t>CONVIVÊNCIA DE CONVIVÊNCIA SOCIAL DO RECIFE</t>
  </si>
  <si>
    <t>josefabiano12987@gmail.com</t>
  </si>
  <si>
    <t>ASSOCIACAO SOCIO CULTURAL ESPORTIVA EDUCAPOEIRA</t>
  </si>
  <si>
    <t>barewanitire940@gmail.com</t>
  </si>
  <si>
    <t>ASSOCIACAO DEFENSORA DA ILHA DE JOANEIRO</t>
  </si>
  <si>
    <t>allexcartao@gmail.com</t>
  </si>
  <si>
    <t>COLETIVOS EM MOVIMENTO</t>
  </si>
  <si>
    <t>rozeteatro@gmail.com</t>
  </si>
  <si>
    <t>ASSOCIACAO ARTE E CULTURA EM LINGUA PORTUGUESA</t>
  </si>
  <si>
    <t>geralradioiep@gmail.com</t>
  </si>
  <si>
    <t>ASSOCIACO COMUNITARIA DO CONJUNTO SITIO ESTRELA DE MESSEJANA - ASCEM</t>
  </si>
  <si>
    <t>amsitioestrela@gmail.com</t>
  </si>
  <si>
    <t>ASSOCIACAO COMUNITARIA ESPERANCA</t>
  </si>
  <si>
    <t>samba.serrinhaba@gmail.com</t>
  </si>
  <si>
    <t>gildeanequeiroz22@gmail.com</t>
  </si>
  <si>
    <t xml:space="preserve"> BENEFICENTE MULHERES EM ACAO</t>
  </si>
  <si>
    <t>proj.mulheresemacao@gmail.com</t>
  </si>
  <si>
    <t>edimarafn@gmail.com</t>
  </si>
  <si>
    <t>CENTRO DE ASSISTÊNCIA SOCIAL E CULTURAL UNIÃO DA ILHA</t>
  </si>
  <si>
    <t>onguniaodailha@gmail.com</t>
  </si>
  <si>
    <t>charllesbraz.86@gmail.com</t>
  </si>
  <si>
    <t>HIP HOP SEM FRONTEIRAS</t>
  </si>
  <si>
    <t>benet_castro@hotmail.com</t>
  </si>
  <si>
    <t>CIDADÃO EM AÇÃO - AMOR</t>
  </si>
  <si>
    <t>joaovitor5514@hotmail.com</t>
  </si>
  <si>
    <t>ARTE NAS COMUNIDADES</t>
  </si>
  <si>
    <t>laerteoficial81@gmail.com</t>
  </si>
  <si>
    <t>FACA ALGO POR ALGUEM - FAPA</t>
  </si>
  <si>
    <t>facaalgoporalguem@gmail.com</t>
  </si>
  <si>
    <t>eduardorossiter79@gmail.com</t>
  </si>
  <si>
    <t xml:space="preserve"> DO TRABALHO</t>
  </si>
  <si>
    <t>elielprimo@hotmail.com</t>
  </si>
  <si>
    <t>CENTRO COMUNITARIO IRMAOS KENNEDY</t>
  </si>
  <si>
    <t>ccikennedy2011@gmail.com</t>
  </si>
  <si>
    <t>gm.veronicaseso@gmail.com</t>
  </si>
  <si>
    <t>ASSOCIACAO DESPORTIVA E CULTURAL BRAZIL FOOTBALL CLUB</t>
  </si>
  <si>
    <t>brazilfootballclub@outlook.com</t>
  </si>
  <si>
    <t>jefranco07@hotmail.com</t>
  </si>
  <si>
    <t>GRUPO DE ACAO SOCIAL COMUNITARIA</t>
  </si>
  <si>
    <t>ong.gasco258@gmail.com</t>
  </si>
  <si>
    <t>bernadetesoaresgasco@gmail.com</t>
  </si>
  <si>
    <t xml:space="preserve"> RAÍZES ESCOLHIDAS</t>
  </si>
  <si>
    <t>jeronimomarcia1978@gmail.com</t>
  </si>
  <si>
    <t xml:space="preserve"> RESGATANDO A ESSÊNCIA</t>
  </si>
  <si>
    <t>resgatandoaessencia1809@gmail.com</t>
  </si>
  <si>
    <t>santossandra882@gmail.com</t>
  </si>
  <si>
    <t xml:space="preserve"> CULTURAL BALUARTE DA AMAZONIA - ICBA</t>
  </si>
  <si>
    <t>institutoculturalbaluarte@gmail.com</t>
  </si>
  <si>
    <t>jader.seabra@institutobaluartedaamazonia.org</t>
  </si>
  <si>
    <t>CARITAS DIOCESANA DA DIOCESE DE MIRACEMA DO TOCANTINS</t>
  </si>
  <si>
    <t>caritasmiracemato@gmail.com</t>
  </si>
  <si>
    <t>ms.sola@hotmail.com</t>
  </si>
  <si>
    <t>CIDADE FELIZ</t>
  </si>
  <si>
    <t>cavalcanteialan@gmail.com</t>
  </si>
  <si>
    <t xml:space="preserve"> MARCINHO MEGAS KAMARADAS</t>
  </si>
  <si>
    <t>suzana7amaral22@gmail.com</t>
  </si>
  <si>
    <t>dianakeilacruzdaconceicaoc@gmail.com</t>
  </si>
  <si>
    <t xml:space="preserve"> SOCIAL E COMUNITÁRIO ARRAIAL DA GLÓRIA</t>
  </si>
  <si>
    <t>arraialdagloria08@gmail.com</t>
  </si>
  <si>
    <t>sillva.renann@gmail.com</t>
  </si>
  <si>
    <t>ASSOCIACAO COMUNITARIA CRISTA EBENEZER</t>
  </si>
  <si>
    <t>projetoebenezer@gmail.com</t>
  </si>
  <si>
    <t>projetoebenezer@gmaikl.com</t>
  </si>
  <si>
    <t xml:space="preserve"> DE ASSISTENCIA A VIDA KASA DI SARDINHA</t>
  </si>
  <si>
    <t>kdsardinha.ap@gmail.com</t>
  </si>
  <si>
    <t>elieziosardinha.121@gmail.com</t>
  </si>
  <si>
    <t>ASSOCIACAO RECANTO SOCIAL BOM PASTOR</t>
  </si>
  <si>
    <t>gmuhteodoro@hotmail.com</t>
  </si>
  <si>
    <t>FUTSAL</t>
  </si>
  <si>
    <t>kennon.wesley@gmail.com</t>
  </si>
  <si>
    <t>kennon-wesley@hotmail.com</t>
  </si>
  <si>
    <t>ASSOCIACAO AMIGOS DO NOEL</t>
  </si>
  <si>
    <t>amigosdonoelcwb2016@gmail.com</t>
  </si>
  <si>
    <t>jessikarstavares@gmail.com</t>
  </si>
  <si>
    <t>PROJETO COMUNITARIO SORRISO DA CRIANCA</t>
  </si>
  <si>
    <t>sorrisodacrianca@sorrisodacrianca.org.br</t>
  </si>
  <si>
    <t>aagradela@gmail.com</t>
  </si>
  <si>
    <t>ASSOCIACAO EDUCACIONAL E BENEFICENTE PAO DA VIDA</t>
  </si>
  <si>
    <t>contato@nacer.org.br</t>
  </si>
  <si>
    <t>cleslleyrodrigues@gmail.com</t>
  </si>
  <si>
    <t>IRSEBA  DE REFERENCIA SOCIAL DO ESTADO DA BAHIA</t>
  </si>
  <si>
    <t>irsebacrecheescola@gmail.com</t>
  </si>
  <si>
    <t>thamaraareginaa@gmail.com</t>
  </si>
  <si>
    <t>ASSOCIACAO COMUNITARIA E CRECHE DAS FAMILIAS CARENTES DA VILA VITORIA</t>
  </si>
  <si>
    <t>escolaha.tiamary@gmail.com</t>
  </si>
  <si>
    <t>gleicyane.cyane@gmail.com</t>
  </si>
  <si>
    <t>PROJETO SHALOM</t>
  </si>
  <si>
    <t>cordenacao.projetoshalom@gmail.com</t>
  </si>
  <si>
    <t>angelicaoliveira2880@gmail.com</t>
  </si>
  <si>
    <t>CENTRO BENEFICENTE NOSSA SENHORA DA GLORIA</t>
  </si>
  <si>
    <t>cebensg@hotmail.com</t>
  </si>
  <si>
    <t>isaascenoadv@gmail.com</t>
  </si>
  <si>
    <t>MOVIMENTO DE ASSISTENCIA E INCLUSAO SOCIAL - CONSULTORIA SOCIAL</t>
  </si>
  <si>
    <t>erika@maissocial.org</t>
  </si>
  <si>
    <t xml:space="preserve"> MAGNIFICAT DE DESENVOLVIMENTO HUMANO E DE PROTECAO AMBIENTAL</t>
  </si>
  <si>
    <t>institutomagnificat17@gmail.com</t>
  </si>
  <si>
    <t>sousaalgelzania@gmail.com</t>
  </si>
  <si>
    <t>PEPE - MASSANGANA</t>
  </si>
  <si>
    <t>shemaclassterceirosetor@gmail.com</t>
  </si>
  <si>
    <t>SARSA EDUCACIONAL LTDA</t>
  </si>
  <si>
    <t>andressa@oqueaprendinaengenharia.com</t>
  </si>
  <si>
    <t>GREMIO CULTURAL E RECREATIVO ANJO DA GUARDA</t>
  </si>
  <si>
    <t>escpinoquio2013@gmail.com</t>
  </si>
  <si>
    <t>flavyalobatosa@gmail.com</t>
  </si>
  <si>
    <t>MINISTERIO INTERNACIONAL DE MISERICORDIA</t>
  </si>
  <si>
    <t>mimsocial.org@gmail.com</t>
  </si>
  <si>
    <t>henriquedapenha@gmail.com</t>
  </si>
  <si>
    <t xml:space="preserve"> MARANHENSE EDUCANDARIO BETESDA</t>
  </si>
  <si>
    <t>educandariobetesda@gmail.com</t>
  </si>
  <si>
    <t>ozelinabrasil@gmail.com</t>
  </si>
  <si>
    <t>ASSOCIACAO PESCA MARAVILHOSA</t>
  </si>
  <si>
    <t>pescamaravilhosa.associacao@gmail.com</t>
  </si>
  <si>
    <t>schaves5@yahoo.com.br</t>
  </si>
  <si>
    <t>OBRAS SOCIAIS RAFAEL VERLANGIERI</t>
  </si>
  <si>
    <t>rhavenarafaela@gmail.com</t>
  </si>
  <si>
    <t>ASSOCIACAO FELIPE AMAR E VIDA</t>
  </si>
  <si>
    <t>lgustavimpf@gmail.com</t>
  </si>
  <si>
    <t xml:space="preserve"> REVIVER MIRAI MG</t>
  </si>
  <si>
    <t>institutorevivermirai@gmail.com</t>
  </si>
  <si>
    <t>prewertonmoura@gmail.com</t>
  </si>
  <si>
    <t>ASSOCIACAO PINTANDO O SETEAZUL - APSA/CE</t>
  </si>
  <si>
    <t>pintandooseteazul@gmail.com</t>
  </si>
  <si>
    <t>kellyannekarla@gmail.com</t>
  </si>
  <si>
    <t>ASSOCIACAO DE MORADORES PARIPE EM MOVIMENTO</t>
  </si>
  <si>
    <t>paripeemmovimento.org@gmail.com</t>
  </si>
  <si>
    <t>gilb_gsn@hotmail.com</t>
  </si>
  <si>
    <t>ASSOCIACAO ARTE E ACORDES</t>
  </si>
  <si>
    <t>arteeacordes@gmail.com</t>
  </si>
  <si>
    <t>neilasoflauta@hotmail.com</t>
  </si>
  <si>
    <t xml:space="preserve"> MANUEL BRAGA</t>
  </si>
  <si>
    <t>andreapessoa013@gmail.com</t>
  </si>
  <si>
    <t>SOU MAIS JF</t>
  </si>
  <si>
    <t>moreirayasminn3@gmail.com</t>
  </si>
  <si>
    <t>CIA BALLET GRANDK</t>
  </si>
  <si>
    <t>katiadiasfrancakd@gmail.com</t>
  </si>
  <si>
    <t>ASSOCIACAO COMUNITARIA DE DOIS UNIDOS E ADJACENCIAS</t>
  </si>
  <si>
    <t>associacaodoisunidos@gmail.com</t>
  </si>
  <si>
    <t>rafael2unidos@gmail.com</t>
  </si>
  <si>
    <t>CENTRO DE AÇÃO SOCIAL/ EDUCAÇÃO PROFISSIONAL E ESPORTIVA GARIMPANDO DIAMANTES</t>
  </si>
  <si>
    <t>professor.eri2012@hotmail.com</t>
  </si>
  <si>
    <t>veltetkd@hotmail.com</t>
  </si>
  <si>
    <t>ORGANIZACAO SOCIAL CIVIL UNIDAS PELO BEM - OSC UNIDAS PELO BEM</t>
  </si>
  <si>
    <t>unidaspelobem123@gmail.com</t>
  </si>
  <si>
    <t>midianlopes300@gmail.com</t>
  </si>
  <si>
    <t>COLETIVO FUNDO DA CAIXA</t>
  </si>
  <si>
    <t>mari.anavasc@outlook.com</t>
  </si>
  <si>
    <t>VIDAS E VALORES</t>
  </si>
  <si>
    <t>vidaevalores2020@gmail.com</t>
  </si>
  <si>
    <t>leilaalbuquerquedeoliveira3@gmail.com</t>
  </si>
  <si>
    <t>PROJETO SOCIAL MÃOS NA COMUNIDADE</t>
  </si>
  <si>
    <t>projetomaosnacomunidade@gmail.com</t>
  </si>
  <si>
    <t>jessycamota@id.uff.br</t>
  </si>
  <si>
    <t>ASSOCIACAO BOM SAMARITANO</t>
  </si>
  <si>
    <t>absamaritano@yahoo.com.br</t>
  </si>
  <si>
    <t>rita.cruz.social@gmail.com</t>
  </si>
  <si>
    <t>PROJETO SOCIAL FILHOS DA INCLUSÃO</t>
  </si>
  <si>
    <t>filhosdainclusao@gmail.com</t>
  </si>
  <si>
    <t>rafaelareginaaraujo@hotmail.com</t>
  </si>
  <si>
    <t>ASSOCIAÇÃO  MORIÁ</t>
  </si>
  <si>
    <t>grasielabeatris@gmail.com</t>
  </si>
  <si>
    <t>ONG SOLIDARIEDADE</t>
  </si>
  <si>
    <t>ongsolidariedade246@gmail.com</t>
  </si>
  <si>
    <t>cristianesubad@gmail.com</t>
  </si>
  <si>
    <t>PROJETO SOCIAL MANASSU , QUAL O MUNDO QUE EU QUERO?</t>
  </si>
  <si>
    <t>eigize2018@gmail.com</t>
  </si>
  <si>
    <t>joseeigize@hotmail.com</t>
  </si>
  <si>
    <t xml:space="preserve"> VOCÊ EM CENA</t>
  </si>
  <si>
    <t>institutovoceemcena@outlook.com</t>
  </si>
  <si>
    <t>pretynhadeouro@outlook.com</t>
  </si>
  <si>
    <t>PROJETO PEQUENINOS PARA CRISTO</t>
  </si>
  <si>
    <t>pparacristo3@gmail.com</t>
  </si>
  <si>
    <t>PURO AMOR</t>
  </si>
  <si>
    <t>barnabetamires@gmail.com</t>
  </si>
  <si>
    <t>NÚCLEO DE MULHERES DO ROSARINHO</t>
  </si>
  <si>
    <t>nucleodemulheresrosarinho@gmail.com</t>
  </si>
  <si>
    <t>thaisgmachado@gmail.com</t>
  </si>
  <si>
    <t xml:space="preserve"> SOCIAL DO BRASIL</t>
  </si>
  <si>
    <t>jeannacruth@gmail.com</t>
  </si>
  <si>
    <t>PROJETRA</t>
  </si>
  <si>
    <t>projetotravessiaprojetra@gmail.com</t>
  </si>
  <si>
    <t>SOSSAOJOSE</t>
  </si>
  <si>
    <t>josivaniafelixdasilva4@gmail.com</t>
  </si>
  <si>
    <t>PROJETO ABRAÇO AMIGAS DO BEM</t>
  </si>
  <si>
    <t>projetoabraco.jp@gmail.com</t>
  </si>
  <si>
    <t>socorroalencar40@hotmail.com</t>
  </si>
  <si>
    <t>ASSOCIACAO COMUNITARIA INDIO PIRAGIBE ILHA DO BISPO</t>
  </si>
  <si>
    <t>acipilhadobispo2022@gmail.com</t>
  </si>
  <si>
    <t>professormaxwell87@gmail.com</t>
  </si>
  <si>
    <t>CASA JOVEM APRENDIZ</t>
  </si>
  <si>
    <t>casajovemaprendiz@gmail.com</t>
  </si>
  <si>
    <t>jorgemedeirosgf@gmail.com</t>
  </si>
  <si>
    <t>PROJETO RECRIANDO RAIZES</t>
  </si>
  <si>
    <t>coordenacao@recriandoraizes.org.br</t>
  </si>
  <si>
    <t>ilma.rocha@recriandoraizes.org.br</t>
  </si>
  <si>
    <t>ESPACO CULTURAL NOSSA BIBLIOTECA</t>
  </si>
  <si>
    <t>ecnbiblioteca@gmail.com</t>
  </si>
  <si>
    <t>vslmaciel@gmail.com</t>
  </si>
  <si>
    <t>GRUPO SOCIAL PELA VIDA</t>
  </si>
  <si>
    <t>melalsmotta@gmail.com</t>
  </si>
  <si>
    <t xml:space="preserve"> VIRANDO O JOGO</t>
  </si>
  <si>
    <t>ivjviamao@gmail.com</t>
  </si>
  <si>
    <t>maicoguimaraes15777@gmail.com</t>
  </si>
  <si>
    <t>PROVIDENCIANDO A FAVOR DA VIDA</t>
  </si>
  <si>
    <t>providenciando@gmail.com</t>
  </si>
  <si>
    <t xml:space="preserve"> DE SOLIDARIEDADE E RESGATE DA CIDADANIA RUMO AO FUTURO</t>
  </si>
  <si>
    <t>institutosol07@gmail.com</t>
  </si>
  <si>
    <t>carlaniceto@yahoo.com.br</t>
  </si>
  <si>
    <t>ASSOCIACAO  CULTURA QUEREMOS FAZER</t>
  </si>
  <si>
    <t>lpjn.contato@gmail.com</t>
  </si>
  <si>
    <t>guilhermeviniciusr@gmail.com</t>
  </si>
  <si>
    <t>QUILOMBO DA TUCA</t>
  </si>
  <si>
    <t>marquesrosa2710@gmail.com</t>
  </si>
  <si>
    <t xml:space="preserve"> SOCIAL INTERLIGA</t>
  </si>
  <si>
    <t>loraynekelly3@gmail.com</t>
  </si>
  <si>
    <t>PROJETO SURF DO BEM</t>
  </si>
  <si>
    <t>projetosurfdobem@gmail.com</t>
  </si>
  <si>
    <t>belkurtz@bazeproducoes.com.br</t>
  </si>
  <si>
    <t xml:space="preserve"> NOVO HORIZONTE - INH</t>
  </si>
  <si>
    <t>contato@institutonovohorizonte.com.br</t>
  </si>
  <si>
    <t>josilene.oliveira.amorim@gmail.com</t>
  </si>
  <si>
    <t xml:space="preserve"> SOCIAL AGATHA EM DEFESA DA MULHER</t>
  </si>
  <si>
    <t>administracao@ongagatha.org.br</t>
  </si>
  <si>
    <t>talitaveronicadasilva@gmail.com</t>
  </si>
  <si>
    <t>ASSOCIACAO DE AMIGOS DOS PORTADORES DE DOENCAS GRAVES E DE CRIANCAS EM VULNERABILIDADE SOCIAL - CASA DA VIDA</t>
  </si>
  <si>
    <t>ritarj2005@yahoo.com.br</t>
  </si>
  <si>
    <t>rmcs.consultoria@gmail.com</t>
  </si>
  <si>
    <t>FUNDACAO BENEFICENTE PRESBITERO FRANCISCO JOAQUIM DA SILVA</t>
  </si>
  <si>
    <t>anastasisbanda@gmail.com</t>
  </si>
  <si>
    <t>ASSOCIACAO INTEGRADA DE CULTURA, ESPORTE E LAZER</t>
  </si>
  <si>
    <t>projetosocial.aicel@gmail.com</t>
  </si>
  <si>
    <t>sandesprofissional@gmail.com</t>
  </si>
  <si>
    <t xml:space="preserve"> SÃO JORGE</t>
  </si>
  <si>
    <t>institutosaojorge@gmail.com</t>
  </si>
  <si>
    <t>moacirbotelhocabral828@gmail.com</t>
  </si>
  <si>
    <t>ASSOCIACAO COMUNITARIA DA CHACARA DO PRIMEIRO</t>
  </si>
  <si>
    <t>verameneghetti63@gmail.com</t>
  </si>
  <si>
    <t>PROJETO SOCIAL FAZENDO O BEM</t>
  </si>
  <si>
    <t>rafaellabrechodeluxo@gmail.com</t>
  </si>
  <si>
    <t>EU VEJO VC SEM FRONTEIRAS</t>
  </si>
  <si>
    <t>euvejovcsemfronteiras@gmail.com</t>
  </si>
  <si>
    <t>fwaldir32@gmail.com</t>
  </si>
  <si>
    <t>SPARTA ASSOCIACAO ESPORTIVA DO MORRO DA PROVIDENCIA</t>
  </si>
  <si>
    <t>ongspartario@gmail.com</t>
  </si>
  <si>
    <t>PROJETO FLORES DO BEM</t>
  </si>
  <si>
    <t>projetofloresdobem@gmail.com</t>
  </si>
  <si>
    <t>PAPO SOLIDÁRIO</t>
  </si>
  <si>
    <t>kathezynha@hotmail.com</t>
  </si>
  <si>
    <t>ESPAÇO FEMINISTA</t>
  </si>
  <si>
    <t>contato@espacofeminista.org</t>
  </si>
  <si>
    <t>fatimaajp14@gmail.com</t>
  </si>
  <si>
    <t xml:space="preserve">              Salesforce Import Snapshot
              Snapshot as of Oct 01, 2023</t>
  </si>
  <si>
    <t>kimicosoga@gmail.com</t>
  </si>
  <si>
    <t>10.578.573/0001-50</t>
  </si>
  <si>
    <t>montemarcio4@gmail.com</t>
  </si>
  <si>
    <t>(21)9776-688428</t>
  </si>
  <si>
    <t>Rua Iguaba Grande</t>
  </si>
  <si>
    <t>Pavuna</t>
  </si>
  <si>
    <t>Julio cezar Muniz Azevedo</t>
  </si>
  <si>
    <t>Alto José do Pinho</t>
  </si>
  <si>
    <t>B</t>
  </si>
  <si>
    <t>Paulo</t>
  </si>
  <si>
    <t>(11)94089-5839</t>
  </si>
  <si>
    <t>Estrada dom joao nery</t>
  </si>
  <si>
    <t>Jardim loyrdes</t>
  </si>
  <si>
    <t>83 9985-2466</t>
  </si>
  <si>
    <t>Rua José Rodrigues de Moura</t>
  </si>
  <si>
    <t>João Pessoa</t>
  </si>
  <si>
    <t>Celia</t>
  </si>
  <si>
    <t>Geane</t>
  </si>
  <si>
    <t>(84)99834-3177</t>
  </si>
  <si>
    <t>Cidade da Esperança</t>
  </si>
  <si>
    <t>Natal</t>
  </si>
  <si>
    <t>LARISSA MELINA</t>
  </si>
  <si>
    <t>(27)99286-3301</t>
  </si>
  <si>
    <t>Rua Rio Ipiranga</t>
  </si>
  <si>
    <t>Dom João Batista</t>
  </si>
  <si>
    <t>Vila Velha</t>
  </si>
  <si>
    <t>(21)99416-6987</t>
  </si>
  <si>
    <t>Rua Lauro Sodré</t>
  </si>
  <si>
    <t>Vila Santo Antônio</t>
  </si>
  <si>
    <t>Silvio</t>
  </si>
  <si>
    <t>MS</t>
  </si>
  <si>
    <t>Tijuca</t>
  </si>
  <si>
    <t>Campo Grande</t>
  </si>
  <si>
    <t>(63)3217-4255</t>
  </si>
  <si>
    <t>TO</t>
  </si>
  <si>
    <t>Quadra ARSE 111 Alameda 2</t>
  </si>
  <si>
    <t>Plano Diretor Sul</t>
  </si>
  <si>
    <t>Palmas</t>
  </si>
  <si>
    <t>Amilson</t>
  </si>
  <si>
    <t>Areia Branca</t>
  </si>
  <si>
    <t>São Bento</t>
  </si>
  <si>
    <t>Adriana</t>
  </si>
  <si>
    <t>(67)9922-2525</t>
  </si>
  <si>
    <t>Inocência  Moreira dos Santos</t>
  </si>
  <si>
    <t>Aero Rancho</t>
  </si>
  <si>
    <t>Ceureci</t>
  </si>
  <si>
    <t>(31)99328-8539</t>
  </si>
  <si>
    <t>Rua Ritmo</t>
  </si>
  <si>
    <t>Santana do Cafezal</t>
  </si>
  <si>
    <t>Caruaru</t>
  </si>
  <si>
    <t>(51)98566-4806</t>
  </si>
  <si>
    <t>AC</t>
  </si>
  <si>
    <t>Rua Independência</t>
  </si>
  <si>
    <t>Bairro Bela Vista</t>
  </si>
  <si>
    <t>Rio Branco</t>
  </si>
  <si>
    <t>Jessica</t>
  </si>
  <si>
    <t>Manaus</t>
  </si>
  <si>
    <t>Marly</t>
  </si>
  <si>
    <t>Zona rural</t>
  </si>
  <si>
    <t>Cidade Nova</t>
  </si>
  <si>
    <t>(71)3213-7256</t>
  </si>
  <si>
    <t>Rua Direita da Goméia</t>
  </si>
  <si>
    <t>São Caetano</t>
  </si>
  <si>
    <t>dino</t>
  </si>
  <si>
    <t>Santo Amaro</t>
  </si>
  <si>
    <t>(84)99963-5336</t>
  </si>
  <si>
    <t>Rua Padre Cícero Romão</t>
  </si>
  <si>
    <t>Redinha</t>
  </si>
  <si>
    <t>Wanderley</t>
  </si>
  <si>
    <t>(21)98829-8223</t>
  </si>
  <si>
    <t>Avenida Bartolomeu de Gusmão</t>
  </si>
  <si>
    <t>São Cristóvão/Mangueira</t>
  </si>
  <si>
    <t>(11)96668-3880</t>
  </si>
  <si>
    <t>Benjamim Novais</t>
  </si>
  <si>
    <t>Burgo Pailista</t>
  </si>
  <si>
    <t>Douglas</t>
  </si>
  <si>
    <t>GRUPO SOICIAL CULTURAL ILUMINE ESSA IDEIA</t>
  </si>
  <si>
    <t>(81)98483-5690</t>
  </si>
  <si>
    <t>Rua Marcelon de Castro Lira</t>
  </si>
  <si>
    <t>Patrícia de lima Monteiro</t>
  </si>
  <si>
    <t>Hortolândia</t>
  </si>
  <si>
    <t>(71)99111-2272</t>
  </si>
  <si>
    <t>Rua Presidente Kennedy</t>
  </si>
  <si>
    <t>Roberto</t>
  </si>
  <si>
    <t>Rua São Paulo</t>
  </si>
  <si>
    <t>Vila velha</t>
  </si>
  <si>
    <t>Sandra</t>
  </si>
  <si>
    <t>(85)98855-2806</t>
  </si>
  <si>
    <t>Rua Darcy Vargas</t>
  </si>
  <si>
    <t>Parque São José</t>
  </si>
  <si>
    <t>Sérgio Costa Lopes</t>
  </si>
  <si>
    <t>(86)3321-2317</t>
  </si>
  <si>
    <t>PI</t>
  </si>
  <si>
    <t>Rua Maria das Graças Seixas Aquino</t>
  </si>
  <si>
    <t>Conselheiro Alberto Silva</t>
  </si>
  <si>
    <t>Parnaíba</t>
  </si>
  <si>
    <t>Ana Angelica</t>
  </si>
  <si>
    <t>(85)98719-6031</t>
  </si>
  <si>
    <t>RUA LOURDES VIDAL ALVES</t>
  </si>
  <si>
    <t>CURIÓ</t>
  </si>
  <si>
    <t>FORTALEZA</t>
  </si>
  <si>
    <t>Genimeire</t>
  </si>
  <si>
    <t>(21)3842-8323</t>
  </si>
  <si>
    <t>Avenida Deputado Almeida Franco</t>
  </si>
  <si>
    <t>Olavo Bilac</t>
  </si>
  <si>
    <t>Cleide Jane</t>
  </si>
  <si>
    <t>Jorge</t>
  </si>
  <si>
    <t>Emerson</t>
  </si>
  <si>
    <t>(82)99922-5686</t>
  </si>
  <si>
    <t>Rua Desembargador Tenório</t>
  </si>
  <si>
    <t>Farol</t>
  </si>
  <si>
    <t>Ângela</t>
  </si>
  <si>
    <t>Casa Amarela</t>
  </si>
  <si>
    <t>Angélica</t>
  </si>
  <si>
    <t>Travessa Guilherme Maza</t>
  </si>
  <si>
    <t>Chatuba</t>
  </si>
  <si>
    <t>Antonio</t>
  </si>
  <si>
    <t>(31)99987-6236</t>
  </si>
  <si>
    <t>Rua vitoriano Veloso 200</t>
  </si>
  <si>
    <t>inconfidentes</t>
  </si>
  <si>
    <t>Ouro branco</t>
  </si>
  <si>
    <t>Virginia</t>
  </si>
  <si>
    <t>Plataforma</t>
  </si>
  <si>
    <t>Larissa</t>
  </si>
  <si>
    <t>(88)99724-6619</t>
  </si>
  <si>
    <t>Rua 104</t>
  </si>
  <si>
    <t>Cohab</t>
  </si>
  <si>
    <t>Camocim</t>
  </si>
  <si>
    <t>(83)98825-8585</t>
  </si>
  <si>
    <t>Rua Pastor Firmino Silva, 278</t>
  </si>
  <si>
    <t>Treze de Maio</t>
  </si>
  <si>
    <t>RO</t>
  </si>
  <si>
    <t>Porto Velho</t>
  </si>
  <si>
    <t>(81)98357-8615</t>
  </si>
  <si>
    <t>Rua Patío do Povo</t>
  </si>
  <si>
    <t>Ibura</t>
  </si>
  <si>
    <t>Laerte</t>
  </si>
  <si>
    <t>Cabanagem</t>
  </si>
  <si>
    <t>(71)98749-5483</t>
  </si>
  <si>
    <t>Rua Padre Luiz Filgueiras</t>
  </si>
  <si>
    <t>Engenho Velho de Brotas</t>
  </si>
  <si>
    <t>Reinaldo</t>
  </si>
  <si>
    <t>(11)95451-4209</t>
  </si>
  <si>
    <t>Rua cumai 97</t>
  </si>
  <si>
    <t>Vila esperança penha</t>
  </si>
  <si>
    <t>Gilvanete</t>
  </si>
  <si>
    <t>(84)99644-3991</t>
  </si>
  <si>
    <t>EPAMINONDAS CAMARA CALDAS</t>
  </si>
  <si>
    <t>FRUTILANDIA</t>
  </si>
  <si>
    <t>Açu</t>
  </si>
  <si>
    <t>Quezia Patricia</t>
  </si>
  <si>
    <t>Santa Isabel</t>
  </si>
  <si>
    <t>Viamão</t>
  </si>
  <si>
    <t>(11)95882-2261</t>
  </si>
  <si>
    <t>Rua Cabo PM José Carlos Rodrigues da Silva</t>
  </si>
  <si>
    <t>Jd. Filhos da Terra/Guapira</t>
  </si>
  <si>
    <t>Mercedes</t>
  </si>
  <si>
    <t>(13)3458-5384</t>
  </si>
  <si>
    <t>Rua Dezessete</t>
  </si>
  <si>
    <t>Recreio Santista</t>
  </si>
  <si>
    <t>Peruíbe</t>
  </si>
  <si>
    <t>(63)98456-4390</t>
  </si>
  <si>
    <t>Quadra ARNO 42 Alameda 7 CONJ HM02 LOTE 2</t>
  </si>
  <si>
    <t>Plano Diretor Norte</t>
  </si>
  <si>
    <t>MARIA DE JESUS</t>
  </si>
  <si>
    <t>(79)99114-5396</t>
  </si>
  <si>
    <t>Rua Sergipe</t>
  </si>
  <si>
    <t>Siqueira Campos</t>
  </si>
  <si>
    <t>ACSA REBECA</t>
  </si>
  <si>
    <t>(96)99118-4510</t>
  </si>
  <si>
    <t>AP</t>
  </si>
  <si>
    <t>Avenida Ceará</t>
  </si>
  <si>
    <t>Pacoval</t>
  </si>
  <si>
    <t>Macapá</t>
  </si>
  <si>
    <t>Luiz Jose</t>
  </si>
  <si>
    <t>São Pedro</t>
  </si>
  <si>
    <t>(75)99804-7834</t>
  </si>
  <si>
    <t>Rua da torre</t>
  </si>
  <si>
    <t>Paripiranga</t>
  </si>
  <si>
    <t>(11)94471-0482</t>
  </si>
  <si>
    <t>Rua da Safira</t>
  </si>
  <si>
    <t>Jardim Monte Cristo</t>
  </si>
  <si>
    <t>Aparecida de Goiânia</t>
  </si>
  <si>
    <t>(41)98800-9953</t>
  </si>
  <si>
    <t>Rua Miguel Oleskowicz</t>
  </si>
  <si>
    <t>Sítio Cercado</t>
  </si>
  <si>
    <t>Jessika</t>
  </si>
  <si>
    <t>(21)96448-4201</t>
  </si>
  <si>
    <t>Estr de Sepetiba</t>
  </si>
  <si>
    <t>(81)8523-2798</t>
  </si>
  <si>
    <t>Rua Douradina</t>
  </si>
  <si>
    <t>Ilha Joana Bezerra</t>
  </si>
  <si>
    <t>Luiz</t>
  </si>
  <si>
    <t>(85)98188-2778</t>
  </si>
  <si>
    <t>Rua Engenheiro Ronaldo de Castro BarbosaENG RONALDO DE CASTRO BARBOSA</t>
  </si>
  <si>
    <t>Parque Manibura</t>
  </si>
  <si>
    <t>FERNANDO</t>
  </si>
  <si>
    <t>(27)99617-6245</t>
  </si>
  <si>
    <t>Av. Nossa Senhora da Penha</t>
  </si>
  <si>
    <t>Getúlio Vargas</t>
  </si>
  <si>
    <t>Palmeiras</t>
  </si>
  <si>
    <t>(19)99331-8097</t>
  </si>
  <si>
    <t>Rua Presidente Bernardes,30</t>
  </si>
  <si>
    <t>Jardim Flamboyant</t>
  </si>
  <si>
    <t>Campinas</t>
  </si>
  <si>
    <t>(85)98770-9451</t>
  </si>
  <si>
    <t>Estrada das Maleitas</t>
  </si>
  <si>
    <t>Maleitas</t>
  </si>
  <si>
    <t>Paracuru</t>
  </si>
  <si>
    <t>DUCIA NEILA</t>
  </si>
  <si>
    <t>(38)99966-2246</t>
  </si>
  <si>
    <t>José Evangelista</t>
  </si>
  <si>
    <t>Mirabela</t>
  </si>
  <si>
    <t>José Antonio</t>
  </si>
  <si>
    <t>(31)97352-1231</t>
  </si>
  <si>
    <t>Avenida Brasília</t>
  </si>
  <si>
    <t>São Francisco de Assis</t>
  </si>
  <si>
    <t>Esmeraldas</t>
  </si>
  <si>
    <t>ANDERSON ALVES</t>
  </si>
  <si>
    <t>(71)98107-1800</t>
  </si>
  <si>
    <t>Rua NOVA BRASILIA</t>
  </si>
  <si>
    <t>VALERIA</t>
  </si>
  <si>
    <t>ESTER</t>
  </si>
  <si>
    <t>Rua Clériston Andrade</t>
  </si>
  <si>
    <t>(21)97003-4027</t>
  </si>
  <si>
    <t>Avenida dos Democráticos</t>
  </si>
  <si>
    <t>Carine</t>
  </si>
  <si>
    <t>Kátia</t>
  </si>
  <si>
    <t>(11)98501-0632</t>
  </si>
  <si>
    <t>Rua simone martini</t>
  </si>
  <si>
    <t>Vila Santa Margarida</t>
  </si>
  <si>
    <t>Patrícia</t>
  </si>
  <si>
    <t>(11)94121-1831</t>
  </si>
  <si>
    <t>Rua Professor Silvio Marcondes Machado</t>
  </si>
  <si>
    <t>Jardim Santa Cruz</t>
  </si>
  <si>
    <t>Ozeias</t>
  </si>
  <si>
    <t>(85)2135-9958</t>
  </si>
  <si>
    <t>Rua Antônio Costa Mendes</t>
  </si>
  <si>
    <t>Lucivanda</t>
  </si>
  <si>
    <t>(11)96560-6533</t>
  </si>
  <si>
    <t>(21)99819-4273</t>
  </si>
  <si>
    <t>Rua Itaporanga 328</t>
  </si>
  <si>
    <t>(71)98747-9767</t>
  </si>
  <si>
    <t>Rua Felícia</t>
  </si>
  <si>
    <t>Sete de Abril</t>
  </si>
  <si>
    <t>Gicélia Maria</t>
  </si>
  <si>
    <t>(11)94397-9671</t>
  </si>
  <si>
    <t>Rua Santos Dumont.596</t>
  </si>
  <si>
    <t>Jardim Jacira</t>
  </si>
  <si>
    <t>Itapecerica da Serra</t>
  </si>
  <si>
    <t>Eliane</t>
  </si>
  <si>
    <t>Coroadinho</t>
  </si>
  <si>
    <t>(33)98838-8515</t>
  </si>
  <si>
    <t>Inácio Figueiredo</t>
  </si>
  <si>
    <t>centro</t>
  </si>
  <si>
    <t>Coronel Murta</t>
  </si>
  <si>
    <t>Eliete</t>
  </si>
  <si>
    <t>Sidney</t>
  </si>
  <si>
    <t>São paulo</t>
  </si>
  <si>
    <t>Itaquera</t>
  </si>
  <si>
    <t>Taquara</t>
  </si>
  <si>
    <t>(71)99735-2128</t>
  </si>
  <si>
    <t>2A Travessa Pedro Gama</t>
  </si>
  <si>
    <t>Bairro Federação</t>
  </si>
  <si>
    <t>Débora</t>
  </si>
  <si>
    <t>Unaí</t>
  </si>
  <si>
    <t>(11)98178-1083</t>
  </si>
  <si>
    <t>Rua dos banqueiros</t>
  </si>
  <si>
    <t>Vila bancária</t>
  </si>
  <si>
    <t>(11)98264-9728</t>
  </si>
  <si>
    <t>Rua Henrique Hessel, 300</t>
  </si>
  <si>
    <t>(98)3232-9333</t>
  </si>
  <si>
    <t>Avenida Paraíso</t>
  </si>
  <si>
    <t>Residencial Paraíso</t>
  </si>
  <si>
    <t>Emanuelle Cristina</t>
  </si>
  <si>
    <t>(71)3401-9463</t>
  </si>
  <si>
    <t>Rua das Bananeiras</t>
  </si>
  <si>
    <t>Rita</t>
  </si>
  <si>
    <t>Vera</t>
  </si>
  <si>
    <t>(84)98861-3764</t>
  </si>
  <si>
    <t>TV. Santa Bárbara, 25</t>
  </si>
  <si>
    <t>Vila de Ponta Negra</t>
  </si>
  <si>
    <t>(11)97504-7942</t>
  </si>
  <si>
    <t>Rua caxiu 201</t>
  </si>
  <si>
    <t>Cidade A.E Carvalho</t>
  </si>
  <si>
    <t>Cristiane</t>
  </si>
  <si>
    <t>Leila</t>
  </si>
  <si>
    <t>(65)99939-7561</t>
  </si>
  <si>
    <t>MT</t>
  </si>
  <si>
    <t>Avenida Santa Terezinha</t>
  </si>
  <si>
    <t>Jardim dos Estados</t>
  </si>
  <si>
    <t>Várzea Grande</t>
  </si>
  <si>
    <t>MAYHARA</t>
  </si>
  <si>
    <t>Rua Bahia</t>
  </si>
  <si>
    <t>Zona Rural</t>
  </si>
  <si>
    <t>(19)3199-8814</t>
  </si>
  <si>
    <t>R. Luverci Pereira de Souza</t>
  </si>
  <si>
    <t>Cidade Universitária</t>
  </si>
  <si>
    <t>Geraldo</t>
  </si>
  <si>
    <t>(85)99811-5811</t>
  </si>
  <si>
    <t>Rua Abelardo Ferreira</t>
  </si>
  <si>
    <t>Jardim Iracema</t>
  </si>
  <si>
    <t>francisco marcio</t>
  </si>
  <si>
    <t>(71)3398-6529</t>
  </si>
  <si>
    <t>Travessa Primeiro de Novembro</t>
  </si>
  <si>
    <t>São João do Cabrito</t>
  </si>
  <si>
    <t>Claudia Magali Bonfim</t>
  </si>
  <si>
    <t>(85)98653-7101</t>
  </si>
  <si>
    <t>RUA 1004</t>
  </si>
  <si>
    <t>CONJUNTO CEARÁ</t>
  </si>
  <si>
    <t>HAMILTON</t>
  </si>
  <si>
    <t>rua 7 de Setembro,11</t>
  </si>
  <si>
    <t>(31)98568-1797</t>
  </si>
  <si>
    <t>rua paulo cesar de mendonça</t>
  </si>
  <si>
    <t>Rua Barão do Rio Branco</t>
  </si>
  <si>
    <t>(11)4994-8884</t>
  </si>
  <si>
    <t>Rua Eduardo Monteiro</t>
  </si>
  <si>
    <t>Jardim Bela Vista</t>
  </si>
  <si>
    <t>Santo André</t>
  </si>
  <si>
    <t>Flávia</t>
  </si>
  <si>
    <t>(71)3397-3535</t>
  </si>
  <si>
    <t>Rua Doutor Eduardo Dotto</t>
  </si>
  <si>
    <t>Paripe</t>
  </si>
  <si>
    <t>VIRGINIA</t>
  </si>
  <si>
    <t>(31)98867-5923</t>
  </si>
  <si>
    <t>Rua Vinte e Um de Abril</t>
  </si>
  <si>
    <t>marli</t>
  </si>
  <si>
    <t>(21)3134-8330</t>
  </si>
  <si>
    <t>Rua Carminha</t>
  </si>
  <si>
    <t>Parque Beira Mar</t>
  </si>
  <si>
    <t>Zélia Maria</t>
  </si>
  <si>
    <t>Renata</t>
  </si>
  <si>
    <t>Diego</t>
  </si>
  <si>
    <t>Bauru</t>
  </si>
  <si>
    <t>(61)9915-0657</t>
  </si>
  <si>
    <t>QR 523 Conjunto 9</t>
  </si>
  <si>
    <t>Samambaia Sul (Samambaia)</t>
  </si>
  <si>
    <t>FARION</t>
  </si>
  <si>
    <t>Alex</t>
  </si>
  <si>
    <t>(21)97657-9727</t>
  </si>
  <si>
    <t>Rua Pedro Birges de Freitas</t>
  </si>
  <si>
    <t>Irajá</t>
  </si>
  <si>
    <t>(11)96362-9026</t>
  </si>
  <si>
    <t>Avenida Dona Belmira Marin</t>
  </si>
  <si>
    <t>Parque Brasil</t>
  </si>
  <si>
    <t>Clecia Regina</t>
  </si>
  <si>
    <t>AACCS</t>
  </si>
  <si>
    <t>(31)2576-0827</t>
  </si>
  <si>
    <t>Rua Antônio Basílio Pereira</t>
  </si>
  <si>
    <t>Sabará</t>
  </si>
  <si>
    <t>Francisco</t>
  </si>
  <si>
    <t>(51)9638-1349</t>
  </si>
  <si>
    <t>dona cotinha</t>
  </si>
  <si>
    <t>sao cristovão</t>
  </si>
  <si>
    <t>Arroio dos Ratos</t>
  </si>
  <si>
    <t>Silsa</t>
  </si>
  <si>
    <t>contagem</t>
  </si>
  <si>
    <t>(51)99195-3251</t>
  </si>
  <si>
    <t>Rua Maria Apolonia Chaves</t>
  </si>
  <si>
    <t>Coronel Aparício Borges</t>
  </si>
  <si>
    <t>(81)98186-9389</t>
  </si>
  <si>
    <t>Elivânia</t>
  </si>
  <si>
    <t>(11)98143-1401</t>
  </si>
  <si>
    <t>Rua: Do Cobre 299</t>
  </si>
  <si>
    <t>Cidade Tiradentes</t>
  </si>
  <si>
    <t>Tâmara</t>
  </si>
  <si>
    <t>(81)99647-9071</t>
  </si>
  <si>
    <t>Avenida Hildebrando de Vasconcelos</t>
  </si>
  <si>
    <t>Dois Unidos</t>
  </si>
  <si>
    <t>RAFAEL</t>
  </si>
  <si>
    <t>Milagres</t>
  </si>
  <si>
    <t>(85)98718-4114</t>
  </si>
  <si>
    <t>Rua Guarapari</t>
  </si>
  <si>
    <t>Siqueira</t>
  </si>
  <si>
    <t>CARLOS AUGUSTO DA</t>
  </si>
  <si>
    <t>(82)99168-2706</t>
  </si>
  <si>
    <t>Rua Aminadab Valente</t>
  </si>
  <si>
    <t>Trapiche da Barra</t>
  </si>
  <si>
    <t>MARIA JOSÉ</t>
  </si>
  <si>
    <t>(98)0000-0000</t>
  </si>
  <si>
    <t>Rua da Goiaba</t>
  </si>
  <si>
    <t>Vila Vitória</t>
  </si>
  <si>
    <t>Gleicyane</t>
  </si>
  <si>
    <t>(75)9158-7523</t>
  </si>
  <si>
    <t>Povoado da sucupira 2</t>
  </si>
  <si>
    <t>Gildeane</t>
  </si>
  <si>
    <t>(83)98871-9593</t>
  </si>
  <si>
    <t>Avenida Redenção</t>
  </si>
  <si>
    <t>Ilha do Bispo</t>
  </si>
  <si>
    <t>Maxwell Felix</t>
  </si>
  <si>
    <t>(81)99213-7494</t>
  </si>
  <si>
    <t>Rua da Olaria</t>
  </si>
  <si>
    <t>Cambonge</t>
  </si>
  <si>
    <t>Moreno</t>
  </si>
  <si>
    <t>(17)99132-6851</t>
  </si>
  <si>
    <t>Avenida Jesus Torrecilha</t>
  </si>
  <si>
    <t>Jardim Ipanema</t>
  </si>
  <si>
    <t>(85)98991-5660</t>
  </si>
  <si>
    <t>: RUA J CONJ. VILA VELHA IV</t>
  </si>
  <si>
    <t>VILA VELHA</t>
  </si>
  <si>
    <t>MARCIO</t>
  </si>
  <si>
    <t>Fabiana</t>
  </si>
  <si>
    <t>São João da Ponte</t>
  </si>
  <si>
    <t>ASCOMVE</t>
  </si>
  <si>
    <t>(38)99886-1106</t>
  </si>
  <si>
    <t>comunidade quilombola de vereda Viana</t>
  </si>
  <si>
    <t>zona rural</t>
  </si>
  <si>
    <t>LINDOMAR</t>
  </si>
  <si>
    <t>(11)94754-8263</t>
  </si>
  <si>
    <t>Rua Moisés Alves dos Santos</t>
  </si>
  <si>
    <t>Jardim das Oliveiras</t>
  </si>
  <si>
    <t>Isabel</t>
  </si>
  <si>
    <t>(31)3596-6429</t>
  </si>
  <si>
    <t>Rua Cosmea</t>
  </si>
  <si>
    <t>Jardim Alterosas 2 seçao</t>
  </si>
  <si>
    <t>Anna</t>
  </si>
  <si>
    <t>(84)99454-3103</t>
  </si>
  <si>
    <t>RUA POTENGI</t>
  </si>
  <si>
    <t>SÃO PAULO DO POTENGI</t>
  </si>
  <si>
    <t>Jaciane</t>
  </si>
  <si>
    <t>Paciência</t>
  </si>
  <si>
    <t>Denise</t>
  </si>
  <si>
    <t>(21)2137-1034</t>
  </si>
  <si>
    <t>Rua Coronel Soares</t>
  </si>
  <si>
    <t>Maria Rejane</t>
  </si>
  <si>
    <t>(51)98523-3950</t>
  </si>
  <si>
    <t>Rua Sargento Ronaldo Machado</t>
  </si>
  <si>
    <t>Andressa</t>
  </si>
  <si>
    <t>Luciana</t>
  </si>
  <si>
    <t>(27)99779-7663</t>
  </si>
  <si>
    <t>(31)99154-2939</t>
  </si>
  <si>
    <t>rua frança</t>
  </si>
  <si>
    <t>belo horizonte</t>
  </si>
  <si>
    <t>(88)99330-1110</t>
  </si>
  <si>
    <t>Projetada 01</t>
  </si>
  <si>
    <t>Nossa Senhora de Fátima</t>
  </si>
  <si>
    <t>Alto Santo - Ce</t>
  </si>
  <si>
    <t>(37)9198-8847</t>
  </si>
  <si>
    <t>Rua Espirito Santo</t>
  </si>
  <si>
    <t>(51)98149-8022</t>
  </si>
  <si>
    <t>Francisco DE Assis SOARES (LOT JD América)</t>
  </si>
  <si>
    <t>Sapucaia do Sul</t>
  </si>
  <si>
    <t>(21)97522-8269</t>
  </si>
  <si>
    <t>Rua Régio,669</t>
  </si>
  <si>
    <t>(79)99918-6306</t>
  </si>
  <si>
    <t>Av. Gov. Marcelo Déda</t>
  </si>
  <si>
    <t>Aquidabã</t>
  </si>
  <si>
    <t>Marcos</t>
  </si>
  <si>
    <t>(51)99407-5204</t>
  </si>
  <si>
    <t>Estrada João Salomoni 1340</t>
  </si>
  <si>
    <t>Vila Nova</t>
  </si>
  <si>
    <t>Lucas</t>
  </si>
  <si>
    <t>Imbiribeira</t>
  </si>
  <si>
    <t>Ana Paula</t>
  </si>
  <si>
    <t>(81)99542-5067</t>
  </si>
  <si>
    <t>Ria Alto da Conquista</t>
  </si>
  <si>
    <t>Rua Maria das Dores de Carvalho, 156</t>
  </si>
  <si>
    <t>Poço de José de Moura</t>
  </si>
  <si>
    <t>Valença</t>
  </si>
  <si>
    <t>(98)98839-0647</t>
  </si>
  <si>
    <t>Rua do Fio</t>
  </si>
  <si>
    <t>Salina do Sacavém</t>
  </si>
  <si>
    <t>Telma Marques</t>
  </si>
  <si>
    <t>Anil</t>
  </si>
  <si>
    <t>Paço do Lumiar</t>
  </si>
  <si>
    <t>(82)98804-4675</t>
  </si>
  <si>
    <t>Quadra 13</t>
  </si>
  <si>
    <t>Benedito Bentes</t>
  </si>
  <si>
    <t>ALESSANDRA HORA</t>
  </si>
  <si>
    <t>São Gonçalo do Amarante</t>
  </si>
  <si>
    <t>(81)3633-1008</t>
  </si>
  <si>
    <t>Rua Cel Manoel Inácio</t>
  </si>
  <si>
    <t>Nazaré da Mata</t>
  </si>
  <si>
    <t>(61)3385-1289</t>
  </si>
  <si>
    <t>EQ 48/49</t>
  </si>
  <si>
    <t>Setor Leste (Gama)</t>
  </si>
  <si>
    <t>Isis Tainah</t>
  </si>
  <si>
    <t>(85)99813-87499</t>
  </si>
  <si>
    <t>Avenida Vicente Rogério Assunção</t>
  </si>
  <si>
    <t>Canaan</t>
  </si>
  <si>
    <t>Trairi</t>
  </si>
  <si>
    <t>Maria Fátima</t>
  </si>
  <si>
    <t>Área Rural</t>
  </si>
  <si>
    <t>Conselheiro Lafaiete</t>
  </si>
  <si>
    <t>(21)2292-5404</t>
  </si>
  <si>
    <t>Rua Professor Frias Vilar</t>
  </si>
  <si>
    <t>Jacaré</t>
  </si>
  <si>
    <t>Petrolina</t>
  </si>
  <si>
    <t>(11)96610-8060</t>
  </si>
  <si>
    <t>Estrada dos Galdinos</t>
  </si>
  <si>
    <t>Barbacena</t>
  </si>
  <si>
    <t>cotia</t>
  </si>
  <si>
    <t>Luciane</t>
  </si>
  <si>
    <t>(11)98476-7740</t>
  </si>
  <si>
    <t>Avenida Laranja da China</t>
  </si>
  <si>
    <t>Jardim das Camélias</t>
  </si>
  <si>
    <t>Janeide</t>
  </si>
  <si>
    <t>Jaboatão dos Guararapes</t>
  </si>
  <si>
    <t>(67)99341-1515</t>
  </si>
  <si>
    <t>JOSÉ BONIFÁCIO</t>
  </si>
  <si>
    <t>VILA PLANALTO</t>
  </si>
  <si>
    <t>Caarapó</t>
  </si>
  <si>
    <t>ZENILDA</t>
  </si>
  <si>
    <t>(79)99901-3379</t>
  </si>
  <si>
    <t>Povoado Tigre</t>
  </si>
  <si>
    <t>Tigre</t>
  </si>
  <si>
    <t>PACATUBA</t>
  </si>
  <si>
    <t>ZONA RURAL</t>
  </si>
  <si>
    <t>DOMINGOS</t>
  </si>
  <si>
    <t>(88)99683-7404</t>
  </si>
  <si>
    <t>SITIO CAJAZEIRINHAS</t>
  </si>
  <si>
    <t>CAJAZEIRINHAS</t>
  </si>
  <si>
    <t>MARIA ADILÂNIA</t>
  </si>
  <si>
    <t>Canindezinho</t>
  </si>
  <si>
    <t>(21)99591-5803</t>
  </si>
  <si>
    <t>Rua Clio</t>
  </si>
  <si>
    <t>Cordovil</t>
  </si>
  <si>
    <t>Janaina</t>
  </si>
  <si>
    <t>(81)98757-5623</t>
  </si>
  <si>
    <t>Rua Cosme Viana</t>
  </si>
  <si>
    <t>Afogados</t>
  </si>
  <si>
    <t>sau</t>
  </si>
  <si>
    <t>(81)8316-6168</t>
  </si>
  <si>
    <t>Rua da Alegria</t>
  </si>
  <si>
    <t>Henrique</t>
  </si>
  <si>
    <t>Rua 128, Quadra 117 Numero 14</t>
  </si>
  <si>
    <t>(84)98736-9368</t>
  </si>
  <si>
    <t>1ª Rua Santa Helena</t>
  </si>
  <si>
    <t>Quintas</t>
  </si>
  <si>
    <t>Diego Arthuro</t>
  </si>
  <si>
    <t>(81)98625-9948</t>
  </si>
  <si>
    <t>Avenida Governador Agamenon Magalhães</t>
  </si>
  <si>
    <t>Allex</t>
  </si>
  <si>
    <t>Carla</t>
  </si>
  <si>
    <t>Cubatão</t>
  </si>
  <si>
    <t>(38)99925-7727</t>
  </si>
  <si>
    <t>Rua Luiz Alves</t>
  </si>
  <si>
    <t>Lucélia</t>
  </si>
  <si>
    <t>Luana</t>
  </si>
  <si>
    <t>(21)97991-0227</t>
  </si>
  <si>
    <t>Rua Edgar Aquino Duarte</t>
  </si>
  <si>
    <t>(81)98529-8341</t>
  </si>
  <si>
    <t>Rua Engenheiro André Dias de Arruda Falcão</t>
  </si>
  <si>
    <t>Caxangá</t>
  </si>
  <si>
    <t>Maria Betania</t>
  </si>
  <si>
    <t>(11)97311-5368</t>
  </si>
  <si>
    <t>Rua dos Anéis</t>
  </si>
  <si>
    <t>Vila São Francisco</t>
  </si>
  <si>
    <t>Adriana Regina</t>
  </si>
  <si>
    <t>Rua João XXIII</t>
  </si>
  <si>
    <t>Mãe Luiza</t>
  </si>
  <si>
    <t>(11)98189-0065</t>
  </si>
  <si>
    <t>ERUA MANOEL DE OLIVEIRA RAMOS</t>
  </si>
  <si>
    <t>CONJUNTO HABITACIONAL SITIO CONCEIÇÃO</t>
  </si>
  <si>
    <t>SÃO PAULO</t>
  </si>
  <si>
    <t>Silvaneide</t>
  </si>
  <si>
    <t>(34)99695-8816</t>
  </si>
  <si>
    <t>Rua Edesio Fernandes de Morais  n 71</t>
  </si>
  <si>
    <t>Alvorada</t>
  </si>
  <si>
    <t>Flaviane</t>
  </si>
  <si>
    <t>(11)4171-8729</t>
  </si>
  <si>
    <t>Rua Flor de Lis</t>
  </si>
  <si>
    <t>Brasilândia</t>
  </si>
  <si>
    <t>Cicero Alexandre</t>
  </si>
  <si>
    <t>(71)98714-2118</t>
  </si>
  <si>
    <t>Rua Amazonas</t>
  </si>
  <si>
    <t>Gilberto</t>
  </si>
  <si>
    <t>(21)99807-8422</t>
  </si>
  <si>
    <t>Travessa Presidente Kennedy</t>
  </si>
  <si>
    <t>Itaguaí</t>
  </si>
  <si>
    <t>Travessa maria salete dutra</t>
  </si>
  <si>
    <t>(68)99239-5903</t>
  </si>
  <si>
    <t>Rua São Peregrino</t>
  </si>
  <si>
    <t>Floresta</t>
  </si>
  <si>
    <t>Roselene</t>
  </si>
  <si>
    <t>Lauro de Freitas</t>
  </si>
  <si>
    <t>(21)98333-4819</t>
  </si>
  <si>
    <t>Rua Castro Tavares</t>
  </si>
  <si>
    <t>Manguinhos</t>
  </si>
  <si>
    <t>Mariana</t>
  </si>
  <si>
    <t>(21)3496-7726</t>
  </si>
  <si>
    <t>Rua Lúcio de Mendonça</t>
  </si>
  <si>
    <t>Maracanã</t>
  </si>
  <si>
    <t>antonio</t>
  </si>
  <si>
    <t>(61)8585-9130</t>
  </si>
  <si>
    <t>quadra f</t>
  </si>
  <si>
    <t>(51)99259-5753</t>
  </si>
  <si>
    <t>Rua General Lima e Silva</t>
  </si>
  <si>
    <t>Cidade Baixa</t>
  </si>
  <si>
    <t>Rua senador Thomaz lobo</t>
  </si>
  <si>
    <t>Rua Guanabara</t>
  </si>
  <si>
    <t>Julianderson</t>
  </si>
  <si>
    <t>(84)99417-1920</t>
  </si>
  <si>
    <t>Rua Padre Ramiro Varela</t>
  </si>
  <si>
    <t>São Tomé</t>
  </si>
  <si>
    <t>(71)3235-4273</t>
  </si>
  <si>
    <t>Alameda 61</t>
  </si>
  <si>
    <t>Jardim Santo Inácio</t>
  </si>
  <si>
    <t>ELISABETE</t>
  </si>
  <si>
    <t>(31)99739-7156</t>
  </si>
  <si>
    <t>Rua Conselheiro Joaquim Caetano</t>
  </si>
  <si>
    <t>Nova Granada</t>
  </si>
  <si>
    <t>(21)96707-6513</t>
  </si>
  <si>
    <t>Rua pereira lopes</t>
  </si>
  <si>
    <t>rio de janeiro</t>
  </si>
  <si>
    <t>Alessandra</t>
  </si>
  <si>
    <t>(83)98736-5577</t>
  </si>
  <si>
    <t>RUA JOSÉ MESQUISTA,</t>
  </si>
  <si>
    <t>13 DE MAIO</t>
  </si>
  <si>
    <t>JOÃO PESSOA</t>
  </si>
  <si>
    <t>Magno</t>
  </si>
  <si>
    <t>(85)98707-8846</t>
  </si>
  <si>
    <t>Rua Estevão de Campos</t>
  </si>
  <si>
    <t>Barra do Ceará</t>
  </si>
  <si>
    <t>Valdecir</t>
  </si>
  <si>
    <t>Caucaia</t>
  </si>
  <si>
    <t>Antônio</t>
  </si>
  <si>
    <t>(71)92345209</t>
  </si>
  <si>
    <t>Rua  caminho 2 n 37c</t>
  </si>
  <si>
    <t>Jardim Santo inacio</t>
  </si>
  <si>
    <t>Daiane</t>
  </si>
  <si>
    <t>(85)98874-6589</t>
  </si>
  <si>
    <t>Rua Fernanda de Brito</t>
  </si>
  <si>
    <t>Prainha</t>
  </si>
  <si>
    <t>Aquiraz</t>
  </si>
  <si>
    <t>Celio Rocha de Lima</t>
  </si>
  <si>
    <t>Valdir Rodrigues</t>
  </si>
  <si>
    <t>Zita Cunha</t>
  </si>
  <si>
    <t>Barcarena</t>
  </si>
  <si>
    <t>Chirlêi</t>
  </si>
  <si>
    <t>Várzea</t>
  </si>
  <si>
    <t>Costa e Silva</t>
  </si>
  <si>
    <t>(47)99152-5316</t>
  </si>
  <si>
    <t>RUA Rosalina Lima de Souza</t>
  </si>
  <si>
    <t>Itinga</t>
  </si>
  <si>
    <t>Araquari</t>
  </si>
  <si>
    <t>Terezinha dos Santos</t>
  </si>
  <si>
    <t>(84)99423-7835</t>
  </si>
  <si>
    <t>FAZENDA BOA VENTURA</t>
  </si>
  <si>
    <t>(34)3225-0783</t>
  </si>
  <si>
    <t>Avenida Israel 400</t>
  </si>
  <si>
    <t>Laranjeiras</t>
  </si>
  <si>
    <t>Nilma</t>
  </si>
  <si>
    <t>BETIM</t>
  </si>
  <si>
    <t>(11)94819-3026</t>
  </si>
  <si>
    <t>Rua Carlos de Campo</t>
  </si>
  <si>
    <t>Vila Correa</t>
  </si>
  <si>
    <t>Ferraz de Vasconcelos</t>
  </si>
  <si>
    <t>telma aparecida de souza</t>
  </si>
  <si>
    <t>(11)4285-0858</t>
  </si>
  <si>
    <t>Rua Waldomiro Silveira</t>
  </si>
  <si>
    <t>Parque Marengo</t>
  </si>
  <si>
    <t>Itaquaquecetuba</t>
  </si>
  <si>
    <t>Maura</t>
  </si>
  <si>
    <t>(82)3326-3193</t>
  </si>
  <si>
    <t>Prado</t>
  </si>
  <si>
    <t>ANA LUCIA GOMES</t>
  </si>
  <si>
    <t>(92)3302-6282</t>
  </si>
  <si>
    <t>Rua Iracy Albuquerque</t>
  </si>
  <si>
    <t>Parque 10 de Novembro</t>
  </si>
  <si>
    <t>Cleslley</t>
  </si>
  <si>
    <t>(47)99989-1664</t>
  </si>
  <si>
    <t>Rua José Rudolf Júnior</t>
  </si>
  <si>
    <t>Águas Claras</t>
  </si>
  <si>
    <t>Brusque</t>
  </si>
  <si>
    <t>Flávio Luiz</t>
  </si>
  <si>
    <t>(92)98206-9585</t>
  </si>
  <si>
    <t>Rua 175 77</t>
  </si>
  <si>
    <t>Cidade Nova 3- Novo Aleixo</t>
  </si>
  <si>
    <t>MANAUS</t>
  </si>
  <si>
    <t>Girleno</t>
  </si>
  <si>
    <t>(11)98335-3622</t>
  </si>
  <si>
    <t>Rua Benedito Silvino Leite</t>
  </si>
  <si>
    <t>Vila Andeyara</t>
  </si>
  <si>
    <t>Renata Sara</t>
  </si>
  <si>
    <t>(71)8515-5819</t>
  </si>
  <si>
    <t>Rua Professor José Santana</t>
  </si>
  <si>
    <t>Uruguai</t>
  </si>
  <si>
    <t>Silvia</t>
  </si>
  <si>
    <t>(84)98877-6684</t>
  </si>
  <si>
    <t>Rua Estevão Felismino</t>
  </si>
  <si>
    <t>Cabeceiras</t>
  </si>
  <si>
    <t>Tibau do sul</t>
  </si>
  <si>
    <t>Wilaneide</t>
  </si>
  <si>
    <t>(11)97140-6017</t>
  </si>
  <si>
    <t>Estrada do Furuyama</t>
  </si>
  <si>
    <t>Wanderson</t>
  </si>
  <si>
    <t>Vanessa</t>
  </si>
  <si>
    <t>Copacabana</t>
  </si>
  <si>
    <t>Igor</t>
  </si>
  <si>
    <t>ESCULTOLAR</t>
  </si>
  <si>
    <t>(11)4749-1935</t>
  </si>
  <si>
    <t>Avenida Lothar Waldemar Hoehne</t>
  </si>
  <si>
    <t>Jardim Rodeio</t>
  </si>
  <si>
    <t>Mogi das Cruzes</t>
  </si>
  <si>
    <t>(11)99673-1642</t>
  </si>
  <si>
    <t>SALVADOR</t>
  </si>
  <si>
    <t>(61)98222-2752</t>
  </si>
  <si>
    <t>Vila Rabelo quadra 4 Avenida central lote 145</t>
  </si>
  <si>
    <t>Sobradinho 2</t>
  </si>
  <si>
    <t>Myrian</t>
  </si>
  <si>
    <t>(21)9689-29016</t>
  </si>
  <si>
    <t>Rua ozeias mota 48</t>
  </si>
  <si>
    <t>Rio de janeiro</t>
  </si>
  <si>
    <t>Cachoeirinha</t>
  </si>
  <si>
    <t>Vidigal</t>
  </si>
  <si>
    <t>(31)97507-3440</t>
  </si>
  <si>
    <t>Rua serenata 14</t>
  </si>
  <si>
    <t>(21)96832-4001</t>
  </si>
  <si>
    <t>Avenida dom Hélder câmara</t>
  </si>
  <si>
    <t>Maicon</t>
  </si>
  <si>
    <t>(11)98228-2504</t>
  </si>
  <si>
    <t>ANGELO ALUIZIO</t>
  </si>
  <si>
    <t>Parque Vitória</t>
  </si>
  <si>
    <t>Wagner</t>
  </si>
  <si>
    <t>Niterói</t>
  </si>
  <si>
    <t>Thais</t>
  </si>
  <si>
    <t>(11)97306-1485</t>
  </si>
  <si>
    <t>Rua El Rey</t>
  </si>
  <si>
    <t>Jardim São Carlos (Zona Leste)</t>
  </si>
  <si>
    <t>Vera Lúcia</t>
  </si>
  <si>
    <t>(85)98837-8608</t>
  </si>
  <si>
    <t>Avenida Zeze Diogo</t>
  </si>
  <si>
    <t>Vicente Pinzon</t>
  </si>
  <si>
    <t>(21)97303-8882</t>
  </si>
  <si>
    <t>Rua General Sampaio</t>
  </si>
  <si>
    <t>Caju</t>
  </si>
  <si>
    <t>Aldari Luiza</t>
  </si>
  <si>
    <t>(11)98422-7764</t>
  </si>
  <si>
    <t>Rua José Conrado do Nascimento</t>
  </si>
  <si>
    <t>Jardim Yone</t>
  </si>
  <si>
    <t>José Atanael</t>
  </si>
  <si>
    <t>(84)98824-0254</t>
  </si>
  <si>
    <t>Rua Raimundo Chaves</t>
  </si>
  <si>
    <t>Nelson</t>
  </si>
  <si>
    <t>(11)96566-5248</t>
  </si>
  <si>
    <t>RUA SATI NAKAMURA, 200</t>
  </si>
  <si>
    <t>São Judas</t>
  </si>
  <si>
    <t>Taboão da Serra</t>
  </si>
  <si>
    <t>(11)2093-3890</t>
  </si>
  <si>
    <t>Rua Monsenhor Francisco de Paula</t>
  </si>
  <si>
    <t>Vila Aricanduva</t>
  </si>
  <si>
    <t>(11)2508-3852</t>
  </si>
  <si>
    <t>Rua Juana Samary</t>
  </si>
  <si>
    <t>Jardim Duprat</t>
  </si>
  <si>
    <t>(31)99938-8077</t>
  </si>
  <si>
    <t>BOLIVAR DE FREITAS</t>
  </si>
  <si>
    <t>Raposos</t>
  </si>
  <si>
    <t>MARCIA</t>
  </si>
  <si>
    <t>(11)94681-1387</t>
  </si>
  <si>
    <t>Major Boa Ventura</t>
  </si>
  <si>
    <t>Vila nhocune</t>
  </si>
  <si>
    <t>Monalisa</t>
  </si>
  <si>
    <t>(41)3016-3501</t>
  </si>
  <si>
    <t>Rua Manoel Martins de Abreu</t>
  </si>
  <si>
    <t>Jardim Botânico</t>
  </si>
  <si>
    <t>(21)99245-1126</t>
  </si>
  <si>
    <t>Rua Major Jacarandá</t>
  </si>
  <si>
    <t>Estácio</t>
  </si>
  <si>
    <t>Guilherme</t>
  </si>
  <si>
    <t>(21)99400-6895</t>
  </si>
  <si>
    <t>Rua Laguna, 153</t>
  </si>
  <si>
    <t>Santa Amélia</t>
  </si>
  <si>
    <t>Mara</t>
  </si>
  <si>
    <t>(21)99814-5821</t>
  </si>
  <si>
    <t>Rua Barão da Gamboa</t>
  </si>
  <si>
    <t>Santo Cristo</t>
  </si>
  <si>
    <t>Ellen Cristina Pereira</t>
  </si>
  <si>
    <t>(47)3455-0044</t>
  </si>
  <si>
    <t>Rua Walter Karmann</t>
  </si>
  <si>
    <t>Comasa</t>
  </si>
  <si>
    <t>Joinville</t>
  </si>
  <si>
    <t>Maria de Fatima</t>
  </si>
  <si>
    <t>(77)99978-8704</t>
  </si>
  <si>
    <t>Fazenda teiu</t>
  </si>
  <si>
    <t>Teiu</t>
  </si>
  <si>
    <t>Paratinga</t>
  </si>
  <si>
    <t>Valdir</t>
  </si>
  <si>
    <t>(21)2599-3000</t>
  </si>
  <si>
    <t>Rua Dias da Cruz</t>
  </si>
  <si>
    <t>Méier</t>
  </si>
  <si>
    <t>Fabrício</t>
  </si>
  <si>
    <t>(21)99291-0808</t>
  </si>
  <si>
    <t>Rua Cirne Maia</t>
  </si>
  <si>
    <t>Cachambi</t>
  </si>
  <si>
    <t>Michele</t>
  </si>
  <si>
    <t>(85)2130-7440</t>
  </si>
  <si>
    <t>Rua Edmilson Bezerra de Mendonça</t>
  </si>
  <si>
    <t>Aldeia Park</t>
  </si>
  <si>
    <t>Pacajus</t>
  </si>
  <si>
    <t>Sílvia</t>
  </si>
  <si>
    <t>AVENIDA SÃO ROQUE</t>
  </si>
  <si>
    <t>URUGUAI</t>
  </si>
  <si>
    <t>Teodoro</t>
  </si>
  <si>
    <t>(31)99151-2901</t>
  </si>
  <si>
    <t>serenata</t>
  </si>
  <si>
    <t>Laudilene</t>
  </si>
  <si>
    <t>Parque das Laranjeiras</t>
  </si>
  <si>
    <t>Mogi Mirim</t>
  </si>
  <si>
    <t>Felipe</t>
  </si>
  <si>
    <t>(21)98533-9761</t>
  </si>
  <si>
    <t>Rua Grajaú</t>
  </si>
  <si>
    <t>Grajaú</t>
  </si>
  <si>
    <t>Ellis</t>
  </si>
  <si>
    <t>Pablo</t>
  </si>
  <si>
    <t>São Lourenço da Mata</t>
  </si>
  <si>
    <t>(85) 989980081</t>
  </si>
  <si>
    <t>Rua Aprendizes Marinheiros</t>
  </si>
  <si>
    <t>Moura Brasil</t>
  </si>
  <si>
    <t>(11)2305-8654</t>
  </si>
  <si>
    <t>Rua fraiburgo</t>
  </si>
  <si>
    <t>Mudamos recentemente para cidade líder</t>
  </si>
  <si>
    <t>Area rural</t>
  </si>
  <si>
    <t>(85)98907-3199</t>
  </si>
  <si>
    <t>Antonio Santiago</t>
  </si>
  <si>
    <t>Santa Luzia</t>
  </si>
  <si>
    <t>Canindé</t>
  </si>
  <si>
    <t>(21)04101-9974</t>
  </si>
  <si>
    <t>Avenida Santo Antônio</t>
  </si>
  <si>
    <t>Mangueira</t>
  </si>
  <si>
    <t>Kely</t>
  </si>
  <si>
    <t>(16)98133-7692</t>
  </si>
  <si>
    <t>Três</t>
  </si>
  <si>
    <t>(11)99019-6543</t>
  </si>
  <si>
    <t>Rua Dardo Rocha 56</t>
  </si>
  <si>
    <t>Jardim Damasceno</t>
  </si>
  <si>
    <t>Valeria</t>
  </si>
  <si>
    <t>Paulo Ono</t>
  </si>
  <si>
    <t>Cruzeiro</t>
  </si>
  <si>
    <t>(98)93300-2815</t>
  </si>
  <si>
    <t>Avenida Amalia Saldanha</t>
  </si>
  <si>
    <t>(21)96437-3072</t>
  </si>
  <si>
    <t>Xavantes Lt28 Qd75</t>
  </si>
  <si>
    <t>Washington</t>
  </si>
  <si>
    <t>(32)99936-1572</t>
  </si>
  <si>
    <t>RUA ALZIRA HORTÊNCIA</t>
  </si>
  <si>
    <t>PIRAUBA</t>
  </si>
  <si>
    <t>(11)4742-9196</t>
  </si>
  <si>
    <t>Rua Manoel dos Reis</t>
  </si>
  <si>
    <t>Jardim Europa</t>
  </si>
  <si>
    <t>Olivia</t>
  </si>
  <si>
    <t>Tiago</t>
  </si>
  <si>
    <t>(73)98137-3711</t>
  </si>
  <si>
    <t>U</t>
  </si>
  <si>
    <t>Monte Cristo</t>
  </si>
  <si>
    <t>Itabuna</t>
  </si>
  <si>
    <t>Dayse</t>
  </si>
  <si>
    <t>Rua São José</t>
  </si>
  <si>
    <t>Vitória da Conquista</t>
  </si>
  <si>
    <t>(85)9211-6593</t>
  </si>
  <si>
    <t>RUA MARCIONILIA SAMPAIO</t>
  </si>
  <si>
    <t>Pecém</t>
  </si>
  <si>
    <t>UEDNA</t>
  </si>
  <si>
    <t>(11)96208-8244</t>
  </si>
  <si>
    <t>Rua Gervásio Leite Rebelo</t>
  </si>
  <si>
    <t>Jardim Peri</t>
  </si>
  <si>
    <t>Flavia</t>
  </si>
  <si>
    <t>(71)99627-0749</t>
  </si>
  <si>
    <t>Rua do Imperador</t>
  </si>
  <si>
    <t>Mares</t>
  </si>
  <si>
    <t>(92)99193-9463</t>
  </si>
  <si>
    <t>Avenida Nações Unidas</t>
  </si>
  <si>
    <t>Dalva Maria</t>
  </si>
  <si>
    <t>(85)99247-4466</t>
  </si>
  <si>
    <t>Rua Apolo</t>
  </si>
  <si>
    <t>Damas</t>
  </si>
  <si>
    <t>kellyane</t>
  </si>
  <si>
    <t>Rua Doutor Mário Augusto Teixeira de Freitas</t>
  </si>
  <si>
    <t>Massaranduba</t>
  </si>
  <si>
    <t>(35)9917-9201</t>
  </si>
  <si>
    <t>Rua Olímpio Bento da Silva</t>
  </si>
  <si>
    <t>Monte Santo de Minas</t>
  </si>
  <si>
    <t>(21)97971-4321</t>
  </si>
  <si>
    <t>Rua Dezoito de Fevereiro</t>
  </si>
  <si>
    <t>Vargem Grande</t>
  </si>
  <si>
    <t>(18)98109-2064</t>
  </si>
  <si>
    <t>Av. JK</t>
  </si>
  <si>
    <t>Jd. Guanabara</t>
  </si>
  <si>
    <t>Presidente Prudente</t>
  </si>
  <si>
    <t>(51)98012-4645</t>
  </si>
  <si>
    <t>coronel aristides 180</t>
  </si>
  <si>
    <t>porto alegre</t>
  </si>
  <si>
    <t>(85)98624-5030</t>
  </si>
  <si>
    <t>Rua São Felipe</t>
  </si>
  <si>
    <t>LUIZ ALBERTO</t>
  </si>
  <si>
    <t>(27)99311-3473</t>
  </si>
  <si>
    <t>ayrton sena</t>
  </si>
  <si>
    <t>JD Botânico/Nelson Ramos</t>
  </si>
  <si>
    <t>Joao</t>
  </si>
  <si>
    <t>(91)98314-7741</t>
  </si>
  <si>
    <t>Rua do Ranário</t>
  </si>
  <si>
    <t>Tapanã (Icoaraci)</t>
  </si>
  <si>
    <t>Renilson</t>
  </si>
  <si>
    <t>(11)97189-6880</t>
  </si>
  <si>
    <t>Aldeia dos machacalis</t>
  </si>
  <si>
    <t>(11)95791-7323</t>
  </si>
  <si>
    <t>Rua do Rosário 411</t>
  </si>
  <si>
    <t>Botujuru</t>
  </si>
  <si>
    <t>(81)99635-1014</t>
  </si>
  <si>
    <t>Rua Rio Claro</t>
  </si>
  <si>
    <t>São João e São Paulo</t>
  </si>
  <si>
    <t>Camaragibe</t>
  </si>
  <si>
    <t>(51)3384-9728</t>
  </si>
  <si>
    <t>Rua Borborema,687 e 691</t>
  </si>
  <si>
    <t>Partenon /São José</t>
  </si>
  <si>
    <t>Gicele</t>
  </si>
  <si>
    <t>(85)3181-2996</t>
  </si>
  <si>
    <t>Avenida Recreio</t>
  </si>
  <si>
    <t>Lagoa Redonda</t>
  </si>
  <si>
    <t>Arlilia</t>
  </si>
  <si>
    <t>R BOCAIUVA</t>
  </si>
  <si>
    <t>(21)97638-3681</t>
  </si>
  <si>
    <t>campo de São Cristóvão</t>
  </si>
  <si>
    <t>RIO DE JANEIRO</t>
  </si>
  <si>
    <t>(21)98941-8646 / (21)979366521</t>
  </si>
  <si>
    <t>Rua Pitanga do Gericino</t>
  </si>
  <si>
    <t>Bangu</t>
  </si>
  <si>
    <t>Auricelia</t>
  </si>
  <si>
    <t>(68)99958-7200</t>
  </si>
  <si>
    <t>Avenida EPAMINONDAS JACOME</t>
  </si>
  <si>
    <t>Plácido de Castro</t>
  </si>
  <si>
    <t>JOSÉ BENEDITO</t>
  </si>
  <si>
    <t>(71)98710-2556</t>
  </si>
  <si>
    <t>Rua dos Bandeirantes</t>
  </si>
  <si>
    <t>Matatu</t>
  </si>
  <si>
    <t>Pricila</t>
  </si>
  <si>
    <t>Estrada da cumbica 479</t>
  </si>
  <si>
    <t>Jardim São Bento Novo</t>
  </si>
  <si>
    <t>(84)98893-5149</t>
  </si>
  <si>
    <t>rua dos girassois</t>
  </si>
  <si>
    <t>mazapa</t>
  </si>
  <si>
    <t>Nísia Floresta</t>
  </si>
  <si>
    <t>Elinalda</t>
  </si>
  <si>
    <t>(11)95732-9170</t>
  </si>
  <si>
    <t>Ribeirão das Neves</t>
  </si>
  <si>
    <t>(11)98296-8309</t>
  </si>
  <si>
    <t>Rua travessa cachoeira de Paulo Afonso, 25</t>
  </si>
  <si>
    <t>JARDIM PÉROLA 2</t>
  </si>
  <si>
    <t>TIRADENTES</t>
  </si>
  <si>
    <t>41 8756-2776</t>
  </si>
  <si>
    <t>Rua Dr Estevam Ribeiro de Souza Neto</t>
  </si>
  <si>
    <t>Cajuru</t>
  </si>
  <si>
    <t>Letícia</t>
  </si>
  <si>
    <t>Ceilândia Norte</t>
  </si>
  <si>
    <t>(84)98795-8834</t>
  </si>
  <si>
    <t>Santa Helena</t>
  </si>
  <si>
    <t>Édila</t>
  </si>
  <si>
    <t>(38)99955-8825</t>
  </si>
  <si>
    <t>Salinas</t>
  </si>
  <si>
    <t>(21)2221-8830</t>
  </si>
  <si>
    <t>FERNANDA</t>
  </si>
  <si>
    <t>SANTA CRUZ</t>
  </si>
  <si>
    <t>RUA BENJAMIN CONSTANT</t>
  </si>
  <si>
    <t>Umbaúba</t>
  </si>
  <si>
    <t>JOSÉ ALVES FILHO</t>
  </si>
  <si>
    <t>(79)99884-7451</t>
  </si>
  <si>
    <t>Avenida Pedro Calazans</t>
  </si>
  <si>
    <t>Jonathan Lucas</t>
  </si>
  <si>
    <t>(11)96726-1663</t>
  </si>
  <si>
    <t>Rua apaiari 99</t>
  </si>
  <si>
    <t>Jardim Vista Alegre</t>
  </si>
  <si>
    <t>Welton</t>
  </si>
  <si>
    <t>Rua Agamenon Magalhães</t>
  </si>
  <si>
    <t>COHAB</t>
  </si>
  <si>
    <t>(11)97847-3222</t>
  </si>
  <si>
    <t>Avenida Caititu, 1321</t>
  </si>
  <si>
    <t>(21)96485-2740</t>
  </si>
  <si>
    <t>Rua Jorge Emílio Fontenelle</t>
  </si>
  <si>
    <t>Recreio dos Bandeirantes</t>
  </si>
  <si>
    <t>Ivan</t>
  </si>
  <si>
    <t>São Gonçalo</t>
  </si>
  <si>
    <t>(75)98186-8074</t>
  </si>
  <si>
    <t>Praça Castro Alves</t>
  </si>
  <si>
    <t>Cabaceiras do Paraguaçu</t>
  </si>
  <si>
    <t>(51)99769-0381</t>
  </si>
  <si>
    <t>Av Temo Dorneles</t>
  </si>
  <si>
    <t>Vila Silveira</t>
  </si>
  <si>
    <t>Alexsasndro</t>
  </si>
  <si>
    <t>(13)99761-6829</t>
  </si>
  <si>
    <t>Manoel Ribeiro dos Santos</t>
  </si>
  <si>
    <t>Jd. Oásis</t>
  </si>
  <si>
    <t>Itanhaém</t>
  </si>
  <si>
    <t>Tania</t>
  </si>
  <si>
    <t>(75)99104-9408</t>
  </si>
  <si>
    <t>Vale do eblon</t>
  </si>
  <si>
    <t>Governador Mangabeira</t>
  </si>
  <si>
    <t>Wesley</t>
  </si>
  <si>
    <t>(86)99506-3045</t>
  </si>
  <si>
    <t>Rua Carlos Carvalho</t>
  </si>
  <si>
    <t>Dirceu Arcoverde</t>
  </si>
  <si>
    <t>BETHANIA</t>
  </si>
  <si>
    <t>(71)3258-0226</t>
  </si>
  <si>
    <t>Rua Dois de Fevereiro</t>
  </si>
  <si>
    <t>Carlinda</t>
  </si>
  <si>
    <t>João Ferreira de Souza</t>
  </si>
  <si>
    <t>Fercal</t>
  </si>
  <si>
    <t>Jenipapo de Minas</t>
  </si>
  <si>
    <t>(11)98415-5512</t>
  </si>
  <si>
    <t>Rua Jorge Carlos de Almeida</t>
  </si>
  <si>
    <t>Jardim Santo André</t>
  </si>
  <si>
    <t>Arlete</t>
  </si>
  <si>
    <t>Avenida Dracena</t>
  </si>
  <si>
    <t>Jaguaré</t>
  </si>
  <si>
    <t>Leslie</t>
  </si>
  <si>
    <t>(45)3577-9763</t>
  </si>
  <si>
    <t>Rua Veiga</t>
  </si>
  <si>
    <t>(38)99741-0425</t>
  </si>
  <si>
    <t>RUA ELSON GABRIEL DE PAULO</t>
  </si>
  <si>
    <t>MAMOEIRO</t>
  </si>
  <si>
    <t>UNAÍ</t>
  </si>
  <si>
    <t>MATHEUS</t>
  </si>
  <si>
    <t>(11)4775-2559</t>
  </si>
  <si>
    <t>Rua Assunção</t>
  </si>
  <si>
    <t>Parque Paraíso</t>
  </si>
  <si>
    <t>Luzenilda</t>
  </si>
  <si>
    <t>(11)91269-0377</t>
  </si>
  <si>
    <t>Rua Quinze</t>
  </si>
  <si>
    <t>Vila Iolanda II</t>
  </si>
  <si>
    <t>(85)3262-7599</t>
  </si>
  <si>
    <t>Av L, 400</t>
  </si>
  <si>
    <t>(21)99403-7354</t>
  </si>
  <si>
    <t>Rua Benedito Calixto</t>
  </si>
  <si>
    <t>Messias</t>
  </si>
  <si>
    <t>Arquipélago</t>
  </si>
  <si>
    <t>Pina</t>
  </si>
  <si>
    <t>(11)2113-4950</t>
  </si>
  <si>
    <t>Rua Clementine Brenne</t>
  </si>
  <si>
    <t>Paraisópolis</t>
  </si>
  <si>
    <t>(85)99731-6368</t>
  </si>
  <si>
    <t>Rua José Barreto Parente</t>
  </si>
  <si>
    <t>Engenheiro Luciano Cavalcante</t>
  </si>
  <si>
    <t>Eraldo</t>
  </si>
  <si>
    <t>Rua Graciano Faria Arantes 47 Granada</t>
  </si>
  <si>
    <t>Carla Mara Henrique Silva</t>
  </si>
  <si>
    <t>(85)98821-1477</t>
  </si>
  <si>
    <t>Rua Discarte Braga</t>
  </si>
  <si>
    <t>Granja Lisboa</t>
  </si>
  <si>
    <t>(85)98560-6022</t>
  </si>
  <si>
    <t>Rua Maria José P Jereissati</t>
  </si>
  <si>
    <t>Barroso</t>
  </si>
  <si>
    <t>Laurinete</t>
  </si>
  <si>
    <t>(48)3403-2700</t>
  </si>
  <si>
    <t>Rua Cônego Aníbal Maria Di Frância</t>
  </si>
  <si>
    <t>Pinheirinho</t>
  </si>
  <si>
    <t>Criciúma</t>
  </si>
  <si>
    <t>Lilian</t>
  </si>
  <si>
    <t>(84)98761-6531</t>
  </si>
  <si>
    <t>Rio das Lavadeiras</t>
  </si>
  <si>
    <t>Saryne</t>
  </si>
  <si>
    <t>Juiz de Fora</t>
  </si>
  <si>
    <t>(11)98852-4918</t>
  </si>
  <si>
    <t>Rua Jose Greff Borba</t>
  </si>
  <si>
    <t>parque santa rita</t>
  </si>
  <si>
    <t>(61)98119-2907</t>
  </si>
  <si>
    <t>QNM 11, Lote</t>
  </si>
  <si>
    <t>Ceilândia Sul (Ceilândia)</t>
  </si>
  <si>
    <t>Adriano</t>
  </si>
  <si>
    <t>Diogo</t>
  </si>
  <si>
    <t>(21)99030-0585</t>
  </si>
  <si>
    <t>Quadra do fogueteiro sem número</t>
  </si>
  <si>
    <t>Rio comprido</t>
  </si>
  <si>
    <t>Santo Antônio de Jesus</t>
  </si>
  <si>
    <t>(21)2667-3221</t>
  </si>
  <si>
    <t>Rua Urano</t>
  </si>
  <si>
    <t>Paraíso</t>
  </si>
  <si>
    <t>(71)99413-6798</t>
  </si>
  <si>
    <t>Estrava velha lobato/ campinas</t>
  </si>
  <si>
    <t>Campinas de Pirajá</t>
  </si>
  <si>
    <t>(84)98633-2487</t>
  </si>
  <si>
    <t>RUA EUCLIDES LINS</t>
  </si>
  <si>
    <t>Ana Lucia</t>
  </si>
  <si>
    <t>(32)98855-9369</t>
  </si>
  <si>
    <t>Rua Alencar Tristão</t>
  </si>
  <si>
    <t>Santa Terezinha</t>
  </si>
  <si>
    <t>nina</t>
  </si>
  <si>
    <t>Ouro Preto</t>
  </si>
  <si>
    <t>(83)98844-3180</t>
  </si>
  <si>
    <t>Cel. Demostenes Barbosa</t>
  </si>
  <si>
    <t>Riacho de Santo Antônio</t>
  </si>
  <si>
    <t>Campina Grande</t>
  </si>
  <si>
    <t>(71)3241-0034</t>
  </si>
  <si>
    <t>Final de Linha do Uruguai,Sn Anexo ao Espaço Cultural Alagados</t>
  </si>
  <si>
    <t>Andreia</t>
  </si>
  <si>
    <t>(63)98416-3816</t>
  </si>
  <si>
    <t>PRAÇA DEROCY MORAIS</t>
  </si>
  <si>
    <t>Miracema do Tocantins</t>
  </si>
  <si>
    <t>(00)00000-0000</t>
  </si>
  <si>
    <t>Carlos Augusto</t>
  </si>
  <si>
    <t>João</t>
  </si>
  <si>
    <t>(31)97190-2536</t>
  </si>
  <si>
    <t>Rua Maria de Lourdes 678</t>
  </si>
  <si>
    <t>(81)98609-0434</t>
  </si>
  <si>
    <t>RECIFE</t>
  </si>
  <si>
    <t>(81)98803-6405</t>
  </si>
  <si>
    <t>Rua Nina</t>
  </si>
  <si>
    <t>Alto José Bonifácio</t>
  </si>
  <si>
    <t>PAULO</t>
  </si>
  <si>
    <t>(81)99847-1714</t>
  </si>
  <si>
    <t>Rua Joaquim Correia</t>
  </si>
  <si>
    <t>FEIRA NOVA</t>
  </si>
  <si>
    <t>Fabiane</t>
  </si>
  <si>
    <t>(11)4116-1527</t>
  </si>
  <si>
    <t>Rua Inácio Maciel</t>
  </si>
  <si>
    <t>Vila Jacuí</t>
  </si>
  <si>
    <t>katia</t>
  </si>
  <si>
    <t>Wellington</t>
  </si>
  <si>
    <t>(84)3027-3706</t>
  </si>
  <si>
    <t>Lagoa Nova</t>
  </si>
  <si>
    <t>Parnamirim</t>
  </si>
  <si>
    <t>(35)3660-1282</t>
  </si>
  <si>
    <t>Padre Donizete</t>
  </si>
  <si>
    <t>Vila São Pedro</t>
  </si>
  <si>
    <t>São Sebastião do Paraíso</t>
  </si>
  <si>
    <t>(84)99165-7984</t>
  </si>
  <si>
    <t>RUA MARIA QUITERIA</t>
  </si>
  <si>
    <t>Ceará Mirim</t>
  </si>
  <si>
    <t>carlos</t>
  </si>
  <si>
    <t>(71)99153-8445</t>
  </si>
  <si>
    <t>Rua Monge Sagrado</t>
  </si>
  <si>
    <t>São Tomé de Paripe</t>
  </si>
  <si>
    <t>Natan</t>
  </si>
  <si>
    <t>(85)98909-5478</t>
  </si>
  <si>
    <t>Rua Bejamim da Silva</t>
  </si>
  <si>
    <t>Felipe oliveira dos</t>
  </si>
  <si>
    <t>Rua João Praxedes de Oliveira Filho</t>
  </si>
  <si>
    <t>Campina do Barreto</t>
  </si>
  <si>
    <t>(31)3939-3990 (31)98986 7352</t>
  </si>
  <si>
    <t>Central da solidariedade</t>
  </si>
  <si>
    <t>Mauro</t>
  </si>
  <si>
    <t>Lobato</t>
  </si>
  <si>
    <t>(71)99262-1985</t>
  </si>
  <si>
    <t>Travessa Falcão</t>
  </si>
  <si>
    <t>Nordeste</t>
  </si>
  <si>
    <t>Capelinha</t>
  </si>
  <si>
    <t>(98)3304-2642</t>
  </si>
  <si>
    <t>Rua Doutor José Murta- BLOCO 02</t>
  </si>
  <si>
    <t>Alemanha</t>
  </si>
  <si>
    <t>Isayranne</t>
  </si>
  <si>
    <t>(83)99902-5942</t>
  </si>
  <si>
    <t>(98)3223-3153</t>
  </si>
  <si>
    <t>Rua do Ribeirão</t>
  </si>
  <si>
    <t>Vila Palmeira</t>
  </si>
  <si>
    <t>kelma kerlini Araujo</t>
  </si>
  <si>
    <t>(98)98858-5141</t>
  </si>
  <si>
    <t>RUA N</t>
  </si>
  <si>
    <t>RADIONAL</t>
  </si>
  <si>
    <t>NEUZA</t>
  </si>
  <si>
    <t>Rosarinho</t>
  </si>
  <si>
    <t>(21)99318-4260</t>
  </si>
  <si>
    <t>Estrada Sargento Miguel Filho</t>
  </si>
  <si>
    <t>Verônica</t>
  </si>
  <si>
    <t>(81)98666-4650</t>
  </si>
  <si>
    <t>Rua professor José brasileiro vila Nova</t>
  </si>
  <si>
    <t>IBURA</t>
  </si>
  <si>
    <t>Joelma</t>
  </si>
  <si>
    <t>(71)3214-8305</t>
  </si>
  <si>
    <t>Rua Wenceslau Galo</t>
  </si>
  <si>
    <t>Cosme de Farias</t>
  </si>
  <si>
    <t>Uilinton de</t>
  </si>
  <si>
    <t>(24)99842-9279</t>
  </si>
  <si>
    <t>Rua Maria Resende</t>
  </si>
  <si>
    <t>Cambota</t>
  </si>
  <si>
    <t>Carlos Alexandre</t>
  </si>
  <si>
    <t>(21)99187-1988</t>
  </si>
  <si>
    <t>Rua Rita de Cassia</t>
  </si>
  <si>
    <t>Anchieta</t>
  </si>
  <si>
    <t>(85)98612-7646</t>
  </si>
  <si>
    <t>Rua Holanda</t>
  </si>
  <si>
    <t>Mucunã</t>
  </si>
  <si>
    <t>Maracanaú</t>
  </si>
  <si>
    <t>gerardo</t>
  </si>
  <si>
    <t>(81)98448-5009</t>
  </si>
  <si>
    <t>Rua Alfredo Gama</t>
  </si>
  <si>
    <t>Erivelte</t>
  </si>
  <si>
    <t>(81)98777-1885</t>
  </si>
  <si>
    <t>Rua Lagoa Seca</t>
  </si>
  <si>
    <t>Charlles</t>
  </si>
  <si>
    <t>Camaçari</t>
  </si>
  <si>
    <t>(21)9641-90025</t>
  </si>
  <si>
    <t>RUA DO LIBRETISTA 2</t>
  </si>
  <si>
    <t>VILA ALIANÇA BANGU</t>
  </si>
  <si>
    <t>FRANKLIN</t>
  </si>
  <si>
    <t>São Sebastião</t>
  </si>
  <si>
    <t>Japeri</t>
  </si>
  <si>
    <t>(21)95904-4342</t>
  </si>
  <si>
    <t>Estrada Guandu do Sena</t>
  </si>
  <si>
    <t>Erica</t>
  </si>
  <si>
    <t>Projetada</t>
  </si>
  <si>
    <t>(13)98184-3656</t>
  </si>
  <si>
    <t>Rua Jacob Emerick 1238</t>
  </si>
  <si>
    <t>Parque Bitaru</t>
  </si>
  <si>
    <t>Marcia</t>
  </si>
  <si>
    <t>Caio</t>
  </si>
  <si>
    <t>(81)98806-7677</t>
  </si>
  <si>
    <t>Rua Itinga, Quadra A03</t>
  </si>
  <si>
    <t>Engenho Maranguape</t>
  </si>
  <si>
    <t>Paulista</t>
  </si>
  <si>
    <t>Walleska</t>
  </si>
  <si>
    <t>(81)99788-9050</t>
  </si>
  <si>
    <t>Rua Professor José Brasileiro Vilanova</t>
  </si>
  <si>
    <t>(98)98895-0538</t>
  </si>
  <si>
    <t>Rua Ebenézer</t>
  </si>
  <si>
    <t>Cruzeiro de Santa Bárbara</t>
  </si>
  <si>
    <t>Damiana</t>
  </si>
  <si>
    <t>(81)98896-3262</t>
  </si>
  <si>
    <t>Rua Aparecida</t>
  </si>
  <si>
    <t>Talita querem</t>
  </si>
  <si>
    <t>(81)99640-3648</t>
  </si>
  <si>
    <t>Josenilda Pedro</t>
  </si>
  <si>
    <t>(81)99645-2921</t>
  </si>
  <si>
    <t>Rua Afrânio 273</t>
  </si>
  <si>
    <t>Brasília Teimosa</t>
  </si>
  <si>
    <t>Andrea</t>
  </si>
  <si>
    <t>(84)99974-5527</t>
  </si>
  <si>
    <t>Rua Francisco Fernandes Freire, Centro</t>
  </si>
  <si>
    <t>(21)98096-7205</t>
  </si>
  <si>
    <t>Rua Operária</t>
  </si>
  <si>
    <t>Marechal Hermes</t>
  </si>
  <si>
    <t>Luciana Cristina</t>
  </si>
  <si>
    <t>(92)9373-7517</t>
  </si>
  <si>
    <t>Rua Guapuruju</t>
  </si>
  <si>
    <t>Monte das Oliveiras</t>
  </si>
  <si>
    <t>82 81821071</t>
  </si>
  <si>
    <t>Jairo Marques Luz</t>
  </si>
  <si>
    <t>(81)98875-2026</t>
  </si>
  <si>
    <t>Rua Acaiaca</t>
  </si>
  <si>
    <t>LUIZA</t>
  </si>
  <si>
    <t>(11)99964-2090</t>
  </si>
  <si>
    <t>Estrada da Colônia</t>
  </si>
  <si>
    <t>Jardim São Gonçalo</t>
  </si>
  <si>
    <t>(85)98742-3860</t>
  </si>
  <si>
    <t>Rua Teodoro de Castro</t>
  </si>
  <si>
    <t>Granja Portugal</t>
  </si>
  <si>
    <t>Regina</t>
  </si>
  <si>
    <t>Itaim Paulista</t>
  </si>
  <si>
    <t>(34)99721-3731</t>
  </si>
  <si>
    <t>Rua Virgílio de Carvalho Neves Neto 549</t>
  </si>
  <si>
    <t>Residencial e Comercial Palmares</t>
  </si>
  <si>
    <t>Ribeirão Preto</t>
  </si>
  <si>
    <t>(98)99984-2637</t>
  </si>
  <si>
    <t>Alameda 10 quadra 15</t>
  </si>
  <si>
    <t>loteamento Paranã 2</t>
  </si>
  <si>
    <t>(81)99948-6747</t>
  </si>
  <si>
    <t>Rua Luiz da câmara cascudo</t>
  </si>
  <si>
    <t>Torrões</t>
  </si>
  <si>
    <t>(21)2602-6337</t>
  </si>
  <si>
    <t>Rua Joaquim Laranjeiras</t>
  </si>
  <si>
    <t>Alcantara</t>
  </si>
  <si>
    <t>Ialan</t>
  </si>
  <si>
    <t>(21)98050-2028</t>
  </si>
  <si>
    <t>Rua José Lopes</t>
  </si>
  <si>
    <t>(21)988797577</t>
  </si>
  <si>
    <t>Avenida Nazaré 888</t>
  </si>
  <si>
    <t>Ricardo deAlbuquerque</t>
  </si>
  <si>
    <t>Nova Descoberta</t>
  </si>
  <si>
    <t>Avenida João Alberto</t>
  </si>
  <si>
    <t>Santa Efigênia</t>
  </si>
  <si>
    <t>Francinete Cantanhede</t>
  </si>
  <si>
    <t>Rua Eurídes Gonçalves da Cunha</t>
  </si>
  <si>
    <t>Rochedo</t>
  </si>
  <si>
    <t>(71)98520-6213</t>
  </si>
  <si>
    <t>Rua 14 de Julho</t>
  </si>
  <si>
    <t>Coutos</t>
  </si>
  <si>
    <t>selma</t>
  </si>
  <si>
    <t>(85)98795-4180</t>
  </si>
  <si>
    <t>Rua Jaçanau</t>
  </si>
  <si>
    <t>MARIA DE FATIMA</t>
  </si>
  <si>
    <t>(51)99830-9188</t>
  </si>
  <si>
    <t>Av Presidente Vargas</t>
  </si>
  <si>
    <t>Francine</t>
  </si>
  <si>
    <t>(61)99335-8340</t>
  </si>
  <si>
    <t>Chácara 2</t>
  </si>
  <si>
    <t>Água Férrea</t>
  </si>
  <si>
    <t>Rua Xavier da Silveira</t>
  </si>
  <si>
    <t>(81)98702-2672</t>
  </si>
  <si>
    <t>Rua Vila canal</t>
  </si>
  <si>
    <t>Ilha do Retiro</t>
  </si>
  <si>
    <t>Sarah</t>
  </si>
  <si>
    <t>(27)99725-0753</t>
  </si>
  <si>
    <t>Avenida Central</t>
  </si>
  <si>
    <t>Campo Verde</t>
  </si>
  <si>
    <t>Viana</t>
  </si>
  <si>
    <t>Adriele</t>
  </si>
  <si>
    <t>(61)3379-4355</t>
  </si>
  <si>
    <t>SHSN 16 QUADRA 2 CONJUNTO A CASA 31</t>
  </si>
  <si>
    <t>SOL NASCENTE</t>
  </si>
  <si>
    <t>CEILÂNDIA</t>
  </si>
  <si>
    <t>(21)99215-8943</t>
  </si>
  <si>
    <t>Rua Neuza Goulart Brizola</t>
  </si>
  <si>
    <t>Km 32</t>
  </si>
  <si>
    <t>Joseane</t>
  </si>
  <si>
    <t>(85)98773-9940</t>
  </si>
  <si>
    <t>Rua Viaduto Moreira da Rocha</t>
  </si>
  <si>
    <t>(47)99112-5538</t>
  </si>
  <si>
    <t>rua santina rosa da costa</t>
  </si>
  <si>
    <t>Los Angeles</t>
  </si>
  <si>
    <t>Barra Velha</t>
  </si>
  <si>
    <t>(85)98524-3016</t>
  </si>
  <si>
    <t>Rua B</t>
  </si>
  <si>
    <t>Jangurussu</t>
  </si>
  <si>
    <t>Jardel</t>
  </si>
  <si>
    <t>(81)98433-5797</t>
  </si>
  <si>
    <t>Rua Córrego do Sargento</t>
  </si>
  <si>
    <t>Linha do Tiro</t>
  </si>
  <si>
    <t>Gilberto Luiz</t>
  </si>
  <si>
    <t>(71)98761-3901</t>
  </si>
  <si>
    <t>Povoado de Couro Dantas</t>
  </si>
  <si>
    <t>Coqueiro de Arembepe</t>
  </si>
  <si>
    <t>Rozelita</t>
  </si>
  <si>
    <t>(68)99901-9369</t>
  </si>
  <si>
    <t>Rua Maria das Dores</t>
  </si>
  <si>
    <t>Conjunto Esperança</t>
  </si>
  <si>
    <t>Elianay</t>
  </si>
  <si>
    <t>Passagem Cametá</t>
  </si>
  <si>
    <t>Telegráfo</t>
  </si>
  <si>
    <t>Gisele</t>
  </si>
  <si>
    <t>(91)98805-1496</t>
  </si>
  <si>
    <t>Passagem Combatente</t>
  </si>
  <si>
    <t>(71)98135-9606</t>
  </si>
  <si>
    <t>Rua Gomes Brandão</t>
  </si>
  <si>
    <t>Garcia</t>
  </si>
  <si>
    <t>Cassia</t>
  </si>
  <si>
    <t>(71)99948-7575</t>
  </si>
  <si>
    <t>Rua Dr. Odilon Machado 657</t>
  </si>
  <si>
    <t>IAPI</t>
  </si>
  <si>
    <t>(98)98444-4710</t>
  </si>
  <si>
    <t>Rua da caixa da agua</t>
  </si>
  <si>
    <t>Pindai</t>
  </si>
  <si>
    <t>São José de Ribamar</t>
  </si>
  <si>
    <t>ctmaranhao@hotmail.com</t>
  </si>
  <si>
    <t>Rosaníria</t>
  </si>
  <si>
    <t>(81)97333-9528</t>
  </si>
  <si>
    <t>Rua Cantora Clara Nunes</t>
  </si>
  <si>
    <t>Torre</t>
  </si>
  <si>
    <t>William</t>
  </si>
  <si>
    <t>(68)99984-6280</t>
  </si>
  <si>
    <t>Rua Bartolomeu Bueno</t>
  </si>
  <si>
    <t>Bosque</t>
  </si>
  <si>
    <t>(85)8583-3154</t>
  </si>
  <si>
    <t>Moisés</t>
  </si>
  <si>
    <t>QUINTNO CUNHA</t>
  </si>
  <si>
    <t>(85)98962-7590</t>
  </si>
  <si>
    <t>Rua E</t>
  </si>
  <si>
    <t>Marcia virginia</t>
  </si>
  <si>
    <t>Luciano</t>
  </si>
  <si>
    <t>(81)99864-9999</t>
  </si>
  <si>
    <t>Avenida Gedalha</t>
  </si>
  <si>
    <t>Fundão</t>
  </si>
  <si>
    <t>Fabiano</t>
  </si>
  <si>
    <t>(11)91162-4344</t>
  </si>
  <si>
    <t>Rua Dom João Maria Ogno</t>
  </si>
  <si>
    <t>Vila Matilde</t>
  </si>
  <si>
    <t>Jussimara</t>
  </si>
  <si>
    <t>(81)99699-0323</t>
  </si>
  <si>
    <t>Rua Almirante Eduardo Wandenkolk</t>
  </si>
  <si>
    <t>(75)99174-6520</t>
  </si>
  <si>
    <t>BARRA DO SÃO FRANCISCO</t>
  </si>
  <si>
    <t>MANGABEIRA</t>
  </si>
  <si>
    <t>FEIRA DE SANTANA</t>
  </si>
  <si>
    <t>Lúcia</t>
  </si>
  <si>
    <t>(79)99930-7993</t>
  </si>
  <si>
    <t>Travessa Aracajuzinho</t>
  </si>
  <si>
    <t>Iziane</t>
  </si>
  <si>
    <t>(21)9814-91382</t>
  </si>
  <si>
    <t>Rua José Silton Pinheiro</t>
  </si>
  <si>
    <t>Jaqueline de Fátima Leocádio</t>
  </si>
  <si>
    <t>(81)98736-6100</t>
  </si>
  <si>
    <t>Rua Cinquenta e Um</t>
  </si>
  <si>
    <t>Jardim Paulista</t>
  </si>
  <si>
    <t>Periperi</t>
  </si>
  <si>
    <t>(31)99250-4824</t>
  </si>
  <si>
    <t>Rua Custódio Carreira</t>
  </si>
  <si>
    <t>(85)99702-8409</t>
  </si>
  <si>
    <t>Doutor Gilberto Studart, 55</t>
  </si>
  <si>
    <t>Coco</t>
  </si>
  <si>
    <t>Natanael</t>
  </si>
  <si>
    <t>(16)98178-9253</t>
  </si>
  <si>
    <t>Rua Laurindo Scaranello</t>
  </si>
  <si>
    <t>Jardim Jamaica</t>
  </si>
  <si>
    <t>Sertãozinho</t>
  </si>
  <si>
    <t>Cristian</t>
  </si>
  <si>
    <t>(11)95156-2968</t>
  </si>
  <si>
    <t>Rua Miguel Lopes</t>
  </si>
  <si>
    <t>Jardim Lídia</t>
  </si>
  <si>
    <t>(81)97906-8043</t>
  </si>
  <si>
    <t>Segunda Travessa José Liberato</t>
  </si>
  <si>
    <t>Cavaleiro</t>
  </si>
  <si>
    <t>(85)99999-6559</t>
  </si>
  <si>
    <t>Cândido Jucá</t>
  </si>
  <si>
    <t>Rodolfo teófilo</t>
  </si>
  <si>
    <t>Raquel</t>
  </si>
  <si>
    <t>(12)98126-0602</t>
  </si>
  <si>
    <t>Antonino Rosa Junior</t>
  </si>
  <si>
    <t>Vila passos</t>
  </si>
  <si>
    <t>Lorena</t>
  </si>
  <si>
    <t>Daniella</t>
  </si>
  <si>
    <t>Travessa vileta</t>
  </si>
  <si>
    <t>Jardim botânico</t>
  </si>
  <si>
    <t>Americanópolis</t>
  </si>
  <si>
    <t>(98)98890-5387</t>
  </si>
  <si>
    <t>Travessa Felicidade</t>
  </si>
  <si>
    <t>Maria do Socorro</t>
  </si>
  <si>
    <t>(81)99601-4500</t>
  </si>
  <si>
    <t>Rua Francisco Alves</t>
  </si>
  <si>
    <t>Coelhos</t>
  </si>
  <si>
    <t>Betania</t>
  </si>
  <si>
    <t>(62)98142-9401</t>
  </si>
  <si>
    <t>Rua B 6 qd - 54 lt - 38</t>
  </si>
  <si>
    <t>Fabricio</t>
  </si>
  <si>
    <t>(53)99966-7059</t>
  </si>
  <si>
    <t>Rua Dom Bosco</t>
  </si>
  <si>
    <t>Bagé</t>
  </si>
  <si>
    <t>Helena</t>
  </si>
  <si>
    <t>(11)3424-6994</t>
  </si>
  <si>
    <t>Avenida Massao Watanabe</t>
  </si>
  <si>
    <t>Rua Correia de Oliveira</t>
  </si>
  <si>
    <t>Vila Isabel</t>
  </si>
  <si>
    <t>(11)94995-0142</t>
  </si>
  <si>
    <t>Rua Alberto Borges Soveral, 86</t>
  </si>
  <si>
    <t>Pq independencia</t>
  </si>
  <si>
    <t>(49)99809-5363</t>
  </si>
  <si>
    <t>Interior</t>
  </si>
  <si>
    <t>Celso Ramos</t>
  </si>
  <si>
    <t>Davi</t>
  </si>
  <si>
    <t>(91)3249-5270</t>
  </si>
  <si>
    <t>Travessa Vinte e Cinco de Junho</t>
  </si>
  <si>
    <t>Guamá</t>
  </si>
  <si>
    <t>Valdecira</t>
  </si>
  <si>
    <t>(11)99339-2539</t>
  </si>
  <si>
    <t>Rua Aracitaba, 340</t>
  </si>
  <si>
    <t>Nova Bonsucesso</t>
  </si>
  <si>
    <t>Leda</t>
  </si>
  <si>
    <t>Jaraguá</t>
  </si>
  <si>
    <t>Estrada do Itararé</t>
  </si>
  <si>
    <t>(81)98880-4196</t>
  </si>
  <si>
    <t>Siqueira Lobo</t>
  </si>
  <si>
    <t>Poço da Panela</t>
  </si>
  <si>
    <t>Isis</t>
  </si>
  <si>
    <t>(11)2484-4914</t>
  </si>
  <si>
    <t>Rua Um</t>
  </si>
  <si>
    <t>Vila Izabel</t>
  </si>
  <si>
    <t>Michel</t>
  </si>
  <si>
    <t>(81)98418-2818</t>
  </si>
  <si>
    <t>Rua João Limoeiro</t>
  </si>
  <si>
    <t>Dois Irmãos</t>
  </si>
  <si>
    <t>Luciano Carlos</t>
  </si>
  <si>
    <t>(31)8569-2310</t>
  </si>
  <si>
    <t>Rua Tavares</t>
  </si>
  <si>
    <t>São Jorge II</t>
  </si>
  <si>
    <t>Waldir</t>
  </si>
  <si>
    <t>Renato</t>
  </si>
  <si>
    <t>(81)99878-0508</t>
  </si>
  <si>
    <t>Avenida Antônio Torres Galvão</t>
  </si>
  <si>
    <t>Carlos</t>
  </si>
  <si>
    <t>(11)97305-1884</t>
  </si>
  <si>
    <t>Vila Júlia</t>
  </si>
  <si>
    <t>Vania Aparecida</t>
  </si>
  <si>
    <t>(11)96858-6655</t>
  </si>
  <si>
    <t>Rua Pagé</t>
  </si>
  <si>
    <t>Margarete</t>
  </si>
  <si>
    <t>(21)99546-0584</t>
  </si>
  <si>
    <t>Rouget Lisle  205</t>
  </si>
  <si>
    <t>Vila Santo Antônio -Pantanal</t>
  </si>
  <si>
    <t>(21)97155-7785</t>
  </si>
  <si>
    <t>Rua Presidente João Goulart</t>
  </si>
  <si>
    <t>Tatiane</t>
  </si>
  <si>
    <t>(21)99809-9817</t>
  </si>
  <si>
    <t>Rua Infante de Sagres</t>
  </si>
  <si>
    <t>Ipanema</t>
  </si>
  <si>
    <t>Sitio maxixi</t>
  </si>
  <si>
    <t>Maxixi</t>
  </si>
  <si>
    <t>Canguaretama</t>
  </si>
  <si>
    <t>(71)98339-0500</t>
  </si>
  <si>
    <t>Alameda Ednaldo Santos de Jesus</t>
  </si>
  <si>
    <t>São Rafael</t>
  </si>
  <si>
    <t>Antonio Carlos</t>
  </si>
  <si>
    <t>Peixinhos</t>
  </si>
  <si>
    <t>(32)99137-6194</t>
  </si>
  <si>
    <t>Rua Antônio Dias Tostes</t>
  </si>
  <si>
    <t>Granbery</t>
  </si>
  <si>
    <t>Marina</t>
  </si>
  <si>
    <t>(31)99850-4420</t>
  </si>
  <si>
    <t>Rua Rio Negro</t>
  </si>
  <si>
    <t>Riacho das Pedras</t>
  </si>
  <si>
    <t>(27)99939-9580</t>
  </si>
  <si>
    <t>Escadaria do Cafezal, 39</t>
  </si>
  <si>
    <t>Território do Bem</t>
  </si>
  <si>
    <t>(84)99965-6466</t>
  </si>
  <si>
    <t>prefeito alcindo gomes</t>
  </si>
  <si>
    <t>manoel salustino</t>
  </si>
  <si>
    <t>Currais Novos</t>
  </si>
  <si>
    <t>sófocles</t>
  </si>
  <si>
    <t>(85)3224-8831</t>
  </si>
  <si>
    <t>Rua José Vilar</t>
  </si>
  <si>
    <t>Meireles</t>
  </si>
  <si>
    <t>Darleny</t>
  </si>
  <si>
    <t>(68)99208-9671</t>
  </si>
  <si>
    <t>Rua Leblon</t>
  </si>
  <si>
    <t>Ivete Vargas</t>
  </si>
  <si>
    <t>Kennon</t>
  </si>
  <si>
    <t>(92)98856-2188</t>
  </si>
  <si>
    <t>Rua Doutor Benjamin Lima</t>
  </si>
  <si>
    <t>São Jorge</t>
  </si>
  <si>
    <t>fabiana</t>
  </si>
  <si>
    <t>(31)98544-1480</t>
  </si>
  <si>
    <t>rua emanuelita chaves</t>
  </si>
  <si>
    <t>ressaca</t>
  </si>
  <si>
    <t>Naiara</t>
  </si>
  <si>
    <t>(75)98348-1819</t>
  </si>
  <si>
    <t>Rua independência</t>
  </si>
  <si>
    <t>Cajueiro</t>
  </si>
  <si>
    <t>Lucilene</t>
  </si>
  <si>
    <t>Avenida Vaticano</t>
  </si>
  <si>
    <t>Anjo da Guarda</t>
  </si>
  <si>
    <t>Flavyandressa</t>
  </si>
  <si>
    <t>(21)98072-8803</t>
  </si>
  <si>
    <t>Rua Godofredo Viana, 64</t>
  </si>
  <si>
    <t>(81)98716-6057</t>
  </si>
  <si>
    <t>Rua Rio Moxotó</t>
  </si>
  <si>
    <t>Marcos André</t>
  </si>
  <si>
    <t>(98)98426-1215</t>
  </si>
  <si>
    <t>Travessa Nossa Senhora Aparecida</t>
  </si>
  <si>
    <t>Narlize</t>
  </si>
  <si>
    <t>Edson</t>
  </si>
  <si>
    <t>(81)98724-5450</t>
  </si>
  <si>
    <t>Rua cantora clara nunes</t>
  </si>
  <si>
    <t>Claudionora</t>
  </si>
  <si>
    <t>81 8797-5556</t>
  </si>
  <si>
    <t>Rua Curitiba</t>
  </si>
  <si>
    <t>Santa Rita</t>
  </si>
  <si>
    <t>Igarassu</t>
  </si>
  <si>
    <t>raquel gusmão</t>
  </si>
  <si>
    <t>Jardim São Paulo</t>
  </si>
  <si>
    <t>Elisangela</t>
  </si>
  <si>
    <t>(98)98250-4907</t>
  </si>
  <si>
    <t>Rua do Norte</t>
  </si>
  <si>
    <t>Mutirão</t>
  </si>
  <si>
    <t>(68)99923-7024</t>
  </si>
  <si>
    <t>Estrada Dias Martins</t>
  </si>
  <si>
    <t>Conjunto Mariana</t>
  </si>
  <si>
    <t>Maria da Conceição</t>
  </si>
  <si>
    <t>(21)3017-4258</t>
  </si>
  <si>
    <t>Rua Teixeira de Azevedo</t>
  </si>
  <si>
    <t>Abolição</t>
  </si>
  <si>
    <t>Nelma</t>
  </si>
  <si>
    <t>(81)98674-3882</t>
  </si>
  <si>
    <t>Rua Teolândia</t>
  </si>
  <si>
    <t>Brejo de Beberibe</t>
  </si>
  <si>
    <t>John cleber de Oliveira Farias</t>
  </si>
  <si>
    <t>(31)98601-4651</t>
  </si>
  <si>
    <t>Rua Jornalista Helvídio Prisco</t>
  </si>
  <si>
    <t>Serrano</t>
  </si>
  <si>
    <t>Benet</t>
  </si>
  <si>
    <t>(82)99341-1960</t>
  </si>
  <si>
    <t>RUA ALLAN KARDEC,</t>
  </si>
  <si>
    <t>ANTARES</t>
  </si>
  <si>
    <t>MACEIÓ</t>
  </si>
  <si>
    <t>Tiberio</t>
  </si>
  <si>
    <t>(31)99532-5997</t>
  </si>
  <si>
    <t>Rua Hilarino Benedito Malta</t>
  </si>
  <si>
    <t>Madre Gertrudes</t>
  </si>
  <si>
    <t>RICARDO</t>
  </si>
  <si>
    <t>(11)98798-1374</t>
  </si>
  <si>
    <t>Sem sede</t>
  </si>
  <si>
    <t>Vila Osasco</t>
  </si>
  <si>
    <t>Osasco</t>
  </si>
  <si>
    <t>(41)99758-5118</t>
  </si>
  <si>
    <t>Rua Adalberto Gil da Silva</t>
  </si>
  <si>
    <t>Santa Quitéria</t>
  </si>
  <si>
    <t>(14)3232-2786</t>
  </si>
  <si>
    <t>José Costa Ribeiro</t>
  </si>
  <si>
    <t>Jd Vãnia Maria</t>
  </si>
  <si>
    <t>(19)3862-3794</t>
  </si>
  <si>
    <t>Avenida Brasilia 350</t>
  </si>
  <si>
    <t>Loteamento Nova Mogi</t>
  </si>
  <si>
    <t>Marilene</t>
  </si>
  <si>
    <t>+55(19)98227-9137</t>
  </si>
  <si>
    <t>São Bernardo do Campo</t>
  </si>
  <si>
    <t>(38)99150-0060</t>
  </si>
  <si>
    <t>"D"</t>
  </si>
  <si>
    <t>Vargem grande II</t>
  </si>
  <si>
    <t>Odete</t>
  </si>
  <si>
    <t>(21)96693-3400</t>
  </si>
  <si>
    <t>Rua Projetada R</t>
  </si>
  <si>
    <t>Nayra</t>
  </si>
  <si>
    <t>(81)99411-8803</t>
  </si>
  <si>
    <t>Rua Abelardo</t>
  </si>
  <si>
    <t>Graças</t>
  </si>
  <si>
    <t>Vitor</t>
  </si>
  <si>
    <t>(31)99568-3398</t>
  </si>
  <si>
    <t>Rua São Tomaz de Aquino</t>
  </si>
  <si>
    <t>Santa Rita de Cássia</t>
  </si>
  <si>
    <t>(35)99809-8137</t>
  </si>
  <si>
    <t>Av. Silvio Menicucci</t>
  </si>
  <si>
    <t>Olaria</t>
  </si>
  <si>
    <t>Lavras</t>
  </si>
  <si>
    <t>Hans</t>
  </si>
  <si>
    <t>Rua Santo Amaro</t>
  </si>
  <si>
    <t>(71)99118-5717</t>
  </si>
  <si>
    <t>DURVAL JOSE TEIXEIRA</t>
  </si>
  <si>
    <t>BOA VISTA</t>
  </si>
  <si>
    <t>Seabra</t>
  </si>
  <si>
    <t>Victor</t>
  </si>
  <si>
    <t>(11)94030-7250</t>
  </si>
  <si>
    <t>Rua Manoel de Santana</t>
  </si>
  <si>
    <t>Lauzane Paulista</t>
  </si>
  <si>
    <t>(13)98818-1215</t>
  </si>
  <si>
    <t>Rua Maria Martins Baptista</t>
  </si>
  <si>
    <t>Vila Sonia</t>
  </si>
  <si>
    <t>Praia Grande</t>
  </si>
  <si>
    <t>(81)99946-9295</t>
  </si>
  <si>
    <t>Rua Leandro Barreto</t>
  </si>
  <si>
    <t>Allana</t>
  </si>
  <si>
    <t>rua professor inacio werneck</t>
  </si>
  <si>
    <t>Vitoria</t>
  </si>
  <si>
    <t>(82)99370-9986</t>
  </si>
  <si>
    <t>Rua C-04</t>
  </si>
  <si>
    <t>Clayton Jonathan</t>
  </si>
  <si>
    <t>(21)99071-9298</t>
  </si>
  <si>
    <t>Estrada do Cassiano</t>
  </si>
  <si>
    <t>Figueira II</t>
  </si>
  <si>
    <t>(11)98467-7791</t>
  </si>
  <si>
    <t>Rua da Luta</t>
  </si>
  <si>
    <t>(71)98761-9125</t>
  </si>
  <si>
    <t>tailanasilvadl2@gmail.com</t>
  </si>
  <si>
    <t>Rua Vietnã do Sul</t>
  </si>
  <si>
    <t>Tatiana</t>
  </si>
  <si>
    <t>(71)99188-8528</t>
  </si>
  <si>
    <t>Rua Dom João VI</t>
  </si>
  <si>
    <t>ANA MARIA</t>
  </si>
  <si>
    <t>(11)97240-5835</t>
  </si>
  <si>
    <t>Rua Aba</t>
  </si>
  <si>
    <t>Jardim Moreno</t>
  </si>
  <si>
    <t>Egle</t>
  </si>
  <si>
    <t>(11)98657-9955</t>
  </si>
  <si>
    <t>Estrada São Francisco</t>
  </si>
  <si>
    <t>Parque Taboão</t>
  </si>
  <si>
    <t>Rodrigo Augusto</t>
  </si>
  <si>
    <t>(51) 99620-6480</t>
  </si>
  <si>
    <t>Rua Intendente Alfredo Azevedo</t>
  </si>
  <si>
    <t>(17)98226-0179</t>
  </si>
  <si>
    <t>Pachoal Decrescenzo, 599 -</t>
  </si>
  <si>
    <t>Vila Mayor</t>
  </si>
  <si>
    <t>(11)98111-4838</t>
  </si>
  <si>
    <t>Rua Barra de São Miguel</t>
  </si>
  <si>
    <t>Jd Nova Cumbica</t>
  </si>
  <si>
    <t>(21)99267-7570</t>
  </si>
  <si>
    <t>Rua Tocantins</t>
  </si>
  <si>
    <t>Jardim Gramacho</t>
  </si>
  <si>
    <t>Itairan</t>
  </si>
  <si>
    <t>Rua Dom Pedro II</t>
  </si>
  <si>
    <t>(21)98153-1784</t>
  </si>
  <si>
    <t>Rua Rosa Saião</t>
  </si>
  <si>
    <t>Gamboa</t>
  </si>
  <si>
    <t>(11)2017-6362</t>
  </si>
  <si>
    <t>Rua Ernesto Manograsso,  207</t>
  </si>
  <si>
    <t>São Mateus</t>
  </si>
  <si>
    <t>(85)8114-3643</t>
  </si>
  <si>
    <t>Estrada do Itaperi</t>
  </si>
  <si>
    <t>Passaré</t>
  </si>
  <si>
    <t>(11)99910-8999</t>
  </si>
  <si>
    <t>Rua Major Antonino, 182</t>
  </si>
  <si>
    <t>OLIMPICO</t>
  </si>
  <si>
    <t>Euclides da Cunha</t>
  </si>
  <si>
    <t>(11)98490-6687</t>
  </si>
  <si>
    <t>Rua Francisco de Góes Araújo</t>
  </si>
  <si>
    <t>Jardim Lourdes</t>
  </si>
  <si>
    <t>Eliete Sandra</t>
  </si>
  <si>
    <t>(11)99607-4946</t>
  </si>
  <si>
    <t>Rua dos Campineiros</t>
  </si>
  <si>
    <t>Mooca</t>
  </si>
  <si>
    <t>(82)98745-4231</t>
  </si>
  <si>
    <t>Residencial Morada do Planalto</t>
  </si>
  <si>
    <t>Tairan</t>
  </si>
  <si>
    <t>(75)99116-7366</t>
  </si>
  <si>
    <t>SÃO CARLOS</t>
  </si>
  <si>
    <t>LAGOA SALGADA</t>
  </si>
  <si>
    <t>Feira de Santana</t>
  </si>
  <si>
    <t>Daianny</t>
  </si>
  <si>
    <t>Samambaia Norte</t>
  </si>
  <si>
    <t>Iara</t>
  </si>
  <si>
    <t>(73)99866-2998</t>
  </si>
  <si>
    <t>Rua Itacaré</t>
  </si>
  <si>
    <t>Uruçuca</t>
  </si>
  <si>
    <t>(11)93258-3037</t>
  </si>
  <si>
    <t>Sônia</t>
  </si>
  <si>
    <t>ICVM</t>
  </si>
  <si>
    <t>(98)98853-0316</t>
  </si>
  <si>
    <t>Rua 105 SE</t>
  </si>
  <si>
    <t>Cidade Operária</t>
  </si>
  <si>
    <t>Reylla Trindade Ferreira</t>
  </si>
  <si>
    <t>11 94363-6673</t>
  </si>
  <si>
    <t>Rua Melo Póvoas</t>
  </si>
  <si>
    <t>(47)99133-2682</t>
  </si>
  <si>
    <t>rua do campo 315</t>
  </si>
  <si>
    <t>Morro do MEIO</t>
  </si>
  <si>
    <t>JOINVILLE</t>
  </si>
  <si>
    <t>Rosely</t>
  </si>
  <si>
    <t>(71)3288-2022</t>
  </si>
  <si>
    <t>Rua Doze de Julho</t>
  </si>
  <si>
    <t>Alto das Pombas</t>
  </si>
  <si>
    <t>(98)98233-0200</t>
  </si>
  <si>
    <t>Rua da Borboleta</t>
  </si>
  <si>
    <t>ADELMO 1</t>
  </si>
  <si>
    <t>Aldemo Pereira</t>
  </si>
  <si>
    <t>Junqueiro</t>
  </si>
  <si>
    <t>Lourival</t>
  </si>
  <si>
    <t>(51)99517-8730</t>
  </si>
  <si>
    <t>Gonçalves Dias</t>
  </si>
  <si>
    <t>Menino Deus</t>
  </si>
  <si>
    <t>Sinara</t>
  </si>
  <si>
    <t>(11)94924-0035</t>
  </si>
  <si>
    <t>Rua Luís Antônio Pereira 133</t>
  </si>
  <si>
    <t>(85)98919-9313</t>
  </si>
  <si>
    <t>institutoculturacao@gmail.com</t>
  </si>
  <si>
    <t>George</t>
  </si>
  <si>
    <t>(31)3674-4170</t>
  </si>
  <si>
    <t>Rua Águas Férreas</t>
  </si>
  <si>
    <t>(96)3251-4011</t>
  </si>
  <si>
    <t>Avenida dos Figos</t>
  </si>
  <si>
    <t>Infraero</t>
  </si>
  <si>
    <t>JADER</t>
  </si>
  <si>
    <t>(81)2011-4101</t>
  </si>
  <si>
    <t>Avenida Assembléia de Deus</t>
  </si>
  <si>
    <t>Capibaribe</t>
  </si>
  <si>
    <t>(11)95793-7393</t>
  </si>
  <si>
    <t>Honorio Prado</t>
  </si>
  <si>
    <t>Jd. Castro Alves</t>
  </si>
  <si>
    <t>(98)99197-0126</t>
  </si>
  <si>
    <t>Avenida 03</t>
  </si>
  <si>
    <t>Jardim América</t>
  </si>
  <si>
    <t>Lecilia</t>
  </si>
  <si>
    <t>(85)98930-4416</t>
  </si>
  <si>
    <t>(11)95769-3728</t>
  </si>
  <si>
    <t>Rua Domingas Corneto Pinheiro</t>
  </si>
  <si>
    <t>Conjunto Habitacional São José</t>
  </si>
  <si>
    <t>Campo Limpo Paulista</t>
  </si>
  <si>
    <t>71 3350-5526</t>
  </si>
  <si>
    <t>Avenida Tancredo Neves</t>
  </si>
  <si>
    <t>Caminho das Árvores</t>
  </si>
  <si>
    <t>Aucília</t>
  </si>
  <si>
    <t>(85)3235-6683</t>
  </si>
  <si>
    <t>Rua Major Celestino, 1040</t>
  </si>
  <si>
    <t>Antônio Bezerra</t>
  </si>
  <si>
    <t>Monalice</t>
  </si>
  <si>
    <t>(98)98149-8331</t>
  </si>
  <si>
    <t>RUA 72 QUADRA 153</t>
  </si>
  <si>
    <t>MAIOBÃO</t>
  </si>
  <si>
    <t>(96)3423-1460</t>
  </si>
  <si>
    <t>Av Coaracy Nunes</t>
  </si>
  <si>
    <t>Comunicações</t>
  </si>
  <si>
    <t>Calçoene</t>
  </si>
  <si>
    <t>Eliezio</t>
  </si>
  <si>
    <t>(85)98112-0119</t>
  </si>
  <si>
    <t>Rua 412</t>
  </si>
  <si>
    <t>Artur</t>
  </si>
  <si>
    <t>(31)97183-1708</t>
  </si>
  <si>
    <t>Rua Alberto Borges Sorveral, 50</t>
  </si>
  <si>
    <t>(11)97839-8729</t>
  </si>
  <si>
    <t>Rua Chapecó</t>
  </si>
  <si>
    <t>Vila Itaquá Mirim</t>
  </si>
  <si>
    <t>(82)99444-1089</t>
  </si>
  <si>
    <t>Quadra 04</t>
  </si>
  <si>
    <t>Benedito Bentes II</t>
  </si>
  <si>
    <t>EDVALDO</t>
  </si>
  <si>
    <t>Rua Inês Brasil,484</t>
  </si>
  <si>
    <t>(82)99805-9555</t>
  </si>
  <si>
    <t>Povoado Pau D'arco</t>
  </si>
  <si>
    <t>Pau D'Arco</t>
  </si>
  <si>
    <t>Arapiraca</t>
  </si>
  <si>
    <t>(38)98851-1557</t>
  </si>
  <si>
    <t>Vargem Grande II</t>
  </si>
  <si>
    <t>Paulo César</t>
  </si>
  <si>
    <t>rua verde</t>
  </si>
  <si>
    <t>(84)98861-6160</t>
  </si>
  <si>
    <t>rua joao antonio</t>
  </si>
  <si>
    <t>Equador</t>
  </si>
  <si>
    <t>João Batista</t>
  </si>
  <si>
    <t>(11)98326-1978</t>
  </si>
  <si>
    <t>rua Antonio Arantes</t>
  </si>
  <si>
    <t>Vila Progredior</t>
  </si>
  <si>
    <t>(21)97008-4155</t>
  </si>
  <si>
    <t>Rua Ponto chique</t>
  </si>
  <si>
    <t>(21)97026-8555</t>
  </si>
  <si>
    <t>Rua Jundiá</t>
  </si>
  <si>
    <t>Bento Ribeiro</t>
  </si>
  <si>
    <t>(85)98602-0602</t>
  </si>
  <si>
    <t>Avenida Washington Soares</t>
  </si>
  <si>
    <t>Edson Queiroz</t>
  </si>
  <si>
    <t>Taylor</t>
  </si>
  <si>
    <t>(82)98123-0914</t>
  </si>
  <si>
    <t>Rua joão Pedro</t>
  </si>
  <si>
    <t>Roteiro</t>
  </si>
  <si>
    <t>Weliton</t>
  </si>
  <si>
    <t>(82)98221-8816</t>
  </si>
  <si>
    <t>Rua Itapuã</t>
  </si>
  <si>
    <t>Jacintinho</t>
  </si>
  <si>
    <t>Eliel</t>
  </si>
  <si>
    <t>(85)99608-9464</t>
  </si>
  <si>
    <t>instituicaovidas@gmail.com</t>
  </si>
  <si>
    <t>Avenida B  141</t>
  </si>
  <si>
    <t>Sitio são João</t>
  </si>
  <si>
    <t>Wilssa</t>
  </si>
  <si>
    <t>(11)99705-2135</t>
  </si>
  <si>
    <t>Rua Pacaembu</t>
  </si>
  <si>
    <t>Munhoz Júnior</t>
  </si>
  <si>
    <t>Jhonata</t>
  </si>
  <si>
    <t>(85)99737-1102</t>
  </si>
  <si>
    <t>RUA IZAURA GONÇALVES- MORRO VERDE</t>
  </si>
  <si>
    <t>VILA NOVA</t>
  </si>
  <si>
    <t>Cariús</t>
  </si>
  <si>
    <t>Gabriele</t>
  </si>
  <si>
    <t>(93)98124-5186</t>
  </si>
  <si>
    <t>(98)3223-1656</t>
  </si>
  <si>
    <t>Rua Estrela</t>
  </si>
  <si>
    <t>Rosiane</t>
  </si>
  <si>
    <t>(98)98463-6205</t>
  </si>
  <si>
    <t>Rua Seis</t>
  </si>
  <si>
    <t>Vila Mauro Fecury II</t>
  </si>
  <si>
    <t>JOSE RIBAMAR AZEVEDO</t>
  </si>
  <si>
    <t>Rua da Paz</t>
  </si>
  <si>
    <t>(98)3225-7323</t>
  </si>
  <si>
    <t>São Bernardo</t>
  </si>
  <si>
    <t>Rua Primeiro de Maio n° 379</t>
  </si>
  <si>
    <t>(84)98894-0051</t>
  </si>
  <si>
    <t>Rua Professor Luiz Soares 10</t>
  </si>
  <si>
    <t>Golandim</t>
  </si>
  <si>
    <t>CARLOS</t>
  </si>
  <si>
    <t>(85)98215-0189</t>
  </si>
  <si>
    <t>Manuel Sátiro</t>
  </si>
  <si>
    <t>Érica</t>
  </si>
  <si>
    <t>(71)99359-1605</t>
  </si>
  <si>
    <t>(21)96422-0934</t>
  </si>
  <si>
    <t>(61)99373-0779</t>
  </si>
  <si>
    <t>Quadra 7 Conjunto E</t>
  </si>
  <si>
    <t>(31)99275-3111</t>
  </si>
  <si>
    <t>Estrada do Bananal,</t>
  </si>
  <si>
    <t>Bonanza</t>
  </si>
  <si>
    <t>(81)98692-6133</t>
  </si>
  <si>
    <t>Rua Trinta e Sete</t>
  </si>
  <si>
    <t>Rio Doce</t>
  </si>
  <si>
    <t>maria joacy de melo</t>
  </si>
  <si>
    <t>(98)98791-8498</t>
  </si>
  <si>
    <t>Rua Buritizeiro</t>
  </si>
  <si>
    <t>Ipase de Baixo</t>
  </si>
  <si>
    <t>Lindiana</t>
  </si>
  <si>
    <t>Rua Projetada</t>
  </si>
  <si>
    <t>(65)99982-3594</t>
  </si>
  <si>
    <t>Rua Presidente Pimenta Bueno</t>
  </si>
  <si>
    <t>COHAB CRISTO REI</t>
  </si>
  <si>
    <t>(16)99366-0385</t>
  </si>
  <si>
    <t>Rua Manoel Rodrigues Jacob, 1155</t>
  </si>
  <si>
    <t>Santa Angelina</t>
  </si>
  <si>
    <t>Araraquara</t>
  </si>
  <si>
    <t>(13)99740-0586</t>
  </si>
  <si>
    <t>(84)8865-2115</t>
  </si>
  <si>
    <t>R. Maria Ivone Campos</t>
  </si>
  <si>
    <t>(61)99574-7001</t>
  </si>
  <si>
    <t>QS 1033 CONJUNTO 1 LOTE 1</t>
  </si>
  <si>
    <t>21 98196-7925</t>
  </si>
  <si>
    <t>Rua da América</t>
  </si>
  <si>
    <t>Joaquim Távora</t>
  </si>
  <si>
    <t>(13)99613-2034</t>
  </si>
  <si>
    <t>Angelo Ponsoni</t>
  </si>
  <si>
    <t>Jardim das Acacias</t>
  </si>
  <si>
    <t>Pariquera-Açu</t>
  </si>
  <si>
    <t>Rogerio</t>
  </si>
  <si>
    <t>(21)96419-8866</t>
  </si>
  <si>
    <t>Rua da Quitanda</t>
  </si>
  <si>
    <t>Thalita</t>
  </si>
  <si>
    <t>(21)99382-3891</t>
  </si>
  <si>
    <t>Rua Nabuco de Araújo</t>
  </si>
  <si>
    <t>Érica Reis</t>
  </si>
  <si>
    <t>(81)99821-9302</t>
  </si>
  <si>
    <t>Rua Aurora</t>
  </si>
  <si>
    <t>Av. dos Multirantes, s/n</t>
  </si>
  <si>
    <t>Jd Itajuíbe</t>
  </si>
  <si>
    <t>11 987069102</t>
  </si>
  <si>
    <t>Cidade Kemel - Jd Sta Helena</t>
  </si>
  <si>
    <t>Rafaela</t>
  </si>
  <si>
    <t>(21)96412-1810</t>
  </si>
  <si>
    <t>Bom Sossego, 382</t>
  </si>
  <si>
    <t>Padre Miguel</t>
  </si>
  <si>
    <t>(21)96656-4481</t>
  </si>
  <si>
    <t>Rua XX</t>
  </si>
  <si>
    <t>Jardim Anhangá</t>
  </si>
  <si>
    <t>Tamires</t>
  </si>
  <si>
    <t>(82)99936-8491</t>
  </si>
  <si>
    <t>RUA MAJOR JOSÉ TENÓRIO DA SILVA</t>
  </si>
  <si>
    <t>BOCA DA MATA</t>
  </si>
  <si>
    <t>(21)96950-6986</t>
  </si>
  <si>
    <t>Rua Gil Queiros</t>
  </si>
  <si>
    <t>Parque Analândia</t>
  </si>
  <si>
    <t>washington luiz alves andre</t>
  </si>
  <si>
    <t>(31)98688-7119</t>
  </si>
  <si>
    <t>Rua Pedra Negra 33</t>
  </si>
  <si>
    <t>Samara</t>
  </si>
  <si>
    <t>(21)2767-4980</t>
  </si>
  <si>
    <t>Rua Santa Isabel</t>
  </si>
  <si>
    <t>Palhada</t>
  </si>
  <si>
    <t>Fellippe</t>
  </si>
  <si>
    <t>(11)96080-2279</t>
  </si>
  <si>
    <t>Rua Monte São Martinho</t>
  </si>
  <si>
    <t>Jardim Santa Cruz (Zona Norte)</t>
  </si>
  <si>
    <t>SUELEN</t>
  </si>
  <si>
    <t>(35)99834-6565</t>
  </si>
  <si>
    <t>La Salles</t>
  </si>
  <si>
    <t>Mocoquinha</t>
  </si>
  <si>
    <t>(11)2737-6124</t>
  </si>
  <si>
    <t>Rua Moxei,96</t>
  </si>
  <si>
    <t>(85)98778-3937</t>
  </si>
  <si>
    <t>Henrique Rabelo</t>
  </si>
  <si>
    <t>JOSE</t>
  </si>
  <si>
    <t>Marisa</t>
  </si>
  <si>
    <t>Rua Carmelina Vieira Nascimento</t>
  </si>
  <si>
    <t>Porque Santo Antônio</t>
  </si>
  <si>
    <t>(81)99617-8272</t>
  </si>
  <si>
    <t>Rua da assembleia de Deus</t>
  </si>
  <si>
    <t>Cambinge</t>
  </si>
  <si>
    <t>(81)99776-8856</t>
  </si>
  <si>
    <t>Rua O</t>
  </si>
  <si>
    <t>Nova Tiúma</t>
  </si>
  <si>
    <t>69-99919-9770</t>
  </si>
  <si>
    <t>OLaria</t>
  </si>
  <si>
    <t>(85)99435-7303</t>
  </si>
  <si>
    <t>Rua Mirtes cordeiro 3147</t>
  </si>
  <si>
    <t>(21)97967-1172</t>
  </si>
  <si>
    <t>Rua do Senado</t>
  </si>
  <si>
    <t>(98)98270-0010</t>
  </si>
  <si>
    <t>Rua da Matança</t>
  </si>
  <si>
    <t>Algelzania</t>
  </si>
  <si>
    <t>Travessa João XXIII</t>
  </si>
  <si>
    <t>(82)3317-1202</t>
  </si>
  <si>
    <t>Av: Menino Marcelo</t>
  </si>
  <si>
    <t>Antares</t>
  </si>
  <si>
    <t>ANTONIO</t>
  </si>
  <si>
    <t>(67)99275-7723</t>
  </si>
  <si>
    <t>Caraíba</t>
  </si>
  <si>
    <t>Jardim Canguru</t>
  </si>
  <si>
    <t>(71)98826-4780</t>
  </si>
  <si>
    <t>Avenida Estados Unidos</t>
  </si>
  <si>
    <t>Comércio</t>
  </si>
  <si>
    <t>Rosani Valéria</t>
  </si>
  <si>
    <t>Avenida Monte Castelo</t>
  </si>
  <si>
    <t>Lisania</t>
  </si>
  <si>
    <t>(88)99284-0376</t>
  </si>
  <si>
    <t>rua Irma Clara</t>
  </si>
  <si>
    <t>Varzea da Matriz</t>
  </si>
  <si>
    <t>Aracati</t>
  </si>
  <si>
    <t>Rua Esperança</t>
  </si>
  <si>
    <t>(98)3247-0523</t>
  </si>
  <si>
    <t>Rua 05</t>
  </si>
  <si>
    <t>Ozelina</t>
  </si>
  <si>
    <t>(91)98201-0151</t>
  </si>
  <si>
    <t>Quadra Dois</t>
  </si>
  <si>
    <t>Maracangalha</t>
  </si>
  <si>
    <t>Suzana</t>
  </si>
  <si>
    <t>(21)97570-2293</t>
  </si>
  <si>
    <t>Rua São Miguel</t>
  </si>
  <si>
    <t>Uidson Alves</t>
  </si>
  <si>
    <t>(98)3302-6684</t>
  </si>
  <si>
    <t>Robson</t>
  </si>
  <si>
    <t>(88)99604-8638</t>
  </si>
  <si>
    <t>Rua Cassimiro de Abreu</t>
  </si>
  <si>
    <t>Brisamar</t>
  </si>
  <si>
    <t>Antonia Anizia</t>
  </si>
  <si>
    <t>(31)98634-0926</t>
  </si>
  <si>
    <t>Rua Santo Antonio, S/N - Ginásio Poliesportivo</t>
  </si>
  <si>
    <t>(85)98756-1978</t>
  </si>
  <si>
    <t>Rua Visconde do Rio Branco, 2801 Bairro: Jardim Tavora</t>
  </si>
  <si>
    <t>(51)9802-33892</t>
  </si>
  <si>
    <t>Luiz Manoel, 229</t>
  </si>
  <si>
    <t>(21)99175-2377</t>
  </si>
  <si>
    <t>Rua Ivan de Azevedo</t>
  </si>
  <si>
    <t>Engenheiro Pedreira</t>
  </si>
  <si>
    <t>(81)3429-3060</t>
  </si>
  <si>
    <t>Rua Atlântico</t>
  </si>
  <si>
    <t>Israel</t>
  </si>
  <si>
    <t>(92)99383-4491</t>
  </si>
  <si>
    <t>RUA BREVES</t>
  </si>
  <si>
    <t>COLÔNIA TERRA NOVA</t>
  </si>
  <si>
    <t>Nelriane</t>
  </si>
  <si>
    <t>(11)96362-4938</t>
  </si>
  <si>
    <t>Rua Padre Virgílio Campelo</t>
  </si>
  <si>
    <t>raquel mirian</t>
  </si>
  <si>
    <t>(21)96449-9387</t>
  </si>
  <si>
    <t>Adolfo de Albuquerque</t>
  </si>
  <si>
    <t>85 32743221</t>
  </si>
  <si>
    <t>Rua Joceno Monteiro</t>
  </si>
  <si>
    <t>Parque Santa Maria</t>
  </si>
  <si>
    <t>EUDAZIO</t>
  </si>
  <si>
    <t>(21)96454-4555</t>
  </si>
  <si>
    <t>RUA SANTA TERESINA</t>
  </si>
  <si>
    <t>PENHA</t>
  </si>
  <si>
    <t>Ilaci</t>
  </si>
  <si>
    <t>(62)99201-7323</t>
  </si>
  <si>
    <t>Avenida Bernardo Sayão</t>
  </si>
  <si>
    <t>Vila Jayara</t>
  </si>
  <si>
    <t>Anápolis</t>
  </si>
  <si>
    <t>Jusceliane</t>
  </si>
  <si>
    <t>(91)3425-1632</t>
  </si>
  <si>
    <t>Pastor Menininho Rei</t>
  </si>
  <si>
    <t>Bragança</t>
  </si>
  <si>
    <t>Ana Patrícia</t>
  </si>
  <si>
    <t>(11)98485-7086</t>
  </si>
  <si>
    <t>Avenida m boi Guaçu</t>
  </si>
  <si>
    <t>Muriçoca</t>
  </si>
  <si>
    <t>(82)99609-6124</t>
  </si>
  <si>
    <t>Rua Porto Calvo</t>
  </si>
  <si>
    <t>Canaã</t>
  </si>
  <si>
    <t>Josilene</t>
  </si>
  <si>
    <t>(88)99384-0503</t>
  </si>
  <si>
    <t>CORONEL FRANCISCO GOMES</t>
  </si>
  <si>
    <t>Assaré</t>
  </si>
  <si>
    <t>MARIA DO SOCORRO</t>
  </si>
  <si>
    <t>(81)98806-8503</t>
  </si>
  <si>
    <t>Assembleia</t>
  </si>
  <si>
    <t>Timbo</t>
  </si>
  <si>
    <t>Abreu e Lima</t>
  </si>
  <si>
    <t>Amoary</t>
  </si>
  <si>
    <t>(85)98779-0138</t>
  </si>
  <si>
    <t>Rua Graça Aranha</t>
  </si>
  <si>
    <t>Wilker</t>
  </si>
  <si>
    <t>27 997016384</t>
  </si>
  <si>
    <t>RUA DOS COLIBRIS, SN</t>
  </si>
  <si>
    <t>SERRA</t>
  </si>
  <si>
    <t>(83)99376-5166</t>
  </si>
  <si>
    <t>Cento</t>
  </si>
  <si>
    <t>81 9996-4874</t>
  </si>
  <si>
    <t>Rua José  da Silva Lucena</t>
  </si>
  <si>
    <t>Leliveldia</t>
  </si>
  <si>
    <t>(51)98270-2277</t>
  </si>
  <si>
    <t>Avenida Moab Caldas</t>
  </si>
  <si>
    <t>Santa Tereza</t>
  </si>
  <si>
    <t>(88)99952-6976</t>
  </si>
  <si>
    <t>Rua Teixeira de Freitas N 295</t>
  </si>
  <si>
    <t>(21)96541-5006</t>
  </si>
  <si>
    <t>Rua Boas Vindas</t>
  </si>
  <si>
    <t>Laura</t>
  </si>
  <si>
    <t>(11)5599-6730</t>
  </si>
  <si>
    <t>Padre Dom Aluísio Kilgus</t>
  </si>
  <si>
    <t>Parque Florestal</t>
  </si>
  <si>
    <t>Alcides</t>
  </si>
  <si>
    <t>(27)99998-0722</t>
  </si>
  <si>
    <t>rua Lucidato Vieira Falcão</t>
  </si>
  <si>
    <t>Cabral</t>
  </si>
  <si>
    <t>vitória</t>
  </si>
  <si>
    <t>Valquíria</t>
  </si>
  <si>
    <t>(85)98964-4856</t>
  </si>
  <si>
    <t>Rua Elcias Lopes</t>
  </si>
  <si>
    <t>Itaoca</t>
  </si>
  <si>
    <t>(67)99284-1335</t>
  </si>
  <si>
    <t>MARCOS FERREZ</t>
  </si>
  <si>
    <t>CONJUNTO JOSE ABRAO</t>
  </si>
  <si>
    <t>CAMPO GRANDE</t>
  </si>
  <si>
    <t>HUGUENEY</t>
  </si>
  <si>
    <t>(79)99814-5876</t>
  </si>
  <si>
    <t>(27)99293-4397</t>
  </si>
  <si>
    <t>RUA DO ROSÁRIO</t>
  </si>
  <si>
    <t>Jocelino</t>
  </si>
  <si>
    <t>Renan</t>
  </si>
  <si>
    <t>(21)99389-2918</t>
  </si>
  <si>
    <t>Rua Augusto Frederico Schmidt</t>
  </si>
  <si>
    <t>Nossa Senhora do Carmo</t>
  </si>
  <si>
    <t>MARCIA RENE JERONIMO</t>
  </si>
  <si>
    <t>(88)99970-1973</t>
  </si>
  <si>
    <t>Rua Néo Martins</t>
  </si>
  <si>
    <t>Campo Velho</t>
  </si>
  <si>
    <t>Quixadá</t>
  </si>
  <si>
    <t>(11)95305-4694</t>
  </si>
  <si>
    <t>Deputado Cunha Bueno</t>
  </si>
  <si>
    <t>(11)94578-2997</t>
  </si>
  <si>
    <t>Rua Caiabu</t>
  </si>
  <si>
    <t>Milton</t>
  </si>
  <si>
    <t>(11)1111-1111</t>
  </si>
  <si>
    <t>Rua Sebastião Sisson,</t>
  </si>
  <si>
    <t>Nair</t>
  </si>
  <si>
    <t>(11)98753-8869</t>
  </si>
  <si>
    <t>Rua Salvador Maella</t>
  </si>
  <si>
    <t>Jardim Santa Terezinha (Zona Leste)</t>
  </si>
  <si>
    <t>ELAINE</t>
  </si>
  <si>
    <t>(21)96552-1526</t>
  </si>
  <si>
    <t>Rua Joaquim Caetano</t>
  </si>
  <si>
    <t>Jardim Alvorada</t>
  </si>
  <si>
    <t>(71)99158-3966</t>
  </si>
  <si>
    <t>Rua Isnard Pena</t>
  </si>
  <si>
    <t>Porto Seguro</t>
  </si>
  <si>
    <t>(11)97697-0055</t>
  </si>
  <si>
    <t>Augusto Gil, 465</t>
  </si>
  <si>
    <t>Vila Dionisia</t>
  </si>
  <si>
    <t>(48)98447-3140</t>
  </si>
  <si>
    <t>(32)99908-5548</t>
  </si>
  <si>
    <t>JOAO RESENDE</t>
  </si>
  <si>
    <t>Miraí</t>
  </si>
  <si>
    <t>Ewerton</t>
  </si>
  <si>
    <t>(11)96613-1854</t>
  </si>
  <si>
    <t>Avenida Senador José Ermírio de Moraes</t>
  </si>
  <si>
    <t>Tremembé</t>
  </si>
  <si>
    <t>Tony Daniel</t>
  </si>
  <si>
    <t>(11)91471-2298</t>
  </si>
  <si>
    <t>Rua Ilha das Gaivotas</t>
  </si>
  <si>
    <t>Jardim Monte Belo</t>
  </si>
  <si>
    <t>Monica</t>
  </si>
  <si>
    <t>(11)98983-0049</t>
  </si>
  <si>
    <t>Amélia Correia Fontes Guimarães</t>
  </si>
  <si>
    <t>(85)99131-9025</t>
  </si>
  <si>
    <t>Avenida General Osório de Paiva</t>
  </si>
  <si>
    <t>(11)4744-0451</t>
  </si>
  <si>
    <t>Rua vinte e sete de outubro</t>
  </si>
  <si>
    <t>Vila Suely</t>
  </si>
  <si>
    <t>(98)8134-9834</t>
  </si>
  <si>
    <t>Rua Oito</t>
  </si>
  <si>
    <t>Cidade Olímpica</t>
  </si>
  <si>
    <t>Lana Caroliny</t>
  </si>
  <si>
    <t>(81)98872-3779</t>
  </si>
  <si>
    <t>Rua Armando Soriano</t>
  </si>
  <si>
    <t>Tabatinga</t>
  </si>
  <si>
    <t>Moacir</t>
  </si>
  <si>
    <t>(21)97506-5620</t>
  </si>
  <si>
    <t>Rua Almirante Oliveira Pinto</t>
  </si>
  <si>
    <t>Colégio</t>
  </si>
  <si>
    <t>(19)98726-7856</t>
  </si>
  <si>
    <t>Rua Pataxós</t>
  </si>
  <si>
    <t>Residencial Anauá</t>
  </si>
  <si>
    <t>HAROLDO LUIS</t>
  </si>
  <si>
    <t>(11)95905-7765</t>
  </si>
  <si>
    <t>Conjunto Habitacional Turistica</t>
  </si>
  <si>
    <t>(11)94030-8902</t>
  </si>
  <si>
    <t>Rua Itapajé</t>
  </si>
  <si>
    <t>Vila Nova Cachoerinha</t>
  </si>
  <si>
    <t>Andresa</t>
  </si>
  <si>
    <t>(82)99646-2306</t>
  </si>
  <si>
    <t>Rua Dezessete de agosto</t>
  </si>
  <si>
    <t>Satuba</t>
  </si>
  <si>
    <t>Gilson</t>
  </si>
  <si>
    <t>(71)2141-7985</t>
  </si>
  <si>
    <t>Rua Velha do Natal</t>
  </si>
  <si>
    <t>Edeilza</t>
  </si>
  <si>
    <t>(11)96673-0171</t>
  </si>
  <si>
    <t>Rua Senador José Ermínio de Moraes</t>
  </si>
  <si>
    <t>Rua Rosina Matos</t>
  </si>
  <si>
    <t>Aeroporto</t>
  </si>
  <si>
    <t>Talita</t>
  </si>
  <si>
    <t>Bahia</t>
  </si>
  <si>
    <t>(88)99679-8461</t>
  </si>
  <si>
    <t>Rua Manoel Cursino de Melo</t>
  </si>
  <si>
    <t>Monsenhor Tabosa</t>
  </si>
  <si>
    <t>COMUNIDADE QUILOMBOLA TOME NUNES</t>
  </si>
  <si>
    <t>Malhada</t>
  </si>
  <si>
    <t>ELVES</t>
  </si>
  <si>
    <t>(73)99165-5900</t>
  </si>
  <si>
    <t>Rua Rodrigues Dórea</t>
  </si>
  <si>
    <t>Armação</t>
  </si>
  <si>
    <t>Juraciara</t>
  </si>
  <si>
    <t>(98)3225-3354</t>
  </si>
  <si>
    <t>Praça Leon Richini</t>
  </si>
  <si>
    <t>Cohab Anil 3</t>
  </si>
  <si>
    <t>Euselia</t>
  </si>
  <si>
    <t>(85)99743-0053</t>
  </si>
  <si>
    <t>Avenida Engenheiro Santana Júnior</t>
  </si>
  <si>
    <t>Papicu</t>
  </si>
  <si>
    <t>Jean</t>
  </si>
  <si>
    <t>(51)99351-9647</t>
  </si>
  <si>
    <t>Rua Capitão Padilha</t>
  </si>
  <si>
    <t>Cascata</t>
  </si>
  <si>
    <t>(61)98609-5558</t>
  </si>
  <si>
    <t>Quadra 12</t>
  </si>
  <si>
    <t>Setor Sul (Gama)</t>
  </si>
  <si>
    <t>Eleny</t>
  </si>
  <si>
    <t>(11)98098-2447</t>
  </si>
  <si>
    <t>Rua Bernardo Mastorell</t>
  </si>
  <si>
    <t>Fazenda da Juta</t>
  </si>
  <si>
    <t>Ceomar Sebastião</t>
  </si>
  <si>
    <t>INTERLIGA</t>
  </si>
  <si>
    <t>(84)99626-6999</t>
  </si>
  <si>
    <t>Clovis Felipe</t>
  </si>
  <si>
    <t>Riachuelo</t>
  </si>
  <si>
    <t>Lorayne</t>
  </si>
  <si>
    <t>(85)98591-5364</t>
  </si>
  <si>
    <t>Travessa Siqueira</t>
  </si>
  <si>
    <t>Ilnara sueli</t>
  </si>
  <si>
    <t>(34)99894-5101</t>
  </si>
  <si>
    <t>José Marajo de Carvalho</t>
  </si>
  <si>
    <t>Vila São Cristóvão</t>
  </si>
  <si>
    <t>Uberaba</t>
  </si>
  <si>
    <t>(81)98669-9482</t>
  </si>
  <si>
    <t>Rua Franco da Rocha</t>
  </si>
  <si>
    <t>San Martin</t>
  </si>
  <si>
    <t>Gustavo Vieira</t>
  </si>
  <si>
    <t>(11)97985-8117</t>
  </si>
  <si>
    <t>Rua Fernão Sale</t>
  </si>
  <si>
    <t>Raimunda</t>
  </si>
  <si>
    <t>(32)99809-8800</t>
  </si>
  <si>
    <t>Rua Professor Carlos Benjamim Gonçalves</t>
  </si>
  <si>
    <t>Boa Morte</t>
  </si>
  <si>
    <t>Carmen</t>
  </si>
  <si>
    <t>(47)3240-0650</t>
  </si>
  <si>
    <t>Rua Dionísio Moser</t>
  </si>
  <si>
    <t>Penha</t>
  </si>
  <si>
    <t>Amanda Cristina</t>
  </si>
  <si>
    <t>(11)4677-9058</t>
  </si>
  <si>
    <t>Rua Leonor Barroso de Carvalho</t>
  </si>
  <si>
    <t>Jardim Júlio de Carvalho</t>
  </si>
  <si>
    <t>Mariuza Geralda</t>
  </si>
  <si>
    <t>PAULA CAROLINA FAGUNDES MACIEL MARTINS</t>
  </si>
  <si>
    <t>(31)97533-1183</t>
  </si>
  <si>
    <t>Avenida das Américas</t>
  </si>
  <si>
    <t>(47)99690-5460</t>
  </si>
  <si>
    <t>Rua Veroni Pedro Graciano, 2954</t>
  </si>
  <si>
    <t>(11)97447-6721</t>
  </si>
  <si>
    <t>(11)96342-4890</t>
  </si>
  <si>
    <t>(11)94000-5115</t>
  </si>
  <si>
    <t>Rua Coronel Pedro Dias de Campos</t>
  </si>
  <si>
    <t>Chácara Seis de Outubro</t>
  </si>
  <si>
    <t>(21)98802-5664</t>
  </si>
  <si>
    <t>Nilópolis</t>
  </si>
  <si>
    <t>(21)96628-5007</t>
  </si>
  <si>
    <t>Rua Jesus Castor</t>
  </si>
  <si>
    <t>Antônio Carlos</t>
  </si>
  <si>
    <t>Av  Daniel Malettini</t>
  </si>
  <si>
    <t>Vila Aurora</t>
  </si>
  <si>
    <t>(92)99205-1866</t>
  </si>
  <si>
    <t>Adrianópolis</t>
  </si>
  <si>
    <t>Dayanne</t>
  </si>
  <si>
    <t>41 988070351</t>
  </si>
  <si>
    <t>Rua Conselheiro Laurindo</t>
  </si>
  <si>
    <t>Regina Célia</t>
  </si>
  <si>
    <t>(21)97237-8410</t>
  </si>
  <si>
    <t>Estrada Belford Roxo</t>
  </si>
  <si>
    <t>Ibicaraí</t>
  </si>
  <si>
    <t>(73)98187-2081</t>
  </si>
  <si>
    <t>Corina Batista</t>
  </si>
  <si>
    <t>(11)3514-8098</t>
  </si>
  <si>
    <t>Travessa Anne Baxter</t>
  </si>
  <si>
    <t>Jardim Augusta</t>
  </si>
  <si>
    <t>Maria Rosângela</t>
  </si>
  <si>
    <t>(11)2985-2872</t>
  </si>
  <si>
    <t>Rua Aldemar, 176</t>
  </si>
  <si>
    <t>Chácara Belenzinho</t>
  </si>
  <si>
    <t>(21)99167-5677</t>
  </si>
  <si>
    <t>Ria mario ferreira</t>
  </si>
  <si>
    <t>Engenho da rainha</t>
  </si>
  <si>
    <t>Ntenho</t>
  </si>
  <si>
    <t>Teixeira Ribeiro</t>
  </si>
  <si>
    <t>(51)98281-6110</t>
  </si>
  <si>
    <t>Rua Cruzeiro do Sul</t>
  </si>
  <si>
    <t>Esmeralda</t>
  </si>
  <si>
    <t>MAICO</t>
  </si>
  <si>
    <t>(11)98325-9091</t>
  </si>
  <si>
    <t>Rua Fernandez de Navarrete</t>
  </si>
  <si>
    <t>Jardim Quisisana (Vila Nova Curuçá)</t>
  </si>
  <si>
    <t>maria aparecida</t>
  </si>
  <si>
    <t>(98)98835-6252</t>
  </si>
  <si>
    <t>Avenida principal da Carlos Augusto ugusto</t>
  </si>
  <si>
    <t>Carlos augusto</t>
  </si>
  <si>
    <t>Anaildes</t>
  </si>
  <si>
    <t>(32)99818-6615</t>
  </si>
  <si>
    <t>Rua Augusta Da Silva</t>
  </si>
  <si>
    <t>Barra</t>
  </si>
  <si>
    <t>MURIAÉ</t>
  </si>
  <si>
    <t>(21)6687-7062</t>
  </si>
  <si>
    <t>Loteamento rume farias, 66</t>
  </si>
  <si>
    <t>Barra de santo Antonio</t>
  </si>
  <si>
    <t>(71)3304-1856</t>
  </si>
  <si>
    <t>Rua vivência Francisca</t>
  </si>
  <si>
    <t>(71)3307-4026</t>
  </si>
  <si>
    <t>Rua Alpes</t>
  </si>
  <si>
    <t>(83)99895-8336</t>
  </si>
  <si>
    <t>Rua. Severino Nunes Correia,  47</t>
  </si>
  <si>
    <t>Funcionários 3</t>
  </si>
  <si>
    <t>Stefany</t>
  </si>
  <si>
    <t>(31)98391-7004</t>
  </si>
  <si>
    <t>Rua Almeida</t>
  </si>
  <si>
    <t>Vila Nova Vista</t>
  </si>
  <si>
    <t>jonatan</t>
  </si>
  <si>
    <t>(81)99706-8794</t>
  </si>
  <si>
    <t>Rua Doutor Pedro Augusto Correia de Araújo</t>
  </si>
  <si>
    <t>(47)98446-9826</t>
  </si>
  <si>
    <t>Rua vereador a delsom Machado de oliveira</t>
  </si>
  <si>
    <t>Navegante</t>
  </si>
  <si>
    <t>JOSÉ</t>
  </si>
  <si>
    <t>(81)98629-7435</t>
  </si>
  <si>
    <t>Avenida Fernando Antônio Evangelista da Silva</t>
  </si>
  <si>
    <t>Varadouro</t>
  </si>
  <si>
    <t>Moab</t>
  </si>
  <si>
    <t>(11)97384-2200</t>
  </si>
  <si>
    <t>Rua Antonio Concelheiro</t>
  </si>
  <si>
    <t>Vila dos Palmares</t>
  </si>
  <si>
    <t>(77)98124-5269</t>
  </si>
  <si>
    <t>Beco de Deola</t>
  </si>
  <si>
    <t>Laiz</t>
  </si>
  <si>
    <t>(31)9917-55109</t>
  </si>
  <si>
    <t>(11)93735-6193</t>
  </si>
  <si>
    <t>Avenida Eucalipto</t>
  </si>
  <si>
    <t>Cidade das Flores</t>
  </si>
  <si>
    <t>Noellen</t>
  </si>
  <si>
    <t>(11)3209-0110 ou 3208-3074</t>
  </si>
  <si>
    <t>Rua Dom Raimundo Brito</t>
  </si>
  <si>
    <t>Aclimação</t>
  </si>
  <si>
    <t>(81)99938-6464</t>
  </si>
  <si>
    <t>Rua Taquaritinga</t>
  </si>
  <si>
    <t>Marconi Barkokebas</t>
  </si>
  <si>
    <t>(48)98470-0166</t>
  </si>
  <si>
    <t>Manoel Cruz</t>
  </si>
  <si>
    <t>Paulo Cruz</t>
  </si>
  <si>
    <t>Jaguaruna</t>
  </si>
  <si>
    <t>Vaneide</t>
  </si>
  <si>
    <t>(84)99917-3260</t>
  </si>
  <si>
    <t>Avenida Abel Cabral</t>
  </si>
  <si>
    <t>Nova Parnamirim</t>
  </si>
  <si>
    <t>(11)2051-2381</t>
  </si>
  <si>
    <t>Rua Sarapós</t>
  </si>
  <si>
    <t>Dorcas</t>
  </si>
  <si>
    <t>(81)98164-3898</t>
  </si>
  <si>
    <t>Arlindo Cisneiros, 237, Sala 12</t>
  </si>
  <si>
    <t>Bomba do Hemetério</t>
  </si>
  <si>
    <t>(71)98687-8311</t>
  </si>
  <si>
    <t>Rua Monteiro Lobato</t>
  </si>
  <si>
    <t>debora ribeiro</t>
  </si>
  <si>
    <t>(21)98346-3724</t>
  </si>
  <si>
    <t>Estrada José Adamian</t>
  </si>
  <si>
    <t>(81)99941-6999</t>
  </si>
  <si>
    <t>Rua Vale do Siriji,30</t>
  </si>
  <si>
    <t>UR-07 Várzea</t>
  </si>
  <si>
    <t>Eufrásio</t>
  </si>
  <si>
    <t>(62)99499-2447</t>
  </si>
  <si>
    <t>Rua 1121</t>
  </si>
  <si>
    <t>Setor Marista</t>
  </si>
  <si>
    <t>(71)98737-6880</t>
  </si>
  <si>
    <t>2013ritasacramento@gmail.com</t>
  </si>
  <si>
    <t>Rua do Curuzu</t>
  </si>
  <si>
    <t>Luzirene</t>
  </si>
  <si>
    <t>Rua Professora Maria Iracema Lima Paiva</t>
  </si>
  <si>
    <t>Novo Parque Iracema</t>
  </si>
  <si>
    <t>Maranguape</t>
  </si>
  <si>
    <t>Glaucia</t>
  </si>
  <si>
    <t>(31)98534-6345</t>
  </si>
  <si>
    <t>Rua cento e vinte e nove</t>
  </si>
  <si>
    <t>(21)97307-5252</t>
  </si>
  <si>
    <t>RUA Catas Altas</t>
  </si>
  <si>
    <t>BARRO VERMELHO</t>
  </si>
  <si>
    <t>BELFORD ROXO</t>
  </si>
  <si>
    <t>(84)98860-1039</t>
  </si>
  <si>
    <t>Rua Antônio Félix</t>
  </si>
  <si>
    <t>Michelle</t>
  </si>
  <si>
    <t>(81)98363-0500</t>
  </si>
  <si>
    <t>1ª Travessa do Campo do Flamengo</t>
  </si>
  <si>
    <t>Jardim Jordão</t>
  </si>
  <si>
    <t>Mirian</t>
  </si>
  <si>
    <t>(21)9906-05798</t>
  </si>
  <si>
    <t>Rua Agripino Campos</t>
  </si>
  <si>
    <t>Mutua</t>
  </si>
  <si>
    <t>heveltton</t>
  </si>
  <si>
    <t>(11)98780-8748</t>
  </si>
  <si>
    <t>rua Abílio Secundido Leite</t>
  </si>
  <si>
    <t>(11)99612-8559</t>
  </si>
  <si>
    <t>Não temos filial</t>
  </si>
  <si>
    <t>Marcela</t>
  </si>
  <si>
    <t>(21)99041-4091</t>
  </si>
  <si>
    <t>Rua Erany José da Silva 235</t>
  </si>
  <si>
    <t>Caramujo</t>
  </si>
  <si>
    <t>(81)99323-0066</t>
  </si>
  <si>
    <t>Rua José Antônio da Costa Filho</t>
  </si>
  <si>
    <t>Erika</t>
  </si>
  <si>
    <t>(21)99490-3278</t>
  </si>
  <si>
    <t>Rua Doutor Olinto de Magalhães</t>
  </si>
  <si>
    <t>Josete</t>
  </si>
  <si>
    <t>Av Sigismundo Gonçalves</t>
  </si>
  <si>
    <t>(81)98876-3593</t>
  </si>
  <si>
    <t>Garota de Ipanema 03</t>
  </si>
  <si>
    <t>SANCHO</t>
  </si>
  <si>
    <t>Jouse</t>
  </si>
  <si>
    <t>(71)0000-0000</t>
  </si>
  <si>
    <t>Benedito Jenikens</t>
  </si>
  <si>
    <t>Águas claras</t>
  </si>
  <si>
    <t>Edileide</t>
  </si>
  <si>
    <t>(21)97401-4926</t>
  </si>
  <si>
    <t>Rua Floresta</t>
  </si>
  <si>
    <t>(51)3319-3075</t>
  </si>
  <si>
    <t>Dona Veva</t>
  </si>
  <si>
    <t>Daisy</t>
  </si>
  <si>
    <t>Rua Padre Francisco Sales Gorjão</t>
  </si>
  <si>
    <t>Frutilandia</t>
  </si>
  <si>
    <t>Assu</t>
  </si>
  <si>
    <t>Brenda</t>
  </si>
  <si>
    <t>(21)99202-6071</t>
  </si>
  <si>
    <t>Estrada Iaraquã</t>
  </si>
  <si>
    <t>Abel</t>
  </si>
  <si>
    <t>(11)4444-0979</t>
  </si>
  <si>
    <t>Avenida Sete de Setembro</t>
  </si>
  <si>
    <t>Vila Artur Sestini</t>
  </si>
  <si>
    <t>Franco da Rocha</t>
  </si>
  <si>
    <t>Neimar Tavares</t>
  </si>
  <si>
    <t>(11)95232-2013</t>
  </si>
  <si>
    <t>Rua Mariano</t>
  </si>
  <si>
    <t>(71)99415-3636</t>
  </si>
  <si>
    <t>Rua Jorge Teles 149</t>
  </si>
  <si>
    <t>(11)99155-3934</t>
  </si>
  <si>
    <t>Rua Tietê</t>
  </si>
  <si>
    <t>Vila Vivaldi</t>
  </si>
  <si>
    <t>Valquiria</t>
  </si>
  <si>
    <t>(75)99136-8870</t>
  </si>
  <si>
    <t>(81)98433-4103</t>
  </si>
  <si>
    <t>Rua General Abreu e Lima</t>
  </si>
  <si>
    <t>(21)3337-7249</t>
  </si>
  <si>
    <t>Praça do Nordeste</t>
  </si>
  <si>
    <t>Maria Eliza</t>
  </si>
  <si>
    <t>(31)98602-9637</t>
  </si>
  <si>
    <t>Rua tenente Serpa</t>
  </si>
  <si>
    <t>Novo progresso</t>
  </si>
  <si>
    <t>(21)99145-8087</t>
  </si>
  <si>
    <t>Travessa Aurora</t>
  </si>
  <si>
    <t>Fausto Manoel</t>
  </si>
  <si>
    <t>(65)9649-3092</t>
  </si>
  <si>
    <t>Rua Nova Mutum</t>
  </si>
  <si>
    <t>Renascer</t>
  </si>
  <si>
    <t>Cuiabá</t>
  </si>
  <si>
    <t>(81)99117-1794</t>
  </si>
  <si>
    <t>Rua da Imbiriba</t>
  </si>
  <si>
    <t>Aldeia dos Camarás</t>
  </si>
  <si>
    <t>veronica</t>
  </si>
  <si>
    <t>(31)97103-2340</t>
  </si>
  <si>
    <t>Rua Carlos vitoriano de sá</t>
  </si>
  <si>
    <t>Bela vista</t>
  </si>
  <si>
    <t>Mariete</t>
  </si>
  <si>
    <t>(11)98233-3721</t>
  </si>
  <si>
    <t>Rua Maria Vicente Diório</t>
  </si>
  <si>
    <t>Jardim Guaianazes</t>
  </si>
  <si>
    <t>Francismar</t>
  </si>
  <si>
    <t>(13)3352-7555</t>
  </si>
  <si>
    <t>Avenida Adhemar de Barros</t>
  </si>
  <si>
    <t>Vila Santa Rosa</t>
  </si>
  <si>
    <t>Aníbal  Cantarelli</t>
  </si>
  <si>
    <t>Mirandiba</t>
  </si>
  <si>
    <t>Shirley</t>
  </si>
  <si>
    <t>COMUNIDADE ESPERANCA</t>
  </si>
  <si>
    <t>(11)97327-0031</t>
  </si>
  <si>
    <t>Rua Ana Grou</t>
  </si>
  <si>
    <t>Vila Curuçá</t>
  </si>
  <si>
    <t>Varlene</t>
  </si>
  <si>
    <t>(11)97997-4464</t>
  </si>
  <si>
    <t>Rua Paulina Augustin</t>
  </si>
  <si>
    <t>Ermelino Matarazzo</t>
  </si>
  <si>
    <t>Djalma</t>
  </si>
  <si>
    <t>(31)99237-2238</t>
  </si>
  <si>
    <t>Rua uranio</t>
  </si>
  <si>
    <t>Redenção</t>
  </si>
  <si>
    <t>Ibirité</t>
  </si>
  <si>
    <t>adao</t>
  </si>
  <si>
    <t>(11)94782-2137</t>
  </si>
  <si>
    <t>Acajutiba</t>
  </si>
  <si>
    <t>Jd.Centenario</t>
  </si>
  <si>
    <t>(21)98419-8968</t>
  </si>
  <si>
    <t>Rua capucara n 241</t>
  </si>
  <si>
    <t>Natalina</t>
  </si>
  <si>
    <t>(71)99344-0981</t>
  </si>
  <si>
    <t>Ladeira José Inácio do Amaral</t>
  </si>
  <si>
    <t>CRISTIANE</t>
  </si>
  <si>
    <t>(21)99111-2612</t>
  </si>
  <si>
    <t>Avenida Doutor Manuel Teles</t>
  </si>
  <si>
    <t>(11)95234-2824</t>
  </si>
  <si>
    <t>(11)3923-1381</t>
  </si>
  <si>
    <t>Rua Sernambi</t>
  </si>
  <si>
    <t>Andréia</t>
  </si>
  <si>
    <t>(41)99793-4159</t>
  </si>
  <si>
    <t>Prado Velho - Vila Torres</t>
  </si>
  <si>
    <t>Kauanna</t>
  </si>
  <si>
    <t>(11)2436-0205</t>
  </si>
  <si>
    <t>Avenida Miami</t>
  </si>
  <si>
    <t>Água Azul</t>
  </si>
  <si>
    <t>Adriana da</t>
  </si>
  <si>
    <t>55 (11)97711-9607</t>
  </si>
  <si>
    <t>Rua Alcaide</t>
  </si>
  <si>
    <t>(11)97495-8498</t>
  </si>
  <si>
    <t>MARIO GRAZINI</t>
  </si>
  <si>
    <t>(11)97258-2598</t>
  </si>
  <si>
    <t>Sara Kubitscheck 165B</t>
  </si>
  <si>
    <t>(33)98863-0043</t>
  </si>
  <si>
    <t>Rua Olímpio Menezes</t>
  </si>
  <si>
    <t>Ipê</t>
  </si>
  <si>
    <t>Rubim</t>
  </si>
  <si>
    <t>alba valeria</t>
  </si>
  <si>
    <t>Rua Roberto Silva</t>
  </si>
  <si>
    <t>ClÃ¡udia</t>
  </si>
  <si>
    <t>Rua do Cajueiro</t>
  </si>
  <si>
    <t>Aluisio</t>
  </si>
  <si>
    <t>(84)98821-5075</t>
  </si>
  <si>
    <t>Areia Preta</t>
  </si>
  <si>
    <t>Francisco Ventura</t>
  </si>
  <si>
    <t>(81)99999-6623</t>
  </si>
  <si>
    <t>Rua José Avelar 44</t>
  </si>
  <si>
    <t>Emanuela</t>
  </si>
  <si>
    <t>(11)3902-7151</t>
  </si>
  <si>
    <t>Rua Fazenda Monte Alegre</t>
  </si>
  <si>
    <t>Cecília Breves</t>
  </si>
  <si>
    <t>(68)99981-4782</t>
  </si>
  <si>
    <t>Rua Manoel Dantas</t>
  </si>
  <si>
    <t>Conjunto Universitário</t>
  </si>
  <si>
    <t>katheryny</t>
  </si>
  <si>
    <t>(85)98618-9281</t>
  </si>
  <si>
    <t>Rua Felipe Fernandes Neto</t>
  </si>
  <si>
    <t>Parque Leblon</t>
  </si>
  <si>
    <t>Luan</t>
  </si>
  <si>
    <t>(85)99722-5088</t>
  </si>
  <si>
    <t>Rua 45 - conj. dos bancarios</t>
  </si>
  <si>
    <t>(91)98541-8540</t>
  </si>
  <si>
    <t>Estrada do Tapanã</t>
  </si>
  <si>
    <t>eder</t>
  </si>
  <si>
    <t>(81)98810-0010</t>
  </si>
  <si>
    <t>Rua Alto Bonito</t>
  </si>
  <si>
    <t>Agua Fria</t>
  </si>
  <si>
    <t>recife</t>
  </si>
  <si>
    <t>(21)96938-3574</t>
  </si>
  <si>
    <t>Rua Fenícia</t>
  </si>
  <si>
    <t>Vilar dos Teles</t>
  </si>
  <si>
    <t>(21)97214-7930</t>
  </si>
  <si>
    <t>(31)98872-9239</t>
  </si>
  <si>
    <t>Rua São Julião</t>
  </si>
  <si>
    <t>Julio Cesar</t>
  </si>
  <si>
    <t>(21)98294-6077</t>
  </si>
  <si>
    <t>Realizamos encontros em espaços parceiros</t>
  </si>
  <si>
    <t>Ainda não temos sede</t>
  </si>
  <si>
    <t>Pamella</t>
  </si>
  <si>
    <t>(21)99677-9604</t>
  </si>
  <si>
    <t>(71)98136-3057</t>
  </si>
  <si>
    <t>Rua da Harmonia</t>
  </si>
  <si>
    <t>Pernambués</t>
  </si>
  <si>
    <t>Juarez Souza</t>
  </si>
  <si>
    <t>(83)98844-4040</t>
  </si>
  <si>
    <t>Rua Maximiano Machado</t>
  </si>
  <si>
    <t>Jaguaribe</t>
  </si>
  <si>
    <t>(86)99486-5404</t>
  </si>
  <si>
    <t>Rua João Tavares Carvalho Silva</t>
  </si>
  <si>
    <t>Francinete</t>
  </si>
  <si>
    <t>(61)99694-1703</t>
  </si>
  <si>
    <t>Vila Estrutural QD 02 Ae Conjunto 1</t>
  </si>
  <si>
    <t>Vila Estrutural</t>
  </si>
  <si>
    <t>Ana Flávia</t>
  </si>
  <si>
    <t>(81)99930-2643</t>
  </si>
  <si>
    <t>Brejo do Beberibe</t>
  </si>
  <si>
    <t>(61)99916-1634</t>
  </si>
  <si>
    <t>DF 180 Cond. Quintas do Amarante Quadra:F Lote:06</t>
  </si>
  <si>
    <t>INCRA 9</t>
  </si>
  <si>
    <t>Ivone</t>
  </si>
  <si>
    <t>(81)99771-0592</t>
  </si>
  <si>
    <t>R. Alfredo Coutinho</t>
  </si>
  <si>
    <t>JOAO</t>
  </si>
  <si>
    <t>(21)99344-6273</t>
  </si>
  <si>
    <t>Avenida Rui Barbosa</t>
  </si>
  <si>
    <t>(11)98447-4876</t>
  </si>
  <si>
    <t>Rua Freire Farto</t>
  </si>
  <si>
    <t>Jabaquara</t>
  </si>
  <si>
    <t>sonia</t>
  </si>
  <si>
    <t>(82)99315-8997</t>
  </si>
  <si>
    <t>Rua B (Cj Claudenor Sampaio)</t>
  </si>
  <si>
    <t>Edcarlos</t>
  </si>
  <si>
    <t>(84)99981-0363</t>
  </si>
  <si>
    <t>Rua Gastão Mariz</t>
  </si>
  <si>
    <t>Conjunto Maguari Alameda 21número 2</t>
  </si>
  <si>
    <t>BELÉM</t>
  </si>
  <si>
    <t>(82)99189-9992</t>
  </si>
  <si>
    <t>(81)98483-5599</t>
  </si>
  <si>
    <t>Rua In aldo Bartolomeu de Carvalho</t>
  </si>
  <si>
    <t>Alcinesio</t>
  </si>
  <si>
    <t>Araruama</t>
  </si>
  <si>
    <t>(92)99143-9265</t>
  </si>
  <si>
    <t>Rua Ipanguaçu</t>
  </si>
  <si>
    <t>Cristiana</t>
  </si>
  <si>
    <t>(85)3478-2640</t>
  </si>
  <si>
    <t>Rua do Planalto</t>
  </si>
  <si>
    <t>Presidente Kennedy</t>
  </si>
  <si>
    <t>Alilian</t>
  </si>
  <si>
    <t>(83)99188-3843</t>
  </si>
  <si>
    <t>Rua Vice-Prefeito Antônio de Carvalho Sousa</t>
  </si>
  <si>
    <t>Estação Velha</t>
  </si>
  <si>
    <t>Rua Eixo 07- quadra 14, casa 14 Faz. Coutos 3ª Etapa</t>
  </si>
  <si>
    <t>Emilli</t>
  </si>
  <si>
    <t>Rua Joaquim de Sousa Paiva</t>
  </si>
  <si>
    <t>Salgadinho</t>
  </si>
  <si>
    <t>Layzanele</t>
  </si>
  <si>
    <t>PROJETOCRIANCAFELIZDOPV</t>
  </si>
  <si>
    <t>(85)99665-5954</t>
  </si>
  <si>
    <t>Rua das Cerejeiras</t>
  </si>
  <si>
    <t>Parque Presidente Vargas</t>
  </si>
  <si>
    <t>Rana Alexandre</t>
  </si>
  <si>
    <t>(11)95121-3296</t>
  </si>
  <si>
    <t>Rua Alberta Hunter</t>
  </si>
  <si>
    <t>Vila Brasil</t>
  </si>
  <si>
    <t>(84)99409-5535</t>
  </si>
  <si>
    <t>PO Boa Água</t>
  </si>
  <si>
    <t>(85)3081-8949</t>
  </si>
  <si>
    <t>Rua Desembargador Felismino 219</t>
  </si>
  <si>
    <t>Autran Nunes</t>
  </si>
  <si>
    <t>(11)95118-1517</t>
  </si>
  <si>
    <t>Rua Orlando zanfelice</t>
  </si>
  <si>
    <t>Jd.célia</t>
  </si>
  <si>
    <t>85 985509916</t>
  </si>
  <si>
    <t>Rua Alberto Monteiro</t>
  </si>
  <si>
    <t>Praia do Futuro II</t>
  </si>
  <si>
    <t>Ismael</t>
  </si>
  <si>
    <t>(21)99280-4984</t>
  </si>
  <si>
    <t>Avenida união 96 c/1</t>
  </si>
  <si>
    <t>Paula</t>
  </si>
  <si>
    <t>(21)98536-3694</t>
  </si>
  <si>
    <t>RUA DAS CRIANÇAS</t>
  </si>
  <si>
    <t>BOM PASTOR</t>
  </si>
  <si>
    <t>Fatima</t>
  </si>
  <si>
    <t>(81)99462-9048</t>
  </si>
  <si>
    <t>Rua Estudante Jeremias Bastos</t>
  </si>
  <si>
    <t>marize</t>
  </si>
  <si>
    <t>(71)98803-5575</t>
  </si>
  <si>
    <t>Estrada Velha de Campinas</t>
  </si>
  <si>
    <t>(81)98664-7302</t>
  </si>
  <si>
    <t>Rua Realeza</t>
  </si>
  <si>
    <t>Bairro São José</t>
  </si>
  <si>
    <t>(11)99190-5581</t>
  </si>
  <si>
    <t>Rua Alayde de Souza Costa</t>
  </si>
  <si>
    <t>(81)98818-3143</t>
  </si>
  <si>
    <t>Rua São Domingos Sávio</t>
  </si>
  <si>
    <t>FÁBIA MARCELE</t>
  </si>
  <si>
    <t>(71)99669-6680</t>
  </si>
  <si>
    <t>Avenida Bonfim</t>
  </si>
  <si>
    <t>Pero Vaz</t>
  </si>
  <si>
    <t>Renillda</t>
  </si>
  <si>
    <t>(94)99155-5722</t>
  </si>
  <si>
    <t>Rua Gil Ribeiro</t>
  </si>
  <si>
    <t>Palestina do Pará</t>
  </si>
  <si>
    <t>(71)98798-6672</t>
  </si>
  <si>
    <t>Calabetão</t>
  </si>
  <si>
    <t>(21)99717-5097</t>
  </si>
  <si>
    <t>Rua Aristóteles Ferreira</t>
  </si>
  <si>
    <t>(21)97691-9562</t>
  </si>
  <si>
    <t>Rua Espírito Santo, 65</t>
  </si>
  <si>
    <t>Jardim Ana Clara</t>
  </si>
  <si>
    <t>(85)98686-0771</t>
  </si>
  <si>
    <t>Avenida II</t>
  </si>
  <si>
    <t>Parque Dois Irmãos</t>
  </si>
  <si>
    <t>(81)98142-4954</t>
  </si>
  <si>
    <t>Rua Escritor Alexandre Neptuno</t>
  </si>
  <si>
    <t>(13)98831-7598</t>
  </si>
  <si>
    <t>Av. Almirante Tamandaré, 87</t>
  </si>
  <si>
    <t>(81)98878-0283</t>
  </si>
  <si>
    <t>Rua Cabo Gato</t>
  </si>
  <si>
    <t>Moises</t>
  </si>
  <si>
    <t>Arariba</t>
  </si>
  <si>
    <t>(85)99248-1737</t>
  </si>
  <si>
    <t>Rua Alves de Lima 375</t>
  </si>
  <si>
    <t>Cristo Redentor</t>
  </si>
  <si>
    <t>(21)3847-0992</t>
  </si>
  <si>
    <t>Rua Cândido Macedo Júnior</t>
  </si>
  <si>
    <t>Costa Barros</t>
  </si>
  <si>
    <t>Ilma</t>
  </si>
  <si>
    <t>(11)94153-6543</t>
  </si>
  <si>
    <t>Rua dos pinheiros</t>
  </si>
  <si>
    <t>Itaim paulista</t>
  </si>
  <si>
    <t>Charles</t>
  </si>
  <si>
    <t>(31)98769-0898</t>
  </si>
  <si>
    <t>(11)95477-2323</t>
  </si>
  <si>
    <t>Avenida Pedro Lorena</t>
  </si>
  <si>
    <t>Jardim Elvira</t>
  </si>
  <si>
    <t>Ana Cristina</t>
  </si>
  <si>
    <t>(31)98783-1790</t>
  </si>
  <si>
    <t>Avenida Nova York</t>
  </si>
  <si>
    <t>Angelica</t>
  </si>
  <si>
    <t>(81)99211-1002</t>
  </si>
  <si>
    <t>tv cipo, 57</t>
  </si>
  <si>
    <t>vila cipó</t>
  </si>
  <si>
    <t>Sayonara</t>
  </si>
  <si>
    <t>(21)98017-6667</t>
  </si>
  <si>
    <t>Praça Osvaldo Xavier</t>
  </si>
  <si>
    <t>Rio do Ouro</t>
  </si>
  <si>
    <t>Juberlan</t>
  </si>
  <si>
    <t>(84)98119-8177</t>
  </si>
  <si>
    <t>Jose bizerra da costa</t>
  </si>
  <si>
    <t>São Paulo do Potengi</t>
  </si>
  <si>
    <t>(81)98483-7340</t>
  </si>
  <si>
    <t>Rua Mário Albuquerque Cavalcante</t>
  </si>
  <si>
    <t>(75)99146-2534</t>
  </si>
  <si>
    <t>13 de Maio</t>
  </si>
  <si>
    <t>Ednaldo Ferreira</t>
  </si>
  <si>
    <t>(81)99600-7720</t>
  </si>
  <si>
    <t>Rua Corrida</t>
  </si>
  <si>
    <t>Manassu</t>
  </si>
  <si>
    <t>(22)99728-8866</t>
  </si>
  <si>
    <t>Parque Visconde de Ururaí</t>
  </si>
  <si>
    <t>Campos dos Goytacazes</t>
  </si>
  <si>
    <t>(71)99410-8842</t>
  </si>
  <si>
    <t>Rua José Inácio do Amaral, 24</t>
  </si>
  <si>
    <t>(21)96870-0455</t>
  </si>
  <si>
    <t>Rua Princesa Leopoldina</t>
  </si>
  <si>
    <t>Elisrose Aves</t>
  </si>
  <si>
    <t>(85)99831-2364</t>
  </si>
  <si>
    <t>Rua Wicar Bastos Cavalcante</t>
  </si>
  <si>
    <t>(11)98664-1441</t>
  </si>
  <si>
    <t>Rua Cônego Luís Vieira da Silva</t>
  </si>
  <si>
    <t>Jardim João XXIII</t>
  </si>
  <si>
    <t>(81)98777-8164</t>
  </si>
  <si>
    <t>Rosicleide</t>
  </si>
  <si>
    <t>(81)99426-6265</t>
  </si>
  <si>
    <t>Rua treze</t>
  </si>
  <si>
    <t>Porque capibaribe</t>
  </si>
  <si>
    <t>São Lourenço da mata</t>
  </si>
  <si>
    <t>Renato Sousa de Lucena</t>
  </si>
  <si>
    <t>(83)98787-1789</t>
  </si>
  <si>
    <t>João Ramalho Leite</t>
  </si>
  <si>
    <t>Castelo Branco</t>
  </si>
  <si>
    <t>João Pessoa / Paraíba</t>
  </si>
  <si>
    <t>(21)96725-4610</t>
  </si>
  <si>
    <t>Rua Norte</t>
  </si>
  <si>
    <t>Cascadura</t>
  </si>
  <si>
    <t>(21)98085-8492</t>
  </si>
  <si>
    <t>Estrada Miguel Couto</t>
  </si>
  <si>
    <t>Shangri-lá</t>
  </si>
  <si>
    <t>Luiz Renato</t>
  </si>
  <si>
    <t>(31)99723-7584</t>
  </si>
  <si>
    <t>Rua Governador Valadares</t>
  </si>
  <si>
    <t>Santo Afonso</t>
  </si>
  <si>
    <t>Célia</t>
  </si>
  <si>
    <t>(21)98888-7292</t>
  </si>
  <si>
    <t>Rua Casuarina do Bosque</t>
  </si>
  <si>
    <t>Bosque de Geribá</t>
  </si>
  <si>
    <t>Armação dos Búzios</t>
  </si>
  <si>
    <t>(81)98731-1525</t>
  </si>
  <si>
    <t>Brejo da Guabiraba</t>
  </si>
  <si>
    <t>OZEIAS</t>
  </si>
  <si>
    <t>Rua carlos lacerda</t>
  </si>
  <si>
    <t>(11)99419-3558</t>
  </si>
  <si>
    <t>Rua Avinhado</t>
  </si>
  <si>
    <t>Vila Nova Curuçá</t>
  </si>
  <si>
    <t>Lucimara</t>
  </si>
  <si>
    <t>(81)98672-2279</t>
  </si>
  <si>
    <t>Rua Manoel Correia</t>
  </si>
  <si>
    <t>ellen emilia andrade faye muniz</t>
  </si>
  <si>
    <t>(81)99296-6545</t>
  </si>
  <si>
    <t>Antenôr</t>
  </si>
  <si>
    <t>(21)98221-9778</t>
  </si>
  <si>
    <t>Rua Jacinto</t>
  </si>
  <si>
    <t>Parque primavera</t>
  </si>
  <si>
    <t>(21)98739-4551</t>
  </si>
  <si>
    <t>Avenida Itaoca</t>
  </si>
  <si>
    <t>(11)98358-7946</t>
  </si>
  <si>
    <t>travessa rio doce</t>
  </si>
  <si>
    <t>(85)99730-2464</t>
  </si>
  <si>
    <t>Rua Rita de Cássia</t>
  </si>
  <si>
    <t>(21)98045-9521</t>
  </si>
  <si>
    <t>(75)98202-5008</t>
  </si>
  <si>
    <t>daniel riocardo dos passos</t>
  </si>
  <si>
    <t>tento</t>
  </si>
  <si>
    <t>(85)98530-8649</t>
  </si>
  <si>
    <t>(51)98454-5708</t>
  </si>
  <si>
    <t>Rua Maria Aparecida</t>
  </si>
  <si>
    <t>Vila João Pessoa</t>
  </si>
  <si>
    <t>EMPREGA ACRE</t>
  </si>
  <si>
    <t>(68)3225-5800</t>
  </si>
  <si>
    <t>Rua Pio XII</t>
  </si>
  <si>
    <t>Conjunto Mascarenhas de Moraes</t>
  </si>
  <si>
    <t>(22)99873-4659</t>
  </si>
  <si>
    <t>Rua César Gonçalves Marinho</t>
  </si>
  <si>
    <t>Rio do Limão</t>
  </si>
  <si>
    <t>Nilso</t>
  </si>
  <si>
    <t>Rua Expedicionário Jorge da Costa Lima</t>
  </si>
  <si>
    <t>Styve Kauhan Pessoa</t>
  </si>
  <si>
    <t>(21)97477-7667</t>
  </si>
  <si>
    <t>Estrada do Cantagalo</t>
  </si>
  <si>
    <t>(85)98782-0644</t>
  </si>
  <si>
    <t>Rua Professora Stella Cochrane</t>
  </si>
  <si>
    <t>Itaperi</t>
  </si>
  <si>
    <t>Geni</t>
  </si>
  <si>
    <t>(31)98657-5234</t>
  </si>
  <si>
    <t>(51)98191-6748</t>
  </si>
  <si>
    <t>Rodovia Dr. Antônio Luiz Moura Gonzaga</t>
  </si>
  <si>
    <t>Rio Tavares</t>
  </si>
  <si>
    <t>Matheus</t>
  </si>
  <si>
    <t>(11)5614-3503</t>
  </si>
  <si>
    <t>Rua João Scatamacchia</t>
  </si>
  <si>
    <t>Vila Campo Grande</t>
  </si>
  <si>
    <t>Av. Pastor Martins Luther King Junior</t>
  </si>
  <si>
    <t>(75)9990-1263</t>
  </si>
  <si>
    <t>Assentamento Caimã Ponta da Serra</t>
  </si>
  <si>
    <t>Adustina</t>
  </si>
  <si>
    <t>(71)99165-0236</t>
  </si>
  <si>
    <t>andressa@sarsaedu.com</t>
  </si>
  <si>
    <t>Rua São João do Jardim Piatã</t>
  </si>
  <si>
    <t>Jardim Placaford</t>
  </si>
  <si>
    <t>(81)98439-9982</t>
  </si>
  <si>
    <t>Rua Soldado Hermínio da Silva</t>
  </si>
  <si>
    <t>Cordeiro</t>
  </si>
  <si>
    <t>(21)96405-1050</t>
  </si>
  <si>
    <t>Av. Embaixador Abelardo Bueno</t>
  </si>
  <si>
    <t>Barra da Tijuca</t>
  </si>
  <si>
    <t>(81)98557-4902</t>
  </si>
  <si>
    <t>Rua da Floresta</t>
  </si>
  <si>
    <t>(62)98235-9090</t>
  </si>
  <si>
    <t>Rua 512</t>
  </si>
  <si>
    <t>Jardim Mont Serrat</t>
  </si>
  <si>
    <t>(11)96613-3682</t>
  </si>
  <si>
    <t>Avenida Yervant Kissajikian</t>
  </si>
  <si>
    <t>Vila Joaniza</t>
  </si>
  <si>
    <t>Sindy</t>
  </si>
  <si>
    <t>(11)96552-5786</t>
  </si>
  <si>
    <t>Talmud Torá</t>
  </si>
  <si>
    <t>Bom Retiro</t>
  </si>
  <si>
    <t>Rua La Rouche Foucalt</t>
  </si>
  <si>
    <t>Jd Primavera</t>
  </si>
  <si>
    <t>(51)3333-2917</t>
  </si>
  <si>
    <t>Rua Jacinto Gomes</t>
  </si>
  <si>
    <t>(62)98564-7849</t>
  </si>
  <si>
    <t>São Vicente esq. com Av. José Barbosa Reis</t>
  </si>
  <si>
    <t>Setor Madre Germana II</t>
  </si>
  <si>
    <t>(51)3387-7354</t>
  </si>
  <si>
    <t>Rua Millo Raffin</t>
  </si>
  <si>
    <t>Mario Quintana</t>
  </si>
  <si>
    <t>Mario</t>
  </si>
  <si>
    <t>(81)9871-57550</t>
  </si>
  <si>
    <t>Rua Doutor Armando Tavares</t>
  </si>
  <si>
    <t>Conjunto Muribeca</t>
  </si>
  <si>
    <t>JABOATAO dos Guararapes</t>
  </si>
  <si>
    <t>(83)98746-3734</t>
  </si>
  <si>
    <t>Rua Edmundo Filho</t>
  </si>
  <si>
    <t>Josivania</t>
  </si>
  <si>
    <t>(32)98801-8187</t>
  </si>
  <si>
    <t>Rua Ursulino Marcelino da Horta</t>
  </si>
  <si>
    <t>Ponte Preta</t>
  </si>
  <si>
    <t>Yasminn</t>
  </si>
  <si>
    <t>(21)97125-1238</t>
  </si>
  <si>
    <t>Rua Rivadavia Correia</t>
  </si>
  <si>
    <t>Thaís</t>
  </si>
  <si>
    <t>Adeline Rocha Santos</t>
  </si>
  <si>
    <t>(71)98614-7737</t>
  </si>
  <si>
    <t>Rua Manoel Fernandes</t>
  </si>
  <si>
    <t>Fazenda Coutos</t>
  </si>
  <si>
    <t>(71)99935-7857</t>
  </si>
  <si>
    <t>Rua da Cotia</t>
  </si>
  <si>
    <t>Barbara Luana</t>
  </si>
  <si>
    <t>(41)98706-1379</t>
  </si>
  <si>
    <t>Rua Mal Deodoro</t>
  </si>
  <si>
    <t>(21)96411-1782</t>
  </si>
  <si>
    <t>Alberto de Campos 12</t>
  </si>
  <si>
    <t>(49)99818-6137</t>
  </si>
  <si>
    <t>Rua Florianópolis</t>
  </si>
  <si>
    <t>São Luiz</t>
  </si>
  <si>
    <t>São Miguel do Oeste</t>
  </si>
  <si>
    <t>Terezinha</t>
  </si>
  <si>
    <t>(34)98811-3435</t>
  </si>
  <si>
    <t>Rua Do Dolar</t>
  </si>
  <si>
    <t>(21)98464-7493</t>
  </si>
  <si>
    <t>Rua Dr. Arino de Oliveira 85</t>
  </si>
  <si>
    <t>Jardim Meriti</t>
  </si>
  <si>
    <t>(21)97585-3548</t>
  </si>
  <si>
    <t>Rua Itabira</t>
  </si>
  <si>
    <t>Vila Itamarati</t>
  </si>
  <si>
    <t>(21)99344-6244</t>
  </si>
  <si>
    <t>(91)98317-9668</t>
  </si>
  <si>
    <t>Rua Benjamin</t>
  </si>
  <si>
    <t>Wellington Luiz da Silva</t>
  </si>
  <si>
    <t>(81)98558-5628</t>
  </si>
  <si>
    <t>rua bosque</t>
  </si>
  <si>
    <t>Mirueira</t>
  </si>
  <si>
    <t>(11)93705-0736</t>
  </si>
  <si>
    <t>Avenida das Alamandas</t>
  </si>
  <si>
    <t>Cidade Antônio Estevão de Carvalho</t>
  </si>
  <si>
    <t>(85)98130-8111</t>
  </si>
  <si>
    <t>avenida geraldo ciriaco</t>
  </si>
  <si>
    <t>freixeiras</t>
  </si>
  <si>
    <t>aline</t>
  </si>
  <si>
    <t>(98)98781-4943</t>
  </si>
  <si>
    <t>Rua 4</t>
  </si>
  <si>
    <t>(98)98825-9480</t>
  </si>
  <si>
    <t>Turu</t>
  </si>
  <si>
    <t>Francisco raulgil</t>
  </si>
  <si>
    <t>(71)3214-6678</t>
  </si>
  <si>
    <t>Rua Ana Mariane Bitencourt</t>
  </si>
  <si>
    <t>(11)94735-8144</t>
  </si>
  <si>
    <t>Rua Magnolias</t>
  </si>
  <si>
    <t>Jardim primavera</t>
  </si>
  <si>
    <t>Maua</t>
  </si>
  <si>
    <t>Alisson</t>
  </si>
  <si>
    <t>(88)99982-3178</t>
  </si>
  <si>
    <t>AVENIDA JOSÉ SOBREIRA DA CRUZ</t>
  </si>
  <si>
    <t>MATERNIDADE</t>
  </si>
  <si>
    <t>MISSÃO VELHA</t>
  </si>
  <si>
    <t>RAIMUNDO</t>
  </si>
  <si>
    <t>(13)98805-9218</t>
  </si>
  <si>
    <t>Rua Faixa do Óleo Duto</t>
  </si>
  <si>
    <t>Pinhal do Miranda</t>
  </si>
  <si>
    <t>Rua Capitão Lima</t>
  </si>
  <si>
    <t>Givanildo</t>
  </si>
  <si>
    <t>(71)99213-2655</t>
  </si>
  <si>
    <t>Rua André Luís</t>
  </si>
  <si>
    <t>(97)98425-0892</t>
  </si>
  <si>
    <t>Rua II</t>
  </si>
  <si>
    <t>Colônia Ventura</t>
  </si>
  <si>
    <t>Tefé</t>
  </si>
  <si>
    <t>Valdeney</t>
  </si>
  <si>
    <t>79 9801-5628</t>
  </si>
  <si>
    <t>Rua da Palha</t>
  </si>
  <si>
    <t>Pov. Ilha do Ouro</t>
  </si>
  <si>
    <t>Porto da Folha</t>
  </si>
  <si>
    <t>(85)98671-8277</t>
  </si>
  <si>
    <t>Rua Desembargador Hermes Parahyba</t>
  </si>
  <si>
    <t>Pedro nojosa</t>
  </si>
  <si>
    <t>(27)9928-7128</t>
  </si>
  <si>
    <t>Rua 13 número 26 quadra 18</t>
  </si>
  <si>
    <t>Jabaeté</t>
  </si>
  <si>
    <t>(81)98520-6857</t>
  </si>
  <si>
    <t>Estrada Velha do Frigorífico</t>
  </si>
  <si>
    <t>Carlos André de Oliveira</t>
  </si>
  <si>
    <t>(11)94810-3247</t>
  </si>
  <si>
    <t>Rua Carlota Brianza</t>
  </si>
  <si>
    <t>Vila Progresso</t>
  </si>
  <si>
    <t>(21)99844-3042</t>
  </si>
  <si>
    <t>Rua: Budapeste</t>
  </si>
  <si>
    <t>Freguesia- Ilha do Governador</t>
  </si>
  <si>
    <t>(11)95430-2739</t>
  </si>
  <si>
    <t>RUA PARAIBUNA</t>
  </si>
  <si>
    <t>Vila Prudente</t>
  </si>
  <si>
    <t>(19)99760-0468</t>
  </si>
  <si>
    <t>Rua da Mooca 3156</t>
  </si>
  <si>
    <t>Baruc</t>
  </si>
  <si>
    <t>(11)99558-5329</t>
  </si>
  <si>
    <t>Rua Kata Liciburg</t>
  </si>
  <si>
    <t>Jardim Varan</t>
  </si>
  <si>
    <t>wbiracy pais da costa</t>
  </si>
  <si>
    <t xml:space="preserve">              Salesforce Import Snapshot
              Snapshot as of Sep 01, 2023</t>
  </si>
  <si>
    <t>luma@institutocristianecamargo.org</t>
  </si>
  <si>
    <t>josibanni3@gmail.com</t>
  </si>
  <si>
    <t>sidneysantosser@outlook.com</t>
  </si>
  <si>
    <t>Fase Inicial</t>
  </si>
  <si>
    <t xml:space="preserve">              Salesforce Import Snapshot
              Snapshot as of Aug 01, 2023</t>
  </si>
  <si>
    <t>julia@cheganca.com.br</t>
  </si>
  <si>
    <t>ongsurfar@hotmail.com</t>
  </si>
  <si>
    <t>PROJETO CORRENTE DO BEM</t>
  </si>
  <si>
    <t>projetocorrentedobem36@gmail.com</t>
  </si>
  <si>
    <t xml:space="preserve">              Salesforce Import Snapshot
              Snapshot as of Jul 01, 2023</t>
  </si>
  <si>
    <t>relacionamentos@institutotibagi.org.br</t>
  </si>
  <si>
    <t>felipefariasdosreis@gmail.com</t>
  </si>
  <si>
    <t>felipefariasdosreis@gmail.com.br</t>
  </si>
  <si>
    <t>ma.karatw@hotmail.com</t>
  </si>
  <si>
    <t>markim.transformacao@gmail.com</t>
  </si>
  <si>
    <t xml:space="preserve">              Salesforce Import Snapshot
              Snapshot as of Jun 01, 2023</t>
  </si>
  <si>
    <t>mariaelizianefelix@gmail.com</t>
  </si>
  <si>
    <t>ASSOCIAÇÃO DE TEATRO ARTES E YOGA</t>
  </si>
  <si>
    <t>celiadantas1960@gmail.com</t>
  </si>
  <si>
    <t>ongparceirosdaalegria@gmail.com</t>
  </si>
  <si>
    <t>PROJETO ESPERANÇA DO GOGÓ</t>
  </si>
  <si>
    <t>contato@somosaponte.com</t>
  </si>
  <si>
    <t xml:space="preserve">              Salesforce Import Snapshot
              Snapshot as of May 01, 2023</t>
  </si>
  <si>
    <t xml:space="preserve"> RODRIGO SOARES</t>
  </si>
  <si>
    <t>ongmaosqueajudam2011@gmail.com</t>
  </si>
  <si>
    <t>janemonteirosilva78@gmail.com</t>
  </si>
  <si>
    <t>PROJETO ACERTE O ALVO PARA VIVER</t>
  </si>
  <si>
    <t>PÃO COM CAFÉ</t>
  </si>
  <si>
    <t xml:space="preserve">              Salesforce Import Snapshot
              Snapshot as of Apr 01, 2023</t>
  </si>
  <si>
    <t xml:space="preserve"> LIRA DE INCLUSÃO SOCIAL - ILIS</t>
  </si>
  <si>
    <t>ilis@ilis.org.br</t>
  </si>
  <si>
    <t>BIBLIOTECA COMUNITÁRIA ESPAÇO LITERÁRIO LIVRO LIVRE</t>
  </si>
  <si>
    <t xml:space="preserve"> ÁGAPE</t>
  </si>
  <si>
    <t xml:space="preserve">              Salesforce Import Snapshot
              Snapshot as of Mar 01, 2023</t>
  </si>
  <si>
    <t>ujf.sa@ujf.com.br</t>
  </si>
  <si>
    <t>POTIGUARES</t>
  </si>
  <si>
    <t>antonio_bneto@yahoo.com</t>
  </si>
  <si>
    <t>ciscumachanche20032020@gmail.com</t>
  </si>
  <si>
    <t>projetoresgate.v@gmail.com</t>
  </si>
  <si>
    <t>diretoria@projetobayernzinho.org</t>
  </si>
  <si>
    <t>TRANSFORMADO VIDAS E MUDANDO A SOCIEDADE!</t>
  </si>
  <si>
    <t>atendimento@asbramebrasil.org</t>
  </si>
  <si>
    <t>IDEAL DO AMANHÃ GUAICUY</t>
  </si>
  <si>
    <t xml:space="preserve">              Salesforce Import Snapshot
              Snapshot as of Feb 01, 2023</t>
  </si>
  <si>
    <t>casadacomunidade@yahoo.com</t>
  </si>
  <si>
    <t>cajufn.2017@gmail.com</t>
  </si>
  <si>
    <t>saudenosbairros2021@gmail.com</t>
  </si>
  <si>
    <t>ASSOCIACAO AGUIA, VISANDO UM FUTURO TRANSFORMADOR</t>
  </si>
  <si>
    <t>ong.suve@yahoo.com.br</t>
  </si>
  <si>
    <t>j1jardimms@outlook.com</t>
  </si>
  <si>
    <t>capeducacao8@gmail.com</t>
  </si>
  <si>
    <t>fazerobem@gmail.com</t>
  </si>
  <si>
    <t>ong@test.com</t>
  </si>
  <si>
    <t>ONG TEST PORTAL GF</t>
  </si>
  <si>
    <t xml:space="preserve">              Salesforce Import Snapshot
              Snapshot as of Jan 01, 2023</t>
  </si>
  <si>
    <t>PROJETO SOCIAL SIM! EU SOU DE SANTA TEREZA</t>
  </si>
  <si>
    <t>projetosocialsest@gmail.com</t>
  </si>
  <si>
    <t>contato@institutotchibum.com</t>
  </si>
  <si>
    <t>SOMOS TUAS MAOS</t>
  </si>
  <si>
    <t>NÃO POSSUI</t>
  </si>
  <si>
    <t>heveltton6@gmail.com</t>
  </si>
  <si>
    <t>associacaomontecristo21@gmail.com</t>
  </si>
  <si>
    <t>MISSÃO EDEDE MELEQUE</t>
  </si>
  <si>
    <t>pratoverde@gmail.com</t>
  </si>
  <si>
    <t>TESTE FLOW CTG</t>
  </si>
  <si>
    <t>E-mail</t>
  </si>
  <si>
    <t>Estado</t>
  </si>
  <si>
    <t>Bairro</t>
  </si>
  <si>
    <t>Cidade</t>
  </si>
  <si>
    <t>Nome do líder</t>
  </si>
  <si>
    <t>ABC Mundo Novo</t>
  </si>
  <si>
    <t>Instituto Transformar</t>
  </si>
  <si>
    <t>Associação Sementes da Fé</t>
  </si>
  <si>
    <t>Conexão do bem</t>
  </si>
  <si>
    <t>INSTITUTO AGAPE CHAPADA</t>
  </si>
  <si>
    <t>Instituto Almas Azuis</t>
  </si>
  <si>
    <t>INSTITUTO ANALICE MULHERES DE MAOS DADAS</t>
  </si>
  <si>
    <t>INSTITUTO CONVERGIR</t>
  </si>
  <si>
    <t>INSTITUTO DA CRIANCA ALBERTO DE MOURA</t>
  </si>
  <si>
    <t>Instituto Daspe</t>
  </si>
  <si>
    <t>INSTITUTO EDSON CARIUS</t>
  </si>
  <si>
    <t>INSTITUTO EDSON ROYER</t>
  </si>
  <si>
    <t>INSTITUTO EDUCA MAIS ESPORTE</t>
  </si>
  <si>
    <t>INSTITUTO EDUCAR GOLANDIM</t>
  </si>
  <si>
    <t>INSTITUTO ESPERANCA DO BRASIL</t>
  </si>
  <si>
    <t>INSTITUTO EU FACO O BEM</t>
  </si>
  <si>
    <t>INSTITUTO FORMANDO VENCEDORES</t>
  </si>
  <si>
    <t>INSTITUTO INCLUA</t>
  </si>
  <si>
    <t>INSTITUTO KALEO</t>
  </si>
  <si>
    <t>Instituto Maná do Céu para os povos</t>
  </si>
  <si>
    <t>INSTITUTO MANCALA</t>
  </si>
  <si>
    <t>INSTITUTO MARANHENSE EDUCANDARIO BETESDA</t>
  </si>
  <si>
    <t>INSTITUTO METOCHI</t>
  </si>
  <si>
    <t>INSTITUTO NEOQAV</t>
  </si>
  <si>
    <t>INSTITUTO O CANTO DO PATATIVA</t>
  </si>
  <si>
    <t>INSTITUTO PORTAL DAS CORES</t>
  </si>
  <si>
    <t>Instituto Quadro de Esperança</t>
  </si>
  <si>
    <t>INSTITUTO QUEIRA BEM</t>
  </si>
  <si>
    <t>INSTITUTO RAHAMIM</t>
  </si>
  <si>
    <t>Instituto Raízes Escolhidas</t>
  </si>
  <si>
    <t>INSTITUTO SÓ ALEGRIA</t>
  </si>
  <si>
    <t>Instituto Social do Brasil</t>
  </si>
  <si>
    <t>INSTITUTO SOCIAL FONTE DE LUZ</t>
  </si>
  <si>
    <t>Instituto Social Novo Olhar</t>
  </si>
  <si>
    <t>INSTITUTO SOCIO EDUCACIONAL E TECNOLOGICO SEMEAR</t>
  </si>
  <si>
    <t>INSTITUTO TIBAGI</t>
  </si>
  <si>
    <t>INSTITUTO VIRANDO O JOGO</t>
  </si>
  <si>
    <t>lnstituto Conexão Dorcas</t>
  </si>
  <si>
    <t>Projeto Ide com Amor</t>
  </si>
  <si>
    <t>Projeto Novo Amanhecer</t>
  </si>
  <si>
    <t>Projeto PPL Pedreira Prado Lopes</t>
  </si>
  <si>
    <t>Projeto sonhar e ação</t>
  </si>
  <si>
    <t>Projeto Transformar</t>
  </si>
  <si>
    <t>Instituição</t>
  </si>
  <si>
    <t>Endereço</t>
  </si>
  <si>
    <t>021NossasHistórias</t>
  </si>
  <si>
    <t>MAM - Mulheres Apoiam Mulheres</t>
  </si>
  <si>
    <t>Instituto 7 Gerações</t>
  </si>
  <si>
    <t>Associação de Apoio às Famílias Vulneráveis</t>
  </si>
  <si>
    <t>Associação Dos Amigos E Residentes do 13 de Maio</t>
  </si>
  <si>
    <t>Associação Beneficente da Criança e do Adolescente</t>
  </si>
  <si>
    <t>NEAC - Núcleo Especial de Atenção à Criança</t>
  </si>
  <si>
    <t>Abrace com Amor</t>
  </si>
  <si>
    <t>Associação Esportiva Cultural e e Educacional Abraço Campeão</t>
  </si>
  <si>
    <t>Abraço Periférico</t>
  </si>
  <si>
    <t>Associação de Cultura e Artes Casa de Bambas</t>
  </si>
  <si>
    <t>Associação Shoto Karatê do Kai</t>
  </si>
  <si>
    <t>Associação Cultural de Educação Social e Artística - ACESA</t>
  </si>
  <si>
    <t>ACIESP Projeto Atraves do Espelho</t>
  </si>
  <si>
    <t>Associação dos cuidadores de pessoas em situação de vulnerabilidade na Bahia</t>
  </si>
  <si>
    <t>Associação são Vicente de Paulo do Jd Vitória</t>
  </si>
  <si>
    <t>Associação Cidadania Social e Sustentabilidade</t>
  </si>
  <si>
    <t>Associação Cultural e Social Vila nova</t>
  </si>
  <si>
    <t>Actum Brazil</t>
  </si>
  <si>
    <t>associação comunitária união potengi</t>
  </si>
  <si>
    <t>Instituto Floriano Peçanha dos Santos</t>
  </si>
  <si>
    <t>Organização de Desenvolvimento do Potencial Humano</t>
  </si>
  <si>
    <t>Associação Educacional Esportiva e Social Voz Ativa</t>
  </si>
  <si>
    <t>AFA projeto amar a favela</t>
  </si>
  <si>
    <t>Agentes de Transformação Associação Civil</t>
  </si>
  <si>
    <t>INSTITUTO DAS ÁGUIAS</t>
  </si>
  <si>
    <t>INSTITUTO AJUDE O PANTANAL OFICIAL</t>
  </si>
  <si>
    <t>Associação Futuro Campeão</t>
  </si>
  <si>
    <t>Associação Meninos da Aracy</t>
  </si>
  <si>
    <t>Associação de Mulheres de Atitude e Compromisso Social</t>
  </si>
  <si>
    <t>Associação dos Moradores da Comunidade do Bairro Zita Cunha</t>
  </si>
  <si>
    <t>Amigos solidários de Parnaíba</t>
  </si>
  <si>
    <t>Amiguinhos de Jesus Curio</t>
  </si>
  <si>
    <t>Associação das Mulheres de Nazaré da Mata</t>
  </si>
  <si>
    <t>INSTITUTO ANDORINHAS BALTAZAR</t>
  </si>
  <si>
    <t>Angels</t>
  </si>
  <si>
    <t>Anjos de Asas no Mundo Azul</t>
  </si>
  <si>
    <t>APAT - Associação de Pais e Amigos dos Tenistas de Ouro Branco</t>
  </si>
  <si>
    <t>Associação Cultural Arautos do Gueto</t>
  </si>
  <si>
    <t>ARC -Associação Recreativa e Cultural do Jardim Treze de Maio</t>
  </si>
  <si>
    <t>Asociação beneficiente arca da vitoria</t>
  </si>
  <si>
    <t>INSTITUTO ARENA</t>
  </si>
  <si>
    <t>Arte nas Comunidades</t>
  </si>
  <si>
    <t>Associação DOS REUMÁTICOS DE UBERLÂNDIA E REGIÃO - ARUR</t>
  </si>
  <si>
    <t>Berimbau hostel e cozinha artesanal</t>
  </si>
  <si>
    <t>Instituto As Valquirias</t>
  </si>
  <si>
    <t>INSTITUTO ASCENDENDO MENTES</t>
  </si>
  <si>
    <t>Associação de surf da praia de Miami e Areia Preta</t>
  </si>
  <si>
    <t>Associação Social Sagrada Família</t>
  </si>
  <si>
    <t>Associação Missão em Ação Social - AMEAS</t>
  </si>
  <si>
    <t>Associação Educacional* Cultural e Social Aprender</t>
  </si>
  <si>
    <t>Associação Beneficente Raul das Tintas</t>
  </si>
  <si>
    <t>Associação comunitária de Agente Ambiental</t>
  </si>
  <si>
    <t>Brinquedoteca da tia ana</t>
  </si>
  <si>
    <t>Associação de Moradores do Bairro Alvorada</t>
  </si>
  <si>
    <t>Associação de Moradores de Monte Cristo</t>
  </si>
  <si>
    <t>Associação Esporte e Vida</t>
  </si>
  <si>
    <t>Associação Plenitude do Amor (APA)</t>
  </si>
  <si>
    <t>Associação Social Black's Urbano</t>
  </si>
  <si>
    <t>Projeto desafiando gigantes</t>
  </si>
  <si>
    <t>Associaçao Infancia e Familia</t>
  </si>
  <si>
    <t>Associação Projeto Esperança do Brasil</t>
  </si>
  <si>
    <t>Balé da Rale</t>
  </si>
  <si>
    <t>Boa safra team</t>
  </si>
  <si>
    <t>Comissão Solidária Vila da Barca</t>
  </si>
  <si>
    <t>INSTITUTO MUCAMBO</t>
  </si>
  <si>
    <t>Biblioteca Comunitária Roedores de Livros</t>
  </si>
  <si>
    <t>Associação de apoio a Mães de Especiais- Instituto AME</t>
  </si>
  <si>
    <t>Instituto Cultural Aníbal Machado</t>
  </si>
  <si>
    <t>Instituto Mundo Novo da Cultura Viva</t>
  </si>
  <si>
    <t>Ensinar Xadrez para as crianças que necessitam um futuro melhor</t>
  </si>
  <si>
    <t>Instituto Carangondé Cidadania</t>
  </si>
  <si>
    <t>Coletivo Caranguejo Tabaiares Resiste</t>
  </si>
  <si>
    <t>INSTITUTO CASA DE BARRO - CULTURA ARTE EDUCAÇÃO</t>
  </si>
  <si>
    <t>Associação Casa Hacker</t>
  </si>
  <si>
    <t>Instituto ReggArte</t>
  </si>
  <si>
    <t>Casa São Francisco</t>
  </si>
  <si>
    <t>Casulo</t>
  </si>
  <si>
    <t>CECRE Centro Educacional Comunitário Redenção</t>
  </si>
  <si>
    <t>Centro dos Jovens Unidos na Militancia Comunitaria de Paulista</t>
  </si>
  <si>
    <t>Associação cidadania* desporto* lazer e cultura- Celc</t>
  </si>
  <si>
    <t>Central da Solidariedade</t>
  </si>
  <si>
    <t>CCM - Centro Cultural Mamulengo</t>
  </si>
  <si>
    <t>Centro de Assistência Social e Cultural União da Ilha</t>
  </si>
  <si>
    <t>ONG Centro  Zumbi dos Palmares</t>
  </si>
  <si>
    <t>Centro Educacional/ Cultural e Social do Ibura</t>
  </si>
  <si>
    <t>Centro Social Acolher</t>
  </si>
  <si>
    <t>Centro comunitário Mário Andrade</t>
  </si>
  <si>
    <t>CAMA-Centro de Arte e Meio Ambiente</t>
  </si>
  <si>
    <t>Sociedade beneficiente Israelita Brasileira Talmud Thora</t>
  </si>
  <si>
    <t>Cia Ballet GrandK</t>
  </si>
  <si>
    <t>Cidadão em Ação - Amor</t>
  </si>
  <si>
    <t>Cidade Feliz</t>
  </si>
  <si>
    <t>CineClube Tia Nilda</t>
  </si>
  <si>
    <t>Centro de Integração Social e Cultural  - CISC "Uma Chance"</t>
  </si>
  <si>
    <t>Clube de Ajuda</t>
  </si>
  <si>
    <t>Clube do Bem</t>
  </si>
  <si>
    <t>Clube DONAS</t>
  </si>
  <si>
    <t>Coletivo Mulheres do Brasil em ação CMBA</t>
  </si>
  <si>
    <t>Creche Escola Maria de Nazaré</t>
  </si>
  <si>
    <t>INSTITUTO SANTA LUZIA</t>
  </si>
  <si>
    <t>Coletivo Cultura Bethania</t>
  </si>
  <si>
    <t>INSTITUTO SOCIOCULTURAL ECOVIDA</t>
  </si>
  <si>
    <t>coletivo Filhos nos Braços do pai</t>
  </si>
  <si>
    <t>Coletivo Fundo da Caixa</t>
  </si>
  <si>
    <t>Coletivo Sargento Perifa</t>
  </si>
  <si>
    <t>Coletivo Cultural e social Sol Nascente</t>
  </si>
  <si>
    <t>Coletivos em Movimento</t>
  </si>
  <si>
    <t>CAISCA - Centro de Artes e Integração Social para Crianças e Adolescente</t>
  </si>
  <si>
    <t>Complexo Encanto Grupo de Apoio Social - CEGAS</t>
  </si>
  <si>
    <t>Instituição de Incentivo à Criança e ao Adolescente de Mogi Mirim</t>
  </si>
  <si>
    <t>Comunidade pro moradia</t>
  </si>
  <si>
    <t>Comunidadeativadoarco</t>
  </si>
  <si>
    <t>Centro educacional de esporte e lazer comunidades unidas</t>
  </si>
  <si>
    <t>CONJER - Conselho Comunitário do Alto Jerusalém</t>
  </si>
  <si>
    <t>INSTITUTO SOCIAL KAIROS</t>
  </si>
  <si>
    <t>Associação Ethos Sustentável</t>
  </si>
  <si>
    <t>Associação VOAR</t>
  </si>
  <si>
    <t>Chegança Escola</t>
  </si>
  <si>
    <t>Grupo Central Cultura Urbana</t>
  </si>
  <si>
    <t>INSTITUTO BRASILEIRO DE EXPEDIÇÕES SOCIAIS</t>
  </si>
  <si>
    <t>Instituto Dah Araujo</t>
  </si>
  <si>
    <t>Associação Amor e Vida</t>
  </si>
  <si>
    <t>Projeto Avante</t>
  </si>
  <si>
    <t>Associação Vidança Companhia de Danças do Ceará</t>
  </si>
  <si>
    <t>Inspirando Gerações em Amor</t>
  </si>
  <si>
    <t>Instituto PEB _projeto educa basquete</t>
  </si>
  <si>
    <t>Sociedade Cultural Projeto Luar</t>
  </si>
  <si>
    <t>Instituto Cores do Mará</t>
  </si>
  <si>
    <t>INSTITUTO SOCIAL CORRENTE DO AMOR</t>
  </si>
  <si>
    <t>Corrente do Bem SE</t>
  </si>
  <si>
    <t>Corrente do Bem Urucania</t>
  </si>
  <si>
    <t>Corrente do bemfsa</t>
  </si>
  <si>
    <t>Centro Comunitário do Radional e Adjacências</t>
  </si>
  <si>
    <t>IRSEBA INSTITUTO DE REFERENCIA SOCIAL DO ESTADO DA BAHIA</t>
  </si>
  <si>
    <t>INSTITUTO MAGNIFICAT DE DESENVOLVIMENTO HUMANO E DE PROTECAO AMBIENTAL</t>
  </si>
  <si>
    <t>Fazer a diferença</t>
  </si>
  <si>
    <t>Projeto Criança Contente</t>
  </si>
  <si>
    <t>CYGANU' S MOTO CLUBE INSTITUTO EDUCACIONAL E PROFISSIONALIZANTE</t>
  </si>
  <si>
    <t>Instituto Criança Mais Feliz RS</t>
  </si>
  <si>
    <t>Crieatividade Gestão Esportiva Empresarial LTDA</t>
  </si>
  <si>
    <t>Associação Brasileira Missão e Esperança (ASBRAME)</t>
  </si>
  <si>
    <t>Projeto Evoluir Semeando o Amanhã</t>
  </si>
  <si>
    <t>Programa Social Sim! Eu Sou do Meio (SESM)</t>
  </si>
  <si>
    <t>Deficiente Eficiente</t>
  </si>
  <si>
    <t>Delí­cias Caseiras</t>
  </si>
  <si>
    <t>Instituto Família Chegados</t>
  </si>
  <si>
    <t>Associação Cultural Casa do Beco</t>
  </si>
  <si>
    <t>Despertando Amor hoje</t>
  </si>
  <si>
    <t>Dia do Amor</t>
  </si>
  <si>
    <t>ABFB Aliança Bayeux Franco Brasileira</t>
  </si>
  <si>
    <t>Instituto Cristiane Camargo</t>
  </si>
  <si>
    <t>Associaçao Projeto Gaditas</t>
  </si>
  <si>
    <t>INSTITUTO DE CULTURA E LAZER EBENÉZER</t>
  </si>
  <si>
    <t>INSTITUTO SOCIAL &amp; EDUCACIONAL E CULTURAL ECOFUTURO</t>
  </si>
  <si>
    <t>Espaço Cultural Nova Bonsucesso</t>
  </si>
  <si>
    <t>Terezinha Osmari Bagatini</t>
  </si>
  <si>
    <t>Projeto Educa Surf Social</t>
  </si>
  <si>
    <t>Centro Cultural Rita de Cassia</t>
  </si>
  <si>
    <t>INSTITUTO DE EDUCACAO CULTURA E MINISTERIO EDUCARE</t>
  </si>
  <si>
    <t>Associação Elas Podem RN</t>
  </si>
  <si>
    <t>Centro Cidadania Ação e Educação Socioambiental</t>
  </si>
  <si>
    <t>Em Cena Arte e Cidadania</t>
  </si>
  <si>
    <t>Empreendedorismo Voluntario</t>
  </si>
  <si>
    <t>Instituto Emprega+</t>
  </si>
  <si>
    <t>Instituto Entre o Céu e a Favela para Arte Educação e Cidadania</t>
  </si>
  <si>
    <t>INSTITUTO ENTRE ASPAS DE AÇÃO COMUNITARIA</t>
  </si>
  <si>
    <t>Entregue Sorrisos</t>
  </si>
  <si>
    <t>INSTITUTO EDUCACIONAL ASSISTENCIAL COROADINHO</t>
  </si>
  <si>
    <t>INSTITUTO EDUCACIONAL DE BOMBEIROS CIVIL DO MARANHAO</t>
  </si>
  <si>
    <t>Centro Escola Mangue</t>
  </si>
  <si>
    <t>INSTITUTO EDUCACIONAL NOSSA SENHORA DE FATIMA</t>
  </si>
  <si>
    <t>Escola Pública Presente</t>
  </si>
  <si>
    <t>ASSOCIACAO INSTITUTO SOCIAL DE ASSISTENCIA COMUNITARIA BRANDAO 10 - ISACB10</t>
  </si>
  <si>
    <t>Espaço Feminista</t>
  </si>
  <si>
    <t>Instituto de Desenvolvimento Humano e Social pelo Esporte Educação Cultura e Cidadania</t>
  </si>
  <si>
    <t>Eu digo nao as drogas</t>
  </si>
  <si>
    <t>eu vejo vc sem fronteiras</t>
  </si>
  <si>
    <t>Associação Cultural Esportiva Social Amigos - ACESA</t>
  </si>
  <si>
    <t>Falcões do Morro Poaense</t>
  </si>
  <si>
    <t>Família Construindo o Futuro (Juntos Somos Mais Fortes)</t>
  </si>
  <si>
    <t>Instituto Família Criativa do Campo</t>
  </si>
  <si>
    <t>INSTITUTO FAROL NA QUEBRADA</t>
  </si>
  <si>
    <t>Favela Radical</t>
  </si>
  <si>
    <t>INSTITUTO FAVELARTE</t>
  </si>
  <si>
    <t>Fórum de Juventudes do Território do Bem</t>
  </si>
  <si>
    <t>Florescer</t>
  </si>
  <si>
    <t>Fortini Investimento Social</t>
  </si>
  <si>
    <t>Instituto Geração 4</t>
  </si>
  <si>
    <t>Grupo Comunitário Semente da Esperança</t>
  </si>
  <si>
    <t>GESCA - Grêmio Educacional* Social e Cultural Águias de Santo Antônio de Jesus</t>
  </si>
  <si>
    <t>Instituto Esperança</t>
  </si>
  <si>
    <t>Instituto Fábrica de Vencedor</t>
  </si>
  <si>
    <t>Instituto Girassol de Desenvolvimento Social</t>
  </si>
  <si>
    <t>Grupo Comunitario Paz e Amor</t>
  </si>
  <si>
    <t>Grupo Vigilantes da Luz Amigos do Bem</t>
  </si>
  <si>
    <t>handebol social imbatíveis</t>
  </si>
  <si>
    <t>Associação Beneficente HEBROM (Núcleo Tefé AM)</t>
  </si>
  <si>
    <t>INSTITUTO HERDAR</t>
  </si>
  <si>
    <t>Ong Heróis dos Lacres</t>
  </si>
  <si>
    <t>Hip Hop Sem Fronteiras</t>
  </si>
  <si>
    <t>INSTITUTO TREM DAS ONZE NOVA VIDA</t>
  </si>
  <si>
    <t>Instituto de Arte e Cidadania do Ceará</t>
  </si>
  <si>
    <t>Instituto Batista Simon Pr Simon Horbaczyk</t>
  </si>
  <si>
    <t>Instituto CulturAção</t>
  </si>
  <si>
    <t>INSTITUTO CULTURAL BALUARTE DA AMAZONIA - ICBA</t>
  </si>
  <si>
    <t>Instituto Coneragir</t>
  </si>
  <si>
    <t>INSTITUTO COMUNITARIO VOVO MACIEL</t>
  </si>
  <si>
    <t>Instituto Desenvolvimento Esperança</t>
  </si>
  <si>
    <t>INSTITUTO DE DEFESA DA CIDADANIA COMUNITARIA - IDECC</t>
  </si>
  <si>
    <t>INSTITUTO NACIONAL DE DESENVOLVIMENTO SOCIAL E QUALIFICAÇÃO PROFISSIONAL</t>
  </si>
  <si>
    <t>Instituto Social De Todo Coração</t>
  </si>
  <si>
    <t>Instituição Sociedade Plural São João Batista / ISP-SJB</t>
  </si>
  <si>
    <t>Instituto Eclesia Movement</t>
  </si>
  <si>
    <t>INSTITUTO EPURANIOS</t>
  </si>
  <si>
    <t>INSTITUTO JUVENTUDE CRIATIVA</t>
  </si>
  <si>
    <t>INSTITUTO JOAQUIM TÁVORA</t>
  </si>
  <si>
    <t>INSTITUTO MANUEL BRAGA</t>
  </si>
  <si>
    <t>INSTITUTOMULHERES EM SUPERAÇÃO NA AMAZÔNIA</t>
  </si>
  <si>
    <t>Impactação Transformação Social</t>
  </si>
  <si>
    <t>INSTITUTO NOVA AMAZONIA - INA</t>
  </si>
  <si>
    <t>INSTITUTO ANA RIBEIRO DO SUBURBIO FERROVIARIO</t>
  </si>
  <si>
    <t>Incanto - Instituto de Cultura Arte e Novas Tecnologias</t>
  </si>
  <si>
    <t>INSTITUTO CONFORME</t>
  </si>
  <si>
    <t>INSTITUTO NACIONAL LAR DOS SONHOS</t>
  </si>
  <si>
    <t>Instituto  Damilia</t>
  </si>
  <si>
    <t>Instituto 100% MORRO</t>
  </si>
  <si>
    <t>INSTITUTO + VIDA</t>
  </si>
  <si>
    <t>Instituto de Desenvolvimento e Proteção Social</t>
  </si>
  <si>
    <t>Instituto Amar</t>
  </si>
  <si>
    <t>INSTITUTO AMARGEN</t>
  </si>
  <si>
    <t>Instituto Amparando</t>
  </si>
  <si>
    <t>Instituto Ampliando Horizontes</t>
  </si>
  <si>
    <t>Arcanjo Gabriel</t>
  </si>
  <si>
    <t>Instituto Atitude SP</t>
  </si>
  <si>
    <t>Instituto atletas de Ouro do jardim gramacho</t>
  </si>
  <si>
    <t>Instituto Ayó</t>
  </si>
  <si>
    <t>INSTITUTO BRAULINO DE SOUZA NASCIMENTO</t>
  </si>
  <si>
    <t>INSTITUTO BUSSOLA JOVEM</t>
  </si>
  <si>
    <t>Instituto Cangaço Fight</t>
  </si>
  <si>
    <t>INSTITUTO CEGONHA- ACAO E DESENVOLVIMENTO EDUCACIONAL, CULTURAL, ESPORTIVO E SOCIAL</t>
  </si>
  <si>
    <t>INSTITUTO DE DESENVOLVIMENTO SUSTENTAVEL CONEXAO</t>
  </si>
  <si>
    <t>Instituto social e comunitário Arraial da Glória</t>
  </si>
  <si>
    <t>INSTITUTO DE ARTES E DANCAS O SENHOR E CONTIGO</t>
  </si>
  <si>
    <t>INSTITUTO DE EDUCACAO E CULTURA DE EQUADOR - IECE</t>
  </si>
  <si>
    <t>Instituto do Trabalho</t>
  </si>
  <si>
    <t>Instituto Dona Maria</t>
  </si>
  <si>
    <t>INSTITUTO MARIANA</t>
  </si>
  <si>
    <t>ASSOCIACAO INSTITUTO EFEITO URBANO</t>
  </si>
  <si>
    <t>ENCANTOS INSTITUTO SÓCIO CULTURAL E BENEFICENTE</t>
  </si>
  <si>
    <t>INSTITUTO PATERNUS</t>
  </si>
  <si>
    <t>INSTITUTO HA ESPERANCA</t>
  </si>
  <si>
    <t>INSTITUTO HEROIS E PRINCESAS DA ALEGRIA</t>
  </si>
  <si>
    <t>INSTITUTO SOCIAL IDE BR</t>
  </si>
  <si>
    <t>INSTITUTO IMPROVAVEIS DA VIDA</t>
  </si>
  <si>
    <t>INSTITUTO DE DESENVOLVIMENTO SOCIOAMBIENTAL JOAO DE BARRO</t>
  </si>
  <si>
    <t>Instituto Josefina Bakhita</t>
  </si>
  <si>
    <t>Instituto judo regastando vidas</t>
  </si>
  <si>
    <t>INSTITUTO LAR - LEVANTE, ANDE E RECOMECE</t>
  </si>
  <si>
    <t>Instituto Mais Mulher</t>
  </si>
  <si>
    <t>Instituto Mais Vida</t>
  </si>
  <si>
    <t>Instituto Marcinho Megas Kamaradas</t>
  </si>
  <si>
    <t>Instituto Maria Eduarda</t>
  </si>
  <si>
    <t>INSTITUTO MISSIONARIO METAMORFOSE</t>
  </si>
  <si>
    <t>Associação Instituto Moriá</t>
  </si>
  <si>
    <t>INSTITUTO MUNDIAL SAO LAZARO DE APOIO A CRIANCA E ADOLESCENTE</t>
  </si>
  <si>
    <t>Instituto de Estudos e Preservação das Culturas Indê­genas Brasileiras</t>
  </si>
  <si>
    <t>INSTITUTO NOVO HORIZONTE - INH</t>
  </si>
  <si>
    <t>INSTITUTO SOCIAL NOVOLHAR</t>
  </si>
  <si>
    <t>Instituto Social Cultural de Apoio à Vida Padre Alcides Tres</t>
  </si>
  <si>
    <t>Centro de Qualificação Inicial, Continuada e Profissional Instituto Pertencer Carfer</t>
  </si>
  <si>
    <t>INSTITUTO PRETA VELHA</t>
  </si>
  <si>
    <t>INSTITUTO PRIMEIRO ESTÁGIO DE ESPORTE CULTURA E EDUCAÇÃO</t>
  </si>
  <si>
    <t>Instituto Rastro</t>
  </si>
  <si>
    <t>INSTITUTO REDENCAO</t>
  </si>
  <si>
    <t>INSTITUTO REVIVER MIRAI MG</t>
  </si>
  <si>
    <t>INSTITUTO RIPAXOTE DE CULTURA</t>
  </si>
  <si>
    <t>Instituto Saint Nicholas CARE</t>
  </si>
  <si>
    <t>Instituto São Jorge</t>
  </si>
  <si>
    <t>INSTITUTO SEJA LUZ, YURI REIS</t>
  </si>
  <si>
    <t>INSTITUTO SEMA SEMEANDO AMOR, TRANSFORMANDO VIDAS</t>
  </si>
  <si>
    <t>Projeto Sitio Cipó</t>
  </si>
  <si>
    <t>Instituto Silveira Marques</t>
  </si>
  <si>
    <t>INSTITUTO SOCIAL AGATHA EM DEFESA DA MULHER</t>
  </si>
  <si>
    <t>INSTITUTO SOCIAL, ANA MARIA SANTOS - (INSTITUTO MAEZONA)</t>
  </si>
  <si>
    <t>Instituto Social Kadosh</t>
  </si>
  <si>
    <t>Instituto Socioemocional Irmãs Coach</t>
  </si>
  <si>
    <t>INSTITUTO DE SOLIDARIEDADE E RESGATE DA CIDADANIA RUMO AO FUTURO</t>
  </si>
  <si>
    <t>Instituto Sublim</t>
  </si>
  <si>
    <t>ASSOCIACAO INSTITUTO TRANSFORMAR</t>
  </si>
  <si>
    <t>ASSOCIACAO DO INSTITUTO ULLY</t>
  </si>
  <si>
    <t>INSTITUTO MIGUEL FERNANDES TORRES</t>
  </si>
  <si>
    <t>Instituto ebenézer vidas</t>
  </si>
  <si>
    <t>Instituto você em cena</t>
  </si>
  <si>
    <t>Instituto Mover Vidas</t>
  </si>
  <si>
    <t>Associação Instituto de Mulheres Negras Herdeiras de Candaces</t>
  </si>
  <si>
    <t>Instututo cultural e social colorado</t>
  </si>
  <si>
    <t>Instituto Gerando Sonhos</t>
  </si>
  <si>
    <t>Instituto Pro Mais</t>
  </si>
  <si>
    <t>Instituto Street Tent</t>
  </si>
  <si>
    <t>Instituto verde Criando vidas</t>
  </si>
  <si>
    <t>Instituto Social Interliga</t>
  </si>
  <si>
    <t>Investidores da esperança</t>
  </si>
  <si>
    <t>INSTITUTO PASSO DE ANJO</t>
  </si>
  <si>
    <t>INSTITUTO ROSEMERE CHAVES</t>
  </si>
  <si>
    <t>INSTITUTO RESGATA CIDADAO</t>
  </si>
  <si>
    <t>Instituto S.O.S Periferia</t>
  </si>
  <si>
    <t>Instituto Semear Plantar e Transformar</t>
  </si>
  <si>
    <t>INSTITUTO Socioambiental das vertentes</t>
  </si>
  <si>
    <t>iNSTITUTO VIVER A VIDA</t>
  </si>
  <si>
    <t>Organização da Sociedade Civil Izaias Luzia da Silva</t>
  </si>
  <si>
    <t>Casa das Juventudes / Associação Santo Agostinho</t>
  </si>
  <si>
    <t>JB AGUIA INSTITUTO DE APOIO SOCIAL</t>
  </si>
  <si>
    <t>Associação Civil Projeto Juventude Esperança do Amanhã</t>
  </si>
  <si>
    <t>Jiu-Jitsu Para Todos</t>
  </si>
  <si>
    <t>Projeto Ondas</t>
  </si>
  <si>
    <t>Convivência de Convivência Social do Recife</t>
  </si>
  <si>
    <t>Oscip Jovem Sertão</t>
  </si>
  <si>
    <t>Jovem vida plena</t>
  </si>
  <si>
    <t>Futsal</t>
  </si>
  <si>
    <t>Juventude Raça</t>
  </si>
  <si>
    <t>INSTITUTO DE ASSISTENCIA A VIDA KASA DI SARDINHA</t>
  </si>
  <si>
    <t>Instituto Katiana Pena</t>
  </si>
  <si>
    <t>Kilombeco</t>
  </si>
  <si>
    <t>Lapidando Talentos na Quebrada - ( Alterando para Projeto Base)</t>
  </si>
  <si>
    <t>INSTITUTO DE URBANISMO ECOSSISTEMICO - LAURB</t>
  </si>
  <si>
    <t>Associação Semeando Amor</t>
  </si>
  <si>
    <t>Lia gerando vidas</t>
  </si>
  <si>
    <t>Lions Clube de Natal Futuras Gerações</t>
  </si>
  <si>
    <t>ASSOCIACAO INSTITUTO CULTURA QUEREMOS FAZER</t>
  </si>
  <si>
    <t>Lomar lar aonde mora o amor</t>
  </si>
  <si>
    <t>MAAC - Movimento de Articulação Ambiental e Cultural</t>
  </si>
  <si>
    <t>Maanaim ação social</t>
  </si>
  <si>
    <t>Neimar Tavares Silva Júnior</t>
  </si>
  <si>
    <t>M.A.L.O.C.A.( Movimento Articulado Libertário Organizado em prol da Cidadania e do Apoio Social)</t>
  </si>
  <si>
    <t>Associação Projeto Maltrapilho</t>
  </si>
  <si>
    <t>Instituto Mandaver</t>
  </si>
  <si>
    <t>Associação mão no arado</t>
  </si>
  <si>
    <t>Associação Comunitária Maria João de Deus</t>
  </si>
  <si>
    <t>Associação EMAÚS</t>
  </si>
  <si>
    <t>Meninos da bola</t>
  </si>
  <si>
    <t>Missão Casa Gaio</t>
  </si>
  <si>
    <t>Missão Ebede Meleque</t>
  </si>
  <si>
    <t>Instituto Misturaí</t>
  </si>
  <si>
    <t>Motirô</t>
  </si>
  <si>
    <t>Associação Brasileira Feminina de Bodyboarding</t>
  </si>
  <si>
    <t>Movimentando Vidas</t>
  </si>
  <si>
    <t>Mulheres Arretadas</t>
  </si>
  <si>
    <t>INSTITUTO BENEFICENTE MULHERES EM ACAO</t>
  </si>
  <si>
    <t>Mulheres em Movimento</t>
  </si>
  <si>
    <t>Multiplicar o amor incluir o saber</t>
  </si>
  <si>
    <t>RONGO-RJ - Associação Região de Oficina Nacional de Grafite Organizado do Rio de Janeiro</t>
  </si>
  <si>
    <t>MutAmb</t>
  </si>
  <si>
    <t>Associação Cultural Educacional e Esportiva Na Ponta dos Pés</t>
  </si>
  <si>
    <t>Nucleo de Apoio a Comunidades</t>
  </si>
  <si>
    <t>Projeto Amor e Esperança/ Associação Construindo a Cidadania</t>
  </si>
  <si>
    <t>Associação de Moradores da Rua Travassos</t>
  </si>
  <si>
    <t>Associação Núcleo de Educação Comunitária do Coroadinho</t>
  </si>
  <si>
    <t>Associação de Mulheres Negras do Acre e seus Apoiadores</t>
  </si>
  <si>
    <t>INSTITUTO CRESCENDO EM DEUS</t>
  </si>
  <si>
    <t>Instituto Nova Chance</t>
  </si>
  <si>
    <t>Associação Comunitária de Construção Novo Amanhecer</t>
  </si>
  <si>
    <t>Organização Novos Herdeiros Humanísticos</t>
  </si>
  <si>
    <t>Núcleo de Mulheres do Rosarinho</t>
  </si>
  <si>
    <t>Instituto de Capacitação e Ação Social O Grito</t>
  </si>
  <si>
    <t>Instituto Portal Social da Ponte</t>
  </si>
  <si>
    <t>O Bom Samaritano Contagem</t>
  </si>
  <si>
    <t>Coletivo Olhando pra Frente</t>
  </si>
  <si>
    <t>Associação Projeto Surfar</t>
  </si>
  <si>
    <t>Associação Integrando e Construindo o Conhecimento-AICC</t>
  </si>
  <si>
    <t>Ong casa da vovó  chica</t>
  </si>
  <si>
    <t>Colaí Movimento de Cultura</t>
  </si>
  <si>
    <t>Sociedade União da Vila dos Eucaliptos - SUVE</t>
  </si>
  <si>
    <t>ONG instituto vitória de Sá</t>
  </si>
  <si>
    <t>Brincar e aprender</t>
  </si>
  <si>
    <t>Instituto Feliz Cidade</t>
  </si>
  <si>
    <t>Voluntários Fazendo Criança Sorrir</t>
  </si>
  <si>
    <t>Papo Solidário</t>
  </si>
  <si>
    <t>Jampa Invisível</t>
  </si>
  <si>
    <t>Projeto Assistencial Sementes de Esperança</t>
  </si>
  <si>
    <t>Projeto Social Patrulha do Bem</t>
  </si>
  <si>
    <t>Pensando Bem</t>
  </si>
  <si>
    <t>Núcleo de Apoio ao Pequeno Cidadão</t>
  </si>
  <si>
    <t>Pereirinha Futebol Clube</t>
  </si>
  <si>
    <t>Pintando 7 Solidário</t>
  </si>
  <si>
    <t>Vila em Progresso</t>
  </si>
  <si>
    <t>plojeto social SIM eu sou de Santa</t>
  </si>
  <si>
    <t>Associação Projeto Pró Bem</t>
  </si>
  <si>
    <t>INSTITUTO GILGAL</t>
  </si>
  <si>
    <t>Projeto Abraço Amigas do Bem</t>
  </si>
  <si>
    <t>Amaralimpa</t>
  </si>
  <si>
    <t>Projeto Avelino</t>
  </si>
  <si>
    <t>Projeto Bayernzinho</t>
  </si>
  <si>
    <t>Projeto Ciclo Solidário</t>
  </si>
  <si>
    <t>Instituto Projeto Cria - Cultura e Educação</t>
  </si>
  <si>
    <t>Projeto Criança Feliz Itaquera</t>
  </si>
  <si>
    <t>Projeto Cultura e Cidadania Leo do Pife</t>
  </si>
  <si>
    <t>Associação Estrelas do Amanhã</t>
  </si>
  <si>
    <t>Família Lanatanpa</t>
  </si>
  <si>
    <t>Associação Arte de Amar</t>
  </si>
  <si>
    <t>Projeto flores do bem</t>
  </si>
  <si>
    <t>Centro de Ação Social/ Educação Profissional e Esportiva Garimpando Diamantes</t>
  </si>
  <si>
    <t>Geração GK</t>
  </si>
  <si>
    <t>Projeto Jovens em Ação</t>
  </si>
  <si>
    <t>Projeto milagres</t>
  </si>
  <si>
    <t>Projeto Nova Vida</t>
  </si>
  <si>
    <t>Instituto Sonhe</t>
  </si>
  <si>
    <t>Projeto Pequeninos para Cristo</t>
  </si>
  <si>
    <t>Associação Raízes de Gericinó</t>
  </si>
  <si>
    <t>Projeto Serventina</t>
  </si>
  <si>
    <t>Projeto Social Entrando na Linha</t>
  </si>
  <si>
    <t>Projeto social filhos da inclusão</t>
  </si>
  <si>
    <t>Projeto Social Indio Gladiador Palmeiras-BA</t>
  </si>
  <si>
    <t>Projeto Social Manassu , qual o mundo que eu quero?</t>
  </si>
  <si>
    <t>INSTITUTO SOCIAL DE ASSISTÊNCIA COMUNITÁRIA MÃO AMIGA</t>
  </si>
  <si>
    <t>Projeto Social Mãos na Comunidade</t>
  </si>
  <si>
    <t>Quilombo da Tuca</t>
  </si>
  <si>
    <t>Projeto Social Restaurar</t>
  </si>
  <si>
    <t>Associação Comunitaria Transformar</t>
  </si>
  <si>
    <t>Projeto social só Jesus salva</t>
  </si>
  <si>
    <t>Projeto solidário Maria Luiza</t>
  </si>
  <si>
    <t>Projeto Solidários</t>
  </si>
  <si>
    <t>Projeto sonhar e fazer acontecer</t>
  </si>
  <si>
    <t>Projeto TransformAção</t>
  </si>
  <si>
    <t>Projeto Viela</t>
  </si>
  <si>
    <t>Associação Comunitária Ágape Brazilian Doll</t>
  </si>
  <si>
    <t>Projeto Avante e Avante</t>
  </si>
  <si>
    <t>Projeto CABE +1</t>
  </si>
  <si>
    <t>Projeto crianca feliz  do pv</t>
  </si>
  <si>
    <t>Projeto quero ajudar</t>
  </si>
  <si>
    <t>União marcial Mauá</t>
  </si>
  <si>
    <t>Projeto Ternura</t>
  </si>
  <si>
    <t>Associação Prover</t>
  </si>
  <si>
    <t>Puro Amor</t>
  </si>
  <si>
    <t>INSTITUTO QUINTAL TIA JURA</t>
  </si>
  <si>
    <t>Assoc. C. Raio de Cristal</t>
  </si>
  <si>
    <t>INSTITUTO RAÍZES</t>
  </si>
  <si>
    <t>Instituto Recomeçar</t>
  </si>
  <si>
    <t>Recriando sorrisos</t>
  </si>
  <si>
    <t>INSTITUTO DE ATIVISMO COMUNITARIO - REDE MOBILIZE</t>
  </si>
  <si>
    <t>Rede Multilateral</t>
  </si>
  <si>
    <t>Rede Postinho de Saúde Organização de saúde preventiva multidisciplinar social</t>
  </si>
  <si>
    <t>Projeto Somar</t>
  </si>
  <si>
    <t>Instituto Resgatando a Essência</t>
  </si>
  <si>
    <t>Ong resgatando a inocencia</t>
  </si>
  <si>
    <t>INSTITUTO RESGATANDO VIDAS</t>
  </si>
  <si>
    <t>Instituto Resgatando Vidas para Vida</t>
  </si>
  <si>
    <t>Return Projects</t>
  </si>
  <si>
    <t>Instituto Reverbera</t>
  </si>
  <si>
    <t>Projeto Brejal</t>
  </si>
  <si>
    <t>Associação Um Chute para o futuro</t>
  </si>
  <si>
    <t>Instituto Rugby Para Todos</t>
  </si>
  <si>
    <t>Instituto Social de Educação da Saúde e Orientação Familiar</t>
  </si>
  <si>
    <t>Patronato Santana</t>
  </si>
  <si>
    <t>Instituto Pra Todo Mundo</t>
  </si>
  <si>
    <t>Santa Cruz Ponta da Serra</t>
  </si>
  <si>
    <t>projeto saude nos bairros</t>
  </si>
  <si>
    <t>SemeArt</t>
  </si>
  <si>
    <t>Semente Profissional</t>
  </si>
  <si>
    <t>sementes da fe</t>
  </si>
  <si>
    <t>Associação Sementes do Vale</t>
  </si>
  <si>
    <t>Associação Ser Cidadão</t>
  </si>
  <si>
    <t>Servindo Amor</t>
  </si>
  <si>
    <t>Associação Servos</t>
  </si>
  <si>
    <t>Instituto Transformação</t>
  </si>
  <si>
    <t>Sociedade Espírita Trabalho e Esperança</t>
  </si>
  <si>
    <t>Associação Beneficente Vivenda da Criança</t>
  </si>
  <si>
    <t>Sobreviventes da Periferia</t>
  </si>
  <si>
    <t>Instituto Somos Ágape</t>
  </si>
  <si>
    <t>Somos Todos Muribeca - STM</t>
  </si>
  <si>
    <t>Instituto Sonhar Alto</t>
  </si>
  <si>
    <t>INSTITUTO AMIGOS DA PERIFERIA</t>
  </si>
  <si>
    <t>INSTITUTO SOS IRMAOS CARENTES</t>
  </si>
  <si>
    <t>Instituto SOS Reviver</t>
  </si>
  <si>
    <t>Sossaojose</t>
  </si>
  <si>
    <t>Sou Mais Jf</t>
  </si>
  <si>
    <t>Subúrbio em ação</t>
  </si>
  <si>
    <t>INSTITUTO TCHIBUM</t>
  </si>
  <si>
    <t>Teatro Escola Sertão Vivo</t>
  </si>
  <si>
    <t>Tech Girls</t>
  </si>
  <si>
    <t>José Junior Teixeira</t>
  </si>
  <si>
    <t>Tererê Kids Project</t>
  </si>
  <si>
    <t>Terno Moçambique Estrela Guia</t>
  </si>
  <si>
    <t>Mão amiga</t>
  </si>
  <si>
    <t>Associação de Desenvolvimento sustentável Tio Henrique e CIA</t>
  </si>
  <si>
    <t>Associação Tonkiri Voa</t>
  </si>
  <si>
    <t>Associação Livre - Centro de Formação e Transformação Social (Transformar)</t>
  </si>
  <si>
    <t>Transformar</t>
  </si>
  <si>
    <t>Turma do sapo</t>
  </si>
  <si>
    <t>TV Periferia em Foco</t>
  </si>
  <si>
    <t>Projeto união parque</t>
  </si>
  <si>
    <t>INSTITUTO GERANDO FALCÕES - UNIDADE POÁ</t>
  </si>
  <si>
    <t>INSTITUTO GERANDO FALCÕES - UNIDADE FERRAZ</t>
  </si>
  <si>
    <t>Unificação das Quebradas</t>
  </si>
  <si>
    <t>Universus Esc Art Pod Art Cultural</t>
  </si>
  <si>
    <t>Instituto Usina dos Atos</t>
  </si>
  <si>
    <t>Instituto Inovação Sustentável - ONG Mensageiros da Esperança</t>
  </si>
  <si>
    <t>Vem ser Futsal</t>
  </si>
  <si>
    <t>INSTITUTO VIDA REAL</t>
  </si>
  <si>
    <t>Projeto Vidançar</t>
  </si>
  <si>
    <t>INSTITUTO VID'ART</t>
  </si>
  <si>
    <t>Vidas e Valores</t>
  </si>
  <si>
    <t>INSTITUTO VIDAS PELO FUTURO</t>
  </si>
  <si>
    <t>Vidas preciosas</t>
  </si>
  <si>
    <t>Vozes das Periferias</t>
  </si>
  <si>
    <t>INSTITUTO F.S.D.</t>
  </si>
  <si>
    <t>Instituto Zoe de Muriaé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</si>
</sst>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d/m/yyyy"/>
    <numFmt numFmtId="165" formatCode="mm/dd/yyyy\ hh:mm:ss"/>
  </numFmts>
  <fonts count="13" x14ac:knownFonts="1">
    <font>
      <sz val="10"/>
      <color rgb="FF000000"/>
      <name val="Arial"/>
      <scheme val="minor"/>
    </font>
    <font>
      <b/>
      <sz val="10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1"/>
      <color rgb="FFFFFFFF"/>
      <name val="Roboto"/>
    </font>
    <font>
      <sz val="10"/>
      <color theme="1"/>
      <name val="Roboto"/>
    </font>
    <font>
      <b/>
      <sz val="10"/>
      <color theme="0"/>
      <name val="Arial"/>
      <family val="2"/>
      <scheme val="minor"/>
    </font>
    <font>
      <u/>
      <sz val="10"/>
      <color rgb="FF0000FF"/>
      <name val="Arial"/>
      <family val="2"/>
    </font>
    <font>
      <sz val="10"/>
      <color rgb="FFFFFFFF"/>
      <name val="Roboto"/>
    </font>
    <font>
      <b/>
      <sz val="10"/>
      <color rgb="FF1155CC"/>
      <name val="Roboto"/>
    </font>
    <font>
      <sz val="10"/>
      <color theme="1"/>
      <name val="Bradesco Sans"/>
    </font>
    <font>
      <sz val="10"/>
      <color rgb="FF000000"/>
      <name val="Bradesco Sans"/>
    </font>
    <font>
      <b/>
      <sz val="10"/>
      <name val="Bradesco Sans"/>
    </font>
    <font>
      <sz val="10"/>
      <color rgb="FF000000"/>
      <name val="Arial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1A73E8"/>
        <bgColor rgb="FF1A73E8"/>
      </patternFill>
    </fill>
    <fill>
      <patternFill patternType="solid">
        <fgColor rgb="FFD9EAD3"/>
        <bgColor rgb="FFD9EAD3"/>
      </patternFill>
    </fill>
    <fill>
      <patternFill patternType="solid">
        <fgColor theme="6"/>
        <bgColor theme="6"/>
      </patternFill>
    </fill>
    <fill>
      <patternFill patternType="solid">
        <fgColor theme="9"/>
        <bgColor theme="9"/>
      </patternFill>
    </fill>
    <fill>
      <patternFill patternType="solid">
        <fgColor rgb="FFDAEDFF"/>
        <bgColor rgb="FFDAEDFF"/>
      </patternFill>
    </fill>
    <fill>
      <patternFill patternType="solid">
        <fgColor rgb="FF00B0B0"/>
        <bgColor rgb="FF00B0B0"/>
      </patternFill>
    </fill>
    <fill>
      <patternFill patternType="solid">
        <fgColor theme="2" tint="-0.34998626667073579"/>
        <bgColor rgb="FFDAEDFF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rgb="FF00B0B0"/>
      </left>
      <right style="thin">
        <color rgb="FF00B0B0"/>
      </right>
      <top style="thin">
        <color rgb="FF00B0B0"/>
      </top>
      <bottom style="thin">
        <color rgb="FF00B0B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quotePrefix="1" applyFont="1"/>
    <xf numFmtId="14" fontId="2" fillId="0" borderId="0" xfId="0" applyNumberFormat="1" applyFont="1"/>
    <xf numFmtId="164" fontId="2" fillId="0" borderId="0" xfId="0" applyNumberFormat="1" applyFont="1"/>
    <xf numFmtId="3" fontId="2" fillId="0" borderId="0" xfId="0" applyNumberFormat="1" applyFont="1"/>
    <xf numFmtId="0" fontId="3" fillId="2" borderId="0" xfId="0" applyFont="1" applyFill="1"/>
    <xf numFmtId="165" fontId="4" fillId="0" borderId="0" xfId="0" applyNumberFormat="1" applyFont="1"/>
    <xf numFmtId="0" fontId="4" fillId="0" borderId="0" xfId="0" applyFont="1"/>
    <xf numFmtId="0" fontId="4" fillId="0" borderId="0" xfId="0" applyFont="1" applyAlignment="1">
      <alignment wrapText="1"/>
    </xf>
    <xf numFmtId="0" fontId="4" fillId="3" borderId="0" xfId="0" applyFont="1" applyFill="1"/>
    <xf numFmtId="0" fontId="2" fillId="4" borderId="0" xfId="0" applyFont="1" applyFill="1"/>
    <xf numFmtId="0" fontId="5" fillId="5" borderId="0" xfId="0" applyFont="1" applyFill="1"/>
    <xf numFmtId="0" fontId="6" fillId="0" borderId="0" xfId="0" applyFont="1"/>
    <xf numFmtId="0" fontId="8" fillId="6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7" fillId="7" borderId="1" xfId="0" applyFont="1" applyFill="1" applyBorder="1" applyAlignment="1">
      <alignment vertical="center"/>
    </xf>
    <xf numFmtId="0" fontId="9" fillId="9" borderId="2" xfId="0" applyFont="1" applyFill="1" applyBorder="1"/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10" fillId="0" borderId="0" xfId="0" applyFont="1"/>
    <xf numFmtId="0" fontId="9" fillId="0" borderId="0" xfId="0" applyFont="1"/>
    <xf numFmtId="0" fontId="11" fillId="8" borderId="2" xfId="0" applyFont="1" applyFill="1" applyBorder="1" applyAlignment="1">
      <alignment horizontal="center" vertical="center"/>
    </xf>
    <xf numFmtId="0" fontId="11" fillId="8" borderId="2" xfId="0" applyFont="1" applyFill="1" applyBorder="1" applyAlignment="1">
      <alignment horizontal="left" vertical="center"/>
    </xf>
    <xf numFmtId="0" fontId="9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9" fillId="10" borderId="2" xfId="0" applyFont="1" applyFill="1" applyBorder="1" applyAlignment="1">
      <alignment horizontal="left"/>
    </xf>
    <xf numFmtId="0" fontId="9" fillId="10" borderId="2" xfId="0" applyFont="1" applyFill="1" applyBorder="1"/>
    <xf numFmtId="0" fontId="9" fillId="10" borderId="2" xfId="0" applyFont="1" applyFill="1" applyBorder="1" applyAlignment="1">
      <alignment horizontal="center"/>
    </xf>
    <xf numFmtId="0" fontId="0" fillId="11" borderId="0" xfId="0" applyFill="1"/>
    <xf numFmtId="0" fontId="10" fillId="11" borderId="0" xfId="0" applyFont="1" applyFill="1"/>
  </cellXfs>
  <cellStyles count="1">
    <cellStyle name="Normal" xfId="0" builtinId="0"/>
  </cellStyles>
  <dxfs count="12"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b/>
        <color rgb="FF000000"/>
      </font>
      <fill>
        <patternFill patternType="solid">
          <fgColor rgb="FFD9D9D9"/>
          <bgColor rgb="FFD9D9D9"/>
        </patternFill>
      </fill>
      <border>
        <top style="double">
          <color rgb="FF000000"/>
        </top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FFFFFF"/>
          <bgColor rgb="FFFFFFFF"/>
        </patternFill>
      </fill>
    </dxf>
  </dxfs>
  <tableStyles count="1" defaultTableStyle="TableStyleMedium2" defaultPivotStyle="PivotStyleLight16">
    <tableStyle name="Google Sheets Pivot Table Style" table="0" count="12" xr9:uid="{00000000-0011-0000-FFFF-FFFF00000000}">
      <tableStyleElement type="wholeTable" dxfId="11"/>
      <tableStyleElement type="headerRow" dxfId="10"/>
      <tableStyleElement type="totalRow" dxfId="9"/>
      <tableStyleElement type="firstSubtotalRow" dxfId="8"/>
      <tableStyleElement type="secondSubtotalRow" dxfId="7"/>
      <tableStyleElement type="thirdSubtotalRow" dxfId="6"/>
      <tableStyleElement type="firstColumnSubheading" dxfId="5"/>
      <tableStyleElement type="secondColumnSubheading" dxfId="4"/>
      <tableStyleElement type="thirdColumnSubheading" dxfId="3"/>
      <tableStyleElement type="firstRowSubheading" dxfId="2"/>
      <tableStyleElement type="secondRowSubheading" dxfId="1"/>
      <tableStyleElement type="thir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47625</xdr:rowOff>
    </xdr:from>
    <xdr:ext cx="304800" cy="304800"/>
    <xdr:pic>
      <xdr:nvPicPr>
        <xdr:cNvPr id="2" name="image4.png" title="coeff__dataSourceIm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0</xdr:row>
      <xdr:rowOff>114300</xdr:rowOff>
    </xdr:from>
    <xdr:ext cx="1590675" cy="190500"/>
    <xdr:pic>
      <xdr:nvPicPr>
        <xdr:cNvPr id="3" name="image2.png" title="coeff__poweredIm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47625</xdr:rowOff>
    </xdr:from>
    <xdr:ext cx="304800" cy="304800"/>
    <xdr:pic>
      <xdr:nvPicPr>
        <xdr:cNvPr id="2" name="image4.png" title="coeff__dataSourceIm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0</xdr:row>
      <xdr:rowOff>114300</xdr:rowOff>
    </xdr:from>
    <xdr:ext cx="1590675" cy="190500"/>
    <xdr:pic>
      <xdr:nvPicPr>
        <xdr:cNvPr id="3" name="image2.png" title="coeff__poweredIm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47625</xdr:rowOff>
    </xdr:from>
    <xdr:ext cx="304800" cy="304800"/>
    <xdr:pic>
      <xdr:nvPicPr>
        <xdr:cNvPr id="2" name="image4.png" title="coeff__dataSourceIm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0</xdr:row>
      <xdr:rowOff>114300</xdr:rowOff>
    </xdr:from>
    <xdr:ext cx="1590675" cy="190500"/>
    <xdr:pic>
      <xdr:nvPicPr>
        <xdr:cNvPr id="3" name="image2.png" title="coeff__poweredIm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47625</xdr:rowOff>
    </xdr:from>
    <xdr:ext cx="304800" cy="304800"/>
    <xdr:pic>
      <xdr:nvPicPr>
        <xdr:cNvPr id="2" name="image4.png" title="coeff__dataSourceIm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0</xdr:row>
      <xdr:rowOff>114300</xdr:rowOff>
    </xdr:from>
    <xdr:ext cx="1590675" cy="190500"/>
    <xdr:pic>
      <xdr:nvPicPr>
        <xdr:cNvPr id="3" name="image2.png" title="coeff__poweredIm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47625</xdr:rowOff>
    </xdr:from>
    <xdr:ext cx="304800" cy="304800"/>
    <xdr:pic>
      <xdr:nvPicPr>
        <xdr:cNvPr id="2" name="image4.png" title="coeff__dataSourceIm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0</xdr:row>
      <xdr:rowOff>114300</xdr:rowOff>
    </xdr:from>
    <xdr:ext cx="1590675" cy="190500"/>
    <xdr:pic>
      <xdr:nvPicPr>
        <xdr:cNvPr id="3" name="image2.png" title="coeff__poweredIm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47625</xdr:rowOff>
    </xdr:from>
    <xdr:ext cx="304800" cy="304800"/>
    <xdr:pic>
      <xdr:nvPicPr>
        <xdr:cNvPr id="2" name="image4.png" title="coeff__dataSourceIm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0</xdr:row>
      <xdr:rowOff>114300</xdr:rowOff>
    </xdr:from>
    <xdr:ext cx="1590675" cy="190500"/>
    <xdr:pic>
      <xdr:nvPicPr>
        <xdr:cNvPr id="3" name="image2.png" title="coeff__poweredIm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47625</xdr:rowOff>
    </xdr:from>
    <xdr:ext cx="304800" cy="304800"/>
    <xdr:pic>
      <xdr:nvPicPr>
        <xdr:cNvPr id="2" name="image4.png" title="coeff__dataSourceIm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0</xdr:row>
      <xdr:rowOff>114300</xdr:rowOff>
    </xdr:from>
    <xdr:ext cx="1590675" cy="190500"/>
    <xdr:pic>
      <xdr:nvPicPr>
        <xdr:cNvPr id="3" name="image2.png" title="coeff__poweredIm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47625</xdr:rowOff>
    </xdr:from>
    <xdr:ext cx="304800" cy="304800"/>
    <xdr:pic>
      <xdr:nvPicPr>
        <xdr:cNvPr id="2" name="image4.png" title="coeff__dataSourceIm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0</xdr:row>
      <xdr:rowOff>114300</xdr:rowOff>
    </xdr:from>
    <xdr:ext cx="1590675" cy="190500"/>
    <xdr:pic>
      <xdr:nvPicPr>
        <xdr:cNvPr id="3" name="image2.png" title="coeff__poweredIm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47625</xdr:rowOff>
    </xdr:from>
    <xdr:ext cx="304800" cy="304800"/>
    <xdr:pic>
      <xdr:nvPicPr>
        <xdr:cNvPr id="2" name="image4.png" title="coeff__dataSourceIm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0</xdr:row>
      <xdr:rowOff>114300</xdr:rowOff>
    </xdr:from>
    <xdr:ext cx="1590675" cy="190500"/>
    <xdr:pic>
      <xdr:nvPicPr>
        <xdr:cNvPr id="3" name="image2.png" title="coeff__poweredIm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47625</xdr:rowOff>
    </xdr:from>
    <xdr:ext cx="304800" cy="304800"/>
    <xdr:pic>
      <xdr:nvPicPr>
        <xdr:cNvPr id="2" name="image4.png" title="coeff__dataSourceIm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0</xdr:row>
      <xdr:rowOff>114300</xdr:rowOff>
    </xdr:from>
    <xdr:ext cx="1590675" cy="190500"/>
    <xdr:pic>
      <xdr:nvPicPr>
        <xdr:cNvPr id="3" name="image2.png" title="coeff__poweredIm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M141"/>
  <sheetViews>
    <sheetView workbookViewId="0">
      <pane ySplit="1" topLeftCell="A2" activePane="bottomLeft" state="frozen"/>
      <selection pane="bottomLeft" activeCell="B3" sqref="B3"/>
    </sheetView>
  </sheetViews>
  <sheetFormatPr defaultColWidth="12.6328125" defaultRowHeight="15.75" customHeight="1" x14ac:dyDescent="0.25"/>
  <sheetData>
    <row r="1" spans="1:39" ht="13" x14ac:dyDescent="0.3">
      <c r="A1" s="1" t="s">
        <v>0</v>
      </c>
      <c r="B1" s="1" t="s">
        <v>382</v>
      </c>
      <c r="C1" s="1" t="s">
        <v>383</v>
      </c>
      <c r="D1" s="1" t="s">
        <v>384</v>
      </c>
      <c r="E1" s="1" t="s">
        <v>385</v>
      </c>
      <c r="F1" s="1" t="s">
        <v>386</v>
      </c>
      <c r="G1" s="1" t="s">
        <v>387</v>
      </c>
      <c r="H1" s="1" t="s">
        <v>388</v>
      </c>
      <c r="I1" s="1" t="s">
        <v>389</v>
      </c>
      <c r="J1" s="1" t="s">
        <v>390</v>
      </c>
      <c r="K1" s="1" t="s">
        <v>391</v>
      </c>
      <c r="L1" s="1" t="s">
        <v>392</v>
      </c>
      <c r="M1" s="1" t="s">
        <v>393</v>
      </c>
      <c r="N1" s="1" t="s">
        <v>394</v>
      </c>
      <c r="O1" s="1" t="s">
        <v>395</v>
      </c>
      <c r="P1" s="1" t="s">
        <v>396</v>
      </c>
      <c r="Q1" s="1" t="s">
        <v>397</v>
      </c>
      <c r="R1" s="1" t="s">
        <v>398</v>
      </c>
      <c r="S1" s="1" t="s">
        <v>399</v>
      </c>
      <c r="T1" s="1" t="s">
        <v>400</v>
      </c>
      <c r="U1" s="1" t="s">
        <v>401</v>
      </c>
      <c r="V1" s="1" t="s">
        <v>402</v>
      </c>
      <c r="W1" s="1" t="s">
        <v>403</v>
      </c>
      <c r="X1" s="1" t="s">
        <v>404</v>
      </c>
      <c r="Y1" s="1" t="s">
        <v>405</v>
      </c>
      <c r="Z1" s="1" t="s">
        <v>406</v>
      </c>
      <c r="AA1" s="1" t="s">
        <v>407</v>
      </c>
      <c r="AB1" s="1" t="s">
        <v>408</v>
      </c>
      <c r="AC1" s="1" t="s">
        <v>409</v>
      </c>
      <c r="AD1" s="1" t="s">
        <v>410</v>
      </c>
      <c r="AE1" s="1" t="s">
        <v>411</v>
      </c>
      <c r="AF1" s="1" t="s">
        <v>412</v>
      </c>
      <c r="AG1" s="1" t="s">
        <v>413</v>
      </c>
      <c r="AH1" s="1" t="s">
        <v>414</v>
      </c>
      <c r="AI1" s="1" t="s">
        <v>415</v>
      </c>
      <c r="AJ1" s="1" t="s">
        <v>416</v>
      </c>
      <c r="AK1" s="1" t="s">
        <v>417</v>
      </c>
      <c r="AL1" s="1" t="s">
        <v>418</v>
      </c>
      <c r="AM1" s="1" t="s">
        <v>419</v>
      </c>
    </row>
    <row r="2" spans="1:39" ht="15.75" customHeight="1" x14ac:dyDescent="0.25">
      <c r="A2" s="2" t="s">
        <v>2</v>
      </c>
      <c r="B2" s="2" t="s">
        <v>420</v>
      </c>
      <c r="C2" s="2" t="s">
        <v>421</v>
      </c>
      <c r="D2" s="2" t="s">
        <v>422</v>
      </c>
      <c r="E2" s="2" t="s">
        <v>423</v>
      </c>
      <c r="G2" s="2" t="s">
        <v>424</v>
      </c>
      <c r="H2" s="2">
        <v>31973117450</v>
      </c>
      <c r="I2" s="4">
        <v>34852</v>
      </c>
      <c r="J2" s="2">
        <v>26</v>
      </c>
      <c r="K2" s="2" t="s">
        <v>425</v>
      </c>
      <c r="L2" s="6">
        <v>12243828626</v>
      </c>
      <c r="R2" s="2" t="s">
        <v>7</v>
      </c>
      <c r="T2" s="2" t="s">
        <v>426</v>
      </c>
      <c r="V2" s="2" t="s">
        <v>427</v>
      </c>
      <c r="W2" s="2" t="s">
        <v>428</v>
      </c>
      <c r="X2" s="2" t="s">
        <v>429</v>
      </c>
      <c r="Y2" s="2" t="s">
        <v>430</v>
      </c>
      <c r="Z2" s="2" t="s">
        <v>431</v>
      </c>
      <c r="AA2" s="2">
        <v>214</v>
      </c>
      <c r="AC2" s="2" t="s">
        <v>15</v>
      </c>
      <c r="AD2" s="2" t="s">
        <v>432</v>
      </c>
      <c r="AE2" s="2" t="s">
        <v>13</v>
      </c>
      <c r="AF2" s="2" t="s">
        <v>433</v>
      </c>
      <c r="AG2" s="2" t="s">
        <v>434</v>
      </c>
      <c r="AH2" s="2" t="s">
        <v>435</v>
      </c>
      <c r="AI2" s="2">
        <v>4</v>
      </c>
    </row>
    <row r="3" spans="1:39" ht="15.75" customHeight="1" x14ac:dyDescent="0.25">
      <c r="A3" s="2" t="s">
        <v>2</v>
      </c>
      <c r="B3" s="2" t="s">
        <v>436</v>
      </c>
      <c r="C3" s="2" t="s">
        <v>437</v>
      </c>
      <c r="D3" s="2" t="s">
        <v>438</v>
      </c>
      <c r="E3" s="2" t="s">
        <v>423</v>
      </c>
      <c r="G3" s="2" t="s">
        <v>439</v>
      </c>
      <c r="H3" s="3" t="s">
        <v>16</v>
      </c>
      <c r="I3" s="4">
        <v>31866</v>
      </c>
      <c r="J3" s="2">
        <v>34</v>
      </c>
      <c r="K3" s="3" t="s">
        <v>440</v>
      </c>
      <c r="L3" s="6">
        <v>34504841843</v>
      </c>
      <c r="R3" s="2" t="s">
        <v>7</v>
      </c>
      <c r="T3" s="2" t="s">
        <v>426</v>
      </c>
      <c r="V3" s="2" t="s">
        <v>441</v>
      </c>
      <c r="W3" s="2" t="s">
        <v>428</v>
      </c>
      <c r="X3" s="2" t="s">
        <v>429</v>
      </c>
      <c r="Y3" s="2" t="s">
        <v>430</v>
      </c>
      <c r="Z3" s="2" t="s">
        <v>442</v>
      </c>
      <c r="AA3" s="2">
        <v>98</v>
      </c>
      <c r="AC3" s="2" t="s">
        <v>18</v>
      </c>
      <c r="AD3" s="2" t="s">
        <v>443</v>
      </c>
      <c r="AE3" s="2" t="s">
        <v>17</v>
      </c>
      <c r="AF3" s="2" t="s">
        <v>433</v>
      </c>
      <c r="AG3" s="2" t="s">
        <v>444</v>
      </c>
      <c r="AH3" s="2" t="s">
        <v>435</v>
      </c>
      <c r="AI3" s="2">
        <v>4</v>
      </c>
    </row>
    <row r="4" spans="1:39" ht="15.75" customHeight="1" x14ac:dyDescent="0.25">
      <c r="A4" s="2" t="s">
        <v>2</v>
      </c>
      <c r="B4" s="2" t="s">
        <v>445</v>
      </c>
      <c r="C4" s="2" t="s">
        <v>446</v>
      </c>
      <c r="D4" s="2" t="s">
        <v>447</v>
      </c>
      <c r="E4" s="2" t="s">
        <v>423</v>
      </c>
      <c r="G4" s="2" t="s">
        <v>448</v>
      </c>
      <c r="H4" s="3" t="s">
        <v>449</v>
      </c>
      <c r="I4" s="4">
        <v>28030</v>
      </c>
      <c r="J4" s="2">
        <v>45</v>
      </c>
      <c r="K4" s="3" t="s">
        <v>450</v>
      </c>
      <c r="L4" s="6">
        <v>8036727722</v>
      </c>
      <c r="M4" s="2" t="s">
        <v>451</v>
      </c>
      <c r="T4" s="2" t="s">
        <v>426</v>
      </c>
      <c r="V4" s="2" t="s">
        <v>427</v>
      </c>
      <c r="W4" s="2" t="s">
        <v>428</v>
      </c>
      <c r="X4" s="2" t="s">
        <v>429</v>
      </c>
      <c r="Y4" s="2" t="s">
        <v>430</v>
      </c>
      <c r="Z4" s="2" t="s">
        <v>452</v>
      </c>
      <c r="AC4" s="2" t="s">
        <v>11</v>
      </c>
      <c r="AD4" s="2" t="s">
        <v>453</v>
      </c>
      <c r="AE4" s="2" t="s">
        <v>9</v>
      </c>
      <c r="AF4" s="2" t="s">
        <v>454</v>
      </c>
      <c r="AG4" s="2" t="s">
        <v>444</v>
      </c>
      <c r="AH4" s="2" t="s">
        <v>435</v>
      </c>
      <c r="AI4" s="2">
        <v>5</v>
      </c>
    </row>
    <row r="5" spans="1:39" ht="15.75" customHeight="1" x14ac:dyDescent="0.25">
      <c r="A5" s="2" t="s">
        <v>2</v>
      </c>
      <c r="B5" s="2" t="s">
        <v>455</v>
      </c>
      <c r="C5" s="2" t="s">
        <v>456</v>
      </c>
      <c r="D5" s="2" t="s">
        <v>457</v>
      </c>
      <c r="E5" s="2" t="s">
        <v>423</v>
      </c>
      <c r="G5" s="2" t="s">
        <v>458</v>
      </c>
      <c r="H5" s="2">
        <v>82996419992</v>
      </c>
      <c r="I5" s="4">
        <v>30869</v>
      </c>
      <c r="J5" s="2">
        <v>37</v>
      </c>
      <c r="K5" s="3" t="s">
        <v>459</v>
      </c>
      <c r="L5" s="6">
        <v>5239578400</v>
      </c>
      <c r="M5" s="2" t="s">
        <v>460</v>
      </c>
      <c r="R5" s="2"/>
      <c r="T5" s="2" t="s">
        <v>461</v>
      </c>
      <c r="V5" s="2" t="s">
        <v>427</v>
      </c>
      <c r="W5" s="2" t="s">
        <v>428</v>
      </c>
      <c r="X5" s="2" t="s">
        <v>462</v>
      </c>
      <c r="Y5" s="2" t="s">
        <v>430</v>
      </c>
      <c r="Z5" s="2" t="s">
        <v>463</v>
      </c>
      <c r="AA5" s="2">
        <v>67</v>
      </c>
      <c r="AC5" s="2" t="s">
        <v>5</v>
      </c>
      <c r="AD5" s="2" t="s">
        <v>6</v>
      </c>
      <c r="AE5" s="2" t="s">
        <v>3</v>
      </c>
      <c r="AF5" s="2" t="s">
        <v>454</v>
      </c>
      <c r="AG5" s="2" t="s">
        <v>434</v>
      </c>
      <c r="AH5" s="2" t="s">
        <v>464</v>
      </c>
      <c r="AI5" s="2">
        <v>6</v>
      </c>
    </row>
    <row r="6" spans="1:39" ht="15.75" customHeight="1" x14ac:dyDescent="0.25">
      <c r="A6" s="2" t="s">
        <v>2</v>
      </c>
      <c r="B6" s="2" t="s">
        <v>465</v>
      </c>
      <c r="C6" s="2" t="s">
        <v>466</v>
      </c>
      <c r="D6" s="2" t="s">
        <v>467</v>
      </c>
      <c r="E6" s="2" t="s">
        <v>423</v>
      </c>
      <c r="G6" s="2"/>
      <c r="H6" s="2" t="s">
        <v>468</v>
      </c>
      <c r="I6" s="4">
        <v>35163</v>
      </c>
      <c r="J6" s="2">
        <v>25</v>
      </c>
      <c r="K6" s="2">
        <v>285033130</v>
      </c>
      <c r="L6" s="6">
        <v>15678185799</v>
      </c>
      <c r="M6" s="2" t="s">
        <v>469</v>
      </c>
      <c r="R6" s="2" t="s">
        <v>7</v>
      </c>
      <c r="T6" s="2" t="s">
        <v>426</v>
      </c>
      <c r="V6" s="2" t="s">
        <v>427</v>
      </c>
      <c r="W6" s="2"/>
      <c r="X6" s="2"/>
      <c r="Y6" s="2"/>
      <c r="Z6" s="2" t="s">
        <v>470</v>
      </c>
      <c r="AA6" s="2">
        <v>48</v>
      </c>
      <c r="AC6" s="2" t="s">
        <v>11</v>
      </c>
      <c r="AD6" s="2" t="s">
        <v>471</v>
      </c>
      <c r="AE6" s="2" t="s">
        <v>9</v>
      </c>
      <c r="AF6" s="2" t="s">
        <v>454</v>
      </c>
      <c r="AG6" s="2" t="s">
        <v>472</v>
      </c>
      <c r="AH6" s="2" t="s">
        <v>473</v>
      </c>
      <c r="AI6" s="2">
        <v>8</v>
      </c>
    </row>
    <row r="7" spans="1:39" ht="15.75" customHeight="1" x14ac:dyDescent="0.25">
      <c r="A7" s="2" t="s">
        <v>2</v>
      </c>
      <c r="B7" s="2" t="s">
        <v>474</v>
      </c>
      <c r="C7" s="2" t="s">
        <v>475</v>
      </c>
      <c r="D7" s="2" t="s">
        <v>476</v>
      </c>
      <c r="E7" s="2" t="s">
        <v>423</v>
      </c>
      <c r="G7" s="2" t="s">
        <v>477</v>
      </c>
      <c r="H7" s="2">
        <v>11996124457</v>
      </c>
      <c r="I7" s="4">
        <v>31887</v>
      </c>
      <c r="J7" s="2">
        <v>34</v>
      </c>
      <c r="K7" s="2">
        <v>446821561</v>
      </c>
      <c r="L7" s="6">
        <v>23116132860</v>
      </c>
      <c r="M7" s="2"/>
      <c r="R7" s="2" t="s">
        <v>7</v>
      </c>
      <c r="T7" s="2" t="s">
        <v>426</v>
      </c>
      <c r="V7" s="2" t="s">
        <v>441</v>
      </c>
      <c r="W7" s="2" t="s">
        <v>428</v>
      </c>
      <c r="X7" s="2" t="s">
        <v>429</v>
      </c>
      <c r="Y7" s="2" t="s">
        <v>430</v>
      </c>
      <c r="Z7" s="2" t="s">
        <v>478</v>
      </c>
      <c r="AA7" s="2">
        <v>2</v>
      </c>
      <c r="AC7" s="2" t="s">
        <v>479</v>
      </c>
      <c r="AD7" s="2" t="s">
        <v>480</v>
      </c>
      <c r="AE7" s="2" t="s">
        <v>13</v>
      </c>
      <c r="AF7" s="2" t="s">
        <v>454</v>
      </c>
      <c r="AG7" s="2" t="s">
        <v>481</v>
      </c>
      <c r="AH7" s="2" t="s">
        <v>473</v>
      </c>
      <c r="AI7" s="2">
        <v>5</v>
      </c>
      <c r="AL7" s="2"/>
      <c r="AM7" s="2"/>
    </row>
    <row r="8" spans="1:39" ht="15.75" customHeight="1" x14ac:dyDescent="0.25">
      <c r="A8" s="2" t="s">
        <v>2</v>
      </c>
      <c r="B8" s="2" t="s">
        <v>482</v>
      </c>
      <c r="C8" s="2" t="s">
        <v>483</v>
      </c>
      <c r="D8" s="2" t="s">
        <v>484</v>
      </c>
      <c r="E8" s="2" t="s">
        <v>423</v>
      </c>
      <c r="G8" s="2" t="s">
        <v>485</v>
      </c>
      <c r="H8" s="2"/>
      <c r="I8" s="4">
        <v>25018</v>
      </c>
      <c r="J8" s="2">
        <v>53</v>
      </c>
      <c r="K8" s="2">
        <v>4473565</v>
      </c>
      <c r="L8" s="6">
        <v>68794878668</v>
      </c>
      <c r="M8" s="2" t="s">
        <v>486</v>
      </c>
      <c r="R8" s="2" t="s">
        <v>20</v>
      </c>
      <c r="T8" s="2" t="s">
        <v>461</v>
      </c>
      <c r="V8" s="2" t="s">
        <v>441</v>
      </c>
      <c r="W8" s="2" t="s">
        <v>428</v>
      </c>
      <c r="X8" s="2" t="s">
        <v>429</v>
      </c>
      <c r="Y8" s="2" t="s">
        <v>430</v>
      </c>
      <c r="Z8" s="2" t="s">
        <v>487</v>
      </c>
      <c r="AA8" s="2">
        <v>1</v>
      </c>
      <c r="AC8" s="2" t="s">
        <v>25</v>
      </c>
      <c r="AD8" s="2" t="s">
        <v>26</v>
      </c>
      <c r="AE8" s="2" t="s">
        <v>13</v>
      </c>
      <c r="AF8" s="2" t="s">
        <v>454</v>
      </c>
      <c r="AG8" s="2" t="s">
        <v>488</v>
      </c>
      <c r="AH8" s="2" t="s">
        <v>464</v>
      </c>
      <c r="AI8" s="2">
        <v>3</v>
      </c>
      <c r="AL8" s="2" t="s">
        <v>489</v>
      </c>
      <c r="AM8" s="2" t="s">
        <v>490</v>
      </c>
    </row>
    <row r="9" spans="1:39" ht="15.75" customHeight="1" x14ac:dyDescent="0.25">
      <c r="A9" s="2" t="s">
        <v>27</v>
      </c>
      <c r="B9" s="2" t="s">
        <v>491</v>
      </c>
      <c r="C9" s="2" t="s">
        <v>492</v>
      </c>
      <c r="D9" s="2" t="s">
        <v>493</v>
      </c>
      <c r="E9" s="2" t="s">
        <v>423</v>
      </c>
      <c r="F9" s="2" t="s">
        <v>494</v>
      </c>
      <c r="G9" s="2" t="s">
        <v>43</v>
      </c>
      <c r="H9" s="2">
        <v>31971831708</v>
      </c>
      <c r="I9" s="4">
        <v>30589</v>
      </c>
      <c r="J9" s="2">
        <v>38</v>
      </c>
      <c r="K9" s="2" t="s">
        <v>495</v>
      </c>
      <c r="L9" s="6">
        <v>1447066600</v>
      </c>
      <c r="M9" s="2" t="s">
        <v>496</v>
      </c>
      <c r="N9" s="2"/>
      <c r="R9" s="2" t="s">
        <v>7</v>
      </c>
      <c r="S9" s="2" t="s">
        <v>497</v>
      </c>
      <c r="Z9" s="2" t="s">
        <v>498</v>
      </c>
      <c r="AA9" s="2">
        <v>220</v>
      </c>
      <c r="AB9" s="2" t="s">
        <v>499</v>
      </c>
      <c r="AC9" s="2" t="s">
        <v>45</v>
      </c>
      <c r="AD9" s="2">
        <v>32145700</v>
      </c>
      <c r="AE9" s="2" t="s">
        <v>13</v>
      </c>
      <c r="AG9" s="2" t="s">
        <v>12</v>
      </c>
    </row>
    <row r="10" spans="1:39" ht="15.75" customHeight="1" x14ac:dyDescent="0.25">
      <c r="A10" s="2" t="s">
        <v>27</v>
      </c>
      <c r="B10" s="2" t="s">
        <v>500</v>
      </c>
      <c r="C10" s="2" t="s">
        <v>501</v>
      </c>
      <c r="D10" s="2" t="s">
        <v>502</v>
      </c>
      <c r="E10" s="2" t="s">
        <v>423</v>
      </c>
      <c r="F10" s="2" t="s">
        <v>503</v>
      </c>
      <c r="G10" s="2" t="s">
        <v>31</v>
      </c>
      <c r="H10" s="2">
        <v>84988613764</v>
      </c>
      <c r="I10" s="4">
        <v>29785</v>
      </c>
      <c r="J10" s="2">
        <v>40</v>
      </c>
      <c r="K10" s="2">
        <v>1914429</v>
      </c>
      <c r="L10" s="6">
        <v>853693498</v>
      </c>
      <c r="M10" s="2" t="s">
        <v>34</v>
      </c>
      <c r="N10" s="2" t="s">
        <v>34</v>
      </c>
      <c r="R10" s="2" t="s">
        <v>7</v>
      </c>
      <c r="S10" s="2" t="s">
        <v>37</v>
      </c>
      <c r="Z10" s="2" t="s">
        <v>504</v>
      </c>
      <c r="AA10" s="2">
        <v>10</v>
      </c>
      <c r="AC10" s="2" t="s">
        <v>33</v>
      </c>
      <c r="AD10" s="2" t="s">
        <v>505</v>
      </c>
      <c r="AE10" s="2" t="s">
        <v>32</v>
      </c>
      <c r="AG10" s="2" t="s">
        <v>12</v>
      </c>
    </row>
    <row r="11" spans="1:39" ht="15.75" customHeight="1" x14ac:dyDescent="0.25">
      <c r="A11" s="2" t="s">
        <v>27</v>
      </c>
      <c r="B11" s="2" t="s">
        <v>506</v>
      </c>
      <c r="C11" s="2" t="s">
        <v>507</v>
      </c>
      <c r="D11" s="2" t="s">
        <v>508</v>
      </c>
      <c r="E11" s="2" t="s">
        <v>423</v>
      </c>
      <c r="F11" s="2" t="s">
        <v>509</v>
      </c>
      <c r="G11" s="2" t="s">
        <v>35</v>
      </c>
      <c r="H11" s="2">
        <v>21968929016</v>
      </c>
      <c r="I11" s="5">
        <v>32177</v>
      </c>
      <c r="J11" s="2">
        <v>33</v>
      </c>
      <c r="K11" s="2">
        <v>239966807</v>
      </c>
      <c r="L11" s="6">
        <v>13059740771</v>
      </c>
      <c r="M11" s="2" t="s">
        <v>510</v>
      </c>
      <c r="R11" s="2" t="s">
        <v>7</v>
      </c>
      <c r="S11" s="2" t="s">
        <v>511</v>
      </c>
      <c r="Z11" s="2" t="s">
        <v>512</v>
      </c>
      <c r="AA11" s="2">
        <v>339</v>
      </c>
      <c r="AC11" s="2" t="s">
        <v>11</v>
      </c>
      <c r="AD11" s="2"/>
      <c r="AE11" s="2" t="s">
        <v>9</v>
      </c>
      <c r="AG11" s="2" t="s">
        <v>12</v>
      </c>
    </row>
    <row r="12" spans="1:39" ht="15.75" customHeight="1" x14ac:dyDescent="0.25">
      <c r="A12" s="2" t="s">
        <v>27</v>
      </c>
      <c r="B12" s="2" t="s">
        <v>513</v>
      </c>
      <c r="C12" s="2" t="s">
        <v>514</v>
      </c>
      <c r="D12" s="2" t="s">
        <v>515</v>
      </c>
      <c r="E12" s="2" t="s">
        <v>423</v>
      </c>
      <c r="F12" s="2" t="s">
        <v>494</v>
      </c>
      <c r="G12" s="2" t="s">
        <v>28</v>
      </c>
      <c r="H12" s="2">
        <v>11976970055</v>
      </c>
      <c r="I12" s="4">
        <v>29911</v>
      </c>
      <c r="J12" s="2">
        <v>40</v>
      </c>
      <c r="K12" s="2">
        <v>298406688</v>
      </c>
      <c r="L12" s="6">
        <v>31126208876</v>
      </c>
      <c r="M12" s="2" t="s">
        <v>516</v>
      </c>
      <c r="R12" s="2" t="s">
        <v>7</v>
      </c>
      <c r="S12" s="2" t="s">
        <v>517</v>
      </c>
      <c r="Z12" s="2" t="s">
        <v>518</v>
      </c>
      <c r="AA12" s="2">
        <v>142</v>
      </c>
      <c r="AB12" s="2"/>
      <c r="AC12" s="2" t="s">
        <v>21</v>
      </c>
      <c r="AD12" s="2" t="s">
        <v>519</v>
      </c>
      <c r="AE12" s="2" t="s">
        <v>17</v>
      </c>
      <c r="AG12" s="2" t="s">
        <v>12</v>
      </c>
    </row>
    <row r="13" spans="1:39" ht="15.75" customHeight="1" x14ac:dyDescent="0.25">
      <c r="A13" s="2" t="s">
        <v>27</v>
      </c>
      <c r="B13" s="2" t="s">
        <v>520</v>
      </c>
      <c r="C13" s="2" t="s">
        <v>521</v>
      </c>
      <c r="D13" s="2" t="s">
        <v>522</v>
      </c>
      <c r="E13" s="2" t="s">
        <v>423</v>
      </c>
      <c r="F13" s="2" t="s">
        <v>523</v>
      </c>
      <c r="G13" s="2" t="s">
        <v>29</v>
      </c>
      <c r="H13" s="2">
        <v>31991542939</v>
      </c>
      <c r="I13" s="4">
        <v>30420</v>
      </c>
      <c r="J13" s="2">
        <v>38</v>
      </c>
      <c r="K13" s="2" t="s">
        <v>524</v>
      </c>
      <c r="L13" s="6">
        <v>6219875656</v>
      </c>
      <c r="M13" s="2" t="s">
        <v>525</v>
      </c>
      <c r="R13" s="2" t="s">
        <v>7</v>
      </c>
      <c r="S13" s="2" t="s">
        <v>526</v>
      </c>
      <c r="Z13" s="2" t="s">
        <v>527</v>
      </c>
      <c r="AA13" s="2">
        <v>177</v>
      </c>
      <c r="AB13" s="2" t="s">
        <v>528</v>
      </c>
      <c r="AC13" s="2" t="s">
        <v>30</v>
      </c>
      <c r="AD13" s="2">
        <v>30431370</v>
      </c>
      <c r="AE13" s="2" t="s">
        <v>13</v>
      </c>
      <c r="AG13" s="2" t="s">
        <v>12</v>
      </c>
    </row>
    <row r="14" spans="1:39" ht="15.75" customHeight="1" x14ac:dyDescent="0.25">
      <c r="A14" s="2" t="s">
        <v>27</v>
      </c>
      <c r="B14" s="2" t="s">
        <v>529</v>
      </c>
      <c r="C14" s="2" t="s">
        <v>530</v>
      </c>
      <c r="D14" s="2" t="s">
        <v>531</v>
      </c>
      <c r="E14" s="2" t="s">
        <v>423</v>
      </c>
      <c r="F14" s="2" t="s">
        <v>509</v>
      </c>
      <c r="G14" s="2" t="s">
        <v>39</v>
      </c>
      <c r="H14" s="2">
        <v>98982330200</v>
      </c>
      <c r="I14" s="4">
        <v>32596</v>
      </c>
      <c r="J14" s="2">
        <v>32</v>
      </c>
      <c r="K14" s="2">
        <v>20287420020</v>
      </c>
      <c r="L14" s="6">
        <v>3699743365</v>
      </c>
      <c r="M14" s="2" t="s">
        <v>532</v>
      </c>
      <c r="R14" s="2" t="s">
        <v>7</v>
      </c>
      <c r="S14" s="2" t="s">
        <v>533</v>
      </c>
      <c r="Z14" s="2" t="s">
        <v>41</v>
      </c>
      <c r="AA14" s="2">
        <v>528</v>
      </c>
      <c r="AB14" s="2"/>
      <c r="AC14" s="2" t="s">
        <v>42</v>
      </c>
      <c r="AD14" s="2"/>
      <c r="AE14" s="2" t="s">
        <v>40</v>
      </c>
      <c r="AG14" s="2" t="s">
        <v>12</v>
      </c>
    </row>
    <row r="15" spans="1:39" ht="15.75" customHeight="1" x14ac:dyDescent="0.25">
      <c r="A15" s="2" t="s">
        <v>2</v>
      </c>
      <c r="B15" s="2" t="s">
        <v>534</v>
      </c>
      <c r="C15" s="2" t="s">
        <v>535</v>
      </c>
      <c r="D15" s="2" t="s">
        <v>536</v>
      </c>
      <c r="E15" s="2" t="s">
        <v>423</v>
      </c>
      <c r="F15" s="2" t="s">
        <v>523</v>
      </c>
      <c r="G15" s="2" t="s">
        <v>537</v>
      </c>
      <c r="H15" s="2">
        <v>27998417917</v>
      </c>
      <c r="I15" s="4">
        <v>32688</v>
      </c>
      <c r="J15" s="2">
        <v>32</v>
      </c>
      <c r="K15" s="2">
        <v>1972800</v>
      </c>
      <c r="L15" s="6">
        <v>11776586743</v>
      </c>
      <c r="M15" s="2" t="s">
        <v>538</v>
      </c>
      <c r="N15" s="2" t="s">
        <v>539</v>
      </c>
      <c r="R15" s="2" t="s">
        <v>20</v>
      </c>
      <c r="Z15" s="2" t="s">
        <v>540</v>
      </c>
      <c r="AA15" s="2">
        <v>418</v>
      </c>
      <c r="AB15" s="2"/>
      <c r="AC15" s="2" t="s">
        <v>51</v>
      </c>
      <c r="AD15" s="2" t="s">
        <v>541</v>
      </c>
      <c r="AE15" s="2" t="s">
        <v>50</v>
      </c>
      <c r="AG15" s="2" t="s">
        <v>12</v>
      </c>
    </row>
    <row r="16" spans="1:39" ht="15.75" customHeight="1" x14ac:dyDescent="0.25">
      <c r="A16" s="2" t="s">
        <v>27</v>
      </c>
      <c r="B16" s="2" t="s">
        <v>542</v>
      </c>
      <c r="C16" s="2" t="s">
        <v>543</v>
      </c>
      <c r="D16" s="2" t="s">
        <v>544</v>
      </c>
      <c r="E16" s="2" t="s">
        <v>423</v>
      </c>
      <c r="F16" s="2" t="s">
        <v>523</v>
      </c>
      <c r="G16" s="2" t="s">
        <v>46</v>
      </c>
      <c r="H16" s="2">
        <v>62985647849</v>
      </c>
      <c r="I16" s="4">
        <v>31957</v>
      </c>
      <c r="J16" s="2">
        <v>34</v>
      </c>
      <c r="K16" s="2">
        <v>4859623</v>
      </c>
      <c r="L16" s="6">
        <v>1425111106</v>
      </c>
      <c r="M16" s="2" t="s">
        <v>545</v>
      </c>
      <c r="N16" s="2"/>
      <c r="R16" s="2" t="s">
        <v>7</v>
      </c>
      <c r="S16" s="2" t="s">
        <v>546</v>
      </c>
      <c r="Z16" s="2" t="s">
        <v>547</v>
      </c>
      <c r="AA16" s="2" t="s">
        <v>548</v>
      </c>
      <c r="AB16" s="2" t="s">
        <v>549</v>
      </c>
      <c r="AC16" s="2" t="s">
        <v>48</v>
      </c>
      <c r="AD16" s="2"/>
      <c r="AE16" s="2" t="s">
        <v>47</v>
      </c>
      <c r="AG16" s="2" t="s">
        <v>12</v>
      </c>
    </row>
    <row r="17" spans="1:39" ht="15.75" customHeight="1" x14ac:dyDescent="0.25">
      <c r="A17" s="2" t="s">
        <v>27</v>
      </c>
      <c r="B17" s="2" t="s">
        <v>550</v>
      </c>
      <c r="C17" s="2" t="s">
        <v>551</v>
      </c>
      <c r="D17" s="2" t="s">
        <v>552</v>
      </c>
      <c r="E17" s="2" t="s">
        <v>423</v>
      </c>
      <c r="F17" s="2" t="s">
        <v>494</v>
      </c>
      <c r="G17" s="2" t="s">
        <v>553</v>
      </c>
      <c r="H17" s="2">
        <v>82998370029</v>
      </c>
      <c r="I17" s="4">
        <v>32648</v>
      </c>
      <c r="J17" s="2">
        <v>32</v>
      </c>
      <c r="K17" s="2">
        <v>30112320</v>
      </c>
      <c r="L17" s="6">
        <v>6307912448</v>
      </c>
      <c r="M17" s="2" t="s">
        <v>554</v>
      </c>
      <c r="N17" s="2"/>
      <c r="R17" s="2" t="s">
        <v>7</v>
      </c>
      <c r="S17" s="2" t="s">
        <v>555</v>
      </c>
      <c r="Z17" s="2" t="s">
        <v>556</v>
      </c>
      <c r="AA17" s="2">
        <v>381</v>
      </c>
      <c r="AB17" s="2"/>
      <c r="AC17" s="2" t="s">
        <v>38</v>
      </c>
      <c r="AD17" s="2"/>
      <c r="AE17" s="2" t="s">
        <v>3</v>
      </c>
      <c r="AG17" s="2" t="s">
        <v>12</v>
      </c>
    </row>
    <row r="18" spans="1:39" ht="15.75" customHeight="1" x14ac:dyDescent="0.25">
      <c r="A18" s="2" t="s">
        <v>2</v>
      </c>
      <c r="B18" s="2" t="s">
        <v>557</v>
      </c>
      <c r="C18" s="2" t="s">
        <v>558</v>
      </c>
      <c r="D18" s="2" t="s">
        <v>559</v>
      </c>
      <c r="E18" s="2" t="s">
        <v>423</v>
      </c>
      <c r="F18" s="2" t="s">
        <v>523</v>
      </c>
      <c r="G18" s="2" t="s">
        <v>560</v>
      </c>
      <c r="H18" s="2">
        <v>81999302643</v>
      </c>
      <c r="I18" s="4">
        <v>24651</v>
      </c>
      <c r="J18" s="2">
        <v>54</v>
      </c>
      <c r="K18" s="2">
        <v>3741158</v>
      </c>
      <c r="L18" s="6">
        <v>1122065493</v>
      </c>
      <c r="M18" s="2" t="s">
        <v>532</v>
      </c>
      <c r="N18" s="2"/>
      <c r="R18" s="2" t="s">
        <v>7</v>
      </c>
      <c r="S18" s="2"/>
      <c r="Z18" s="2" t="s">
        <v>561</v>
      </c>
      <c r="AA18" s="2">
        <v>4636</v>
      </c>
      <c r="AB18" s="2"/>
      <c r="AC18" s="2" t="s">
        <v>61</v>
      </c>
      <c r="AD18" s="2"/>
      <c r="AE18" s="2" t="s">
        <v>60</v>
      </c>
      <c r="AG18" s="2" t="s">
        <v>12</v>
      </c>
    </row>
    <row r="19" spans="1:39" ht="15.75" customHeight="1" x14ac:dyDescent="0.25">
      <c r="A19" s="2" t="s">
        <v>2</v>
      </c>
      <c r="B19" s="2" t="s">
        <v>562</v>
      </c>
      <c r="C19" s="2" t="s">
        <v>563</v>
      </c>
      <c r="D19" s="2" t="s">
        <v>564</v>
      </c>
      <c r="E19" s="2" t="s">
        <v>423</v>
      </c>
      <c r="F19" s="2" t="s">
        <v>509</v>
      </c>
      <c r="G19" s="2" t="s">
        <v>565</v>
      </c>
      <c r="H19" s="2">
        <v>11971406017</v>
      </c>
      <c r="I19" s="4">
        <v>26935</v>
      </c>
      <c r="J19" s="2">
        <v>48</v>
      </c>
      <c r="K19" s="2">
        <v>226050919</v>
      </c>
      <c r="L19" s="6">
        <v>9518046859</v>
      </c>
      <c r="M19" s="2" t="s">
        <v>566</v>
      </c>
      <c r="N19" s="2"/>
      <c r="R19" s="2" t="s">
        <v>7</v>
      </c>
      <c r="Z19" s="2" t="s">
        <v>567</v>
      </c>
      <c r="AA19" s="2">
        <v>176</v>
      </c>
      <c r="AC19" s="2" t="s">
        <v>70</v>
      </c>
      <c r="AD19" s="2" t="s">
        <v>568</v>
      </c>
      <c r="AE19" s="2" t="s">
        <v>17</v>
      </c>
      <c r="AG19" s="2" t="s">
        <v>12</v>
      </c>
    </row>
    <row r="20" spans="1:39" ht="15.75" customHeight="1" x14ac:dyDescent="0.25">
      <c r="A20" s="2" t="s">
        <v>2</v>
      </c>
      <c r="B20" s="2" t="s">
        <v>569</v>
      </c>
      <c r="C20" s="2" t="s">
        <v>570</v>
      </c>
      <c r="D20" s="2" t="s">
        <v>571</v>
      </c>
      <c r="E20" s="2" t="s">
        <v>423</v>
      </c>
      <c r="F20" s="2" t="s">
        <v>523</v>
      </c>
      <c r="G20" s="2" t="s">
        <v>572</v>
      </c>
      <c r="H20" s="2">
        <v>45999712917</v>
      </c>
      <c r="I20" s="5">
        <v>29876</v>
      </c>
      <c r="J20" s="2">
        <v>40</v>
      </c>
      <c r="K20" s="2">
        <v>80828691</v>
      </c>
      <c r="L20" s="6">
        <v>3861645920</v>
      </c>
      <c r="M20" s="2" t="s">
        <v>429</v>
      </c>
      <c r="N20" s="2" t="s">
        <v>573</v>
      </c>
      <c r="R20" s="2" t="s">
        <v>7</v>
      </c>
      <c r="Z20" s="2" t="s">
        <v>574</v>
      </c>
      <c r="AA20" s="2" t="s">
        <v>575</v>
      </c>
      <c r="AC20" s="2" t="s">
        <v>576</v>
      </c>
      <c r="AD20" s="2">
        <v>85867516</v>
      </c>
      <c r="AE20" s="2" t="s">
        <v>52</v>
      </c>
      <c r="AG20" s="2" t="s">
        <v>12</v>
      </c>
    </row>
    <row r="21" spans="1:39" ht="15.75" customHeight="1" x14ac:dyDescent="0.25">
      <c r="A21" s="2" t="s">
        <v>27</v>
      </c>
      <c r="B21" s="2" t="s">
        <v>577</v>
      </c>
      <c r="C21" s="2" t="s">
        <v>578</v>
      </c>
      <c r="D21" s="2" t="s">
        <v>579</v>
      </c>
      <c r="E21" s="2" t="s">
        <v>423</v>
      </c>
      <c r="F21" s="2" t="s">
        <v>509</v>
      </c>
      <c r="G21" s="2" t="s">
        <v>54</v>
      </c>
      <c r="H21" s="2">
        <v>41997585118</v>
      </c>
      <c r="I21" s="5">
        <v>33938</v>
      </c>
      <c r="J21" s="2">
        <v>29</v>
      </c>
      <c r="K21" s="2">
        <v>109669598</v>
      </c>
      <c r="L21" s="6">
        <v>7806187936</v>
      </c>
      <c r="M21" s="2" t="s">
        <v>580</v>
      </c>
      <c r="N21" s="2"/>
      <c r="R21" s="2" t="s">
        <v>7</v>
      </c>
      <c r="S21" s="2" t="s">
        <v>581</v>
      </c>
      <c r="Z21" s="2" t="s">
        <v>582</v>
      </c>
      <c r="AA21" s="2">
        <v>572</v>
      </c>
      <c r="AB21" s="2"/>
      <c r="AC21" s="2" t="s">
        <v>55</v>
      </c>
      <c r="AD21" s="2"/>
      <c r="AE21" s="2" t="s">
        <v>52</v>
      </c>
      <c r="AG21" s="2" t="s">
        <v>12</v>
      </c>
    </row>
    <row r="22" spans="1:39" ht="15.75" customHeight="1" x14ac:dyDescent="0.25">
      <c r="A22" s="2" t="s">
        <v>27</v>
      </c>
      <c r="B22" s="2" t="s">
        <v>583</v>
      </c>
      <c r="C22" s="2" t="s">
        <v>584</v>
      </c>
      <c r="D22" s="2" t="s">
        <v>585</v>
      </c>
      <c r="E22" s="2" t="s">
        <v>423</v>
      </c>
      <c r="F22" s="2" t="s">
        <v>523</v>
      </c>
      <c r="G22" s="2" t="s">
        <v>56</v>
      </c>
      <c r="H22" s="2">
        <v>38999558825</v>
      </c>
      <c r="I22" s="4">
        <v>33971</v>
      </c>
      <c r="J22" s="2">
        <v>28</v>
      </c>
      <c r="K22" s="2" t="s">
        <v>586</v>
      </c>
      <c r="L22" s="6">
        <v>10935306692</v>
      </c>
      <c r="M22" s="2" t="s">
        <v>587</v>
      </c>
      <c r="N22" s="2" t="s">
        <v>588</v>
      </c>
      <c r="R22" s="2" t="s">
        <v>7</v>
      </c>
      <c r="S22" s="2" t="s">
        <v>589</v>
      </c>
      <c r="Z22" s="2" t="s">
        <v>590</v>
      </c>
      <c r="AA22" s="2" t="s">
        <v>122</v>
      </c>
      <c r="AC22" s="2" t="s">
        <v>58</v>
      </c>
      <c r="AD22" s="2" t="s">
        <v>591</v>
      </c>
      <c r="AE22" s="2" t="s">
        <v>13</v>
      </c>
      <c r="AG22" s="2" t="s">
        <v>12</v>
      </c>
    </row>
    <row r="23" spans="1:39" ht="12.5" x14ac:dyDescent="0.25">
      <c r="A23" s="2" t="s">
        <v>2</v>
      </c>
      <c r="B23" s="2" t="s">
        <v>592</v>
      </c>
      <c r="C23" s="2" t="s">
        <v>593</v>
      </c>
      <c r="D23" s="2" t="s">
        <v>594</v>
      </c>
      <c r="E23" s="2" t="s">
        <v>423</v>
      </c>
      <c r="F23" s="2" t="s">
        <v>523</v>
      </c>
      <c r="G23" s="2" t="s">
        <v>595</v>
      </c>
      <c r="H23" s="2">
        <v>16981337692</v>
      </c>
      <c r="I23" s="4">
        <v>33515</v>
      </c>
      <c r="J23" s="2">
        <v>30</v>
      </c>
      <c r="K23" s="2">
        <v>474263976</v>
      </c>
      <c r="L23" s="6">
        <v>39668565819</v>
      </c>
      <c r="M23" s="2" t="s">
        <v>596</v>
      </c>
      <c r="N23" s="2" t="s">
        <v>597</v>
      </c>
      <c r="R23" s="2" t="s">
        <v>20</v>
      </c>
      <c r="Z23" s="2" t="s">
        <v>598</v>
      </c>
      <c r="AA23" s="2">
        <v>88</v>
      </c>
      <c r="AC23" s="2" t="s">
        <v>53</v>
      </c>
      <c r="AD23" s="2">
        <v>29160168</v>
      </c>
      <c r="AE23" s="2" t="s">
        <v>17</v>
      </c>
      <c r="AG23" s="2" t="s">
        <v>12</v>
      </c>
    </row>
    <row r="24" spans="1:39" ht="12.5" x14ac:dyDescent="0.25">
      <c r="A24" s="2" t="s">
        <v>2</v>
      </c>
      <c r="B24" s="2" t="s">
        <v>599</v>
      </c>
      <c r="C24" s="2" t="s">
        <v>600</v>
      </c>
      <c r="D24" s="2" t="s">
        <v>601</v>
      </c>
      <c r="E24" s="2" t="s">
        <v>423</v>
      </c>
      <c r="F24" s="2" t="s">
        <v>523</v>
      </c>
      <c r="G24" s="2" t="s">
        <v>602</v>
      </c>
      <c r="H24" s="2">
        <v>34999661345</v>
      </c>
      <c r="I24" s="4">
        <v>35151</v>
      </c>
      <c r="J24" s="2">
        <v>25</v>
      </c>
      <c r="K24" s="2" t="s">
        <v>603</v>
      </c>
      <c r="L24" s="6">
        <v>12088517642</v>
      </c>
      <c r="M24" s="2" t="s">
        <v>604</v>
      </c>
      <c r="N24" s="2" t="s">
        <v>605</v>
      </c>
      <c r="R24" s="2" t="s">
        <v>20</v>
      </c>
      <c r="Z24" s="2" t="s">
        <v>606</v>
      </c>
      <c r="AA24" s="2" t="s">
        <v>607</v>
      </c>
      <c r="AC24" s="2" t="s">
        <v>59</v>
      </c>
      <c r="AD24" s="2"/>
      <c r="AE24" s="2" t="s">
        <v>13</v>
      </c>
      <c r="AG24" s="2" t="s">
        <v>12</v>
      </c>
    </row>
    <row r="25" spans="1:39" ht="12.5" x14ac:dyDescent="0.25">
      <c r="A25" s="2" t="s">
        <v>2</v>
      </c>
      <c r="B25" s="2" t="s">
        <v>608</v>
      </c>
      <c r="C25" s="2" t="s">
        <v>609</v>
      </c>
      <c r="D25" s="2" t="s">
        <v>610</v>
      </c>
      <c r="E25" s="2" t="s">
        <v>423</v>
      </c>
      <c r="F25" s="2" t="s">
        <v>523</v>
      </c>
      <c r="G25" s="2" t="s">
        <v>611</v>
      </c>
      <c r="H25" s="2">
        <v>11949240035</v>
      </c>
      <c r="I25" s="4">
        <v>32640</v>
      </c>
      <c r="J25" s="2">
        <v>32</v>
      </c>
      <c r="K25" s="2">
        <v>476299378</v>
      </c>
      <c r="L25" s="6">
        <v>38664039844</v>
      </c>
      <c r="M25" s="2" t="s">
        <v>612</v>
      </c>
      <c r="N25" s="2" t="s">
        <v>613</v>
      </c>
      <c r="R25" s="2" t="s">
        <v>7</v>
      </c>
      <c r="Z25" s="2" t="s">
        <v>614</v>
      </c>
      <c r="AA25" s="2">
        <v>28</v>
      </c>
      <c r="AB25" s="2" t="s">
        <v>615</v>
      </c>
      <c r="AC25" s="2" t="s">
        <v>21</v>
      </c>
      <c r="AD25" s="2" t="s">
        <v>616</v>
      </c>
      <c r="AE25" s="2" t="s">
        <v>17</v>
      </c>
      <c r="AG25" s="2" t="s">
        <v>12</v>
      </c>
    </row>
    <row r="26" spans="1:39" ht="12.5" x14ac:dyDescent="0.25">
      <c r="A26" s="2" t="s">
        <v>2</v>
      </c>
      <c r="B26" s="2" t="s">
        <v>617</v>
      </c>
      <c r="C26" s="2" t="s">
        <v>618</v>
      </c>
      <c r="D26" s="2" t="s">
        <v>619</v>
      </c>
      <c r="E26" s="2" t="s">
        <v>423</v>
      </c>
      <c r="F26" s="2" t="s">
        <v>523</v>
      </c>
      <c r="G26" s="2" t="s">
        <v>101</v>
      </c>
      <c r="H26" s="2" t="s">
        <v>620</v>
      </c>
      <c r="I26" s="4">
        <v>30964</v>
      </c>
      <c r="J26" s="2">
        <v>37</v>
      </c>
      <c r="K26" s="2">
        <v>6775147</v>
      </c>
      <c r="L26" s="6">
        <v>4469182966</v>
      </c>
      <c r="M26" s="2" t="s">
        <v>621</v>
      </c>
      <c r="N26" s="2"/>
      <c r="R26" s="2" t="s">
        <v>7</v>
      </c>
      <c r="V26" s="2"/>
      <c r="X26" s="2" t="s">
        <v>622</v>
      </c>
      <c r="Z26" s="2" t="s">
        <v>623</v>
      </c>
      <c r="AA26" s="2">
        <v>286</v>
      </c>
      <c r="AB26" s="2" t="s">
        <v>624</v>
      </c>
      <c r="AC26" s="2" t="s">
        <v>104</v>
      </c>
      <c r="AD26" s="2" t="s">
        <v>625</v>
      </c>
      <c r="AE26" s="2" t="s">
        <v>84</v>
      </c>
      <c r="AF26" s="2" t="s">
        <v>626</v>
      </c>
      <c r="AG26" s="2" t="s">
        <v>481</v>
      </c>
      <c r="AH26" s="2" t="s">
        <v>473</v>
      </c>
      <c r="AI26" s="2">
        <v>3</v>
      </c>
      <c r="AL26" s="2" t="s">
        <v>627</v>
      </c>
      <c r="AM26" s="2" t="s">
        <v>628</v>
      </c>
    </row>
    <row r="27" spans="1:39" ht="12.5" x14ac:dyDescent="0.25">
      <c r="A27" s="2" t="s">
        <v>2</v>
      </c>
      <c r="B27" s="2" t="s">
        <v>629</v>
      </c>
      <c r="C27" s="2" t="s">
        <v>630</v>
      </c>
      <c r="D27" s="2" t="s">
        <v>631</v>
      </c>
      <c r="E27" s="2" t="s">
        <v>423</v>
      </c>
      <c r="F27" s="2" t="s">
        <v>523</v>
      </c>
      <c r="G27" s="2" t="s">
        <v>632</v>
      </c>
      <c r="H27" s="2">
        <v>81998219302</v>
      </c>
      <c r="I27" s="4">
        <v>29801</v>
      </c>
      <c r="J27" s="2">
        <v>40</v>
      </c>
      <c r="K27" s="2">
        <v>5423728</v>
      </c>
      <c r="L27" s="6">
        <v>872098451</v>
      </c>
      <c r="M27" s="2" t="s">
        <v>633</v>
      </c>
      <c r="R27" s="2" t="s">
        <v>7</v>
      </c>
      <c r="Z27" s="2" t="s">
        <v>634</v>
      </c>
      <c r="AA27" s="2" t="s">
        <v>635</v>
      </c>
      <c r="AC27" s="2" t="s">
        <v>61</v>
      </c>
      <c r="AD27" s="2" t="s">
        <v>636</v>
      </c>
      <c r="AE27" s="2" t="s">
        <v>60</v>
      </c>
      <c r="AG27" s="2" t="s">
        <v>12</v>
      </c>
    </row>
    <row r="28" spans="1:39" ht="12.5" x14ac:dyDescent="0.25">
      <c r="A28" s="2" t="s">
        <v>2</v>
      </c>
      <c r="B28" s="2" t="s">
        <v>637</v>
      </c>
      <c r="C28" s="2" t="s">
        <v>638</v>
      </c>
      <c r="D28" s="2" t="s">
        <v>639</v>
      </c>
      <c r="E28" s="2" t="s">
        <v>423</v>
      </c>
      <c r="F28" s="2" t="s">
        <v>523</v>
      </c>
      <c r="G28" s="2" t="s">
        <v>640</v>
      </c>
      <c r="H28" s="2">
        <v>37991988847</v>
      </c>
      <c r="I28" s="4">
        <v>22007</v>
      </c>
      <c r="J28" s="2">
        <v>61</v>
      </c>
      <c r="K28" s="2">
        <v>4476690</v>
      </c>
      <c r="L28" s="6">
        <v>735765499</v>
      </c>
      <c r="M28" s="2" t="s">
        <v>641</v>
      </c>
      <c r="N28" s="2"/>
      <c r="R28" s="2" t="s">
        <v>7</v>
      </c>
      <c r="Z28" s="2" t="s">
        <v>642</v>
      </c>
      <c r="AA28" s="2">
        <v>980</v>
      </c>
      <c r="AB28" s="2" t="s">
        <v>643</v>
      </c>
      <c r="AC28" s="2" t="s">
        <v>158</v>
      </c>
      <c r="AD28" s="2">
        <v>35500533</v>
      </c>
      <c r="AE28" s="2" t="s">
        <v>13</v>
      </c>
      <c r="AG28" s="2" t="s">
        <v>12</v>
      </c>
    </row>
    <row r="29" spans="1:39" ht="12.5" x14ac:dyDescent="0.25">
      <c r="A29" s="2" t="s">
        <v>2</v>
      </c>
      <c r="B29" s="2" t="s">
        <v>644</v>
      </c>
      <c r="C29" s="2" t="s">
        <v>543</v>
      </c>
      <c r="D29" s="2" t="s">
        <v>645</v>
      </c>
      <c r="E29" s="2" t="s">
        <v>423</v>
      </c>
      <c r="F29" s="2" t="s">
        <v>523</v>
      </c>
      <c r="G29" s="2" t="s">
        <v>646</v>
      </c>
      <c r="H29" s="2">
        <v>11960184046</v>
      </c>
      <c r="I29" s="5">
        <v>33236</v>
      </c>
      <c r="J29" s="2">
        <v>31</v>
      </c>
      <c r="K29" s="2">
        <v>493101986</v>
      </c>
      <c r="L29" s="6">
        <v>39091613831</v>
      </c>
      <c r="M29" s="2" t="s">
        <v>647</v>
      </c>
      <c r="R29" s="2" t="s">
        <v>7</v>
      </c>
      <c r="Z29" s="2" t="s">
        <v>648</v>
      </c>
      <c r="AA29" s="2">
        <v>202</v>
      </c>
      <c r="AB29" s="2"/>
      <c r="AC29" s="2" t="s">
        <v>21</v>
      </c>
      <c r="AD29" s="2"/>
      <c r="AE29" s="2" t="s">
        <v>17</v>
      </c>
      <c r="AG29" s="2" t="s">
        <v>12</v>
      </c>
    </row>
    <row r="30" spans="1:39" ht="12.5" x14ac:dyDescent="0.25">
      <c r="A30" s="2" t="s">
        <v>2</v>
      </c>
      <c r="B30" s="2" t="s">
        <v>649</v>
      </c>
      <c r="C30" s="2" t="s">
        <v>650</v>
      </c>
      <c r="D30" s="2" t="s">
        <v>651</v>
      </c>
      <c r="E30" s="2" t="s">
        <v>423</v>
      </c>
      <c r="F30" s="2" t="s">
        <v>523</v>
      </c>
      <c r="G30" s="2" t="s">
        <v>652</v>
      </c>
      <c r="H30" s="2">
        <v>11957260556</v>
      </c>
      <c r="I30" s="4">
        <v>25641</v>
      </c>
      <c r="J30" s="2">
        <v>51</v>
      </c>
      <c r="K30" s="2">
        <v>224341339</v>
      </c>
      <c r="L30" s="6">
        <v>15689631817</v>
      </c>
      <c r="M30" s="2" t="s">
        <v>653</v>
      </c>
      <c r="N30" s="2"/>
      <c r="R30" s="2" t="s">
        <v>7</v>
      </c>
      <c r="X30" s="2"/>
      <c r="Z30" s="2" t="s">
        <v>654</v>
      </c>
      <c r="AA30" s="2">
        <v>1658</v>
      </c>
      <c r="AB30" s="2" t="s">
        <v>655</v>
      </c>
      <c r="AC30" s="2" t="s">
        <v>21</v>
      </c>
      <c r="AD30" s="2" t="s">
        <v>656</v>
      </c>
      <c r="AE30" s="2" t="s">
        <v>17</v>
      </c>
      <c r="AF30" s="2"/>
      <c r="AG30" s="2" t="s">
        <v>12</v>
      </c>
      <c r="AH30" s="2"/>
      <c r="AI30" s="2"/>
      <c r="AM30" s="2"/>
    </row>
    <row r="31" spans="1:39" ht="12.5" x14ac:dyDescent="0.25">
      <c r="A31" s="2" t="s">
        <v>2</v>
      </c>
      <c r="B31" s="2" t="s">
        <v>657</v>
      </c>
      <c r="C31" s="2" t="s">
        <v>658</v>
      </c>
      <c r="D31" s="2" t="s">
        <v>659</v>
      </c>
      <c r="E31" s="2" t="s">
        <v>423</v>
      </c>
      <c r="F31" s="2" t="s">
        <v>523</v>
      </c>
      <c r="G31" s="2" t="s">
        <v>660</v>
      </c>
      <c r="H31" s="2" t="s">
        <v>87</v>
      </c>
      <c r="I31" s="4">
        <v>32270</v>
      </c>
      <c r="J31" s="2">
        <v>33</v>
      </c>
      <c r="K31" s="2">
        <v>50462932</v>
      </c>
      <c r="L31" s="6">
        <v>7399365903</v>
      </c>
      <c r="M31" s="2" t="s">
        <v>661</v>
      </c>
      <c r="N31" s="2" t="s">
        <v>662</v>
      </c>
      <c r="R31" s="2" t="s">
        <v>20</v>
      </c>
      <c r="V31" s="2"/>
      <c r="X31" s="2" t="s">
        <v>429</v>
      </c>
      <c r="Z31" s="2" t="s">
        <v>663</v>
      </c>
      <c r="AA31" s="2">
        <v>555</v>
      </c>
      <c r="AB31" s="2" t="s">
        <v>664</v>
      </c>
      <c r="AC31" s="2" t="s">
        <v>87</v>
      </c>
      <c r="AD31" s="2" t="s">
        <v>665</v>
      </c>
      <c r="AE31" s="2" t="s">
        <v>84</v>
      </c>
      <c r="AF31" s="2" t="s">
        <v>454</v>
      </c>
      <c r="AG31" s="2" t="s">
        <v>472</v>
      </c>
      <c r="AH31" s="2" t="s">
        <v>473</v>
      </c>
      <c r="AI31" s="2">
        <v>2</v>
      </c>
      <c r="AL31" s="2"/>
      <c r="AM31" s="2" t="s">
        <v>666</v>
      </c>
    </row>
    <row r="32" spans="1:39" ht="12.5" x14ac:dyDescent="0.25">
      <c r="A32" s="2" t="s">
        <v>2</v>
      </c>
      <c r="B32" s="2" t="s">
        <v>667</v>
      </c>
      <c r="C32" s="2" t="s">
        <v>668</v>
      </c>
      <c r="D32" s="2" t="s">
        <v>669</v>
      </c>
      <c r="E32" s="2" t="s">
        <v>423</v>
      </c>
      <c r="F32" s="2" t="s">
        <v>523</v>
      </c>
      <c r="G32" s="2" t="s">
        <v>88</v>
      </c>
      <c r="H32" s="2" t="s">
        <v>670</v>
      </c>
      <c r="I32" s="4">
        <v>35645</v>
      </c>
      <c r="J32" s="2">
        <v>24</v>
      </c>
      <c r="K32" s="2">
        <v>20083138662</v>
      </c>
      <c r="L32" s="6">
        <v>61192114388</v>
      </c>
      <c r="M32" s="2" t="s">
        <v>469</v>
      </c>
      <c r="N32" s="2" t="s">
        <v>671</v>
      </c>
      <c r="O32" s="2"/>
      <c r="P32" s="2"/>
      <c r="R32" s="2" t="s">
        <v>7</v>
      </c>
      <c r="T32" s="2"/>
      <c r="U32" s="2"/>
      <c r="V32" s="2" t="s">
        <v>427</v>
      </c>
      <c r="X32" s="2"/>
      <c r="Z32" s="2" t="s">
        <v>89</v>
      </c>
      <c r="AA32" s="2">
        <v>165</v>
      </c>
      <c r="AB32" s="2"/>
      <c r="AC32" s="2" t="s">
        <v>75</v>
      </c>
      <c r="AD32" s="2" t="s">
        <v>672</v>
      </c>
      <c r="AE32" s="2" t="s">
        <v>74</v>
      </c>
      <c r="AF32" s="2" t="s">
        <v>454</v>
      </c>
      <c r="AG32" s="2" t="s">
        <v>488</v>
      </c>
      <c r="AH32" s="2" t="s">
        <v>473</v>
      </c>
      <c r="AI32" s="2">
        <v>3</v>
      </c>
      <c r="AL32" s="2" t="s">
        <v>673</v>
      </c>
      <c r="AM32" s="2" t="s">
        <v>674</v>
      </c>
    </row>
    <row r="33" spans="1:39" ht="12.5" x14ac:dyDescent="0.25">
      <c r="A33" s="2" t="s">
        <v>27</v>
      </c>
      <c r="B33" s="2" t="s">
        <v>675</v>
      </c>
      <c r="C33" s="2" t="s">
        <v>676</v>
      </c>
      <c r="D33" s="2" t="s">
        <v>677</v>
      </c>
      <c r="E33" s="2" t="s">
        <v>423</v>
      </c>
      <c r="F33" s="2" t="s">
        <v>523</v>
      </c>
      <c r="G33" s="2" t="s">
        <v>91</v>
      </c>
      <c r="H33" s="2">
        <v>981045284</v>
      </c>
      <c r="I33" s="5">
        <v>28020</v>
      </c>
      <c r="J33" s="2">
        <v>45</v>
      </c>
      <c r="K33" s="2">
        <v>1004188307</v>
      </c>
      <c r="L33" s="6">
        <v>85591661572</v>
      </c>
      <c r="M33" s="2" t="s">
        <v>678</v>
      </c>
      <c r="N33" s="2" t="s">
        <v>679</v>
      </c>
      <c r="R33" s="2" t="s">
        <v>7</v>
      </c>
      <c r="S33" s="2"/>
      <c r="V33" s="2"/>
      <c r="Z33" s="2" t="s">
        <v>93</v>
      </c>
      <c r="AA33" s="2" t="s">
        <v>680</v>
      </c>
      <c r="AB33" s="2" t="s">
        <v>681</v>
      </c>
      <c r="AC33" s="2" t="s">
        <v>94</v>
      </c>
      <c r="AD33" s="2"/>
      <c r="AE33" s="2" t="s">
        <v>92</v>
      </c>
      <c r="AF33" s="2"/>
      <c r="AG33" s="2" t="s">
        <v>12</v>
      </c>
      <c r="AH33" s="2"/>
      <c r="AI33" s="2"/>
      <c r="AL33" s="2"/>
      <c r="AM33" s="2"/>
    </row>
    <row r="34" spans="1:39" ht="12.5" x14ac:dyDescent="0.25">
      <c r="A34" s="2" t="s">
        <v>2</v>
      </c>
      <c r="B34" s="2" t="s">
        <v>682</v>
      </c>
      <c r="C34" s="2" t="s">
        <v>683</v>
      </c>
      <c r="D34" s="2" t="s">
        <v>684</v>
      </c>
      <c r="E34" s="2" t="s">
        <v>423</v>
      </c>
      <c r="F34" s="2" t="s">
        <v>523</v>
      </c>
      <c r="G34" s="2" t="s">
        <v>685</v>
      </c>
      <c r="H34" s="2" t="s">
        <v>686</v>
      </c>
      <c r="I34" s="4">
        <v>34339</v>
      </c>
      <c r="J34" s="2">
        <v>27</v>
      </c>
      <c r="K34" s="2">
        <v>214921991</v>
      </c>
      <c r="L34" s="6">
        <v>13607868727</v>
      </c>
      <c r="M34" s="2" t="s">
        <v>687</v>
      </c>
      <c r="N34" s="2" t="s">
        <v>451</v>
      </c>
      <c r="R34" s="2" t="s">
        <v>20</v>
      </c>
      <c r="V34" s="2" t="s">
        <v>427</v>
      </c>
      <c r="X34" s="2"/>
      <c r="Z34" s="2" t="s">
        <v>688</v>
      </c>
      <c r="AA34" s="2">
        <v>57</v>
      </c>
      <c r="AB34" s="2" t="s">
        <v>689</v>
      </c>
      <c r="AC34" s="2" t="s">
        <v>99</v>
      </c>
      <c r="AD34" s="2" t="s">
        <v>690</v>
      </c>
      <c r="AE34" s="2" t="s">
        <v>9</v>
      </c>
      <c r="AF34" s="2" t="s">
        <v>454</v>
      </c>
      <c r="AG34" s="2" t="s">
        <v>444</v>
      </c>
      <c r="AH34" s="2" t="s">
        <v>473</v>
      </c>
      <c r="AI34" s="2">
        <v>5</v>
      </c>
      <c r="AL34" s="2" t="s">
        <v>691</v>
      </c>
      <c r="AM34" s="2" t="s">
        <v>691</v>
      </c>
    </row>
    <row r="35" spans="1:39" ht="12.5" x14ac:dyDescent="0.25">
      <c r="A35" s="2" t="s">
        <v>2</v>
      </c>
      <c r="B35" s="2" t="s">
        <v>692</v>
      </c>
      <c r="C35" s="2" t="s">
        <v>693</v>
      </c>
      <c r="D35" s="2" t="s">
        <v>694</v>
      </c>
      <c r="E35" s="2" t="s">
        <v>423</v>
      </c>
      <c r="F35" s="2" t="s">
        <v>523</v>
      </c>
      <c r="G35" s="2" t="s">
        <v>695</v>
      </c>
      <c r="H35" s="2" t="s">
        <v>696</v>
      </c>
      <c r="I35" s="4">
        <v>29738</v>
      </c>
      <c r="J35" s="2">
        <v>40</v>
      </c>
      <c r="K35" s="2">
        <v>10312267</v>
      </c>
      <c r="L35" s="6">
        <v>4314983698</v>
      </c>
      <c r="M35" s="2" t="s">
        <v>697</v>
      </c>
      <c r="N35" s="2" t="s">
        <v>698</v>
      </c>
      <c r="R35" s="2" t="s">
        <v>20</v>
      </c>
      <c r="S35" s="2"/>
      <c r="X35" s="2" t="s">
        <v>429</v>
      </c>
      <c r="Z35" s="2" t="s">
        <v>699</v>
      </c>
      <c r="AA35" s="2">
        <v>3173134322</v>
      </c>
      <c r="AB35" s="2" t="s">
        <v>108</v>
      </c>
      <c r="AC35" s="2" t="s">
        <v>30</v>
      </c>
      <c r="AD35" s="2" t="s">
        <v>700</v>
      </c>
      <c r="AE35" s="2" t="s">
        <v>13</v>
      </c>
      <c r="AF35" s="2" t="s">
        <v>454</v>
      </c>
      <c r="AG35" s="2" t="s">
        <v>472</v>
      </c>
      <c r="AH35" s="2" t="s">
        <v>473</v>
      </c>
      <c r="AI35" s="2">
        <v>3</v>
      </c>
      <c r="AL35" s="2" t="s">
        <v>701</v>
      </c>
      <c r="AM35" s="2" t="s">
        <v>702</v>
      </c>
    </row>
    <row r="36" spans="1:39" ht="12.5" x14ac:dyDescent="0.25">
      <c r="A36" s="2" t="s">
        <v>2</v>
      </c>
      <c r="B36" s="2" t="s">
        <v>703</v>
      </c>
      <c r="C36" s="2" t="s">
        <v>704</v>
      </c>
      <c r="D36" s="2" t="s">
        <v>705</v>
      </c>
      <c r="E36" s="2" t="s">
        <v>423</v>
      </c>
      <c r="F36" s="2" t="s">
        <v>509</v>
      </c>
      <c r="G36" s="2" t="s">
        <v>110</v>
      </c>
      <c r="H36" s="2" t="s">
        <v>706</v>
      </c>
      <c r="I36" s="4">
        <v>26253</v>
      </c>
      <c r="J36" s="2">
        <v>50</v>
      </c>
      <c r="K36" s="2">
        <v>20031168</v>
      </c>
      <c r="L36" s="6">
        <v>56383681168</v>
      </c>
      <c r="M36" s="2" t="s">
        <v>707</v>
      </c>
      <c r="N36" s="2" t="s">
        <v>708</v>
      </c>
      <c r="P36" s="2"/>
      <c r="R36" s="2" t="s">
        <v>7</v>
      </c>
      <c r="T36" s="2"/>
      <c r="U36" s="2"/>
      <c r="X36" s="2" t="s">
        <v>462</v>
      </c>
      <c r="Z36" s="2" t="s">
        <v>709</v>
      </c>
      <c r="AA36" s="2">
        <v>47</v>
      </c>
      <c r="AC36" s="2" t="s">
        <v>59</v>
      </c>
      <c r="AD36" s="2" t="s">
        <v>710</v>
      </c>
      <c r="AE36" s="2" t="s">
        <v>13</v>
      </c>
      <c r="AF36" s="2" t="s">
        <v>433</v>
      </c>
      <c r="AG36" s="2" t="s">
        <v>472</v>
      </c>
      <c r="AH36" s="2" t="s">
        <v>435</v>
      </c>
      <c r="AI36" s="2">
        <v>3</v>
      </c>
      <c r="AL36" s="2" t="s">
        <v>112</v>
      </c>
      <c r="AM36" s="2" t="s">
        <v>711</v>
      </c>
    </row>
    <row r="37" spans="1:39" ht="12.5" x14ac:dyDescent="0.25">
      <c r="A37" s="2" t="s">
        <v>2</v>
      </c>
      <c r="B37" s="2" t="s">
        <v>712</v>
      </c>
      <c r="C37" s="2" t="s">
        <v>713</v>
      </c>
      <c r="D37" s="2" t="s">
        <v>714</v>
      </c>
      <c r="E37" s="2" t="s">
        <v>423</v>
      </c>
      <c r="F37" s="2" t="s">
        <v>523</v>
      </c>
      <c r="G37" s="2" t="s">
        <v>715</v>
      </c>
      <c r="H37" s="2">
        <v>21982769202</v>
      </c>
      <c r="I37" s="5">
        <v>27277</v>
      </c>
      <c r="J37" s="2">
        <v>47</v>
      </c>
      <c r="K37" s="2">
        <v>93497659</v>
      </c>
      <c r="L37" s="6">
        <v>7245794782</v>
      </c>
      <c r="M37" s="2" t="s">
        <v>716</v>
      </c>
      <c r="N37" s="2" t="s">
        <v>717</v>
      </c>
      <c r="R37" s="2" t="s">
        <v>20</v>
      </c>
      <c r="X37" s="2"/>
      <c r="Z37" s="2" t="s">
        <v>718</v>
      </c>
      <c r="AA37" s="2">
        <v>11</v>
      </c>
      <c r="AB37" s="2"/>
      <c r="AC37" s="2" t="s">
        <v>113</v>
      </c>
      <c r="AD37" s="2" t="s">
        <v>719</v>
      </c>
      <c r="AE37" s="2" t="s">
        <v>9</v>
      </c>
      <c r="AF37" s="2"/>
      <c r="AG37" s="2" t="s">
        <v>12</v>
      </c>
      <c r="AH37" s="2"/>
      <c r="AI37" s="2"/>
      <c r="AL37" s="2"/>
      <c r="AM37" s="2"/>
    </row>
    <row r="38" spans="1:39" ht="12.5" x14ac:dyDescent="0.25">
      <c r="A38" s="2" t="s">
        <v>2</v>
      </c>
      <c r="B38" s="2" t="s">
        <v>720</v>
      </c>
      <c r="C38" s="2" t="s">
        <v>721</v>
      </c>
      <c r="D38" s="2" t="s">
        <v>722</v>
      </c>
      <c r="E38" s="2" t="s">
        <v>423</v>
      </c>
      <c r="F38" s="2" t="s">
        <v>509</v>
      </c>
      <c r="G38" s="2" t="s">
        <v>723</v>
      </c>
      <c r="H38" s="2">
        <v>82988184714</v>
      </c>
      <c r="I38" s="5">
        <v>30601</v>
      </c>
      <c r="J38" s="2">
        <v>38</v>
      </c>
      <c r="K38" s="2">
        <v>98001093615</v>
      </c>
      <c r="L38" s="6">
        <v>4814680481</v>
      </c>
      <c r="M38" s="2" t="s">
        <v>724</v>
      </c>
      <c r="N38" s="2"/>
      <c r="R38" s="2" t="s">
        <v>7</v>
      </c>
      <c r="X38" s="2"/>
      <c r="Z38" s="2" t="s">
        <v>725</v>
      </c>
      <c r="AA38" s="2">
        <v>386</v>
      </c>
      <c r="AB38" s="2"/>
      <c r="AC38" s="2" t="s">
        <v>38</v>
      </c>
      <c r="AD38" s="2" t="s">
        <v>726</v>
      </c>
      <c r="AE38" s="2" t="s">
        <v>3</v>
      </c>
      <c r="AF38" s="2"/>
      <c r="AG38" s="2" t="s">
        <v>12</v>
      </c>
      <c r="AH38" s="2"/>
      <c r="AI38" s="2"/>
      <c r="AL38" s="2"/>
      <c r="AM38" s="2"/>
    </row>
    <row r="39" spans="1:39" ht="12.5" x14ac:dyDescent="0.25">
      <c r="A39" s="2" t="s">
        <v>27</v>
      </c>
      <c r="B39" s="2" t="s">
        <v>727</v>
      </c>
      <c r="C39" s="2" t="s">
        <v>728</v>
      </c>
      <c r="D39" s="2" t="s">
        <v>729</v>
      </c>
      <c r="E39" s="2" t="s">
        <v>423</v>
      </c>
      <c r="F39" s="2" t="s">
        <v>509</v>
      </c>
      <c r="G39" s="2" t="s">
        <v>63</v>
      </c>
      <c r="H39" s="2">
        <v>51996206480</v>
      </c>
      <c r="I39" s="4">
        <v>29299</v>
      </c>
      <c r="J39" s="2">
        <v>41</v>
      </c>
      <c r="K39" s="2">
        <v>1073275453</v>
      </c>
      <c r="L39" s="6">
        <v>80674607015</v>
      </c>
      <c r="M39" s="2" t="s">
        <v>730</v>
      </c>
      <c r="N39" s="2" t="s">
        <v>731</v>
      </c>
      <c r="R39" s="2" t="s">
        <v>20</v>
      </c>
      <c r="S39" s="2" t="s">
        <v>732</v>
      </c>
      <c r="V39" s="2"/>
      <c r="Z39" s="2" t="s">
        <v>733</v>
      </c>
      <c r="AA39" s="2">
        <v>203</v>
      </c>
      <c r="AB39" s="2"/>
      <c r="AC39" s="2" t="s">
        <v>65</v>
      </c>
      <c r="AD39" s="2" t="s">
        <v>734</v>
      </c>
      <c r="AE39" s="2" t="s">
        <v>64</v>
      </c>
      <c r="AF39" s="2"/>
      <c r="AG39" s="2" t="s">
        <v>12</v>
      </c>
      <c r="AH39" s="2"/>
      <c r="AI39" s="2"/>
      <c r="AL39" s="2"/>
      <c r="AM39" s="2"/>
    </row>
    <row r="40" spans="1:39" ht="12.5" x14ac:dyDescent="0.25">
      <c r="A40" s="2" t="s">
        <v>2</v>
      </c>
      <c r="B40" s="2" t="s">
        <v>735</v>
      </c>
      <c r="C40" s="2" t="s">
        <v>736</v>
      </c>
      <c r="D40" s="2" t="s">
        <v>737</v>
      </c>
      <c r="E40" s="2" t="s">
        <v>423</v>
      </c>
      <c r="F40" s="2" t="s">
        <v>509</v>
      </c>
      <c r="G40" s="2" t="s">
        <v>738</v>
      </c>
      <c r="H40" s="2">
        <v>27997907663</v>
      </c>
      <c r="I40" s="5">
        <v>30128</v>
      </c>
      <c r="J40" s="2">
        <v>39</v>
      </c>
      <c r="K40" s="2" t="s">
        <v>739</v>
      </c>
      <c r="L40" s="6">
        <v>9208962784</v>
      </c>
      <c r="M40" s="2" t="s">
        <v>740</v>
      </c>
      <c r="R40" s="2" t="s">
        <v>7</v>
      </c>
      <c r="X40" s="2"/>
      <c r="Z40" s="2" t="s">
        <v>124</v>
      </c>
      <c r="AA40" s="2" t="s">
        <v>741</v>
      </c>
      <c r="AB40" s="2"/>
      <c r="AC40" s="2" t="s">
        <v>125</v>
      </c>
      <c r="AD40" s="2">
        <v>29032567</v>
      </c>
      <c r="AE40" s="2" t="s">
        <v>50</v>
      </c>
      <c r="AF40" s="2"/>
      <c r="AG40" s="2" t="s">
        <v>12</v>
      </c>
      <c r="AH40" s="2"/>
      <c r="AI40" s="2"/>
      <c r="AL40" s="2"/>
      <c r="AM40" s="2"/>
    </row>
    <row r="41" spans="1:39" ht="12.5" x14ac:dyDescent="0.25">
      <c r="A41" s="2" t="s">
        <v>27</v>
      </c>
      <c r="B41" s="2" t="s">
        <v>742</v>
      </c>
      <c r="C41" s="2" t="s">
        <v>743</v>
      </c>
      <c r="D41" s="2" t="s">
        <v>744</v>
      </c>
      <c r="E41" s="2" t="s">
        <v>423</v>
      </c>
      <c r="F41" s="2" t="s">
        <v>523</v>
      </c>
      <c r="G41" s="2" t="s">
        <v>126</v>
      </c>
      <c r="H41" s="2">
        <v>21975228269</v>
      </c>
      <c r="I41" s="4">
        <v>34357</v>
      </c>
      <c r="J41" s="2">
        <v>27</v>
      </c>
      <c r="K41" s="2">
        <v>266282367</v>
      </c>
      <c r="L41" s="6">
        <v>15793840729</v>
      </c>
      <c r="M41" s="2" t="s">
        <v>745</v>
      </c>
      <c r="N41" s="2" t="s">
        <v>746</v>
      </c>
      <c r="R41" s="2" t="s">
        <v>20</v>
      </c>
      <c r="S41" s="2" t="s">
        <v>747</v>
      </c>
      <c r="X41" s="2"/>
      <c r="Z41" s="2" t="s">
        <v>748</v>
      </c>
      <c r="AA41" s="2">
        <v>1250</v>
      </c>
      <c r="AB41" s="2" t="s">
        <v>749</v>
      </c>
      <c r="AC41" s="2" t="s">
        <v>11</v>
      </c>
      <c r="AD41" s="2" t="s">
        <v>750</v>
      </c>
      <c r="AE41" s="2" t="s">
        <v>9</v>
      </c>
      <c r="AF41" s="2"/>
      <c r="AG41" s="2" t="s">
        <v>12</v>
      </c>
      <c r="AH41" s="2"/>
      <c r="AI41" s="2"/>
      <c r="AL41" s="2"/>
      <c r="AM41" s="2"/>
    </row>
    <row r="42" spans="1:39" ht="12.5" x14ac:dyDescent="0.25">
      <c r="A42" s="2" t="s">
        <v>27</v>
      </c>
      <c r="B42" s="2" t="s">
        <v>751</v>
      </c>
      <c r="C42" s="2" t="s">
        <v>752</v>
      </c>
      <c r="D42" s="2" t="s">
        <v>753</v>
      </c>
      <c r="E42" s="2" t="s">
        <v>423</v>
      </c>
      <c r="F42" s="2" t="s">
        <v>523</v>
      </c>
      <c r="G42" s="2" t="s">
        <v>127</v>
      </c>
      <c r="H42" s="2">
        <v>21968209843</v>
      </c>
      <c r="I42" s="4">
        <v>31165</v>
      </c>
      <c r="J42" s="2">
        <v>36</v>
      </c>
      <c r="K42" s="2">
        <v>200486132</v>
      </c>
      <c r="L42" s="6">
        <v>11370929714</v>
      </c>
      <c r="M42" s="2" t="s">
        <v>754</v>
      </c>
      <c r="N42" s="2"/>
      <c r="R42" s="2" t="s">
        <v>7</v>
      </c>
      <c r="S42" s="2" t="s">
        <v>755</v>
      </c>
      <c r="X42" s="2"/>
      <c r="Z42" s="2" t="s">
        <v>756</v>
      </c>
      <c r="AA42" s="2">
        <v>130</v>
      </c>
      <c r="AB42" s="2" t="s">
        <v>757</v>
      </c>
      <c r="AC42" s="2" t="s">
        <v>11</v>
      </c>
      <c r="AD42" s="2"/>
      <c r="AE42" s="2" t="s">
        <v>9</v>
      </c>
      <c r="AF42" s="2"/>
      <c r="AG42" s="2" t="s">
        <v>12</v>
      </c>
      <c r="AH42" s="2"/>
      <c r="AI42" s="2"/>
      <c r="AL42" s="2"/>
      <c r="AM42" s="2"/>
    </row>
    <row r="43" spans="1:39" ht="12.5" x14ac:dyDescent="0.25">
      <c r="A43" s="2" t="s">
        <v>27</v>
      </c>
      <c r="B43" s="2" t="s">
        <v>758</v>
      </c>
      <c r="C43" s="2" t="s">
        <v>759</v>
      </c>
      <c r="D43" s="2" t="s">
        <v>760</v>
      </c>
      <c r="E43" s="2" t="s">
        <v>423</v>
      </c>
      <c r="F43" s="2" t="s">
        <v>494</v>
      </c>
      <c r="G43" s="2" t="s">
        <v>129</v>
      </c>
      <c r="H43" s="2">
        <v>11954302739</v>
      </c>
      <c r="I43" s="4">
        <v>33239</v>
      </c>
      <c r="J43" s="2">
        <v>30</v>
      </c>
      <c r="K43" s="2">
        <v>472189402</v>
      </c>
      <c r="L43" s="6">
        <v>32958195805</v>
      </c>
      <c r="M43" s="2" t="s">
        <v>761</v>
      </c>
      <c r="N43" s="2"/>
      <c r="R43" s="2" t="s">
        <v>7</v>
      </c>
      <c r="S43" s="2" t="s">
        <v>762</v>
      </c>
      <c r="Z43" s="2" t="s">
        <v>763</v>
      </c>
      <c r="AA43" s="2">
        <v>900</v>
      </c>
      <c r="AB43" s="2" t="s">
        <v>764</v>
      </c>
      <c r="AC43" s="2" t="s">
        <v>21</v>
      </c>
      <c r="AD43" s="2" t="s">
        <v>765</v>
      </c>
      <c r="AE43" s="2" t="s">
        <v>17</v>
      </c>
      <c r="AG43" s="2" t="s">
        <v>12</v>
      </c>
    </row>
    <row r="44" spans="1:39" ht="12.5" x14ac:dyDescent="0.25">
      <c r="A44" s="2" t="s">
        <v>27</v>
      </c>
      <c r="B44" s="2" t="s">
        <v>766</v>
      </c>
      <c r="C44" s="2" t="s">
        <v>767</v>
      </c>
      <c r="D44" s="2" t="s">
        <v>768</v>
      </c>
      <c r="E44" s="2" t="s">
        <v>423</v>
      </c>
      <c r="F44" s="2" t="s">
        <v>523</v>
      </c>
      <c r="G44" s="2" t="s">
        <v>130</v>
      </c>
      <c r="H44" s="2">
        <v>11947479020</v>
      </c>
      <c r="I44" s="4">
        <v>28885</v>
      </c>
      <c r="J44" s="2">
        <v>42</v>
      </c>
      <c r="K44" s="2">
        <v>275487970</v>
      </c>
      <c r="L44" s="6">
        <v>28358592841</v>
      </c>
      <c r="M44" s="2" t="s">
        <v>769</v>
      </c>
      <c r="R44" s="2" t="s">
        <v>7</v>
      </c>
      <c r="S44" s="2" t="s">
        <v>37</v>
      </c>
      <c r="Z44" s="2" t="s">
        <v>770</v>
      </c>
      <c r="AA44" s="2">
        <v>44</v>
      </c>
      <c r="AB44" s="2"/>
      <c r="AC44" s="2" t="s">
        <v>21</v>
      </c>
      <c r="AD44" s="2">
        <v>4161090</v>
      </c>
      <c r="AE44" s="2" t="s">
        <v>17</v>
      </c>
      <c r="AG44" s="2" t="s">
        <v>12</v>
      </c>
    </row>
    <row r="45" spans="1:39" ht="12.5" x14ac:dyDescent="0.25">
      <c r="A45" s="2" t="s">
        <v>27</v>
      </c>
      <c r="B45" s="2" t="s">
        <v>771</v>
      </c>
      <c r="C45" s="2" t="s">
        <v>772</v>
      </c>
      <c r="D45" s="2" t="s">
        <v>773</v>
      </c>
      <c r="E45" s="2" t="s">
        <v>423</v>
      </c>
      <c r="F45" s="2" t="s">
        <v>509</v>
      </c>
      <c r="G45" s="2" t="s">
        <v>131</v>
      </c>
      <c r="H45" s="2">
        <v>31998504420</v>
      </c>
      <c r="I45" s="4">
        <v>32590</v>
      </c>
      <c r="J45" s="2">
        <v>32</v>
      </c>
      <c r="K45" s="2" t="s">
        <v>774</v>
      </c>
      <c r="L45" s="6">
        <v>9849625651</v>
      </c>
      <c r="M45" s="2" t="s">
        <v>604</v>
      </c>
      <c r="N45" s="2"/>
      <c r="R45" s="2" t="s">
        <v>7</v>
      </c>
      <c r="S45" s="2" t="s">
        <v>775</v>
      </c>
      <c r="Z45" s="2" t="s">
        <v>776</v>
      </c>
      <c r="AA45" s="2">
        <v>197</v>
      </c>
      <c r="AB45" s="2" t="s">
        <v>777</v>
      </c>
      <c r="AC45" s="2" t="s">
        <v>45</v>
      </c>
      <c r="AD45" s="2" t="s">
        <v>778</v>
      </c>
      <c r="AE45" s="2" t="s">
        <v>13</v>
      </c>
      <c r="AG45" s="2" t="s">
        <v>12</v>
      </c>
    </row>
    <row r="46" spans="1:39" ht="12.5" x14ac:dyDescent="0.25">
      <c r="A46" s="2" t="s">
        <v>27</v>
      </c>
      <c r="B46" s="2" t="s">
        <v>779</v>
      </c>
      <c r="C46" s="2" t="s">
        <v>600</v>
      </c>
      <c r="D46" s="2" t="s">
        <v>780</v>
      </c>
      <c r="E46" s="2" t="s">
        <v>423</v>
      </c>
      <c r="F46" s="2" t="s">
        <v>494</v>
      </c>
      <c r="G46" s="2" t="s">
        <v>132</v>
      </c>
      <c r="H46" s="2">
        <v>17982260179</v>
      </c>
      <c r="I46" s="4">
        <v>32633</v>
      </c>
      <c r="J46" s="2">
        <v>32</v>
      </c>
      <c r="K46" s="2">
        <v>448376799</v>
      </c>
      <c r="L46" s="6">
        <v>38255078827</v>
      </c>
      <c r="M46" s="2" t="s">
        <v>781</v>
      </c>
      <c r="R46" s="2" t="s">
        <v>7</v>
      </c>
      <c r="S46" s="2" t="s">
        <v>782</v>
      </c>
      <c r="Z46" s="2" t="s">
        <v>783</v>
      </c>
      <c r="AA46" s="2">
        <v>599</v>
      </c>
      <c r="AC46" s="2" t="s">
        <v>133</v>
      </c>
      <c r="AD46" s="2"/>
      <c r="AE46" s="2" t="s">
        <v>17</v>
      </c>
      <c r="AG46" s="2" t="s">
        <v>12</v>
      </c>
    </row>
    <row r="47" spans="1:39" ht="12.5" x14ac:dyDescent="0.25">
      <c r="A47" s="2" t="s">
        <v>27</v>
      </c>
      <c r="B47" s="2" t="s">
        <v>784</v>
      </c>
      <c r="C47" s="2" t="s">
        <v>785</v>
      </c>
      <c r="D47" s="2" t="s">
        <v>786</v>
      </c>
      <c r="E47" s="2" t="s">
        <v>423</v>
      </c>
      <c r="F47" s="2" t="s">
        <v>509</v>
      </c>
      <c r="G47" s="2" t="s">
        <v>134</v>
      </c>
      <c r="H47" s="2">
        <v>11974476721</v>
      </c>
      <c r="I47" s="4">
        <v>31713</v>
      </c>
      <c r="J47" s="2">
        <v>35</v>
      </c>
      <c r="K47" s="2">
        <v>395744076</v>
      </c>
      <c r="L47" s="6">
        <v>6125772950</v>
      </c>
      <c r="M47" s="2" t="s">
        <v>787</v>
      </c>
      <c r="N47" s="2"/>
      <c r="R47" s="2" t="s">
        <v>7</v>
      </c>
      <c r="S47" s="2" t="s">
        <v>788</v>
      </c>
      <c r="Z47" s="2" t="s">
        <v>789</v>
      </c>
      <c r="AA47" s="2">
        <v>2315</v>
      </c>
      <c r="AB47" s="2" t="s">
        <v>790</v>
      </c>
      <c r="AC47" s="2" t="s">
        <v>136</v>
      </c>
      <c r="AD47" s="2"/>
      <c r="AE47" s="2" t="s">
        <v>17</v>
      </c>
      <c r="AG47" s="2" t="s">
        <v>12</v>
      </c>
    </row>
    <row r="48" spans="1:39" ht="12.5" x14ac:dyDescent="0.25">
      <c r="A48" s="2" t="s">
        <v>27</v>
      </c>
      <c r="B48" s="2" t="s">
        <v>791</v>
      </c>
      <c r="C48" s="2" t="s">
        <v>792</v>
      </c>
      <c r="D48" s="2" t="s">
        <v>793</v>
      </c>
      <c r="E48" s="2" t="s">
        <v>423</v>
      </c>
      <c r="F48" s="2" t="s">
        <v>523</v>
      </c>
      <c r="G48" s="2" t="s">
        <v>794</v>
      </c>
      <c r="H48" s="2">
        <v>85997225088</v>
      </c>
      <c r="I48" s="4">
        <v>36392</v>
      </c>
      <c r="J48" s="2">
        <v>22</v>
      </c>
      <c r="K48" s="2">
        <v>2008010459355</v>
      </c>
      <c r="L48" s="6">
        <v>7929879348</v>
      </c>
      <c r="M48" s="2" t="s">
        <v>795</v>
      </c>
      <c r="N48" s="2"/>
      <c r="R48" s="2" t="s">
        <v>7</v>
      </c>
      <c r="S48" s="2" t="s">
        <v>796</v>
      </c>
      <c r="Z48" s="2" t="s">
        <v>139</v>
      </c>
      <c r="AA48" s="2">
        <v>2265</v>
      </c>
      <c r="AB48" s="2"/>
      <c r="AC48" s="2" t="s">
        <v>75</v>
      </c>
      <c r="AD48" s="2">
        <v>60345662</v>
      </c>
      <c r="AE48" s="2" t="s">
        <v>74</v>
      </c>
      <c r="AG48" s="2" t="s">
        <v>12</v>
      </c>
    </row>
    <row r="49" spans="1:39" ht="12.5" x14ac:dyDescent="0.25">
      <c r="A49" s="2" t="s">
        <v>27</v>
      </c>
      <c r="B49" s="2" t="s">
        <v>797</v>
      </c>
      <c r="C49" s="2" t="s">
        <v>798</v>
      </c>
      <c r="D49" s="2" t="s">
        <v>799</v>
      </c>
      <c r="E49" s="2" t="s">
        <v>423</v>
      </c>
      <c r="F49" s="2" t="s">
        <v>509</v>
      </c>
      <c r="G49" s="2" t="s">
        <v>140</v>
      </c>
      <c r="H49" s="2">
        <v>21964220934</v>
      </c>
      <c r="I49" s="5">
        <v>31474</v>
      </c>
      <c r="J49" s="2">
        <v>35</v>
      </c>
      <c r="K49" s="2">
        <v>209395748</v>
      </c>
      <c r="L49" s="6">
        <v>10515768731</v>
      </c>
      <c r="M49" s="2" t="s">
        <v>800</v>
      </c>
      <c r="R49" s="2" t="s">
        <v>7</v>
      </c>
      <c r="S49" s="2" t="s">
        <v>801</v>
      </c>
      <c r="Z49" s="2" t="s">
        <v>141</v>
      </c>
      <c r="AA49" s="2" t="s">
        <v>802</v>
      </c>
      <c r="AB49" s="2"/>
      <c r="AC49" s="2" t="s">
        <v>11</v>
      </c>
      <c r="AD49" s="2">
        <v>20220380</v>
      </c>
      <c r="AE49" s="2" t="s">
        <v>9</v>
      </c>
      <c r="AG49" s="2" t="s">
        <v>12</v>
      </c>
    </row>
    <row r="50" spans="1:39" ht="12.5" x14ac:dyDescent="0.25">
      <c r="A50" s="2" t="s">
        <v>27</v>
      </c>
      <c r="B50" s="2" t="s">
        <v>803</v>
      </c>
      <c r="C50" s="2" t="s">
        <v>658</v>
      </c>
      <c r="D50" s="2" t="s">
        <v>804</v>
      </c>
      <c r="E50" s="2" t="s">
        <v>423</v>
      </c>
      <c r="F50" s="2" t="s">
        <v>523</v>
      </c>
      <c r="G50" s="2" t="s">
        <v>142</v>
      </c>
      <c r="H50" s="2">
        <v>84988652115</v>
      </c>
      <c r="I50" s="4">
        <v>29134</v>
      </c>
      <c r="J50" s="2">
        <v>42</v>
      </c>
      <c r="K50" s="2">
        <v>4093599</v>
      </c>
      <c r="L50" s="6">
        <v>51840782234</v>
      </c>
      <c r="M50" s="2" t="s">
        <v>805</v>
      </c>
      <c r="R50" s="2" t="s">
        <v>7</v>
      </c>
      <c r="S50" s="2" t="s">
        <v>806</v>
      </c>
      <c r="Z50" s="2" t="s">
        <v>807</v>
      </c>
      <c r="AA50" s="2" t="s">
        <v>607</v>
      </c>
      <c r="AC50" s="2"/>
      <c r="AD50" s="2" t="s">
        <v>808</v>
      </c>
      <c r="AE50" s="2" t="s">
        <v>32</v>
      </c>
      <c r="AG50" s="2" t="s">
        <v>12</v>
      </c>
    </row>
    <row r="51" spans="1:39" ht="12.5" x14ac:dyDescent="0.25">
      <c r="A51" s="2" t="s">
        <v>27</v>
      </c>
      <c r="B51" s="2" t="s">
        <v>809</v>
      </c>
      <c r="C51" s="2" t="s">
        <v>618</v>
      </c>
      <c r="D51" s="2" t="s">
        <v>810</v>
      </c>
      <c r="E51" s="2" t="s">
        <v>423</v>
      </c>
      <c r="F51" s="2" t="s">
        <v>509</v>
      </c>
      <c r="G51" s="2" t="s">
        <v>116</v>
      </c>
      <c r="H51" s="2">
        <v>21998099817</v>
      </c>
      <c r="I51" s="4">
        <v>32065</v>
      </c>
      <c r="J51" s="2">
        <v>34</v>
      </c>
      <c r="K51" s="2">
        <v>213056716</v>
      </c>
      <c r="L51" s="6">
        <v>5904431783</v>
      </c>
      <c r="M51" s="2" t="s">
        <v>811</v>
      </c>
      <c r="R51" s="2" t="s">
        <v>7</v>
      </c>
      <c r="S51" s="2" t="s">
        <v>812</v>
      </c>
      <c r="Z51" s="2" t="s">
        <v>813</v>
      </c>
      <c r="AA51" s="2">
        <v>117</v>
      </c>
      <c r="AB51" s="2"/>
      <c r="AC51" s="2"/>
      <c r="AD51" s="2" t="s">
        <v>814</v>
      </c>
      <c r="AE51" s="2" t="s">
        <v>9</v>
      </c>
      <c r="AG51" s="2" t="s">
        <v>12</v>
      </c>
    </row>
    <row r="52" spans="1:39" ht="12.5" x14ac:dyDescent="0.25">
      <c r="A52" s="2" t="s">
        <v>27</v>
      </c>
      <c r="B52" s="2" t="s">
        <v>815</v>
      </c>
      <c r="C52" s="2" t="s">
        <v>816</v>
      </c>
      <c r="D52" s="2" t="s">
        <v>817</v>
      </c>
      <c r="E52" s="2" t="s">
        <v>423</v>
      </c>
      <c r="F52" s="2" t="s">
        <v>494</v>
      </c>
      <c r="G52" s="2" t="s">
        <v>144</v>
      </c>
      <c r="H52" s="2">
        <v>11953054694</v>
      </c>
      <c r="I52" s="4">
        <v>30193</v>
      </c>
      <c r="J52" s="2">
        <v>39</v>
      </c>
      <c r="K52" s="2">
        <v>261480108</v>
      </c>
      <c r="L52" s="6">
        <v>30567961800</v>
      </c>
      <c r="M52" s="2" t="s">
        <v>818</v>
      </c>
      <c r="N52" s="2" t="s">
        <v>145</v>
      </c>
      <c r="R52" s="2" t="s">
        <v>7</v>
      </c>
      <c r="S52" s="2" t="s">
        <v>37</v>
      </c>
      <c r="Z52" s="2" t="s">
        <v>819</v>
      </c>
      <c r="AA52" s="2">
        <v>259</v>
      </c>
      <c r="AB52" s="2"/>
      <c r="AC52" s="2"/>
      <c r="AD52" s="2"/>
      <c r="AE52" s="2" t="s">
        <v>17</v>
      </c>
      <c r="AG52" s="2" t="s">
        <v>12</v>
      </c>
    </row>
    <row r="53" spans="1:39" ht="12.5" x14ac:dyDescent="0.25">
      <c r="A53" s="2" t="s">
        <v>2</v>
      </c>
      <c r="B53" s="2" t="s">
        <v>820</v>
      </c>
      <c r="C53" s="2" t="s">
        <v>821</v>
      </c>
      <c r="D53" s="2" t="s">
        <v>822</v>
      </c>
      <c r="E53" s="2" t="s">
        <v>423</v>
      </c>
      <c r="F53" s="2" t="s">
        <v>523</v>
      </c>
      <c r="G53" s="2"/>
      <c r="H53" s="2">
        <v>51980124645</v>
      </c>
      <c r="I53" s="5">
        <v>31106</v>
      </c>
      <c r="J53" s="2">
        <v>36</v>
      </c>
      <c r="K53" s="2">
        <v>1084578581</v>
      </c>
      <c r="L53" s="6">
        <v>377806030</v>
      </c>
      <c r="M53" s="2" t="s">
        <v>823</v>
      </c>
      <c r="R53" s="2" t="s">
        <v>7</v>
      </c>
      <c r="S53" s="2"/>
      <c r="Z53" s="2" t="s">
        <v>824</v>
      </c>
      <c r="AA53" s="2">
        <v>70</v>
      </c>
      <c r="AB53" s="2"/>
      <c r="AC53" s="2"/>
      <c r="AD53" s="2"/>
      <c r="AE53" s="2" t="s">
        <v>64</v>
      </c>
      <c r="AG53" s="2" t="s">
        <v>12</v>
      </c>
    </row>
    <row r="54" spans="1:39" ht="12.5" x14ac:dyDescent="0.25">
      <c r="A54" s="2" t="s">
        <v>2</v>
      </c>
      <c r="B54" s="2" t="s">
        <v>825</v>
      </c>
      <c r="C54" s="2" t="s">
        <v>826</v>
      </c>
      <c r="D54" s="2" t="s">
        <v>827</v>
      </c>
      <c r="E54" s="2" t="s">
        <v>423</v>
      </c>
      <c r="F54" s="2" t="s">
        <v>523</v>
      </c>
      <c r="G54" s="2"/>
      <c r="H54" s="2">
        <v>11957260556</v>
      </c>
      <c r="I54" s="4">
        <v>25641</v>
      </c>
      <c r="J54" s="2">
        <v>51</v>
      </c>
      <c r="K54" s="2">
        <v>224341339</v>
      </c>
      <c r="L54" s="6">
        <v>15689631817</v>
      </c>
      <c r="M54" s="2" t="s">
        <v>828</v>
      </c>
      <c r="N54" s="2"/>
      <c r="R54" s="2" t="s">
        <v>7</v>
      </c>
      <c r="S54" s="2"/>
      <c r="Z54" s="2" t="s">
        <v>829</v>
      </c>
      <c r="AA54" s="2">
        <v>1658</v>
      </c>
      <c r="AB54" s="2"/>
      <c r="AC54" s="2"/>
      <c r="AD54" s="2" t="s">
        <v>656</v>
      </c>
      <c r="AE54" s="2" t="s">
        <v>17</v>
      </c>
      <c r="AG54" s="2" t="s">
        <v>12</v>
      </c>
    </row>
    <row r="55" spans="1:39" ht="12.5" x14ac:dyDescent="0.25">
      <c r="A55" s="2" t="s">
        <v>27</v>
      </c>
      <c r="B55" s="2" t="s">
        <v>830</v>
      </c>
      <c r="C55" s="2" t="s">
        <v>831</v>
      </c>
      <c r="D55" s="2" t="s">
        <v>832</v>
      </c>
      <c r="E55" s="2" t="s">
        <v>423</v>
      </c>
      <c r="F55" s="2" t="s">
        <v>523</v>
      </c>
      <c r="G55" s="2" t="s">
        <v>147</v>
      </c>
      <c r="H55" s="2">
        <v>79996892013</v>
      </c>
      <c r="I55" s="4">
        <v>34122</v>
      </c>
      <c r="J55" s="2">
        <v>28</v>
      </c>
      <c r="K55" s="2">
        <v>1587222213</v>
      </c>
      <c r="L55" s="6">
        <v>5150424552</v>
      </c>
      <c r="M55" s="2" t="s">
        <v>833</v>
      </c>
      <c r="N55" s="2"/>
      <c r="R55" s="2" t="s">
        <v>7</v>
      </c>
      <c r="S55" s="2" t="s">
        <v>834</v>
      </c>
      <c r="V55" s="2"/>
      <c r="Z55" s="2" t="s">
        <v>149</v>
      </c>
      <c r="AA55" s="2" t="s">
        <v>607</v>
      </c>
      <c r="AB55" s="2"/>
      <c r="AC55" s="2" t="s">
        <v>150</v>
      </c>
      <c r="AD55" s="2" t="s">
        <v>835</v>
      </c>
      <c r="AE55" s="2" t="s">
        <v>148</v>
      </c>
      <c r="AF55" s="2"/>
      <c r="AG55" s="2" t="s">
        <v>12</v>
      </c>
      <c r="AH55" s="2"/>
      <c r="AI55" s="2"/>
      <c r="AL55" s="2"/>
      <c r="AM55" s="2"/>
    </row>
    <row r="56" spans="1:39" ht="12.5" x14ac:dyDescent="0.25">
      <c r="A56" s="2" t="s">
        <v>2</v>
      </c>
      <c r="B56" s="2" t="s">
        <v>836</v>
      </c>
      <c r="C56" s="2" t="s">
        <v>837</v>
      </c>
      <c r="D56" s="2" t="s">
        <v>838</v>
      </c>
      <c r="E56" s="2" t="s">
        <v>423</v>
      </c>
      <c r="F56" s="2" t="s">
        <v>523</v>
      </c>
      <c r="G56" s="2" t="s">
        <v>839</v>
      </c>
      <c r="H56" s="2">
        <v>85997118820</v>
      </c>
      <c r="I56" s="4">
        <v>33410</v>
      </c>
      <c r="J56" s="2">
        <v>30</v>
      </c>
      <c r="K56" s="2">
        <v>2005007012227</v>
      </c>
      <c r="L56" s="6">
        <v>4265310354</v>
      </c>
      <c r="M56" s="2" t="s">
        <v>510</v>
      </c>
      <c r="N56" s="2" t="s">
        <v>840</v>
      </c>
      <c r="R56" s="2" t="s">
        <v>20</v>
      </c>
      <c r="X56" s="2"/>
      <c r="Z56" s="2" t="s">
        <v>841</v>
      </c>
      <c r="AA56" s="2">
        <v>193</v>
      </c>
      <c r="AB56" s="2"/>
      <c r="AC56" s="2" t="s">
        <v>75</v>
      </c>
      <c r="AD56" s="2" t="s">
        <v>842</v>
      </c>
      <c r="AE56" s="2" t="s">
        <v>74</v>
      </c>
      <c r="AF56" s="2"/>
      <c r="AG56" s="2" t="s">
        <v>12</v>
      </c>
      <c r="AH56" s="2"/>
      <c r="AI56" s="2"/>
      <c r="AL56" s="2"/>
      <c r="AM56" s="2"/>
    </row>
    <row r="57" spans="1:39" ht="12.5" x14ac:dyDescent="0.25">
      <c r="A57" s="2" t="s">
        <v>2</v>
      </c>
      <c r="B57" s="2" t="s">
        <v>843</v>
      </c>
      <c r="C57" s="2" t="s">
        <v>844</v>
      </c>
      <c r="D57" s="2" t="s">
        <v>845</v>
      </c>
      <c r="E57" s="2" t="s">
        <v>423</v>
      </c>
      <c r="F57" s="2" t="s">
        <v>523</v>
      </c>
      <c r="G57" s="2" t="s">
        <v>846</v>
      </c>
      <c r="H57" s="2">
        <v>21996779604</v>
      </c>
      <c r="I57" s="4">
        <v>31029</v>
      </c>
      <c r="J57" s="2">
        <v>37</v>
      </c>
      <c r="K57" s="2">
        <v>206081564</v>
      </c>
      <c r="L57" s="6">
        <v>10239957784</v>
      </c>
      <c r="M57" s="2" t="s">
        <v>532</v>
      </c>
      <c r="N57" s="2"/>
      <c r="R57" s="2" t="s">
        <v>7</v>
      </c>
      <c r="S57" s="2"/>
      <c r="X57" s="2"/>
      <c r="Z57" s="2" t="s">
        <v>847</v>
      </c>
      <c r="AA57" s="2" t="s">
        <v>848</v>
      </c>
      <c r="AB57" s="2"/>
      <c r="AC57" s="2" t="s">
        <v>152</v>
      </c>
      <c r="AD57" s="2"/>
      <c r="AE57" s="2" t="s">
        <v>9</v>
      </c>
      <c r="AF57" s="2"/>
      <c r="AG57" s="2" t="s">
        <v>12</v>
      </c>
      <c r="AH57" s="2"/>
      <c r="AI57" s="2"/>
      <c r="AL57" s="2"/>
      <c r="AM57" s="2"/>
    </row>
    <row r="58" spans="1:39" ht="12.5" x14ac:dyDescent="0.25">
      <c r="A58" s="2" t="s">
        <v>27</v>
      </c>
      <c r="B58" s="2" t="s">
        <v>849</v>
      </c>
      <c r="C58" s="2" t="s">
        <v>850</v>
      </c>
      <c r="D58" s="2" t="s">
        <v>851</v>
      </c>
      <c r="E58" s="2" t="s">
        <v>423</v>
      </c>
      <c r="F58" s="2" t="s">
        <v>509</v>
      </c>
      <c r="G58" s="2" t="s">
        <v>73</v>
      </c>
      <c r="H58" s="2">
        <v>85994357303</v>
      </c>
      <c r="I58" s="4">
        <v>30305</v>
      </c>
      <c r="J58" s="2">
        <v>39</v>
      </c>
      <c r="K58" s="2">
        <v>98012046966</v>
      </c>
      <c r="L58" s="6">
        <v>94089573415</v>
      </c>
      <c r="M58" s="2" t="s">
        <v>852</v>
      </c>
      <c r="N58" s="2"/>
      <c r="R58" s="2" t="s">
        <v>7</v>
      </c>
      <c r="S58" s="2" t="s">
        <v>853</v>
      </c>
      <c r="Z58" s="2" t="s">
        <v>854</v>
      </c>
      <c r="AA58" s="2" t="s">
        <v>607</v>
      </c>
      <c r="AB58" s="2"/>
      <c r="AC58" s="2" t="s">
        <v>75</v>
      </c>
      <c r="AD58" s="2" t="s">
        <v>76</v>
      </c>
      <c r="AE58" s="2" t="s">
        <v>74</v>
      </c>
      <c r="AG58" s="2" t="s">
        <v>12</v>
      </c>
    </row>
    <row r="59" spans="1:39" ht="12.5" x14ac:dyDescent="0.25">
      <c r="A59" s="2" t="s">
        <v>27</v>
      </c>
      <c r="B59" s="2" t="s">
        <v>855</v>
      </c>
      <c r="C59" s="2" t="s">
        <v>521</v>
      </c>
      <c r="D59" s="2" t="s">
        <v>856</v>
      </c>
      <c r="E59" s="2" t="s">
        <v>423</v>
      </c>
      <c r="F59" s="2" t="s">
        <v>523</v>
      </c>
      <c r="G59" s="2" t="s">
        <v>78</v>
      </c>
      <c r="H59" s="2">
        <v>11983587946</v>
      </c>
      <c r="I59" s="5">
        <v>29859</v>
      </c>
      <c r="J59" s="2">
        <v>40</v>
      </c>
      <c r="K59" s="2">
        <v>34866090</v>
      </c>
      <c r="L59" s="6">
        <v>22081401843</v>
      </c>
      <c r="M59" s="2" t="s">
        <v>510</v>
      </c>
      <c r="R59" s="2" t="s">
        <v>7</v>
      </c>
      <c r="S59" s="2" t="s">
        <v>857</v>
      </c>
      <c r="Z59" s="2" t="s">
        <v>79</v>
      </c>
      <c r="AA59" s="2">
        <v>62</v>
      </c>
      <c r="AB59" s="2" t="s">
        <v>858</v>
      </c>
      <c r="AC59" s="2" t="s">
        <v>21</v>
      </c>
      <c r="AD59" s="2" t="s">
        <v>80</v>
      </c>
      <c r="AE59" s="2" t="s">
        <v>17</v>
      </c>
      <c r="AG59" s="2" t="s">
        <v>12</v>
      </c>
    </row>
    <row r="60" spans="1:39" ht="12.5" x14ac:dyDescent="0.25">
      <c r="A60" s="2" t="s">
        <v>66</v>
      </c>
      <c r="B60" s="2" t="s">
        <v>859</v>
      </c>
      <c r="C60" s="2" t="s">
        <v>860</v>
      </c>
      <c r="D60" s="2" t="s">
        <v>861</v>
      </c>
      <c r="E60" s="2" t="s">
        <v>423</v>
      </c>
      <c r="F60" s="2" t="s">
        <v>503</v>
      </c>
      <c r="G60" s="2" t="s">
        <v>862</v>
      </c>
      <c r="H60" s="2">
        <v>11948701512</v>
      </c>
      <c r="I60" s="4">
        <v>32255</v>
      </c>
      <c r="J60" s="2">
        <v>33</v>
      </c>
      <c r="K60" s="2">
        <v>343002061</v>
      </c>
      <c r="L60" s="6">
        <v>35973851842</v>
      </c>
      <c r="M60" s="2" t="s">
        <v>510</v>
      </c>
      <c r="N60" s="2" t="s">
        <v>863</v>
      </c>
      <c r="P60" s="2" t="s">
        <v>864</v>
      </c>
      <c r="R60" s="2" t="s">
        <v>7</v>
      </c>
      <c r="S60" s="2"/>
      <c r="T60" s="2" t="s">
        <v>461</v>
      </c>
      <c r="U60" s="2" t="s">
        <v>865</v>
      </c>
      <c r="Z60" s="2" t="s">
        <v>866</v>
      </c>
      <c r="AA60" s="2">
        <v>60</v>
      </c>
      <c r="AC60" s="2" t="s">
        <v>70</v>
      </c>
      <c r="AD60" s="2" t="s">
        <v>867</v>
      </c>
      <c r="AE60" s="2" t="s">
        <v>17</v>
      </c>
      <c r="AG60" s="2" t="s">
        <v>12</v>
      </c>
    </row>
    <row r="61" spans="1:39" ht="12.5" x14ac:dyDescent="0.25">
      <c r="A61" s="2" t="s">
        <v>66</v>
      </c>
      <c r="B61" s="2" t="s">
        <v>868</v>
      </c>
      <c r="C61" s="2" t="s">
        <v>535</v>
      </c>
      <c r="D61" s="2" t="s">
        <v>869</v>
      </c>
      <c r="E61" s="2" t="s">
        <v>423</v>
      </c>
      <c r="F61" s="2"/>
      <c r="G61" s="2" t="s">
        <v>870</v>
      </c>
      <c r="H61" s="2" t="s">
        <v>871</v>
      </c>
      <c r="I61" s="5">
        <v>33926</v>
      </c>
      <c r="J61" s="2">
        <v>29</v>
      </c>
      <c r="K61" s="2">
        <v>490212335</v>
      </c>
      <c r="L61" s="6">
        <v>41187012866</v>
      </c>
      <c r="M61" s="2" t="s">
        <v>872</v>
      </c>
      <c r="N61" s="2" t="s">
        <v>863</v>
      </c>
      <c r="O61" s="2"/>
      <c r="P61" s="2"/>
      <c r="R61" s="2" t="s">
        <v>7</v>
      </c>
      <c r="S61" s="2"/>
      <c r="T61" s="2"/>
      <c r="U61" s="2"/>
      <c r="X61" s="2" t="s">
        <v>429</v>
      </c>
      <c r="Z61" s="2" t="s">
        <v>873</v>
      </c>
      <c r="AA61" s="2">
        <v>100</v>
      </c>
      <c r="AB61" s="2" t="s">
        <v>874</v>
      </c>
      <c r="AC61" s="2" t="s">
        <v>62</v>
      </c>
      <c r="AD61" s="2" t="s">
        <v>875</v>
      </c>
      <c r="AE61" s="2" t="s">
        <v>17</v>
      </c>
      <c r="AF61" s="2" t="s">
        <v>454</v>
      </c>
      <c r="AG61" s="2" t="s">
        <v>444</v>
      </c>
      <c r="AH61" s="2" t="s">
        <v>435</v>
      </c>
      <c r="AI61" s="2">
        <v>3</v>
      </c>
      <c r="AL61" s="2" t="s">
        <v>876</v>
      </c>
      <c r="AM61" s="2" t="s">
        <v>877</v>
      </c>
    </row>
    <row r="62" spans="1:39" ht="12.5" x14ac:dyDescent="0.25">
      <c r="A62" s="2" t="s">
        <v>66</v>
      </c>
      <c r="B62" s="2" t="s">
        <v>878</v>
      </c>
      <c r="C62" s="2" t="s">
        <v>584</v>
      </c>
      <c r="D62" s="2" t="s">
        <v>879</v>
      </c>
      <c r="E62" s="2" t="s">
        <v>423</v>
      </c>
      <c r="F62" s="2" t="s">
        <v>503</v>
      </c>
      <c r="G62" s="2" t="s">
        <v>880</v>
      </c>
      <c r="H62" s="2" t="s">
        <v>881</v>
      </c>
      <c r="I62" s="4">
        <v>30840</v>
      </c>
      <c r="J62" s="2">
        <v>37</v>
      </c>
      <c r="K62" s="2">
        <v>345660560</v>
      </c>
      <c r="L62" s="6">
        <v>32640916823</v>
      </c>
      <c r="M62" s="2" t="s">
        <v>532</v>
      </c>
      <c r="N62" s="2" t="s">
        <v>882</v>
      </c>
      <c r="O62" s="2" t="s">
        <v>883</v>
      </c>
      <c r="P62" s="2" t="s">
        <v>864</v>
      </c>
      <c r="R62" s="2" t="s">
        <v>20</v>
      </c>
      <c r="T62" s="2" t="s">
        <v>461</v>
      </c>
      <c r="U62" s="2" t="s">
        <v>865</v>
      </c>
      <c r="X62" s="2" t="s">
        <v>429</v>
      </c>
      <c r="Z62" s="2" t="s">
        <v>884</v>
      </c>
      <c r="AA62" s="2">
        <v>253</v>
      </c>
      <c r="AB62" s="2"/>
      <c r="AC62" s="2" t="s">
        <v>21</v>
      </c>
      <c r="AD62" s="2" t="s">
        <v>885</v>
      </c>
      <c r="AE62" s="2" t="s">
        <v>17</v>
      </c>
      <c r="AF62" s="2" t="s">
        <v>454</v>
      </c>
      <c r="AG62" s="2" t="s">
        <v>444</v>
      </c>
      <c r="AH62" s="2" t="s">
        <v>435</v>
      </c>
      <c r="AI62" s="2">
        <v>4</v>
      </c>
      <c r="AL62" s="2" t="s">
        <v>886</v>
      </c>
      <c r="AM62" s="2" t="s">
        <v>887</v>
      </c>
    </row>
    <row r="63" spans="1:39" ht="12.5" x14ac:dyDescent="0.25">
      <c r="A63" s="2" t="s">
        <v>2</v>
      </c>
      <c r="B63" s="2" t="s">
        <v>888</v>
      </c>
      <c r="C63" s="2" t="s">
        <v>889</v>
      </c>
      <c r="D63" s="2" t="s">
        <v>890</v>
      </c>
      <c r="E63" s="2" t="s">
        <v>423</v>
      </c>
      <c r="F63" s="2" t="s">
        <v>523</v>
      </c>
      <c r="G63" s="2" t="s">
        <v>891</v>
      </c>
      <c r="H63" s="2">
        <v>13997400586</v>
      </c>
      <c r="I63" s="4">
        <v>33719</v>
      </c>
      <c r="J63" s="2">
        <v>29</v>
      </c>
      <c r="K63" s="2" t="s">
        <v>892</v>
      </c>
      <c r="L63" s="6">
        <v>39923214877</v>
      </c>
      <c r="M63" s="2" t="s">
        <v>893</v>
      </c>
      <c r="N63" s="2" t="s">
        <v>894</v>
      </c>
      <c r="R63" s="2" t="s">
        <v>20</v>
      </c>
      <c r="V63" s="2"/>
      <c r="Z63" s="2" t="s">
        <v>117</v>
      </c>
      <c r="AA63" s="2">
        <v>922</v>
      </c>
      <c r="AB63" s="2"/>
      <c r="AC63" s="2" t="s">
        <v>118</v>
      </c>
      <c r="AD63" s="2" t="s">
        <v>119</v>
      </c>
      <c r="AE63" s="2" t="s">
        <v>17</v>
      </c>
      <c r="AF63" s="2"/>
      <c r="AG63" s="2" t="s">
        <v>12</v>
      </c>
      <c r="AH63" s="2"/>
      <c r="AI63" s="2"/>
      <c r="AL63" s="2"/>
      <c r="AM63" s="2"/>
    </row>
    <row r="64" spans="1:39" ht="12.5" x14ac:dyDescent="0.25">
      <c r="A64" s="2" t="s">
        <v>2</v>
      </c>
      <c r="B64" s="2" t="s">
        <v>895</v>
      </c>
      <c r="C64" s="2" t="s">
        <v>896</v>
      </c>
      <c r="D64" s="2" t="s">
        <v>897</v>
      </c>
      <c r="E64" s="2" t="s">
        <v>423</v>
      </c>
      <c r="F64" s="2" t="s">
        <v>509</v>
      </c>
      <c r="G64" s="2" t="s">
        <v>898</v>
      </c>
      <c r="H64" s="2" t="s">
        <v>899</v>
      </c>
      <c r="I64" s="4">
        <v>32072</v>
      </c>
      <c r="J64" s="2">
        <v>34</v>
      </c>
      <c r="K64" s="2">
        <v>554474177</v>
      </c>
      <c r="L64" s="6">
        <v>4007657564</v>
      </c>
      <c r="M64" s="2" t="s">
        <v>900</v>
      </c>
      <c r="N64" s="2"/>
      <c r="R64" s="2" t="s">
        <v>7</v>
      </c>
      <c r="X64" s="2"/>
      <c r="Z64" s="2" t="s">
        <v>901</v>
      </c>
      <c r="AA64" s="2">
        <v>830</v>
      </c>
      <c r="AB64" s="2"/>
      <c r="AC64" s="2" t="s">
        <v>21</v>
      </c>
      <c r="AD64" s="2" t="s">
        <v>902</v>
      </c>
      <c r="AE64" s="2" t="s">
        <v>17</v>
      </c>
      <c r="AF64" s="2"/>
      <c r="AG64" s="2" t="s">
        <v>12</v>
      </c>
      <c r="AH64" s="2"/>
      <c r="AI64" s="2"/>
      <c r="AL64" s="2"/>
      <c r="AM64" s="2"/>
    </row>
    <row r="65" spans="1:39" ht="12.5" x14ac:dyDescent="0.25">
      <c r="A65" s="2" t="s">
        <v>2</v>
      </c>
      <c r="B65" s="2" t="s">
        <v>903</v>
      </c>
      <c r="C65" s="2" t="s">
        <v>904</v>
      </c>
      <c r="D65" s="2" t="s">
        <v>905</v>
      </c>
      <c r="E65" s="2" t="s">
        <v>423</v>
      </c>
      <c r="F65" s="2" t="s">
        <v>523</v>
      </c>
      <c r="G65" s="2" t="s">
        <v>906</v>
      </c>
      <c r="H65" s="2">
        <v>997016384</v>
      </c>
      <c r="I65" s="4">
        <v>28750</v>
      </c>
      <c r="J65" s="2">
        <v>43</v>
      </c>
      <c r="K65" s="2">
        <v>1468344</v>
      </c>
      <c r="L65" s="6">
        <v>8491423770</v>
      </c>
      <c r="M65" s="2" t="s">
        <v>730</v>
      </c>
      <c r="N65" s="2" t="s">
        <v>907</v>
      </c>
      <c r="P65" s="2"/>
      <c r="R65" s="2" t="s">
        <v>20</v>
      </c>
      <c r="T65" s="2"/>
      <c r="U65" s="2"/>
      <c r="X65" s="2"/>
      <c r="Z65" s="2" t="s">
        <v>908</v>
      </c>
      <c r="AA65" s="2">
        <v>69</v>
      </c>
      <c r="AB65" s="2"/>
      <c r="AC65" s="2" t="s">
        <v>123</v>
      </c>
      <c r="AD65" s="2">
        <v>29166054</v>
      </c>
      <c r="AE65" s="2" t="s">
        <v>50</v>
      </c>
      <c r="AF65" s="2"/>
      <c r="AG65" s="2" t="s">
        <v>12</v>
      </c>
      <c r="AH65" s="2"/>
      <c r="AI65" s="2"/>
      <c r="AL65" s="2"/>
      <c r="AM65" s="2"/>
    </row>
    <row r="66" spans="1:39" ht="12.5" x14ac:dyDescent="0.25">
      <c r="A66" s="2" t="s">
        <v>2</v>
      </c>
      <c r="B66" s="2" t="s">
        <v>909</v>
      </c>
      <c r="C66" s="2" t="s">
        <v>658</v>
      </c>
      <c r="D66" s="2" t="s">
        <v>910</v>
      </c>
      <c r="E66" s="2" t="s">
        <v>423</v>
      </c>
      <c r="F66" s="2" t="s">
        <v>523</v>
      </c>
      <c r="G66" s="2" t="s">
        <v>911</v>
      </c>
      <c r="H66" s="2">
        <v>85999853687</v>
      </c>
      <c r="I66" s="4">
        <v>20958</v>
      </c>
      <c r="J66" s="2">
        <v>64</v>
      </c>
      <c r="K66" s="2">
        <v>95002672606</v>
      </c>
      <c r="L66" s="6">
        <v>9164235300</v>
      </c>
      <c r="M66" s="2" t="s">
        <v>912</v>
      </c>
      <c r="N66" s="2"/>
      <c r="R66" s="2" t="s">
        <v>7</v>
      </c>
      <c r="X66" s="2"/>
      <c r="Z66" s="2" t="s">
        <v>913</v>
      </c>
      <c r="AA66" s="2">
        <v>640</v>
      </c>
      <c r="AB66" s="2"/>
      <c r="AC66" s="2" t="s">
        <v>75</v>
      </c>
      <c r="AD66" s="2">
        <v>60160250</v>
      </c>
      <c r="AE66" s="2" t="s">
        <v>74</v>
      </c>
      <c r="AF66" s="2"/>
      <c r="AG66" s="2" t="s">
        <v>12</v>
      </c>
      <c r="AH66" s="2"/>
      <c r="AI66" s="2"/>
      <c r="AL66" s="2"/>
      <c r="AM66" s="2"/>
    </row>
    <row r="67" spans="1:39" ht="12.5" x14ac:dyDescent="0.25">
      <c r="A67" s="2" t="s">
        <v>27</v>
      </c>
      <c r="B67" s="2" t="s">
        <v>914</v>
      </c>
      <c r="C67" s="2" t="s">
        <v>915</v>
      </c>
      <c r="D67" s="2" t="s">
        <v>916</v>
      </c>
      <c r="E67" s="2" t="s">
        <v>423</v>
      </c>
      <c r="F67" s="2" t="s">
        <v>509</v>
      </c>
      <c r="G67" s="2" t="s">
        <v>153</v>
      </c>
      <c r="H67" s="2">
        <v>11952342824</v>
      </c>
      <c r="I67" s="4">
        <v>30808</v>
      </c>
      <c r="J67" s="2">
        <v>37</v>
      </c>
      <c r="K67" s="2">
        <v>405981041</v>
      </c>
      <c r="L67" s="6">
        <v>33155032812</v>
      </c>
      <c r="M67" s="2" t="s">
        <v>917</v>
      </c>
      <c r="N67" s="2"/>
      <c r="R67" s="2" t="s">
        <v>7</v>
      </c>
      <c r="S67" s="2" t="s">
        <v>918</v>
      </c>
      <c r="Z67" s="2" t="s">
        <v>919</v>
      </c>
      <c r="AA67" s="2">
        <v>398</v>
      </c>
      <c r="AB67" s="2" t="s">
        <v>920</v>
      </c>
      <c r="AC67" s="2" t="s">
        <v>21</v>
      </c>
      <c r="AD67" s="2" t="s">
        <v>921</v>
      </c>
      <c r="AE67" s="2" t="s">
        <v>17</v>
      </c>
      <c r="AG67" s="2" t="s">
        <v>12</v>
      </c>
    </row>
    <row r="68" spans="1:39" ht="12.5" x14ac:dyDescent="0.25">
      <c r="A68" s="2" t="s">
        <v>2</v>
      </c>
      <c r="B68" s="2" t="s">
        <v>922</v>
      </c>
      <c r="C68" s="2" t="s">
        <v>923</v>
      </c>
      <c r="D68" s="2" t="s">
        <v>924</v>
      </c>
      <c r="E68" s="2" t="s">
        <v>423</v>
      </c>
      <c r="F68" s="2" t="s">
        <v>509</v>
      </c>
      <c r="G68" s="2" t="s">
        <v>925</v>
      </c>
      <c r="H68" s="2">
        <v>11978473222</v>
      </c>
      <c r="I68" s="4">
        <v>34907</v>
      </c>
      <c r="J68" s="2">
        <v>26</v>
      </c>
      <c r="K68" s="2">
        <v>475470308</v>
      </c>
      <c r="L68" s="6">
        <v>43181241857</v>
      </c>
      <c r="M68" s="2" t="s">
        <v>926</v>
      </c>
      <c r="N68" s="2"/>
      <c r="R68" s="2" t="s">
        <v>20</v>
      </c>
      <c r="S68" s="2"/>
      <c r="Z68" s="2" t="s">
        <v>155</v>
      </c>
      <c r="AA68" s="2">
        <v>1324</v>
      </c>
      <c r="AB68" s="2"/>
      <c r="AC68" s="2" t="s">
        <v>21</v>
      </c>
      <c r="AD68" s="2" t="s">
        <v>927</v>
      </c>
      <c r="AE68" s="2" t="s">
        <v>17</v>
      </c>
      <c r="AG68" s="2" t="s">
        <v>12</v>
      </c>
    </row>
    <row r="69" spans="1:39" ht="12.5" x14ac:dyDescent="0.25">
      <c r="A69" s="2" t="s">
        <v>27</v>
      </c>
      <c r="B69" s="2" t="s">
        <v>928</v>
      </c>
      <c r="C69" s="2" t="s">
        <v>929</v>
      </c>
      <c r="D69" s="2" t="s">
        <v>930</v>
      </c>
      <c r="E69" s="2" t="s">
        <v>423</v>
      </c>
      <c r="F69" s="2" t="s">
        <v>509</v>
      </c>
      <c r="G69" s="2" t="s">
        <v>156</v>
      </c>
      <c r="H69" s="2">
        <v>11989830049</v>
      </c>
      <c r="I69" s="4">
        <v>28217</v>
      </c>
      <c r="J69" s="2">
        <v>44</v>
      </c>
      <c r="K69" s="2">
        <v>117023863</v>
      </c>
      <c r="L69" s="6">
        <v>25480870858</v>
      </c>
      <c r="M69" s="2" t="s">
        <v>931</v>
      </c>
      <c r="R69" s="2" t="s">
        <v>7</v>
      </c>
      <c r="S69" s="2" t="s">
        <v>932</v>
      </c>
      <c r="Z69" s="2" t="s">
        <v>933</v>
      </c>
      <c r="AA69" s="2">
        <v>1257</v>
      </c>
      <c r="AB69" s="2"/>
      <c r="AC69" s="2" t="s">
        <v>21</v>
      </c>
      <c r="AD69" s="2" t="s">
        <v>934</v>
      </c>
      <c r="AE69" s="2" t="s">
        <v>17</v>
      </c>
      <c r="AG69" s="2" t="s">
        <v>12</v>
      </c>
    </row>
    <row r="70" spans="1:39" ht="12.5" x14ac:dyDescent="0.25">
      <c r="A70" s="2" t="s">
        <v>27</v>
      </c>
      <c r="B70" s="2" t="s">
        <v>935</v>
      </c>
      <c r="C70" s="2" t="s">
        <v>936</v>
      </c>
      <c r="D70" s="2" t="s">
        <v>937</v>
      </c>
      <c r="E70" s="2" t="s">
        <v>423</v>
      </c>
      <c r="F70" s="2" t="s">
        <v>509</v>
      </c>
      <c r="G70" s="2" t="s">
        <v>157</v>
      </c>
      <c r="H70" s="2">
        <v>37991988847</v>
      </c>
      <c r="I70" s="4">
        <v>22007</v>
      </c>
      <c r="J70" s="2">
        <v>61</v>
      </c>
      <c r="K70" s="2" t="s">
        <v>938</v>
      </c>
      <c r="L70" s="6">
        <v>3664345860</v>
      </c>
      <c r="M70" s="2" t="s">
        <v>939</v>
      </c>
      <c r="N70" s="2"/>
      <c r="R70" s="2" t="s">
        <v>7</v>
      </c>
      <c r="S70" s="2" t="s">
        <v>940</v>
      </c>
      <c r="Z70" s="2" t="s">
        <v>941</v>
      </c>
      <c r="AA70" s="2">
        <v>980</v>
      </c>
      <c r="AC70" s="2"/>
      <c r="AD70" s="2">
        <v>35500533</v>
      </c>
      <c r="AE70" s="2" t="s">
        <v>13</v>
      </c>
      <c r="AG70" s="2" t="s">
        <v>12</v>
      </c>
    </row>
    <row r="71" spans="1:39" ht="12.5" x14ac:dyDescent="0.25">
      <c r="A71" s="2" t="s">
        <v>2</v>
      </c>
      <c r="B71" s="2" t="s">
        <v>942</v>
      </c>
      <c r="C71" s="2" t="s">
        <v>943</v>
      </c>
      <c r="D71" s="2" t="s">
        <v>944</v>
      </c>
      <c r="E71" s="2" t="s">
        <v>423</v>
      </c>
      <c r="F71" s="2" t="s">
        <v>523</v>
      </c>
      <c r="G71" s="2" t="s">
        <v>945</v>
      </c>
      <c r="H71" s="2">
        <v>21971838259</v>
      </c>
      <c r="I71" s="4">
        <v>25916</v>
      </c>
      <c r="J71" s="2">
        <v>51</v>
      </c>
      <c r="K71" s="2">
        <v>82982901</v>
      </c>
      <c r="L71" s="6">
        <v>98204467753</v>
      </c>
      <c r="M71" s="2" t="s">
        <v>946</v>
      </c>
      <c r="N71" s="2"/>
      <c r="R71" s="2" t="s">
        <v>7</v>
      </c>
      <c r="S71" s="2"/>
      <c r="Z71" s="2" t="s">
        <v>947</v>
      </c>
      <c r="AA71" s="2">
        <v>52</v>
      </c>
      <c r="AB71" s="2"/>
      <c r="AC71" s="2" t="s">
        <v>159</v>
      </c>
      <c r="AD71" s="2" t="s">
        <v>948</v>
      </c>
      <c r="AE71" s="2" t="s">
        <v>9</v>
      </c>
      <c r="AG71" s="2" t="s">
        <v>12</v>
      </c>
    </row>
    <row r="72" spans="1:39" ht="12.5" x14ac:dyDescent="0.25">
      <c r="A72" s="2" t="s">
        <v>2</v>
      </c>
      <c r="B72" s="2" t="s">
        <v>949</v>
      </c>
      <c r="C72" s="2" t="s">
        <v>950</v>
      </c>
      <c r="D72" s="2" t="s">
        <v>951</v>
      </c>
      <c r="E72" s="2" t="s">
        <v>423</v>
      </c>
      <c r="F72" s="2" t="s">
        <v>523</v>
      </c>
      <c r="G72" s="2" t="s">
        <v>952</v>
      </c>
      <c r="H72" s="2">
        <v>21964499387</v>
      </c>
      <c r="I72" s="4">
        <v>30580</v>
      </c>
      <c r="J72" s="2">
        <v>38</v>
      </c>
      <c r="K72" s="2" t="s">
        <v>953</v>
      </c>
      <c r="L72" s="6">
        <v>9714638755</v>
      </c>
      <c r="M72" s="2" t="s">
        <v>954</v>
      </c>
      <c r="N72" s="2" t="s">
        <v>955</v>
      </c>
      <c r="P72" s="2"/>
      <c r="R72" s="2" t="s">
        <v>7</v>
      </c>
      <c r="T72" s="2"/>
      <c r="U72" s="2"/>
      <c r="V72" s="2"/>
      <c r="Z72" s="2" t="s">
        <v>956</v>
      </c>
      <c r="AA72" s="2">
        <v>625</v>
      </c>
      <c r="AC72" s="2" t="s">
        <v>120</v>
      </c>
      <c r="AD72" s="2" t="s">
        <v>957</v>
      </c>
      <c r="AE72" s="2" t="s">
        <v>9</v>
      </c>
      <c r="AF72" s="2"/>
      <c r="AG72" s="2" t="s">
        <v>12</v>
      </c>
      <c r="AH72" s="2"/>
      <c r="AI72" s="2"/>
      <c r="AL72" s="2"/>
      <c r="AM72" s="2"/>
    </row>
    <row r="73" spans="1:39" ht="12.5" x14ac:dyDescent="0.25">
      <c r="A73" s="2" t="s">
        <v>2</v>
      </c>
      <c r="B73" s="2" t="s">
        <v>958</v>
      </c>
      <c r="C73" s="2" t="s">
        <v>959</v>
      </c>
      <c r="D73" s="2" t="s">
        <v>960</v>
      </c>
      <c r="E73" s="2" t="s">
        <v>423</v>
      </c>
      <c r="F73" s="2" t="s">
        <v>523</v>
      </c>
      <c r="G73" s="2" t="s">
        <v>961</v>
      </c>
      <c r="H73" s="2">
        <v>48984473140</v>
      </c>
      <c r="I73" s="5">
        <v>30502</v>
      </c>
      <c r="J73" s="2">
        <v>38</v>
      </c>
      <c r="K73" s="2">
        <v>44161093</v>
      </c>
      <c r="L73" s="6">
        <v>827184905</v>
      </c>
      <c r="M73" s="2" t="s">
        <v>962</v>
      </c>
      <c r="N73" s="2" t="s">
        <v>963</v>
      </c>
      <c r="O73" s="2"/>
      <c r="P73" s="2"/>
      <c r="R73" s="2" t="s">
        <v>20</v>
      </c>
      <c r="T73" s="2"/>
      <c r="U73" s="2"/>
      <c r="V73" s="2"/>
      <c r="Z73" s="2" t="s">
        <v>163</v>
      </c>
      <c r="AA73" s="2">
        <v>209</v>
      </c>
      <c r="AC73" s="2" t="s">
        <v>164</v>
      </c>
      <c r="AD73" s="2"/>
      <c r="AE73" s="2" t="s">
        <v>84</v>
      </c>
      <c r="AF73" s="2"/>
      <c r="AG73" s="2" t="s">
        <v>12</v>
      </c>
      <c r="AH73" s="2"/>
      <c r="AI73" s="2"/>
      <c r="AL73" s="2"/>
      <c r="AM73" s="2"/>
    </row>
    <row r="74" spans="1:39" ht="12.5" x14ac:dyDescent="0.25">
      <c r="A74" s="2" t="s">
        <v>2</v>
      </c>
      <c r="B74" s="2" t="s">
        <v>964</v>
      </c>
      <c r="C74" s="2" t="s">
        <v>965</v>
      </c>
      <c r="D74" s="2" t="s">
        <v>966</v>
      </c>
      <c r="E74" s="2" t="s">
        <v>423</v>
      </c>
      <c r="F74" s="2" t="s">
        <v>523</v>
      </c>
      <c r="G74" s="2" t="s">
        <v>967</v>
      </c>
      <c r="H74" s="2">
        <v>11942506555</v>
      </c>
      <c r="I74" s="4">
        <v>21400</v>
      </c>
      <c r="J74" s="2">
        <v>63</v>
      </c>
      <c r="K74" s="2" t="s">
        <v>968</v>
      </c>
      <c r="L74" s="6">
        <v>29370671900</v>
      </c>
      <c r="M74" s="2" t="s">
        <v>969</v>
      </c>
      <c r="N74" s="2" t="s">
        <v>970</v>
      </c>
      <c r="R74" s="2" t="s">
        <v>20</v>
      </c>
      <c r="S74" s="2"/>
      <c r="Z74" s="2" t="s">
        <v>971</v>
      </c>
      <c r="AA74" s="2" t="s">
        <v>972</v>
      </c>
      <c r="AB74" s="2" t="s">
        <v>973</v>
      </c>
      <c r="AC74" s="2" t="s">
        <v>165</v>
      </c>
      <c r="AD74" s="2" t="s">
        <v>974</v>
      </c>
      <c r="AE74" s="2" t="s">
        <v>17</v>
      </c>
      <c r="AG74" s="2" t="s">
        <v>12</v>
      </c>
    </row>
    <row r="75" spans="1:39" ht="12.5" x14ac:dyDescent="0.25">
      <c r="A75" s="2" t="s">
        <v>2</v>
      </c>
      <c r="B75" s="2" t="s">
        <v>975</v>
      </c>
      <c r="C75" s="2" t="s">
        <v>976</v>
      </c>
      <c r="D75" s="2" t="s">
        <v>977</v>
      </c>
      <c r="E75" s="2" t="s">
        <v>423</v>
      </c>
      <c r="F75" s="2" t="s">
        <v>523</v>
      </c>
      <c r="G75" s="2" t="s">
        <v>978</v>
      </c>
      <c r="H75" s="2">
        <v>83999025942</v>
      </c>
      <c r="I75" s="4">
        <v>27469</v>
      </c>
      <c r="J75" s="2">
        <v>46</v>
      </c>
      <c r="K75" s="2" t="s">
        <v>979</v>
      </c>
      <c r="L75" s="6">
        <v>2570252433</v>
      </c>
      <c r="M75" s="2" t="s">
        <v>980</v>
      </c>
      <c r="N75" s="2" t="s">
        <v>981</v>
      </c>
      <c r="R75" s="2" t="s">
        <v>7</v>
      </c>
      <c r="Z75" s="2" t="s">
        <v>982</v>
      </c>
      <c r="AA75" s="2" t="s">
        <v>983</v>
      </c>
      <c r="AB75" s="2"/>
      <c r="AC75" s="2" t="s">
        <v>167</v>
      </c>
      <c r="AD75" s="2" t="s">
        <v>984</v>
      </c>
      <c r="AE75" s="2" t="s">
        <v>166</v>
      </c>
      <c r="AG75" s="2" t="s">
        <v>12</v>
      </c>
    </row>
    <row r="76" spans="1:39" ht="12.5" x14ac:dyDescent="0.25">
      <c r="A76" s="2" t="s">
        <v>2</v>
      </c>
      <c r="B76" s="2" t="s">
        <v>985</v>
      </c>
      <c r="C76" s="2" t="s">
        <v>521</v>
      </c>
      <c r="D76" s="2" t="s">
        <v>986</v>
      </c>
      <c r="E76" s="2" t="s">
        <v>423</v>
      </c>
      <c r="F76" s="2" t="s">
        <v>523</v>
      </c>
      <c r="G76" s="2" t="s">
        <v>987</v>
      </c>
      <c r="H76" s="2">
        <v>21988025664</v>
      </c>
      <c r="I76" s="4">
        <v>28130</v>
      </c>
      <c r="J76" s="2">
        <v>44</v>
      </c>
      <c r="K76" s="2" t="s">
        <v>988</v>
      </c>
      <c r="L76" s="6">
        <v>7601852717</v>
      </c>
      <c r="M76" s="2" t="s">
        <v>730</v>
      </c>
      <c r="N76" s="2" t="s">
        <v>989</v>
      </c>
      <c r="R76" s="2" t="s">
        <v>20</v>
      </c>
      <c r="S76" s="2"/>
      <c r="Z76" s="2" t="s">
        <v>990</v>
      </c>
      <c r="AA76" s="2" t="s">
        <v>991</v>
      </c>
      <c r="AB76" s="2"/>
      <c r="AC76" s="2" t="s">
        <v>169</v>
      </c>
      <c r="AD76" s="2" t="s">
        <v>992</v>
      </c>
      <c r="AE76" s="2" t="s">
        <v>9</v>
      </c>
      <c r="AG76" s="2" t="s">
        <v>12</v>
      </c>
    </row>
    <row r="77" spans="1:39" ht="12.5" x14ac:dyDescent="0.25">
      <c r="A77" s="2" t="s">
        <v>2</v>
      </c>
      <c r="B77" s="2" t="s">
        <v>993</v>
      </c>
      <c r="C77" s="2" t="s">
        <v>593</v>
      </c>
      <c r="D77" s="2" t="s">
        <v>994</v>
      </c>
      <c r="E77" s="2" t="s">
        <v>423</v>
      </c>
      <c r="F77" s="2" t="s">
        <v>523</v>
      </c>
      <c r="G77" s="2" t="s">
        <v>995</v>
      </c>
      <c r="H77" s="2">
        <v>31999403487</v>
      </c>
      <c r="I77" s="4">
        <v>27954</v>
      </c>
      <c r="J77" s="2">
        <v>45</v>
      </c>
      <c r="K77" s="2" t="s">
        <v>996</v>
      </c>
      <c r="L77" s="6">
        <v>2881724698</v>
      </c>
      <c r="M77" s="2" t="s">
        <v>997</v>
      </c>
      <c r="N77" s="2" t="s">
        <v>998</v>
      </c>
      <c r="P77" s="2"/>
      <c r="R77" s="2" t="s">
        <v>20</v>
      </c>
      <c r="T77" s="2"/>
      <c r="U77" s="2"/>
      <c r="Z77" s="2" t="s">
        <v>999</v>
      </c>
      <c r="AA77" s="2">
        <v>101</v>
      </c>
      <c r="AC77" s="2" t="s">
        <v>30</v>
      </c>
      <c r="AD77" s="2">
        <v>30335030</v>
      </c>
      <c r="AE77" s="2" t="s">
        <v>13</v>
      </c>
      <c r="AG77" s="2" t="s">
        <v>12</v>
      </c>
    </row>
    <row r="78" spans="1:39" ht="12.5" x14ac:dyDescent="0.25">
      <c r="A78" s="2" t="s">
        <v>2</v>
      </c>
      <c r="B78" s="2" t="s">
        <v>1000</v>
      </c>
      <c r="C78" s="2" t="s">
        <v>1001</v>
      </c>
      <c r="D78" s="2" t="s">
        <v>1002</v>
      </c>
      <c r="E78" s="2" t="s">
        <v>423</v>
      </c>
      <c r="F78" s="2" t="s">
        <v>523</v>
      </c>
      <c r="G78" s="2" t="s">
        <v>1003</v>
      </c>
      <c r="H78" s="2">
        <v>11948103247</v>
      </c>
      <c r="I78" s="4">
        <v>30001</v>
      </c>
      <c r="J78" s="2">
        <v>39</v>
      </c>
      <c r="K78" s="2">
        <v>329719555</v>
      </c>
      <c r="L78" s="6">
        <v>31935694880</v>
      </c>
      <c r="M78" s="2" t="s">
        <v>1004</v>
      </c>
      <c r="N78" s="2"/>
      <c r="R78" s="2" t="s">
        <v>7</v>
      </c>
      <c r="X78" s="2"/>
      <c r="Z78" s="2" t="s">
        <v>1005</v>
      </c>
      <c r="AA78" s="2">
        <v>5</v>
      </c>
      <c r="AB78" s="2" t="s">
        <v>1006</v>
      </c>
      <c r="AC78" s="2" t="s">
        <v>21</v>
      </c>
      <c r="AD78" s="2"/>
      <c r="AE78" s="2" t="s">
        <v>17</v>
      </c>
      <c r="AF78" s="2"/>
      <c r="AG78" s="2" t="s">
        <v>12</v>
      </c>
      <c r="AH78" s="2"/>
      <c r="AI78" s="2"/>
      <c r="AL78" s="2"/>
      <c r="AM78" s="2"/>
    </row>
    <row r="79" spans="1:39" ht="12.5" x14ac:dyDescent="0.25">
      <c r="A79" s="2" t="s">
        <v>2</v>
      </c>
      <c r="B79" s="2" t="s">
        <v>1007</v>
      </c>
      <c r="C79" s="2" t="s">
        <v>1008</v>
      </c>
      <c r="D79" s="2" t="s">
        <v>1009</v>
      </c>
      <c r="E79" s="2" t="s">
        <v>423</v>
      </c>
      <c r="F79" s="2" t="s">
        <v>523</v>
      </c>
      <c r="G79" s="2" t="s">
        <v>1010</v>
      </c>
      <c r="H79" s="2">
        <v>84988240254</v>
      </c>
      <c r="I79" s="4">
        <v>27717</v>
      </c>
      <c r="J79" s="2">
        <v>46</v>
      </c>
      <c r="K79" s="2" t="s">
        <v>1011</v>
      </c>
      <c r="L79" s="6">
        <v>2126717402</v>
      </c>
      <c r="M79" s="2" t="s">
        <v>1012</v>
      </c>
      <c r="N79" s="2" t="s">
        <v>1013</v>
      </c>
      <c r="O79" s="2"/>
      <c r="P79" s="2"/>
      <c r="R79" s="2" t="s">
        <v>20</v>
      </c>
      <c r="T79" s="2"/>
      <c r="U79" s="2"/>
      <c r="X79" s="2"/>
      <c r="Z79" s="2" t="s">
        <v>1014</v>
      </c>
      <c r="AA79" s="2">
        <v>292</v>
      </c>
      <c r="AB79" s="2"/>
      <c r="AC79" s="2" t="s">
        <v>33</v>
      </c>
      <c r="AD79" s="2" t="s">
        <v>1015</v>
      </c>
      <c r="AE79" s="2" t="s">
        <v>32</v>
      </c>
      <c r="AF79" s="2"/>
      <c r="AG79" s="2" t="s">
        <v>12</v>
      </c>
      <c r="AH79" s="2"/>
      <c r="AI79" s="2"/>
      <c r="AL79" s="2"/>
      <c r="AM79" s="2"/>
    </row>
    <row r="80" spans="1:39" ht="12.5" x14ac:dyDescent="0.25">
      <c r="A80" s="2" t="s">
        <v>2</v>
      </c>
      <c r="B80" s="2" t="s">
        <v>1016</v>
      </c>
      <c r="C80" s="2" t="s">
        <v>1017</v>
      </c>
      <c r="D80" s="2" t="s">
        <v>1018</v>
      </c>
      <c r="E80" s="2" t="s">
        <v>423</v>
      </c>
      <c r="F80" s="2" t="s">
        <v>503</v>
      </c>
      <c r="G80" s="2" t="s">
        <v>1019</v>
      </c>
      <c r="H80" s="2" t="s">
        <v>1020</v>
      </c>
      <c r="I80" s="5">
        <v>28498</v>
      </c>
      <c r="J80" s="2">
        <v>43</v>
      </c>
      <c r="K80" s="2">
        <v>8700054</v>
      </c>
      <c r="L80" s="6">
        <v>3956777697</v>
      </c>
      <c r="M80" s="2" t="s">
        <v>1021</v>
      </c>
      <c r="N80" s="2"/>
      <c r="O80" s="2" t="s">
        <v>1022</v>
      </c>
      <c r="P80" s="2" t="s">
        <v>1023</v>
      </c>
      <c r="R80" s="2" t="s">
        <v>7</v>
      </c>
      <c r="T80" s="2" t="s">
        <v>426</v>
      </c>
      <c r="U80" s="2" t="s">
        <v>865</v>
      </c>
      <c r="X80" s="2" t="s">
        <v>429</v>
      </c>
      <c r="Z80" s="2" t="s">
        <v>1024</v>
      </c>
      <c r="AA80" s="2">
        <v>56</v>
      </c>
      <c r="AB80" s="2" t="s">
        <v>225</v>
      </c>
      <c r="AC80" s="2" t="s">
        <v>15</v>
      </c>
      <c r="AD80" s="2" t="s">
        <v>1025</v>
      </c>
      <c r="AE80" s="2" t="s">
        <v>13</v>
      </c>
      <c r="AF80" s="2" t="s">
        <v>454</v>
      </c>
      <c r="AG80" s="2" t="s">
        <v>488</v>
      </c>
      <c r="AH80" s="2" t="s">
        <v>435</v>
      </c>
      <c r="AI80" s="2">
        <v>2</v>
      </c>
      <c r="AL80" s="2" t="s">
        <v>1026</v>
      </c>
      <c r="AM80" s="2" t="s">
        <v>1027</v>
      </c>
    </row>
    <row r="81" spans="1:39" ht="12.5" x14ac:dyDescent="0.25">
      <c r="A81" s="2" t="s">
        <v>2</v>
      </c>
      <c r="B81" s="2" t="s">
        <v>1028</v>
      </c>
      <c r="C81" s="2" t="s">
        <v>1029</v>
      </c>
      <c r="D81" s="2" t="s">
        <v>1030</v>
      </c>
      <c r="E81" s="2" t="s">
        <v>423</v>
      </c>
      <c r="F81" s="2" t="s">
        <v>503</v>
      </c>
      <c r="G81" s="2" t="s">
        <v>1031</v>
      </c>
      <c r="H81" s="2" t="s">
        <v>1032</v>
      </c>
      <c r="I81" s="4">
        <v>32407</v>
      </c>
      <c r="J81" s="2">
        <v>33</v>
      </c>
      <c r="K81" s="2">
        <v>3075979884</v>
      </c>
      <c r="L81" s="6">
        <v>2467392074</v>
      </c>
      <c r="M81" s="2" t="s">
        <v>532</v>
      </c>
      <c r="N81" s="2"/>
      <c r="O81" s="2"/>
      <c r="P81" s="2" t="s">
        <v>864</v>
      </c>
      <c r="R81" s="2" t="s">
        <v>7</v>
      </c>
      <c r="T81" s="2" t="s">
        <v>461</v>
      </c>
      <c r="U81" s="2" t="s">
        <v>865</v>
      </c>
      <c r="V81" s="2" t="s">
        <v>427</v>
      </c>
      <c r="X81" s="2"/>
      <c r="Z81" s="2" t="s">
        <v>1033</v>
      </c>
      <c r="AA81" s="2">
        <v>619</v>
      </c>
      <c r="AB81" s="2"/>
      <c r="AC81" s="2" t="s">
        <v>182</v>
      </c>
      <c r="AD81" s="2" t="s">
        <v>1034</v>
      </c>
      <c r="AE81" s="2" t="s">
        <v>64</v>
      </c>
      <c r="AF81" s="2" t="s">
        <v>454</v>
      </c>
      <c r="AG81" s="2" t="s">
        <v>444</v>
      </c>
      <c r="AH81" s="2" t="s">
        <v>435</v>
      </c>
      <c r="AI81" s="2">
        <v>4</v>
      </c>
      <c r="AL81" s="2" t="s">
        <v>1035</v>
      </c>
      <c r="AM81" s="2" t="s">
        <v>1035</v>
      </c>
    </row>
    <row r="82" spans="1:39" ht="12.5" x14ac:dyDescent="0.25">
      <c r="A82" s="2" t="s">
        <v>27</v>
      </c>
      <c r="B82" s="2" t="s">
        <v>1036</v>
      </c>
      <c r="C82" s="2" t="s">
        <v>844</v>
      </c>
      <c r="D82" s="2" t="s">
        <v>1037</v>
      </c>
      <c r="E82" s="2" t="s">
        <v>423</v>
      </c>
      <c r="F82" s="2" t="s">
        <v>503</v>
      </c>
      <c r="G82" s="2" t="s">
        <v>172</v>
      </c>
      <c r="H82" s="2" t="s">
        <v>1038</v>
      </c>
      <c r="I82" s="4">
        <v>31360</v>
      </c>
      <c r="J82" s="2">
        <v>36</v>
      </c>
      <c r="K82" s="2">
        <v>13283449</v>
      </c>
      <c r="L82" s="6">
        <v>7696157671</v>
      </c>
      <c r="M82" s="2" t="s">
        <v>1039</v>
      </c>
      <c r="O82" s="2"/>
      <c r="P82" s="2" t="s">
        <v>1023</v>
      </c>
      <c r="R82" s="2" t="s">
        <v>20</v>
      </c>
      <c r="S82" s="2" t="s">
        <v>1040</v>
      </c>
      <c r="T82" s="2" t="s">
        <v>426</v>
      </c>
      <c r="U82" s="2" t="s">
        <v>865</v>
      </c>
      <c r="V82" s="2" t="s">
        <v>427</v>
      </c>
      <c r="Z82" s="2" t="s">
        <v>173</v>
      </c>
      <c r="AA82" s="2">
        <v>50</v>
      </c>
      <c r="AB82" s="2" t="s">
        <v>1041</v>
      </c>
      <c r="AC82" s="2" t="s">
        <v>45</v>
      </c>
      <c r="AD82" s="2" t="s">
        <v>1042</v>
      </c>
      <c r="AE82" s="2" t="s">
        <v>13</v>
      </c>
      <c r="AF82" s="2" t="s">
        <v>626</v>
      </c>
      <c r="AG82" s="2" t="s">
        <v>444</v>
      </c>
      <c r="AH82" s="2" t="s">
        <v>435</v>
      </c>
      <c r="AI82" s="2">
        <v>5</v>
      </c>
      <c r="AL82" s="2" t="s">
        <v>1043</v>
      </c>
      <c r="AM82" s="2" t="s">
        <v>1044</v>
      </c>
    </row>
    <row r="83" spans="1:39" ht="12.5" x14ac:dyDescent="0.25">
      <c r="A83" s="2" t="s">
        <v>2</v>
      </c>
      <c r="B83" s="2" t="s">
        <v>1045</v>
      </c>
      <c r="C83" s="2" t="s">
        <v>1046</v>
      </c>
      <c r="D83" s="2" t="s">
        <v>1047</v>
      </c>
      <c r="E83" s="2" t="s">
        <v>423</v>
      </c>
      <c r="F83" s="2" t="s">
        <v>503</v>
      </c>
      <c r="G83" s="2" t="s">
        <v>176</v>
      </c>
      <c r="H83" s="2" t="s">
        <v>1048</v>
      </c>
      <c r="I83" s="4">
        <v>29080</v>
      </c>
      <c r="J83" s="2">
        <v>42</v>
      </c>
      <c r="K83" s="2">
        <v>334201226</v>
      </c>
      <c r="L83" s="6">
        <v>29955824859</v>
      </c>
      <c r="M83" s="2" t="s">
        <v>1049</v>
      </c>
      <c r="N83" s="2" t="s">
        <v>1050</v>
      </c>
      <c r="O83" s="2" t="s">
        <v>1022</v>
      </c>
      <c r="P83" s="2" t="s">
        <v>864</v>
      </c>
      <c r="R83" s="2" t="s">
        <v>20</v>
      </c>
      <c r="S83" s="2"/>
      <c r="T83" s="2" t="s">
        <v>461</v>
      </c>
      <c r="U83" s="2" t="s">
        <v>865</v>
      </c>
      <c r="V83" s="2" t="s">
        <v>427</v>
      </c>
      <c r="X83" s="2"/>
      <c r="Z83" s="2" t="s">
        <v>1051</v>
      </c>
      <c r="AA83" s="2">
        <v>180</v>
      </c>
      <c r="AB83" s="2" t="s">
        <v>1052</v>
      </c>
      <c r="AC83" s="2" t="s">
        <v>178</v>
      </c>
      <c r="AD83" s="2" t="s">
        <v>1053</v>
      </c>
      <c r="AE83" s="2" t="s">
        <v>17</v>
      </c>
      <c r="AF83" s="2" t="s">
        <v>454</v>
      </c>
      <c r="AG83" s="2" t="s">
        <v>488</v>
      </c>
      <c r="AH83" s="2" t="s">
        <v>435</v>
      </c>
      <c r="AI83" s="2">
        <v>4</v>
      </c>
      <c r="AL83" s="2" t="s">
        <v>1054</v>
      </c>
      <c r="AM83" s="2" t="s">
        <v>1055</v>
      </c>
    </row>
    <row r="84" spans="1:39" ht="12.5" x14ac:dyDescent="0.25">
      <c r="A84" s="2" t="s">
        <v>2</v>
      </c>
      <c r="B84" s="2" t="s">
        <v>1056</v>
      </c>
      <c r="C84" s="2" t="s">
        <v>1057</v>
      </c>
      <c r="D84" s="2" t="s">
        <v>1058</v>
      </c>
      <c r="E84" s="2" t="s">
        <v>423</v>
      </c>
      <c r="F84" s="2" t="s">
        <v>503</v>
      </c>
      <c r="G84" s="2" t="s">
        <v>1059</v>
      </c>
      <c r="H84" s="2" t="s">
        <v>1060</v>
      </c>
      <c r="I84" s="4">
        <v>34220</v>
      </c>
      <c r="J84" s="2">
        <v>28</v>
      </c>
      <c r="K84" s="2">
        <v>17303714</v>
      </c>
      <c r="L84" s="6">
        <v>10771877692</v>
      </c>
      <c r="M84" s="2" t="s">
        <v>1061</v>
      </c>
      <c r="N84" s="2" t="s">
        <v>1062</v>
      </c>
      <c r="O84" s="2"/>
      <c r="P84" s="2" t="s">
        <v>864</v>
      </c>
      <c r="R84" s="2" t="s">
        <v>20</v>
      </c>
      <c r="T84" s="2" t="s">
        <v>426</v>
      </c>
      <c r="U84" s="2" t="s">
        <v>865</v>
      </c>
      <c r="V84" s="2"/>
      <c r="X84" s="2" t="s">
        <v>429</v>
      </c>
      <c r="Z84" s="2" t="s">
        <v>1063</v>
      </c>
      <c r="AA84" s="2">
        <v>16</v>
      </c>
      <c r="AB84" s="2" t="s">
        <v>209</v>
      </c>
      <c r="AC84" s="2" t="s">
        <v>208</v>
      </c>
      <c r="AD84" s="2" t="s">
        <v>1064</v>
      </c>
      <c r="AE84" s="2" t="s">
        <v>13</v>
      </c>
      <c r="AF84" s="2" t="s">
        <v>626</v>
      </c>
      <c r="AG84" s="2" t="s">
        <v>472</v>
      </c>
      <c r="AH84" s="2" t="s">
        <v>435</v>
      </c>
      <c r="AI84" s="2">
        <v>3</v>
      </c>
      <c r="AL84" s="2" t="s">
        <v>1065</v>
      </c>
      <c r="AM84" s="2" t="s">
        <v>1066</v>
      </c>
    </row>
    <row r="85" spans="1:39" ht="12.5" x14ac:dyDescent="0.25">
      <c r="A85" s="2" t="s">
        <v>2</v>
      </c>
      <c r="B85" s="2" t="s">
        <v>1067</v>
      </c>
      <c r="C85" s="2" t="s">
        <v>563</v>
      </c>
      <c r="D85" s="2" t="s">
        <v>1068</v>
      </c>
      <c r="E85" s="2" t="s">
        <v>423</v>
      </c>
      <c r="F85" s="2" t="s">
        <v>503</v>
      </c>
      <c r="G85" s="2" t="s">
        <v>186</v>
      </c>
      <c r="H85" s="2" t="s">
        <v>1069</v>
      </c>
      <c r="I85" s="4">
        <v>34529</v>
      </c>
      <c r="J85" s="2">
        <v>27</v>
      </c>
      <c r="K85" s="2">
        <v>2008010290229</v>
      </c>
      <c r="L85" s="6">
        <v>5651872361</v>
      </c>
      <c r="M85" s="2"/>
      <c r="N85" s="2" t="s">
        <v>1070</v>
      </c>
      <c r="O85" s="2" t="s">
        <v>883</v>
      </c>
      <c r="P85" s="2" t="s">
        <v>1023</v>
      </c>
      <c r="R85" s="2" t="s">
        <v>20</v>
      </c>
      <c r="T85" s="2" t="s">
        <v>426</v>
      </c>
      <c r="U85" s="2" t="s">
        <v>865</v>
      </c>
      <c r="V85" s="2" t="s">
        <v>427</v>
      </c>
      <c r="X85" s="2"/>
      <c r="Z85" s="2" t="s">
        <v>187</v>
      </c>
      <c r="AA85" s="2">
        <v>17</v>
      </c>
      <c r="AB85" s="2"/>
      <c r="AC85" s="2" t="s">
        <v>75</v>
      </c>
      <c r="AD85" s="2" t="s">
        <v>1071</v>
      </c>
      <c r="AE85" s="2" t="s">
        <v>74</v>
      </c>
      <c r="AF85" s="2" t="s">
        <v>626</v>
      </c>
      <c r="AG85" s="2" t="s">
        <v>488</v>
      </c>
      <c r="AH85" s="2" t="s">
        <v>435</v>
      </c>
      <c r="AI85" s="2">
        <v>2</v>
      </c>
      <c r="AL85" s="2" t="s">
        <v>1072</v>
      </c>
      <c r="AM85" s="2" t="s">
        <v>1073</v>
      </c>
    </row>
    <row r="86" spans="1:39" ht="12.5" x14ac:dyDescent="0.25">
      <c r="A86" s="2" t="s">
        <v>2</v>
      </c>
      <c r="B86" s="2" t="s">
        <v>1074</v>
      </c>
      <c r="C86" s="2" t="s">
        <v>1075</v>
      </c>
      <c r="D86" s="2" t="s">
        <v>1076</v>
      </c>
      <c r="E86" s="2" t="s">
        <v>423</v>
      </c>
      <c r="F86" s="2" t="s">
        <v>503</v>
      </c>
      <c r="G86" s="2" t="s">
        <v>1077</v>
      </c>
      <c r="H86" s="2" t="s">
        <v>1078</v>
      </c>
      <c r="I86" s="4">
        <v>23767</v>
      </c>
      <c r="J86" s="2">
        <v>56</v>
      </c>
      <c r="K86" s="2">
        <v>3994120</v>
      </c>
      <c r="L86" s="6">
        <v>57707464672</v>
      </c>
      <c r="M86" s="2" t="s">
        <v>1079</v>
      </c>
      <c r="N86" s="2" t="s">
        <v>1080</v>
      </c>
      <c r="O86" s="2" t="s">
        <v>1022</v>
      </c>
      <c r="P86" s="2" t="s">
        <v>864</v>
      </c>
      <c r="R86" s="2" t="s">
        <v>20</v>
      </c>
      <c r="T86" s="2" t="s">
        <v>426</v>
      </c>
      <c r="U86" s="2" t="s">
        <v>865</v>
      </c>
      <c r="V86" s="2"/>
      <c r="X86" s="2" t="s">
        <v>462</v>
      </c>
      <c r="Z86" s="2" t="s">
        <v>1081</v>
      </c>
      <c r="AA86" s="2">
        <v>448</v>
      </c>
      <c r="AB86" s="2" t="s">
        <v>615</v>
      </c>
      <c r="AC86" s="2" t="s">
        <v>45</v>
      </c>
      <c r="AD86" s="2" t="s">
        <v>1082</v>
      </c>
      <c r="AE86" s="2" t="s">
        <v>13</v>
      </c>
      <c r="AF86" s="2" t="s">
        <v>626</v>
      </c>
      <c r="AG86" s="2" t="s">
        <v>444</v>
      </c>
      <c r="AH86" s="2" t="s">
        <v>473</v>
      </c>
      <c r="AI86" s="2">
        <v>5</v>
      </c>
      <c r="AL86" s="2" t="s">
        <v>1083</v>
      </c>
      <c r="AM86" s="2" t="s">
        <v>1084</v>
      </c>
    </row>
    <row r="87" spans="1:39" ht="12.5" x14ac:dyDescent="0.25">
      <c r="A87" s="2" t="s">
        <v>2</v>
      </c>
      <c r="B87" s="2" t="s">
        <v>1085</v>
      </c>
      <c r="C87" s="2" t="s">
        <v>1086</v>
      </c>
      <c r="D87" s="2" t="s">
        <v>1087</v>
      </c>
      <c r="E87" s="2" t="s">
        <v>423</v>
      </c>
      <c r="F87" s="2" t="s">
        <v>503</v>
      </c>
      <c r="G87" s="2" t="s">
        <v>1088</v>
      </c>
      <c r="H87" s="2" t="s">
        <v>190</v>
      </c>
      <c r="I87" s="4">
        <v>24169</v>
      </c>
      <c r="J87" s="2">
        <v>55</v>
      </c>
      <c r="K87" s="2">
        <v>12844307</v>
      </c>
      <c r="L87" s="6">
        <v>82305455615</v>
      </c>
      <c r="M87" s="2"/>
      <c r="N87" s="2"/>
      <c r="O87" s="2" t="s">
        <v>883</v>
      </c>
      <c r="P87" s="2" t="s">
        <v>1023</v>
      </c>
      <c r="R87" s="2" t="s">
        <v>7</v>
      </c>
      <c r="T87" s="2" t="s">
        <v>426</v>
      </c>
      <c r="U87" s="2" t="s">
        <v>865</v>
      </c>
      <c r="V87" s="2" t="s">
        <v>427</v>
      </c>
      <c r="X87" s="2"/>
      <c r="Z87" s="2" t="s">
        <v>1089</v>
      </c>
      <c r="AA87" s="2">
        <v>208</v>
      </c>
      <c r="AB87" s="2"/>
      <c r="AC87" s="2" t="s">
        <v>192</v>
      </c>
      <c r="AD87" s="2" t="s">
        <v>1090</v>
      </c>
      <c r="AE87" s="2" t="s">
        <v>13</v>
      </c>
      <c r="AF87" s="2" t="s">
        <v>454</v>
      </c>
      <c r="AG87" s="2" t="s">
        <v>472</v>
      </c>
      <c r="AH87" s="2" t="s">
        <v>435</v>
      </c>
      <c r="AI87" s="2">
        <v>3</v>
      </c>
      <c r="AL87" s="2" t="s">
        <v>1091</v>
      </c>
      <c r="AM87" s="2" t="s">
        <v>1091</v>
      </c>
    </row>
    <row r="88" spans="1:39" ht="12.5" x14ac:dyDescent="0.25">
      <c r="A88" s="2" t="s">
        <v>2</v>
      </c>
      <c r="B88" s="2" t="s">
        <v>1092</v>
      </c>
      <c r="C88" s="2" t="s">
        <v>1093</v>
      </c>
      <c r="D88" s="2" t="s">
        <v>1094</v>
      </c>
      <c r="E88" s="2" t="s">
        <v>423</v>
      </c>
      <c r="F88" s="2" t="s">
        <v>503</v>
      </c>
      <c r="G88" s="2" t="s">
        <v>1095</v>
      </c>
      <c r="H88" s="2" t="s">
        <v>1096</v>
      </c>
      <c r="I88" s="4">
        <v>25749</v>
      </c>
      <c r="J88" s="2">
        <v>51</v>
      </c>
      <c r="K88" s="2">
        <v>5071602</v>
      </c>
      <c r="L88" s="6">
        <v>85115886634</v>
      </c>
      <c r="M88" s="2" t="s">
        <v>1097</v>
      </c>
      <c r="N88" s="2"/>
      <c r="O88" s="2"/>
      <c r="P88" s="2" t="s">
        <v>1098</v>
      </c>
      <c r="R88" s="2" t="s">
        <v>7</v>
      </c>
      <c r="T88" s="2" t="s">
        <v>426</v>
      </c>
      <c r="U88" s="2" t="s">
        <v>865</v>
      </c>
      <c r="V88" s="2"/>
      <c r="X88" s="2" t="s">
        <v>462</v>
      </c>
      <c r="Z88" s="2" t="s">
        <v>1099</v>
      </c>
      <c r="AA88" s="2">
        <v>245</v>
      </c>
      <c r="AB88" s="2"/>
      <c r="AC88" s="2" t="s">
        <v>30</v>
      </c>
      <c r="AD88" s="2" t="s">
        <v>1100</v>
      </c>
      <c r="AE88" s="2" t="s">
        <v>13</v>
      </c>
      <c r="AF88" s="2" t="s">
        <v>626</v>
      </c>
      <c r="AG88" s="2" t="s">
        <v>488</v>
      </c>
      <c r="AH88" s="2" t="s">
        <v>473</v>
      </c>
      <c r="AI88" s="2">
        <v>5</v>
      </c>
      <c r="AL88" s="2" t="s">
        <v>1101</v>
      </c>
      <c r="AM88" s="2" t="s">
        <v>1102</v>
      </c>
    </row>
    <row r="89" spans="1:39" ht="12.5" x14ac:dyDescent="0.25">
      <c r="A89" s="2" t="s">
        <v>2</v>
      </c>
      <c r="B89" s="2" t="s">
        <v>1103</v>
      </c>
      <c r="C89" s="2" t="s">
        <v>1104</v>
      </c>
      <c r="D89" s="2" t="s">
        <v>1105</v>
      </c>
      <c r="E89" s="2" t="s">
        <v>423</v>
      </c>
      <c r="F89" s="2" t="s">
        <v>503</v>
      </c>
      <c r="G89" s="2" t="s">
        <v>1106</v>
      </c>
      <c r="H89" s="2" t="s">
        <v>1107</v>
      </c>
      <c r="I89" s="4">
        <v>31338</v>
      </c>
      <c r="J89" s="2">
        <v>36</v>
      </c>
      <c r="K89" s="2">
        <v>442847117</v>
      </c>
      <c r="L89" s="6">
        <v>33387682816</v>
      </c>
      <c r="M89" s="2" t="s">
        <v>1108</v>
      </c>
      <c r="N89" s="2"/>
      <c r="O89" s="2"/>
      <c r="P89" s="2" t="s">
        <v>864</v>
      </c>
      <c r="R89" s="2" t="s">
        <v>7</v>
      </c>
      <c r="T89" s="2" t="s">
        <v>426</v>
      </c>
      <c r="U89" s="2" t="s">
        <v>865</v>
      </c>
      <c r="X89" s="2" t="s">
        <v>462</v>
      </c>
      <c r="Z89" s="2" t="s">
        <v>1109</v>
      </c>
      <c r="AA89" s="2">
        <v>61</v>
      </c>
      <c r="AB89" s="2" t="s">
        <v>1110</v>
      </c>
      <c r="AC89" s="2" t="s">
        <v>21</v>
      </c>
      <c r="AD89" s="2" t="s">
        <v>1111</v>
      </c>
      <c r="AE89" s="2" t="s">
        <v>17</v>
      </c>
      <c r="AF89" s="2" t="s">
        <v>454</v>
      </c>
      <c r="AG89" s="2" t="s">
        <v>488</v>
      </c>
      <c r="AH89" s="2" t="s">
        <v>435</v>
      </c>
      <c r="AI89" s="2">
        <v>2</v>
      </c>
      <c r="AL89" s="2" t="s">
        <v>1112</v>
      </c>
      <c r="AM89" s="2" t="s">
        <v>1113</v>
      </c>
    </row>
    <row r="90" spans="1:39" ht="12.5" x14ac:dyDescent="0.25">
      <c r="A90" s="2" t="s">
        <v>2</v>
      </c>
      <c r="B90" s="2" t="s">
        <v>1114</v>
      </c>
      <c r="C90" s="2" t="s">
        <v>1115</v>
      </c>
      <c r="D90" s="2" t="s">
        <v>1116</v>
      </c>
      <c r="E90" s="2" t="s">
        <v>423</v>
      </c>
      <c r="F90" s="2" t="s">
        <v>503</v>
      </c>
      <c r="G90" s="2" t="s">
        <v>199</v>
      </c>
      <c r="H90" s="2" t="s">
        <v>1117</v>
      </c>
      <c r="I90" s="5">
        <v>31497</v>
      </c>
      <c r="J90" s="2">
        <v>35</v>
      </c>
      <c r="K90" s="2">
        <v>11426302</v>
      </c>
      <c r="L90" s="6">
        <v>6866416639</v>
      </c>
      <c r="M90" s="2" t="s">
        <v>1118</v>
      </c>
      <c r="N90" s="2" t="s">
        <v>795</v>
      </c>
      <c r="O90" s="2" t="s">
        <v>1022</v>
      </c>
      <c r="P90" s="2" t="s">
        <v>1119</v>
      </c>
      <c r="R90" s="2" t="s">
        <v>7</v>
      </c>
      <c r="T90" s="2" t="s">
        <v>426</v>
      </c>
      <c r="U90" s="2" t="s">
        <v>865</v>
      </c>
      <c r="V90" s="2"/>
      <c r="X90" s="2" t="s">
        <v>462</v>
      </c>
      <c r="Z90" s="2" t="s">
        <v>1120</v>
      </c>
      <c r="AA90" s="2">
        <v>25</v>
      </c>
      <c r="AB90" s="2" t="s">
        <v>1121</v>
      </c>
      <c r="AC90" s="2" t="s">
        <v>30</v>
      </c>
      <c r="AD90" s="2" t="s">
        <v>1122</v>
      </c>
      <c r="AE90" s="2" t="s">
        <v>13</v>
      </c>
      <c r="AF90" s="2" t="s">
        <v>454</v>
      </c>
      <c r="AG90" s="2" t="s">
        <v>472</v>
      </c>
      <c r="AH90" s="2" t="s">
        <v>435</v>
      </c>
      <c r="AI90" s="2">
        <v>1</v>
      </c>
      <c r="AL90" s="2" t="s">
        <v>1123</v>
      </c>
      <c r="AM90" s="2" t="s">
        <v>1124</v>
      </c>
    </row>
    <row r="91" spans="1:39" ht="12.5" x14ac:dyDescent="0.25">
      <c r="A91" s="2" t="s">
        <v>2</v>
      </c>
      <c r="B91" s="2" t="s">
        <v>1125</v>
      </c>
      <c r="C91" s="2" t="s">
        <v>1126</v>
      </c>
      <c r="D91" s="2" t="s">
        <v>1127</v>
      </c>
      <c r="E91" s="2" t="s">
        <v>423</v>
      </c>
      <c r="F91" s="2" t="s">
        <v>503</v>
      </c>
      <c r="G91" s="2" t="s">
        <v>1128</v>
      </c>
      <c r="H91" s="2" t="s">
        <v>1129</v>
      </c>
      <c r="I91" s="4">
        <v>28664</v>
      </c>
      <c r="J91" s="2">
        <v>43</v>
      </c>
      <c r="K91" s="2">
        <v>1732436</v>
      </c>
      <c r="L91" s="6">
        <v>69866490106</v>
      </c>
      <c r="M91" s="2" t="s">
        <v>1130</v>
      </c>
      <c r="N91" s="2" t="s">
        <v>1131</v>
      </c>
      <c r="O91" s="2"/>
      <c r="P91" s="2" t="s">
        <v>1119</v>
      </c>
      <c r="R91" s="2" t="s">
        <v>20</v>
      </c>
      <c r="T91" s="2" t="s">
        <v>426</v>
      </c>
      <c r="U91" s="2" t="s">
        <v>865</v>
      </c>
      <c r="V91" s="2" t="s">
        <v>427</v>
      </c>
      <c r="X91" s="2" t="s">
        <v>1130</v>
      </c>
      <c r="Z91" s="2" t="s">
        <v>1132</v>
      </c>
      <c r="AA91" s="2">
        <v>8</v>
      </c>
      <c r="AB91" s="2"/>
      <c r="AC91" s="2" t="s">
        <v>198</v>
      </c>
      <c r="AD91" s="2" t="s">
        <v>1133</v>
      </c>
      <c r="AE91" s="2" t="s">
        <v>196</v>
      </c>
      <c r="AF91" s="2" t="s">
        <v>454</v>
      </c>
      <c r="AG91" s="2" t="s">
        <v>12</v>
      </c>
      <c r="AH91" s="2" t="s">
        <v>1134</v>
      </c>
      <c r="AI91" s="2">
        <v>4</v>
      </c>
      <c r="AL91" s="2" t="s">
        <v>1135</v>
      </c>
      <c r="AM91" s="2" t="s">
        <v>1136</v>
      </c>
    </row>
    <row r="92" spans="1:39" ht="12.5" x14ac:dyDescent="0.25">
      <c r="A92" s="2" t="s">
        <v>2</v>
      </c>
      <c r="B92" s="2" t="s">
        <v>1137</v>
      </c>
      <c r="C92" s="2" t="s">
        <v>1138</v>
      </c>
      <c r="D92" s="2" t="s">
        <v>1139</v>
      </c>
      <c r="E92" s="2" t="s">
        <v>423</v>
      </c>
      <c r="F92" s="2" t="s">
        <v>503</v>
      </c>
      <c r="G92" s="2" t="s">
        <v>1140</v>
      </c>
      <c r="H92" s="2" t="s">
        <v>1141</v>
      </c>
      <c r="I92" s="4">
        <v>32655</v>
      </c>
      <c r="J92" s="2">
        <v>32</v>
      </c>
      <c r="K92" s="2">
        <v>13477160</v>
      </c>
      <c r="L92" s="6">
        <v>7977813661</v>
      </c>
      <c r="M92" s="2" t="s">
        <v>1142</v>
      </c>
      <c r="N92" s="2" t="s">
        <v>1143</v>
      </c>
      <c r="O92" s="2"/>
      <c r="P92" s="2" t="s">
        <v>864</v>
      </c>
      <c r="R92" s="2" t="s">
        <v>20</v>
      </c>
      <c r="T92" s="2" t="s">
        <v>461</v>
      </c>
      <c r="U92" s="2" t="s">
        <v>865</v>
      </c>
      <c r="V92" s="2"/>
      <c r="X92" s="2" t="s">
        <v>429</v>
      </c>
      <c r="Z92" s="2" t="s">
        <v>1144</v>
      </c>
      <c r="AA92" s="2">
        <v>80</v>
      </c>
      <c r="AC92" s="2" t="s">
        <v>220</v>
      </c>
      <c r="AD92" s="2" t="s">
        <v>1145</v>
      </c>
      <c r="AE92" s="2" t="s">
        <v>13</v>
      </c>
      <c r="AF92" s="2" t="s">
        <v>454</v>
      </c>
      <c r="AG92" s="2" t="s">
        <v>1146</v>
      </c>
      <c r="AH92" s="2" t="s">
        <v>473</v>
      </c>
      <c r="AI92" s="2">
        <v>2</v>
      </c>
      <c r="AL92" s="2" t="s">
        <v>1147</v>
      </c>
      <c r="AM92" s="2" t="s">
        <v>1148</v>
      </c>
    </row>
    <row r="93" spans="1:39" ht="12.5" x14ac:dyDescent="0.25">
      <c r="A93" s="2" t="s">
        <v>2</v>
      </c>
      <c r="B93" s="2" t="s">
        <v>1149</v>
      </c>
      <c r="C93" s="2" t="s">
        <v>1150</v>
      </c>
      <c r="D93" s="2" t="s">
        <v>1151</v>
      </c>
      <c r="E93" s="2" t="s">
        <v>423</v>
      </c>
      <c r="F93" s="2" t="s">
        <v>503</v>
      </c>
      <c r="G93" s="2" t="s">
        <v>485</v>
      </c>
      <c r="H93" s="2" t="s">
        <v>1152</v>
      </c>
      <c r="I93" s="4">
        <v>25018</v>
      </c>
      <c r="J93" s="2">
        <v>53</v>
      </c>
      <c r="K93" s="2">
        <v>4473565</v>
      </c>
      <c r="L93" s="6">
        <v>68794878668</v>
      </c>
      <c r="M93" s="2" t="s">
        <v>486</v>
      </c>
      <c r="N93" s="2" t="s">
        <v>1153</v>
      </c>
      <c r="O93" s="2" t="s">
        <v>1154</v>
      </c>
      <c r="P93" s="2" t="s">
        <v>1023</v>
      </c>
      <c r="R93" s="2" t="s">
        <v>20</v>
      </c>
      <c r="S93" s="2"/>
      <c r="T93" s="2" t="s">
        <v>426</v>
      </c>
      <c r="U93" s="2" t="s">
        <v>865</v>
      </c>
      <c r="X93" s="2" t="s">
        <v>462</v>
      </c>
      <c r="Z93" s="2" t="s">
        <v>1155</v>
      </c>
      <c r="AA93" s="2">
        <v>1</v>
      </c>
      <c r="AB93" s="2"/>
      <c r="AC93" s="2" t="s">
        <v>25</v>
      </c>
      <c r="AD93" s="2" t="s">
        <v>26</v>
      </c>
      <c r="AE93" s="2" t="s">
        <v>13</v>
      </c>
      <c r="AF93" s="2" t="s">
        <v>454</v>
      </c>
      <c r="AG93" s="2" t="s">
        <v>488</v>
      </c>
      <c r="AH93" s="2" t="s">
        <v>464</v>
      </c>
      <c r="AI93" s="2">
        <v>3</v>
      </c>
      <c r="AL93" s="2" t="s">
        <v>489</v>
      </c>
      <c r="AM93" s="2" t="s">
        <v>490</v>
      </c>
    </row>
    <row r="94" spans="1:39" ht="12.5" x14ac:dyDescent="0.25">
      <c r="A94" s="2" t="s">
        <v>27</v>
      </c>
      <c r="B94" s="2" t="s">
        <v>1156</v>
      </c>
      <c r="C94" s="2" t="s">
        <v>1157</v>
      </c>
      <c r="D94" s="2" t="s">
        <v>1158</v>
      </c>
      <c r="E94" s="2" t="s">
        <v>423</v>
      </c>
      <c r="F94" s="2" t="s">
        <v>503</v>
      </c>
      <c r="G94" s="2" t="s">
        <v>1159</v>
      </c>
      <c r="H94" s="2" t="s">
        <v>1160</v>
      </c>
      <c r="I94" s="4">
        <v>28614</v>
      </c>
      <c r="J94" s="2">
        <v>43</v>
      </c>
      <c r="K94" s="2">
        <v>4727447</v>
      </c>
      <c r="L94" s="6">
        <v>3204870405</v>
      </c>
      <c r="M94" s="2" t="s">
        <v>1161</v>
      </c>
      <c r="N94" s="2" t="s">
        <v>1162</v>
      </c>
      <c r="O94" s="2" t="s">
        <v>883</v>
      </c>
      <c r="P94" s="2" t="s">
        <v>1119</v>
      </c>
      <c r="R94" s="2" t="s">
        <v>20</v>
      </c>
      <c r="S94" s="2" t="s">
        <v>1163</v>
      </c>
      <c r="T94" s="2" t="s">
        <v>426</v>
      </c>
      <c r="U94" s="2" t="s">
        <v>865</v>
      </c>
      <c r="X94" s="2" t="s">
        <v>462</v>
      </c>
      <c r="Z94" s="2" t="s">
        <v>228</v>
      </c>
      <c r="AA94" s="2">
        <v>83</v>
      </c>
      <c r="AB94" s="2" t="s">
        <v>231</v>
      </c>
      <c r="AC94" s="2" t="s">
        <v>230</v>
      </c>
      <c r="AD94" s="2" t="s">
        <v>1164</v>
      </c>
      <c r="AE94" s="2" t="s">
        <v>60</v>
      </c>
      <c r="AF94" s="2" t="s">
        <v>454</v>
      </c>
      <c r="AG94" s="2" t="s">
        <v>434</v>
      </c>
      <c r="AH94" s="2" t="s">
        <v>473</v>
      </c>
      <c r="AI94" s="2">
        <v>2</v>
      </c>
      <c r="AL94" s="2" t="s">
        <v>1165</v>
      </c>
      <c r="AM94" s="2" t="s">
        <v>1166</v>
      </c>
    </row>
    <row r="95" spans="1:39" ht="12.5" x14ac:dyDescent="0.25">
      <c r="A95" s="2" t="s">
        <v>2</v>
      </c>
      <c r="B95" s="2" t="s">
        <v>1167</v>
      </c>
      <c r="C95" s="2" t="s">
        <v>1168</v>
      </c>
      <c r="D95" s="2" t="s">
        <v>1169</v>
      </c>
      <c r="E95" s="2" t="s">
        <v>423</v>
      </c>
      <c r="F95" s="2" t="s">
        <v>503</v>
      </c>
      <c r="G95" s="2" t="s">
        <v>1170</v>
      </c>
      <c r="H95" s="2" t="s">
        <v>1171</v>
      </c>
      <c r="I95" s="4">
        <v>30314</v>
      </c>
      <c r="J95" s="2">
        <v>39</v>
      </c>
      <c r="K95" s="2">
        <v>8092080</v>
      </c>
      <c r="L95" s="6">
        <v>5349952684</v>
      </c>
      <c r="M95" s="2" t="s">
        <v>1172</v>
      </c>
      <c r="N95" s="2" t="s">
        <v>1173</v>
      </c>
      <c r="O95" s="2"/>
      <c r="P95" s="2" t="s">
        <v>864</v>
      </c>
      <c r="R95" s="2" t="s">
        <v>20</v>
      </c>
      <c r="S95" s="2"/>
      <c r="T95" s="2" t="s">
        <v>461</v>
      </c>
      <c r="U95" s="2" t="s">
        <v>865</v>
      </c>
      <c r="X95" s="2" t="s">
        <v>462</v>
      </c>
      <c r="Z95" s="2" t="s">
        <v>1174</v>
      </c>
      <c r="AA95" s="2">
        <v>117</v>
      </c>
      <c r="AB95" s="2" t="s">
        <v>225</v>
      </c>
      <c r="AC95" s="2" t="s">
        <v>30</v>
      </c>
      <c r="AD95" s="2" t="s">
        <v>1175</v>
      </c>
      <c r="AE95" s="2" t="s">
        <v>13</v>
      </c>
      <c r="AF95" s="2" t="s">
        <v>626</v>
      </c>
      <c r="AG95" s="2" t="s">
        <v>1176</v>
      </c>
      <c r="AH95" s="2" t="s">
        <v>464</v>
      </c>
      <c r="AI95" s="2">
        <v>4</v>
      </c>
      <c r="AL95" s="2" t="s">
        <v>1177</v>
      </c>
      <c r="AM95" s="2" t="s">
        <v>216</v>
      </c>
    </row>
    <row r="96" spans="1:39" ht="12.5" x14ac:dyDescent="0.25">
      <c r="A96" s="2" t="s">
        <v>2</v>
      </c>
      <c r="B96" s="2" t="s">
        <v>1178</v>
      </c>
      <c r="C96" s="2" t="s">
        <v>1179</v>
      </c>
      <c r="D96" s="2" t="s">
        <v>1180</v>
      </c>
      <c r="E96" s="2" t="s">
        <v>423</v>
      </c>
      <c r="F96" s="2" t="s">
        <v>503</v>
      </c>
      <c r="G96" s="2" t="s">
        <v>1181</v>
      </c>
      <c r="H96" s="2" t="s">
        <v>1182</v>
      </c>
      <c r="I96" s="5">
        <v>30168</v>
      </c>
      <c r="J96" s="2">
        <v>39</v>
      </c>
      <c r="K96" s="2">
        <v>589540415</v>
      </c>
      <c r="L96" s="6">
        <v>5228039627</v>
      </c>
      <c r="M96" s="2" t="s">
        <v>1183</v>
      </c>
      <c r="N96" s="2" t="s">
        <v>1184</v>
      </c>
      <c r="O96" s="2"/>
      <c r="P96" s="2" t="s">
        <v>864</v>
      </c>
      <c r="R96" s="2" t="s">
        <v>20</v>
      </c>
      <c r="T96" s="2" t="s">
        <v>461</v>
      </c>
      <c r="U96" s="2" t="s">
        <v>865</v>
      </c>
      <c r="X96" s="2" t="s">
        <v>429</v>
      </c>
      <c r="Z96" s="2" t="s">
        <v>1185</v>
      </c>
      <c r="AA96" s="2">
        <v>225</v>
      </c>
      <c r="AB96" s="2"/>
      <c r="AC96" s="2" t="s">
        <v>236</v>
      </c>
      <c r="AD96" s="2" t="s">
        <v>1186</v>
      </c>
      <c r="AE96" s="2" t="s">
        <v>17</v>
      </c>
      <c r="AF96" s="2" t="s">
        <v>626</v>
      </c>
      <c r="AG96" s="2" t="s">
        <v>434</v>
      </c>
      <c r="AH96" s="2" t="s">
        <v>435</v>
      </c>
      <c r="AI96" s="2">
        <v>4</v>
      </c>
      <c r="AL96" s="2" t="s">
        <v>1187</v>
      </c>
      <c r="AM96" s="2" t="s">
        <v>237</v>
      </c>
    </row>
    <row r="97" spans="1:39" ht="12.5" x14ac:dyDescent="0.25">
      <c r="A97" s="2" t="s">
        <v>2</v>
      </c>
      <c r="B97" s="2" t="s">
        <v>1188</v>
      </c>
      <c r="C97" s="2" t="s">
        <v>1189</v>
      </c>
      <c r="D97" s="2" t="s">
        <v>1190</v>
      </c>
      <c r="E97" s="2" t="s">
        <v>423</v>
      </c>
      <c r="F97" s="2" t="s">
        <v>503</v>
      </c>
      <c r="G97" s="2" t="s">
        <v>1191</v>
      </c>
      <c r="H97" s="2" t="s">
        <v>1192</v>
      </c>
      <c r="I97" s="4">
        <v>28073</v>
      </c>
      <c r="J97" s="2">
        <v>45</v>
      </c>
      <c r="K97" s="2">
        <v>101619989</v>
      </c>
      <c r="L97" s="6">
        <v>3864241790</v>
      </c>
      <c r="M97" s="2" t="s">
        <v>1021</v>
      </c>
      <c r="N97" s="2"/>
      <c r="O97" s="2" t="s">
        <v>883</v>
      </c>
      <c r="P97" s="2" t="s">
        <v>864</v>
      </c>
      <c r="R97" s="2" t="s">
        <v>7</v>
      </c>
      <c r="T97" s="2" t="s">
        <v>461</v>
      </c>
      <c r="U97" s="2" t="s">
        <v>865</v>
      </c>
      <c r="V97" s="2"/>
      <c r="X97" s="2" t="s">
        <v>462</v>
      </c>
      <c r="Z97" s="2" t="s">
        <v>1193</v>
      </c>
      <c r="AA97" s="2">
        <v>194</v>
      </c>
      <c r="AC97" s="2" t="s">
        <v>241</v>
      </c>
      <c r="AD97" s="2" t="s">
        <v>1194</v>
      </c>
      <c r="AE97" s="2" t="s">
        <v>9</v>
      </c>
      <c r="AF97" s="2" t="s">
        <v>626</v>
      </c>
      <c r="AG97" s="2" t="s">
        <v>1195</v>
      </c>
      <c r="AH97" s="2" t="s">
        <v>435</v>
      </c>
      <c r="AI97" s="2">
        <v>3</v>
      </c>
      <c r="AL97" s="2" t="s">
        <v>1196</v>
      </c>
      <c r="AM97" s="2" t="s">
        <v>1197</v>
      </c>
    </row>
    <row r="98" spans="1:39" ht="12.5" x14ac:dyDescent="0.25">
      <c r="A98" s="2" t="s">
        <v>2</v>
      </c>
      <c r="B98" s="2" t="s">
        <v>1198</v>
      </c>
      <c r="C98" s="2" t="s">
        <v>1199</v>
      </c>
      <c r="D98" s="2" t="s">
        <v>1200</v>
      </c>
      <c r="E98" s="2" t="s">
        <v>423</v>
      </c>
      <c r="F98" s="2" t="s">
        <v>503</v>
      </c>
      <c r="G98" s="2" t="s">
        <v>1201</v>
      </c>
      <c r="H98" s="2" t="s">
        <v>1202</v>
      </c>
      <c r="I98" s="4">
        <v>27899</v>
      </c>
      <c r="J98" s="2">
        <v>45</v>
      </c>
      <c r="K98" s="2">
        <v>198427948</v>
      </c>
      <c r="L98" s="6">
        <v>63945541387</v>
      </c>
      <c r="M98" s="2" t="s">
        <v>1203</v>
      </c>
      <c r="N98" s="2" t="s">
        <v>1204</v>
      </c>
      <c r="O98" s="2" t="s">
        <v>883</v>
      </c>
      <c r="P98" s="2" t="s">
        <v>1205</v>
      </c>
      <c r="R98" s="2" t="s">
        <v>20</v>
      </c>
      <c r="T98" s="2" t="s">
        <v>461</v>
      </c>
      <c r="U98" s="2" t="s">
        <v>865</v>
      </c>
      <c r="X98" s="2" t="s">
        <v>462</v>
      </c>
      <c r="Z98" s="2" t="s">
        <v>1206</v>
      </c>
      <c r="AA98" s="2">
        <v>17</v>
      </c>
      <c r="AB98" s="2"/>
      <c r="AC98" s="2" t="s">
        <v>246</v>
      </c>
      <c r="AD98" s="2" t="s">
        <v>1207</v>
      </c>
      <c r="AE98" s="2" t="s">
        <v>40</v>
      </c>
      <c r="AF98" s="2" t="s">
        <v>454</v>
      </c>
      <c r="AG98" s="2" t="s">
        <v>488</v>
      </c>
      <c r="AH98" s="2" t="s">
        <v>435</v>
      </c>
      <c r="AI98" s="2">
        <v>8</v>
      </c>
      <c r="AL98" s="2" t="s">
        <v>247</v>
      </c>
      <c r="AM98" s="2" t="s">
        <v>247</v>
      </c>
    </row>
    <row r="99" spans="1:39" ht="12.5" x14ac:dyDescent="0.25">
      <c r="A99" s="2" t="s">
        <v>2</v>
      </c>
      <c r="B99" s="2" t="s">
        <v>1208</v>
      </c>
      <c r="C99" s="2" t="s">
        <v>1209</v>
      </c>
      <c r="D99" s="2" t="s">
        <v>1210</v>
      </c>
      <c r="E99" s="2" t="s">
        <v>423</v>
      </c>
      <c r="F99" s="2" t="s">
        <v>503</v>
      </c>
      <c r="G99" s="2" t="s">
        <v>1211</v>
      </c>
      <c r="H99" s="2" t="s">
        <v>1212</v>
      </c>
      <c r="I99" s="4">
        <v>27160</v>
      </c>
      <c r="J99" s="2">
        <v>47</v>
      </c>
      <c r="K99" s="2">
        <v>6459894</v>
      </c>
      <c r="L99" s="6">
        <v>2893073689</v>
      </c>
      <c r="M99" s="2" t="s">
        <v>1213</v>
      </c>
      <c r="N99" s="2"/>
      <c r="O99" s="2" t="s">
        <v>1022</v>
      </c>
      <c r="P99" s="2" t="s">
        <v>1023</v>
      </c>
      <c r="R99" s="2" t="s">
        <v>7</v>
      </c>
      <c r="T99" s="2" t="s">
        <v>426</v>
      </c>
      <c r="U99" s="2" t="s">
        <v>865</v>
      </c>
      <c r="X99" s="2" t="s">
        <v>429</v>
      </c>
      <c r="Z99" s="2" t="s">
        <v>1214</v>
      </c>
      <c r="AA99" s="2">
        <v>77</v>
      </c>
      <c r="AC99" s="2" t="s">
        <v>250</v>
      </c>
      <c r="AD99" s="2" t="s">
        <v>1215</v>
      </c>
      <c r="AE99" s="2" t="s">
        <v>13</v>
      </c>
      <c r="AF99" s="2" t="s">
        <v>433</v>
      </c>
      <c r="AG99" s="2" t="s">
        <v>472</v>
      </c>
      <c r="AH99" s="2" t="s">
        <v>435</v>
      </c>
      <c r="AI99" s="2">
        <v>4</v>
      </c>
      <c r="AL99" s="2" t="s">
        <v>1216</v>
      </c>
      <c r="AM99" s="2" t="s">
        <v>1217</v>
      </c>
    </row>
    <row r="100" spans="1:39" ht="12.5" x14ac:dyDescent="0.25">
      <c r="A100" s="2" t="s">
        <v>2</v>
      </c>
      <c r="B100" s="2" t="s">
        <v>1218</v>
      </c>
      <c r="C100" s="2" t="s">
        <v>1219</v>
      </c>
      <c r="D100" s="2" t="s">
        <v>1220</v>
      </c>
      <c r="E100" s="2" t="s">
        <v>423</v>
      </c>
      <c r="F100" s="2" t="s">
        <v>503</v>
      </c>
      <c r="G100" s="2" t="s">
        <v>1221</v>
      </c>
      <c r="H100" s="2" t="s">
        <v>1222</v>
      </c>
      <c r="I100" s="4">
        <v>31623</v>
      </c>
      <c r="J100" s="2">
        <v>35</v>
      </c>
      <c r="K100" s="2">
        <v>116085930</v>
      </c>
      <c r="L100" s="6">
        <v>7753823612</v>
      </c>
      <c r="M100" s="2" t="s">
        <v>1223</v>
      </c>
      <c r="N100" s="2" t="s">
        <v>1224</v>
      </c>
      <c r="O100" s="2"/>
      <c r="P100" s="2" t="s">
        <v>1023</v>
      </c>
      <c r="R100" s="2" t="s">
        <v>20</v>
      </c>
      <c r="T100" s="2" t="s">
        <v>461</v>
      </c>
      <c r="U100" s="2" t="s">
        <v>865</v>
      </c>
      <c r="X100" s="2" t="s">
        <v>429</v>
      </c>
      <c r="Z100" s="2" t="s">
        <v>1225</v>
      </c>
      <c r="AA100" s="2">
        <v>163</v>
      </c>
      <c r="AB100" s="2" t="s">
        <v>225</v>
      </c>
      <c r="AC100" s="2" t="s">
        <v>30</v>
      </c>
      <c r="AD100" s="2" t="s">
        <v>1226</v>
      </c>
      <c r="AE100" s="2" t="s">
        <v>13</v>
      </c>
      <c r="AF100" s="2" t="s">
        <v>626</v>
      </c>
      <c r="AG100" s="2" t="s">
        <v>444</v>
      </c>
      <c r="AH100" s="2" t="s">
        <v>435</v>
      </c>
      <c r="AI100" s="2">
        <v>2</v>
      </c>
      <c r="AL100" s="2" t="s">
        <v>1227</v>
      </c>
      <c r="AM100" s="2" t="s">
        <v>1228</v>
      </c>
    </row>
    <row r="101" spans="1:39" ht="12.5" x14ac:dyDescent="0.25">
      <c r="A101" s="2" t="s">
        <v>2</v>
      </c>
      <c r="B101" s="2" t="s">
        <v>1229</v>
      </c>
      <c r="C101" s="2" t="s">
        <v>1230</v>
      </c>
      <c r="D101" s="2" t="s">
        <v>1231</v>
      </c>
      <c r="E101" s="2" t="s">
        <v>423</v>
      </c>
      <c r="F101" s="2" t="s">
        <v>503</v>
      </c>
      <c r="G101" s="2" t="s">
        <v>1232</v>
      </c>
      <c r="H101" s="2" t="s">
        <v>1233</v>
      </c>
      <c r="I101" s="4">
        <v>30883</v>
      </c>
      <c r="J101" s="2">
        <v>37</v>
      </c>
      <c r="K101" s="2">
        <v>402188779</v>
      </c>
      <c r="L101" s="6">
        <v>32938562845</v>
      </c>
      <c r="M101" s="2" t="s">
        <v>730</v>
      </c>
      <c r="N101" s="2"/>
      <c r="O101" s="2"/>
      <c r="P101" s="2" t="s">
        <v>864</v>
      </c>
      <c r="R101" s="2" t="s">
        <v>7</v>
      </c>
      <c r="T101" s="2" t="s">
        <v>426</v>
      </c>
      <c r="U101" s="2" t="s">
        <v>865</v>
      </c>
      <c r="V101" s="2"/>
      <c r="X101" s="2" t="s">
        <v>429</v>
      </c>
      <c r="Z101" s="2" t="s">
        <v>1234</v>
      </c>
      <c r="AA101" s="2">
        <v>1778</v>
      </c>
      <c r="AB101" s="2"/>
      <c r="AC101" s="2" t="s">
        <v>263</v>
      </c>
      <c r="AD101" s="2" t="s">
        <v>1235</v>
      </c>
      <c r="AE101" s="2" t="s">
        <v>17</v>
      </c>
      <c r="AF101" s="2" t="s">
        <v>454</v>
      </c>
      <c r="AG101" s="2" t="s">
        <v>444</v>
      </c>
      <c r="AH101" s="2" t="s">
        <v>464</v>
      </c>
      <c r="AI101" s="2">
        <v>3</v>
      </c>
      <c r="AL101" s="2" t="s">
        <v>1236</v>
      </c>
      <c r="AM101" s="2" t="s">
        <v>264</v>
      </c>
    </row>
    <row r="102" spans="1:39" ht="12.5" x14ac:dyDescent="0.25">
      <c r="A102" s="2" t="s">
        <v>2</v>
      </c>
      <c r="B102" s="2" t="s">
        <v>1237</v>
      </c>
      <c r="C102" s="2" t="s">
        <v>1238</v>
      </c>
      <c r="D102" s="2" t="s">
        <v>1239</v>
      </c>
      <c r="E102" s="2" t="s">
        <v>423</v>
      </c>
      <c r="F102" s="2" t="s">
        <v>503</v>
      </c>
      <c r="G102" s="2" t="s">
        <v>266</v>
      </c>
      <c r="H102" s="2" t="s">
        <v>1240</v>
      </c>
      <c r="I102" s="4">
        <v>33085</v>
      </c>
      <c r="J102" s="2">
        <v>31</v>
      </c>
      <c r="K102" s="2">
        <v>16627411</v>
      </c>
      <c r="L102" s="6">
        <v>10058194673</v>
      </c>
      <c r="M102" s="2" t="s">
        <v>532</v>
      </c>
      <c r="O102" s="2" t="s">
        <v>883</v>
      </c>
      <c r="P102" s="2" t="s">
        <v>1023</v>
      </c>
      <c r="R102" s="2" t="s">
        <v>7</v>
      </c>
      <c r="S102" s="2"/>
      <c r="T102" s="2" t="s">
        <v>426</v>
      </c>
      <c r="U102" s="2" t="s">
        <v>865</v>
      </c>
      <c r="V102" s="2" t="s">
        <v>427</v>
      </c>
      <c r="X102" s="2"/>
      <c r="Z102" s="2" t="s">
        <v>1241</v>
      </c>
      <c r="AA102" s="2">
        <v>77</v>
      </c>
      <c r="AC102" s="2" t="s">
        <v>30</v>
      </c>
      <c r="AD102" s="2" t="s">
        <v>1242</v>
      </c>
      <c r="AE102" s="2" t="s">
        <v>13</v>
      </c>
      <c r="AF102" s="2" t="s">
        <v>454</v>
      </c>
      <c r="AG102" s="2" t="s">
        <v>472</v>
      </c>
      <c r="AH102" s="2" t="s">
        <v>435</v>
      </c>
      <c r="AI102" s="2">
        <v>2</v>
      </c>
      <c r="AL102" s="2" t="s">
        <v>1243</v>
      </c>
      <c r="AM102" s="2" t="s">
        <v>1244</v>
      </c>
    </row>
    <row r="103" spans="1:39" ht="12.5" x14ac:dyDescent="0.25">
      <c r="A103" s="2" t="s">
        <v>2</v>
      </c>
      <c r="B103" s="2" t="s">
        <v>1245</v>
      </c>
      <c r="C103" s="2" t="s">
        <v>1246</v>
      </c>
      <c r="D103" s="2" t="s">
        <v>1247</v>
      </c>
      <c r="E103" s="2" t="s">
        <v>423</v>
      </c>
      <c r="F103" s="2" t="s">
        <v>503</v>
      </c>
      <c r="G103" s="2" t="s">
        <v>1248</v>
      </c>
      <c r="H103" s="2" t="s">
        <v>1249</v>
      </c>
      <c r="I103" s="4">
        <v>31332</v>
      </c>
      <c r="J103" s="2">
        <v>36</v>
      </c>
      <c r="K103" s="2">
        <v>443804366</v>
      </c>
      <c r="L103" s="6">
        <v>33010096895</v>
      </c>
      <c r="M103" s="2" t="s">
        <v>661</v>
      </c>
      <c r="N103" s="2"/>
      <c r="O103" s="2" t="s">
        <v>1022</v>
      </c>
      <c r="P103" s="2" t="s">
        <v>864</v>
      </c>
      <c r="R103" s="2" t="s">
        <v>7</v>
      </c>
      <c r="T103" s="2" t="s">
        <v>426</v>
      </c>
      <c r="U103" s="2" t="s">
        <v>1250</v>
      </c>
      <c r="V103" s="2"/>
      <c r="X103" s="2" t="s">
        <v>429</v>
      </c>
      <c r="Z103" s="2" t="s">
        <v>270</v>
      </c>
      <c r="AA103" s="2">
        <v>85</v>
      </c>
      <c r="AB103" s="2"/>
      <c r="AC103" s="2" t="s">
        <v>21</v>
      </c>
      <c r="AD103" s="2" t="s">
        <v>1251</v>
      </c>
      <c r="AE103" s="2" t="s">
        <v>17</v>
      </c>
      <c r="AF103" s="2" t="s">
        <v>626</v>
      </c>
      <c r="AG103" s="2" t="s">
        <v>1176</v>
      </c>
      <c r="AH103" s="2" t="s">
        <v>435</v>
      </c>
      <c r="AI103" s="2">
        <v>4</v>
      </c>
      <c r="AL103" s="2" t="s">
        <v>1252</v>
      </c>
      <c r="AM103" s="2" t="s">
        <v>1253</v>
      </c>
    </row>
    <row r="104" spans="1:39" ht="12.5" x14ac:dyDescent="0.25">
      <c r="A104" s="2" t="s">
        <v>2</v>
      </c>
      <c r="B104" s="2" t="s">
        <v>1254</v>
      </c>
      <c r="C104" s="2" t="s">
        <v>1255</v>
      </c>
      <c r="D104" s="2" t="s">
        <v>1256</v>
      </c>
      <c r="E104" s="2" t="s">
        <v>423</v>
      </c>
      <c r="F104" s="2" t="s">
        <v>503</v>
      </c>
      <c r="G104" s="2" t="s">
        <v>1257</v>
      </c>
      <c r="H104" s="2" t="s">
        <v>1258</v>
      </c>
      <c r="I104" s="4">
        <v>29121</v>
      </c>
      <c r="J104" s="2">
        <v>42</v>
      </c>
      <c r="K104" s="2">
        <v>4136453</v>
      </c>
      <c r="L104" s="6">
        <v>89943104104</v>
      </c>
      <c r="M104" s="2" t="s">
        <v>532</v>
      </c>
      <c r="N104" s="2"/>
      <c r="O104" s="2" t="s">
        <v>883</v>
      </c>
      <c r="P104" s="2" t="s">
        <v>864</v>
      </c>
      <c r="R104" s="2" t="s">
        <v>7</v>
      </c>
      <c r="T104" s="2" t="s">
        <v>461</v>
      </c>
      <c r="U104" s="2" t="s">
        <v>865</v>
      </c>
      <c r="X104" s="2" t="s">
        <v>429</v>
      </c>
      <c r="Z104" s="2" t="s">
        <v>1259</v>
      </c>
      <c r="AA104" s="2">
        <v>215</v>
      </c>
      <c r="AB104" s="2"/>
      <c r="AC104" s="2" t="s">
        <v>280</v>
      </c>
      <c r="AD104" s="2" t="s">
        <v>1260</v>
      </c>
      <c r="AE104" s="2" t="s">
        <v>47</v>
      </c>
      <c r="AF104" s="2" t="s">
        <v>433</v>
      </c>
      <c r="AG104" s="2" t="s">
        <v>444</v>
      </c>
      <c r="AH104" s="2" t="s">
        <v>435</v>
      </c>
      <c r="AI104" s="2">
        <v>4</v>
      </c>
      <c r="AL104" s="2" t="s">
        <v>1261</v>
      </c>
      <c r="AM104" s="2" t="s">
        <v>281</v>
      </c>
    </row>
    <row r="105" spans="1:39" ht="12.5" x14ac:dyDescent="0.25">
      <c r="A105" s="2" t="s">
        <v>2</v>
      </c>
      <c r="B105" s="2" t="s">
        <v>1262</v>
      </c>
      <c r="C105" s="2" t="s">
        <v>1263</v>
      </c>
      <c r="D105" s="2" t="s">
        <v>1264</v>
      </c>
      <c r="E105" s="2" t="s">
        <v>423</v>
      </c>
      <c r="F105" s="2" t="s">
        <v>503</v>
      </c>
      <c r="G105" s="2" t="s">
        <v>1265</v>
      </c>
      <c r="H105" s="2" t="s">
        <v>1266</v>
      </c>
      <c r="I105" s="5">
        <v>28147</v>
      </c>
      <c r="J105" s="2">
        <v>44</v>
      </c>
      <c r="K105" s="2">
        <v>376110636</v>
      </c>
      <c r="L105" s="6">
        <v>26091876880</v>
      </c>
      <c r="M105" s="2" t="s">
        <v>1267</v>
      </c>
      <c r="O105" s="2" t="s">
        <v>1022</v>
      </c>
      <c r="P105" s="2" t="s">
        <v>1119</v>
      </c>
      <c r="R105" s="2" t="s">
        <v>7</v>
      </c>
      <c r="T105" s="2" t="s">
        <v>426</v>
      </c>
      <c r="U105" s="2" t="s">
        <v>865</v>
      </c>
      <c r="V105" s="2"/>
      <c r="X105" s="2" t="s">
        <v>429</v>
      </c>
      <c r="Z105" s="2" t="s">
        <v>1268</v>
      </c>
      <c r="AA105" s="2">
        <v>137</v>
      </c>
      <c r="AB105" s="2" t="s">
        <v>103</v>
      </c>
      <c r="AC105" s="2" t="s">
        <v>21</v>
      </c>
      <c r="AD105" s="2" t="s">
        <v>1269</v>
      </c>
      <c r="AE105" s="2" t="s">
        <v>17</v>
      </c>
      <c r="AF105" s="2" t="s">
        <v>454</v>
      </c>
      <c r="AG105" s="2" t="s">
        <v>444</v>
      </c>
      <c r="AH105" s="2" t="s">
        <v>1270</v>
      </c>
      <c r="AI105" s="2">
        <v>2</v>
      </c>
      <c r="AL105" s="2" t="s">
        <v>1271</v>
      </c>
      <c r="AM105" s="2" t="s">
        <v>1272</v>
      </c>
    </row>
    <row r="106" spans="1:39" ht="12.5" x14ac:dyDescent="0.25">
      <c r="A106" s="2" t="s">
        <v>2</v>
      </c>
      <c r="B106" s="2" t="s">
        <v>1273</v>
      </c>
      <c r="C106" s="2" t="s">
        <v>1274</v>
      </c>
      <c r="D106" s="2" t="s">
        <v>1275</v>
      </c>
      <c r="E106" s="2" t="s">
        <v>423</v>
      </c>
      <c r="F106" s="2" t="s">
        <v>503</v>
      </c>
      <c r="G106" s="2" t="s">
        <v>1276</v>
      </c>
      <c r="H106" s="2" t="s">
        <v>1277</v>
      </c>
      <c r="I106" s="4">
        <v>30509</v>
      </c>
      <c r="J106" s="2">
        <v>38</v>
      </c>
      <c r="K106" s="2">
        <v>836844416</v>
      </c>
      <c r="L106" s="6">
        <v>2240643552</v>
      </c>
      <c r="M106" s="2" t="s">
        <v>1278</v>
      </c>
      <c r="N106" s="2" t="s">
        <v>1279</v>
      </c>
      <c r="O106" s="2" t="s">
        <v>1154</v>
      </c>
      <c r="P106" s="2" t="s">
        <v>864</v>
      </c>
      <c r="R106" s="2" t="s">
        <v>7</v>
      </c>
      <c r="T106" s="2" t="s">
        <v>426</v>
      </c>
      <c r="U106" s="2" t="s">
        <v>865</v>
      </c>
      <c r="X106" s="2" t="s">
        <v>462</v>
      </c>
      <c r="Z106" s="2" t="s">
        <v>1280</v>
      </c>
      <c r="AA106" s="2">
        <v>121</v>
      </c>
      <c r="AB106" s="2" t="s">
        <v>225</v>
      </c>
      <c r="AC106" s="2" t="s">
        <v>285</v>
      </c>
      <c r="AD106" s="2" t="s">
        <v>1281</v>
      </c>
      <c r="AE106" s="2" t="s">
        <v>148</v>
      </c>
      <c r="AF106" s="2" t="s">
        <v>433</v>
      </c>
      <c r="AG106" s="2" t="s">
        <v>1282</v>
      </c>
      <c r="AH106" s="2" t="s">
        <v>435</v>
      </c>
      <c r="AI106" s="2">
        <v>6</v>
      </c>
      <c r="AL106" s="2" t="s">
        <v>1283</v>
      </c>
      <c r="AM106" s="2" t="s">
        <v>1284</v>
      </c>
    </row>
    <row r="107" spans="1:39" ht="12.5" x14ac:dyDescent="0.25">
      <c r="A107" s="2" t="s">
        <v>2</v>
      </c>
      <c r="B107" s="2" t="s">
        <v>1285</v>
      </c>
      <c r="C107" s="2" t="s">
        <v>1286</v>
      </c>
      <c r="D107" s="2" t="s">
        <v>1287</v>
      </c>
      <c r="E107" s="2" t="s">
        <v>423</v>
      </c>
      <c r="F107" s="2" t="s">
        <v>503</v>
      </c>
      <c r="G107" s="2" t="s">
        <v>1288</v>
      </c>
      <c r="H107" s="2" t="s">
        <v>1289</v>
      </c>
      <c r="I107" s="4">
        <v>28969</v>
      </c>
      <c r="J107" s="2">
        <v>42</v>
      </c>
      <c r="K107" s="2">
        <v>286213400</v>
      </c>
      <c r="L107" s="6">
        <v>27643928851</v>
      </c>
      <c r="M107" s="2" t="s">
        <v>1290</v>
      </c>
      <c r="N107" s="2"/>
      <c r="O107" s="2" t="s">
        <v>1022</v>
      </c>
      <c r="P107" s="2" t="s">
        <v>864</v>
      </c>
      <c r="R107" s="2" t="s">
        <v>7</v>
      </c>
      <c r="T107" s="2" t="s">
        <v>461</v>
      </c>
      <c r="U107" s="2" t="s">
        <v>865</v>
      </c>
      <c r="X107" s="2" t="s">
        <v>429</v>
      </c>
      <c r="Z107" s="2" t="s">
        <v>1291</v>
      </c>
      <c r="AA107" s="2">
        <v>381</v>
      </c>
      <c r="AB107" s="2"/>
      <c r="AC107" s="2" t="s">
        <v>21</v>
      </c>
      <c r="AD107" s="2" t="s">
        <v>1292</v>
      </c>
      <c r="AE107" s="2" t="s">
        <v>17</v>
      </c>
      <c r="AF107" s="2" t="s">
        <v>454</v>
      </c>
      <c r="AG107" s="2" t="s">
        <v>444</v>
      </c>
      <c r="AH107" s="2" t="s">
        <v>435</v>
      </c>
      <c r="AI107" s="2">
        <v>7</v>
      </c>
      <c r="AL107" s="2" t="s">
        <v>1293</v>
      </c>
      <c r="AM107" s="2" t="s">
        <v>1294</v>
      </c>
    </row>
    <row r="108" spans="1:39" ht="12.5" x14ac:dyDescent="0.25">
      <c r="A108" s="2" t="s">
        <v>2</v>
      </c>
      <c r="B108" s="2" t="s">
        <v>1295</v>
      </c>
      <c r="C108" s="2" t="s">
        <v>1296</v>
      </c>
      <c r="D108" s="2" t="s">
        <v>1297</v>
      </c>
      <c r="E108" s="2" t="s">
        <v>423</v>
      </c>
      <c r="F108" s="2" t="s">
        <v>503</v>
      </c>
      <c r="G108" s="2" t="s">
        <v>1298</v>
      </c>
      <c r="H108" s="2" t="s">
        <v>1299</v>
      </c>
      <c r="I108" s="4">
        <v>28038</v>
      </c>
      <c r="J108" s="2">
        <v>45</v>
      </c>
      <c r="K108" s="2">
        <v>385871582</v>
      </c>
      <c r="L108" s="6">
        <v>3020000629</v>
      </c>
      <c r="M108" s="2" t="s">
        <v>1300</v>
      </c>
      <c r="N108" s="2" t="s">
        <v>1301</v>
      </c>
      <c r="O108" s="2" t="s">
        <v>1302</v>
      </c>
      <c r="P108" s="2" t="s">
        <v>864</v>
      </c>
      <c r="R108" s="2" t="s">
        <v>20</v>
      </c>
      <c r="T108" s="2" t="s">
        <v>426</v>
      </c>
      <c r="U108" s="2" t="s">
        <v>865</v>
      </c>
      <c r="X108" s="2" t="s">
        <v>462</v>
      </c>
      <c r="Z108" s="2" t="s">
        <v>1303</v>
      </c>
      <c r="AA108" s="2">
        <v>79</v>
      </c>
      <c r="AB108" s="2" t="s">
        <v>1304</v>
      </c>
      <c r="AC108" s="2" t="s">
        <v>297</v>
      </c>
      <c r="AD108" s="2" t="s">
        <v>1305</v>
      </c>
      <c r="AE108" s="2" t="s">
        <v>13</v>
      </c>
      <c r="AF108" s="2" t="s">
        <v>433</v>
      </c>
      <c r="AG108" s="2" t="s">
        <v>444</v>
      </c>
      <c r="AH108" s="2" t="s">
        <v>473</v>
      </c>
      <c r="AI108" s="2">
        <v>4</v>
      </c>
      <c r="AL108" s="2" t="s">
        <v>1306</v>
      </c>
      <c r="AM108" s="2" t="s">
        <v>1307</v>
      </c>
    </row>
    <row r="109" spans="1:39" ht="12.5" x14ac:dyDescent="0.25">
      <c r="A109" s="2" t="s">
        <v>2</v>
      </c>
      <c r="B109" s="2" t="s">
        <v>1308</v>
      </c>
      <c r="C109" s="2" t="s">
        <v>658</v>
      </c>
      <c r="D109" s="2" t="s">
        <v>1309</v>
      </c>
      <c r="E109" s="2" t="s">
        <v>423</v>
      </c>
      <c r="F109" s="2" t="s">
        <v>503</v>
      </c>
      <c r="G109" s="2" t="s">
        <v>1310</v>
      </c>
      <c r="H109" s="2" t="s">
        <v>1311</v>
      </c>
      <c r="I109" s="4">
        <v>30202</v>
      </c>
      <c r="J109" s="2">
        <v>39</v>
      </c>
      <c r="K109" s="2">
        <v>9022050</v>
      </c>
      <c r="L109" s="6">
        <v>1446910601</v>
      </c>
      <c r="M109" s="2" t="s">
        <v>1312</v>
      </c>
      <c r="N109" s="2"/>
      <c r="O109" s="2"/>
      <c r="P109" s="2" t="s">
        <v>1023</v>
      </c>
      <c r="R109" s="2" t="s">
        <v>7</v>
      </c>
      <c r="T109" s="2" t="s">
        <v>426</v>
      </c>
      <c r="U109" s="2" t="s">
        <v>865</v>
      </c>
      <c r="X109" s="2" t="s">
        <v>429</v>
      </c>
      <c r="Z109" s="2" t="s">
        <v>1313</v>
      </c>
      <c r="AA109" s="2">
        <v>369</v>
      </c>
      <c r="AB109" s="2" t="s">
        <v>1314</v>
      </c>
      <c r="AC109" s="2" t="s">
        <v>30</v>
      </c>
      <c r="AD109" s="2" t="s">
        <v>1315</v>
      </c>
      <c r="AE109" s="2" t="s">
        <v>13</v>
      </c>
      <c r="AF109" s="2" t="s">
        <v>454</v>
      </c>
      <c r="AG109" s="2" t="s">
        <v>444</v>
      </c>
      <c r="AH109" s="2" t="s">
        <v>1270</v>
      </c>
      <c r="AI109" s="2">
        <v>6</v>
      </c>
      <c r="AL109" s="2" t="s">
        <v>1316</v>
      </c>
      <c r="AM109" s="2" t="s">
        <v>1317</v>
      </c>
    </row>
    <row r="110" spans="1:39" ht="12.5" x14ac:dyDescent="0.25">
      <c r="A110" s="2" t="s">
        <v>2</v>
      </c>
      <c r="B110" s="2" t="s">
        <v>1318</v>
      </c>
      <c r="C110" s="2" t="s">
        <v>1319</v>
      </c>
      <c r="D110" s="2" t="s">
        <v>1320</v>
      </c>
      <c r="E110" s="2" t="s">
        <v>423</v>
      </c>
      <c r="F110" s="2" t="s">
        <v>503</v>
      </c>
      <c r="G110" s="2" t="s">
        <v>1321</v>
      </c>
      <c r="H110" s="2" t="s">
        <v>1322</v>
      </c>
      <c r="I110" s="4">
        <v>24785</v>
      </c>
      <c r="J110" s="2">
        <v>54</v>
      </c>
      <c r="K110" s="2">
        <v>761364</v>
      </c>
      <c r="L110" s="6">
        <v>20066821215</v>
      </c>
      <c r="M110" s="2" t="s">
        <v>1323</v>
      </c>
      <c r="N110" s="2"/>
      <c r="O110" s="2"/>
      <c r="P110" s="2" t="s">
        <v>864</v>
      </c>
      <c r="R110" s="2" t="s">
        <v>7</v>
      </c>
      <c r="T110" s="2" t="s">
        <v>426</v>
      </c>
      <c r="U110" s="2" t="s">
        <v>865</v>
      </c>
      <c r="X110" s="2" t="s">
        <v>462</v>
      </c>
      <c r="Z110" s="2" t="s">
        <v>1324</v>
      </c>
      <c r="AA110" s="2">
        <v>1828</v>
      </c>
      <c r="AB110" s="2" t="s">
        <v>103</v>
      </c>
      <c r="AC110" s="2" t="s">
        <v>289</v>
      </c>
      <c r="AD110" s="2" t="s">
        <v>1325</v>
      </c>
      <c r="AE110" s="2" t="s">
        <v>287</v>
      </c>
      <c r="AF110" s="2" t="s">
        <v>626</v>
      </c>
      <c r="AG110" s="2" t="s">
        <v>1326</v>
      </c>
      <c r="AH110" s="2" t="s">
        <v>435</v>
      </c>
      <c r="AI110" s="2">
        <v>5</v>
      </c>
      <c r="AL110" s="2" t="s">
        <v>290</v>
      </c>
      <c r="AM110" s="2" t="s">
        <v>290</v>
      </c>
    </row>
    <row r="111" spans="1:39" ht="12.5" x14ac:dyDescent="0.25">
      <c r="A111" s="2" t="s">
        <v>27</v>
      </c>
      <c r="B111" s="2" t="s">
        <v>1327</v>
      </c>
      <c r="C111" s="2" t="s">
        <v>1328</v>
      </c>
      <c r="D111" s="2" t="s">
        <v>1329</v>
      </c>
      <c r="E111" s="2" t="s">
        <v>423</v>
      </c>
      <c r="F111" s="2" t="s">
        <v>503</v>
      </c>
      <c r="G111" s="2" t="s">
        <v>301</v>
      </c>
      <c r="H111" s="2" t="s">
        <v>1330</v>
      </c>
      <c r="I111" s="4">
        <v>27401</v>
      </c>
      <c r="J111" s="2">
        <v>46</v>
      </c>
      <c r="K111" s="2">
        <v>1277112</v>
      </c>
      <c r="L111" s="6">
        <v>50572059191</v>
      </c>
      <c r="M111" s="2" t="s">
        <v>1331</v>
      </c>
      <c r="N111" s="2" t="s">
        <v>1332</v>
      </c>
      <c r="O111" s="2" t="s">
        <v>1022</v>
      </c>
      <c r="P111" s="2" t="s">
        <v>1023</v>
      </c>
      <c r="R111" s="2" t="s">
        <v>20</v>
      </c>
      <c r="S111" s="2" t="s">
        <v>1333</v>
      </c>
      <c r="T111" s="2" t="s">
        <v>461</v>
      </c>
      <c r="U111" s="2" t="s">
        <v>865</v>
      </c>
      <c r="V111" s="2" t="s">
        <v>427</v>
      </c>
      <c r="X111" s="2"/>
      <c r="Z111" s="2" t="s">
        <v>1334</v>
      </c>
      <c r="AA111" s="2">
        <v>3</v>
      </c>
      <c r="AB111" s="2"/>
      <c r="AC111" s="2" t="s">
        <v>302</v>
      </c>
      <c r="AD111" s="2" t="s">
        <v>1335</v>
      </c>
      <c r="AE111" s="2" t="s">
        <v>196</v>
      </c>
      <c r="AF111" s="2" t="s">
        <v>454</v>
      </c>
      <c r="AG111" s="2" t="s">
        <v>472</v>
      </c>
      <c r="AH111" s="2" t="s">
        <v>464</v>
      </c>
      <c r="AI111" s="2">
        <v>4</v>
      </c>
      <c r="AL111" s="2" t="s">
        <v>1336</v>
      </c>
      <c r="AM111" s="2" t="s">
        <v>1337</v>
      </c>
    </row>
    <row r="112" spans="1:39" ht="12.5" x14ac:dyDescent="0.25">
      <c r="A112" s="2" t="s">
        <v>2</v>
      </c>
      <c r="B112" s="2" t="s">
        <v>1338</v>
      </c>
      <c r="C112" s="2" t="s">
        <v>1339</v>
      </c>
      <c r="D112" s="2" t="s">
        <v>1340</v>
      </c>
      <c r="E112" s="2" t="s">
        <v>423</v>
      </c>
      <c r="F112" s="2" t="s">
        <v>503</v>
      </c>
      <c r="G112" s="2" t="s">
        <v>1341</v>
      </c>
      <c r="H112" s="2" t="s">
        <v>1342</v>
      </c>
      <c r="I112" s="4">
        <v>25867</v>
      </c>
      <c r="J112" s="2">
        <v>51</v>
      </c>
      <c r="K112" s="2">
        <v>530302659</v>
      </c>
      <c r="L112" s="6">
        <v>59806486587</v>
      </c>
      <c r="M112" s="2" t="s">
        <v>1343</v>
      </c>
      <c r="N112" s="2"/>
      <c r="O112" s="2"/>
      <c r="P112" s="2" t="s">
        <v>1023</v>
      </c>
      <c r="R112" s="2" t="s">
        <v>7</v>
      </c>
      <c r="S112" s="2"/>
      <c r="T112" s="2" t="s">
        <v>426</v>
      </c>
      <c r="U112" s="2" t="s">
        <v>865</v>
      </c>
      <c r="V112" s="2" t="s">
        <v>1344</v>
      </c>
      <c r="X112" s="2"/>
      <c r="Z112" s="2" t="s">
        <v>1345</v>
      </c>
      <c r="AA112" s="2">
        <v>39</v>
      </c>
      <c r="AB112" s="2" t="s">
        <v>1346</v>
      </c>
      <c r="AC112" s="2" t="s">
        <v>285</v>
      </c>
      <c r="AD112" s="2" t="s">
        <v>1347</v>
      </c>
      <c r="AE112" s="2" t="s">
        <v>148</v>
      </c>
      <c r="AF112" s="2" t="s">
        <v>454</v>
      </c>
      <c r="AG112" s="2" t="s">
        <v>1146</v>
      </c>
      <c r="AH112" s="2" t="s">
        <v>435</v>
      </c>
      <c r="AI112" s="2">
        <v>4</v>
      </c>
      <c r="AL112" s="2" t="s">
        <v>1348</v>
      </c>
      <c r="AM112" s="2" t="s">
        <v>1349</v>
      </c>
    </row>
    <row r="113" spans="1:39" ht="12.5" x14ac:dyDescent="0.25">
      <c r="A113" s="2" t="s">
        <v>2</v>
      </c>
      <c r="B113" s="2" t="s">
        <v>1350</v>
      </c>
      <c r="C113" s="2" t="s">
        <v>1351</v>
      </c>
      <c r="D113" s="2" t="s">
        <v>1352</v>
      </c>
      <c r="E113" s="2" t="s">
        <v>423</v>
      </c>
      <c r="F113" s="2" t="s">
        <v>503</v>
      </c>
      <c r="G113" s="2" t="s">
        <v>307</v>
      </c>
      <c r="H113" s="2" t="s">
        <v>1353</v>
      </c>
      <c r="I113" s="4">
        <v>28873</v>
      </c>
      <c r="J113" s="2">
        <v>42</v>
      </c>
      <c r="K113" s="2">
        <v>1121169</v>
      </c>
      <c r="L113" s="6">
        <v>27462527839</v>
      </c>
      <c r="M113" s="2" t="s">
        <v>730</v>
      </c>
      <c r="N113" s="2"/>
      <c r="O113" s="2"/>
      <c r="P113" s="2" t="s">
        <v>864</v>
      </c>
      <c r="R113" s="2" t="s">
        <v>7</v>
      </c>
      <c r="T113" s="2" t="s">
        <v>461</v>
      </c>
      <c r="U113" s="2" t="s">
        <v>865</v>
      </c>
      <c r="V113" s="2"/>
      <c r="X113" s="2" t="s">
        <v>429</v>
      </c>
      <c r="Z113" s="2" t="s">
        <v>309</v>
      </c>
      <c r="AA113" s="2">
        <v>59</v>
      </c>
      <c r="AB113" s="2"/>
      <c r="AC113" s="2" t="s">
        <v>21</v>
      </c>
      <c r="AD113" s="2" t="s">
        <v>1354</v>
      </c>
      <c r="AE113" s="2" t="s">
        <v>17</v>
      </c>
      <c r="AF113" s="2" t="s">
        <v>626</v>
      </c>
      <c r="AG113" s="2" t="s">
        <v>472</v>
      </c>
      <c r="AH113" s="2" t="s">
        <v>435</v>
      </c>
      <c r="AI113" s="2">
        <v>4</v>
      </c>
      <c r="AL113" s="2" t="s">
        <v>1355</v>
      </c>
      <c r="AM113" s="2" t="s">
        <v>1356</v>
      </c>
    </row>
    <row r="114" spans="1:39" ht="12.5" x14ac:dyDescent="0.25">
      <c r="A114" s="2" t="s">
        <v>2</v>
      </c>
      <c r="B114" s="2" t="s">
        <v>1357</v>
      </c>
      <c r="C114" s="2" t="s">
        <v>1358</v>
      </c>
      <c r="D114" s="2" t="s">
        <v>1359</v>
      </c>
      <c r="E114" s="2" t="s">
        <v>423</v>
      </c>
      <c r="F114" s="2" t="s">
        <v>503</v>
      </c>
      <c r="G114" s="2" t="s">
        <v>1360</v>
      </c>
      <c r="H114" s="2" t="s">
        <v>1361</v>
      </c>
      <c r="I114" s="5">
        <v>29546</v>
      </c>
      <c r="J114" s="2">
        <v>41</v>
      </c>
      <c r="K114" s="2">
        <v>292876221</v>
      </c>
      <c r="L114" s="6">
        <v>29736308863</v>
      </c>
      <c r="M114" s="2" t="s">
        <v>1362</v>
      </c>
      <c r="N114" s="2"/>
      <c r="O114" s="2" t="s">
        <v>1022</v>
      </c>
      <c r="P114" s="2" t="s">
        <v>1023</v>
      </c>
      <c r="R114" s="2" t="s">
        <v>7</v>
      </c>
      <c r="S114" s="2"/>
      <c r="T114" s="2" t="s">
        <v>426</v>
      </c>
      <c r="U114" s="2" t="s">
        <v>865</v>
      </c>
      <c r="V114" s="2"/>
      <c r="X114" s="2" t="s">
        <v>429</v>
      </c>
      <c r="Z114" s="2" t="s">
        <v>1363</v>
      </c>
      <c r="AA114" s="2">
        <v>751</v>
      </c>
      <c r="AB114" s="2"/>
      <c r="AC114" s="2" t="s">
        <v>62</v>
      </c>
      <c r="AD114" s="2" t="s">
        <v>1364</v>
      </c>
      <c r="AE114" s="2" t="s">
        <v>17</v>
      </c>
      <c r="AF114" s="2" t="s">
        <v>454</v>
      </c>
      <c r="AG114" s="2" t="s">
        <v>472</v>
      </c>
      <c r="AH114" s="2" t="s">
        <v>435</v>
      </c>
      <c r="AI114" s="2">
        <v>3</v>
      </c>
      <c r="AL114" s="2" t="s">
        <v>1365</v>
      </c>
      <c r="AM114" s="2" t="s">
        <v>1366</v>
      </c>
    </row>
    <row r="115" spans="1:39" ht="12.5" x14ac:dyDescent="0.25">
      <c r="A115" s="2" t="s">
        <v>2</v>
      </c>
      <c r="B115" s="2" t="s">
        <v>1367</v>
      </c>
      <c r="C115" s="2" t="s">
        <v>1368</v>
      </c>
      <c r="D115" s="2" t="s">
        <v>1369</v>
      </c>
      <c r="E115" s="2" t="s">
        <v>423</v>
      </c>
      <c r="F115" s="2" t="s">
        <v>503</v>
      </c>
      <c r="G115" s="2" t="s">
        <v>1370</v>
      </c>
      <c r="H115" s="2" t="s">
        <v>1371</v>
      </c>
      <c r="I115" s="4">
        <v>32536</v>
      </c>
      <c r="J115" s="2">
        <v>32</v>
      </c>
      <c r="K115" s="2">
        <v>7545646</v>
      </c>
      <c r="L115" s="6">
        <v>99848422234</v>
      </c>
      <c r="M115" s="2"/>
      <c r="O115" s="2" t="s">
        <v>1022</v>
      </c>
      <c r="P115" s="2" t="s">
        <v>1119</v>
      </c>
      <c r="R115" s="2" t="s">
        <v>7</v>
      </c>
      <c r="T115" s="2" t="s">
        <v>426</v>
      </c>
      <c r="U115" s="2" t="s">
        <v>865</v>
      </c>
      <c r="V115" s="2" t="s">
        <v>427</v>
      </c>
      <c r="X115" s="2"/>
      <c r="Z115" s="2" t="s">
        <v>1372</v>
      </c>
      <c r="AA115" s="2">
        <v>89</v>
      </c>
      <c r="AB115" s="2" t="s">
        <v>108</v>
      </c>
      <c r="AC115" s="2" t="s">
        <v>318</v>
      </c>
      <c r="AD115" s="2" t="s">
        <v>1373</v>
      </c>
      <c r="AE115" s="2" t="s">
        <v>84</v>
      </c>
      <c r="AF115" s="2" t="s">
        <v>454</v>
      </c>
      <c r="AG115" s="2" t="s">
        <v>481</v>
      </c>
      <c r="AH115" s="2" t="s">
        <v>435</v>
      </c>
      <c r="AI115" s="2">
        <v>7</v>
      </c>
      <c r="AL115" s="2" t="s">
        <v>1374</v>
      </c>
      <c r="AM115" s="2" t="s">
        <v>1375</v>
      </c>
    </row>
    <row r="116" spans="1:39" ht="12.5" x14ac:dyDescent="0.25">
      <c r="A116" s="2" t="s">
        <v>2</v>
      </c>
      <c r="B116" s="2" t="s">
        <v>1376</v>
      </c>
      <c r="C116" s="2" t="s">
        <v>1377</v>
      </c>
      <c r="D116" s="2" t="s">
        <v>1378</v>
      </c>
      <c r="E116" s="2" t="s">
        <v>423</v>
      </c>
      <c r="F116" s="2" t="s">
        <v>503</v>
      </c>
      <c r="G116" s="2" t="s">
        <v>1379</v>
      </c>
      <c r="H116" s="2" t="s">
        <v>1380</v>
      </c>
      <c r="I116" s="5">
        <v>27583</v>
      </c>
      <c r="J116" s="2">
        <v>46</v>
      </c>
      <c r="K116" s="2">
        <v>109220079</v>
      </c>
      <c r="L116" s="6">
        <v>4786934780</v>
      </c>
      <c r="M116" s="2" t="s">
        <v>1381</v>
      </c>
      <c r="N116" s="2" t="s">
        <v>1382</v>
      </c>
      <c r="O116" s="2" t="s">
        <v>1383</v>
      </c>
      <c r="P116" s="2" t="s">
        <v>1023</v>
      </c>
      <c r="R116" s="2" t="s">
        <v>20</v>
      </c>
      <c r="T116" s="2" t="s">
        <v>426</v>
      </c>
      <c r="U116" s="2" t="s">
        <v>865</v>
      </c>
      <c r="V116" s="2"/>
      <c r="X116" s="2" t="s">
        <v>429</v>
      </c>
      <c r="Z116" s="2" t="s">
        <v>1384</v>
      </c>
      <c r="AA116" s="2">
        <v>53</v>
      </c>
      <c r="AB116" s="2" t="s">
        <v>1385</v>
      </c>
      <c r="AC116" s="2" t="s">
        <v>99</v>
      </c>
      <c r="AD116" s="2" t="s">
        <v>1386</v>
      </c>
      <c r="AE116" s="2" t="s">
        <v>9</v>
      </c>
      <c r="AF116" s="2" t="s">
        <v>626</v>
      </c>
      <c r="AG116" s="2" t="s">
        <v>444</v>
      </c>
      <c r="AH116" s="2" t="s">
        <v>435</v>
      </c>
      <c r="AI116" s="2">
        <v>3</v>
      </c>
      <c r="AL116" s="2" t="s">
        <v>1271</v>
      </c>
      <c r="AM116" s="2" t="s">
        <v>1387</v>
      </c>
    </row>
    <row r="117" spans="1:39" ht="12.5" x14ac:dyDescent="0.25">
      <c r="A117" s="2" t="s">
        <v>2</v>
      </c>
      <c r="B117" s="2" t="s">
        <v>1388</v>
      </c>
      <c r="C117" s="2" t="s">
        <v>1389</v>
      </c>
      <c r="D117" s="2" t="s">
        <v>1390</v>
      </c>
      <c r="E117" s="2" t="s">
        <v>423</v>
      </c>
      <c r="F117" s="2" t="s">
        <v>503</v>
      </c>
      <c r="G117" s="2" t="s">
        <v>321</v>
      </c>
      <c r="H117" s="2" t="s">
        <v>1391</v>
      </c>
      <c r="I117" s="4">
        <v>32066</v>
      </c>
      <c r="J117" s="2">
        <v>34</v>
      </c>
      <c r="K117" s="2">
        <v>2003021012119</v>
      </c>
      <c r="L117" s="6">
        <v>2057633322</v>
      </c>
      <c r="M117" s="2" t="s">
        <v>510</v>
      </c>
      <c r="N117" s="2" t="s">
        <v>1392</v>
      </c>
      <c r="O117" s="2" t="s">
        <v>1383</v>
      </c>
      <c r="P117" s="2" t="s">
        <v>864</v>
      </c>
      <c r="R117" s="2" t="s">
        <v>20</v>
      </c>
      <c r="T117" s="2" t="s">
        <v>461</v>
      </c>
      <c r="U117" s="2" t="s">
        <v>1393</v>
      </c>
      <c r="V117" s="2"/>
      <c r="X117" s="2" t="s">
        <v>462</v>
      </c>
      <c r="Z117" s="2" t="s">
        <v>1394</v>
      </c>
      <c r="AA117" s="2">
        <v>50</v>
      </c>
      <c r="AB117" s="2" t="s">
        <v>1395</v>
      </c>
      <c r="AC117" s="2" t="s">
        <v>322</v>
      </c>
      <c r="AD117" s="2" t="s">
        <v>1396</v>
      </c>
      <c r="AE117" s="2" t="s">
        <v>74</v>
      </c>
      <c r="AF117" s="2" t="s">
        <v>433</v>
      </c>
      <c r="AG117" s="2" t="s">
        <v>472</v>
      </c>
      <c r="AH117" s="2" t="s">
        <v>435</v>
      </c>
      <c r="AI117" s="2">
        <v>4</v>
      </c>
      <c r="AL117" s="2" t="s">
        <v>1397</v>
      </c>
      <c r="AM117" s="2" t="s">
        <v>1398</v>
      </c>
    </row>
    <row r="118" spans="1:39" ht="12.5" x14ac:dyDescent="0.25">
      <c r="A118" s="2" t="s">
        <v>2</v>
      </c>
      <c r="B118" s="2" t="s">
        <v>1399</v>
      </c>
      <c r="C118" s="2" t="s">
        <v>1400</v>
      </c>
      <c r="D118" s="2" t="s">
        <v>1401</v>
      </c>
      <c r="E118" s="2" t="s">
        <v>423</v>
      </c>
      <c r="F118" s="2" t="s">
        <v>503</v>
      </c>
      <c r="G118" s="2" t="s">
        <v>1402</v>
      </c>
      <c r="H118" s="2" t="s">
        <v>1403</v>
      </c>
      <c r="I118" s="4">
        <v>35217</v>
      </c>
      <c r="J118" s="2">
        <v>25</v>
      </c>
      <c r="K118" s="2">
        <v>18694251</v>
      </c>
      <c r="L118" s="6">
        <v>12884455639</v>
      </c>
      <c r="M118" s="2" t="s">
        <v>1021</v>
      </c>
      <c r="N118" s="2"/>
      <c r="O118" s="2" t="s">
        <v>1302</v>
      </c>
      <c r="P118" s="2" t="s">
        <v>1023</v>
      </c>
      <c r="R118" s="2" t="s">
        <v>7</v>
      </c>
      <c r="T118" s="2" t="s">
        <v>461</v>
      </c>
      <c r="U118" s="2" t="s">
        <v>865</v>
      </c>
      <c r="V118" s="2"/>
      <c r="X118" s="2" t="s">
        <v>429</v>
      </c>
      <c r="Z118" s="2" t="s">
        <v>1404</v>
      </c>
      <c r="AA118" s="2">
        <v>34</v>
      </c>
      <c r="AB118" s="2" t="s">
        <v>749</v>
      </c>
      <c r="AC118" s="2" t="s">
        <v>326</v>
      </c>
      <c r="AD118" s="2" t="s">
        <v>1405</v>
      </c>
      <c r="AE118" s="2" t="s">
        <v>13</v>
      </c>
      <c r="AF118" s="2" t="s">
        <v>454</v>
      </c>
      <c r="AG118" s="2" t="s">
        <v>434</v>
      </c>
      <c r="AH118" s="2" t="s">
        <v>435</v>
      </c>
      <c r="AI118" s="2">
        <v>3</v>
      </c>
      <c r="AL118" s="2" t="s">
        <v>1406</v>
      </c>
      <c r="AM118" s="2" t="s">
        <v>1406</v>
      </c>
    </row>
    <row r="119" spans="1:39" ht="12.5" x14ac:dyDescent="0.25">
      <c r="A119" s="2" t="s">
        <v>2</v>
      </c>
      <c r="B119" s="2" t="s">
        <v>1407</v>
      </c>
      <c r="C119" s="2" t="s">
        <v>1179</v>
      </c>
      <c r="D119" s="2" t="s">
        <v>1408</v>
      </c>
      <c r="E119" s="2" t="s">
        <v>423</v>
      </c>
      <c r="F119" s="2" t="s">
        <v>503</v>
      </c>
      <c r="G119" s="2" t="s">
        <v>1409</v>
      </c>
      <c r="H119" s="2" t="s">
        <v>1410</v>
      </c>
      <c r="I119" s="5">
        <v>31615</v>
      </c>
      <c r="J119" s="2">
        <v>35</v>
      </c>
      <c r="K119" s="2">
        <v>14231133</v>
      </c>
      <c r="L119" s="6">
        <v>7221656681</v>
      </c>
      <c r="M119" s="2" t="s">
        <v>1411</v>
      </c>
      <c r="N119" s="2"/>
      <c r="O119" s="2" t="s">
        <v>1154</v>
      </c>
      <c r="P119" s="2" t="s">
        <v>1119</v>
      </c>
      <c r="R119" s="2" t="s">
        <v>7</v>
      </c>
      <c r="T119" s="2" t="s">
        <v>426</v>
      </c>
      <c r="U119" s="2" t="s">
        <v>865</v>
      </c>
      <c r="V119" s="2" t="s">
        <v>427</v>
      </c>
      <c r="X119" s="2"/>
      <c r="Z119" s="2" t="s">
        <v>1412</v>
      </c>
      <c r="AA119" s="2">
        <v>162</v>
      </c>
      <c r="AB119" s="2"/>
      <c r="AC119" s="2" t="s">
        <v>328</v>
      </c>
      <c r="AD119" s="2" t="s">
        <v>1413</v>
      </c>
      <c r="AE119" s="2" t="s">
        <v>13</v>
      </c>
      <c r="AF119" s="2" t="s">
        <v>454</v>
      </c>
      <c r="AG119" s="2" t="s">
        <v>444</v>
      </c>
      <c r="AH119" s="2" t="s">
        <v>435</v>
      </c>
      <c r="AI119" s="2">
        <v>2</v>
      </c>
      <c r="AL119" s="2" t="s">
        <v>1414</v>
      </c>
      <c r="AM119" s="2" t="s">
        <v>1415</v>
      </c>
    </row>
    <row r="120" spans="1:39" ht="12.5" x14ac:dyDescent="0.25">
      <c r="A120" s="2" t="s">
        <v>2</v>
      </c>
      <c r="B120" s="2" t="s">
        <v>1416</v>
      </c>
      <c r="C120" s="2" t="s">
        <v>1417</v>
      </c>
      <c r="D120" s="2" t="s">
        <v>1418</v>
      </c>
      <c r="E120" s="2" t="s">
        <v>423</v>
      </c>
      <c r="F120" s="2" t="s">
        <v>503</v>
      </c>
      <c r="G120" s="2" t="s">
        <v>1419</v>
      </c>
      <c r="H120" s="2" t="s">
        <v>1420</v>
      </c>
      <c r="I120" s="4">
        <v>29634</v>
      </c>
      <c r="J120" s="2">
        <v>40</v>
      </c>
      <c r="K120" s="2">
        <v>755230949</v>
      </c>
      <c r="L120" s="6">
        <v>3011593</v>
      </c>
      <c r="M120" s="2" t="s">
        <v>1421</v>
      </c>
      <c r="N120" s="2"/>
      <c r="O120" s="2"/>
      <c r="P120" s="2" t="s">
        <v>1023</v>
      </c>
      <c r="R120" s="2" t="s">
        <v>7</v>
      </c>
      <c r="T120" s="2" t="s">
        <v>461</v>
      </c>
      <c r="U120" s="2" t="s">
        <v>865</v>
      </c>
      <c r="V120" s="2"/>
      <c r="X120" s="2" t="s">
        <v>622</v>
      </c>
      <c r="Z120" s="2" t="s">
        <v>1422</v>
      </c>
      <c r="AA120" s="2">
        <v>22</v>
      </c>
      <c r="AB120" s="2"/>
      <c r="AC120" s="2" t="s">
        <v>331</v>
      </c>
      <c r="AD120" s="2" t="s">
        <v>1423</v>
      </c>
      <c r="AE120" s="2" t="s">
        <v>148</v>
      </c>
      <c r="AF120" s="2" t="s">
        <v>454</v>
      </c>
      <c r="AG120" s="2" t="s">
        <v>488</v>
      </c>
      <c r="AH120" s="2" t="s">
        <v>473</v>
      </c>
      <c r="AI120" s="2">
        <v>5</v>
      </c>
      <c r="AL120" s="2" t="s">
        <v>1424</v>
      </c>
      <c r="AM120" s="2" t="s">
        <v>1425</v>
      </c>
    </row>
    <row r="121" spans="1:39" ht="12.5" x14ac:dyDescent="0.25">
      <c r="A121" s="2" t="s">
        <v>27</v>
      </c>
      <c r="B121" s="2" t="s">
        <v>1426</v>
      </c>
      <c r="C121" s="2" t="s">
        <v>1427</v>
      </c>
      <c r="D121" s="2" t="s">
        <v>1428</v>
      </c>
      <c r="E121" s="2" t="s">
        <v>423</v>
      </c>
      <c r="F121" s="2" t="s">
        <v>503</v>
      </c>
      <c r="G121" s="2" t="s">
        <v>1429</v>
      </c>
      <c r="H121" s="2" t="s">
        <v>333</v>
      </c>
      <c r="I121" s="4">
        <v>24031</v>
      </c>
      <c r="J121" s="2">
        <v>56</v>
      </c>
      <c r="K121" s="2">
        <v>3631829</v>
      </c>
      <c r="L121" s="6">
        <v>52308480653</v>
      </c>
      <c r="M121" s="2" t="s">
        <v>1430</v>
      </c>
      <c r="O121" s="2"/>
      <c r="P121" s="2" t="s">
        <v>1023</v>
      </c>
      <c r="R121" s="2" t="s">
        <v>7</v>
      </c>
      <c r="S121" s="2" t="s">
        <v>1431</v>
      </c>
      <c r="T121" s="2" t="s">
        <v>426</v>
      </c>
      <c r="U121" s="2" t="s">
        <v>865</v>
      </c>
      <c r="V121" s="2"/>
      <c r="X121" s="2" t="s">
        <v>462</v>
      </c>
      <c r="Z121" s="2" t="s">
        <v>1432</v>
      </c>
      <c r="AA121" s="2">
        <v>19</v>
      </c>
      <c r="AB121" s="2" t="s">
        <v>225</v>
      </c>
      <c r="AC121" s="2" t="s">
        <v>334</v>
      </c>
      <c r="AD121" s="2" t="s">
        <v>1433</v>
      </c>
      <c r="AE121" s="2" t="s">
        <v>13</v>
      </c>
      <c r="AF121" s="2" t="s">
        <v>626</v>
      </c>
      <c r="AG121" s="2" t="s">
        <v>488</v>
      </c>
      <c r="AH121" s="2" t="s">
        <v>435</v>
      </c>
      <c r="AI121" s="2">
        <v>3</v>
      </c>
      <c r="AL121" s="2" t="s">
        <v>1434</v>
      </c>
      <c r="AM121" s="2" t="s">
        <v>1435</v>
      </c>
    </row>
    <row r="122" spans="1:39" ht="12.5" x14ac:dyDescent="0.25">
      <c r="A122" s="2" t="s">
        <v>2</v>
      </c>
      <c r="B122" s="2" t="s">
        <v>1436</v>
      </c>
      <c r="C122" s="2" t="s">
        <v>1437</v>
      </c>
      <c r="D122" s="2" t="s">
        <v>1438</v>
      </c>
      <c r="E122" s="2" t="s">
        <v>423</v>
      </c>
      <c r="F122" s="2" t="s">
        <v>503</v>
      </c>
      <c r="G122" s="2" t="s">
        <v>336</v>
      </c>
      <c r="H122" s="2" t="s">
        <v>1439</v>
      </c>
      <c r="I122" s="4">
        <v>26595</v>
      </c>
      <c r="J122" s="2">
        <v>49</v>
      </c>
      <c r="K122" s="2">
        <v>2167447</v>
      </c>
      <c r="L122" s="6">
        <v>49008650363</v>
      </c>
      <c r="M122" s="2" t="s">
        <v>1440</v>
      </c>
      <c r="O122" s="2" t="s">
        <v>883</v>
      </c>
      <c r="P122" s="2" t="s">
        <v>864</v>
      </c>
      <c r="R122" s="2" t="s">
        <v>7</v>
      </c>
      <c r="S122" s="2"/>
      <c r="T122" s="2" t="s">
        <v>426</v>
      </c>
      <c r="U122" s="2" t="s">
        <v>865</v>
      </c>
      <c r="V122" s="2"/>
      <c r="X122" s="2" t="s">
        <v>429</v>
      </c>
      <c r="Z122" s="2" t="s">
        <v>1441</v>
      </c>
      <c r="AA122" s="2">
        <v>12</v>
      </c>
      <c r="AB122" s="2"/>
      <c r="AC122" s="2" t="s">
        <v>338</v>
      </c>
      <c r="AD122" s="2" t="s">
        <v>1442</v>
      </c>
      <c r="AE122" s="2" t="s">
        <v>196</v>
      </c>
      <c r="AF122" s="2" t="s">
        <v>454</v>
      </c>
      <c r="AG122" s="2" t="s">
        <v>1443</v>
      </c>
      <c r="AH122" s="2" t="s">
        <v>435</v>
      </c>
      <c r="AI122" s="2">
        <v>5</v>
      </c>
      <c r="AL122" s="2" t="s">
        <v>1444</v>
      </c>
      <c r="AM122" s="2" t="s">
        <v>1445</v>
      </c>
    </row>
    <row r="123" spans="1:39" ht="12.5" x14ac:dyDescent="0.25">
      <c r="A123" s="2" t="s">
        <v>27</v>
      </c>
      <c r="B123" s="2" t="s">
        <v>1446</v>
      </c>
      <c r="C123" s="2" t="s">
        <v>1447</v>
      </c>
      <c r="D123" s="2" t="s">
        <v>1448</v>
      </c>
      <c r="E123" s="2" t="s">
        <v>423</v>
      </c>
      <c r="F123" s="2" t="s">
        <v>503</v>
      </c>
      <c r="G123" s="2" t="s">
        <v>1449</v>
      </c>
      <c r="H123" s="2" t="s">
        <v>1450</v>
      </c>
      <c r="I123" s="5">
        <v>31503</v>
      </c>
      <c r="J123" s="2">
        <v>35</v>
      </c>
      <c r="K123" s="2">
        <v>410149871</v>
      </c>
      <c r="L123" s="6">
        <v>33604433819</v>
      </c>
      <c r="M123" s="2" t="s">
        <v>1451</v>
      </c>
      <c r="O123" s="2" t="s">
        <v>1022</v>
      </c>
      <c r="P123" s="2" t="s">
        <v>1023</v>
      </c>
      <c r="R123" s="2" t="s">
        <v>7</v>
      </c>
      <c r="S123" s="2" t="s">
        <v>1452</v>
      </c>
      <c r="T123" s="2" t="s">
        <v>426</v>
      </c>
      <c r="U123" s="2" t="s">
        <v>865</v>
      </c>
      <c r="X123" s="2" t="s">
        <v>429</v>
      </c>
      <c r="Z123" s="2" t="s">
        <v>1453</v>
      </c>
      <c r="AA123" s="2">
        <v>1591</v>
      </c>
      <c r="AB123" s="2"/>
      <c r="AC123" s="2" t="s">
        <v>21</v>
      </c>
      <c r="AD123" s="2" t="s">
        <v>1454</v>
      </c>
      <c r="AE123" s="2" t="s">
        <v>17</v>
      </c>
      <c r="AF123" s="2" t="s">
        <v>454</v>
      </c>
      <c r="AG123" s="2" t="s">
        <v>488</v>
      </c>
      <c r="AH123" s="2" t="s">
        <v>473</v>
      </c>
      <c r="AI123" s="2">
        <v>2</v>
      </c>
      <c r="AL123" s="2" t="s">
        <v>1455</v>
      </c>
      <c r="AM123" s="2" t="s">
        <v>1456</v>
      </c>
    </row>
    <row r="124" spans="1:39" ht="12.5" x14ac:dyDescent="0.25">
      <c r="A124" s="2" t="s">
        <v>2</v>
      </c>
      <c r="B124" s="2" t="s">
        <v>1457</v>
      </c>
      <c r="C124" s="2" t="s">
        <v>543</v>
      </c>
      <c r="D124" s="2" t="s">
        <v>1458</v>
      </c>
      <c r="E124" s="2" t="s">
        <v>423</v>
      </c>
      <c r="F124" s="2" t="s">
        <v>503</v>
      </c>
      <c r="G124" s="2" t="s">
        <v>1459</v>
      </c>
      <c r="H124" s="2" t="s">
        <v>1460</v>
      </c>
      <c r="I124" s="5">
        <v>29171</v>
      </c>
      <c r="J124" s="2">
        <v>42</v>
      </c>
      <c r="K124" s="2">
        <v>367279198</v>
      </c>
      <c r="L124" s="6">
        <v>29000712831</v>
      </c>
      <c r="M124" s="2"/>
      <c r="O124" s="2" t="s">
        <v>1022</v>
      </c>
      <c r="P124" s="2" t="s">
        <v>1023</v>
      </c>
      <c r="R124" s="2" t="s">
        <v>7</v>
      </c>
      <c r="S124" s="2"/>
      <c r="T124" s="2" t="s">
        <v>426</v>
      </c>
      <c r="U124" s="2" t="s">
        <v>865</v>
      </c>
      <c r="V124" s="2" t="s">
        <v>427</v>
      </c>
      <c r="X124" s="2"/>
      <c r="Z124" s="2" t="s">
        <v>1461</v>
      </c>
      <c r="AA124" s="2">
        <v>45</v>
      </c>
      <c r="AB124" s="2" t="s">
        <v>1462</v>
      </c>
      <c r="AC124" s="2" t="s">
        <v>21</v>
      </c>
      <c r="AD124" s="2" t="s">
        <v>1463</v>
      </c>
      <c r="AE124" s="2" t="s">
        <v>17</v>
      </c>
      <c r="AF124" s="2" t="s">
        <v>454</v>
      </c>
      <c r="AG124" s="2" t="s">
        <v>488</v>
      </c>
      <c r="AH124" s="2" t="s">
        <v>473</v>
      </c>
      <c r="AI124" s="2">
        <v>4</v>
      </c>
      <c r="AL124" s="2" t="s">
        <v>1464</v>
      </c>
      <c r="AM124" s="2" t="s">
        <v>1465</v>
      </c>
    </row>
    <row r="125" spans="1:39" ht="12.5" x14ac:dyDescent="0.25">
      <c r="A125" s="2" t="s">
        <v>27</v>
      </c>
      <c r="B125" s="2" t="s">
        <v>1466</v>
      </c>
      <c r="C125" s="2" t="s">
        <v>1199</v>
      </c>
      <c r="D125" s="2" t="s">
        <v>1467</v>
      </c>
      <c r="E125" s="2" t="s">
        <v>423</v>
      </c>
      <c r="F125" s="2" t="s">
        <v>503</v>
      </c>
      <c r="G125" s="2" t="s">
        <v>251</v>
      </c>
      <c r="H125" s="2" t="s">
        <v>1468</v>
      </c>
      <c r="I125" s="4">
        <v>25033</v>
      </c>
      <c r="J125" s="2">
        <v>53</v>
      </c>
      <c r="K125" s="2">
        <v>158162</v>
      </c>
      <c r="L125" s="6">
        <v>23240695200</v>
      </c>
      <c r="M125" s="2" t="s">
        <v>1469</v>
      </c>
      <c r="O125" s="2" t="s">
        <v>1022</v>
      </c>
      <c r="P125" s="2" t="s">
        <v>1119</v>
      </c>
      <c r="R125" s="2" t="s">
        <v>7</v>
      </c>
      <c r="S125" s="2" t="s">
        <v>1470</v>
      </c>
      <c r="T125" s="2" t="s">
        <v>1471</v>
      </c>
      <c r="U125" s="2" t="s">
        <v>865</v>
      </c>
      <c r="V125" s="2"/>
      <c r="X125" s="2" t="s">
        <v>462</v>
      </c>
      <c r="Z125" s="2" t="s">
        <v>1472</v>
      </c>
      <c r="AA125" s="2">
        <v>546</v>
      </c>
      <c r="AB125" s="2"/>
      <c r="AC125" s="2" t="s">
        <v>255</v>
      </c>
      <c r="AD125" s="2" t="s">
        <v>1473</v>
      </c>
      <c r="AE125" s="2" t="s">
        <v>252</v>
      </c>
      <c r="AF125" s="2" t="s">
        <v>626</v>
      </c>
      <c r="AG125" s="2" t="s">
        <v>434</v>
      </c>
      <c r="AH125" s="2" t="s">
        <v>435</v>
      </c>
      <c r="AI125" s="2">
        <v>5</v>
      </c>
      <c r="AL125" s="2" t="s">
        <v>1474</v>
      </c>
      <c r="AM125" s="2" t="s">
        <v>1475</v>
      </c>
    </row>
    <row r="126" spans="1:39" ht="12.5" x14ac:dyDescent="0.25">
      <c r="A126" s="2" t="s">
        <v>2</v>
      </c>
      <c r="B126" s="2" t="s">
        <v>1476</v>
      </c>
      <c r="C126" s="2" t="s">
        <v>1477</v>
      </c>
      <c r="D126" s="2" t="s">
        <v>1478</v>
      </c>
      <c r="E126" s="2" t="s">
        <v>423</v>
      </c>
      <c r="F126" s="2" t="s">
        <v>503</v>
      </c>
      <c r="G126" s="2" t="s">
        <v>1479</v>
      </c>
      <c r="H126" s="2" t="s">
        <v>1480</v>
      </c>
      <c r="I126" s="5">
        <v>28694</v>
      </c>
      <c r="J126" s="2">
        <v>43</v>
      </c>
      <c r="K126" s="2">
        <v>11090748</v>
      </c>
      <c r="L126" s="6">
        <v>4131828600</v>
      </c>
      <c r="M126" s="2" t="s">
        <v>532</v>
      </c>
      <c r="N126" s="2" t="s">
        <v>1481</v>
      </c>
      <c r="O126" s="2" t="s">
        <v>883</v>
      </c>
      <c r="P126" s="2" t="s">
        <v>864</v>
      </c>
      <c r="R126" s="2" t="s">
        <v>20</v>
      </c>
      <c r="S126" s="2"/>
      <c r="T126" s="2" t="s">
        <v>426</v>
      </c>
      <c r="U126" s="2" t="s">
        <v>865</v>
      </c>
      <c r="V126" s="2"/>
      <c r="X126" s="2" t="s">
        <v>429</v>
      </c>
      <c r="Z126" s="2" t="s">
        <v>1482</v>
      </c>
      <c r="AA126" s="2">
        <v>76</v>
      </c>
      <c r="AB126" s="2"/>
      <c r="AC126" s="2" t="s">
        <v>346</v>
      </c>
      <c r="AD126" s="2" t="s">
        <v>1483</v>
      </c>
      <c r="AE126" s="2" t="s">
        <v>13</v>
      </c>
      <c r="AF126" s="2" t="s">
        <v>626</v>
      </c>
      <c r="AG126" s="2" t="s">
        <v>472</v>
      </c>
      <c r="AH126" s="2" t="s">
        <v>435</v>
      </c>
      <c r="AI126" s="2">
        <v>5</v>
      </c>
      <c r="AL126" s="2" t="s">
        <v>1484</v>
      </c>
      <c r="AM126" s="2" t="s">
        <v>1485</v>
      </c>
    </row>
    <row r="127" spans="1:39" ht="12.5" x14ac:dyDescent="0.25">
      <c r="A127" s="2" t="s">
        <v>2</v>
      </c>
      <c r="B127" s="2" t="s">
        <v>1486</v>
      </c>
      <c r="C127" s="2" t="s">
        <v>668</v>
      </c>
      <c r="D127" s="2" t="s">
        <v>1487</v>
      </c>
      <c r="E127" s="2" t="s">
        <v>423</v>
      </c>
      <c r="F127" s="2" t="s">
        <v>503</v>
      </c>
      <c r="G127" s="2" t="s">
        <v>1488</v>
      </c>
      <c r="H127" s="2" t="s">
        <v>1489</v>
      </c>
      <c r="I127" s="4">
        <v>27178</v>
      </c>
      <c r="J127" s="2">
        <v>47</v>
      </c>
      <c r="K127" s="2">
        <v>7051290</v>
      </c>
      <c r="L127" s="6">
        <v>3055790618</v>
      </c>
      <c r="M127" s="2"/>
      <c r="N127" s="2"/>
      <c r="O127" s="2" t="s">
        <v>1490</v>
      </c>
      <c r="P127" s="2" t="s">
        <v>1023</v>
      </c>
      <c r="R127" s="2" t="s">
        <v>7</v>
      </c>
      <c r="T127" s="2" t="s">
        <v>461</v>
      </c>
      <c r="U127" s="2" t="s">
        <v>865</v>
      </c>
      <c r="V127" s="2" t="s">
        <v>1344</v>
      </c>
      <c r="X127" s="2"/>
      <c r="Z127" s="2" t="s">
        <v>1491</v>
      </c>
      <c r="AA127" s="2">
        <v>79</v>
      </c>
      <c r="AB127" s="2" t="s">
        <v>1492</v>
      </c>
      <c r="AC127" s="2" t="s">
        <v>30</v>
      </c>
      <c r="AD127" s="2" t="s">
        <v>1493</v>
      </c>
      <c r="AE127" s="2" t="s">
        <v>13</v>
      </c>
      <c r="AF127" s="2" t="s">
        <v>454</v>
      </c>
      <c r="AG127" s="2" t="s">
        <v>488</v>
      </c>
      <c r="AH127" s="2" t="s">
        <v>473</v>
      </c>
      <c r="AI127" s="2">
        <v>5</v>
      </c>
      <c r="AL127" s="2" t="s">
        <v>1494</v>
      </c>
      <c r="AM127" s="2" t="s">
        <v>1495</v>
      </c>
    </row>
    <row r="128" spans="1:39" ht="12.5" x14ac:dyDescent="0.25">
      <c r="A128" s="2" t="s">
        <v>2</v>
      </c>
      <c r="B128" s="2" t="s">
        <v>1496</v>
      </c>
      <c r="C128" s="2" t="s">
        <v>1497</v>
      </c>
      <c r="D128" s="2" t="s">
        <v>1498</v>
      </c>
      <c r="E128" s="2" t="s">
        <v>423</v>
      </c>
      <c r="F128" s="2" t="s">
        <v>503</v>
      </c>
      <c r="G128" s="2" t="s">
        <v>1499</v>
      </c>
      <c r="H128" s="2" t="s">
        <v>1500</v>
      </c>
      <c r="I128" s="4">
        <v>31508</v>
      </c>
      <c r="J128" s="2">
        <v>35</v>
      </c>
      <c r="K128" s="2">
        <v>208684654</v>
      </c>
      <c r="L128" s="6">
        <v>10786739770</v>
      </c>
      <c r="M128" s="2" t="s">
        <v>1501</v>
      </c>
      <c r="N128" s="2"/>
      <c r="O128" s="2"/>
      <c r="P128" s="2" t="s">
        <v>1023</v>
      </c>
      <c r="R128" s="2" t="s">
        <v>7</v>
      </c>
      <c r="T128" s="2" t="s">
        <v>426</v>
      </c>
      <c r="U128" s="2" t="s">
        <v>865</v>
      </c>
      <c r="V128" s="2"/>
      <c r="X128" s="2" t="s">
        <v>429</v>
      </c>
      <c r="Z128" s="2" t="s">
        <v>1502</v>
      </c>
      <c r="AA128" s="2">
        <v>383</v>
      </c>
      <c r="AB128" s="2" t="s">
        <v>1503</v>
      </c>
      <c r="AC128" s="2" t="s">
        <v>99</v>
      </c>
      <c r="AD128" s="2" t="s">
        <v>1504</v>
      </c>
      <c r="AE128" s="2" t="s">
        <v>9</v>
      </c>
      <c r="AF128" s="2" t="s">
        <v>454</v>
      </c>
      <c r="AG128" s="2" t="s">
        <v>488</v>
      </c>
      <c r="AH128" s="2" t="s">
        <v>435</v>
      </c>
      <c r="AI128" s="2">
        <v>1</v>
      </c>
      <c r="AL128" s="2" t="s">
        <v>1505</v>
      </c>
      <c r="AM128" s="2" t="s">
        <v>353</v>
      </c>
    </row>
    <row r="129" spans="1:39" ht="12.5" x14ac:dyDescent="0.25">
      <c r="A129" s="2" t="s">
        <v>2</v>
      </c>
      <c r="B129" s="2" t="s">
        <v>1506</v>
      </c>
      <c r="C129" s="2" t="s">
        <v>1507</v>
      </c>
      <c r="D129" s="2" t="s">
        <v>1508</v>
      </c>
      <c r="E129" s="2" t="s">
        <v>423</v>
      </c>
      <c r="F129" s="2" t="s">
        <v>503</v>
      </c>
      <c r="G129" s="2" t="s">
        <v>340</v>
      </c>
      <c r="H129" s="2" t="s">
        <v>1509</v>
      </c>
      <c r="I129" s="4">
        <v>29772</v>
      </c>
      <c r="J129" s="2">
        <v>40</v>
      </c>
      <c r="K129" s="2">
        <v>3501882</v>
      </c>
      <c r="L129" s="6">
        <v>67547060234</v>
      </c>
      <c r="M129" s="2" t="s">
        <v>510</v>
      </c>
      <c r="N129" s="2" t="s">
        <v>1510</v>
      </c>
      <c r="O129" s="2" t="s">
        <v>1022</v>
      </c>
      <c r="P129" s="2" t="s">
        <v>864</v>
      </c>
      <c r="R129" s="2" t="s">
        <v>7</v>
      </c>
      <c r="T129" s="2" t="s">
        <v>426</v>
      </c>
      <c r="U129" s="2" t="s">
        <v>1393</v>
      </c>
      <c r="V129" s="2" t="s">
        <v>427</v>
      </c>
      <c r="X129" s="2"/>
      <c r="Z129" s="2" t="s">
        <v>1511</v>
      </c>
      <c r="AA129" s="2">
        <v>21</v>
      </c>
      <c r="AB129" s="2" t="s">
        <v>1512</v>
      </c>
      <c r="AC129" s="2" t="s">
        <v>342</v>
      </c>
      <c r="AD129" s="2" t="s">
        <v>1513</v>
      </c>
      <c r="AE129" s="2" t="s">
        <v>252</v>
      </c>
      <c r="AF129" s="2" t="s">
        <v>454</v>
      </c>
      <c r="AG129" s="2" t="s">
        <v>472</v>
      </c>
      <c r="AH129" s="2" t="s">
        <v>435</v>
      </c>
      <c r="AI129" s="2">
        <v>5</v>
      </c>
      <c r="AL129" s="2" t="s">
        <v>1514</v>
      </c>
      <c r="AM129" s="2" t="s">
        <v>1514</v>
      </c>
    </row>
    <row r="130" spans="1:39" ht="12.5" x14ac:dyDescent="0.25">
      <c r="A130" s="2" t="s">
        <v>2</v>
      </c>
      <c r="B130" s="2" t="s">
        <v>1515</v>
      </c>
      <c r="C130" s="2" t="s">
        <v>1516</v>
      </c>
      <c r="D130" s="2" t="s">
        <v>1517</v>
      </c>
      <c r="E130" s="2" t="s">
        <v>423</v>
      </c>
      <c r="F130" s="2" t="s">
        <v>503</v>
      </c>
      <c r="G130" s="2" t="s">
        <v>1518</v>
      </c>
      <c r="H130" s="2" t="s">
        <v>1519</v>
      </c>
      <c r="I130" s="4">
        <v>27710</v>
      </c>
      <c r="J130" s="2">
        <v>46</v>
      </c>
      <c r="K130" s="2">
        <v>4694518</v>
      </c>
      <c r="L130" s="6">
        <v>2174142490</v>
      </c>
      <c r="M130" s="2" t="s">
        <v>532</v>
      </c>
      <c r="N130" s="2"/>
      <c r="O130" s="2"/>
      <c r="P130" s="2"/>
      <c r="R130" s="2" t="s">
        <v>7</v>
      </c>
      <c r="T130" s="2"/>
      <c r="U130" s="2"/>
      <c r="V130" s="2" t="s">
        <v>427</v>
      </c>
      <c r="X130" s="2"/>
      <c r="Z130" s="2" t="s">
        <v>1520</v>
      </c>
      <c r="AA130" s="2">
        <v>65</v>
      </c>
      <c r="AB130" s="2"/>
      <c r="AC130" s="2" t="s">
        <v>61</v>
      </c>
      <c r="AD130" s="2" t="s">
        <v>1521</v>
      </c>
      <c r="AE130" s="2" t="s">
        <v>60</v>
      </c>
      <c r="AF130" s="2" t="s">
        <v>454</v>
      </c>
      <c r="AG130" s="2" t="s">
        <v>444</v>
      </c>
      <c r="AH130" s="2" t="s">
        <v>435</v>
      </c>
      <c r="AI130" s="2">
        <v>3</v>
      </c>
      <c r="AL130" s="2" t="s">
        <v>1522</v>
      </c>
      <c r="AM130" s="2" t="s">
        <v>1523</v>
      </c>
    </row>
    <row r="131" spans="1:39" ht="12.5" x14ac:dyDescent="0.25">
      <c r="A131" s="2" t="s">
        <v>2</v>
      </c>
      <c r="B131" s="2" t="s">
        <v>1524</v>
      </c>
      <c r="C131" s="2" t="s">
        <v>1525</v>
      </c>
      <c r="D131" s="2" t="s">
        <v>1526</v>
      </c>
      <c r="E131" s="2" t="s">
        <v>423</v>
      </c>
      <c r="F131" s="2" t="s">
        <v>503</v>
      </c>
      <c r="G131" s="2" t="s">
        <v>1527</v>
      </c>
      <c r="H131" s="2" t="s">
        <v>1528</v>
      </c>
      <c r="I131" s="4">
        <v>33211</v>
      </c>
      <c r="J131" s="2">
        <v>31</v>
      </c>
      <c r="K131" s="2">
        <v>18538087</v>
      </c>
      <c r="L131" s="6">
        <v>9256638673</v>
      </c>
      <c r="M131" s="2" t="s">
        <v>1529</v>
      </c>
      <c r="N131" s="2" t="s">
        <v>1530</v>
      </c>
      <c r="O131" s="2" t="s">
        <v>1022</v>
      </c>
      <c r="P131" s="2" t="s">
        <v>1023</v>
      </c>
      <c r="R131" s="2" t="s">
        <v>20</v>
      </c>
      <c r="S131" s="2"/>
      <c r="T131" s="2" t="s">
        <v>426</v>
      </c>
      <c r="U131" s="2" t="s">
        <v>865</v>
      </c>
      <c r="V131" s="2"/>
      <c r="X131" s="2" t="s">
        <v>462</v>
      </c>
      <c r="Z131" s="2" t="s">
        <v>1531</v>
      </c>
      <c r="AA131" s="2">
        <v>1419</v>
      </c>
      <c r="AB131" s="2" t="s">
        <v>1532</v>
      </c>
      <c r="AC131" s="2" t="s">
        <v>38</v>
      </c>
      <c r="AD131" s="2" t="s">
        <v>1533</v>
      </c>
      <c r="AE131" s="2" t="s">
        <v>3</v>
      </c>
      <c r="AF131" s="2" t="s">
        <v>626</v>
      </c>
      <c r="AG131" s="2" t="s">
        <v>488</v>
      </c>
      <c r="AH131" s="2" t="s">
        <v>473</v>
      </c>
      <c r="AI131" s="2">
        <v>2</v>
      </c>
      <c r="AL131" s="2" t="s">
        <v>1534</v>
      </c>
      <c r="AM131" s="2" t="s">
        <v>1535</v>
      </c>
    </row>
    <row r="132" spans="1:39" ht="12.5" x14ac:dyDescent="0.25">
      <c r="A132" s="2" t="s">
        <v>2</v>
      </c>
      <c r="B132" s="2" t="s">
        <v>1536</v>
      </c>
      <c r="C132" s="2" t="s">
        <v>1537</v>
      </c>
      <c r="D132" s="2" t="s">
        <v>1538</v>
      </c>
      <c r="E132" s="2" t="s">
        <v>423</v>
      </c>
      <c r="F132" s="2" t="s">
        <v>503</v>
      </c>
      <c r="G132" s="2" t="s">
        <v>359</v>
      </c>
      <c r="H132" s="2" t="s">
        <v>1539</v>
      </c>
      <c r="I132" s="5">
        <v>29485</v>
      </c>
      <c r="J132" s="2">
        <v>41</v>
      </c>
      <c r="K132" s="2">
        <v>10110699</v>
      </c>
      <c r="L132" s="6">
        <v>1184412642</v>
      </c>
      <c r="M132" s="2" t="s">
        <v>532</v>
      </c>
      <c r="N132" s="2"/>
      <c r="O132" s="2"/>
      <c r="P132" s="2" t="s">
        <v>864</v>
      </c>
      <c r="R132" s="2" t="s">
        <v>7</v>
      </c>
      <c r="T132" s="2" t="s">
        <v>461</v>
      </c>
      <c r="U132" s="2" t="s">
        <v>865</v>
      </c>
      <c r="V132" s="2"/>
      <c r="X132" s="2" t="s">
        <v>429</v>
      </c>
      <c r="Z132" s="2" t="s">
        <v>360</v>
      </c>
      <c r="AA132" s="2">
        <v>669</v>
      </c>
      <c r="AB132" s="2"/>
      <c r="AC132" s="2" t="s">
        <v>362</v>
      </c>
      <c r="AD132" s="2" t="s">
        <v>1540</v>
      </c>
      <c r="AE132" s="2" t="s">
        <v>13</v>
      </c>
      <c r="AF132" s="2" t="s">
        <v>454</v>
      </c>
      <c r="AG132" s="2" t="s">
        <v>444</v>
      </c>
      <c r="AH132" s="2" t="s">
        <v>435</v>
      </c>
      <c r="AI132" s="2">
        <v>5</v>
      </c>
      <c r="AL132" s="2" t="s">
        <v>1541</v>
      </c>
      <c r="AM132" s="2" t="s">
        <v>1542</v>
      </c>
    </row>
    <row r="133" spans="1:39" ht="12.5" x14ac:dyDescent="0.25">
      <c r="A133" s="2" t="s">
        <v>27</v>
      </c>
      <c r="B133" s="2" t="s">
        <v>1543</v>
      </c>
      <c r="C133" s="2" t="s">
        <v>658</v>
      </c>
      <c r="D133" s="2" t="s">
        <v>1544</v>
      </c>
      <c r="E133" s="2" t="s">
        <v>423</v>
      </c>
      <c r="F133" s="2" t="s">
        <v>503</v>
      </c>
      <c r="G133" s="2" t="s">
        <v>1545</v>
      </c>
      <c r="H133" s="2" t="s">
        <v>1546</v>
      </c>
      <c r="I133" s="4">
        <v>29469</v>
      </c>
      <c r="J133" s="2">
        <v>41</v>
      </c>
      <c r="K133" s="2">
        <v>2187640</v>
      </c>
      <c r="L133" s="6">
        <v>3536228429</v>
      </c>
      <c r="M133" s="2" t="s">
        <v>1547</v>
      </c>
      <c r="N133" s="2" t="s">
        <v>1548</v>
      </c>
      <c r="O133" s="2" t="s">
        <v>1154</v>
      </c>
      <c r="P133" s="2" t="s">
        <v>1023</v>
      </c>
      <c r="R133" s="2" t="s">
        <v>20</v>
      </c>
      <c r="S133" s="2" t="s">
        <v>1549</v>
      </c>
      <c r="T133" s="2" t="s">
        <v>426</v>
      </c>
      <c r="U133" s="2" t="s">
        <v>865</v>
      </c>
      <c r="X133" s="2" t="s">
        <v>462</v>
      </c>
      <c r="Z133" s="2" t="s">
        <v>1550</v>
      </c>
      <c r="AA133" s="2">
        <v>103</v>
      </c>
      <c r="AB133" s="2"/>
      <c r="AC133" s="2" t="s">
        <v>365</v>
      </c>
      <c r="AD133" s="2" t="s">
        <v>1551</v>
      </c>
      <c r="AE133" s="2" t="s">
        <v>166</v>
      </c>
      <c r="AF133" s="2" t="s">
        <v>433</v>
      </c>
      <c r="AG133" s="2" t="s">
        <v>434</v>
      </c>
      <c r="AH133" s="2" t="s">
        <v>435</v>
      </c>
      <c r="AI133" s="2">
        <v>4</v>
      </c>
      <c r="AL133" s="2" t="s">
        <v>1552</v>
      </c>
      <c r="AM133" s="2" t="s">
        <v>1553</v>
      </c>
    </row>
    <row r="134" spans="1:39" ht="12.5" x14ac:dyDescent="0.25">
      <c r="A134" s="2" t="s">
        <v>2</v>
      </c>
      <c r="B134" s="2" t="s">
        <v>1554</v>
      </c>
      <c r="C134" s="2" t="s">
        <v>1555</v>
      </c>
      <c r="D134" s="2" t="s">
        <v>1556</v>
      </c>
      <c r="E134" s="2" t="s">
        <v>423</v>
      </c>
      <c r="F134" s="2" t="s">
        <v>503</v>
      </c>
      <c r="G134" s="2" t="s">
        <v>1557</v>
      </c>
      <c r="H134" s="2" t="s">
        <v>1558</v>
      </c>
      <c r="I134" s="4">
        <v>33119</v>
      </c>
      <c r="J134" s="2">
        <v>31</v>
      </c>
      <c r="K134" s="2">
        <v>2002010013137</v>
      </c>
      <c r="L134" s="6">
        <v>2767634324</v>
      </c>
      <c r="M134" s="2" t="s">
        <v>1559</v>
      </c>
      <c r="N134" s="2"/>
      <c r="O134" s="2" t="s">
        <v>1022</v>
      </c>
      <c r="P134" s="2" t="s">
        <v>1119</v>
      </c>
      <c r="R134" s="2" t="s">
        <v>7</v>
      </c>
      <c r="S134" s="2"/>
      <c r="T134" s="2" t="s">
        <v>461</v>
      </c>
      <c r="U134" s="2" t="s">
        <v>865</v>
      </c>
      <c r="X134" s="2" t="s">
        <v>462</v>
      </c>
      <c r="Z134" s="2" t="s">
        <v>1560</v>
      </c>
      <c r="AA134" s="2">
        <v>54</v>
      </c>
      <c r="AB134" s="2" t="s">
        <v>1561</v>
      </c>
      <c r="AC134" s="2" t="s">
        <v>75</v>
      </c>
      <c r="AD134" s="2" t="s">
        <v>1562</v>
      </c>
      <c r="AE134" s="2" t="s">
        <v>74</v>
      </c>
      <c r="AF134" s="2" t="s">
        <v>454</v>
      </c>
      <c r="AG134" s="2" t="s">
        <v>472</v>
      </c>
      <c r="AH134" s="2" t="s">
        <v>464</v>
      </c>
      <c r="AI134" s="2">
        <v>3</v>
      </c>
      <c r="AL134" s="2" t="s">
        <v>1271</v>
      </c>
      <c r="AM134" s="2" t="s">
        <v>1563</v>
      </c>
    </row>
    <row r="135" spans="1:39" ht="12.5" x14ac:dyDescent="0.25">
      <c r="A135" s="2" t="s">
        <v>2</v>
      </c>
      <c r="B135" s="2" t="s">
        <v>1564</v>
      </c>
      <c r="C135" s="2" t="s">
        <v>1565</v>
      </c>
      <c r="D135" s="2" t="s">
        <v>1566</v>
      </c>
      <c r="E135" s="2" t="s">
        <v>423</v>
      </c>
      <c r="F135" s="2" t="s">
        <v>503</v>
      </c>
      <c r="G135" s="2" t="s">
        <v>1567</v>
      </c>
      <c r="H135" s="2" t="s">
        <v>1568</v>
      </c>
      <c r="I135" s="4">
        <v>28797</v>
      </c>
      <c r="J135" s="2">
        <v>43</v>
      </c>
      <c r="K135" s="2">
        <v>4827880</v>
      </c>
      <c r="L135" s="6">
        <v>3205923405</v>
      </c>
      <c r="M135" s="2" t="s">
        <v>1569</v>
      </c>
      <c r="N135" s="2" t="s">
        <v>368</v>
      </c>
      <c r="O135" s="2"/>
      <c r="P135" s="2" t="s">
        <v>1023</v>
      </c>
      <c r="R135" s="2" t="s">
        <v>7</v>
      </c>
      <c r="T135" s="2" t="s">
        <v>461</v>
      </c>
      <c r="U135" s="2" t="s">
        <v>865</v>
      </c>
      <c r="X135" s="2" t="s">
        <v>462</v>
      </c>
      <c r="Z135" s="2" t="s">
        <v>370</v>
      </c>
      <c r="AA135" s="2">
        <v>32252801</v>
      </c>
      <c r="AB135" s="2"/>
      <c r="AC135" s="2" t="s">
        <v>61</v>
      </c>
      <c r="AD135" s="2" t="s">
        <v>1570</v>
      </c>
      <c r="AE135" s="2" t="s">
        <v>60</v>
      </c>
      <c r="AF135" s="2" t="s">
        <v>626</v>
      </c>
      <c r="AG135" s="2" t="s">
        <v>434</v>
      </c>
      <c r="AH135" s="2" t="s">
        <v>473</v>
      </c>
      <c r="AI135" s="2">
        <v>5</v>
      </c>
      <c r="AL135" s="2" t="s">
        <v>1571</v>
      </c>
      <c r="AM135" s="2" t="s">
        <v>1572</v>
      </c>
    </row>
    <row r="136" spans="1:39" ht="12.5" x14ac:dyDescent="0.25">
      <c r="A136" s="2" t="s">
        <v>2</v>
      </c>
      <c r="B136" s="2" t="s">
        <v>1573</v>
      </c>
      <c r="C136" s="2" t="s">
        <v>1574</v>
      </c>
      <c r="D136" s="2" t="s">
        <v>1575</v>
      </c>
      <c r="E136" s="2" t="s">
        <v>423</v>
      </c>
      <c r="F136" s="2" t="s">
        <v>503</v>
      </c>
      <c r="G136" s="2" t="s">
        <v>373</v>
      </c>
      <c r="H136" s="2" t="s">
        <v>1576</v>
      </c>
      <c r="I136" s="4">
        <v>30947</v>
      </c>
      <c r="J136" s="2">
        <v>37</v>
      </c>
      <c r="K136" s="2">
        <v>207111212</v>
      </c>
      <c r="L136" s="6">
        <v>11335668713</v>
      </c>
      <c r="M136" s="2" t="s">
        <v>1577</v>
      </c>
      <c r="N136" s="2" t="s">
        <v>1578</v>
      </c>
      <c r="O136" s="2" t="s">
        <v>883</v>
      </c>
      <c r="P136" s="2" t="s">
        <v>864</v>
      </c>
      <c r="R136" s="2" t="s">
        <v>20</v>
      </c>
      <c r="T136" s="2" t="s">
        <v>461</v>
      </c>
      <c r="U136" s="2" t="s">
        <v>865</v>
      </c>
      <c r="X136" s="2" t="s">
        <v>462</v>
      </c>
      <c r="Z136" s="2" t="s">
        <v>1579</v>
      </c>
      <c r="AA136" s="2">
        <v>80</v>
      </c>
      <c r="AB136" s="2" t="s">
        <v>225</v>
      </c>
      <c r="AC136" s="2" t="s">
        <v>375</v>
      </c>
      <c r="AD136" s="2" t="s">
        <v>1580</v>
      </c>
      <c r="AE136" s="2" t="s">
        <v>32</v>
      </c>
      <c r="AF136" s="2" t="s">
        <v>454</v>
      </c>
      <c r="AG136" s="2" t="s">
        <v>488</v>
      </c>
      <c r="AH136" s="2" t="s">
        <v>473</v>
      </c>
      <c r="AI136" s="2">
        <v>4</v>
      </c>
      <c r="AL136" s="2" t="s">
        <v>1581</v>
      </c>
      <c r="AM136" s="2" t="s">
        <v>1582</v>
      </c>
    </row>
    <row r="137" spans="1:39" ht="12.5" x14ac:dyDescent="0.25">
      <c r="A137" s="2" t="s">
        <v>2</v>
      </c>
      <c r="B137" s="2" t="s">
        <v>1583</v>
      </c>
      <c r="C137" s="2" t="s">
        <v>1584</v>
      </c>
      <c r="D137" s="2" t="s">
        <v>1585</v>
      </c>
      <c r="E137" s="2" t="s">
        <v>423</v>
      </c>
      <c r="F137" s="2" t="s">
        <v>503</v>
      </c>
      <c r="G137" s="2" t="s">
        <v>1586</v>
      </c>
      <c r="H137" s="2" t="s">
        <v>1587</v>
      </c>
      <c r="I137" s="4">
        <v>26171</v>
      </c>
      <c r="J137" s="2">
        <v>50</v>
      </c>
      <c r="K137" s="2">
        <v>103827135</v>
      </c>
      <c r="L137" s="6">
        <v>2096782759</v>
      </c>
      <c r="M137" s="2" t="s">
        <v>661</v>
      </c>
      <c r="N137" s="2"/>
      <c r="O137" s="2" t="s">
        <v>1022</v>
      </c>
      <c r="P137" s="2" t="s">
        <v>1023</v>
      </c>
      <c r="R137" s="2" t="s">
        <v>7</v>
      </c>
      <c r="T137" s="2" t="s">
        <v>426</v>
      </c>
      <c r="U137" s="2" t="s">
        <v>865</v>
      </c>
      <c r="X137" s="2" t="s">
        <v>462</v>
      </c>
      <c r="Z137" s="2" t="s">
        <v>378</v>
      </c>
      <c r="AA137" s="2">
        <v>690</v>
      </c>
      <c r="AB137" s="2" t="s">
        <v>1588</v>
      </c>
      <c r="AC137" s="2" t="s">
        <v>99</v>
      </c>
      <c r="AD137" s="2" t="s">
        <v>1589</v>
      </c>
      <c r="AE137" s="2" t="s">
        <v>9</v>
      </c>
      <c r="AF137" s="2" t="s">
        <v>626</v>
      </c>
      <c r="AG137" s="2" t="s">
        <v>472</v>
      </c>
      <c r="AH137" s="2" t="s">
        <v>435</v>
      </c>
      <c r="AI137" s="2">
        <v>3</v>
      </c>
      <c r="AL137" s="2" t="s">
        <v>1590</v>
      </c>
      <c r="AM137" s="2" t="s">
        <v>1591</v>
      </c>
    </row>
    <row r="138" spans="1:39" ht="12.5" x14ac:dyDescent="0.25">
      <c r="A138" s="2" t="s">
        <v>2</v>
      </c>
      <c r="B138" s="2" t="s">
        <v>1592</v>
      </c>
      <c r="C138" s="2" t="s">
        <v>1593</v>
      </c>
      <c r="D138" s="2" t="s">
        <v>1594</v>
      </c>
      <c r="E138" s="2" t="s">
        <v>423</v>
      </c>
      <c r="F138" s="2" t="s">
        <v>503</v>
      </c>
      <c r="G138" s="2" t="s">
        <v>1595</v>
      </c>
      <c r="H138" s="2" t="s">
        <v>1596</v>
      </c>
      <c r="I138" s="4">
        <v>26268</v>
      </c>
      <c r="J138" s="2">
        <v>50</v>
      </c>
      <c r="K138" s="2">
        <v>4198456</v>
      </c>
      <c r="L138" s="6">
        <v>78120187687</v>
      </c>
      <c r="M138" s="2" t="s">
        <v>1597</v>
      </c>
      <c r="N138" s="2"/>
      <c r="O138" s="2" t="s">
        <v>883</v>
      </c>
      <c r="P138" s="2" t="s">
        <v>864</v>
      </c>
      <c r="R138" s="2" t="s">
        <v>7</v>
      </c>
      <c r="T138" s="2" t="s">
        <v>426</v>
      </c>
      <c r="U138" s="2" t="s">
        <v>865</v>
      </c>
      <c r="X138" s="2" t="s">
        <v>462</v>
      </c>
      <c r="Z138" s="2" t="s">
        <v>1598</v>
      </c>
      <c r="AA138" s="2">
        <v>118</v>
      </c>
      <c r="AB138" s="2" t="s">
        <v>1599</v>
      </c>
      <c r="AC138" s="2" t="s">
        <v>30</v>
      </c>
      <c r="AD138" s="2" t="s">
        <v>1600</v>
      </c>
      <c r="AE138" s="2" t="s">
        <v>13</v>
      </c>
      <c r="AF138" s="2" t="s">
        <v>433</v>
      </c>
      <c r="AG138" s="2" t="s">
        <v>481</v>
      </c>
      <c r="AH138" s="2" t="s">
        <v>435</v>
      </c>
      <c r="AI138" s="2">
        <v>3</v>
      </c>
      <c r="AL138" s="2" t="s">
        <v>1601</v>
      </c>
      <c r="AM138" s="2" t="s">
        <v>1602</v>
      </c>
    </row>
    <row r="139" spans="1:39" ht="12.5" x14ac:dyDescent="0.25">
      <c r="A139" s="2" t="s">
        <v>2</v>
      </c>
      <c r="B139" s="2" t="s">
        <v>1603</v>
      </c>
      <c r="C139" s="2" t="s">
        <v>1604</v>
      </c>
      <c r="D139" s="2" t="s">
        <v>1605</v>
      </c>
      <c r="E139" s="2" t="s">
        <v>423</v>
      </c>
      <c r="F139" s="2" t="s">
        <v>503</v>
      </c>
      <c r="G139" s="2" t="s">
        <v>1606</v>
      </c>
      <c r="H139" s="2" t="s">
        <v>1607</v>
      </c>
      <c r="I139" s="4">
        <v>32766</v>
      </c>
      <c r="J139" s="2">
        <v>32</v>
      </c>
      <c r="K139" s="2">
        <v>15891455</v>
      </c>
      <c r="L139" s="6">
        <v>9229708666</v>
      </c>
      <c r="M139" s="2" t="s">
        <v>1608</v>
      </c>
      <c r="O139" s="2"/>
      <c r="P139" s="2" t="s">
        <v>1119</v>
      </c>
      <c r="R139" s="2" t="s">
        <v>7</v>
      </c>
      <c r="T139" s="2" t="s">
        <v>426</v>
      </c>
      <c r="U139" s="2" t="s">
        <v>865</v>
      </c>
      <c r="X139" s="2" t="s">
        <v>429</v>
      </c>
      <c r="Z139" s="2" t="s">
        <v>1609</v>
      </c>
      <c r="AA139" s="2">
        <v>425</v>
      </c>
      <c r="AB139" s="2" t="s">
        <v>1610</v>
      </c>
      <c r="AC139" s="2" t="s">
        <v>326</v>
      </c>
      <c r="AD139" s="2" t="s">
        <v>1611</v>
      </c>
      <c r="AE139" s="2" t="s">
        <v>13</v>
      </c>
      <c r="AF139" s="2" t="s">
        <v>454</v>
      </c>
      <c r="AG139" s="2" t="s">
        <v>488</v>
      </c>
      <c r="AH139" s="2" t="s">
        <v>435</v>
      </c>
      <c r="AI139" s="2">
        <v>3</v>
      </c>
      <c r="AL139" s="2" t="s">
        <v>1612</v>
      </c>
      <c r="AM139" s="2" t="s">
        <v>1613</v>
      </c>
    </row>
    <row r="140" spans="1:39" ht="12.5" x14ac:dyDescent="0.25">
      <c r="A140" s="2"/>
      <c r="B140" s="2"/>
      <c r="C140" s="2"/>
      <c r="D140" s="2"/>
      <c r="E140" s="2"/>
      <c r="F140" s="2"/>
      <c r="G140" s="2"/>
      <c r="H140" s="2"/>
      <c r="I140" s="4"/>
      <c r="J140" s="2"/>
      <c r="K140" s="2"/>
      <c r="L140" s="6"/>
      <c r="M140" s="2"/>
      <c r="O140" s="2"/>
      <c r="P140" s="2"/>
      <c r="R140" s="2"/>
      <c r="T140" s="2"/>
      <c r="U140" s="2"/>
      <c r="X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L140" s="2"/>
      <c r="AM140" s="2"/>
    </row>
    <row r="141" spans="1:39" ht="12.5" x14ac:dyDescent="0.25">
      <c r="A141" s="2"/>
      <c r="B141" s="2"/>
      <c r="C141" s="2"/>
      <c r="D141" s="2"/>
      <c r="E141" s="2"/>
      <c r="F141" s="2"/>
      <c r="G141" s="2"/>
      <c r="H141" s="2"/>
      <c r="I141" s="4"/>
      <c r="J141" s="2"/>
      <c r="K141" s="2"/>
      <c r="L141" s="6"/>
      <c r="M141" s="2"/>
      <c r="P141" s="2"/>
      <c r="R141" s="2"/>
      <c r="T141" s="2"/>
      <c r="U141" s="2"/>
      <c r="X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L141" s="2"/>
      <c r="AM141" s="2"/>
    </row>
  </sheetData>
  <pageMargins left="0.511811024" right="0.511811024" top="0.78740157499999996" bottom="0.78740157499999996" header="0.31496062000000002" footer="0.31496062000000002"/>
  <pageSetup paperSize="9" orientation="portrait" verticalDpi="597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B0"/>
    <outlinePr summaryBelow="0" summaryRight="0"/>
  </sheetPr>
  <dimension ref="A1:Z913"/>
  <sheetViews>
    <sheetView workbookViewId="0">
      <pane ySplit="2" topLeftCell="A3" activePane="bottomLeft" state="frozen"/>
      <selection pane="bottomLeft" activeCell="B4" sqref="B4"/>
    </sheetView>
  </sheetViews>
  <sheetFormatPr defaultColWidth="12.6328125" defaultRowHeight="15.75" customHeight="1" x14ac:dyDescent="0.25"/>
  <cols>
    <col min="1" max="1" width="20.08984375" customWidth="1"/>
    <col min="2" max="2" width="37.6328125" customWidth="1"/>
    <col min="3" max="3" width="13.08984375" customWidth="1"/>
    <col min="4" max="4" width="16.08984375" customWidth="1"/>
    <col min="5" max="5" width="14.08984375" customWidth="1"/>
    <col min="6" max="6" width="17.08984375" customWidth="1"/>
    <col min="7" max="8" width="19.08984375" customWidth="1"/>
    <col min="9" max="9" width="14.08984375" customWidth="1"/>
    <col min="10" max="10" width="16.36328125" customWidth="1"/>
    <col min="11" max="11" width="11.08984375" customWidth="1"/>
    <col min="12" max="12" width="18.08984375" customWidth="1"/>
    <col min="13" max="13" width="21.08984375" customWidth="1"/>
    <col min="14" max="15" width="23.08984375" customWidth="1"/>
    <col min="16" max="16" width="18.08984375" customWidth="1"/>
    <col min="17" max="18" width="37.6328125" customWidth="1"/>
    <col min="19" max="19" width="30.08984375" customWidth="1"/>
  </cols>
  <sheetData>
    <row r="1" spans="1:26" ht="33.75" customHeight="1" x14ac:dyDescent="0.25">
      <c r="A1" s="17" t="s">
        <v>7162</v>
      </c>
      <c r="B1" s="17" t="s">
        <v>1632</v>
      </c>
      <c r="C1" s="17" t="s">
        <v>1632</v>
      </c>
      <c r="D1" s="17" t="s">
        <v>1632</v>
      </c>
      <c r="E1" s="17" t="s">
        <v>1632</v>
      </c>
      <c r="F1" s="17" t="s">
        <v>1632</v>
      </c>
      <c r="G1" s="17" t="s">
        <v>1632</v>
      </c>
      <c r="H1" s="17" t="s">
        <v>1632</v>
      </c>
      <c r="I1" s="17" t="s">
        <v>1632</v>
      </c>
      <c r="J1" s="17" t="s">
        <v>1632</v>
      </c>
      <c r="K1" s="17" t="s">
        <v>1632</v>
      </c>
      <c r="L1" s="17" t="s">
        <v>1632</v>
      </c>
      <c r="M1" s="17" t="s">
        <v>1632</v>
      </c>
      <c r="N1" s="17" t="s">
        <v>1632</v>
      </c>
      <c r="O1" s="17" t="s">
        <v>1632</v>
      </c>
      <c r="P1" s="17" t="s">
        <v>1632</v>
      </c>
      <c r="Q1" s="17" t="s">
        <v>1632</v>
      </c>
      <c r="R1" s="17" t="s">
        <v>1632</v>
      </c>
      <c r="S1" s="17" t="s">
        <v>1632</v>
      </c>
      <c r="T1" s="17"/>
      <c r="U1" s="17"/>
      <c r="V1" s="17"/>
      <c r="W1" s="17"/>
      <c r="X1" s="17"/>
      <c r="Y1" s="17"/>
      <c r="Z1" s="17"/>
    </row>
    <row r="2" spans="1:26" ht="22.5" customHeight="1" x14ac:dyDescent="0.25">
      <c r="A2" s="15" t="s">
        <v>1633</v>
      </c>
      <c r="B2" s="15" t="s">
        <v>1634</v>
      </c>
      <c r="C2" s="15" t="s">
        <v>1635</v>
      </c>
      <c r="D2" s="15" t="s">
        <v>0</v>
      </c>
      <c r="E2" s="15" t="s">
        <v>1636</v>
      </c>
      <c r="F2" s="15" t="s">
        <v>1637</v>
      </c>
      <c r="G2" s="15" t="s">
        <v>1638</v>
      </c>
      <c r="H2" s="15" t="s">
        <v>1639</v>
      </c>
      <c r="I2" s="15" t="s">
        <v>1640</v>
      </c>
      <c r="J2" s="15" t="s">
        <v>1625</v>
      </c>
      <c r="K2" s="15" t="s">
        <v>1641</v>
      </c>
      <c r="L2" s="15" t="s">
        <v>1642</v>
      </c>
      <c r="M2" s="15" t="s">
        <v>1643</v>
      </c>
      <c r="N2" s="15" t="s">
        <v>1644</v>
      </c>
      <c r="O2" s="15" t="s">
        <v>1645</v>
      </c>
      <c r="P2" s="15" t="s">
        <v>1646</v>
      </c>
      <c r="Q2" s="15" t="s">
        <v>1647</v>
      </c>
      <c r="R2" s="15" t="s">
        <v>387</v>
      </c>
      <c r="S2" s="15" t="s">
        <v>1648</v>
      </c>
      <c r="T2" s="16"/>
      <c r="U2" s="16"/>
      <c r="V2" s="16"/>
      <c r="W2" s="16"/>
      <c r="X2" s="16"/>
      <c r="Y2" s="16"/>
      <c r="Z2" s="16"/>
    </row>
    <row r="3" spans="1:26" ht="12.5" x14ac:dyDescent="0.25">
      <c r="A3" s="14" t="str">
        <f>HYPERLINK("https://gerandofalcoes.my.salesforce.com/0014X00002YgglYQAR", "0014X00002YgglYQAR")</f>
        <v>0014X00002YgglYQAR</v>
      </c>
      <c r="B3" s="2" t="s">
        <v>3154</v>
      </c>
      <c r="C3" s="2" t="s">
        <v>423</v>
      </c>
      <c r="D3" s="2" t="s">
        <v>2</v>
      </c>
      <c r="E3" s="2"/>
      <c r="F3" s="2">
        <v>0</v>
      </c>
      <c r="G3" s="2">
        <v>2</v>
      </c>
      <c r="H3" s="2">
        <v>5000</v>
      </c>
      <c r="I3" s="2">
        <v>30</v>
      </c>
      <c r="J3" s="2"/>
      <c r="K3" s="2">
        <v>16</v>
      </c>
      <c r="L3" s="2">
        <v>0</v>
      </c>
      <c r="M3" s="2">
        <v>0</v>
      </c>
      <c r="N3" s="2">
        <v>6</v>
      </c>
      <c r="O3" s="2">
        <v>5</v>
      </c>
      <c r="P3" s="2">
        <v>5</v>
      </c>
      <c r="Q3" s="2" t="s">
        <v>3155</v>
      </c>
      <c r="R3" s="2" t="s">
        <v>3156</v>
      </c>
      <c r="S3" s="4">
        <v>44950</v>
      </c>
    </row>
    <row r="4" spans="1:26" ht="12.5" x14ac:dyDescent="0.25">
      <c r="A4" s="14" t="str">
        <f>HYPERLINK("https://gerandofalcoes.my.salesforce.com/0014X00002YgglpQAB", "0014X00002YgglpQAB")</f>
        <v>0014X00002YgglpQAB</v>
      </c>
      <c r="B4" s="2" t="s">
        <v>3360</v>
      </c>
      <c r="C4" s="2" t="s">
        <v>423</v>
      </c>
      <c r="D4" s="2" t="s">
        <v>2</v>
      </c>
      <c r="E4" s="2"/>
      <c r="F4" s="2">
        <v>24</v>
      </c>
      <c r="G4" s="2">
        <v>8</v>
      </c>
      <c r="H4" s="2">
        <v>12828162</v>
      </c>
      <c r="I4" s="2">
        <v>60</v>
      </c>
      <c r="J4" s="2"/>
      <c r="K4" s="2">
        <v>52</v>
      </c>
      <c r="L4" s="2">
        <v>0</v>
      </c>
      <c r="M4" s="2">
        <v>12</v>
      </c>
      <c r="N4" s="2">
        <v>10</v>
      </c>
      <c r="O4" s="2">
        <v>25</v>
      </c>
      <c r="P4" s="2">
        <v>5</v>
      </c>
      <c r="Q4" s="2" t="s">
        <v>3361</v>
      </c>
      <c r="R4" s="2" t="s">
        <v>3362</v>
      </c>
      <c r="S4" s="4">
        <v>44953</v>
      </c>
    </row>
    <row r="5" spans="1:26" ht="12.5" x14ac:dyDescent="0.25">
      <c r="A5" s="14" t="str">
        <f>HYPERLINK("https://gerandofalcoes.my.salesforce.com/0014X00002YggmKQAR", "0014X00002YggmKQAR")</f>
        <v>0014X00002YggmKQAR</v>
      </c>
      <c r="B5" s="2" t="s">
        <v>3043</v>
      </c>
      <c r="C5" s="2" t="s">
        <v>423</v>
      </c>
      <c r="D5" s="2" t="s">
        <v>2</v>
      </c>
      <c r="E5" s="2"/>
      <c r="F5" s="2">
        <v>0</v>
      </c>
      <c r="G5" s="2">
        <v>2</v>
      </c>
      <c r="H5" s="2">
        <v>10000</v>
      </c>
      <c r="I5" s="2">
        <v>0</v>
      </c>
      <c r="J5" s="2"/>
      <c r="K5" s="2">
        <v>11</v>
      </c>
      <c r="L5" s="2">
        <v>0</v>
      </c>
      <c r="M5" s="2">
        <v>0</v>
      </c>
      <c r="N5" s="2">
        <v>6</v>
      </c>
      <c r="O5" s="2">
        <v>5</v>
      </c>
      <c r="P5" s="2">
        <v>0</v>
      </c>
      <c r="Q5" s="2" t="s">
        <v>3044</v>
      </c>
      <c r="R5" s="2" t="s">
        <v>3044</v>
      </c>
      <c r="S5" s="4">
        <v>44945</v>
      </c>
    </row>
    <row r="6" spans="1:26" ht="12.5" x14ac:dyDescent="0.25">
      <c r="A6" s="14" t="str">
        <f>HYPERLINK("https://gerandofalcoes.my.salesforce.com/0014X00002YggjJQAR", "0014X00002YggjJQAR")</f>
        <v>0014X00002YggjJQAR</v>
      </c>
      <c r="B6" s="2" t="s">
        <v>3011</v>
      </c>
      <c r="C6" s="2" t="s">
        <v>423</v>
      </c>
      <c r="D6" s="2" t="s">
        <v>2</v>
      </c>
      <c r="E6" s="2"/>
      <c r="F6" s="2">
        <v>24</v>
      </c>
      <c r="G6" s="2">
        <v>4</v>
      </c>
      <c r="H6" s="2">
        <v>89800000</v>
      </c>
      <c r="I6" s="2">
        <v>250</v>
      </c>
      <c r="J6" s="2"/>
      <c r="K6" s="2">
        <v>59</v>
      </c>
      <c r="L6" s="2">
        <v>0</v>
      </c>
      <c r="M6" s="2">
        <v>12</v>
      </c>
      <c r="N6" s="2">
        <v>10</v>
      </c>
      <c r="O6" s="2">
        <v>25</v>
      </c>
      <c r="P6" s="2">
        <v>12</v>
      </c>
      <c r="Q6" s="2" t="s">
        <v>3012</v>
      </c>
      <c r="R6" s="2" t="s">
        <v>3012</v>
      </c>
      <c r="S6" s="4">
        <v>44945</v>
      </c>
    </row>
    <row r="7" spans="1:26" ht="12.5" x14ac:dyDescent="0.25">
      <c r="A7" s="14" t="str">
        <f>HYPERLINK("https://gerandofalcoes.my.salesforce.com/0014X00002YgghKQAR", "0014X00002YgghKQAR")</f>
        <v>0014X00002YgghKQAR</v>
      </c>
      <c r="B7" s="2" t="s">
        <v>3065</v>
      </c>
      <c r="C7" s="2" t="s">
        <v>423</v>
      </c>
      <c r="D7" s="2" t="s">
        <v>2</v>
      </c>
      <c r="E7" s="2"/>
      <c r="F7" s="2">
        <v>0</v>
      </c>
      <c r="G7" s="2">
        <v>5</v>
      </c>
      <c r="H7" s="2">
        <v>500</v>
      </c>
      <c r="I7" s="2">
        <v>0</v>
      </c>
      <c r="J7" s="2"/>
      <c r="K7" s="2">
        <v>15</v>
      </c>
      <c r="L7" s="2">
        <v>0</v>
      </c>
      <c r="M7" s="2">
        <v>0</v>
      </c>
      <c r="N7" s="2">
        <v>10</v>
      </c>
      <c r="O7" s="2">
        <v>5</v>
      </c>
      <c r="P7" s="2">
        <v>0</v>
      </c>
      <c r="Q7" s="2" t="s">
        <v>3066</v>
      </c>
      <c r="R7" s="2" t="s">
        <v>3066</v>
      </c>
      <c r="S7" s="4">
        <v>44946</v>
      </c>
    </row>
    <row r="8" spans="1:26" ht="12.5" x14ac:dyDescent="0.25">
      <c r="A8" s="14" t="str">
        <f>HYPERLINK("https://gerandofalcoes.my.salesforce.com/0014X00002YgggwQAB", "0014X00002YgggwQAB")</f>
        <v>0014X00002YgggwQAB</v>
      </c>
      <c r="B8" s="2" t="s">
        <v>3106</v>
      </c>
      <c r="C8" s="2" t="s">
        <v>423</v>
      </c>
      <c r="D8" s="2" t="s">
        <v>2</v>
      </c>
      <c r="E8" s="2"/>
      <c r="F8" s="2">
        <v>0</v>
      </c>
      <c r="G8" s="2">
        <v>3</v>
      </c>
      <c r="H8" s="2">
        <v>1000</v>
      </c>
      <c r="I8" s="2">
        <v>0</v>
      </c>
      <c r="J8" s="2"/>
      <c r="K8" s="2">
        <v>13</v>
      </c>
      <c r="L8" s="2">
        <v>0</v>
      </c>
      <c r="M8" s="2">
        <v>0</v>
      </c>
      <c r="N8" s="2">
        <v>8</v>
      </c>
      <c r="O8" s="2">
        <v>5</v>
      </c>
      <c r="P8" s="2">
        <v>0</v>
      </c>
      <c r="Q8" s="2" t="s">
        <v>3107</v>
      </c>
      <c r="R8" s="2" t="s">
        <v>3108</v>
      </c>
      <c r="S8" s="4">
        <v>44948</v>
      </c>
    </row>
    <row r="9" spans="1:26" ht="12.5" x14ac:dyDescent="0.25">
      <c r="A9" s="14" t="str">
        <f>HYPERLINK("https://gerandofalcoes.my.salesforce.com/0014X00002YggoAQAR", "0014X00002YggoAQAR")</f>
        <v>0014X00002YggoAQAR</v>
      </c>
      <c r="B9" s="2" t="s">
        <v>3377</v>
      </c>
      <c r="C9" s="2" t="s">
        <v>423</v>
      </c>
      <c r="D9" s="2" t="s">
        <v>2</v>
      </c>
      <c r="E9" s="2"/>
      <c r="F9" s="2">
        <v>0</v>
      </c>
      <c r="G9" s="2">
        <v>310</v>
      </c>
      <c r="H9" s="2">
        <v>3000</v>
      </c>
      <c r="I9" s="2">
        <v>0</v>
      </c>
      <c r="J9" s="2"/>
      <c r="K9" s="2">
        <v>15</v>
      </c>
      <c r="L9" s="2">
        <v>0</v>
      </c>
      <c r="M9" s="2">
        <v>0</v>
      </c>
      <c r="N9" s="2">
        <v>10</v>
      </c>
      <c r="O9" s="2">
        <v>5</v>
      </c>
      <c r="P9" s="2">
        <v>0</v>
      </c>
      <c r="Q9" s="2" t="s">
        <v>3378</v>
      </c>
      <c r="R9" s="2" t="s">
        <v>3378</v>
      </c>
      <c r="S9" s="4">
        <v>44953</v>
      </c>
    </row>
    <row r="10" spans="1:26" ht="12.5" x14ac:dyDescent="0.25">
      <c r="A10" s="14" t="str">
        <f>HYPERLINK("https://gerandofalcoes.my.salesforce.com/0014X00002YgghEQAR", "0014X00002YgghEQAR")</f>
        <v>0014X00002YgghEQAR</v>
      </c>
      <c r="B10" s="2" t="s">
        <v>3314</v>
      </c>
      <c r="C10" s="2" t="s">
        <v>423</v>
      </c>
      <c r="D10" s="2" t="s">
        <v>2</v>
      </c>
      <c r="E10" s="2"/>
      <c r="F10" s="2">
        <v>22</v>
      </c>
      <c r="G10" s="2">
        <v>5</v>
      </c>
      <c r="H10" s="2">
        <v>100000</v>
      </c>
      <c r="I10" s="2">
        <v>150</v>
      </c>
      <c r="J10" s="2"/>
      <c r="K10" s="2">
        <v>49</v>
      </c>
      <c r="L10" s="2">
        <v>0</v>
      </c>
      <c r="M10" s="2">
        <v>12</v>
      </c>
      <c r="N10" s="2">
        <v>10</v>
      </c>
      <c r="O10" s="2">
        <v>15</v>
      </c>
      <c r="P10" s="2">
        <v>12</v>
      </c>
      <c r="Q10" s="2" t="s">
        <v>3315</v>
      </c>
      <c r="R10" s="2" t="s">
        <v>3315</v>
      </c>
      <c r="S10" s="4">
        <v>44953</v>
      </c>
    </row>
    <row r="11" spans="1:26" ht="12.5" x14ac:dyDescent="0.25">
      <c r="A11" s="14" t="str">
        <f>HYPERLINK("https://gerandofalcoes.my.salesforce.com/0014X00002YggoaQAB", "0014X00002YggoaQAB")</f>
        <v>0014X00002YggoaQAB</v>
      </c>
      <c r="B11" s="2" t="s">
        <v>3340</v>
      </c>
      <c r="C11" s="2" t="s">
        <v>423</v>
      </c>
      <c r="D11" s="2" t="s">
        <v>2</v>
      </c>
      <c r="E11" s="2"/>
      <c r="F11" s="2">
        <v>10</v>
      </c>
      <c r="G11" s="2">
        <v>4</v>
      </c>
      <c r="H11" s="2">
        <v>581000</v>
      </c>
      <c r="I11" s="2">
        <v>323</v>
      </c>
      <c r="J11" s="2"/>
      <c r="K11" s="2">
        <v>55</v>
      </c>
      <c r="L11" s="2">
        <v>0</v>
      </c>
      <c r="M11" s="2">
        <v>10</v>
      </c>
      <c r="N11" s="2">
        <v>10</v>
      </c>
      <c r="O11" s="2">
        <v>20</v>
      </c>
      <c r="P11" s="2">
        <v>15</v>
      </c>
      <c r="Q11" s="2" t="s">
        <v>3341</v>
      </c>
      <c r="R11" s="2" t="s">
        <v>3342</v>
      </c>
      <c r="S11" s="4">
        <v>44953</v>
      </c>
    </row>
    <row r="12" spans="1:26" ht="12.5" x14ac:dyDescent="0.25">
      <c r="A12" s="14" t="str">
        <f>HYPERLINK("https://gerandofalcoes.my.salesforce.com/0014X00002Yggj6QAB", "0014X00002Yggj6QAB")</f>
        <v>0014X00002Yggj6QAB</v>
      </c>
      <c r="B12" s="2" t="s">
        <v>3535</v>
      </c>
      <c r="C12" s="2" t="s">
        <v>423</v>
      </c>
      <c r="D12" s="2" t="s">
        <v>2</v>
      </c>
      <c r="E12" s="2"/>
      <c r="F12" s="2">
        <v>1</v>
      </c>
      <c r="G12" s="2">
        <v>2</v>
      </c>
      <c r="H12" s="2">
        <v>4000</v>
      </c>
      <c r="I12" s="2">
        <v>50</v>
      </c>
      <c r="J12" s="2"/>
      <c r="K12" s="2">
        <v>21</v>
      </c>
      <c r="L12" s="2">
        <v>0</v>
      </c>
      <c r="M12" s="2">
        <v>5</v>
      </c>
      <c r="N12" s="2">
        <v>6</v>
      </c>
      <c r="O12" s="2">
        <v>5</v>
      </c>
      <c r="P12" s="2">
        <v>5</v>
      </c>
      <c r="Q12" s="2" t="s">
        <v>3536</v>
      </c>
      <c r="R12" s="2" t="s">
        <v>3536</v>
      </c>
      <c r="S12" s="4">
        <v>44959</v>
      </c>
    </row>
    <row r="13" spans="1:26" ht="12.5" x14ac:dyDescent="0.25">
      <c r="A13" s="14" t="str">
        <f>HYPERLINK("https://gerandofalcoes.my.salesforce.com/0014X00002YggiSQAR", "0014X00002YggiSQAR")</f>
        <v>0014X00002YggiSQAR</v>
      </c>
      <c r="B13" s="2" t="s">
        <v>3075</v>
      </c>
      <c r="C13" s="2" t="s">
        <v>423</v>
      </c>
      <c r="D13" s="2" t="s">
        <v>2</v>
      </c>
      <c r="E13" s="2"/>
      <c r="F13" s="2">
        <v>0</v>
      </c>
      <c r="G13" s="2">
        <v>3</v>
      </c>
      <c r="H13" s="2">
        <v>10000</v>
      </c>
      <c r="I13" s="2">
        <v>100</v>
      </c>
      <c r="J13" s="2"/>
      <c r="K13" s="2">
        <v>23</v>
      </c>
      <c r="L13" s="2">
        <v>0</v>
      </c>
      <c r="M13" s="2">
        <v>0</v>
      </c>
      <c r="N13" s="2">
        <v>8</v>
      </c>
      <c r="O13" s="2">
        <v>5</v>
      </c>
      <c r="P13" s="2">
        <v>10</v>
      </c>
      <c r="Q13" s="2" t="s">
        <v>3076</v>
      </c>
      <c r="R13" s="2" t="s">
        <v>3077</v>
      </c>
      <c r="S13" s="4">
        <v>44946</v>
      </c>
    </row>
    <row r="14" spans="1:26" ht="12.5" x14ac:dyDescent="0.25">
      <c r="A14" s="14" t="str">
        <f>HYPERLINK("https://gerandofalcoes.my.salesforce.com/0014X00002YggpmQAB", "0014X00002YggpmQAB")</f>
        <v>0014X00002YggpmQAB</v>
      </c>
      <c r="B14" s="2" t="s">
        <v>3244</v>
      </c>
      <c r="C14" s="2" t="s">
        <v>423</v>
      </c>
      <c r="D14" s="2" t="s">
        <v>2</v>
      </c>
      <c r="E14" s="2"/>
      <c r="F14" s="2">
        <v>0</v>
      </c>
      <c r="G14" s="2">
        <v>3</v>
      </c>
      <c r="H14" s="2">
        <v>20000</v>
      </c>
      <c r="I14" s="2">
        <v>190</v>
      </c>
      <c r="J14" s="2"/>
      <c r="K14" s="2">
        <v>25</v>
      </c>
      <c r="L14" s="2">
        <v>0</v>
      </c>
      <c r="M14" s="2">
        <v>0</v>
      </c>
      <c r="N14" s="2">
        <v>8</v>
      </c>
      <c r="O14" s="2">
        <v>5</v>
      </c>
      <c r="P14" s="2">
        <v>12</v>
      </c>
      <c r="Q14" s="2" t="s">
        <v>3245</v>
      </c>
      <c r="R14" s="2" t="s">
        <v>3246</v>
      </c>
      <c r="S14" s="4">
        <v>44952</v>
      </c>
    </row>
    <row r="15" spans="1:26" ht="12.5" x14ac:dyDescent="0.25">
      <c r="A15" s="14" t="str">
        <f>HYPERLINK("https://gerandofalcoes.my.salesforce.com/0014X00002YggguQAB", "0014X00002YggguQAB")</f>
        <v>0014X00002YggguQAB</v>
      </c>
      <c r="B15" s="2" t="s">
        <v>3367</v>
      </c>
      <c r="C15" s="2" t="s">
        <v>423</v>
      </c>
      <c r="D15" s="2" t="s">
        <v>2</v>
      </c>
      <c r="E15" s="2"/>
      <c r="F15" s="2">
        <v>5</v>
      </c>
      <c r="G15" s="2">
        <v>80</v>
      </c>
      <c r="H15" s="2">
        <v>15000</v>
      </c>
      <c r="I15" s="2">
        <v>30</v>
      </c>
      <c r="J15" s="2"/>
      <c r="K15" s="2">
        <v>25</v>
      </c>
      <c r="L15" s="2">
        <v>0</v>
      </c>
      <c r="M15" s="2">
        <v>5</v>
      </c>
      <c r="N15" s="2">
        <v>10</v>
      </c>
      <c r="O15" s="2">
        <v>5</v>
      </c>
      <c r="P15" s="2">
        <v>5</v>
      </c>
      <c r="Q15" s="2" t="s">
        <v>3368</v>
      </c>
      <c r="R15" s="2" t="s">
        <v>3369</v>
      </c>
      <c r="S15" s="4">
        <v>44953</v>
      </c>
    </row>
    <row r="16" spans="1:26" ht="12.5" x14ac:dyDescent="0.25">
      <c r="A16" s="14" t="str">
        <f>HYPERLINK("https://gerandofalcoes.my.salesforce.com/0014X00002YggjdQAB", "0014X00002YggjdQAB")</f>
        <v>0014X00002YggjdQAB</v>
      </c>
      <c r="B16" s="2" t="s">
        <v>3085</v>
      </c>
      <c r="C16" s="2" t="s">
        <v>423</v>
      </c>
      <c r="D16" s="2" t="s">
        <v>2</v>
      </c>
      <c r="E16" s="2"/>
      <c r="F16" s="2">
        <v>3</v>
      </c>
      <c r="G16" s="2">
        <v>2</v>
      </c>
      <c r="H16" s="2">
        <v>1000</v>
      </c>
      <c r="I16" s="2">
        <v>30</v>
      </c>
      <c r="J16" s="2"/>
      <c r="K16" s="2">
        <v>21</v>
      </c>
      <c r="L16" s="2">
        <v>0</v>
      </c>
      <c r="M16" s="2">
        <v>5</v>
      </c>
      <c r="N16" s="2">
        <v>6</v>
      </c>
      <c r="O16" s="2">
        <v>5</v>
      </c>
      <c r="P16" s="2">
        <v>5</v>
      </c>
      <c r="Q16" s="2" t="s">
        <v>3086</v>
      </c>
      <c r="R16" s="2" t="s">
        <v>3086</v>
      </c>
      <c r="S16" s="4">
        <v>44946</v>
      </c>
    </row>
    <row r="17" spans="1:19" ht="12.5" x14ac:dyDescent="0.25">
      <c r="A17" s="14" t="str">
        <f>HYPERLINK("https://gerandofalcoes.my.salesforce.com/0014X00002YgggRQAR", "0014X00002YgggRQAR")</f>
        <v>0014X00002YgggRQAR</v>
      </c>
      <c r="B17" s="2" t="s">
        <v>3738</v>
      </c>
      <c r="C17" s="2" t="s">
        <v>423</v>
      </c>
      <c r="D17" s="2" t="s">
        <v>2</v>
      </c>
      <c r="E17" s="2"/>
      <c r="F17" s="2">
        <v>200</v>
      </c>
      <c r="G17" s="2">
        <v>5</v>
      </c>
      <c r="H17" s="2">
        <v>1000</v>
      </c>
      <c r="I17" s="2">
        <v>100</v>
      </c>
      <c r="J17" s="2"/>
      <c r="K17" s="2">
        <v>40</v>
      </c>
      <c r="L17" s="2">
        <v>0</v>
      </c>
      <c r="M17" s="2">
        <v>15</v>
      </c>
      <c r="N17" s="2">
        <v>10</v>
      </c>
      <c r="O17" s="2">
        <v>5</v>
      </c>
      <c r="P17" s="2">
        <v>10</v>
      </c>
      <c r="Q17" s="2" t="s">
        <v>3739</v>
      </c>
      <c r="R17" s="2" t="s">
        <v>3739</v>
      </c>
      <c r="S17" s="4">
        <v>44967</v>
      </c>
    </row>
    <row r="18" spans="1:19" ht="12.5" x14ac:dyDescent="0.25">
      <c r="A18" s="14" t="str">
        <f>HYPERLINK("https://gerandofalcoes.my.salesforce.com/0014X00002YgggEQAR", "0014X00002YgggEQAR")</f>
        <v>0014X00002YgggEQAR</v>
      </c>
      <c r="B18" s="2" t="s">
        <v>3008</v>
      </c>
      <c r="C18" s="2" t="s">
        <v>423</v>
      </c>
      <c r="D18" s="2" t="s">
        <v>2</v>
      </c>
      <c r="E18" s="2"/>
      <c r="F18" s="2">
        <v>112</v>
      </c>
      <c r="G18" s="2">
        <v>3</v>
      </c>
      <c r="H18" s="2">
        <v>6</v>
      </c>
      <c r="I18" s="2">
        <v>50</v>
      </c>
      <c r="J18" s="2"/>
      <c r="K18" s="2">
        <v>33</v>
      </c>
      <c r="L18" s="2">
        <v>0</v>
      </c>
      <c r="M18" s="2">
        <v>15</v>
      </c>
      <c r="N18" s="2">
        <v>8</v>
      </c>
      <c r="O18" s="2">
        <v>5</v>
      </c>
      <c r="P18" s="2">
        <v>5</v>
      </c>
      <c r="Q18" s="2" t="s">
        <v>3009</v>
      </c>
      <c r="R18" s="2" t="s">
        <v>3010</v>
      </c>
      <c r="S18" s="4">
        <v>44944</v>
      </c>
    </row>
    <row r="19" spans="1:19" ht="12.5" x14ac:dyDescent="0.25">
      <c r="A19" s="14" t="str">
        <f>HYPERLINK("https://gerandofalcoes.my.salesforce.com/0014X00002YggmgQAB", "0014X00002YggmgQAB")</f>
        <v>0014X00002YggmgQAB</v>
      </c>
      <c r="B19" s="2" t="s">
        <v>3005</v>
      </c>
      <c r="C19" s="2" t="s">
        <v>423</v>
      </c>
      <c r="D19" s="2" t="s">
        <v>2</v>
      </c>
      <c r="E19" s="2"/>
      <c r="F19" s="2">
        <v>0</v>
      </c>
      <c r="G19" s="2">
        <v>4</v>
      </c>
      <c r="H19" s="2">
        <v>600</v>
      </c>
      <c r="I19" s="2">
        <v>150</v>
      </c>
      <c r="J19" s="2"/>
      <c r="K19" s="2">
        <v>27</v>
      </c>
      <c r="L19" s="2">
        <v>0</v>
      </c>
      <c r="M19" s="2">
        <v>0</v>
      </c>
      <c r="N19" s="2">
        <v>10</v>
      </c>
      <c r="O19" s="2">
        <v>5</v>
      </c>
      <c r="P19" s="2">
        <v>12</v>
      </c>
      <c r="Q19" s="2" t="s">
        <v>2987</v>
      </c>
      <c r="R19" s="2" t="s">
        <v>2987</v>
      </c>
      <c r="S19" s="4">
        <v>44944</v>
      </c>
    </row>
    <row r="20" spans="1:19" ht="12.5" x14ac:dyDescent="0.25">
      <c r="A20" s="14" t="str">
        <f>HYPERLINK("https://gerandofalcoes.my.salesforce.com/0014X00002YggkfQAB", "0014X00002YggkfQAB")</f>
        <v>0014X00002YggkfQAB</v>
      </c>
      <c r="B20" s="2" t="s">
        <v>3006</v>
      </c>
      <c r="C20" s="2" t="s">
        <v>423</v>
      </c>
      <c r="D20" s="2" t="s">
        <v>2</v>
      </c>
      <c r="E20" s="2"/>
      <c r="F20" s="2">
        <v>8</v>
      </c>
      <c r="G20" s="2">
        <v>2</v>
      </c>
      <c r="H20" s="2">
        <v>700</v>
      </c>
      <c r="I20" s="2">
        <v>400</v>
      </c>
      <c r="J20" s="2"/>
      <c r="K20" s="2">
        <v>36</v>
      </c>
      <c r="L20" s="2">
        <v>0</v>
      </c>
      <c r="M20" s="2">
        <v>10</v>
      </c>
      <c r="N20" s="2">
        <v>6</v>
      </c>
      <c r="O20" s="2">
        <v>5</v>
      </c>
      <c r="P20" s="2">
        <v>15</v>
      </c>
      <c r="Q20" s="2" t="s">
        <v>3007</v>
      </c>
      <c r="R20" s="2" t="s">
        <v>3007</v>
      </c>
      <c r="S20" s="4">
        <v>44944</v>
      </c>
    </row>
    <row r="21" spans="1:19" ht="12.5" x14ac:dyDescent="0.25">
      <c r="A21" s="14" t="str">
        <f>HYPERLINK("https://gerandofalcoes.my.salesforce.com/0014X00002YggiuQAB", "0014X00002YggiuQAB")</f>
        <v>0014X00002YggiuQAB</v>
      </c>
      <c r="B21" s="2" t="s">
        <v>3031</v>
      </c>
      <c r="C21" s="2" t="s">
        <v>423</v>
      </c>
      <c r="D21" s="2" t="s">
        <v>2</v>
      </c>
      <c r="E21" s="2"/>
      <c r="F21" s="2">
        <v>0</v>
      </c>
      <c r="G21" s="2">
        <v>2</v>
      </c>
      <c r="H21" s="2">
        <v>7000</v>
      </c>
      <c r="I21" s="2">
        <v>100</v>
      </c>
      <c r="J21" s="2"/>
      <c r="K21" s="2">
        <v>21</v>
      </c>
      <c r="L21" s="2">
        <v>0</v>
      </c>
      <c r="M21" s="2">
        <v>0</v>
      </c>
      <c r="N21" s="2">
        <v>6</v>
      </c>
      <c r="O21" s="2">
        <v>5</v>
      </c>
      <c r="P21" s="2">
        <v>10</v>
      </c>
      <c r="Q21" s="2" t="s">
        <v>3032</v>
      </c>
      <c r="R21" s="2" t="s">
        <v>3032</v>
      </c>
      <c r="S21" s="4">
        <v>44945</v>
      </c>
    </row>
    <row r="22" spans="1:19" ht="12.5" x14ac:dyDescent="0.25">
      <c r="A22" s="14" t="str">
        <f>HYPERLINK("https://gerandofalcoes.my.salesforce.com/0014X00002YggiXQAR", "0014X00002YggiXQAR")</f>
        <v>0014X00002YggiXQAR</v>
      </c>
      <c r="B22" s="2" t="s">
        <v>3114</v>
      </c>
      <c r="C22" s="2" t="s">
        <v>423</v>
      </c>
      <c r="D22" s="2" t="s">
        <v>2</v>
      </c>
      <c r="E22" s="2"/>
      <c r="F22" s="2">
        <v>1</v>
      </c>
      <c r="G22" s="2">
        <v>3</v>
      </c>
      <c r="H22" s="2">
        <v>24000</v>
      </c>
      <c r="I22" s="2">
        <v>64</v>
      </c>
      <c r="J22" s="2"/>
      <c r="K22" s="2">
        <v>23</v>
      </c>
      <c r="L22" s="2">
        <v>0</v>
      </c>
      <c r="M22" s="2">
        <v>5</v>
      </c>
      <c r="N22" s="2">
        <v>8</v>
      </c>
      <c r="O22" s="2">
        <v>5</v>
      </c>
      <c r="P22" s="2">
        <v>5</v>
      </c>
      <c r="Q22" s="2" t="s">
        <v>3115</v>
      </c>
      <c r="R22" s="2" t="s">
        <v>3116</v>
      </c>
      <c r="S22" s="4">
        <v>44949</v>
      </c>
    </row>
    <row r="23" spans="1:19" ht="12.5" x14ac:dyDescent="0.25">
      <c r="A23" s="14" t="str">
        <f>HYPERLINK("https://gerandofalcoes.my.salesforce.com/0014X00002Yggo3QAB", "0014X00002Yggo3QAB")</f>
        <v>0014X00002Yggo3QAB</v>
      </c>
      <c r="B23" s="2" t="s">
        <v>3103</v>
      </c>
      <c r="C23" s="2" t="s">
        <v>423</v>
      </c>
      <c r="D23" s="2" t="s">
        <v>2</v>
      </c>
      <c r="E23" s="2"/>
      <c r="F23" s="2">
        <v>0</v>
      </c>
      <c r="G23" s="2">
        <v>2</v>
      </c>
      <c r="H23" s="2">
        <v>10000</v>
      </c>
      <c r="I23" s="2">
        <v>0</v>
      </c>
      <c r="J23" s="2"/>
      <c r="K23" s="2">
        <v>11</v>
      </c>
      <c r="L23" s="2">
        <v>0</v>
      </c>
      <c r="M23" s="2">
        <v>0</v>
      </c>
      <c r="N23" s="2">
        <v>6</v>
      </c>
      <c r="O23" s="2">
        <v>5</v>
      </c>
      <c r="P23" s="2">
        <v>0</v>
      </c>
      <c r="Q23" s="2" t="s">
        <v>3104</v>
      </c>
      <c r="R23" s="2" t="s">
        <v>3105</v>
      </c>
      <c r="S23" s="4">
        <v>44948</v>
      </c>
    </row>
    <row r="24" spans="1:19" ht="12.5" x14ac:dyDescent="0.25">
      <c r="A24" s="14" t="str">
        <f>HYPERLINK("https://gerandofalcoes.my.salesforce.com/0014X00002YggmXQAR", "0014X00002YggmXQAR")</f>
        <v>0014X00002YggmXQAR</v>
      </c>
      <c r="B24" s="2" t="s">
        <v>3056</v>
      </c>
      <c r="C24" s="2" t="s">
        <v>423</v>
      </c>
      <c r="D24" s="2" t="s">
        <v>2</v>
      </c>
      <c r="E24" s="2"/>
      <c r="F24" s="2">
        <v>0</v>
      </c>
      <c r="G24" s="2">
        <v>2</v>
      </c>
      <c r="H24" s="2">
        <v>1000</v>
      </c>
      <c r="I24" s="2">
        <v>73</v>
      </c>
      <c r="J24" s="2"/>
      <c r="K24" s="2">
        <v>16</v>
      </c>
      <c r="L24" s="2">
        <v>0</v>
      </c>
      <c r="M24" s="2">
        <v>0</v>
      </c>
      <c r="N24" s="2">
        <v>6</v>
      </c>
      <c r="O24" s="2">
        <v>5</v>
      </c>
      <c r="P24" s="2">
        <v>5</v>
      </c>
      <c r="Q24" s="2" t="s">
        <v>3057</v>
      </c>
      <c r="R24" s="2" t="s">
        <v>3058</v>
      </c>
      <c r="S24" s="4">
        <v>44946</v>
      </c>
    </row>
    <row r="25" spans="1:19" ht="12.5" x14ac:dyDescent="0.25">
      <c r="A25" s="14" t="str">
        <f>HYPERLINK("https://gerandofalcoes.my.salesforce.com/0014X00002YggpVQAR", "0014X00002YggpVQAR")</f>
        <v>0014X00002YggpVQAR</v>
      </c>
      <c r="B25" s="2" t="s">
        <v>3072</v>
      </c>
      <c r="C25" s="2" t="s">
        <v>423</v>
      </c>
      <c r="D25" s="2" t="s">
        <v>2</v>
      </c>
      <c r="E25" s="2"/>
      <c r="F25" s="2">
        <v>0</v>
      </c>
      <c r="G25" s="2">
        <v>2</v>
      </c>
      <c r="H25" s="2">
        <v>13000</v>
      </c>
      <c r="I25" s="2">
        <v>190</v>
      </c>
      <c r="J25" s="2"/>
      <c r="K25" s="2">
        <v>23</v>
      </c>
      <c r="L25" s="2">
        <v>0</v>
      </c>
      <c r="M25" s="2">
        <v>0</v>
      </c>
      <c r="N25" s="2">
        <v>6</v>
      </c>
      <c r="O25" s="2">
        <v>5</v>
      </c>
      <c r="P25" s="2">
        <v>12</v>
      </c>
      <c r="Q25" s="2" t="s">
        <v>3073</v>
      </c>
      <c r="R25" s="2" t="s">
        <v>3074</v>
      </c>
      <c r="S25" s="4">
        <v>44946</v>
      </c>
    </row>
    <row r="26" spans="1:19" ht="12.5" x14ac:dyDescent="0.25">
      <c r="A26" s="14" t="str">
        <f>HYPERLINK("https://gerandofalcoes.my.salesforce.com/0014X00002YggibQAB", "0014X00002YggibQAB")</f>
        <v>0014X00002YggibQAB</v>
      </c>
      <c r="B26" s="2" t="s">
        <v>3026</v>
      </c>
      <c r="C26" s="2" t="s">
        <v>423</v>
      </c>
      <c r="D26" s="2" t="s">
        <v>2</v>
      </c>
      <c r="E26" s="2"/>
      <c r="F26" s="2">
        <v>0</v>
      </c>
      <c r="G26" s="2">
        <v>6</v>
      </c>
      <c r="H26" s="2">
        <v>8000</v>
      </c>
      <c r="I26" s="2">
        <v>16</v>
      </c>
      <c r="J26" s="2"/>
      <c r="K26" s="2">
        <v>20</v>
      </c>
      <c r="L26" s="2">
        <v>0</v>
      </c>
      <c r="M26" s="2">
        <v>0</v>
      </c>
      <c r="N26" s="2">
        <v>10</v>
      </c>
      <c r="O26" s="2">
        <v>5</v>
      </c>
      <c r="P26" s="2">
        <v>5</v>
      </c>
      <c r="Q26" s="2" t="s">
        <v>3027</v>
      </c>
      <c r="R26" s="2" t="s">
        <v>3027</v>
      </c>
      <c r="S26" s="4">
        <v>44945</v>
      </c>
    </row>
    <row r="27" spans="1:19" ht="12.5" x14ac:dyDescent="0.25">
      <c r="A27" s="14" t="str">
        <f>HYPERLINK("https://gerandofalcoes.my.salesforce.com/0014X00002YggqMQAR", "0014X00002YggqMQAR")</f>
        <v>0014X00002YggqMQAR</v>
      </c>
      <c r="B27" s="2" t="s">
        <v>3045</v>
      </c>
      <c r="C27" s="2" t="s">
        <v>423</v>
      </c>
      <c r="D27" s="2" t="s">
        <v>2</v>
      </c>
      <c r="E27" s="2"/>
      <c r="F27" s="2">
        <v>0</v>
      </c>
      <c r="G27" s="2">
        <v>2</v>
      </c>
      <c r="H27" s="2">
        <v>0</v>
      </c>
      <c r="I27" s="2">
        <v>0</v>
      </c>
      <c r="J27" s="2"/>
      <c r="K27" s="2">
        <v>6</v>
      </c>
      <c r="L27" s="2">
        <v>0</v>
      </c>
      <c r="M27" s="2">
        <v>0</v>
      </c>
      <c r="N27" s="2">
        <v>6</v>
      </c>
      <c r="O27" s="2">
        <v>0</v>
      </c>
      <c r="P27" s="2">
        <v>0</v>
      </c>
      <c r="Q27" s="2" t="s">
        <v>3046</v>
      </c>
      <c r="R27" s="2" t="s">
        <v>3046</v>
      </c>
      <c r="S27" s="4">
        <v>44945</v>
      </c>
    </row>
    <row r="28" spans="1:19" ht="12.5" x14ac:dyDescent="0.25">
      <c r="A28" s="14" t="str">
        <f>HYPERLINK("https://gerandofalcoes.my.salesforce.com/0014X00002Yggh6QAB", "0014X00002Yggh6QAB")</f>
        <v>0014X00002Yggh6QAB</v>
      </c>
      <c r="B28" s="2" t="s">
        <v>3122</v>
      </c>
      <c r="C28" s="2" t="s">
        <v>423</v>
      </c>
      <c r="D28" s="2" t="s">
        <v>2</v>
      </c>
      <c r="E28" s="2"/>
      <c r="F28" s="2">
        <v>6</v>
      </c>
      <c r="G28" s="2">
        <v>2</v>
      </c>
      <c r="H28" s="2">
        <v>481000</v>
      </c>
      <c r="I28" s="2">
        <v>200</v>
      </c>
      <c r="J28" s="2"/>
      <c r="K28" s="2">
        <v>48</v>
      </c>
      <c r="L28" s="2">
        <v>0</v>
      </c>
      <c r="M28" s="2">
        <v>10</v>
      </c>
      <c r="N28" s="2">
        <v>6</v>
      </c>
      <c r="O28" s="2">
        <v>20</v>
      </c>
      <c r="P28" s="2">
        <v>12</v>
      </c>
      <c r="Q28" s="2" t="s">
        <v>3123</v>
      </c>
      <c r="R28" s="2" t="s">
        <v>3124</v>
      </c>
      <c r="S28" s="4">
        <v>44949</v>
      </c>
    </row>
    <row r="29" spans="1:19" ht="12.5" x14ac:dyDescent="0.25">
      <c r="A29" s="14" t="str">
        <f>HYPERLINK("https://gerandofalcoes.my.salesforce.com/0014X00002YggopQAB", "0014X00002YggopQAB")</f>
        <v>0014X00002YggopQAB</v>
      </c>
      <c r="B29" s="2" t="s">
        <v>3614</v>
      </c>
      <c r="C29" s="2" t="s">
        <v>423</v>
      </c>
      <c r="D29" s="2" t="s">
        <v>2</v>
      </c>
      <c r="E29" s="2"/>
      <c r="F29" s="2">
        <v>10</v>
      </c>
      <c r="G29" s="2">
        <v>2</v>
      </c>
      <c r="H29" s="2">
        <v>900</v>
      </c>
      <c r="I29" s="2">
        <v>20</v>
      </c>
      <c r="J29" s="2"/>
      <c r="K29" s="2">
        <v>26</v>
      </c>
      <c r="L29" s="2">
        <v>0</v>
      </c>
      <c r="M29" s="2">
        <v>10</v>
      </c>
      <c r="N29" s="2">
        <v>6</v>
      </c>
      <c r="O29" s="2">
        <v>5</v>
      </c>
      <c r="P29" s="2">
        <v>5</v>
      </c>
      <c r="Q29" s="2" t="s">
        <v>3615</v>
      </c>
      <c r="R29" s="2" t="s">
        <v>3616</v>
      </c>
      <c r="S29" s="4">
        <v>44963</v>
      </c>
    </row>
    <row r="30" spans="1:19" ht="12.5" x14ac:dyDescent="0.25">
      <c r="A30" s="14" t="str">
        <f>HYPERLINK("https://gerandofalcoes.my.salesforce.com/0014X00002YgghzQAB", "0014X00002YgghzQAB")</f>
        <v>0014X00002YgghzQAB</v>
      </c>
      <c r="B30" s="2" t="s">
        <v>3139</v>
      </c>
      <c r="C30" s="2" t="s">
        <v>423</v>
      </c>
      <c r="D30" s="2" t="s">
        <v>2</v>
      </c>
      <c r="E30" s="2"/>
      <c r="F30" s="2">
        <v>1</v>
      </c>
      <c r="G30" s="2">
        <v>4</v>
      </c>
      <c r="H30" s="2">
        <v>2500</v>
      </c>
      <c r="I30" s="2">
        <v>25</v>
      </c>
      <c r="J30" s="2"/>
      <c r="K30" s="2">
        <v>25</v>
      </c>
      <c r="L30" s="2">
        <v>0</v>
      </c>
      <c r="M30" s="2">
        <v>5</v>
      </c>
      <c r="N30" s="2">
        <v>10</v>
      </c>
      <c r="O30" s="2">
        <v>5</v>
      </c>
      <c r="P30" s="2">
        <v>5</v>
      </c>
      <c r="Q30" s="2" t="s">
        <v>3140</v>
      </c>
      <c r="R30" s="2" t="s">
        <v>3141</v>
      </c>
      <c r="S30" s="4">
        <v>44949</v>
      </c>
    </row>
    <row r="31" spans="1:19" ht="12.5" x14ac:dyDescent="0.25">
      <c r="A31" s="14" t="str">
        <f>HYPERLINK("https://gerandofalcoes.my.salesforce.com/0014X00002YggpnQAB", "0014X00002YggpnQAB")</f>
        <v>0014X00002YggpnQAB</v>
      </c>
      <c r="B31" s="2" t="s">
        <v>3128</v>
      </c>
      <c r="C31" s="2" t="s">
        <v>423</v>
      </c>
      <c r="D31" s="2" t="s">
        <v>2</v>
      </c>
      <c r="E31" s="2"/>
      <c r="F31" s="2">
        <v>0</v>
      </c>
      <c r="G31" s="2">
        <v>2</v>
      </c>
      <c r="H31" s="2">
        <v>2000</v>
      </c>
      <c r="I31" s="2">
        <v>90</v>
      </c>
      <c r="J31" s="2"/>
      <c r="K31" s="2">
        <v>21</v>
      </c>
      <c r="L31" s="2">
        <v>0</v>
      </c>
      <c r="M31" s="2">
        <v>0</v>
      </c>
      <c r="N31" s="2">
        <v>6</v>
      </c>
      <c r="O31" s="2">
        <v>5</v>
      </c>
      <c r="P31" s="2">
        <v>10</v>
      </c>
      <c r="Q31" s="2" t="s">
        <v>3129</v>
      </c>
      <c r="R31" s="2" t="s">
        <v>3129</v>
      </c>
      <c r="S31" s="4">
        <v>44949</v>
      </c>
    </row>
    <row r="32" spans="1:19" ht="12.5" x14ac:dyDescent="0.25">
      <c r="A32" s="14" t="str">
        <f>HYPERLINK("https://gerandofalcoes.my.salesforce.com/0014P00003YSp7jQAD", "0014P00003YSp7jQAD")</f>
        <v>0014P00003YSp7jQAD</v>
      </c>
      <c r="B32" s="2" t="s">
        <v>3000</v>
      </c>
      <c r="C32" s="2" t="s">
        <v>1684</v>
      </c>
      <c r="D32" s="2" t="s">
        <v>2</v>
      </c>
      <c r="E32" s="2">
        <v>41</v>
      </c>
      <c r="F32" s="2">
        <v>12</v>
      </c>
      <c r="G32" s="2">
        <v>3</v>
      </c>
      <c r="H32" s="2">
        <v>200000</v>
      </c>
      <c r="I32" s="2">
        <v>0</v>
      </c>
      <c r="J32" s="2" t="s">
        <v>1671</v>
      </c>
      <c r="K32" s="2">
        <v>50</v>
      </c>
      <c r="L32" s="2">
        <v>15</v>
      </c>
      <c r="M32" s="2">
        <v>12</v>
      </c>
      <c r="N32" s="2">
        <v>8</v>
      </c>
      <c r="O32" s="2">
        <v>15</v>
      </c>
      <c r="P32" s="2">
        <v>0</v>
      </c>
      <c r="Q32" s="2" t="s">
        <v>3001</v>
      </c>
      <c r="R32" s="2"/>
      <c r="S32" s="4">
        <v>44911</v>
      </c>
    </row>
    <row r="33" spans="1:19" ht="12.5" x14ac:dyDescent="0.25">
      <c r="A33" s="14" t="str">
        <f>HYPERLINK("https://gerandofalcoes.my.salesforce.com/0014X00002YggqSQAR", "0014X00002YggqSQAR")</f>
        <v>0014X00002YggqSQAR</v>
      </c>
      <c r="B33" s="2" t="s">
        <v>3021</v>
      </c>
      <c r="C33" s="2" t="s">
        <v>423</v>
      </c>
      <c r="D33" s="2" t="s">
        <v>2</v>
      </c>
      <c r="E33" s="2"/>
      <c r="F33" s="2">
        <v>0</v>
      </c>
      <c r="G33" s="2">
        <v>3</v>
      </c>
      <c r="H33" s="2">
        <v>7000</v>
      </c>
      <c r="I33" s="2">
        <v>100</v>
      </c>
      <c r="J33" s="2"/>
      <c r="K33" s="2">
        <v>23</v>
      </c>
      <c r="L33" s="2">
        <v>0</v>
      </c>
      <c r="M33" s="2">
        <v>0</v>
      </c>
      <c r="N33" s="2">
        <v>8</v>
      </c>
      <c r="O33" s="2">
        <v>5</v>
      </c>
      <c r="P33" s="2">
        <v>10</v>
      </c>
      <c r="Q33" s="2" t="s">
        <v>3022</v>
      </c>
      <c r="R33" s="2" t="s">
        <v>3022</v>
      </c>
      <c r="S33" s="4">
        <v>44945</v>
      </c>
    </row>
    <row r="34" spans="1:19" ht="12.5" x14ac:dyDescent="0.25">
      <c r="A34" s="14" t="str">
        <f>HYPERLINK("https://gerandofalcoes.my.salesforce.com/0014X00002Yggi8QAB", "0014X00002Yggi8QAB")</f>
        <v>0014X00002Yggi8QAB</v>
      </c>
      <c r="B34" s="2" t="s">
        <v>3081</v>
      </c>
      <c r="C34" s="2" t="s">
        <v>423</v>
      </c>
      <c r="D34" s="2" t="s">
        <v>2</v>
      </c>
      <c r="E34" s="2"/>
      <c r="F34" s="2">
        <v>0</v>
      </c>
      <c r="G34" s="2">
        <v>2</v>
      </c>
      <c r="H34" s="2">
        <v>50</v>
      </c>
      <c r="I34" s="2">
        <v>50</v>
      </c>
      <c r="J34" s="2"/>
      <c r="K34" s="2">
        <v>16</v>
      </c>
      <c r="L34" s="2">
        <v>0</v>
      </c>
      <c r="M34" s="2">
        <v>0</v>
      </c>
      <c r="N34" s="2">
        <v>6</v>
      </c>
      <c r="O34" s="2">
        <v>5</v>
      </c>
      <c r="P34" s="2">
        <v>5</v>
      </c>
      <c r="Q34" s="2" t="s">
        <v>3082</v>
      </c>
      <c r="R34" s="2" t="s">
        <v>3082</v>
      </c>
      <c r="S34" s="4">
        <v>44946</v>
      </c>
    </row>
    <row r="35" spans="1:19" ht="12.5" x14ac:dyDescent="0.25">
      <c r="A35" s="14" t="str">
        <f>HYPERLINK("https://gerandofalcoes.my.salesforce.com/0014X00002YgglFQAR", "0014X00002YgglFQAR")</f>
        <v>0014X00002YgglFQAR</v>
      </c>
      <c r="B35" s="2" t="s">
        <v>3087</v>
      </c>
      <c r="C35" s="2" t="s">
        <v>423</v>
      </c>
      <c r="D35" s="2" t="s">
        <v>2</v>
      </c>
      <c r="E35" s="2"/>
      <c r="F35" s="2">
        <v>0</v>
      </c>
      <c r="G35" s="2">
        <v>5</v>
      </c>
      <c r="H35" s="2">
        <v>0</v>
      </c>
      <c r="I35" s="2">
        <v>0</v>
      </c>
      <c r="J35" s="2"/>
      <c r="K35" s="2">
        <v>10</v>
      </c>
      <c r="L35" s="2">
        <v>0</v>
      </c>
      <c r="M35" s="2">
        <v>0</v>
      </c>
      <c r="N35" s="2">
        <v>10</v>
      </c>
      <c r="O35" s="2">
        <v>0</v>
      </c>
      <c r="P35" s="2">
        <v>0</v>
      </c>
      <c r="Q35" s="2" t="s">
        <v>3088</v>
      </c>
      <c r="R35" s="2" t="s">
        <v>3089</v>
      </c>
      <c r="S35" s="4">
        <v>44946</v>
      </c>
    </row>
    <row r="36" spans="1:19" ht="12.5" x14ac:dyDescent="0.25">
      <c r="A36" s="14" t="str">
        <f>HYPERLINK("https://gerandofalcoes.my.salesforce.com/0014X00002YggmGQAR", "0014X00002YggmGQAR")</f>
        <v>0014X00002YggmGQAR</v>
      </c>
      <c r="B36" s="2" t="s">
        <v>3130</v>
      </c>
      <c r="C36" s="2" t="s">
        <v>423</v>
      </c>
      <c r="D36" s="2" t="s">
        <v>2</v>
      </c>
      <c r="E36" s="2"/>
      <c r="F36" s="2">
        <v>10</v>
      </c>
      <c r="G36" s="2">
        <v>2</v>
      </c>
      <c r="H36" s="2">
        <v>3000</v>
      </c>
      <c r="I36" s="2">
        <v>60</v>
      </c>
      <c r="J36" s="2"/>
      <c r="K36" s="2">
        <v>26</v>
      </c>
      <c r="L36" s="2">
        <v>0</v>
      </c>
      <c r="M36" s="2">
        <v>10</v>
      </c>
      <c r="N36" s="2">
        <v>6</v>
      </c>
      <c r="O36" s="2">
        <v>5</v>
      </c>
      <c r="P36" s="2">
        <v>5</v>
      </c>
      <c r="Q36" s="2" t="s">
        <v>3131</v>
      </c>
      <c r="R36" s="2" t="s">
        <v>3132</v>
      </c>
      <c r="S36" s="4">
        <v>44949</v>
      </c>
    </row>
    <row r="37" spans="1:19" ht="12.5" x14ac:dyDescent="0.25">
      <c r="A37" s="14" t="str">
        <f>HYPERLINK("https://gerandofalcoes.my.salesforce.com/0014X00002YggglQAB", "0014X00002YggglQAB")</f>
        <v>0014X00002YggglQAB</v>
      </c>
      <c r="B37" s="2" t="s">
        <v>7154</v>
      </c>
      <c r="C37" s="2" t="s">
        <v>423</v>
      </c>
      <c r="D37" s="2" t="s">
        <v>2</v>
      </c>
      <c r="E37" s="2"/>
      <c r="F37" s="2">
        <v>0</v>
      </c>
      <c r="G37" s="2">
        <v>2</v>
      </c>
      <c r="H37" s="2">
        <v>15000</v>
      </c>
      <c r="I37" s="2">
        <v>0</v>
      </c>
      <c r="J37" s="2"/>
      <c r="K37" s="2">
        <v>11</v>
      </c>
      <c r="L37" s="2">
        <v>0</v>
      </c>
      <c r="M37" s="2">
        <v>0</v>
      </c>
      <c r="N37" s="2">
        <v>6</v>
      </c>
      <c r="O37" s="2">
        <v>5</v>
      </c>
      <c r="P37" s="2">
        <v>0</v>
      </c>
      <c r="Q37" s="2" t="s">
        <v>7155</v>
      </c>
      <c r="R37" s="2" t="s">
        <v>3145</v>
      </c>
      <c r="S37" s="4">
        <v>44949</v>
      </c>
    </row>
    <row r="38" spans="1:19" ht="12.5" x14ac:dyDescent="0.25">
      <c r="A38" s="14" t="str">
        <f>HYPERLINK("https://gerandofalcoes.my.salesforce.com/0014X00002Yggp5QAB", "0014X00002Yggp5QAB")</f>
        <v>0014X00002Yggp5QAB</v>
      </c>
      <c r="B38" s="2" t="s">
        <v>3050</v>
      </c>
      <c r="C38" s="2" t="s">
        <v>423</v>
      </c>
      <c r="D38" s="2" t="s">
        <v>2</v>
      </c>
      <c r="E38" s="2"/>
      <c r="F38" s="2">
        <v>0</v>
      </c>
      <c r="G38" s="2">
        <v>2</v>
      </c>
      <c r="H38" s="2">
        <v>0</v>
      </c>
      <c r="I38" s="2">
        <v>0</v>
      </c>
      <c r="J38" s="2"/>
      <c r="K38" s="2">
        <v>6</v>
      </c>
      <c r="L38" s="2">
        <v>0</v>
      </c>
      <c r="M38" s="2">
        <v>0</v>
      </c>
      <c r="N38" s="2">
        <v>6</v>
      </c>
      <c r="O38" s="2">
        <v>0</v>
      </c>
      <c r="P38" s="2">
        <v>0</v>
      </c>
      <c r="Q38" s="2" t="s">
        <v>3051</v>
      </c>
      <c r="R38" s="2" t="s">
        <v>3052</v>
      </c>
      <c r="S38" s="4">
        <v>44946</v>
      </c>
    </row>
    <row r="39" spans="1:19" ht="12.5" x14ac:dyDescent="0.25">
      <c r="A39" s="14" t="str">
        <f>HYPERLINK("https://gerandofalcoes.my.salesforce.com/0014X00002YgbknQAB", "0014X00002YgbknQAB")</f>
        <v>0014X00002YgbknQAB</v>
      </c>
      <c r="B39" s="2" t="s">
        <v>3096</v>
      </c>
      <c r="C39" s="2" t="s">
        <v>423</v>
      </c>
      <c r="D39" s="2" t="s">
        <v>2</v>
      </c>
      <c r="E39" s="2"/>
      <c r="F39" s="2">
        <v>0</v>
      </c>
      <c r="G39" s="2">
        <v>0</v>
      </c>
      <c r="H39" s="2">
        <v>0</v>
      </c>
      <c r="I39" s="2">
        <v>0</v>
      </c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 t="s">
        <v>3097</v>
      </c>
      <c r="R39" s="2" t="s">
        <v>3097</v>
      </c>
      <c r="S39" s="4">
        <v>44947</v>
      </c>
    </row>
    <row r="40" spans="1:19" ht="12.5" x14ac:dyDescent="0.25">
      <c r="A40" s="14" t="str">
        <f>HYPERLINK("https://gerandofalcoes.my.salesforce.com/0014X00002YggimQAB", "0014X00002YggimQAB")</f>
        <v>0014X00002YggimQAB</v>
      </c>
      <c r="B40" s="2" t="s">
        <v>3146</v>
      </c>
      <c r="C40" s="2" t="s">
        <v>423</v>
      </c>
      <c r="D40" s="2" t="s">
        <v>2</v>
      </c>
      <c r="E40" s="2"/>
      <c r="F40" s="2">
        <v>0</v>
      </c>
      <c r="G40" s="2">
        <v>2</v>
      </c>
      <c r="H40" s="2">
        <v>200</v>
      </c>
      <c r="I40" s="2">
        <v>0</v>
      </c>
      <c r="J40" s="2"/>
      <c r="K40" s="2">
        <v>11</v>
      </c>
      <c r="L40" s="2">
        <v>0</v>
      </c>
      <c r="M40" s="2">
        <v>0</v>
      </c>
      <c r="N40" s="2">
        <v>6</v>
      </c>
      <c r="O40" s="2">
        <v>5</v>
      </c>
      <c r="P40" s="2">
        <v>0</v>
      </c>
      <c r="Q40" s="2" t="s">
        <v>3147</v>
      </c>
      <c r="R40" s="2" t="s">
        <v>3148</v>
      </c>
      <c r="S40" s="4">
        <v>44949</v>
      </c>
    </row>
    <row r="41" spans="1:19" ht="12.5" x14ac:dyDescent="0.25">
      <c r="A41" s="14" t="str">
        <f>HYPERLINK("https://gerandofalcoes.my.salesforce.com/0014X00002YggoKQAR", "0014X00002YggoKQAR")</f>
        <v>0014X00002YggoKQAR</v>
      </c>
      <c r="B41" s="2" t="s">
        <v>3019</v>
      </c>
      <c r="C41" s="2" t="s">
        <v>423</v>
      </c>
      <c r="D41" s="2" t="s">
        <v>2</v>
      </c>
      <c r="E41" s="2"/>
      <c r="F41" s="2">
        <v>1</v>
      </c>
      <c r="G41" s="2">
        <v>2</v>
      </c>
      <c r="H41" s="2">
        <v>7000</v>
      </c>
      <c r="I41" s="2">
        <v>0</v>
      </c>
      <c r="J41" s="2"/>
      <c r="K41" s="2">
        <v>16</v>
      </c>
      <c r="L41" s="2">
        <v>0</v>
      </c>
      <c r="M41" s="2">
        <v>5</v>
      </c>
      <c r="N41" s="2">
        <v>6</v>
      </c>
      <c r="O41" s="2">
        <v>5</v>
      </c>
      <c r="P41" s="2">
        <v>0</v>
      </c>
      <c r="Q41" s="2" t="s">
        <v>3020</v>
      </c>
      <c r="R41" s="2" t="s">
        <v>3020</v>
      </c>
      <c r="S41" s="4">
        <v>44945</v>
      </c>
    </row>
    <row r="42" spans="1:19" ht="12.5" x14ac:dyDescent="0.25">
      <c r="A42" s="14" t="str">
        <f>HYPERLINK("https://gerandofalcoes.my.salesforce.com/0014X00002YggjpQAB", "0014X00002YggjpQAB")</f>
        <v>0014X00002YggjpQAB</v>
      </c>
      <c r="B42" s="2" t="s">
        <v>3800</v>
      </c>
      <c r="C42" s="2" t="s">
        <v>423</v>
      </c>
      <c r="D42" s="2" t="s">
        <v>2</v>
      </c>
      <c r="E42" s="2"/>
      <c r="F42" s="2">
        <v>4</v>
      </c>
      <c r="G42" s="2">
        <v>5</v>
      </c>
      <c r="H42" s="2">
        <v>8500</v>
      </c>
      <c r="I42" s="2">
        <v>7</v>
      </c>
      <c r="J42" s="2"/>
      <c r="K42" s="2">
        <v>25</v>
      </c>
      <c r="L42" s="2">
        <v>0</v>
      </c>
      <c r="M42" s="2">
        <v>5</v>
      </c>
      <c r="N42" s="2">
        <v>10</v>
      </c>
      <c r="O42" s="2">
        <v>5</v>
      </c>
      <c r="P42" s="2">
        <v>5</v>
      </c>
      <c r="Q42" s="2" t="s">
        <v>3801</v>
      </c>
      <c r="R42" s="2" t="s">
        <v>3801</v>
      </c>
      <c r="S42" s="4">
        <v>44970</v>
      </c>
    </row>
    <row r="43" spans="1:19" ht="12.5" x14ac:dyDescent="0.25">
      <c r="A43" s="14" t="str">
        <f>HYPERLINK("https://gerandofalcoes.my.salesforce.com/0014X00002YggmSQAR", "0014X00002YggmSQAR")</f>
        <v>0014X00002YggmSQAR</v>
      </c>
      <c r="B43" s="2" t="s">
        <v>3059</v>
      </c>
      <c r="C43" s="2" t="s">
        <v>423</v>
      </c>
      <c r="D43" s="2" t="s">
        <v>2</v>
      </c>
      <c r="E43" s="2"/>
      <c r="F43" s="2">
        <v>4</v>
      </c>
      <c r="G43" s="2">
        <v>5</v>
      </c>
      <c r="H43" s="2">
        <v>12000</v>
      </c>
      <c r="I43" s="2">
        <v>0</v>
      </c>
      <c r="J43" s="2"/>
      <c r="K43" s="2">
        <v>20</v>
      </c>
      <c r="L43" s="2">
        <v>0</v>
      </c>
      <c r="M43" s="2">
        <v>5</v>
      </c>
      <c r="N43" s="2">
        <v>10</v>
      </c>
      <c r="O43" s="2">
        <v>5</v>
      </c>
      <c r="P43" s="2">
        <v>0</v>
      </c>
      <c r="Q43" s="2" t="s">
        <v>3060</v>
      </c>
      <c r="R43" s="2" t="s">
        <v>3061</v>
      </c>
      <c r="S43" s="4">
        <v>44946</v>
      </c>
    </row>
    <row r="44" spans="1:19" ht="12.5" x14ac:dyDescent="0.25">
      <c r="A44" s="14" t="str">
        <f>HYPERLINK("https://gerandofalcoes.my.salesforce.com/0014X00002YggmHQAR", "0014X00002YggmHQAR")</f>
        <v>0014X00002YggmHQAR</v>
      </c>
      <c r="B44" s="2" t="s">
        <v>3016</v>
      </c>
      <c r="C44" s="2" t="s">
        <v>423</v>
      </c>
      <c r="D44" s="2" t="s">
        <v>2</v>
      </c>
      <c r="E44" s="2"/>
      <c r="F44" s="2">
        <v>0</v>
      </c>
      <c r="G44" s="2">
        <v>5</v>
      </c>
      <c r="H44" s="2">
        <v>280524</v>
      </c>
      <c r="I44" s="2">
        <v>100</v>
      </c>
      <c r="J44" s="2"/>
      <c r="K44" s="2">
        <v>35</v>
      </c>
      <c r="L44" s="2">
        <v>0</v>
      </c>
      <c r="M44" s="2">
        <v>0</v>
      </c>
      <c r="N44" s="2">
        <v>10</v>
      </c>
      <c r="O44" s="2">
        <v>15</v>
      </c>
      <c r="P44" s="2">
        <v>10</v>
      </c>
      <c r="Q44" s="2" t="s">
        <v>3017</v>
      </c>
      <c r="R44" s="2" t="s">
        <v>3018</v>
      </c>
      <c r="S44" s="4">
        <v>44945</v>
      </c>
    </row>
    <row r="45" spans="1:19" ht="12.5" x14ac:dyDescent="0.25">
      <c r="A45" s="14" t="str">
        <f>HYPERLINK("https://gerandofalcoes.my.salesforce.com/0014X00002YggjKQAR", "0014X00002YggjKQAR")</f>
        <v>0014X00002YggjKQAR</v>
      </c>
      <c r="B45" s="2" t="s">
        <v>3133</v>
      </c>
      <c r="C45" s="2" t="s">
        <v>423</v>
      </c>
      <c r="D45" s="2" t="s">
        <v>2</v>
      </c>
      <c r="E45" s="2"/>
      <c r="F45" s="2">
        <v>4</v>
      </c>
      <c r="G45" s="2">
        <v>3</v>
      </c>
      <c r="H45" s="2">
        <v>18000</v>
      </c>
      <c r="I45" s="2">
        <v>50</v>
      </c>
      <c r="J45" s="2"/>
      <c r="K45" s="2">
        <v>23</v>
      </c>
      <c r="L45" s="2">
        <v>0</v>
      </c>
      <c r="M45" s="2">
        <v>5</v>
      </c>
      <c r="N45" s="2">
        <v>8</v>
      </c>
      <c r="O45" s="2">
        <v>5</v>
      </c>
      <c r="P45" s="2">
        <v>5</v>
      </c>
      <c r="Q45" s="2" t="s">
        <v>3134</v>
      </c>
      <c r="R45" s="2" t="s">
        <v>3135</v>
      </c>
      <c r="S45" s="4">
        <v>44949</v>
      </c>
    </row>
    <row r="46" spans="1:19" ht="12.5" x14ac:dyDescent="0.25">
      <c r="A46" s="14" t="str">
        <f>HYPERLINK("https://gerandofalcoes.my.salesforce.com/0014X00002YggnDQAR", "0014X00002YggnDQAR")</f>
        <v>0014X00002YggnDQAR</v>
      </c>
      <c r="B46" s="2" t="s">
        <v>3334</v>
      </c>
      <c r="C46" s="2" t="s">
        <v>423</v>
      </c>
      <c r="D46" s="2" t="s">
        <v>2</v>
      </c>
      <c r="E46" s="2"/>
      <c r="F46" s="2">
        <v>0</v>
      </c>
      <c r="G46" s="2">
        <v>3</v>
      </c>
      <c r="H46" s="2">
        <v>5000</v>
      </c>
      <c r="I46" s="2">
        <v>2000</v>
      </c>
      <c r="J46" s="2"/>
      <c r="K46" s="2">
        <v>33</v>
      </c>
      <c r="L46" s="2">
        <v>0</v>
      </c>
      <c r="M46" s="2">
        <v>0</v>
      </c>
      <c r="N46" s="2">
        <v>8</v>
      </c>
      <c r="O46" s="2">
        <v>5</v>
      </c>
      <c r="P46" s="2">
        <v>20</v>
      </c>
      <c r="Q46" s="2" t="s">
        <v>3335</v>
      </c>
      <c r="R46" s="2" t="s">
        <v>3336</v>
      </c>
      <c r="S46" s="4">
        <v>44953</v>
      </c>
    </row>
    <row r="47" spans="1:19" ht="12.5" x14ac:dyDescent="0.25">
      <c r="A47" s="14" t="str">
        <f>HYPERLINK("https://gerandofalcoes.my.salesforce.com/0014X00002YggnIQAR", "0014X00002YggnIQAR")</f>
        <v>0014X00002YggnIQAR</v>
      </c>
      <c r="B47" s="2" t="s">
        <v>3789</v>
      </c>
      <c r="C47" s="2" t="s">
        <v>423</v>
      </c>
      <c r="D47" s="2" t="s">
        <v>2</v>
      </c>
      <c r="E47" s="2"/>
      <c r="F47" s="2">
        <v>0</v>
      </c>
      <c r="G47" s="2">
        <v>2</v>
      </c>
      <c r="H47" s="2">
        <v>1000</v>
      </c>
      <c r="I47" s="2">
        <v>20</v>
      </c>
      <c r="J47" s="2"/>
      <c r="K47" s="2">
        <v>16</v>
      </c>
      <c r="L47" s="2">
        <v>0</v>
      </c>
      <c r="M47" s="2">
        <v>0</v>
      </c>
      <c r="N47" s="2">
        <v>6</v>
      </c>
      <c r="O47" s="2">
        <v>5</v>
      </c>
      <c r="P47" s="2">
        <v>5</v>
      </c>
      <c r="Q47" s="2" t="s">
        <v>3790</v>
      </c>
      <c r="R47" s="2" t="s">
        <v>3791</v>
      </c>
      <c r="S47" s="4">
        <v>44968</v>
      </c>
    </row>
    <row r="48" spans="1:19" ht="12.5" x14ac:dyDescent="0.25">
      <c r="A48" s="14" t="str">
        <f>HYPERLINK("https://gerandofalcoes.my.salesforce.com/0014X00002YgbkdQAB", "0014X00002YgbkdQAB")</f>
        <v>0014X00002YgbkdQAB</v>
      </c>
      <c r="B48" s="2" t="s">
        <v>3157</v>
      </c>
      <c r="C48" s="2" t="s">
        <v>423</v>
      </c>
      <c r="D48" s="2" t="s">
        <v>2</v>
      </c>
      <c r="E48" s="2"/>
      <c r="F48" s="2">
        <v>0</v>
      </c>
      <c r="G48" s="2">
        <v>0</v>
      </c>
      <c r="H48" s="2">
        <v>0</v>
      </c>
      <c r="I48" s="2">
        <v>0</v>
      </c>
      <c r="J48" s="2"/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 t="s">
        <v>3158</v>
      </c>
      <c r="R48" s="2" t="s">
        <v>3159</v>
      </c>
      <c r="S48" s="4">
        <v>44950</v>
      </c>
    </row>
    <row r="49" spans="1:19" ht="12.5" x14ac:dyDescent="0.25">
      <c r="A49" s="14" t="str">
        <f>HYPERLINK("https://gerandofalcoes.my.salesforce.com/0014X00002YggquQAB", "0014X00002YggquQAB")</f>
        <v>0014X00002YggquQAB</v>
      </c>
      <c r="B49" s="2" t="s">
        <v>3171</v>
      </c>
      <c r="C49" s="2" t="s">
        <v>423</v>
      </c>
      <c r="D49" s="2" t="s">
        <v>2</v>
      </c>
      <c r="E49" s="2"/>
      <c r="F49" s="2">
        <v>4</v>
      </c>
      <c r="G49" s="2">
        <v>11</v>
      </c>
      <c r="H49" s="2">
        <v>0</v>
      </c>
      <c r="I49" s="2">
        <v>0</v>
      </c>
      <c r="J49" s="2"/>
      <c r="K49" s="2">
        <v>15</v>
      </c>
      <c r="L49" s="2">
        <v>0</v>
      </c>
      <c r="M49" s="2">
        <v>5</v>
      </c>
      <c r="N49" s="2">
        <v>10</v>
      </c>
      <c r="O49" s="2">
        <v>0</v>
      </c>
      <c r="P49" s="2">
        <v>0</v>
      </c>
      <c r="Q49" s="2" t="s">
        <v>3172</v>
      </c>
      <c r="R49" s="2" t="s">
        <v>3172</v>
      </c>
      <c r="S49" s="4">
        <v>44950</v>
      </c>
    </row>
    <row r="50" spans="1:19" ht="12.5" x14ac:dyDescent="0.25">
      <c r="A50" s="14" t="str">
        <f>HYPERLINK("https://gerandofalcoes.my.salesforce.com/0014X00002YggprQAB", "0014X00002YggprQAB")</f>
        <v>0014X00002YggprQAB</v>
      </c>
      <c r="B50" s="2" t="s">
        <v>3168</v>
      </c>
      <c r="C50" s="2" t="s">
        <v>423</v>
      </c>
      <c r="D50" s="2" t="s">
        <v>2</v>
      </c>
      <c r="E50" s="2"/>
      <c r="F50" s="2">
        <v>0</v>
      </c>
      <c r="G50" s="2">
        <v>2</v>
      </c>
      <c r="H50" s="2">
        <v>300</v>
      </c>
      <c r="I50" s="2">
        <v>60</v>
      </c>
      <c r="J50" s="2"/>
      <c r="K50" s="2">
        <v>16</v>
      </c>
      <c r="L50" s="2">
        <v>0</v>
      </c>
      <c r="M50" s="2">
        <v>0</v>
      </c>
      <c r="N50" s="2">
        <v>6</v>
      </c>
      <c r="O50" s="2">
        <v>5</v>
      </c>
      <c r="P50" s="2">
        <v>5</v>
      </c>
      <c r="Q50" s="2" t="s">
        <v>3169</v>
      </c>
      <c r="R50" s="2" t="s">
        <v>3170</v>
      </c>
      <c r="S50" s="4">
        <v>44950</v>
      </c>
    </row>
    <row r="51" spans="1:19" ht="12.5" x14ac:dyDescent="0.25">
      <c r="A51" s="14" t="str">
        <f>HYPERLINK("https://gerandofalcoes.my.salesforce.com/0014X00002YgghdQAB", "0014X00002YgghdQAB")</f>
        <v>0014X00002YgghdQAB</v>
      </c>
      <c r="B51" s="2" t="s">
        <v>3163</v>
      </c>
      <c r="C51" s="2" t="s">
        <v>423</v>
      </c>
      <c r="D51" s="2" t="s">
        <v>2</v>
      </c>
      <c r="E51" s="2"/>
      <c r="F51" s="2">
        <v>0</v>
      </c>
      <c r="G51" s="2">
        <v>4</v>
      </c>
      <c r="H51" s="2">
        <v>2000</v>
      </c>
      <c r="I51" s="2">
        <v>300</v>
      </c>
      <c r="J51" s="2"/>
      <c r="K51" s="2">
        <v>30</v>
      </c>
      <c r="L51" s="2">
        <v>0</v>
      </c>
      <c r="M51" s="2">
        <v>0</v>
      </c>
      <c r="N51" s="2">
        <v>10</v>
      </c>
      <c r="O51" s="2">
        <v>5</v>
      </c>
      <c r="P51" s="2">
        <v>15</v>
      </c>
      <c r="Q51" s="2" t="s">
        <v>3164</v>
      </c>
      <c r="R51" s="2" t="s">
        <v>3165</v>
      </c>
      <c r="S51" s="4">
        <v>44950</v>
      </c>
    </row>
    <row r="52" spans="1:19" ht="12.5" x14ac:dyDescent="0.25">
      <c r="A52" s="14" t="str">
        <f>HYPERLINK("https://gerandofalcoes.my.salesforce.com/0014X00002Yggi2QAB", "0014X00002Yggi2QAB")</f>
        <v>0014X00002Yggi2QAB</v>
      </c>
      <c r="B52" s="2" t="s">
        <v>3152</v>
      </c>
      <c r="C52" s="2" t="s">
        <v>423</v>
      </c>
      <c r="D52" s="2" t="s">
        <v>2</v>
      </c>
      <c r="E52" s="2"/>
      <c r="F52" s="2">
        <v>0</v>
      </c>
      <c r="G52" s="2">
        <v>2</v>
      </c>
      <c r="H52" s="2">
        <v>1200</v>
      </c>
      <c r="I52" s="2">
        <v>320</v>
      </c>
      <c r="J52" s="2"/>
      <c r="K52" s="2">
        <v>26</v>
      </c>
      <c r="L52" s="2">
        <v>0</v>
      </c>
      <c r="M52" s="2">
        <v>0</v>
      </c>
      <c r="N52" s="2">
        <v>6</v>
      </c>
      <c r="O52" s="2">
        <v>5</v>
      </c>
      <c r="P52" s="2">
        <v>15</v>
      </c>
      <c r="Q52" s="2" t="s">
        <v>3153</v>
      </c>
      <c r="R52" s="2" t="s">
        <v>3153</v>
      </c>
      <c r="S52" s="4">
        <v>44950</v>
      </c>
    </row>
    <row r="53" spans="1:19" ht="12.5" x14ac:dyDescent="0.25">
      <c r="A53" s="14" t="str">
        <f>HYPERLINK("https://gerandofalcoes.my.salesforce.com/0014X00002YggnfQAB", "0014X00002YggnfQAB")</f>
        <v>0014X00002YggnfQAB</v>
      </c>
      <c r="B53" s="2" t="s">
        <v>3166</v>
      </c>
      <c r="C53" s="2" t="s">
        <v>423</v>
      </c>
      <c r="D53" s="2" t="s">
        <v>2</v>
      </c>
      <c r="E53" s="2"/>
      <c r="F53" s="2">
        <v>1</v>
      </c>
      <c r="G53" s="2">
        <v>4</v>
      </c>
      <c r="H53" s="2">
        <v>4000</v>
      </c>
      <c r="I53" s="2">
        <v>90</v>
      </c>
      <c r="J53" s="2"/>
      <c r="K53" s="2">
        <v>30</v>
      </c>
      <c r="L53" s="2">
        <v>0</v>
      </c>
      <c r="M53" s="2">
        <v>5</v>
      </c>
      <c r="N53" s="2">
        <v>10</v>
      </c>
      <c r="O53" s="2">
        <v>5</v>
      </c>
      <c r="P53" s="2">
        <v>10</v>
      </c>
      <c r="Q53" s="2" t="s">
        <v>3167</v>
      </c>
      <c r="R53" s="2" t="s">
        <v>3167</v>
      </c>
      <c r="S53" s="4">
        <v>44950</v>
      </c>
    </row>
    <row r="54" spans="1:19" ht="12.5" x14ac:dyDescent="0.25">
      <c r="A54" s="14" t="str">
        <f>HYPERLINK("https://gerandofalcoes.my.salesforce.com/0014X00002YggiVQAR", "0014X00002YggiVQAR")</f>
        <v>0014X00002YggiVQAR</v>
      </c>
      <c r="B54" s="2" t="s">
        <v>3182</v>
      </c>
      <c r="C54" s="2" t="s">
        <v>423</v>
      </c>
      <c r="D54" s="2" t="s">
        <v>2</v>
      </c>
      <c r="E54" s="2"/>
      <c r="F54" s="2">
        <v>10</v>
      </c>
      <c r="G54" s="2">
        <v>2</v>
      </c>
      <c r="H54" s="2">
        <v>8000</v>
      </c>
      <c r="I54" s="2">
        <v>40</v>
      </c>
      <c r="J54" s="2"/>
      <c r="K54" s="2">
        <v>26</v>
      </c>
      <c r="L54" s="2">
        <v>0</v>
      </c>
      <c r="M54" s="2">
        <v>10</v>
      </c>
      <c r="N54" s="2">
        <v>6</v>
      </c>
      <c r="O54" s="2">
        <v>5</v>
      </c>
      <c r="P54" s="2">
        <v>5</v>
      </c>
      <c r="Q54" s="2" t="s">
        <v>3183</v>
      </c>
      <c r="R54" s="2" t="s">
        <v>3184</v>
      </c>
      <c r="S54" s="4">
        <v>44951</v>
      </c>
    </row>
    <row r="55" spans="1:19" ht="12.5" x14ac:dyDescent="0.25">
      <c r="A55" s="14" t="str">
        <f>HYPERLINK("https://gerandofalcoes.my.salesforce.com/0014X00002YggoXQAR", "0014X00002YggoXQAR")</f>
        <v>0014X00002YggoXQAR</v>
      </c>
      <c r="B55" s="2" t="s">
        <v>3195</v>
      </c>
      <c r="C55" s="2" t="s">
        <v>423</v>
      </c>
      <c r="D55" s="2" t="s">
        <v>2</v>
      </c>
      <c r="E55" s="2"/>
      <c r="F55" s="2">
        <v>10</v>
      </c>
      <c r="G55" s="2">
        <v>2</v>
      </c>
      <c r="H55" s="2">
        <v>8000</v>
      </c>
      <c r="I55" s="2">
        <v>60</v>
      </c>
      <c r="J55" s="2"/>
      <c r="K55" s="2">
        <v>26</v>
      </c>
      <c r="L55" s="2">
        <v>0</v>
      </c>
      <c r="M55" s="2">
        <v>10</v>
      </c>
      <c r="N55" s="2">
        <v>6</v>
      </c>
      <c r="O55" s="2">
        <v>5</v>
      </c>
      <c r="P55" s="2">
        <v>5</v>
      </c>
      <c r="Q55" s="2" t="s">
        <v>3196</v>
      </c>
      <c r="R55" s="2" t="s">
        <v>3197</v>
      </c>
      <c r="S55" s="4">
        <v>44951</v>
      </c>
    </row>
    <row r="56" spans="1:19" ht="12.5" x14ac:dyDescent="0.25">
      <c r="A56" s="14" t="str">
        <f>HYPERLINK("https://gerandofalcoes.my.salesforce.com/0014X00002YggmRQAR", "0014X00002YggmRQAR")</f>
        <v>0014X00002YggmRQAR</v>
      </c>
      <c r="B56" s="2" t="s">
        <v>3198</v>
      </c>
      <c r="C56" s="2" t="s">
        <v>423</v>
      </c>
      <c r="D56" s="2" t="s">
        <v>2</v>
      </c>
      <c r="E56" s="2"/>
      <c r="F56" s="2">
        <v>0</v>
      </c>
      <c r="G56" s="2">
        <v>2</v>
      </c>
      <c r="H56" s="2">
        <v>5000</v>
      </c>
      <c r="I56" s="2">
        <v>20</v>
      </c>
      <c r="J56" s="2"/>
      <c r="K56" s="2">
        <v>16</v>
      </c>
      <c r="L56" s="2">
        <v>0</v>
      </c>
      <c r="M56" s="2">
        <v>0</v>
      </c>
      <c r="N56" s="2">
        <v>6</v>
      </c>
      <c r="O56" s="2">
        <v>5</v>
      </c>
      <c r="P56" s="2">
        <v>5</v>
      </c>
      <c r="Q56" s="2" t="s">
        <v>3199</v>
      </c>
      <c r="R56" s="2" t="s">
        <v>3199</v>
      </c>
      <c r="S56" s="4">
        <v>44951</v>
      </c>
    </row>
    <row r="57" spans="1:19" ht="12.5" x14ac:dyDescent="0.25">
      <c r="A57" s="14" t="str">
        <f>HYPERLINK("https://gerandofalcoes.my.salesforce.com/0014X00002YggnzQAB", "0014X00002YggnzQAB")</f>
        <v>0014X00002YggnzQAB</v>
      </c>
      <c r="B57" s="2" t="s">
        <v>3228</v>
      </c>
      <c r="C57" s="2" t="s">
        <v>423</v>
      </c>
      <c r="D57" s="2" t="s">
        <v>2</v>
      </c>
      <c r="E57" s="2"/>
      <c r="F57" s="2">
        <v>3</v>
      </c>
      <c r="G57" s="2">
        <v>3</v>
      </c>
      <c r="H57" s="2">
        <v>19000</v>
      </c>
      <c r="I57" s="2">
        <v>25</v>
      </c>
      <c r="J57" s="2"/>
      <c r="K57" s="2">
        <v>23</v>
      </c>
      <c r="L57" s="2">
        <v>0</v>
      </c>
      <c r="M57" s="2">
        <v>5</v>
      </c>
      <c r="N57" s="2">
        <v>8</v>
      </c>
      <c r="O57" s="2">
        <v>5</v>
      </c>
      <c r="P57" s="2">
        <v>5</v>
      </c>
      <c r="Q57" s="2" t="s">
        <v>3229</v>
      </c>
      <c r="R57" s="2" t="s">
        <v>3229</v>
      </c>
      <c r="S57" s="4">
        <v>44951</v>
      </c>
    </row>
    <row r="58" spans="1:19" ht="12.5" x14ac:dyDescent="0.25">
      <c r="A58" s="14" t="str">
        <f>HYPERLINK("https://gerandofalcoes.my.salesforce.com/0014X00002YggpQQAR", "0014X00002YggpQQAR")</f>
        <v>0014X00002YggpQQAR</v>
      </c>
      <c r="B58" s="2" t="s">
        <v>3202</v>
      </c>
      <c r="C58" s="2" t="s">
        <v>423</v>
      </c>
      <c r="D58" s="2" t="s">
        <v>2</v>
      </c>
      <c r="E58" s="2"/>
      <c r="F58" s="2">
        <v>1</v>
      </c>
      <c r="G58" s="2">
        <v>3</v>
      </c>
      <c r="H58" s="2">
        <v>3000</v>
      </c>
      <c r="I58" s="2">
        <v>50</v>
      </c>
      <c r="J58" s="2"/>
      <c r="K58" s="2">
        <v>23</v>
      </c>
      <c r="L58" s="2">
        <v>0</v>
      </c>
      <c r="M58" s="2">
        <v>5</v>
      </c>
      <c r="N58" s="2">
        <v>8</v>
      </c>
      <c r="O58" s="2">
        <v>5</v>
      </c>
      <c r="P58" s="2">
        <v>5</v>
      </c>
      <c r="Q58" s="2" t="s">
        <v>3203</v>
      </c>
      <c r="R58" s="2" t="s">
        <v>3203</v>
      </c>
      <c r="S58" s="4">
        <v>44951</v>
      </c>
    </row>
    <row r="59" spans="1:19" ht="12.5" x14ac:dyDescent="0.25">
      <c r="A59" s="14" t="str">
        <f>HYPERLINK("https://gerandofalcoes.my.salesforce.com/0014X00002YgglMQAR", "0014X00002YgglMQAR")</f>
        <v>0014X00002YgglMQAR</v>
      </c>
      <c r="B59" s="2" t="s">
        <v>3188</v>
      </c>
      <c r="C59" s="2" t="s">
        <v>423</v>
      </c>
      <c r="D59" s="2" t="s">
        <v>2</v>
      </c>
      <c r="E59" s="2"/>
      <c r="F59" s="2">
        <v>1</v>
      </c>
      <c r="G59" s="2">
        <v>2</v>
      </c>
      <c r="H59" s="2">
        <v>12000</v>
      </c>
      <c r="I59" s="2">
        <v>3</v>
      </c>
      <c r="J59" s="2"/>
      <c r="K59" s="2">
        <v>21</v>
      </c>
      <c r="L59" s="2">
        <v>0</v>
      </c>
      <c r="M59" s="2">
        <v>5</v>
      </c>
      <c r="N59" s="2">
        <v>6</v>
      </c>
      <c r="O59" s="2">
        <v>5</v>
      </c>
      <c r="P59" s="2">
        <v>5</v>
      </c>
      <c r="Q59" s="2" t="s">
        <v>3189</v>
      </c>
      <c r="R59" s="2" t="s">
        <v>3190</v>
      </c>
      <c r="S59" s="4">
        <v>44951</v>
      </c>
    </row>
    <row r="60" spans="1:19" ht="12.5" x14ac:dyDescent="0.25">
      <c r="A60" s="14" t="str">
        <f>HYPERLINK("https://gerandofalcoes.my.salesforce.com/0014X00002YggjZQAR", "0014X00002YggjZQAR")</f>
        <v>0014X00002YggjZQAR</v>
      </c>
      <c r="B60" s="2" t="s">
        <v>3281</v>
      </c>
      <c r="C60" s="2" t="s">
        <v>423</v>
      </c>
      <c r="D60" s="2" t="s">
        <v>2</v>
      </c>
      <c r="E60" s="2"/>
      <c r="F60" s="2">
        <v>0</v>
      </c>
      <c r="G60" s="2">
        <v>3</v>
      </c>
      <c r="H60" s="2">
        <v>9000</v>
      </c>
      <c r="I60" s="2">
        <v>75</v>
      </c>
      <c r="J60" s="2"/>
      <c r="K60" s="2">
        <v>18</v>
      </c>
      <c r="L60" s="2">
        <v>0</v>
      </c>
      <c r="M60" s="2">
        <v>0</v>
      </c>
      <c r="N60" s="2">
        <v>8</v>
      </c>
      <c r="O60" s="2">
        <v>5</v>
      </c>
      <c r="P60" s="2">
        <v>5</v>
      </c>
      <c r="Q60" s="2" t="s">
        <v>3282</v>
      </c>
      <c r="R60" s="2" t="s">
        <v>3282</v>
      </c>
      <c r="S60" s="4">
        <v>44952</v>
      </c>
    </row>
    <row r="61" spans="1:19" ht="12.5" x14ac:dyDescent="0.25">
      <c r="A61" s="14" t="str">
        <f>HYPERLINK("https://gerandofalcoes.my.salesforce.com/0014X00002YggjoQAB", "0014X00002YggjoQAB")</f>
        <v>0014X00002YggjoQAB</v>
      </c>
      <c r="B61" s="2" t="s">
        <v>3283</v>
      </c>
      <c r="C61" s="2" t="s">
        <v>423</v>
      </c>
      <c r="D61" s="2" t="s">
        <v>2</v>
      </c>
      <c r="E61" s="2"/>
      <c r="F61" s="2">
        <v>3</v>
      </c>
      <c r="G61" s="2">
        <v>2</v>
      </c>
      <c r="H61" s="2">
        <v>280000</v>
      </c>
      <c r="I61" s="2">
        <v>50</v>
      </c>
      <c r="J61" s="2"/>
      <c r="K61" s="2">
        <v>31</v>
      </c>
      <c r="L61" s="2">
        <v>0</v>
      </c>
      <c r="M61" s="2">
        <v>5</v>
      </c>
      <c r="N61" s="2">
        <v>6</v>
      </c>
      <c r="O61" s="2">
        <v>15</v>
      </c>
      <c r="P61" s="2">
        <v>5</v>
      </c>
      <c r="Q61" s="2" t="s">
        <v>3284</v>
      </c>
      <c r="R61" s="2" t="s">
        <v>3285</v>
      </c>
      <c r="S61" s="4">
        <v>44952</v>
      </c>
    </row>
    <row r="62" spans="1:19" ht="12.5" x14ac:dyDescent="0.25">
      <c r="A62" s="14" t="str">
        <f>HYPERLINK("https://gerandofalcoes.my.salesforce.com/0014X00002YggiiQAB", "0014X00002YggiiQAB")</f>
        <v>0014X00002YggiiQAB</v>
      </c>
      <c r="B62" s="2" t="s">
        <v>3265</v>
      </c>
      <c r="C62" s="2" t="s">
        <v>423</v>
      </c>
      <c r="D62" s="2" t="s">
        <v>2</v>
      </c>
      <c r="E62" s="2"/>
      <c r="F62" s="2">
        <v>0</v>
      </c>
      <c r="G62" s="2">
        <v>2</v>
      </c>
      <c r="H62" s="2">
        <v>1500</v>
      </c>
      <c r="I62" s="2">
        <v>30</v>
      </c>
      <c r="J62" s="2"/>
      <c r="K62" s="2">
        <v>16</v>
      </c>
      <c r="L62" s="2">
        <v>0</v>
      </c>
      <c r="M62" s="2">
        <v>0</v>
      </c>
      <c r="N62" s="2">
        <v>6</v>
      </c>
      <c r="O62" s="2">
        <v>5</v>
      </c>
      <c r="P62" s="2">
        <v>5</v>
      </c>
      <c r="Q62" s="2" t="s">
        <v>3267</v>
      </c>
      <c r="R62" s="2" t="s">
        <v>3267</v>
      </c>
      <c r="S62" s="4">
        <v>44952</v>
      </c>
    </row>
    <row r="63" spans="1:19" ht="12.5" x14ac:dyDescent="0.25">
      <c r="A63" s="14" t="str">
        <f>HYPERLINK("https://gerandofalcoes.my.salesforce.com/0014X00002YggivQAB", "0014X00002YggivQAB")</f>
        <v>0014X00002YggivQAB</v>
      </c>
      <c r="B63" s="2" t="s">
        <v>3931</v>
      </c>
      <c r="C63" s="2" t="s">
        <v>423</v>
      </c>
      <c r="D63" s="2" t="s">
        <v>2</v>
      </c>
      <c r="E63" s="2"/>
      <c r="F63" s="2">
        <v>4</v>
      </c>
      <c r="G63" s="2">
        <v>6</v>
      </c>
      <c r="H63" s="2">
        <v>20</v>
      </c>
      <c r="I63" s="2">
        <v>200</v>
      </c>
      <c r="J63" s="2"/>
      <c r="K63" s="2">
        <v>32</v>
      </c>
      <c r="L63" s="2">
        <v>0</v>
      </c>
      <c r="M63" s="2">
        <v>5</v>
      </c>
      <c r="N63" s="2">
        <v>10</v>
      </c>
      <c r="O63" s="2">
        <v>5</v>
      </c>
      <c r="P63" s="2">
        <v>12</v>
      </c>
      <c r="Q63" s="2" t="s">
        <v>3932</v>
      </c>
      <c r="R63" s="2" t="s">
        <v>3932</v>
      </c>
      <c r="S63" s="4">
        <v>44952</v>
      </c>
    </row>
    <row r="64" spans="1:19" ht="12.5" x14ac:dyDescent="0.25">
      <c r="A64" s="14" t="str">
        <f>HYPERLINK("https://gerandofalcoes.my.salesforce.com/0014X00002YgggtQAB", "0014X00002YgggtQAB")</f>
        <v>0014X00002YgggtQAB</v>
      </c>
      <c r="B64" s="2" t="s">
        <v>3275</v>
      </c>
      <c r="C64" s="2" t="s">
        <v>423</v>
      </c>
      <c r="D64" s="2" t="s">
        <v>2</v>
      </c>
      <c r="E64" s="2"/>
      <c r="F64" s="2">
        <v>6</v>
      </c>
      <c r="G64" s="2">
        <v>4</v>
      </c>
      <c r="H64" s="2">
        <v>142000</v>
      </c>
      <c r="I64" s="2">
        <v>120</v>
      </c>
      <c r="J64" s="2"/>
      <c r="K64" s="2">
        <v>45</v>
      </c>
      <c r="L64" s="2">
        <v>0</v>
      </c>
      <c r="M64" s="2">
        <v>10</v>
      </c>
      <c r="N64" s="2">
        <v>10</v>
      </c>
      <c r="O64" s="2">
        <v>15</v>
      </c>
      <c r="P64" s="2">
        <v>10</v>
      </c>
      <c r="Q64" s="2" t="s">
        <v>3276</v>
      </c>
      <c r="R64" s="2" t="s">
        <v>3277</v>
      </c>
      <c r="S64" s="4">
        <v>44952</v>
      </c>
    </row>
    <row r="65" spans="1:19" ht="12.5" x14ac:dyDescent="0.25">
      <c r="A65" s="14" t="str">
        <f>HYPERLINK("https://gerandofalcoes.my.salesforce.com/0014X00002YggpMQAR", "0014X00002YggpMQAR")</f>
        <v>0014X00002YggpMQAR</v>
      </c>
      <c r="B65" s="2" t="s">
        <v>3261</v>
      </c>
      <c r="C65" s="2" t="s">
        <v>423</v>
      </c>
      <c r="D65" s="2" t="s">
        <v>2</v>
      </c>
      <c r="E65" s="2"/>
      <c r="F65" s="2">
        <v>0</v>
      </c>
      <c r="G65" s="2">
        <v>5</v>
      </c>
      <c r="H65" s="2">
        <v>2000</v>
      </c>
      <c r="I65" s="2">
        <v>15</v>
      </c>
      <c r="J65" s="2"/>
      <c r="K65" s="2">
        <v>20</v>
      </c>
      <c r="L65" s="2">
        <v>0</v>
      </c>
      <c r="M65" s="2">
        <v>0</v>
      </c>
      <c r="N65" s="2">
        <v>10</v>
      </c>
      <c r="O65" s="2">
        <v>5</v>
      </c>
      <c r="P65" s="2">
        <v>5</v>
      </c>
      <c r="Q65" s="2" t="s">
        <v>3262</v>
      </c>
      <c r="R65" s="2" t="s">
        <v>3262</v>
      </c>
      <c r="S65" s="4">
        <v>44952</v>
      </c>
    </row>
    <row r="66" spans="1:19" ht="12.5" x14ac:dyDescent="0.25">
      <c r="A66" s="14" t="str">
        <f>HYPERLINK("https://gerandofalcoes.my.salesforce.com/0014X00002YggkaQAB", "0014X00002YggkaQAB")</f>
        <v>0014X00002YggkaQAB</v>
      </c>
      <c r="B66" s="2" t="s">
        <v>3253</v>
      </c>
      <c r="C66" s="2" t="s">
        <v>423</v>
      </c>
      <c r="D66" s="2" t="s">
        <v>2</v>
      </c>
      <c r="E66" s="2"/>
      <c r="F66" s="2">
        <v>0</v>
      </c>
      <c r="G66" s="2">
        <v>2</v>
      </c>
      <c r="H66" s="2">
        <v>0</v>
      </c>
      <c r="I66" s="2">
        <v>40</v>
      </c>
      <c r="J66" s="2"/>
      <c r="K66" s="2">
        <v>11</v>
      </c>
      <c r="L66" s="2">
        <v>0</v>
      </c>
      <c r="M66" s="2">
        <v>0</v>
      </c>
      <c r="N66" s="2">
        <v>6</v>
      </c>
      <c r="O66" s="2">
        <v>0</v>
      </c>
      <c r="P66" s="2">
        <v>5</v>
      </c>
      <c r="Q66" s="2" t="s">
        <v>3254</v>
      </c>
      <c r="R66" s="2" t="s">
        <v>3254</v>
      </c>
      <c r="S66" s="4">
        <v>44952</v>
      </c>
    </row>
    <row r="67" spans="1:19" ht="12.5" x14ac:dyDescent="0.25">
      <c r="A67" s="14" t="str">
        <f>HYPERLINK("https://gerandofalcoes.my.salesforce.com/0014X00002YggjIQAR", "0014X00002YggjIQAR")</f>
        <v>0014X00002YggjIQAR</v>
      </c>
      <c r="B67" s="2" t="s">
        <v>3272</v>
      </c>
      <c r="C67" s="2" t="s">
        <v>423</v>
      </c>
      <c r="D67" s="2" t="s">
        <v>2</v>
      </c>
      <c r="E67" s="2"/>
      <c r="F67" s="2">
        <v>3</v>
      </c>
      <c r="G67" s="2">
        <v>2</v>
      </c>
      <c r="H67" s="2">
        <v>2000</v>
      </c>
      <c r="I67" s="2">
        <v>125</v>
      </c>
      <c r="J67" s="2"/>
      <c r="K67" s="2">
        <v>26</v>
      </c>
      <c r="L67" s="2">
        <v>0</v>
      </c>
      <c r="M67" s="2">
        <v>5</v>
      </c>
      <c r="N67" s="2">
        <v>6</v>
      </c>
      <c r="O67" s="2">
        <v>5</v>
      </c>
      <c r="P67" s="2">
        <v>10</v>
      </c>
      <c r="Q67" s="2" t="s">
        <v>3273</v>
      </c>
      <c r="R67" s="2" t="s">
        <v>3274</v>
      </c>
      <c r="S67" s="4">
        <v>44952</v>
      </c>
    </row>
    <row r="68" spans="1:19" ht="12.5" x14ac:dyDescent="0.25">
      <c r="A68" s="14" t="str">
        <f>HYPERLINK("https://gerandofalcoes.my.salesforce.com/0014X00002YggoMQAR", "0014X00002YggoMQAR")</f>
        <v>0014X00002YggoMQAR</v>
      </c>
      <c r="B68" s="2" t="s">
        <v>3299</v>
      </c>
      <c r="C68" s="2" t="s">
        <v>423</v>
      </c>
      <c r="D68" s="2" t="s">
        <v>2</v>
      </c>
      <c r="E68" s="2"/>
      <c r="F68" s="2">
        <v>6</v>
      </c>
      <c r="G68" s="2">
        <v>3</v>
      </c>
      <c r="H68" s="2">
        <v>250000</v>
      </c>
      <c r="I68" s="2">
        <v>550</v>
      </c>
      <c r="J68" s="2"/>
      <c r="K68" s="2">
        <v>53</v>
      </c>
      <c r="L68" s="2">
        <v>0</v>
      </c>
      <c r="M68" s="2">
        <v>10</v>
      </c>
      <c r="N68" s="2">
        <v>8</v>
      </c>
      <c r="O68" s="2">
        <v>15</v>
      </c>
      <c r="P68" s="2">
        <v>20</v>
      </c>
      <c r="Q68" s="2" t="s">
        <v>3300</v>
      </c>
      <c r="R68" s="2" t="s">
        <v>3301</v>
      </c>
      <c r="S68" s="4">
        <v>44953</v>
      </c>
    </row>
    <row r="69" spans="1:19" ht="12.5" x14ac:dyDescent="0.25">
      <c r="A69" s="14" t="str">
        <f>HYPERLINK("https://gerandofalcoes.my.salesforce.com/0014X00002YggiEQAR", "0014X00002YggiEQAR")</f>
        <v>0014X00002YggiEQAR</v>
      </c>
      <c r="B69" s="2" t="s">
        <v>3241</v>
      </c>
      <c r="C69" s="2" t="s">
        <v>423</v>
      </c>
      <c r="D69" s="2" t="s">
        <v>2</v>
      </c>
      <c r="E69" s="2"/>
      <c r="F69" s="2">
        <v>23</v>
      </c>
      <c r="G69" s="2">
        <v>4</v>
      </c>
      <c r="H69" s="2">
        <v>750000</v>
      </c>
      <c r="I69" s="2">
        <v>0</v>
      </c>
      <c r="J69" s="2"/>
      <c r="K69" s="2">
        <v>42</v>
      </c>
      <c r="L69" s="2">
        <v>0</v>
      </c>
      <c r="M69" s="2">
        <v>12</v>
      </c>
      <c r="N69" s="2">
        <v>10</v>
      </c>
      <c r="O69" s="2">
        <v>20</v>
      </c>
      <c r="P69" s="2">
        <v>0</v>
      </c>
      <c r="Q69" s="2" t="s">
        <v>3242</v>
      </c>
      <c r="R69" s="2" t="s">
        <v>3243</v>
      </c>
      <c r="S69" s="4">
        <v>44952</v>
      </c>
    </row>
    <row r="70" spans="1:19" ht="12.5" x14ac:dyDescent="0.25">
      <c r="A70" s="14" t="str">
        <f>HYPERLINK("https://gerandofalcoes.my.salesforce.com/0014X00002YgghXQAR", "0014X00002YgghXQAR")</f>
        <v>0014X00002YgghXQAR</v>
      </c>
      <c r="B70" s="2" t="s">
        <v>3258</v>
      </c>
      <c r="C70" s="2" t="s">
        <v>423</v>
      </c>
      <c r="D70" s="2" t="s">
        <v>2</v>
      </c>
      <c r="E70" s="2"/>
      <c r="F70" s="2">
        <v>20</v>
      </c>
      <c r="G70" s="2">
        <v>4</v>
      </c>
      <c r="H70" s="2">
        <v>5000</v>
      </c>
      <c r="I70" s="2">
        <v>75</v>
      </c>
      <c r="J70" s="2"/>
      <c r="K70" s="2">
        <v>32</v>
      </c>
      <c r="L70" s="2">
        <v>0</v>
      </c>
      <c r="M70" s="2">
        <v>12</v>
      </c>
      <c r="N70" s="2">
        <v>10</v>
      </c>
      <c r="O70" s="2">
        <v>5</v>
      </c>
      <c r="P70" s="2">
        <v>5</v>
      </c>
      <c r="Q70" s="2" t="s">
        <v>3259</v>
      </c>
      <c r="R70" s="2" t="s">
        <v>3260</v>
      </c>
      <c r="S70" s="4">
        <v>44952</v>
      </c>
    </row>
    <row r="71" spans="1:19" ht="12.5" x14ac:dyDescent="0.25">
      <c r="A71" s="14" t="str">
        <f>HYPERLINK("https://gerandofalcoes.my.salesforce.com/0014X00002YggqwQAB", "0014X00002YggqwQAB")</f>
        <v>0014X00002YggqwQAB</v>
      </c>
      <c r="B71" s="2" t="s">
        <v>3319</v>
      </c>
      <c r="C71" s="2" t="s">
        <v>423</v>
      </c>
      <c r="D71" s="2" t="s">
        <v>2</v>
      </c>
      <c r="E71" s="2"/>
      <c r="F71" s="2">
        <v>4</v>
      </c>
      <c r="G71" s="2">
        <v>2</v>
      </c>
      <c r="H71" s="2">
        <v>6082</v>
      </c>
      <c r="I71" s="2">
        <v>50</v>
      </c>
      <c r="J71" s="2"/>
      <c r="K71" s="2">
        <v>21</v>
      </c>
      <c r="L71" s="2">
        <v>0</v>
      </c>
      <c r="M71" s="2">
        <v>5</v>
      </c>
      <c r="N71" s="2">
        <v>6</v>
      </c>
      <c r="O71" s="2">
        <v>5</v>
      </c>
      <c r="P71" s="2">
        <v>5</v>
      </c>
      <c r="Q71" s="2" t="s">
        <v>3320</v>
      </c>
      <c r="R71" s="2" t="s">
        <v>3321</v>
      </c>
      <c r="S71" s="4">
        <v>44953</v>
      </c>
    </row>
    <row r="72" spans="1:19" ht="12.5" x14ac:dyDescent="0.25">
      <c r="A72" s="14" t="str">
        <f>HYPERLINK("https://gerandofalcoes.my.salesforce.com/0014X00002Yggj3QAB", "0014X00002Yggj3QAB")</f>
        <v>0014X00002Yggj3QAB</v>
      </c>
      <c r="B72" s="2" t="s">
        <v>3357</v>
      </c>
      <c r="C72" s="2" t="s">
        <v>423</v>
      </c>
      <c r="D72" s="2" t="s">
        <v>2</v>
      </c>
      <c r="E72" s="2"/>
      <c r="F72" s="2">
        <v>0</v>
      </c>
      <c r="G72" s="2">
        <v>5</v>
      </c>
      <c r="H72" s="2">
        <v>1000</v>
      </c>
      <c r="I72" s="2">
        <v>80</v>
      </c>
      <c r="J72" s="2"/>
      <c r="K72" s="2">
        <v>25</v>
      </c>
      <c r="L72" s="2">
        <v>0</v>
      </c>
      <c r="M72" s="2">
        <v>0</v>
      </c>
      <c r="N72" s="2">
        <v>10</v>
      </c>
      <c r="O72" s="2">
        <v>5</v>
      </c>
      <c r="P72" s="2">
        <v>10</v>
      </c>
      <c r="Q72" s="2" t="s">
        <v>3358</v>
      </c>
      <c r="R72" s="2" t="s">
        <v>3359</v>
      </c>
      <c r="S72" s="4">
        <v>44953</v>
      </c>
    </row>
    <row r="73" spans="1:19" ht="12.5" x14ac:dyDescent="0.25">
      <c r="A73" s="14" t="str">
        <f>HYPERLINK("https://gerandofalcoes.my.salesforce.com/0014X00002YgbkTQAR", "0014X00002YgbkTQAR")</f>
        <v>0014X00002YgbkTQAR</v>
      </c>
      <c r="B73" s="2" t="s">
        <v>3337</v>
      </c>
      <c r="C73" s="2" t="s">
        <v>423</v>
      </c>
      <c r="D73" s="2" t="s">
        <v>2</v>
      </c>
      <c r="E73" s="2"/>
      <c r="F73" s="2">
        <v>0</v>
      </c>
      <c r="G73" s="2">
        <v>0</v>
      </c>
      <c r="H73" s="2">
        <v>0</v>
      </c>
      <c r="I73" s="2">
        <v>0</v>
      </c>
      <c r="J73" s="2"/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 t="s">
        <v>3338</v>
      </c>
      <c r="R73" s="2" t="s">
        <v>3339</v>
      </c>
      <c r="S73" s="4">
        <v>44953</v>
      </c>
    </row>
    <row r="74" spans="1:19" ht="12.5" x14ac:dyDescent="0.25">
      <c r="A74" s="14" t="str">
        <f>HYPERLINK("https://gerandofalcoes.my.salesforce.com/0014X00002YggqKQAR", "0014X00002YggqKQAR")</f>
        <v>0014X00002YggqKQAR</v>
      </c>
      <c r="B74" s="2" t="s">
        <v>3372</v>
      </c>
      <c r="C74" s="2" t="s">
        <v>423</v>
      </c>
      <c r="D74" s="2" t="s">
        <v>2</v>
      </c>
      <c r="E74" s="2"/>
      <c r="F74" s="2">
        <v>0</v>
      </c>
      <c r="G74" s="2">
        <v>4</v>
      </c>
      <c r="H74" s="2">
        <v>11000</v>
      </c>
      <c r="I74" s="2">
        <v>10</v>
      </c>
      <c r="J74" s="2"/>
      <c r="K74" s="2">
        <v>20</v>
      </c>
      <c r="L74" s="2">
        <v>0</v>
      </c>
      <c r="M74" s="2">
        <v>0</v>
      </c>
      <c r="N74" s="2">
        <v>10</v>
      </c>
      <c r="O74" s="2">
        <v>5</v>
      </c>
      <c r="P74" s="2">
        <v>5</v>
      </c>
      <c r="Q74" s="2" t="s">
        <v>3373</v>
      </c>
      <c r="R74" s="2" t="s">
        <v>3374</v>
      </c>
      <c r="S74" s="4">
        <v>44953</v>
      </c>
    </row>
    <row r="75" spans="1:19" ht="12.5" x14ac:dyDescent="0.25">
      <c r="A75" s="14" t="str">
        <f>HYPERLINK("https://gerandofalcoes.my.salesforce.com/0014X00002YggoDQAR", "0014X00002YggoDQAR")</f>
        <v>0014X00002YggoDQAR</v>
      </c>
      <c r="B75" s="2" t="s">
        <v>3662</v>
      </c>
      <c r="C75" s="2" t="s">
        <v>423</v>
      </c>
      <c r="D75" s="2" t="s">
        <v>2</v>
      </c>
      <c r="E75" s="2">
        <v>0</v>
      </c>
      <c r="F75" s="2">
        <v>0</v>
      </c>
      <c r="G75" s="2">
        <v>2</v>
      </c>
      <c r="H75" s="2">
        <v>0</v>
      </c>
      <c r="I75" s="2">
        <v>20</v>
      </c>
      <c r="J75" s="2" t="s">
        <v>1779</v>
      </c>
      <c r="K75" s="2">
        <v>11</v>
      </c>
      <c r="L75" s="2">
        <v>0</v>
      </c>
      <c r="M75" s="2">
        <v>0</v>
      </c>
      <c r="N75" s="2">
        <v>6</v>
      </c>
      <c r="O75" s="2">
        <v>0</v>
      </c>
      <c r="P75" s="2">
        <v>5</v>
      </c>
      <c r="Q75" s="2" t="s">
        <v>3663</v>
      </c>
      <c r="R75" s="2" t="s">
        <v>3664</v>
      </c>
      <c r="S75" s="4">
        <v>44964</v>
      </c>
    </row>
    <row r="76" spans="1:19" ht="12.5" x14ac:dyDescent="0.25">
      <c r="A76" s="14" t="str">
        <f>HYPERLINK("https://gerandofalcoes.my.salesforce.com/0014X00002YggjqQAB", "0014X00002YggjqQAB")</f>
        <v>0014X00002YggjqQAB</v>
      </c>
      <c r="B76" s="2" t="s">
        <v>3617</v>
      </c>
      <c r="C76" s="2" t="s">
        <v>423</v>
      </c>
      <c r="D76" s="2" t="s">
        <v>2</v>
      </c>
      <c r="E76" s="2"/>
      <c r="F76" s="2">
        <v>2</v>
      </c>
      <c r="G76" s="2">
        <v>7</v>
      </c>
      <c r="H76" s="2">
        <v>100000</v>
      </c>
      <c r="I76" s="2">
        <v>120</v>
      </c>
      <c r="J76" s="2"/>
      <c r="K76" s="2">
        <v>40</v>
      </c>
      <c r="L76" s="2">
        <v>0</v>
      </c>
      <c r="M76" s="2">
        <v>5</v>
      </c>
      <c r="N76" s="2">
        <v>10</v>
      </c>
      <c r="O76" s="2">
        <v>15</v>
      </c>
      <c r="P76" s="2">
        <v>10</v>
      </c>
      <c r="Q76" s="2" t="s">
        <v>3618</v>
      </c>
      <c r="R76" s="2" t="s">
        <v>3619</v>
      </c>
      <c r="S76" s="4">
        <v>44963</v>
      </c>
    </row>
    <row r="77" spans="1:19" ht="12.5" x14ac:dyDescent="0.25">
      <c r="A77" s="14" t="str">
        <f>HYPERLINK("https://gerandofalcoes.my.salesforce.com/0014X00002YggiwQAB", "0014X00002YggiwQAB")</f>
        <v>0014X00002YggiwQAB</v>
      </c>
      <c r="B77" s="2" t="s">
        <v>3452</v>
      </c>
      <c r="C77" s="2" t="s">
        <v>423</v>
      </c>
      <c r="D77" s="2" t="s">
        <v>2</v>
      </c>
      <c r="E77" s="2"/>
      <c r="F77" s="2">
        <v>22</v>
      </c>
      <c r="G77" s="2">
        <v>5</v>
      </c>
      <c r="H77" s="2">
        <v>14400</v>
      </c>
      <c r="I77" s="2">
        <v>60</v>
      </c>
      <c r="J77" s="2"/>
      <c r="K77" s="2">
        <v>32</v>
      </c>
      <c r="L77" s="2">
        <v>0</v>
      </c>
      <c r="M77" s="2">
        <v>12</v>
      </c>
      <c r="N77" s="2">
        <v>10</v>
      </c>
      <c r="O77" s="2">
        <v>5</v>
      </c>
      <c r="P77" s="2">
        <v>5</v>
      </c>
      <c r="Q77" s="2" t="s">
        <v>3453</v>
      </c>
      <c r="R77" s="2" t="s">
        <v>3454</v>
      </c>
      <c r="S77" s="4">
        <v>44958</v>
      </c>
    </row>
    <row r="78" spans="1:19" ht="12.5" x14ac:dyDescent="0.25">
      <c r="A78" s="14" t="str">
        <f>HYPERLINK("https://gerandofalcoes.my.salesforce.com/0014X00002YggoRQAR", "0014X00002YggoRQAR")</f>
        <v>0014X00002YggoRQAR</v>
      </c>
      <c r="B78" s="2" t="s">
        <v>3510</v>
      </c>
      <c r="C78" s="2" t="s">
        <v>423</v>
      </c>
      <c r="D78" s="2" t="s">
        <v>2</v>
      </c>
      <c r="E78" s="2"/>
      <c r="F78" s="2">
        <v>0</v>
      </c>
      <c r="G78" s="2">
        <v>2</v>
      </c>
      <c r="H78" s="2">
        <v>0</v>
      </c>
      <c r="I78" s="2">
        <v>0</v>
      </c>
      <c r="J78" s="2"/>
      <c r="K78" s="2">
        <v>6</v>
      </c>
      <c r="L78" s="2">
        <v>0</v>
      </c>
      <c r="M78" s="2">
        <v>0</v>
      </c>
      <c r="N78" s="2">
        <v>6</v>
      </c>
      <c r="O78" s="2">
        <v>0</v>
      </c>
      <c r="P78" s="2">
        <v>0</v>
      </c>
      <c r="Q78" s="2" t="s">
        <v>3511</v>
      </c>
      <c r="R78" s="2" t="s">
        <v>3511</v>
      </c>
      <c r="S78" s="4">
        <v>44958</v>
      </c>
    </row>
    <row r="79" spans="1:19" ht="12.5" x14ac:dyDescent="0.25">
      <c r="A79" s="14" t="str">
        <f>HYPERLINK("https://gerandofalcoes.my.salesforce.com/0014X00002YgglLQAR", "0014X00002YgglLQAR")</f>
        <v>0014X00002YgglLQAR</v>
      </c>
      <c r="B79" s="2" t="s">
        <v>3547</v>
      </c>
      <c r="C79" s="2" t="s">
        <v>423</v>
      </c>
      <c r="D79" s="2" t="s">
        <v>2</v>
      </c>
      <c r="E79" s="2"/>
      <c r="F79" s="2">
        <v>7</v>
      </c>
      <c r="G79" s="2">
        <v>2</v>
      </c>
      <c r="H79" s="2">
        <v>1800</v>
      </c>
      <c r="I79" s="2">
        <v>48</v>
      </c>
      <c r="J79" s="2"/>
      <c r="K79" s="2">
        <v>26</v>
      </c>
      <c r="L79" s="2">
        <v>0</v>
      </c>
      <c r="M79" s="2">
        <v>10</v>
      </c>
      <c r="N79" s="2">
        <v>6</v>
      </c>
      <c r="O79" s="2">
        <v>5</v>
      </c>
      <c r="P79" s="2">
        <v>5</v>
      </c>
      <c r="Q79" s="2" t="s">
        <v>3548</v>
      </c>
      <c r="R79" s="2" t="s">
        <v>3548</v>
      </c>
      <c r="S79" s="4">
        <v>44959</v>
      </c>
    </row>
    <row r="80" spans="1:19" ht="12.5" x14ac:dyDescent="0.25">
      <c r="A80" s="14" t="str">
        <f>HYPERLINK("https://gerandofalcoes.my.salesforce.com/0014X00002YgbkQQAR", "0014X00002YgbkQQAR")</f>
        <v>0014X00002YgbkQQAR</v>
      </c>
      <c r="B80" s="2" t="s">
        <v>3542</v>
      </c>
      <c r="C80" s="2" t="s">
        <v>423</v>
      </c>
      <c r="D80" s="2" t="s">
        <v>2</v>
      </c>
      <c r="E80" s="2"/>
      <c r="F80" s="2">
        <v>0</v>
      </c>
      <c r="G80" s="2">
        <v>0</v>
      </c>
      <c r="H80" s="2">
        <v>0</v>
      </c>
      <c r="I80" s="2">
        <v>0</v>
      </c>
      <c r="J80" s="2"/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 t="s">
        <v>3543</v>
      </c>
      <c r="R80" s="2" t="s">
        <v>3544</v>
      </c>
      <c r="S80" s="4">
        <v>44959</v>
      </c>
    </row>
    <row r="81" spans="1:19" ht="12.5" x14ac:dyDescent="0.25">
      <c r="A81" s="14" t="str">
        <f>HYPERLINK("https://gerandofalcoes.my.salesforce.com/0014X00002YggkTQAR", "0014X00002YggkTQAR")</f>
        <v>0014X00002YggkTQAR</v>
      </c>
      <c r="B81" s="2" t="s">
        <v>3777</v>
      </c>
      <c r="C81" s="2" t="s">
        <v>423</v>
      </c>
      <c r="D81" s="2" t="s">
        <v>2</v>
      </c>
      <c r="E81" s="2"/>
      <c r="F81" s="2">
        <v>1</v>
      </c>
      <c r="G81" s="2">
        <v>4</v>
      </c>
      <c r="H81" s="2">
        <v>7134525</v>
      </c>
      <c r="I81" s="2">
        <v>20</v>
      </c>
      <c r="J81" s="2"/>
      <c r="K81" s="2">
        <v>45</v>
      </c>
      <c r="L81" s="2">
        <v>0</v>
      </c>
      <c r="M81" s="2">
        <v>5</v>
      </c>
      <c r="N81" s="2">
        <v>10</v>
      </c>
      <c r="O81" s="2">
        <v>25</v>
      </c>
      <c r="P81" s="2">
        <v>5</v>
      </c>
      <c r="Q81" s="2" t="s">
        <v>3778</v>
      </c>
      <c r="R81" s="2" t="s">
        <v>3778</v>
      </c>
      <c r="S81" s="4">
        <v>44968</v>
      </c>
    </row>
    <row r="82" spans="1:19" ht="12.5" x14ac:dyDescent="0.25">
      <c r="A82" s="14" t="str">
        <f>HYPERLINK("https://gerandofalcoes.my.salesforce.com/0014X00002YgghTQAR", "0014X00002YgghTQAR")</f>
        <v>0014X00002YgghTQAR</v>
      </c>
      <c r="B82" s="2" t="s">
        <v>3792</v>
      </c>
      <c r="C82" s="2" t="s">
        <v>423</v>
      </c>
      <c r="D82" s="2" t="s">
        <v>2</v>
      </c>
      <c r="E82" s="2"/>
      <c r="F82" s="2">
        <v>2</v>
      </c>
      <c r="G82" s="2">
        <v>2</v>
      </c>
      <c r="H82" s="2">
        <v>4500</v>
      </c>
      <c r="I82" s="2">
        <v>77</v>
      </c>
      <c r="J82" s="2"/>
      <c r="K82" s="2">
        <v>21</v>
      </c>
      <c r="L82" s="2">
        <v>0</v>
      </c>
      <c r="M82" s="2">
        <v>5</v>
      </c>
      <c r="N82" s="2">
        <v>6</v>
      </c>
      <c r="O82" s="2">
        <v>5</v>
      </c>
      <c r="P82" s="2">
        <v>5</v>
      </c>
      <c r="Q82" s="2" t="s">
        <v>3793</v>
      </c>
      <c r="R82" s="2" t="s">
        <v>3793</v>
      </c>
      <c r="S82" s="4">
        <v>44968</v>
      </c>
    </row>
    <row r="83" spans="1:19" ht="12.5" x14ac:dyDescent="0.25">
      <c r="A83" s="14" t="str">
        <f>HYPERLINK("https://gerandofalcoes.my.salesforce.com/0014X00002YggiQQAR", "0014X00002YggiQQAR")</f>
        <v>0014X00002YggiQQAR</v>
      </c>
      <c r="B83" s="2" t="s">
        <v>3149</v>
      </c>
      <c r="C83" s="2" t="s">
        <v>423</v>
      </c>
      <c r="D83" s="2" t="s">
        <v>2</v>
      </c>
      <c r="E83" s="2"/>
      <c r="F83" s="2">
        <v>30</v>
      </c>
      <c r="G83" s="2">
        <v>5</v>
      </c>
      <c r="H83" s="2">
        <v>190000</v>
      </c>
      <c r="I83" s="2">
        <v>178</v>
      </c>
      <c r="J83" s="2"/>
      <c r="K83" s="2">
        <v>49</v>
      </c>
      <c r="L83" s="2">
        <v>0</v>
      </c>
      <c r="M83" s="2">
        <v>12</v>
      </c>
      <c r="N83" s="2">
        <v>10</v>
      </c>
      <c r="O83" s="2">
        <v>15</v>
      </c>
      <c r="P83" s="2">
        <v>12</v>
      </c>
      <c r="Q83" s="2" t="s">
        <v>3150</v>
      </c>
      <c r="R83" s="2" t="s">
        <v>3151</v>
      </c>
      <c r="S83" s="4">
        <v>44950</v>
      </c>
    </row>
    <row r="84" spans="1:19" ht="12.5" x14ac:dyDescent="0.25">
      <c r="A84" s="14" t="str">
        <f>HYPERLINK("https://gerandofalcoes.my.salesforce.com/0014X00002YggmUQAR", "0014X00002YggmUQAR")</f>
        <v>0014X00002YggmUQAR</v>
      </c>
      <c r="B84" s="2" t="s">
        <v>3160</v>
      </c>
      <c r="C84" s="2" t="s">
        <v>423</v>
      </c>
      <c r="D84" s="2" t="s">
        <v>2</v>
      </c>
      <c r="E84" s="2"/>
      <c r="F84" s="2">
        <v>2</v>
      </c>
      <c r="G84" s="2">
        <v>2</v>
      </c>
      <c r="H84" s="2">
        <v>24750</v>
      </c>
      <c r="I84" s="2">
        <v>190</v>
      </c>
      <c r="J84" s="2"/>
      <c r="K84" s="2">
        <v>28</v>
      </c>
      <c r="L84" s="2">
        <v>0</v>
      </c>
      <c r="M84" s="2">
        <v>5</v>
      </c>
      <c r="N84" s="2">
        <v>6</v>
      </c>
      <c r="O84" s="2">
        <v>5</v>
      </c>
      <c r="P84" s="2">
        <v>12</v>
      </c>
      <c r="Q84" s="2" t="s">
        <v>3161</v>
      </c>
      <c r="R84" s="2" t="s">
        <v>3162</v>
      </c>
      <c r="S84" s="4">
        <v>44950</v>
      </c>
    </row>
    <row r="85" spans="1:19" ht="12.5" x14ac:dyDescent="0.25">
      <c r="A85" s="14" t="str">
        <f>HYPERLINK("https://gerandofalcoes.my.salesforce.com/0014X00002YgbkmQAB", "0014X00002YgbkmQAB")</f>
        <v>0014X00002YgbkmQAB</v>
      </c>
      <c r="B85" s="2" t="s">
        <v>3796</v>
      </c>
      <c r="C85" s="2" t="s">
        <v>423</v>
      </c>
      <c r="D85" s="2" t="s">
        <v>2</v>
      </c>
      <c r="E85" s="2"/>
      <c r="F85" s="2">
        <v>0</v>
      </c>
      <c r="G85" s="2">
        <v>0</v>
      </c>
      <c r="H85" s="2">
        <v>0</v>
      </c>
      <c r="I85" s="2">
        <v>0</v>
      </c>
      <c r="J85" s="2"/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 t="s">
        <v>3797</v>
      </c>
      <c r="R85" s="2" t="s">
        <v>3797</v>
      </c>
      <c r="S85" s="4">
        <v>44968</v>
      </c>
    </row>
    <row r="86" spans="1:19" ht="12.5" x14ac:dyDescent="0.25">
      <c r="A86" s="14" t="str">
        <f>HYPERLINK("https://gerandofalcoes.my.salesforce.com/0014X00002YgbktQAB", "0014X00002YgbktQAB")</f>
        <v>0014X00002YgbktQAB</v>
      </c>
      <c r="B86" s="2" t="s">
        <v>3787</v>
      </c>
      <c r="C86" s="2" t="s">
        <v>423</v>
      </c>
      <c r="D86" s="2" t="s">
        <v>2</v>
      </c>
      <c r="E86" s="2"/>
      <c r="F86" s="2">
        <v>0</v>
      </c>
      <c r="G86" s="2">
        <v>0</v>
      </c>
      <c r="H86" s="2">
        <v>0</v>
      </c>
      <c r="I86" s="2">
        <v>0</v>
      </c>
      <c r="J86" s="2"/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 t="s">
        <v>3788</v>
      </c>
      <c r="R86" s="2" t="s">
        <v>3788</v>
      </c>
      <c r="S86" s="4">
        <v>44968</v>
      </c>
    </row>
    <row r="87" spans="1:19" ht="12.5" x14ac:dyDescent="0.25">
      <c r="A87" s="14" t="str">
        <f>HYPERLINK("https://gerandofalcoes.my.salesforce.com/0014X00002YggirQAB", "0014X00002YggirQAB")</f>
        <v>0014X00002YggirQAB</v>
      </c>
      <c r="B87" s="2" t="s">
        <v>3213</v>
      </c>
      <c r="C87" s="2" t="s">
        <v>423</v>
      </c>
      <c r="D87" s="2" t="s">
        <v>2</v>
      </c>
      <c r="E87" s="2"/>
      <c r="F87" s="2">
        <v>0</v>
      </c>
      <c r="G87" s="2">
        <v>2</v>
      </c>
      <c r="H87" s="2">
        <v>5000</v>
      </c>
      <c r="I87" s="2">
        <v>100</v>
      </c>
      <c r="J87" s="2"/>
      <c r="K87" s="2">
        <v>21</v>
      </c>
      <c r="L87" s="2">
        <v>0</v>
      </c>
      <c r="M87" s="2">
        <v>0</v>
      </c>
      <c r="N87" s="2">
        <v>6</v>
      </c>
      <c r="O87" s="2">
        <v>5</v>
      </c>
      <c r="P87" s="2">
        <v>10</v>
      </c>
      <c r="Q87" s="2" t="s">
        <v>3214</v>
      </c>
      <c r="R87" s="2" t="s">
        <v>3214</v>
      </c>
      <c r="S87" s="4">
        <v>44951</v>
      </c>
    </row>
    <row r="88" spans="1:19" ht="12.5" x14ac:dyDescent="0.25">
      <c r="A88" s="14" t="str">
        <f>HYPERLINK("https://gerandofalcoes.my.salesforce.com/0014X00002YggnQQAR", "0014X00002YggnQQAR")</f>
        <v>0014X00002YggnQQAR</v>
      </c>
      <c r="B88" s="2" t="s">
        <v>3210</v>
      </c>
      <c r="C88" s="2" t="s">
        <v>423</v>
      </c>
      <c r="D88" s="2" t="s">
        <v>2</v>
      </c>
      <c r="E88" s="2"/>
      <c r="F88" s="2">
        <v>12</v>
      </c>
      <c r="G88" s="2">
        <v>5</v>
      </c>
      <c r="H88" s="2">
        <v>226000</v>
      </c>
      <c r="I88" s="2">
        <v>323</v>
      </c>
      <c r="J88" s="2"/>
      <c r="K88" s="2">
        <v>52</v>
      </c>
      <c r="L88" s="2">
        <v>0</v>
      </c>
      <c r="M88" s="2">
        <v>12</v>
      </c>
      <c r="N88" s="2">
        <v>10</v>
      </c>
      <c r="O88" s="2">
        <v>15</v>
      </c>
      <c r="P88" s="2">
        <v>15</v>
      </c>
      <c r="Q88" s="2" t="s">
        <v>3211</v>
      </c>
      <c r="R88" s="2" t="s">
        <v>3212</v>
      </c>
      <c r="S88" s="4">
        <v>44951</v>
      </c>
    </row>
    <row r="89" spans="1:19" ht="12.5" x14ac:dyDescent="0.25">
      <c r="A89" s="14" t="str">
        <f>HYPERLINK("https://gerandofalcoes.my.salesforce.com/0014X00002YgglxQAB", "0014X00002YgglxQAB")</f>
        <v>0014X00002YgglxQAB</v>
      </c>
      <c r="B89" s="2" t="s">
        <v>3222</v>
      </c>
      <c r="C89" s="2" t="s">
        <v>423</v>
      </c>
      <c r="D89" s="2" t="s">
        <v>2</v>
      </c>
      <c r="E89" s="2"/>
      <c r="F89" s="2">
        <v>0</v>
      </c>
      <c r="G89" s="2">
        <v>2</v>
      </c>
      <c r="H89" s="2">
        <v>2500</v>
      </c>
      <c r="I89" s="2">
        <v>40</v>
      </c>
      <c r="J89" s="2"/>
      <c r="K89" s="2">
        <v>16</v>
      </c>
      <c r="L89" s="2">
        <v>0</v>
      </c>
      <c r="M89" s="2">
        <v>0</v>
      </c>
      <c r="N89" s="2">
        <v>6</v>
      </c>
      <c r="O89" s="2">
        <v>5</v>
      </c>
      <c r="P89" s="2">
        <v>5</v>
      </c>
      <c r="Q89" s="2" t="s">
        <v>3223</v>
      </c>
      <c r="R89" s="2" t="s">
        <v>3224</v>
      </c>
      <c r="S89" s="4">
        <v>44951</v>
      </c>
    </row>
    <row r="90" spans="1:19" ht="12.5" x14ac:dyDescent="0.25">
      <c r="A90" s="14" t="str">
        <f>HYPERLINK("https://gerandofalcoes.my.salesforce.com/0014X00002Yggl7QAB", "0014X00002Yggl7QAB")</f>
        <v>0014X00002Yggl7QAB</v>
      </c>
      <c r="B90" s="2" t="s">
        <v>3204</v>
      </c>
      <c r="C90" s="2" t="s">
        <v>423</v>
      </c>
      <c r="D90" s="2" t="s">
        <v>2</v>
      </c>
      <c r="E90" s="2"/>
      <c r="F90" s="2">
        <v>0</v>
      </c>
      <c r="G90" s="2">
        <v>4</v>
      </c>
      <c r="H90" s="2">
        <v>20000</v>
      </c>
      <c r="I90" s="2">
        <v>2000</v>
      </c>
      <c r="J90" s="2"/>
      <c r="K90" s="2">
        <v>35</v>
      </c>
      <c r="L90" s="2">
        <v>0</v>
      </c>
      <c r="M90" s="2">
        <v>0</v>
      </c>
      <c r="N90" s="2">
        <v>10</v>
      </c>
      <c r="O90" s="2">
        <v>5</v>
      </c>
      <c r="P90" s="2">
        <v>20</v>
      </c>
      <c r="Q90" s="2" t="s">
        <v>3205</v>
      </c>
      <c r="R90" s="2" t="s">
        <v>3206</v>
      </c>
      <c r="S90" s="4">
        <v>44951</v>
      </c>
    </row>
    <row r="91" spans="1:19" ht="12.5" x14ac:dyDescent="0.25">
      <c r="A91" s="14" t="str">
        <f>HYPERLINK("https://gerandofalcoes.my.salesforce.com/0014X00002YggolQAB", "0014X00002YggolQAB")</f>
        <v>0014X00002YggolQAB</v>
      </c>
      <c r="B91" s="2" t="s">
        <v>3215</v>
      </c>
      <c r="C91" s="2" t="s">
        <v>423</v>
      </c>
      <c r="D91" s="2" t="s">
        <v>2</v>
      </c>
      <c r="E91" s="2"/>
      <c r="F91" s="2">
        <v>0</v>
      </c>
      <c r="G91" s="2">
        <v>2</v>
      </c>
      <c r="H91" s="2">
        <v>0</v>
      </c>
      <c r="I91" s="2">
        <v>100</v>
      </c>
      <c r="J91" s="2"/>
      <c r="K91" s="2">
        <v>16</v>
      </c>
      <c r="L91" s="2">
        <v>0</v>
      </c>
      <c r="M91" s="2">
        <v>0</v>
      </c>
      <c r="N91" s="2">
        <v>6</v>
      </c>
      <c r="O91" s="2">
        <v>0</v>
      </c>
      <c r="P91" s="2">
        <v>10</v>
      </c>
      <c r="Q91" s="2" t="s">
        <v>3216</v>
      </c>
      <c r="R91" s="2" t="s">
        <v>3217</v>
      </c>
      <c r="S91" s="4">
        <v>44951</v>
      </c>
    </row>
    <row r="92" spans="1:19" ht="12.5" x14ac:dyDescent="0.25">
      <c r="A92" s="14" t="str">
        <f>HYPERLINK("https://gerandofalcoes.my.salesforce.com/0014X00002YgghFQAR", "0014X00002YgghFQAR")</f>
        <v>0014X00002YgghFQAR</v>
      </c>
      <c r="B92" s="2" t="s">
        <v>3247</v>
      </c>
      <c r="C92" s="2" t="s">
        <v>423</v>
      </c>
      <c r="D92" s="2" t="s">
        <v>2</v>
      </c>
      <c r="E92" s="2"/>
      <c r="F92" s="2">
        <v>0</v>
      </c>
      <c r="G92" s="2">
        <v>2</v>
      </c>
      <c r="H92" s="2">
        <v>5000</v>
      </c>
      <c r="I92" s="2">
        <v>27</v>
      </c>
      <c r="J92" s="2"/>
      <c r="K92" s="2">
        <v>16</v>
      </c>
      <c r="L92" s="2">
        <v>0</v>
      </c>
      <c r="M92" s="2">
        <v>0</v>
      </c>
      <c r="N92" s="2">
        <v>6</v>
      </c>
      <c r="O92" s="2">
        <v>5</v>
      </c>
      <c r="P92" s="2">
        <v>5</v>
      </c>
      <c r="Q92" s="2" t="s">
        <v>3248</v>
      </c>
      <c r="R92" s="2" t="s">
        <v>3249</v>
      </c>
      <c r="S92" s="4">
        <v>44952</v>
      </c>
    </row>
    <row r="93" spans="1:19" ht="12.5" x14ac:dyDescent="0.25">
      <c r="A93" s="14" t="str">
        <f>HYPERLINK("https://gerandofalcoes.my.salesforce.com/0014X00002YggqZQAR", "0014X00002YggqZQAR")</f>
        <v>0014X00002YggqZQAR</v>
      </c>
      <c r="B93" s="2" t="s">
        <v>3289</v>
      </c>
      <c r="C93" s="2" t="s">
        <v>423</v>
      </c>
      <c r="D93" s="2" t="s">
        <v>2</v>
      </c>
      <c r="E93" s="2"/>
      <c r="F93" s="2">
        <v>5</v>
      </c>
      <c r="G93" s="2">
        <v>3</v>
      </c>
      <c r="H93" s="2">
        <v>1000</v>
      </c>
      <c r="I93" s="2">
        <v>23</v>
      </c>
      <c r="J93" s="2"/>
      <c r="K93" s="2">
        <v>23</v>
      </c>
      <c r="L93" s="2">
        <v>0</v>
      </c>
      <c r="M93" s="2">
        <v>5</v>
      </c>
      <c r="N93" s="2">
        <v>8</v>
      </c>
      <c r="O93" s="2">
        <v>5</v>
      </c>
      <c r="P93" s="2">
        <v>5</v>
      </c>
      <c r="Q93" s="2" t="s">
        <v>3290</v>
      </c>
      <c r="R93" s="2" t="s">
        <v>3290</v>
      </c>
      <c r="S93" s="4">
        <v>44952</v>
      </c>
    </row>
    <row r="94" spans="1:19" ht="12.5" x14ac:dyDescent="0.25">
      <c r="A94" s="14" t="str">
        <f>HYPERLINK("https://gerandofalcoes.my.salesforce.com/0014X00002YgghhQAB", "0014X00002YgghhQAB")</f>
        <v>0014X00002YgghhQAB</v>
      </c>
      <c r="B94" s="2" t="s">
        <v>3286</v>
      </c>
      <c r="C94" s="2" t="s">
        <v>423</v>
      </c>
      <c r="D94" s="2" t="s">
        <v>2</v>
      </c>
      <c r="E94" s="2"/>
      <c r="F94" s="2">
        <v>1</v>
      </c>
      <c r="G94" s="2">
        <v>2</v>
      </c>
      <c r="H94" s="2">
        <v>0</v>
      </c>
      <c r="I94" s="2">
        <v>46</v>
      </c>
      <c r="J94" s="2"/>
      <c r="K94" s="2">
        <v>16</v>
      </c>
      <c r="L94" s="2">
        <v>0</v>
      </c>
      <c r="M94" s="2">
        <v>5</v>
      </c>
      <c r="N94" s="2">
        <v>6</v>
      </c>
      <c r="O94" s="2">
        <v>0</v>
      </c>
      <c r="P94" s="2">
        <v>5</v>
      </c>
      <c r="Q94" s="2" t="s">
        <v>3287</v>
      </c>
      <c r="R94" s="2" t="s">
        <v>3288</v>
      </c>
      <c r="S94" s="4">
        <v>44952</v>
      </c>
    </row>
    <row r="95" spans="1:19" ht="12.5" x14ac:dyDescent="0.25">
      <c r="A95" s="14" t="str">
        <f>HYPERLINK("https://gerandofalcoes.my.salesforce.com/0014X00002YggkAQAR", "0014X00002YggkAQAR")</f>
        <v>0014X00002YggkAQAR</v>
      </c>
      <c r="B95" s="2" t="s">
        <v>3255</v>
      </c>
      <c r="C95" s="2" t="s">
        <v>423</v>
      </c>
      <c r="D95" s="2" t="s">
        <v>2</v>
      </c>
      <c r="E95" s="2"/>
      <c r="F95" s="2">
        <v>12</v>
      </c>
      <c r="G95" s="2">
        <v>2</v>
      </c>
      <c r="H95" s="2">
        <v>4000</v>
      </c>
      <c r="I95" s="2">
        <v>0</v>
      </c>
      <c r="J95" s="2"/>
      <c r="K95" s="2">
        <v>23</v>
      </c>
      <c r="L95" s="2">
        <v>0</v>
      </c>
      <c r="M95" s="2">
        <v>12</v>
      </c>
      <c r="N95" s="2">
        <v>6</v>
      </c>
      <c r="O95" s="2">
        <v>5</v>
      </c>
      <c r="P95" s="2">
        <v>0</v>
      </c>
      <c r="Q95" s="2" t="s">
        <v>3256</v>
      </c>
      <c r="R95" s="2" t="s">
        <v>3257</v>
      </c>
      <c r="S95" s="4">
        <v>44952</v>
      </c>
    </row>
    <row r="96" spans="1:19" ht="12.5" x14ac:dyDescent="0.25">
      <c r="A96" s="14" t="str">
        <f>HYPERLINK("https://gerandofalcoes.my.salesforce.com/0014X00002YggnkQAB", "0014X00002YggnkQAB")</f>
        <v>0014X00002YggnkQAB</v>
      </c>
      <c r="B96" s="2" t="s">
        <v>3263</v>
      </c>
      <c r="C96" s="2" t="s">
        <v>423</v>
      </c>
      <c r="D96" s="2" t="s">
        <v>2</v>
      </c>
      <c r="E96" s="2"/>
      <c r="F96" s="2">
        <v>0</v>
      </c>
      <c r="G96" s="2">
        <v>2</v>
      </c>
      <c r="H96" s="2">
        <v>0</v>
      </c>
      <c r="I96" s="2">
        <v>120</v>
      </c>
      <c r="J96" s="2"/>
      <c r="K96" s="2">
        <v>16</v>
      </c>
      <c r="L96" s="2">
        <v>0</v>
      </c>
      <c r="M96" s="2">
        <v>0</v>
      </c>
      <c r="N96" s="2">
        <v>6</v>
      </c>
      <c r="O96" s="2">
        <v>0</v>
      </c>
      <c r="P96" s="2">
        <v>10</v>
      </c>
      <c r="Q96" s="2" t="s">
        <v>3264</v>
      </c>
      <c r="R96" s="2" t="s">
        <v>3264</v>
      </c>
      <c r="S96" s="4">
        <v>44952</v>
      </c>
    </row>
    <row r="97" spans="1:19" ht="12.5" x14ac:dyDescent="0.25">
      <c r="A97" s="14" t="str">
        <f>HYPERLINK("https://gerandofalcoes.my.salesforce.com/0014X00002YgghNQAR", "0014X00002YgghNQAR")</f>
        <v>0014X00002YgghNQAR</v>
      </c>
      <c r="B97" s="2" t="s">
        <v>3268</v>
      </c>
      <c r="C97" s="2" t="s">
        <v>423</v>
      </c>
      <c r="D97" s="2" t="s">
        <v>2</v>
      </c>
      <c r="E97" s="2"/>
      <c r="F97" s="2">
        <v>0</v>
      </c>
      <c r="G97" s="2">
        <v>5</v>
      </c>
      <c r="H97" s="2">
        <v>150</v>
      </c>
      <c r="I97" s="2">
        <v>350</v>
      </c>
      <c r="J97" s="2"/>
      <c r="K97" s="2">
        <v>30</v>
      </c>
      <c r="L97" s="2">
        <v>0</v>
      </c>
      <c r="M97" s="2">
        <v>0</v>
      </c>
      <c r="N97" s="2">
        <v>10</v>
      </c>
      <c r="O97" s="2">
        <v>5</v>
      </c>
      <c r="P97" s="2">
        <v>15</v>
      </c>
      <c r="Q97" s="2" t="s">
        <v>3269</v>
      </c>
      <c r="R97" s="2" t="s">
        <v>3269</v>
      </c>
      <c r="S97" s="4">
        <v>44952</v>
      </c>
    </row>
    <row r="98" spans="1:19" ht="12.5" x14ac:dyDescent="0.25">
      <c r="A98" s="14" t="str">
        <f>HYPERLINK("https://gerandofalcoes.my.salesforce.com/0014X00002Yggo7QAB", "0014X00002Yggo7QAB")</f>
        <v>0014X00002Yggo7QAB</v>
      </c>
      <c r="B98" s="2" t="s">
        <v>3270</v>
      </c>
      <c r="C98" s="2" t="s">
        <v>423</v>
      </c>
      <c r="D98" s="2" t="s">
        <v>2</v>
      </c>
      <c r="E98" s="2"/>
      <c r="F98" s="2">
        <v>0</v>
      </c>
      <c r="G98" s="2">
        <v>2</v>
      </c>
      <c r="H98" s="2">
        <v>9000</v>
      </c>
      <c r="I98" s="2">
        <v>300</v>
      </c>
      <c r="J98" s="2"/>
      <c r="K98" s="2">
        <v>26</v>
      </c>
      <c r="L98" s="2">
        <v>0</v>
      </c>
      <c r="M98" s="2">
        <v>0</v>
      </c>
      <c r="N98" s="2">
        <v>6</v>
      </c>
      <c r="O98" s="2">
        <v>5</v>
      </c>
      <c r="P98" s="2">
        <v>15</v>
      </c>
      <c r="Q98" s="2" t="s">
        <v>3271</v>
      </c>
      <c r="R98" s="2" t="s">
        <v>3271</v>
      </c>
      <c r="S98" s="4">
        <v>44952</v>
      </c>
    </row>
    <row r="99" spans="1:19" ht="12.5" x14ac:dyDescent="0.25">
      <c r="A99" s="14" t="str">
        <f>HYPERLINK("https://gerandofalcoes.my.salesforce.com/0014X00002YggmJQAR", "0014X00002YggmJQAR")</f>
        <v>0014X00002YggmJQAR</v>
      </c>
      <c r="B99" s="2" t="s">
        <v>3343</v>
      </c>
      <c r="C99" s="2" t="s">
        <v>423</v>
      </c>
      <c r="D99" s="2" t="s">
        <v>2</v>
      </c>
      <c r="E99" s="2"/>
      <c r="F99" s="2">
        <v>0</v>
      </c>
      <c r="G99" s="2">
        <v>2</v>
      </c>
      <c r="H99" s="2">
        <v>15000</v>
      </c>
      <c r="I99" s="2">
        <v>130</v>
      </c>
      <c r="J99" s="2"/>
      <c r="K99" s="2">
        <v>21</v>
      </c>
      <c r="L99" s="2">
        <v>0</v>
      </c>
      <c r="M99" s="2">
        <v>0</v>
      </c>
      <c r="N99" s="2">
        <v>6</v>
      </c>
      <c r="O99" s="2">
        <v>5</v>
      </c>
      <c r="P99" s="2">
        <v>10</v>
      </c>
      <c r="Q99" s="2" t="s">
        <v>3344</v>
      </c>
      <c r="R99" s="2" t="s">
        <v>3345</v>
      </c>
      <c r="S99" s="4">
        <v>44953</v>
      </c>
    </row>
    <row r="100" spans="1:19" ht="12.5" x14ac:dyDescent="0.25">
      <c r="A100" s="14" t="str">
        <f>HYPERLINK("https://gerandofalcoes.my.salesforce.com/0014X00002Yggq6QAB", "0014X00002Yggq6QAB")</f>
        <v>0014X00002Yggq6QAB</v>
      </c>
      <c r="B100" s="2" t="s">
        <v>3328</v>
      </c>
      <c r="C100" s="2" t="s">
        <v>423</v>
      </c>
      <c r="D100" s="2" t="s">
        <v>2</v>
      </c>
      <c r="E100" s="2"/>
      <c r="F100" s="2">
        <v>0</v>
      </c>
      <c r="G100" s="2">
        <v>3</v>
      </c>
      <c r="H100" s="2">
        <v>3500</v>
      </c>
      <c r="I100" s="2">
        <v>30</v>
      </c>
      <c r="J100" s="2"/>
      <c r="K100" s="2">
        <v>18</v>
      </c>
      <c r="L100" s="2">
        <v>0</v>
      </c>
      <c r="M100" s="2">
        <v>0</v>
      </c>
      <c r="N100" s="2">
        <v>8</v>
      </c>
      <c r="O100" s="2">
        <v>5</v>
      </c>
      <c r="P100" s="2">
        <v>5</v>
      </c>
      <c r="Q100" s="2" t="s">
        <v>3329</v>
      </c>
      <c r="R100" s="2" t="s">
        <v>3330</v>
      </c>
      <c r="S100" s="4">
        <v>44953</v>
      </c>
    </row>
    <row r="101" spans="1:19" ht="12.5" x14ac:dyDescent="0.25">
      <c r="A101" s="14" t="str">
        <f>HYPERLINK("https://gerandofalcoes.my.salesforce.com/0014X00002Yggk6QAB", "0014X00002Yggk6QAB")</f>
        <v>0014X00002Yggk6QAB</v>
      </c>
      <c r="B101" s="2" t="s">
        <v>3370</v>
      </c>
      <c r="C101" s="2" t="s">
        <v>423</v>
      </c>
      <c r="D101" s="2" t="s">
        <v>2</v>
      </c>
      <c r="E101" s="2"/>
      <c r="F101" s="2">
        <v>0</v>
      </c>
      <c r="G101" s="2">
        <v>2</v>
      </c>
      <c r="H101" s="2">
        <v>1000</v>
      </c>
      <c r="I101" s="2">
        <v>20</v>
      </c>
      <c r="J101" s="2"/>
      <c r="K101" s="2">
        <v>16</v>
      </c>
      <c r="L101" s="2">
        <v>0</v>
      </c>
      <c r="M101" s="2">
        <v>0</v>
      </c>
      <c r="N101" s="2">
        <v>6</v>
      </c>
      <c r="O101" s="2">
        <v>5</v>
      </c>
      <c r="P101" s="2">
        <v>5</v>
      </c>
      <c r="Q101" s="2" t="s">
        <v>3371</v>
      </c>
      <c r="R101" s="2" t="s">
        <v>3371</v>
      </c>
      <c r="S101" s="4">
        <v>44953</v>
      </c>
    </row>
    <row r="102" spans="1:19" ht="12.5" x14ac:dyDescent="0.25">
      <c r="A102" s="14" t="str">
        <f>HYPERLINK("https://gerandofalcoes.my.salesforce.com/0014X00002YggnjQAB", "0014X00002YggnjQAB")</f>
        <v>0014X00002YggnjQAB</v>
      </c>
      <c r="B102" s="2" t="s">
        <v>3346</v>
      </c>
      <c r="C102" s="2" t="s">
        <v>423</v>
      </c>
      <c r="D102" s="2" t="s">
        <v>2</v>
      </c>
      <c r="E102" s="2"/>
      <c r="F102" s="2">
        <v>9</v>
      </c>
      <c r="G102" s="2">
        <v>3</v>
      </c>
      <c r="H102" s="2">
        <v>2500</v>
      </c>
      <c r="I102" s="2">
        <v>120</v>
      </c>
      <c r="J102" s="2"/>
      <c r="K102" s="2">
        <v>33</v>
      </c>
      <c r="L102" s="2">
        <v>0</v>
      </c>
      <c r="M102" s="2">
        <v>10</v>
      </c>
      <c r="N102" s="2">
        <v>8</v>
      </c>
      <c r="O102" s="2">
        <v>5</v>
      </c>
      <c r="P102" s="2">
        <v>10</v>
      </c>
      <c r="Q102" s="2" t="s">
        <v>3347</v>
      </c>
      <c r="R102" s="2" t="s">
        <v>3348</v>
      </c>
      <c r="S102" s="4">
        <v>44953</v>
      </c>
    </row>
    <row r="103" spans="1:19" ht="12.5" x14ac:dyDescent="0.25">
      <c r="A103" s="14" t="str">
        <f>HYPERLINK("https://gerandofalcoes.my.salesforce.com/0014X00002YggiBQAR", "0014X00002YggiBQAR")</f>
        <v>0014X00002YggiBQAR</v>
      </c>
      <c r="B103" s="2" t="s">
        <v>3322</v>
      </c>
      <c r="C103" s="2" t="s">
        <v>423</v>
      </c>
      <c r="D103" s="2" t="s">
        <v>2</v>
      </c>
      <c r="E103" s="2"/>
      <c r="F103" s="2">
        <v>123</v>
      </c>
      <c r="G103" s="2">
        <v>5</v>
      </c>
      <c r="H103" s="2">
        <v>20000</v>
      </c>
      <c r="I103" s="2">
        <v>100</v>
      </c>
      <c r="J103" s="2"/>
      <c r="K103" s="2">
        <v>40</v>
      </c>
      <c r="L103" s="2">
        <v>0</v>
      </c>
      <c r="M103" s="2">
        <v>15</v>
      </c>
      <c r="N103" s="2">
        <v>10</v>
      </c>
      <c r="O103" s="2">
        <v>5</v>
      </c>
      <c r="P103" s="2">
        <v>10</v>
      </c>
      <c r="Q103" s="2" t="s">
        <v>3323</v>
      </c>
      <c r="R103" s="2" t="s">
        <v>3324</v>
      </c>
      <c r="S103" s="4">
        <v>44953</v>
      </c>
    </row>
    <row r="104" spans="1:19" ht="12.5" x14ac:dyDescent="0.25">
      <c r="A104" s="14" t="str">
        <f>HYPERLINK("https://gerandofalcoes.my.salesforce.com/0014X00002YggnRQAR", "0014X00002YggnRQAR")</f>
        <v>0014X00002YggnRQAR</v>
      </c>
      <c r="B104" s="2" t="s">
        <v>3392</v>
      </c>
      <c r="C104" s="2" t="s">
        <v>423</v>
      </c>
      <c r="D104" s="2" t="s">
        <v>2</v>
      </c>
      <c r="E104" s="2"/>
      <c r="F104" s="2">
        <v>4</v>
      </c>
      <c r="G104" s="2">
        <v>4</v>
      </c>
      <c r="H104" s="2">
        <v>10000</v>
      </c>
      <c r="I104" s="2">
        <v>400</v>
      </c>
      <c r="J104" s="2"/>
      <c r="K104" s="2">
        <v>35</v>
      </c>
      <c r="L104" s="2">
        <v>0</v>
      </c>
      <c r="M104" s="2">
        <v>5</v>
      </c>
      <c r="N104" s="2">
        <v>10</v>
      </c>
      <c r="O104" s="2">
        <v>5</v>
      </c>
      <c r="P104" s="2">
        <v>15</v>
      </c>
      <c r="Q104" s="2" t="s">
        <v>3393</v>
      </c>
      <c r="R104" s="2" t="s">
        <v>3394</v>
      </c>
      <c r="S104" s="4">
        <v>44958</v>
      </c>
    </row>
    <row r="105" spans="1:19" ht="12.5" x14ac:dyDescent="0.25">
      <c r="A105" s="14" t="str">
        <f>HYPERLINK("https://gerandofalcoes.my.salesforce.com/0014X00002YgbkPQAR", "0014X00002YgbkPQAR")</f>
        <v>0014X00002YgbkPQAR</v>
      </c>
      <c r="B105" s="2" t="s">
        <v>3515</v>
      </c>
      <c r="C105" s="2" t="s">
        <v>423</v>
      </c>
      <c r="D105" s="2" t="s">
        <v>2</v>
      </c>
      <c r="E105" s="2"/>
      <c r="F105" s="2">
        <v>0</v>
      </c>
      <c r="G105" s="2">
        <v>0</v>
      </c>
      <c r="H105" s="2">
        <v>0</v>
      </c>
      <c r="I105" s="2">
        <v>0</v>
      </c>
      <c r="J105" s="2"/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 t="s">
        <v>3516</v>
      </c>
      <c r="R105" s="2" t="s">
        <v>3516</v>
      </c>
      <c r="S105" s="4">
        <v>44958</v>
      </c>
    </row>
    <row r="106" spans="1:19" ht="12.5" x14ac:dyDescent="0.25">
      <c r="A106" s="14" t="str">
        <f>HYPERLINK("https://gerandofalcoes.my.salesforce.com/0014X00002YgggLQAR", "0014X00002YgggLQAR")</f>
        <v>0014X00002YgggLQAR</v>
      </c>
      <c r="B106" s="2" t="s">
        <v>3486</v>
      </c>
      <c r="C106" s="2" t="s">
        <v>423</v>
      </c>
      <c r="D106" s="2" t="s">
        <v>2</v>
      </c>
      <c r="E106" s="2"/>
      <c r="F106" s="2">
        <v>10</v>
      </c>
      <c r="G106" s="2">
        <v>4</v>
      </c>
      <c r="H106" s="2">
        <v>208</v>
      </c>
      <c r="I106" s="2">
        <v>108</v>
      </c>
      <c r="J106" s="2"/>
      <c r="K106" s="2">
        <v>35</v>
      </c>
      <c r="L106" s="2">
        <v>0</v>
      </c>
      <c r="M106" s="2">
        <v>10</v>
      </c>
      <c r="N106" s="2">
        <v>10</v>
      </c>
      <c r="O106" s="2">
        <v>5</v>
      </c>
      <c r="P106" s="2">
        <v>10</v>
      </c>
      <c r="Q106" s="2" t="s">
        <v>3487</v>
      </c>
      <c r="R106" s="2" t="s">
        <v>3488</v>
      </c>
      <c r="S106" s="4">
        <v>44958</v>
      </c>
    </row>
    <row r="107" spans="1:19" ht="12.5" x14ac:dyDescent="0.25">
      <c r="A107" s="14" t="str">
        <f>HYPERLINK("https://gerandofalcoes.my.salesforce.com/0014X00002YgbkgQAB", "0014X00002YgbkgQAB")</f>
        <v>0014X00002YgbkgQAB</v>
      </c>
      <c r="B107" s="2" t="s">
        <v>3517</v>
      </c>
      <c r="C107" s="2" t="s">
        <v>423</v>
      </c>
      <c r="D107" s="2" t="s">
        <v>2</v>
      </c>
      <c r="E107" s="2"/>
      <c r="F107" s="2">
        <v>0</v>
      </c>
      <c r="G107" s="2">
        <v>0</v>
      </c>
      <c r="H107" s="2">
        <v>0</v>
      </c>
      <c r="I107" s="2">
        <v>0</v>
      </c>
      <c r="J107" s="2"/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 t="s">
        <v>3518</v>
      </c>
      <c r="R107" s="2" t="s">
        <v>3518</v>
      </c>
      <c r="S107" s="4">
        <v>44958</v>
      </c>
    </row>
    <row r="108" spans="1:19" ht="12.5" x14ac:dyDescent="0.25">
      <c r="A108" s="14" t="str">
        <f>HYPERLINK("https://gerandofalcoes.my.salesforce.com/0014X00002Yggh4QAB", "0014X00002Yggh4QAB")</f>
        <v>0014X00002Yggh4QAB</v>
      </c>
      <c r="B108" s="2" t="s">
        <v>3505</v>
      </c>
      <c r="C108" s="2" t="s">
        <v>423</v>
      </c>
      <c r="D108" s="2" t="s">
        <v>2</v>
      </c>
      <c r="E108" s="2"/>
      <c r="F108" s="2">
        <v>0</v>
      </c>
      <c r="G108" s="2">
        <v>2</v>
      </c>
      <c r="H108" s="2">
        <v>45000</v>
      </c>
      <c r="I108" s="2">
        <v>20</v>
      </c>
      <c r="J108" s="2"/>
      <c r="K108" s="2">
        <v>21</v>
      </c>
      <c r="L108" s="2">
        <v>0</v>
      </c>
      <c r="M108" s="2">
        <v>0</v>
      </c>
      <c r="N108" s="2">
        <v>6</v>
      </c>
      <c r="O108" s="2">
        <v>10</v>
      </c>
      <c r="P108" s="2">
        <v>5</v>
      </c>
      <c r="Q108" s="2" t="s">
        <v>3506</v>
      </c>
      <c r="R108" s="2" t="s">
        <v>3507</v>
      </c>
      <c r="S108" s="4">
        <v>44958</v>
      </c>
    </row>
    <row r="109" spans="1:19" ht="12.5" x14ac:dyDescent="0.25">
      <c r="A109" s="14" t="str">
        <f>HYPERLINK("https://gerandofalcoes.my.salesforce.com/0014X00002Yggh5QAB", "0014X00002Yggh5QAB")</f>
        <v>0014X00002Yggh5QAB</v>
      </c>
      <c r="B109" s="2" t="s">
        <v>3397</v>
      </c>
      <c r="C109" s="2" t="s">
        <v>423</v>
      </c>
      <c r="D109" s="2" t="s">
        <v>2</v>
      </c>
      <c r="E109" s="2"/>
      <c r="F109" s="2">
        <v>0</v>
      </c>
      <c r="G109" s="2">
        <v>2</v>
      </c>
      <c r="H109" s="2">
        <v>300000</v>
      </c>
      <c r="I109" s="2">
        <v>500</v>
      </c>
      <c r="J109" s="2" t="s">
        <v>1671</v>
      </c>
      <c r="K109" s="2">
        <v>46</v>
      </c>
      <c r="L109" s="2">
        <v>0</v>
      </c>
      <c r="M109" s="2">
        <v>0</v>
      </c>
      <c r="N109" s="2">
        <v>6</v>
      </c>
      <c r="O109" s="2">
        <v>20</v>
      </c>
      <c r="P109" s="2">
        <v>20</v>
      </c>
      <c r="Q109" s="2" t="s">
        <v>3398</v>
      </c>
      <c r="R109" s="2" t="s">
        <v>3399</v>
      </c>
      <c r="S109" s="4">
        <v>44958</v>
      </c>
    </row>
    <row r="110" spans="1:19" ht="12.5" x14ac:dyDescent="0.25">
      <c r="A110" s="14" t="str">
        <f>HYPERLINK("https://gerandofalcoes.my.salesforce.com/0014X00002YgghlQAB", "0014X00002YgghlQAB")</f>
        <v>0014X00002YgghlQAB</v>
      </c>
      <c r="B110" s="2" t="s">
        <v>3458</v>
      </c>
      <c r="C110" s="2" t="s">
        <v>423</v>
      </c>
      <c r="D110" s="2" t="s">
        <v>2</v>
      </c>
      <c r="E110" s="2"/>
      <c r="F110" s="2">
        <v>4</v>
      </c>
      <c r="G110" s="2">
        <v>5</v>
      </c>
      <c r="H110" s="2">
        <v>4000</v>
      </c>
      <c r="I110" s="2">
        <v>0</v>
      </c>
      <c r="J110" s="2"/>
      <c r="K110" s="2">
        <v>20</v>
      </c>
      <c r="L110" s="2">
        <v>0</v>
      </c>
      <c r="M110" s="2">
        <v>5</v>
      </c>
      <c r="N110" s="2">
        <v>10</v>
      </c>
      <c r="O110" s="2">
        <v>5</v>
      </c>
      <c r="P110" s="2">
        <v>0</v>
      </c>
      <c r="Q110" s="2" t="s">
        <v>3459</v>
      </c>
      <c r="R110" s="2" t="s">
        <v>3460</v>
      </c>
      <c r="S110" s="4">
        <v>44958</v>
      </c>
    </row>
    <row r="111" spans="1:19" ht="12.5" x14ac:dyDescent="0.25">
      <c r="A111" s="14" t="str">
        <f>HYPERLINK("https://gerandofalcoes.my.salesforce.com/0014X00002bCk8nQAC", "0014X00002bCk8nQAC")</f>
        <v>0014X00002bCk8nQAC</v>
      </c>
      <c r="B111" s="2" t="s">
        <v>3479</v>
      </c>
      <c r="C111" s="2" t="s">
        <v>423</v>
      </c>
      <c r="D111" s="2" t="s">
        <v>2</v>
      </c>
      <c r="E111" s="2"/>
      <c r="F111" s="2">
        <v>0</v>
      </c>
      <c r="G111" s="2">
        <v>2</v>
      </c>
      <c r="H111" s="2">
        <v>5000</v>
      </c>
      <c r="I111" s="2">
        <v>200</v>
      </c>
      <c r="J111" s="2"/>
      <c r="K111" s="2">
        <v>23</v>
      </c>
      <c r="L111" s="2">
        <v>0</v>
      </c>
      <c r="M111" s="2">
        <v>0</v>
      </c>
      <c r="N111" s="2">
        <v>6</v>
      </c>
      <c r="O111" s="2">
        <v>5</v>
      </c>
      <c r="P111" s="2">
        <v>12</v>
      </c>
      <c r="Q111" s="2" t="s">
        <v>3480</v>
      </c>
      <c r="R111" s="2" t="s">
        <v>3480</v>
      </c>
      <c r="S111" s="4">
        <v>44958</v>
      </c>
    </row>
    <row r="112" spans="1:19" ht="12.5" x14ac:dyDescent="0.25">
      <c r="A112" s="14" t="str">
        <f>HYPERLINK("https://gerandofalcoes.my.salesforce.com/0014X00002YggnNQAR", "0014X00002YggnNQAR")</f>
        <v>0014X00002YggnNQAR</v>
      </c>
      <c r="B112" s="2" t="s">
        <v>3403</v>
      </c>
      <c r="C112" s="2" t="s">
        <v>423</v>
      </c>
      <c r="D112" s="2" t="s">
        <v>2</v>
      </c>
      <c r="E112" s="2"/>
      <c r="F112" s="2">
        <v>5</v>
      </c>
      <c r="G112" s="2">
        <v>2</v>
      </c>
      <c r="H112" s="2">
        <v>5400</v>
      </c>
      <c r="I112" s="2">
        <v>0</v>
      </c>
      <c r="J112" s="2"/>
      <c r="K112" s="2">
        <v>16</v>
      </c>
      <c r="L112" s="2">
        <v>0</v>
      </c>
      <c r="M112" s="2">
        <v>5</v>
      </c>
      <c r="N112" s="2">
        <v>6</v>
      </c>
      <c r="O112" s="2">
        <v>5</v>
      </c>
      <c r="P112" s="2">
        <v>0</v>
      </c>
      <c r="Q112" s="2" t="s">
        <v>3404</v>
      </c>
      <c r="R112" s="2" t="s">
        <v>3404</v>
      </c>
      <c r="S112" s="4">
        <v>44958</v>
      </c>
    </row>
    <row r="113" spans="1:19" ht="12.5" x14ac:dyDescent="0.25">
      <c r="A113" s="14" t="str">
        <f>HYPERLINK("https://gerandofalcoes.my.salesforce.com/0014X00002YggnCQAR", "0014X00002YggnCQAR")</f>
        <v>0014X00002YggnCQAR</v>
      </c>
      <c r="B113" s="2" t="s">
        <v>3427</v>
      </c>
      <c r="C113" s="2" t="s">
        <v>423</v>
      </c>
      <c r="D113" s="2" t="s">
        <v>2</v>
      </c>
      <c r="E113" s="2"/>
      <c r="F113" s="2">
        <v>10</v>
      </c>
      <c r="G113" s="2">
        <v>6</v>
      </c>
      <c r="H113" s="2">
        <v>11000</v>
      </c>
      <c r="I113" s="2">
        <v>30</v>
      </c>
      <c r="J113" s="2"/>
      <c r="K113" s="2">
        <v>30</v>
      </c>
      <c r="L113" s="2">
        <v>0</v>
      </c>
      <c r="M113" s="2">
        <v>10</v>
      </c>
      <c r="N113" s="2">
        <v>10</v>
      </c>
      <c r="O113" s="2">
        <v>5</v>
      </c>
      <c r="P113" s="2">
        <v>5</v>
      </c>
      <c r="Q113" s="2" t="s">
        <v>3428</v>
      </c>
      <c r="R113" s="2" t="s">
        <v>3428</v>
      </c>
      <c r="S113" s="4">
        <v>44958</v>
      </c>
    </row>
    <row r="114" spans="1:19" ht="12.5" x14ac:dyDescent="0.25">
      <c r="A114" s="14" t="str">
        <f>HYPERLINK("https://gerandofalcoes.my.salesforce.com/0014X00002YggqaQAB", "0014X00002YggqaQAB")</f>
        <v>0014X00002YggqaQAB</v>
      </c>
      <c r="B114" s="2" t="s">
        <v>3424</v>
      </c>
      <c r="C114" s="2" t="s">
        <v>423</v>
      </c>
      <c r="D114" s="2" t="s">
        <v>2</v>
      </c>
      <c r="E114" s="2"/>
      <c r="F114" s="2">
        <v>0</v>
      </c>
      <c r="G114" s="2">
        <v>2</v>
      </c>
      <c r="H114" s="2">
        <v>2000</v>
      </c>
      <c r="I114" s="2">
        <v>400</v>
      </c>
      <c r="J114" s="2"/>
      <c r="K114" s="2">
        <v>26</v>
      </c>
      <c r="L114" s="2">
        <v>0</v>
      </c>
      <c r="M114" s="2">
        <v>0</v>
      </c>
      <c r="N114" s="2">
        <v>6</v>
      </c>
      <c r="O114" s="2">
        <v>5</v>
      </c>
      <c r="P114" s="2">
        <v>15</v>
      </c>
      <c r="Q114" s="2" t="s">
        <v>3425</v>
      </c>
      <c r="R114" s="2" t="s">
        <v>3426</v>
      </c>
      <c r="S114" s="4">
        <v>44958</v>
      </c>
    </row>
    <row r="115" spans="1:19" ht="12.5" x14ac:dyDescent="0.25">
      <c r="A115" s="14" t="str">
        <f>HYPERLINK("https://gerandofalcoes.my.salesforce.com/0014X00002YggqqQAB", "0014X00002YggqqQAB")</f>
        <v>0014X00002YggqqQAB</v>
      </c>
      <c r="B115" s="2" t="s">
        <v>3503</v>
      </c>
      <c r="C115" s="2" t="s">
        <v>423</v>
      </c>
      <c r="D115" s="2" t="s">
        <v>2</v>
      </c>
      <c r="E115" s="2"/>
      <c r="F115" s="2">
        <v>1</v>
      </c>
      <c r="G115" s="2">
        <v>2</v>
      </c>
      <c r="H115" s="2">
        <v>5000</v>
      </c>
      <c r="I115" s="2">
        <v>25</v>
      </c>
      <c r="J115" s="2"/>
      <c r="K115" s="2">
        <v>21</v>
      </c>
      <c r="L115" s="2">
        <v>0</v>
      </c>
      <c r="M115" s="2">
        <v>5</v>
      </c>
      <c r="N115" s="2">
        <v>6</v>
      </c>
      <c r="O115" s="2">
        <v>5</v>
      </c>
      <c r="P115" s="2">
        <v>5</v>
      </c>
      <c r="Q115" s="2" t="s">
        <v>3504</v>
      </c>
      <c r="R115" s="2" t="s">
        <v>3504</v>
      </c>
      <c r="S115" s="4">
        <v>44958</v>
      </c>
    </row>
    <row r="116" spans="1:19" ht="12.5" x14ac:dyDescent="0.25">
      <c r="A116" s="14" t="str">
        <f>HYPERLINK("https://gerandofalcoes.my.salesforce.com/0014X00002YggqvQAB", "0014X00002YggqvQAB")</f>
        <v>0014X00002YggqvQAB</v>
      </c>
      <c r="B116" s="2" t="s">
        <v>3435</v>
      </c>
      <c r="C116" s="2" t="s">
        <v>423</v>
      </c>
      <c r="D116" s="2" t="s">
        <v>2</v>
      </c>
      <c r="E116" s="2"/>
      <c r="F116" s="2">
        <v>0</v>
      </c>
      <c r="G116" s="2">
        <v>3</v>
      </c>
      <c r="H116" s="2">
        <v>24000</v>
      </c>
      <c r="I116" s="2">
        <v>0</v>
      </c>
      <c r="J116" s="2"/>
      <c r="K116" s="2">
        <v>13</v>
      </c>
      <c r="L116" s="2">
        <v>0</v>
      </c>
      <c r="M116" s="2">
        <v>0</v>
      </c>
      <c r="N116" s="2">
        <v>8</v>
      </c>
      <c r="O116" s="2">
        <v>5</v>
      </c>
      <c r="P116" s="2">
        <v>0</v>
      </c>
      <c r="Q116" s="2" t="s">
        <v>3436</v>
      </c>
      <c r="R116" s="2" t="s">
        <v>3437</v>
      </c>
      <c r="S116" s="4">
        <v>44958</v>
      </c>
    </row>
    <row r="117" spans="1:19" ht="12.5" x14ac:dyDescent="0.25">
      <c r="A117" s="14" t="str">
        <f>HYPERLINK("https://gerandofalcoes.my.salesforce.com/0014X00002YgggWQAR", "0014X00002YgggWQAR")</f>
        <v>0014X00002YgggWQAR</v>
      </c>
      <c r="B117" s="2" t="s">
        <v>3476</v>
      </c>
      <c r="C117" s="2" t="s">
        <v>423</v>
      </c>
      <c r="D117" s="2" t="s">
        <v>2</v>
      </c>
      <c r="E117" s="2"/>
      <c r="F117" s="2">
        <v>0</v>
      </c>
      <c r="G117" s="2">
        <v>2</v>
      </c>
      <c r="H117" s="2">
        <v>0</v>
      </c>
      <c r="I117" s="2">
        <v>250</v>
      </c>
      <c r="J117" s="2"/>
      <c r="K117" s="2">
        <v>18</v>
      </c>
      <c r="L117" s="2">
        <v>0</v>
      </c>
      <c r="M117" s="2">
        <v>0</v>
      </c>
      <c r="N117" s="2">
        <v>6</v>
      </c>
      <c r="O117" s="2">
        <v>0</v>
      </c>
      <c r="P117" s="2">
        <v>12</v>
      </c>
      <c r="Q117" s="2" t="s">
        <v>3477</v>
      </c>
      <c r="R117" s="2" t="s">
        <v>3478</v>
      </c>
      <c r="S117" s="4">
        <v>44958</v>
      </c>
    </row>
    <row r="118" spans="1:19" ht="12.5" x14ac:dyDescent="0.25">
      <c r="A118" s="14" t="str">
        <f>HYPERLINK("https://gerandofalcoes.my.salesforce.com/0014X00002YggmkQAB", "0014X00002YggmkQAB")</f>
        <v>0014X00002YggmkQAB</v>
      </c>
      <c r="B118" s="2" t="s">
        <v>3408</v>
      </c>
      <c r="C118" s="2" t="s">
        <v>423</v>
      </c>
      <c r="D118" s="2" t="s">
        <v>2</v>
      </c>
      <c r="E118" s="2"/>
      <c r="F118" s="2">
        <v>8</v>
      </c>
      <c r="G118" s="2">
        <v>6</v>
      </c>
      <c r="H118" s="2">
        <v>30000</v>
      </c>
      <c r="I118" s="2">
        <v>80</v>
      </c>
      <c r="J118" s="2"/>
      <c r="K118" s="2">
        <v>40</v>
      </c>
      <c r="L118" s="2">
        <v>0</v>
      </c>
      <c r="M118" s="2">
        <v>10</v>
      </c>
      <c r="N118" s="2">
        <v>10</v>
      </c>
      <c r="O118" s="2">
        <v>10</v>
      </c>
      <c r="P118" s="2">
        <v>10</v>
      </c>
      <c r="Q118" s="2" t="s">
        <v>3409</v>
      </c>
      <c r="R118" s="2" t="s">
        <v>3409</v>
      </c>
      <c r="S118" s="4">
        <v>44958</v>
      </c>
    </row>
    <row r="119" spans="1:19" ht="12.5" x14ac:dyDescent="0.25">
      <c r="A119" s="14" t="str">
        <f>HYPERLINK("https://gerandofalcoes.my.salesforce.com/0014X00002YgghyQAB", "0014X00002YgghyQAB")</f>
        <v>0014X00002YgghyQAB</v>
      </c>
      <c r="B119" s="2" t="s">
        <v>3421</v>
      </c>
      <c r="C119" s="2" t="s">
        <v>423</v>
      </c>
      <c r="D119" s="2" t="s">
        <v>2</v>
      </c>
      <c r="E119" s="2"/>
      <c r="F119" s="2">
        <v>3</v>
      </c>
      <c r="G119" s="2">
        <v>4</v>
      </c>
      <c r="H119" s="2">
        <v>50000</v>
      </c>
      <c r="I119" s="2">
        <v>100</v>
      </c>
      <c r="J119" s="2"/>
      <c r="K119" s="2">
        <v>35</v>
      </c>
      <c r="L119" s="2">
        <v>0</v>
      </c>
      <c r="M119" s="2">
        <v>5</v>
      </c>
      <c r="N119" s="2">
        <v>10</v>
      </c>
      <c r="O119" s="2">
        <v>10</v>
      </c>
      <c r="P119" s="2">
        <v>10</v>
      </c>
      <c r="Q119" s="2" t="s">
        <v>3422</v>
      </c>
      <c r="R119" s="2" t="s">
        <v>3423</v>
      </c>
      <c r="S119" s="4">
        <v>44958</v>
      </c>
    </row>
    <row r="120" spans="1:19" ht="12.5" x14ac:dyDescent="0.25">
      <c r="A120" s="14" t="str">
        <f>HYPERLINK("https://gerandofalcoes.my.salesforce.com/0014X00002YggqLQAR", "0014X00002YggqLQAR")</f>
        <v>0014X00002YggqLQAR</v>
      </c>
      <c r="B120" s="2" t="s">
        <v>3500</v>
      </c>
      <c r="C120" s="2" t="s">
        <v>423</v>
      </c>
      <c r="D120" s="2" t="s">
        <v>2</v>
      </c>
      <c r="E120" s="2"/>
      <c r="F120" s="2">
        <v>0</v>
      </c>
      <c r="G120" s="2">
        <v>2</v>
      </c>
      <c r="H120" s="2">
        <v>400</v>
      </c>
      <c r="I120" s="2">
        <v>30</v>
      </c>
      <c r="J120" s="2"/>
      <c r="K120" s="2">
        <v>16</v>
      </c>
      <c r="L120" s="2">
        <v>0</v>
      </c>
      <c r="M120" s="2">
        <v>0</v>
      </c>
      <c r="N120" s="2">
        <v>6</v>
      </c>
      <c r="O120" s="2">
        <v>5</v>
      </c>
      <c r="P120" s="2">
        <v>5</v>
      </c>
      <c r="Q120" s="2" t="s">
        <v>3501</v>
      </c>
      <c r="R120" s="2" t="s">
        <v>3502</v>
      </c>
      <c r="S120" s="4">
        <v>44958</v>
      </c>
    </row>
    <row r="121" spans="1:19" ht="12.5" x14ac:dyDescent="0.25">
      <c r="A121" s="14" t="str">
        <f>HYPERLINK("https://gerandofalcoes.my.salesforce.com/0014X00002Yggi1QAB", "0014X00002Yggi1QAB")</f>
        <v>0014X00002Yggi1QAB</v>
      </c>
      <c r="B121" s="2" t="s">
        <v>3444</v>
      </c>
      <c r="C121" s="2" t="s">
        <v>423</v>
      </c>
      <c r="D121" s="2" t="s">
        <v>2</v>
      </c>
      <c r="E121" s="2"/>
      <c r="F121" s="2">
        <v>0</v>
      </c>
      <c r="G121" s="2">
        <v>2</v>
      </c>
      <c r="H121" s="2">
        <v>500</v>
      </c>
      <c r="I121" s="2">
        <v>0</v>
      </c>
      <c r="J121" s="2"/>
      <c r="K121" s="2">
        <v>11</v>
      </c>
      <c r="L121" s="2">
        <v>0</v>
      </c>
      <c r="M121" s="2">
        <v>0</v>
      </c>
      <c r="N121" s="2">
        <v>6</v>
      </c>
      <c r="O121" s="2">
        <v>5</v>
      </c>
      <c r="P121" s="2">
        <v>0</v>
      </c>
      <c r="Q121" s="2" t="s">
        <v>3445</v>
      </c>
      <c r="R121" s="2" t="s">
        <v>3446</v>
      </c>
      <c r="S121" s="4">
        <v>44958</v>
      </c>
    </row>
    <row r="122" spans="1:19" ht="12.5" x14ac:dyDescent="0.25">
      <c r="A122" s="14" t="str">
        <f>HYPERLINK("https://gerandofalcoes.my.salesforce.com/0014X00002YggiHQAR", "0014X00002YggiHQAR")</f>
        <v>0014X00002YggiHQAR</v>
      </c>
      <c r="B122" s="2" t="s">
        <v>3410</v>
      </c>
      <c r="C122" s="2" t="s">
        <v>423</v>
      </c>
      <c r="D122" s="2" t="s">
        <v>2</v>
      </c>
      <c r="E122" s="2"/>
      <c r="F122" s="2">
        <v>3</v>
      </c>
      <c r="G122" s="2">
        <v>2</v>
      </c>
      <c r="H122" s="2">
        <v>198540</v>
      </c>
      <c r="I122" s="2">
        <v>30</v>
      </c>
      <c r="J122" s="2"/>
      <c r="K122" s="2">
        <v>31</v>
      </c>
      <c r="L122" s="2">
        <v>0</v>
      </c>
      <c r="M122" s="2">
        <v>5</v>
      </c>
      <c r="N122" s="2">
        <v>6</v>
      </c>
      <c r="O122" s="2">
        <v>15</v>
      </c>
      <c r="P122" s="2">
        <v>5</v>
      </c>
      <c r="Q122" s="2" t="s">
        <v>3411</v>
      </c>
      <c r="R122" s="2" t="s">
        <v>3412</v>
      </c>
      <c r="S122" s="4">
        <v>44958</v>
      </c>
    </row>
    <row r="123" spans="1:19" ht="12.5" x14ac:dyDescent="0.25">
      <c r="A123" s="14" t="str">
        <f>HYPERLINK("https://gerandofalcoes.my.salesforce.com/0014X00002YgbkZQAR", "0014X00002YgbkZQAR")</f>
        <v>0014X00002YgbkZQAR</v>
      </c>
      <c r="B123" s="2" t="s">
        <v>3455</v>
      </c>
      <c r="C123" s="2" t="s">
        <v>423</v>
      </c>
      <c r="D123" s="2" t="s">
        <v>2</v>
      </c>
      <c r="E123" s="2"/>
      <c r="F123" s="2">
        <v>0</v>
      </c>
      <c r="G123" s="2">
        <v>0</v>
      </c>
      <c r="H123" s="2">
        <v>0</v>
      </c>
      <c r="I123" s="2">
        <v>0</v>
      </c>
      <c r="J123" s="2"/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 t="s">
        <v>3456</v>
      </c>
      <c r="R123" s="2" t="s">
        <v>3457</v>
      </c>
      <c r="S123" s="4">
        <v>44958</v>
      </c>
    </row>
    <row r="124" spans="1:19" ht="12.5" x14ac:dyDescent="0.25">
      <c r="A124" s="14" t="str">
        <f>HYPERLINK("https://gerandofalcoes.my.salesforce.com/0014X00002YggkHQAR", "0014X00002YggkHQAR")</f>
        <v>0014X00002YggkHQAR</v>
      </c>
      <c r="B124" s="2" t="s">
        <v>3467</v>
      </c>
      <c r="C124" s="2" t="s">
        <v>423</v>
      </c>
      <c r="D124" s="2" t="s">
        <v>2</v>
      </c>
      <c r="E124" s="2"/>
      <c r="F124" s="2">
        <v>0</v>
      </c>
      <c r="G124" s="2">
        <v>5</v>
      </c>
      <c r="H124" s="2">
        <v>8000</v>
      </c>
      <c r="I124" s="2">
        <v>0</v>
      </c>
      <c r="J124" s="2"/>
      <c r="K124" s="2">
        <v>15</v>
      </c>
      <c r="L124" s="2">
        <v>0</v>
      </c>
      <c r="M124" s="2">
        <v>0</v>
      </c>
      <c r="N124" s="2">
        <v>10</v>
      </c>
      <c r="O124" s="2">
        <v>5</v>
      </c>
      <c r="P124" s="2">
        <v>0</v>
      </c>
      <c r="Q124" s="2" t="s">
        <v>3468</v>
      </c>
      <c r="R124" s="2" t="s">
        <v>3469</v>
      </c>
      <c r="S124" s="4">
        <v>44958</v>
      </c>
    </row>
    <row r="125" spans="1:19" ht="12.5" x14ac:dyDescent="0.25">
      <c r="A125" s="14" t="str">
        <f>HYPERLINK("https://gerandofalcoes.my.salesforce.com/0014X00002Yggl2QAB", "0014X00002Yggl2QAB")</f>
        <v>0014X00002Yggl2QAB</v>
      </c>
      <c r="B125" s="2" t="s">
        <v>3540</v>
      </c>
      <c r="C125" s="2" t="s">
        <v>423</v>
      </c>
      <c r="D125" s="2" t="s">
        <v>2</v>
      </c>
      <c r="E125" s="2">
        <v>0</v>
      </c>
      <c r="F125" s="2">
        <v>0</v>
      </c>
      <c r="G125" s="2">
        <v>2</v>
      </c>
      <c r="H125" s="2">
        <v>0</v>
      </c>
      <c r="I125" s="2">
        <v>0</v>
      </c>
      <c r="J125" s="2" t="s">
        <v>1779</v>
      </c>
      <c r="K125" s="2">
        <v>6</v>
      </c>
      <c r="L125" s="2">
        <v>0</v>
      </c>
      <c r="M125" s="2">
        <v>0</v>
      </c>
      <c r="N125" s="2">
        <v>6</v>
      </c>
      <c r="O125" s="2">
        <v>0</v>
      </c>
      <c r="P125" s="2">
        <v>0</v>
      </c>
      <c r="Q125" s="2" t="s">
        <v>3541</v>
      </c>
      <c r="R125" s="2" t="s">
        <v>3541</v>
      </c>
      <c r="S125" s="4">
        <v>44959</v>
      </c>
    </row>
    <row r="126" spans="1:19" ht="12.5" x14ac:dyDescent="0.25">
      <c r="A126" s="14" t="str">
        <f>HYPERLINK("https://gerandofalcoes.my.salesforce.com/0014X00002Yggo6QAB", "0014X00002Yggo6QAB")</f>
        <v>0014X00002Yggo6QAB</v>
      </c>
      <c r="B126" s="2" t="s">
        <v>3560</v>
      </c>
      <c r="C126" s="2" t="s">
        <v>1684</v>
      </c>
      <c r="D126" s="2" t="s">
        <v>2</v>
      </c>
      <c r="E126" s="2">
        <v>0</v>
      </c>
      <c r="F126" s="2">
        <v>2</v>
      </c>
      <c r="G126" s="2">
        <v>4</v>
      </c>
      <c r="H126" s="2">
        <v>38000</v>
      </c>
      <c r="I126" s="2">
        <v>30</v>
      </c>
      <c r="J126" s="2" t="s">
        <v>1779</v>
      </c>
      <c r="K126" s="2">
        <v>30</v>
      </c>
      <c r="L126" s="2">
        <v>0</v>
      </c>
      <c r="M126" s="2">
        <v>5</v>
      </c>
      <c r="N126" s="2">
        <v>10</v>
      </c>
      <c r="O126" s="2">
        <v>10</v>
      </c>
      <c r="P126" s="2">
        <v>5</v>
      </c>
      <c r="Q126" s="2" t="s">
        <v>3561</v>
      </c>
      <c r="R126" s="2" t="s">
        <v>3562</v>
      </c>
      <c r="S126" s="4">
        <v>44960</v>
      </c>
    </row>
    <row r="127" spans="1:19" ht="12.5" x14ac:dyDescent="0.25">
      <c r="A127" s="14" t="str">
        <f>HYPERLINK("https://gerandofalcoes.my.salesforce.com/0014X00002YggkGQAR", "0014X00002YggkGQAR")</f>
        <v>0014X00002YggkGQAR</v>
      </c>
      <c r="B127" s="2" t="s">
        <v>3566</v>
      </c>
      <c r="C127" s="2" t="s">
        <v>423</v>
      </c>
      <c r="D127" s="2" t="s">
        <v>2</v>
      </c>
      <c r="E127" s="2"/>
      <c r="F127" s="2">
        <v>5</v>
      </c>
      <c r="G127" s="2">
        <v>3</v>
      </c>
      <c r="H127" s="2">
        <v>6000</v>
      </c>
      <c r="I127" s="2">
        <v>230</v>
      </c>
      <c r="J127" s="2"/>
      <c r="K127" s="2">
        <v>30</v>
      </c>
      <c r="L127" s="2">
        <v>0</v>
      </c>
      <c r="M127" s="2">
        <v>5</v>
      </c>
      <c r="N127" s="2">
        <v>8</v>
      </c>
      <c r="O127" s="2">
        <v>5</v>
      </c>
      <c r="P127" s="2">
        <v>12</v>
      </c>
      <c r="Q127" s="2" t="s">
        <v>3567</v>
      </c>
      <c r="R127" s="2" t="s">
        <v>3568</v>
      </c>
      <c r="S127" s="4">
        <v>44960</v>
      </c>
    </row>
    <row r="128" spans="1:19" ht="12.5" x14ac:dyDescent="0.25">
      <c r="A128" s="14" t="str">
        <f>HYPERLINK("https://gerandofalcoes.my.salesforce.com/0014X00002YgggNQAR", "0014X00002YgggNQAR")</f>
        <v>0014X00002YgggNQAR</v>
      </c>
      <c r="B128" s="2" t="s">
        <v>3600</v>
      </c>
      <c r="C128" s="2" t="s">
        <v>423</v>
      </c>
      <c r="D128" s="2" t="s">
        <v>2</v>
      </c>
      <c r="E128" s="2"/>
      <c r="F128" s="2">
        <v>0</v>
      </c>
      <c r="G128" s="2">
        <v>2</v>
      </c>
      <c r="H128" s="2">
        <v>2000</v>
      </c>
      <c r="I128" s="2">
        <v>150</v>
      </c>
      <c r="J128" s="2"/>
      <c r="K128" s="2">
        <v>23</v>
      </c>
      <c r="L128" s="2">
        <v>0</v>
      </c>
      <c r="M128" s="2">
        <v>0</v>
      </c>
      <c r="N128" s="2">
        <v>6</v>
      </c>
      <c r="O128" s="2">
        <v>5</v>
      </c>
      <c r="P128" s="2">
        <v>12</v>
      </c>
      <c r="Q128" s="2" t="s">
        <v>3601</v>
      </c>
      <c r="R128" s="2" t="s">
        <v>3602</v>
      </c>
      <c r="S128" s="4">
        <v>44962</v>
      </c>
    </row>
    <row r="129" spans="1:19" ht="12.5" x14ac:dyDescent="0.25">
      <c r="A129" s="14" t="str">
        <f>HYPERLINK("https://gerandofalcoes.my.salesforce.com/0014X00002YgghPQAR", "0014X00002YgghPQAR")</f>
        <v>0014X00002YgghPQAR</v>
      </c>
      <c r="B129" s="2" t="s">
        <v>3628</v>
      </c>
      <c r="C129" s="2" t="s">
        <v>423</v>
      </c>
      <c r="D129" s="2" t="s">
        <v>2</v>
      </c>
      <c r="E129" s="2"/>
      <c r="F129" s="2">
        <v>0</v>
      </c>
      <c r="G129" s="2">
        <v>2</v>
      </c>
      <c r="H129" s="2">
        <v>1100000</v>
      </c>
      <c r="I129" s="2">
        <v>70</v>
      </c>
      <c r="J129" s="2"/>
      <c r="K129" s="2">
        <v>36</v>
      </c>
      <c r="L129" s="2">
        <v>0</v>
      </c>
      <c r="M129" s="2">
        <v>0</v>
      </c>
      <c r="N129" s="2">
        <v>6</v>
      </c>
      <c r="O129" s="2">
        <v>25</v>
      </c>
      <c r="P129" s="2">
        <v>5</v>
      </c>
      <c r="Q129" s="2" t="s">
        <v>3629</v>
      </c>
      <c r="R129" s="2" t="s">
        <v>3630</v>
      </c>
      <c r="S129" s="4">
        <v>44963</v>
      </c>
    </row>
    <row r="130" spans="1:19" ht="12.5" x14ac:dyDescent="0.25">
      <c r="A130" s="14" t="str">
        <f>HYPERLINK("https://gerandofalcoes.my.salesforce.com/0014X00002YgghuQAB", "0014X00002YgghuQAB")</f>
        <v>0014X00002YgghuQAB</v>
      </c>
      <c r="B130" s="2" t="s">
        <v>3667</v>
      </c>
      <c r="C130" s="2" t="s">
        <v>423</v>
      </c>
      <c r="D130" s="2" t="s">
        <v>2</v>
      </c>
      <c r="E130" s="2"/>
      <c r="F130" s="2">
        <v>6</v>
      </c>
      <c r="G130" s="2">
        <v>4</v>
      </c>
      <c r="H130" s="2">
        <v>20000</v>
      </c>
      <c r="I130" s="2">
        <v>100</v>
      </c>
      <c r="J130" s="2"/>
      <c r="K130" s="2">
        <v>35</v>
      </c>
      <c r="L130" s="2">
        <v>0</v>
      </c>
      <c r="M130" s="2">
        <v>10</v>
      </c>
      <c r="N130" s="2">
        <v>10</v>
      </c>
      <c r="O130" s="2">
        <v>5</v>
      </c>
      <c r="P130" s="2">
        <v>10</v>
      </c>
      <c r="Q130" s="2" t="s">
        <v>3668</v>
      </c>
      <c r="R130" s="2" t="s">
        <v>3669</v>
      </c>
      <c r="S130" s="4">
        <v>44964</v>
      </c>
    </row>
    <row r="131" spans="1:19" ht="12.5" x14ac:dyDescent="0.25">
      <c r="A131" s="14" t="str">
        <f>HYPERLINK("https://gerandofalcoes.my.salesforce.com/0014X00002YgghDQAR", "0014X00002YgghDQAR")</f>
        <v>0014X00002YgghDQAR</v>
      </c>
      <c r="B131" s="2" t="s">
        <v>3681</v>
      </c>
      <c r="C131" s="2" t="s">
        <v>423</v>
      </c>
      <c r="D131" s="2" t="s">
        <v>2</v>
      </c>
      <c r="E131" s="2"/>
      <c r="F131" s="2">
        <v>0</v>
      </c>
      <c r="G131" s="2">
        <v>4</v>
      </c>
      <c r="H131" s="2">
        <v>3000</v>
      </c>
      <c r="I131" s="2">
        <v>30</v>
      </c>
      <c r="J131" s="2"/>
      <c r="K131" s="2">
        <v>20</v>
      </c>
      <c r="L131" s="2">
        <v>0</v>
      </c>
      <c r="M131" s="2">
        <v>0</v>
      </c>
      <c r="N131" s="2">
        <v>10</v>
      </c>
      <c r="O131" s="2">
        <v>5</v>
      </c>
      <c r="P131" s="2">
        <v>5</v>
      </c>
      <c r="Q131" s="2" t="s">
        <v>3682</v>
      </c>
      <c r="R131" s="2" t="s">
        <v>3682</v>
      </c>
      <c r="S131" s="4">
        <v>44964</v>
      </c>
    </row>
    <row r="132" spans="1:19" ht="12.5" x14ac:dyDescent="0.25">
      <c r="A132" s="14" t="str">
        <f>HYPERLINK("https://gerandofalcoes.my.salesforce.com/0014X00002Yggj5QAB", "0014X00002Yggj5QAB")</f>
        <v>0014X00002Yggj5QAB</v>
      </c>
      <c r="B132" s="2" t="s">
        <v>3714</v>
      </c>
      <c r="C132" s="2" t="s">
        <v>423</v>
      </c>
      <c r="D132" s="2" t="s">
        <v>2</v>
      </c>
      <c r="E132" s="2"/>
      <c r="F132" s="2">
        <v>0</v>
      </c>
      <c r="G132" s="2">
        <v>2</v>
      </c>
      <c r="H132" s="2">
        <v>3000</v>
      </c>
      <c r="I132" s="2">
        <v>0</v>
      </c>
      <c r="J132" s="2"/>
      <c r="K132" s="2">
        <v>11</v>
      </c>
      <c r="L132" s="2">
        <v>0</v>
      </c>
      <c r="M132" s="2">
        <v>0</v>
      </c>
      <c r="N132" s="2">
        <v>6</v>
      </c>
      <c r="O132" s="2">
        <v>5</v>
      </c>
      <c r="P132" s="2">
        <v>0</v>
      </c>
      <c r="Q132" s="2" t="s">
        <v>3715</v>
      </c>
      <c r="R132" s="2" t="s">
        <v>3715</v>
      </c>
      <c r="S132" s="4">
        <v>44967</v>
      </c>
    </row>
    <row r="133" spans="1:19" ht="12.5" x14ac:dyDescent="0.25">
      <c r="A133" s="14" t="str">
        <f>HYPERLINK("https://gerandofalcoes.my.salesforce.com/0014X00002YggpjQAB", "0014X00002YggpjQAB")</f>
        <v>0014X00002YggpjQAB</v>
      </c>
      <c r="B133" s="2" t="s">
        <v>3703</v>
      </c>
      <c r="C133" s="2" t="s">
        <v>423</v>
      </c>
      <c r="D133" s="2" t="s">
        <v>2</v>
      </c>
      <c r="E133" s="2"/>
      <c r="F133" s="2">
        <v>0</v>
      </c>
      <c r="G133" s="2">
        <v>3</v>
      </c>
      <c r="H133" s="2">
        <v>2000</v>
      </c>
      <c r="I133" s="2">
        <v>0</v>
      </c>
      <c r="J133" s="2"/>
      <c r="K133" s="2">
        <v>13</v>
      </c>
      <c r="L133" s="2">
        <v>0</v>
      </c>
      <c r="M133" s="2">
        <v>0</v>
      </c>
      <c r="N133" s="2">
        <v>8</v>
      </c>
      <c r="O133" s="2">
        <v>5</v>
      </c>
      <c r="P133" s="2">
        <v>0</v>
      </c>
      <c r="Q133" s="2" t="s">
        <v>3704</v>
      </c>
      <c r="R133" s="2" t="s">
        <v>3704</v>
      </c>
      <c r="S133" s="4">
        <v>44967</v>
      </c>
    </row>
    <row r="134" spans="1:19" ht="12.5" x14ac:dyDescent="0.25">
      <c r="A134" s="14" t="str">
        <f>HYPERLINK("https://gerandofalcoes.my.salesforce.com/0014X00002YggonQAB", "0014X00002YggonQAB")</f>
        <v>0014X00002YggonQAB</v>
      </c>
      <c r="B134" s="2" t="s">
        <v>3705</v>
      </c>
      <c r="C134" s="2" t="s">
        <v>423</v>
      </c>
      <c r="D134" s="2" t="s">
        <v>2</v>
      </c>
      <c r="E134" s="2"/>
      <c r="F134" s="2">
        <v>0</v>
      </c>
      <c r="G134" s="2">
        <v>2</v>
      </c>
      <c r="H134" s="2">
        <v>0</v>
      </c>
      <c r="I134" s="2">
        <v>10</v>
      </c>
      <c r="J134" s="2"/>
      <c r="K134" s="2">
        <v>11</v>
      </c>
      <c r="L134" s="2">
        <v>0</v>
      </c>
      <c r="M134" s="2">
        <v>0</v>
      </c>
      <c r="N134" s="2">
        <v>6</v>
      </c>
      <c r="O134" s="2">
        <v>0</v>
      </c>
      <c r="P134" s="2">
        <v>5</v>
      </c>
      <c r="Q134" s="2" t="s">
        <v>3706</v>
      </c>
      <c r="R134" s="2" t="s">
        <v>3706</v>
      </c>
      <c r="S134" s="4">
        <v>44967</v>
      </c>
    </row>
    <row r="135" spans="1:19" ht="12.5" x14ac:dyDescent="0.25">
      <c r="A135" s="14" t="str">
        <f>HYPERLINK("https://gerandofalcoes.my.salesforce.com/0014X00002YgggOQAR", "0014X00002YgggOQAR")</f>
        <v>0014X00002YgggOQAR</v>
      </c>
      <c r="B135" s="2" t="s">
        <v>3755</v>
      </c>
      <c r="C135" s="2" t="s">
        <v>423</v>
      </c>
      <c r="D135" s="2" t="s">
        <v>2</v>
      </c>
      <c r="E135" s="2"/>
      <c r="F135" s="2">
        <v>0</v>
      </c>
      <c r="G135" s="2">
        <v>2</v>
      </c>
      <c r="H135" s="2">
        <v>1000</v>
      </c>
      <c r="I135" s="2">
        <v>20</v>
      </c>
      <c r="J135" s="2"/>
      <c r="K135" s="2">
        <v>16</v>
      </c>
      <c r="L135" s="2">
        <v>0</v>
      </c>
      <c r="M135" s="2">
        <v>0</v>
      </c>
      <c r="N135" s="2">
        <v>6</v>
      </c>
      <c r="O135" s="2">
        <v>5</v>
      </c>
      <c r="P135" s="2">
        <v>5</v>
      </c>
      <c r="Q135" s="2" t="s">
        <v>3756</v>
      </c>
      <c r="R135" s="2" t="s">
        <v>3757</v>
      </c>
      <c r="S135" s="4">
        <v>44967</v>
      </c>
    </row>
    <row r="136" spans="1:19" ht="12.5" x14ac:dyDescent="0.25">
      <c r="A136" s="14" t="str">
        <f>HYPERLINK("https://gerandofalcoes.my.salesforce.com/0014X00002YggnwQAB", "0014X00002YggnwQAB")</f>
        <v>0014X00002YggnwQAB</v>
      </c>
      <c r="B136" s="2" t="s">
        <v>3724</v>
      </c>
      <c r="C136" s="2" t="s">
        <v>423</v>
      </c>
      <c r="D136" s="2" t="s">
        <v>2</v>
      </c>
      <c r="E136" s="2"/>
      <c r="F136" s="2">
        <v>1</v>
      </c>
      <c r="G136" s="2">
        <v>2</v>
      </c>
      <c r="H136" s="2">
        <v>86196</v>
      </c>
      <c r="I136" s="2">
        <v>10</v>
      </c>
      <c r="J136" s="2"/>
      <c r="K136" s="2">
        <v>26</v>
      </c>
      <c r="L136" s="2">
        <v>0</v>
      </c>
      <c r="M136" s="2">
        <v>5</v>
      </c>
      <c r="N136" s="2">
        <v>6</v>
      </c>
      <c r="O136" s="2">
        <v>10</v>
      </c>
      <c r="P136" s="2">
        <v>5</v>
      </c>
      <c r="Q136" s="2" t="s">
        <v>3725</v>
      </c>
      <c r="R136" s="2" t="s">
        <v>3726</v>
      </c>
      <c r="S136" s="4">
        <v>44967</v>
      </c>
    </row>
    <row r="137" spans="1:19" ht="12.5" x14ac:dyDescent="0.25">
      <c r="A137" s="14" t="str">
        <f>HYPERLINK("https://gerandofalcoes.my.salesforce.com/0014X00002YggiyQAB", "0014X00002YggiyQAB")</f>
        <v>0014X00002YggiyQAB</v>
      </c>
      <c r="B137" s="2" t="s">
        <v>3815</v>
      </c>
      <c r="C137" s="2" t="s">
        <v>423</v>
      </c>
      <c r="D137" s="2" t="s">
        <v>2</v>
      </c>
      <c r="E137" s="2"/>
      <c r="F137" s="2">
        <v>1</v>
      </c>
      <c r="G137" s="2">
        <v>3</v>
      </c>
      <c r="H137" s="2">
        <v>29000</v>
      </c>
      <c r="I137" s="2">
        <v>120</v>
      </c>
      <c r="J137" s="2"/>
      <c r="K137" s="2">
        <v>33</v>
      </c>
      <c r="L137" s="2">
        <v>0</v>
      </c>
      <c r="M137" s="2">
        <v>5</v>
      </c>
      <c r="N137" s="2">
        <v>8</v>
      </c>
      <c r="O137" s="2">
        <v>10</v>
      </c>
      <c r="P137" s="2">
        <v>10</v>
      </c>
      <c r="Q137" s="2" t="s">
        <v>3816</v>
      </c>
      <c r="R137" s="2" t="s">
        <v>3817</v>
      </c>
      <c r="S137" s="4">
        <v>44992</v>
      </c>
    </row>
    <row r="138" spans="1:19" ht="12.5" x14ac:dyDescent="0.25">
      <c r="A138" s="14" t="str">
        <f>HYPERLINK("https://gerandofalcoes.my.salesforce.com/0014X00002YggnOQAR", "0014X00002YggnOQAR")</f>
        <v>0014X00002YggnOQAR</v>
      </c>
      <c r="B138" s="2" t="s">
        <v>3316</v>
      </c>
      <c r="C138" s="2" t="s">
        <v>423</v>
      </c>
      <c r="D138" s="2" t="s">
        <v>2</v>
      </c>
      <c r="E138" s="2"/>
      <c r="F138" s="2">
        <v>0</v>
      </c>
      <c r="G138" s="2">
        <v>2</v>
      </c>
      <c r="H138" s="2">
        <v>0</v>
      </c>
      <c r="I138" s="2">
        <v>128</v>
      </c>
      <c r="J138" s="2"/>
      <c r="K138" s="2">
        <v>16</v>
      </c>
      <c r="L138" s="2">
        <v>0</v>
      </c>
      <c r="M138" s="2">
        <v>0</v>
      </c>
      <c r="N138" s="2">
        <v>6</v>
      </c>
      <c r="O138" s="2">
        <v>0</v>
      </c>
      <c r="P138" s="2">
        <v>10</v>
      </c>
      <c r="Q138" s="2" t="s">
        <v>3317</v>
      </c>
      <c r="R138" s="2" t="s">
        <v>3318</v>
      </c>
      <c r="S138" s="4">
        <v>44953</v>
      </c>
    </row>
    <row r="139" spans="1:19" ht="12.5" x14ac:dyDescent="0.25">
      <c r="A139" s="14" t="str">
        <f>HYPERLINK("https://gerandofalcoes.my.salesforce.com/0014X00002Yggl5QAB", "0014X00002Yggl5QAB")</f>
        <v>0014X00002Yggl5QAB</v>
      </c>
      <c r="B139" s="2" t="s">
        <v>3484</v>
      </c>
      <c r="C139" s="2" t="s">
        <v>423</v>
      </c>
      <c r="D139" s="2" t="s">
        <v>2</v>
      </c>
      <c r="E139" s="2"/>
      <c r="F139" s="2">
        <v>4</v>
      </c>
      <c r="G139" s="2">
        <v>4</v>
      </c>
      <c r="H139" s="2">
        <v>700</v>
      </c>
      <c r="I139" s="2">
        <v>120</v>
      </c>
      <c r="J139" s="2"/>
      <c r="K139" s="2">
        <v>30</v>
      </c>
      <c r="L139" s="2">
        <v>0</v>
      </c>
      <c r="M139" s="2">
        <v>5</v>
      </c>
      <c r="N139" s="2">
        <v>10</v>
      </c>
      <c r="O139" s="2">
        <v>5</v>
      </c>
      <c r="P139" s="2">
        <v>10</v>
      </c>
      <c r="Q139" s="2" t="s">
        <v>3485</v>
      </c>
      <c r="R139" s="2" t="s">
        <v>3485</v>
      </c>
      <c r="S139" s="4">
        <v>44958</v>
      </c>
    </row>
    <row r="140" spans="1:19" ht="12.5" x14ac:dyDescent="0.25">
      <c r="A140" s="14" t="str">
        <f>HYPERLINK("https://gerandofalcoes.my.salesforce.com/0014X00002Yggh2QAB", "0014X00002Yggh2QAB")</f>
        <v>0014X00002Yggh2QAB</v>
      </c>
      <c r="B140" s="2" t="s">
        <v>3449</v>
      </c>
      <c r="C140" s="2" t="s">
        <v>423</v>
      </c>
      <c r="D140" s="2" t="s">
        <v>2</v>
      </c>
      <c r="E140" s="2"/>
      <c r="F140" s="2">
        <v>0</v>
      </c>
      <c r="G140" s="2">
        <v>2</v>
      </c>
      <c r="H140" s="2">
        <v>500</v>
      </c>
      <c r="I140" s="2">
        <v>50</v>
      </c>
      <c r="J140" s="2"/>
      <c r="K140" s="2">
        <v>16</v>
      </c>
      <c r="L140" s="2">
        <v>0</v>
      </c>
      <c r="M140" s="2">
        <v>0</v>
      </c>
      <c r="N140" s="2">
        <v>6</v>
      </c>
      <c r="O140" s="2">
        <v>5</v>
      </c>
      <c r="P140" s="2">
        <v>5</v>
      </c>
      <c r="Q140" s="2" t="s">
        <v>3450</v>
      </c>
      <c r="R140" s="2" t="s">
        <v>3451</v>
      </c>
      <c r="S140" s="4">
        <v>44958</v>
      </c>
    </row>
    <row r="141" spans="1:19" ht="12.5" x14ac:dyDescent="0.25">
      <c r="A141" s="14" t="str">
        <f>HYPERLINK("https://gerandofalcoes.my.salesforce.com/0014X00002YggkwQAB", "0014X00002YggkwQAB")</f>
        <v>0014X00002YggkwQAB</v>
      </c>
      <c r="B141" s="2" t="s">
        <v>3440</v>
      </c>
      <c r="C141" s="2" t="s">
        <v>423</v>
      </c>
      <c r="D141" s="2" t="s">
        <v>2</v>
      </c>
      <c r="E141" s="2"/>
      <c r="F141" s="2">
        <v>0</v>
      </c>
      <c r="G141" s="2">
        <v>2</v>
      </c>
      <c r="H141" s="2">
        <v>100</v>
      </c>
      <c r="I141" s="2">
        <v>30</v>
      </c>
      <c r="J141" s="2"/>
      <c r="K141" s="2">
        <v>16</v>
      </c>
      <c r="L141" s="2">
        <v>0</v>
      </c>
      <c r="M141" s="2">
        <v>0</v>
      </c>
      <c r="N141" s="2">
        <v>6</v>
      </c>
      <c r="O141" s="2">
        <v>5</v>
      </c>
      <c r="P141" s="2">
        <v>5</v>
      </c>
      <c r="Q141" s="2" t="s">
        <v>3441</v>
      </c>
      <c r="R141" s="2" t="s">
        <v>3441</v>
      </c>
      <c r="S141" s="4">
        <v>44958</v>
      </c>
    </row>
    <row r="142" spans="1:19" ht="12.5" x14ac:dyDescent="0.25">
      <c r="A142" s="14" t="str">
        <f>HYPERLINK("https://gerandofalcoes.my.salesforce.com/0014X00002YggiDQAR", "0014X00002YggiDQAR")</f>
        <v>0014X00002YggiDQAR</v>
      </c>
      <c r="B142" s="2" t="s">
        <v>3400</v>
      </c>
      <c r="C142" s="2" t="s">
        <v>423</v>
      </c>
      <c r="D142" s="2" t="s">
        <v>2</v>
      </c>
      <c r="E142" s="2"/>
      <c r="F142" s="2">
        <v>3</v>
      </c>
      <c r="G142" s="2">
        <v>6</v>
      </c>
      <c r="H142" s="2">
        <v>315738</v>
      </c>
      <c r="I142" s="2">
        <v>8</v>
      </c>
      <c r="J142" s="2"/>
      <c r="K142" s="2">
        <v>40</v>
      </c>
      <c r="L142" s="2">
        <v>0</v>
      </c>
      <c r="M142" s="2">
        <v>5</v>
      </c>
      <c r="N142" s="2">
        <v>10</v>
      </c>
      <c r="O142" s="2">
        <v>20</v>
      </c>
      <c r="P142" s="2">
        <v>5</v>
      </c>
      <c r="Q142" s="2" t="s">
        <v>3401</v>
      </c>
      <c r="R142" s="2" t="s">
        <v>3402</v>
      </c>
      <c r="S142" s="4">
        <v>44958</v>
      </c>
    </row>
    <row r="143" spans="1:19" ht="12.5" x14ac:dyDescent="0.25">
      <c r="A143" s="14" t="str">
        <f>HYPERLINK("https://gerandofalcoes.my.salesforce.com/0014X00002YgglwQAB", "0014X00002YgglwQAB")</f>
        <v>0014X00002YgglwQAB</v>
      </c>
      <c r="B143" s="2" t="s">
        <v>3416</v>
      </c>
      <c r="C143" s="2" t="s">
        <v>423</v>
      </c>
      <c r="D143" s="2" t="s">
        <v>2</v>
      </c>
      <c r="E143" s="2"/>
      <c r="F143" s="2">
        <v>6</v>
      </c>
      <c r="G143" s="2">
        <v>6</v>
      </c>
      <c r="H143" s="2">
        <v>60000</v>
      </c>
      <c r="I143" s="2">
        <v>30</v>
      </c>
      <c r="J143" s="2"/>
      <c r="K143" s="2">
        <v>35</v>
      </c>
      <c r="L143" s="2">
        <v>0</v>
      </c>
      <c r="M143" s="2">
        <v>10</v>
      </c>
      <c r="N143" s="2">
        <v>10</v>
      </c>
      <c r="O143" s="2">
        <v>10</v>
      </c>
      <c r="P143" s="2">
        <v>5</v>
      </c>
      <c r="Q143" s="2" t="s">
        <v>3417</v>
      </c>
      <c r="R143" s="2" t="s">
        <v>3418</v>
      </c>
      <c r="S143" s="4">
        <v>44958</v>
      </c>
    </row>
    <row r="144" spans="1:19" ht="12.5" x14ac:dyDescent="0.25">
      <c r="A144" s="14" t="str">
        <f>HYPERLINK("https://gerandofalcoes.my.salesforce.com/0014X00002YggnyQAB", "0014X00002YggnyQAB")</f>
        <v>0014X00002YggnyQAB</v>
      </c>
      <c r="B144" s="2" t="s">
        <v>3519</v>
      </c>
      <c r="C144" s="2" t="s">
        <v>423</v>
      </c>
      <c r="D144" s="2" t="s">
        <v>2</v>
      </c>
      <c r="E144" s="2"/>
      <c r="F144" s="2">
        <v>25</v>
      </c>
      <c r="G144" s="2">
        <v>3</v>
      </c>
      <c r="H144" s="2">
        <v>49000</v>
      </c>
      <c r="I144" s="2">
        <v>0</v>
      </c>
      <c r="J144" s="2"/>
      <c r="K144" s="2">
        <v>30</v>
      </c>
      <c r="L144" s="2">
        <v>0</v>
      </c>
      <c r="M144" s="2">
        <v>12</v>
      </c>
      <c r="N144" s="2">
        <v>8</v>
      </c>
      <c r="O144" s="2">
        <v>10</v>
      </c>
      <c r="P144" s="2">
        <v>0</v>
      </c>
      <c r="Q144" s="2" t="s">
        <v>3520</v>
      </c>
      <c r="R144" s="2" t="s">
        <v>3521</v>
      </c>
      <c r="S144" s="4">
        <v>44958</v>
      </c>
    </row>
    <row r="145" spans="1:19" ht="12.5" x14ac:dyDescent="0.25">
      <c r="A145" s="14" t="str">
        <f>HYPERLINK("https://gerandofalcoes.my.salesforce.com/0014X00002YggjLQAR", "0014X00002YggjLQAR")</f>
        <v>0014X00002YggjLQAR</v>
      </c>
      <c r="B145" s="2" t="s">
        <v>3489</v>
      </c>
      <c r="C145" s="2" t="s">
        <v>423</v>
      </c>
      <c r="D145" s="2" t="s">
        <v>2</v>
      </c>
      <c r="E145" s="2"/>
      <c r="F145" s="2">
        <v>0</v>
      </c>
      <c r="G145" s="2">
        <v>2</v>
      </c>
      <c r="H145" s="2">
        <v>1000</v>
      </c>
      <c r="I145" s="2">
        <v>70</v>
      </c>
      <c r="J145" s="2"/>
      <c r="K145" s="2">
        <v>16</v>
      </c>
      <c r="L145" s="2">
        <v>0</v>
      </c>
      <c r="M145" s="2">
        <v>0</v>
      </c>
      <c r="N145" s="2">
        <v>6</v>
      </c>
      <c r="O145" s="2">
        <v>5</v>
      </c>
      <c r="P145" s="2">
        <v>5</v>
      </c>
      <c r="Q145" s="2" t="s">
        <v>3490</v>
      </c>
      <c r="R145" s="2" t="s">
        <v>3491</v>
      </c>
      <c r="S145" s="4">
        <v>44958</v>
      </c>
    </row>
    <row r="146" spans="1:19" ht="12.5" x14ac:dyDescent="0.25">
      <c r="A146" s="14" t="str">
        <f>HYPERLINK("https://gerandofalcoes.my.salesforce.com/0014X00002YggnnQAB", "0014X00002YggnnQAB")</f>
        <v>0014X00002YggnnQAB</v>
      </c>
      <c r="B146" s="2" t="s">
        <v>3405</v>
      </c>
      <c r="C146" s="2" t="s">
        <v>423</v>
      </c>
      <c r="D146" s="2" t="s">
        <v>2</v>
      </c>
      <c r="E146" s="2"/>
      <c r="F146" s="2">
        <v>0</v>
      </c>
      <c r="G146" s="2">
        <v>3</v>
      </c>
      <c r="H146" s="2">
        <v>135000</v>
      </c>
      <c r="I146" s="2">
        <v>50</v>
      </c>
      <c r="J146" s="2"/>
      <c r="K146" s="2">
        <v>28</v>
      </c>
      <c r="L146" s="2">
        <v>0</v>
      </c>
      <c r="M146" s="2">
        <v>0</v>
      </c>
      <c r="N146" s="2">
        <v>8</v>
      </c>
      <c r="O146" s="2">
        <v>15</v>
      </c>
      <c r="P146" s="2">
        <v>5</v>
      </c>
      <c r="Q146" s="2" t="s">
        <v>3406</v>
      </c>
      <c r="R146" s="2" t="s">
        <v>3407</v>
      </c>
      <c r="S146" s="4">
        <v>44958</v>
      </c>
    </row>
    <row r="147" spans="1:19" ht="12.5" x14ac:dyDescent="0.25">
      <c r="A147" s="14" t="str">
        <f>HYPERLINK("https://gerandofalcoes.my.salesforce.com/0014X00002Yggp4QAB", "0014X00002Yggp4QAB")</f>
        <v>0014X00002Yggp4QAB</v>
      </c>
      <c r="B147" s="2" t="s">
        <v>3447</v>
      </c>
      <c r="C147" s="2" t="s">
        <v>423</v>
      </c>
      <c r="D147" s="2" t="s">
        <v>2</v>
      </c>
      <c r="E147" s="2"/>
      <c r="F147" s="2">
        <v>0</v>
      </c>
      <c r="G147" s="2">
        <v>5</v>
      </c>
      <c r="H147" s="2">
        <v>2000</v>
      </c>
      <c r="I147" s="2">
        <v>150</v>
      </c>
      <c r="J147" s="2"/>
      <c r="K147" s="2">
        <v>27</v>
      </c>
      <c r="L147" s="2">
        <v>0</v>
      </c>
      <c r="M147" s="2">
        <v>0</v>
      </c>
      <c r="N147" s="2">
        <v>10</v>
      </c>
      <c r="O147" s="2">
        <v>5</v>
      </c>
      <c r="P147" s="2">
        <v>12</v>
      </c>
      <c r="Q147" s="2" t="s">
        <v>3448</v>
      </c>
      <c r="R147" s="2" t="s">
        <v>3448</v>
      </c>
      <c r="S147" s="4">
        <v>44958</v>
      </c>
    </row>
    <row r="148" spans="1:19" ht="12.5" x14ac:dyDescent="0.25">
      <c r="A148" s="14" t="str">
        <f>HYPERLINK("https://gerandofalcoes.my.salesforce.com/0014X00002YgghnQAB", "0014X00002YgghnQAB")</f>
        <v>0014X00002YgghnQAB</v>
      </c>
      <c r="B148" s="2" t="s">
        <v>3470</v>
      </c>
      <c r="C148" s="2" t="s">
        <v>423</v>
      </c>
      <c r="D148" s="2" t="s">
        <v>2</v>
      </c>
      <c r="E148" s="2"/>
      <c r="F148" s="2">
        <v>20</v>
      </c>
      <c r="G148" s="2">
        <v>3</v>
      </c>
      <c r="H148" s="2">
        <v>263610</v>
      </c>
      <c r="I148" s="2">
        <v>180</v>
      </c>
      <c r="J148" s="2"/>
      <c r="K148" s="2">
        <v>47</v>
      </c>
      <c r="L148" s="2">
        <v>0</v>
      </c>
      <c r="M148" s="2">
        <v>12</v>
      </c>
      <c r="N148" s="2">
        <v>8</v>
      </c>
      <c r="O148" s="2">
        <v>15</v>
      </c>
      <c r="P148" s="2">
        <v>12</v>
      </c>
      <c r="Q148" s="2" t="s">
        <v>3471</v>
      </c>
      <c r="R148" s="2" t="s">
        <v>3472</v>
      </c>
      <c r="S148" s="4">
        <v>44958</v>
      </c>
    </row>
    <row r="149" spans="1:19" ht="12.5" x14ac:dyDescent="0.25">
      <c r="A149" s="14" t="str">
        <f>HYPERLINK("https://gerandofalcoes.my.salesforce.com/0014X00002YggjDQAR", "0014X00002YggjDQAR")</f>
        <v>0014X00002YggjDQAR</v>
      </c>
      <c r="B149" s="2" t="s">
        <v>3419</v>
      </c>
      <c r="C149" s="2" t="s">
        <v>423</v>
      </c>
      <c r="D149" s="2" t="s">
        <v>2</v>
      </c>
      <c r="E149" s="2"/>
      <c r="F149" s="2">
        <v>6</v>
      </c>
      <c r="G149" s="2">
        <v>4</v>
      </c>
      <c r="H149" s="2">
        <v>2000</v>
      </c>
      <c r="I149" s="2">
        <v>60</v>
      </c>
      <c r="J149" s="2"/>
      <c r="K149" s="2">
        <v>30</v>
      </c>
      <c r="L149" s="2">
        <v>0</v>
      </c>
      <c r="M149" s="2">
        <v>10</v>
      </c>
      <c r="N149" s="2">
        <v>10</v>
      </c>
      <c r="O149" s="2">
        <v>5</v>
      </c>
      <c r="P149" s="2">
        <v>5</v>
      </c>
      <c r="Q149" s="2" t="s">
        <v>3420</v>
      </c>
      <c r="R149" s="2" t="s">
        <v>3420</v>
      </c>
      <c r="S149" s="4">
        <v>44958</v>
      </c>
    </row>
    <row r="150" spans="1:19" ht="12.5" x14ac:dyDescent="0.25">
      <c r="A150" s="14" t="str">
        <f>HYPERLINK("https://gerandofalcoes.my.salesforce.com/0014X00002YgggdQAB", "0014X00002YgggdQAB")</f>
        <v>0014X00002YgggdQAB</v>
      </c>
      <c r="B150" s="2" t="s">
        <v>3492</v>
      </c>
      <c r="C150" s="2" t="s">
        <v>423</v>
      </c>
      <c r="D150" s="2" t="s">
        <v>2</v>
      </c>
      <c r="E150" s="2"/>
      <c r="F150" s="2">
        <v>0</v>
      </c>
      <c r="G150" s="2">
        <v>2</v>
      </c>
      <c r="H150" s="2">
        <v>6000</v>
      </c>
      <c r="I150" s="2">
        <v>52</v>
      </c>
      <c r="J150" s="2"/>
      <c r="K150" s="2">
        <v>16</v>
      </c>
      <c r="L150" s="2">
        <v>0</v>
      </c>
      <c r="M150" s="2">
        <v>0</v>
      </c>
      <c r="N150" s="2">
        <v>6</v>
      </c>
      <c r="O150" s="2">
        <v>5</v>
      </c>
      <c r="P150" s="2">
        <v>5</v>
      </c>
      <c r="Q150" s="2" t="s">
        <v>3493</v>
      </c>
      <c r="R150" s="2" t="s">
        <v>3493</v>
      </c>
      <c r="S150" s="4">
        <v>44958</v>
      </c>
    </row>
    <row r="151" spans="1:19" ht="12.5" x14ac:dyDescent="0.25">
      <c r="A151" s="14" t="str">
        <f>HYPERLINK("https://gerandofalcoes.my.salesforce.com/0014X00002YggmhQAB", "0014X00002YggmhQAB")</f>
        <v>0014X00002YggmhQAB</v>
      </c>
      <c r="B151" s="2" t="s">
        <v>3442</v>
      </c>
      <c r="C151" s="2" t="s">
        <v>423</v>
      </c>
      <c r="D151" s="2" t="s">
        <v>2</v>
      </c>
      <c r="E151" s="2"/>
      <c r="F151" s="2">
        <v>0</v>
      </c>
      <c r="G151" s="2">
        <v>3</v>
      </c>
      <c r="H151" s="2">
        <v>100000</v>
      </c>
      <c r="I151" s="2">
        <v>200</v>
      </c>
      <c r="J151" s="2"/>
      <c r="K151" s="2">
        <v>35</v>
      </c>
      <c r="L151" s="2">
        <v>0</v>
      </c>
      <c r="M151" s="2">
        <v>0</v>
      </c>
      <c r="N151" s="2">
        <v>8</v>
      </c>
      <c r="O151" s="2">
        <v>15</v>
      </c>
      <c r="P151" s="2">
        <v>12</v>
      </c>
      <c r="Q151" s="2" t="s">
        <v>3443</v>
      </c>
      <c r="R151" s="2" t="s">
        <v>3443</v>
      </c>
      <c r="S151" s="4">
        <v>44958</v>
      </c>
    </row>
    <row r="152" spans="1:19" ht="12.5" x14ac:dyDescent="0.25">
      <c r="A152" s="14" t="str">
        <f>HYPERLINK("https://gerandofalcoes.my.salesforce.com/0014X00002YgggjQAB", "0014X00002YgggjQAB")</f>
        <v>0014X00002YgggjQAB</v>
      </c>
      <c r="B152" s="2" t="s">
        <v>3481</v>
      </c>
      <c r="C152" s="2" t="s">
        <v>423</v>
      </c>
      <c r="D152" s="2" t="s">
        <v>2</v>
      </c>
      <c r="E152" s="2"/>
      <c r="F152" s="2">
        <v>0</v>
      </c>
      <c r="G152" s="2">
        <v>2</v>
      </c>
      <c r="H152" s="2">
        <v>200000</v>
      </c>
      <c r="I152" s="2">
        <v>198</v>
      </c>
      <c r="J152" s="2"/>
      <c r="K152" s="2">
        <v>33</v>
      </c>
      <c r="L152" s="2">
        <v>0</v>
      </c>
      <c r="M152" s="2">
        <v>0</v>
      </c>
      <c r="N152" s="2">
        <v>6</v>
      </c>
      <c r="O152" s="2">
        <v>15</v>
      </c>
      <c r="P152" s="2">
        <v>12</v>
      </c>
      <c r="Q152" s="2" t="s">
        <v>3482</v>
      </c>
      <c r="R152" s="2" t="s">
        <v>3483</v>
      </c>
      <c r="S152" s="4">
        <v>44958</v>
      </c>
    </row>
    <row r="153" spans="1:19" ht="12.5" x14ac:dyDescent="0.25">
      <c r="A153" s="14" t="str">
        <f>HYPERLINK("https://gerandofalcoes.my.salesforce.com/0014X00002YgggqQAB", "0014X00002YgggqQAB")</f>
        <v>0014X00002YgggqQAB</v>
      </c>
      <c r="B153" s="2" t="s">
        <v>3522</v>
      </c>
      <c r="C153" s="2" t="s">
        <v>423</v>
      </c>
      <c r="D153" s="2" t="s">
        <v>2</v>
      </c>
      <c r="E153" s="2"/>
      <c r="F153" s="2">
        <v>0</v>
      </c>
      <c r="G153" s="2">
        <v>3</v>
      </c>
      <c r="H153" s="2">
        <v>30000</v>
      </c>
      <c r="I153" s="2">
        <v>0</v>
      </c>
      <c r="J153" s="2"/>
      <c r="K153" s="2">
        <v>18</v>
      </c>
      <c r="L153" s="2">
        <v>0</v>
      </c>
      <c r="M153" s="2">
        <v>0</v>
      </c>
      <c r="N153" s="2">
        <v>8</v>
      </c>
      <c r="O153" s="2">
        <v>10</v>
      </c>
      <c r="P153" s="2">
        <v>0</v>
      </c>
      <c r="Q153" s="2" t="s">
        <v>3523</v>
      </c>
      <c r="R153" s="2" t="s">
        <v>3523</v>
      </c>
      <c r="S153" s="4">
        <v>44958</v>
      </c>
    </row>
    <row r="154" spans="1:19" ht="12.5" x14ac:dyDescent="0.25">
      <c r="A154" s="14" t="str">
        <f>HYPERLINK("https://gerandofalcoes.my.salesforce.com/0014X00002YggocQAB", "0014X00002YggocQAB")</f>
        <v>0014X00002YggocQAB</v>
      </c>
      <c r="B154" s="2" t="s">
        <v>3432</v>
      </c>
      <c r="C154" s="2" t="s">
        <v>423</v>
      </c>
      <c r="D154" s="2" t="s">
        <v>2</v>
      </c>
      <c r="E154" s="2"/>
      <c r="F154" s="2">
        <v>0</v>
      </c>
      <c r="G154" s="2">
        <v>3</v>
      </c>
      <c r="H154" s="2">
        <v>5000</v>
      </c>
      <c r="I154" s="2">
        <v>150</v>
      </c>
      <c r="J154" s="2"/>
      <c r="K154" s="2">
        <v>25</v>
      </c>
      <c r="L154" s="2">
        <v>0</v>
      </c>
      <c r="M154" s="2">
        <v>0</v>
      </c>
      <c r="N154" s="2">
        <v>8</v>
      </c>
      <c r="O154" s="2">
        <v>5</v>
      </c>
      <c r="P154" s="2">
        <v>12</v>
      </c>
      <c r="Q154" s="2" t="s">
        <v>3433</v>
      </c>
      <c r="R154" s="2" t="s">
        <v>3434</v>
      </c>
      <c r="S154" s="4">
        <v>44958</v>
      </c>
    </row>
    <row r="155" spans="1:19" ht="12.5" x14ac:dyDescent="0.25">
      <c r="A155" s="14" t="str">
        <f>HYPERLINK("https://gerandofalcoes.my.salesforce.com/0014X00002YggkvQAB", "0014X00002YggkvQAB")</f>
        <v>0014X00002YggkvQAB</v>
      </c>
      <c r="B155" s="2" t="s">
        <v>3494</v>
      </c>
      <c r="C155" s="2" t="s">
        <v>423</v>
      </c>
      <c r="D155" s="2" t="s">
        <v>2</v>
      </c>
      <c r="E155" s="2"/>
      <c r="F155" s="2">
        <v>5</v>
      </c>
      <c r="G155" s="2">
        <v>2</v>
      </c>
      <c r="H155" s="2">
        <v>250</v>
      </c>
      <c r="I155" s="2">
        <v>50</v>
      </c>
      <c r="J155" s="2"/>
      <c r="K155" s="2">
        <v>21</v>
      </c>
      <c r="L155" s="2">
        <v>0</v>
      </c>
      <c r="M155" s="2">
        <v>5</v>
      </c>
      <c r="N155" s="2">
        <v>6</v>
      </c>
      <c r="O155" s="2">
        <v>5</v>
      </c>
      <c r="P155" s="2">
        <v>5</v>
      </c>
      <c r="Q155" s="2" t="s">
        <v>3495</v>
      </c>
      <c r="R155" s="2" t="s">
        <v>3496</v>
      </c>
      <c r="S155" s="4">
        <v>44958</v>
      </c>
    </row>
    <row r="156" spans="1:19" ht="12.5" x14ac:dyDescent="0.25">
      <c r="A156" s="14" t="str">
        <f>HYPERLINK("https://gerandofalcoes.my.salesforce.com/0014X00002Yggp8QAB", "0014X00002Yggp8QAB")</f>
        <v>0014X00002Yggp8QAB</v>
      </c>
      <c r="B156" s="2" t="s">
        <v>3508</v>
      </c>
      <c r="C156" s="2" t="s">
        <v>423</v>
      </c>
      <c r="D156" s="2" t="s">
        <v>2</v>
      </c>
      <c r="E156" s="2"/>
      <c r="F156" s="2">
        <v>17</v>
      </c>
      <c r="G156" s="2">
        <v>5</v>
      </c>
      <c r="H156" s="2">
        <v>75898</v>
      </c>
      <c r="I156" s="2">
        <v>15</v>
      </c>
      <c r="J156" s="2"/>
      <c r="K156" s="2">
        <v>37</v>
      </c>
      <c r="L156" s="2">
        <v>0</v>
      </c>
      <c r="M156" s="2">
        <v>12</v>
      </c>
      <c r="N156" s="2">
        <v>10</v>
      </c>
      <c r="O156" s="2">
        <v>10</v>
      </c>
      <c r="P156" s="2">
        <v>5</v>
      </c>
      <c r="Q156" s="2" t="s">
        <v>3509</v>
      </c>
      <c r="R156" s="2" t="s">
        <v>3509</v>
      </c>
      <c r="S156" s="4">
        <v>44958</v>
      </c>
    </row>
    <row r="157" spans="1:19" ht="12.5" x14ac:dyDescent="0.25">
      <c r="A157" s="14" t="str">
        <f>HYPERLINK("https://gerandofalcoes.my.salesforce.com/0014X00002YgglUQAR", "0014X00002YgglUQAR")</f>
        <v>0014X00002YgglUQAR</v>
      </c>
      <c r="B157" s="2" t="s">
        <v>3473</v>
      </c>
      <c r="C157" s="2" t="s">
        <v>423</v>
      </c>
      <c r="D157" s="2" t="s">
        <v>2</v>
      </c>
      <c r="E157" s="2"/>
      <c r="F157" s="2">
        <v>0</v>
      </c>
      <c r="G157" s="2">
        <v>2</v>
      </c>
      <c r="H157" s="2">
        <v>0</v>
      </c>
      <c r="I157" s="2">
        <v>0</v>
      </c>
      <c r="J157" s="2"/>
      <c r="K157" s="2">
        <v>6</v>
      </c>
      <c r="L157" s="2">
        <v>0</v>
      </c>
      <c r="M157" s="2">
        <v>0</v>
      </c>
      <c r="N157" s="2">
        <v>6</v>
      </c>
      <c r="O157" s="2">
        <v>0</v>
      </c>
      <c r="P157" s="2">
        <v>0</v>
      </c>
      <c r="Q157" s="2" t="s">
        <v>3474</v>
      </c>
      <c r="R157" s="2" t="s">
        <v>3475</v>
      </c>
      <c r="S157" s="4">
        <v>44958</v>
      </c>
    </row>
    <row r="158" spans="1:19" ht="12.5" x14ac:dyDescent="0.25">
      <c r="A158" s="14" t="str">
        <f>HYPERLINK("https://gerandofalcoes.my.salesforce.com/0014X00002YggluQAB", "0014X00002YggluQAB")</f>
        <v>0014X00002YggluQAB</v>
      </c>
      <c r="B158" s="2" t="s">
        <v>3524</v>
      </c>
      <c r="C158" s="2" t="s">
        <v>423</v>
      </c>
      <c r="D158" s="2" t="s">
        <v>2</v>
      </c>
      <c r="E158" s="2"/>
      <c r="F158" s="2">
        <v>0</v>
      </c>
      <c r="G158" s="2">
        <v>2</v>
      </c>
      <c r="H158" s="2">
        <v>3745000</v>
      </c>
      <c r="I158" s="2">
        <v>0</v>
      </c>
      <c r="J158" s="2"/>
      <c r="K158" s="2">
        <v>31</v>
      </c>
      <c r="L158" s="2">
        <v>0</v>
      </c>
      <c r="M158" s="2">
        <v>0</v>
      </c>
      <c r="N158" s="2">
        <v>6</v>
      </c>
      <c r="O158" s="2">
        <v>25</v>
      </c>
      <c r="P158" s="2">
        <v>0</v>
      </c>
      <c r="Q158" s="2" t="s">
        <v>3525</v>
      </c>
      <c r="R158" s="2" t="s">
        <v>3526</v>
      </c>
      <c r="S158" s="4">
        <v>44958</v>
      </c>
    </row>
    <row r="159" spans="1:19" ht="12.5" x14ac:dyDescent="0.25">
      <c r="A159" s="14" t="str">
        <f>HYPERLINK("https://gerandofalcoes.my.salesforce.com/0014X00002YggkQQAR", "0014X00002YggkQQAR")</f>
        <v>0014X00002YggkQQAR</v>
      </c>
      <c r="B159" s="2" t="s">
        <v>3461</v>
      </c>
      <c r="C159" s="2" t="s">
        <v>423</v>
      </c>
      <c r="D159" s="2" t="s">
        <v>2</v>
      </c>
      <c r="E159" s="2"/>
      <c r="F159" s="2">
        <v>5</v>
      </c>
      <c r="G159" s="2">
        <v>5</v>
      </c>
      <c r="H159" s="2">
        <v>3000</v>
      </c>
      <c r="I159" s="2">
        <v>250</v>
      </c>
      <c r="J159" s="2"/>
      <c r="K159" s="2">
        <v>32</v>
      </c>
      <c r="L159" s="2">
        <v>0</v>
      </c>
      <c r="M159" s="2">
        <v>5</v>
      </c>
      <c r="N159" s="2">
        <v>10</v>
      </c>
      <c r="O159" s="2">
        <v>5</v>
      </c>
      <c r="P159" s="2">
        <v>12</v>
      </c>
      <c r="Q159" s="2" t="s">
        <v>3462</v>
      </c>
      <c r="R159" s="2" t="s">
        <v>3463</v>
      </c>
      <c r="S159" s="4">
        <v>44958</v>
      </c>
    </row>
    <row r="160" spans="1:19" ht="12.5" x14ac:dyDescent="0.25">
      <c r="A160" s="14" t="str">
        <f>HYPERLINK("https://gerandofalcoes.my.salesforce.com/0014X00002Yggn8QAB", "0014X00002Yggn8QAB")</f>
        <v>0014X00002Yggn8QAB</v>
      </c>
      <c r="B160" s="2" t="s">
        <v>3497</v>
      </c>
      <c r="C160" s="2" t="s">
        <v>423</v>
      </c>
      <c r="D160" s="2" t="s">
        <v>2</v>
      </c>
      <c r="E160" s="2"/>
      <c r="F160" s="2">
        <v>0</v>
      </c>
      <c r="G160" s="2">
        <v>2</v>
      </c>
      <c r="H160" s="2">
        <v>0</v>
      </c>
      <c r="I160" s="2">
        <v>30</v>
      </c>
      <c r="J160" s="2"/>
      <c r="K160" s="2">
        <v>11</v>
      </c>
      <c r="L160" s="2">
        <v>0</v>
      </c>
      <c r="M160" s="2">
        <v>0</v>
      </c>
      <c r="N160" s="2">
        <v>6</v>
      </c>
      <c r="O160" s="2">
        <v>0</v>
      </c>
      <c r="P160" s="2">
        <v>5</v>
      </c>
      <c r="Q160" s="2" t="s">
        <v>3498</v>
      </c>
      <c r="R160" s="2" t="s">
        <v>3499</v>
      </c>
      <c r="S160" s="4">
        <v>44958</v>
      </c>
    </row>
    <row r="161" spans="1:19" ht="12.5" x14ac:dyDescent="0.25">
      <c r="A161" s="14" t="str">
        <f>HYPERLINK("https://gerandofalcoes.my.salesforce.com/0014X00002YggpTQAR", "0014X00002YggpTQAR")</f>
        <v>0014X00002YggpTQAR</v>
      </c>
      <c r="B161" s="2" t="s">
        <v>3438</v>
      </c>
      <c r="C161" s="2" t="s">
        <v>423</v>
      </c>
      <c r="D161" s="2" t="s">
        <v>2</v>
      </c>
      <c r="E161" s="2"/>
      <c r="F161" s="2">
        <v>0</v>
      </c>
      <c r="G161" s="2">
        <v>2</v>
      </c>
      <c r="H161" s="2">
        <v>0</v>
      </c>
      <c r="I161" s="2">
        <v>0</v>
      </c>
      <c r="J161" s="2"/>
      <c r="K161" s="2">
        <v>6</v>
      </c>
      <c r="L161" s="2">
        <v>0</v>
      </c>
      <c r="M161" s="2">
        <v>0</v>
      </c>
      <c r="N161" s="2">
        <v>6</v>
      </c>
      <c r="O161" s="2">
        <v>0</v>
      </c>
      <c r="P161" s="2">
        <v>0</v>
      </c>
      <c r="Q161" s="2" t="s">
        <v>3439</v>
      </c>
      <c r="R161" s="2" t="s">
        <v>3439</v>
      </c>
      <c r="S161" s="4">
        <v>44958</v>
      </c>
    </row>
    <row r="162" spans="1:19" ht="12.5" x14ac:dyDescent="0.25">
      <c r="A162" s="14" t="str">
        <f>HYPERLINK("https://gerandofalcoes.my.salesforce.com/0014X00002Yggm2QAB", "0014X00002Yggm2QAB")</f>
        <v>0014X00002Yggm2QAB</v>
      </c>
      <c r="B162" s="2" t="s">
        <v>3527</v>
      </c>
      <c r="C162" s="2" t="s">
        <v>423</v>
      </c>
      <c r="D162" s="2" t="s">
        <v>2</v>
      </c>
      <c r="E162" s="2"/>
      <c r="F162" s="2">
        <v>0</v>
      </c>
      <c r="G162" s="2">
        <v>2</v>
      </c>
      <c r="H162" s="2">
        <v>2000</v>
      </c>
      <c r="I162" s="2">
        <v>0</v>
      </c>
      <c r="J162" s="2"/>
      <c r="K162" s="2">
        <v>11</v>
      </c>
      <c r="L162" s="2">
        <v>0</v>
      </c>
      <c r="M162" s="2">
        <v>0</v>
      </c>
      <c r="N162" s="2">
        <v>6</v>
      </c>
      <c r="O162" s="2">
        <v>5</v>
      </c>
      <c r="P162" s="2">
        <v>0</v>
      </c>
      <c r="Q162" s="2" t="s">
        <v>3528</v>
      </c>
      <c r="R162" s="2" t="s">
        <v>3529</v>
      </c>
      <c r="S162" s="4">
        <v>44958</v>
      </c>
    </row>
    <row r="163" spans="1:19" ht="12.5" x14ac:dyDescent="0.25">
      <c r="A163" s="14" t="str">
        <f>HYPERLINK("https://gerandofalcoes.my.salesforce.com/0014X00002YggmuQAB", "0014X00002YggmuQAB")</f>
        <v>0014X00002YggmuQAB</v>
      </c>
      <c r="B163" s="2" t="s">
        <v>3464</v>
      </c>
      <c r="C163" s="2" t="s">
        <v>423</v>
      </c>
      <c r="D163" s="2" t="s">
        <v>2</v>
      </c>
      <c r="E163" s="2"/>
      <c r="F163" s="2">
        <v>0</v>
      </c>
      <c r="G163" s="2">
        <v>3</v>
      </c>
      <c r="H163" s="2">
        <v>11000</v>
      </c>
      <c r="I163" s="2">
        <v>67</v>
      </c>
      <c r="J163" s="2"/>
      <c r="K163" s="2">
        <v>18</v>
      </c>
      <c r="L163" s="2">
        <v>0</v>
      </c>
      <c r="M163" s="2">
        <v>0</v>
      </c>
      <c r="N163" s="2">
        <v>8</v>
      </c>
      <c r="O163" s="2">
        <v>5</v>
      </c>
      <c r="P163" s="2">
        <v>5</v>
      </c>
      <c r="Q163" s="2" t="s">
        <v>3465</v>
      </c>
      <c r="R163" s="2" t="s">
        <v>3466</v>
      </c>
      <c r="S163" s="4">
        <v>44958</v>
      </c>
    </row>
    <row r="164" spans="1:19" ht="12.5" x14ac:dyDescent="0.25">
      <c r="A164" s="14" t="str">
        <f>HYPERLINK("https://gerandofalcoes.my.salesforce.com/0014X00002Yggk5QAB", "0014X00002Yggk5QAB")</f>
        <v>0014X00002Yggk5QAB</v>
      </c>
      <c r="B164" s="2" t="s">
        <v>3413</v>
      </c>
      <c r="C164" s="2" t="s">
        <v>423</v>
      </c>
      <c r="D164" s="2" t="s">
        <v>2</v>
      </c>
      <c r="E164" s="2"/>
      <c r="F164" s="2">
        <v>27</v>
      </c>
      <c r="G164" s="2">
        <v>4</v>
      </c>
      <c r="H164" s="2">
        <v>30000</v>
      </c>
      <c r="I164" s="2">
        <v>25</v>
      </c>
      <c r="J164" s="2"/>
      <c r="K164" s="2">
        <v>37</v>
      </c>
      <c r="L164" s="2">
        <v>0</v>
      </c>
      <c r="M164" s="2">
        <v>12</v>
      </c>
      <c r="N164" s="2">
        <v>10</v>
      </c>
      <c r="O164" s="2">
        <v>10</v>
      </c>
      <c r="P164" s="2">
        <v>5</v>
      </c>
      <c r="Q164" s="2" t="s">
        <v>3414</v>
      </c>
      <c r="R164" s="2" t="s">
        <v>3415</v>
      </c>
      <c r="S164" s="4">
        <v>44958</v>
      </c>
    </row>
    <row r="165" spans="1:19" ht="12.5" x14ac:dyDescent="0.25">
      <c r="A165" s="14" t="str">
        <f>HYPERLINK("https://gerandofalcoes.my.salesforce.com/0014X00002Yggl1QAB", "0014X00002Yggl1QAB")</f>
        <v>0014X00002Yggl1QAB</v>
      </c>
      <c r="B165" s="2" t="s">
        <v>3530</v>
      </c>
      <c r="C165" s="2" t="s">
        <v>423</v>
      </c>
      <c r="D165" s="2" t="s">
        <v>2</v>
      </c>
      <c r="E165" s="2"/>
      <c r="F165" s="2">
        <v>0</v>
      </c>
      <c r="G165" s="2">
        <v>2</v>
      </c>
      <c r="H165" s="2">
        <v>1000</v>
      </c>
      <c r="I165" s="2">
        <v>0</v>
      </c>
      <c r="J165" s="2"/>
      <c r="K165" s="2">
        <v>11</v>
      </c>
      <c r="L165" s="2">
        <v>0</v>
      </c>
      <c r="M165" s="2">
        <v>0</v>
      </c>
      <c r="N165" s="2">
        <v>6</v>
      </c>
      <c r="O165" s="2">
        <v>5</v>
      </c>
      <c r="P165" s="2">
        <v>0</v>
      </c>
      <c r="Q165" s="2" t="s">
        <v>3531</v>
      </c>
      <c r="R165" s="2" t="s">
        <v>3531</v>
      </c>
      <c r="S165" s="4">
        <v>44958</v>
      </c>
    </row>
    <row r="166" spans="1:19" ht="12.5" x14ac:dyDescent="0.25">
      <c r="A166" s="14" t="str">
        <f>HYPERLINK("https://gerandofalcoes.my.salesforce.com/0014X00002YggmxQAB", "0014X00002YggmxQAB")</f>
        <v>0014X00002YggmxQAB</v>
      </c>
      <c r="B166" s="2" t="s">
        <v>3429</v>
      </c>
      <c r="C166" s="2" t="s">
        <v>423</v>
      </c>
      <c r="D166" s="2" t="s">
        <v>2</v>
      </c>
      <c r="E166" s="2"/>
      <c r="F166" s="2">
        <v>0</v>
      </c>
      <c r="G166" s="2">
        <v>2</v>
      </c>
      <c r="H166" s="2">
        <v>30000</v>
      </c>
      <c r="I166" s="2">
        <v>120</v>
      </c>
      <c r="J166" s="2"/>
      <c r="K166" s="2">
        <v>26</v>
      </c>
      <c r="L166" s="2">
        <v>0</v>
      </c>
      <c r="M166" s="2">
        <v>0</v>
      </c>
      <c r="N166" s="2">
        <v>6</v>
      </c>
      <c r="O166" s="2">
        <v>10</v>
      </c>
      <c r="P166" s="2">
        <v>10</v>
      </c>
      <c r="Q166" s="2" t="s">
        <v>3430</v>
      </c>
      <c r="R166" s="2" t="s">
        <v>3431</v>
      </c>
      <c r="S166" s="4">
        <v>44958</v>
      </c>
    </row>
    <row r="167" spans="1:19" ht="12.5" x14ac:dyDescent="0.25">
      <c r="A167" s="14" t="str">
        <f>HYPERLINK("https://gerandofalcoes.my.salesforce.com/0014X00002YggqsQAB", "0014X00002YggqsQAB")</f>
        <v>0014X00002YggqsQAB</v>
      </c>
      <c r="B167" s="2" t="s">
        <v>3395</v>
      </c>
      <c r="C167" s="2" t="s">
        <v>423</v>
      </c>
      <c r="D167" s="2" t="s">
        <v>2</v>
      </c>
      <c r="E167" s="2"/>
      <c r="F167" s="2">
        <v>230</v>
      </c>
      <c r="G167" s="2">
        <v>3</v>
      </c>
      <c r="H167" s="2">
        <v>10000</v>
      </c>
      <c r="I167" s="2">
        <v>180</v>
      </c>
      <c r="J167" s="2"/>
      <c r="K167" s="2">
        <v>40</v>
      </c>
      <c r="L167" s="2">
        <v>0</v>
      </c>
      <c r="M167" s="2">
        <v>15</v>
      </c>
      <c r="N167" s="2">
        <v>8</v>
      </c>
      <c r="O167" s="2">
        <v>5</v>
      </c>
      <c r="P167" s="2">
        <v>12</v>
      </c>
      <c r="Q167" s="2" t="s">
        <v>3396</v>
      </c>
      <c r="R167" s="2" t="s">
        <v>3396</v>
      </c>
      <c r="S167" s="4">
        <v>44958</v>
      </c>
    </row>
    <row r="168" spans="1:19" ht="12.5" x14ac:dyDescent="0.25">
      <c r="A168" s="14" t="str">
        <f>HYPERLINK("https://gerandofalcoes.my.salesforce.com/0014X00002YgggHQAR", "0014X00002YgggHQAR")</f>
        <v>0014X00002YgggHQAR</v>
      </c>
      <c r="B168" s="2" t="s">
        <v>3512</v>
      </c>
      <c r="C168" s="2" t="s">
        <v>423</v>
      </c>
      <c r="D168" s="2" t="s">
        <v>2</v>
      </c>
      <c r="E168" s="2"/>
      <c r="F168" s="2">
        <v>15</v>
      </c>
      <c r="G168" s="2">
        <v>4</v>
      </c>
      <c r="H168" s="2">
        <v>23000</v>
      </c>
      <c r="I168" s="2">
        <v>0</v>
      </c>
      <c r="J168" s="2"/>
      <c r="K168" s="2">
        <v>27</v>
      </c>
      <c r="L168" s="2">
        <v>0</v>
      </c>
      <c r="M168" s="2">
        <v>12</v>
      </c>
      <c r="N168" s="2">
        <v>10</v>
      </c>
      <c r="O168" s="2">
        <v>5</v>
      </c>
      <c r="P168" s="2">
        <v>0</v>
      </c>
      <c r="Q168" s="2" t="s">
        <v>3513</v>
      </c>
      <c r="R168" s="2" t="s">
        <v>3514</v>
      </c>
      <c r="S168" s="4">
        <v>44958</v>
      </c>
    </row>
    <row r="169" spans="1:19" ht="12.5" x14ac:dyDescent="0.25">
      <c r="A169" s="14" t="str">
        <f>HYPERLINK("https://gerandofalcoes.my.salesforce.com/0014X00002Yggi3QAB", "0014X00002Yggi3QAB")</f>
        <v>0014X00002Yggi3QAB</v>
      </c>
      <c r="B169" s="2" t="s">
        <v>3558</v>
      </c>
      <c r="C169" s="2" t="s">
        <v>423</v>
      </c>
      <c r="D169" s="2" t="s">
        <v>2</v>
      </c>
      <c r="E169" s="2"/>
      <c r="F169" s="2">
        <v>0</v>
      </c>
      <c r="G169" s="2">
        <v>2</v>
      </c>
      <c r="H169" s="2">
        <v>3000</v>
      </c>
      <c r="I169" s="2">
        <v>0</v>
      </c>
      <c r="J169" s="2"/>
      <c r="K169" s="2">
        <v>11</v>
      </c>
      <c r="L169" s="2">
        <v>0</v>
      </c>
      <c r="M169" s="2">
        <v>0</v>
      </c>
      <c r="N169" s="2">
        <v>6</v>
      </c>
      <c r="O169" s="2">
        <v>5</v>
      </c>
      <c r="P169" s="2">
        <v>0</v>
      </c>
      <c r="Q169" s="2" t="s">
        <v>3559</v>
      </c>
      <c r="R169" s="2" t="s">
        <v>3559</v>
      </c>
      <c r="S169" s="4">
        <v>44959</v>
      </c>
    </row>
    <row r="170" spans="1:19" ht="12.5" x14ac:dyDescent="0.25">
      <c r="A170" s="14" t="str">
        <f>HYPERLINK("https://gerandofalcoes.my.salesforce.com/0014X00002YgghYQAR", "0014X00002YgghYQAR")</f>
        <v>0014X00002YgghYQAR</v>
      </c>
      <c r="B170" s="2" t="s">
        <v>3545</v>
      </c>
      <c r="C170" s="2" t="s">
        <v>423</v>
      </c>
      <c r="D170" s="2" t="s">
        <v>2</v>
      </c>
      <c r="E170" s="2"/>
      <c r="F170" s="2">
        <v>10</v>
      </c>
      <c r="G170" s="2">
        <v>3</v>
      </c>
      <c r="H170" s="2">
        <v>5000</v>
      </c>
      <c r="I170" s="2">
        <v>0</v>
      </c>
      <c r="J170" s="2"/>
      <c r="K170" s="2">
        <v>23</v>
      </c>
      <c r="L170" s="2">
        <v>0</v>
      </c>
      <c r="M170" s="2">
        <v>10</v>
      </c>
      <c r="N170" s="2">
        <v>8</v>
      </c>
      <c r="O170" s="2">
        <v>5</v>
      </c>
      <c r="P170" s="2">
        <v>0</v>
      </c>
      <c r="Q170" s="2" t="s">
        <v>3546</v>
      </c>
      <c r="R170" s="2" t="s">
        <v>3546</v>
      </c>
      <c r="S170" s="4">
        <v>44959</v>
      </c>
    </row>
    <row r="171" spans="1:19" ht="12.5" x14ac:dyDescent="0.25">
      <c r="A171" s="14" t="str">
        <f>HYPERLINK("https://gerandofalcoes.my.salesforce.com/0014X00002YggmwQAB", "0014X00002YggmwQAB")</f>
        <v>0014X00002YggmwQAB</v>
      </c>
      <c r="B171" s="2" t="s">
        <v>3532</v>
      </c>
      <c r="C171" s="2" t="s">
        <v>423</v>
      </c>
      <c r="D171" s="2" t="s">
        <v>2</v>
      </c>
      <c r="E171" s="2"/>
      <c r="F171" s="2">
        <v>0</v>
      </c>
      <c r="G171" s="2">
        <v>3</v>
      </c>
      <c r="H171" s="2">
        <v>320618</v>
      </c>
      <c r="I171" s="2">
        <v>200</v>
      </c>
      <c r="J171" s="2"/>
      <c r="K171" s="2">
        <v>40</v>
      </c>
      <c r="L171" s="2">
        <v>0</v>
      </c>
      <c r="M171" s="2">
        <v>0</v>
      </c>
      <c r="N171" s="2">
        <v>8</v>
      </c>
      <c r="O171" s="2">
        <v>20</v>
      </c>
      <c r="P171" s="2">
        <v>12</v>
      </c>
      <c r="Q171" s="2" t="s">
        <v>3533</v>
      </c>
      <c r="R171" s="2" t="s">
        <v>3534</v>
      </c>
      <c r="S171" s="4">
        <v>44959</v>
      </c>
    </row>
    <row r="172" spans="1:19" ht="12.5" x14ac:dyDescent="0.25">
      <c r="A172" s="14" t="str">
        <f>HYPERLINK("https://gerandofalcoes.my.salesforce.com/0014X00002YggqFQAR", "0014X00002YggqFQAR")</f>
        <v>0014X00002YggqFQAR</v>
      </c>
      <c r="B172" s="2" t="s">
        <v>3571</v>
      </c>
      <c r="C172" s="2" t="s">
        <v>423</v>
      </c>
      <c r="D172" s="2" t="s">
        <v>2</v>
      </c>
      <c r="E172" s="2"/>
      <c r="F172" s="2">
        <v>20</v>
      </c>
      <c r="G172" s="2">
        <v>5</v>
      </c>
      <c r="H172" s="2">
        <v>128992691</v>
      </c>
      <c r="I172" s="2">
        <v>314</v>
      </c>
      <c r="J172" s="2"/>
      <c r="K172" s="2">
        <v>62</v>
      </c>
      <c r="L172" s="2">
        <v>0</v>
      </c>
      <c r="M172" s="2">
        <v>12</v>
      </c>
      <c r="N172" s="2">
        <v>10</v>
      </c>
      <c r="O172" s="2">
        <v>25</v>
      </c>
      <c r="P172" s="2">
        <v>15</v>
      </c>
      <c r="Q172" s="2" t="s">
        <v>3572</v>
      </c>
      <c r="R172" s="2" t="s">
        <v>3573</v>
      </c>
      <c r="S172" s="4">
        <v>44960</v>
      </c>
    </row>
    <row r="173" spans="1:19" ht="12.5" x14ac:dyDescent="0.25">
      <c r="A173" s="14" t="str">
        <f>HYPERLINK("https://gerandofalcoes.my.salesforce.com/0014X00002YggqWQAR", "0014X00002YggqWQAR")</f>
        <v>0014X00002YggqWQAR</v>
      </c>
      <c r="B173" s="2" t="s">
        <v>3574</v>
      </c>
      <c r="C173" s="2" t="s">
        <v>423</v>
      </c>
      <c r="D173" s="2" t="s">
        <v>2</v>
      </c>
      <c r="E173" s="2"/>
      <c r="F173" s="2">
        <v>18</v>
      </c>
      <c r="G173" s="2">
        <v>12</v>
      </c>
      <c r="H173" s="2">
        <v>10000</v>
      </c>
      <c r="I173" s="2">
        <v>200</v>
      </c>
      <c r="J173" s="2"/>
      <c r="K173" s="2">
        <v>39</v>
      </c>
      <c r="L173" s="2">
        <v>0</v>
      </c>
      <c r="M173" s="2">
        <v>12</v>
      </c>
      <c r="N173" s="2">
        <v>10</v>
      </c>
      <c r="O173" s="2">
        <v>5</v>
      </c>
      <c r="P173" s="2">
        <v>12</v>
      </c>
      <c r="Q173" s="2" t="s">
        <v>3575</v>
      </c>
      <c r="R173" s="2" t="s">
        <v>3576</v>
      </c>
      <c r="S173" s="4">
        <v>44960</v>
      </c>
    </row>
    <row r="174" spans="1:19" ht="12.5" x14ac:dyDescent="0.25">
      <c r="A174" s="14" t="str">
        <f>HYPERLINK("https://gerandofalcoes.my.salesforce.com/0014X00002YgghaQAB", "0014X00002YgghaQAB")</f>
        <v>0014X00002YgghaQAB</v>
      </c>
      <c r="B174" s="2" t="s">
        <v>3580</v>
      </c>
      <c r="C174" s="2" t="s">
        <v>423</v>
      </c>
      <c r="D174" s="2" t="s">
        <v>2</v>
      </c>
      <c r="E174" s="2"/>
      <c r="F174" s="2">
        <v>0</v>
      </c>
      <c r="G174" s="2">
        <v>3</v>
      </c>
      <c r="H174" s="2">
        <v>11000</v>
      </c>
      <c r="I174" s="2">
        <v>100</v>
      </c>
      <c r="J174" s="2"/>
      <c r="K174" s="2">
        <v>23</v>
      </c>
      <c r="L174" s="2">
        <v>0</v>
      </c>
      <c r="M174" s="2">
        <v>0</v>
      </c>
      <c r="N174" s="2">
        <v>8</v>
      </c>
      <c r="O174" s="2">
        <v>5</v>
      </c>
      <c r="P174" s="2">
        <v>10</v>
      </c>
      <c r="Q174" s="2" t="s">
        <v>3581</v>
      </c>
      <c r="R174" s="2" t="s">
        <v>3582</v>
      </c>
      <c r="S174" s="4">
        <v>44961</v>
      </c>
    </row>
    <row r="175" spans="1:19" ht="12.5" x14ac:dyDescent="0.25">
      <c r="A175" s="14" t="str">
        <f>HYPERLINK("https://gerandofalcoes.my.salesforce.com/0014X00002YggqEQAR", "0014X00002YggqEQAR")</f>
        <v>0014X00002YggqEQAR</v>
      </c>
      <c r="B175" s="2" t="s">
        <v>3577</v>
      </c>
      <c r="C175" s="2" t="s">
        <v>423</v>
      </c>
      <c r="D175" s="2" t="s">
        <v>2</v>
      </c>
      <c r="E175" s="2"/>
      <c r="F175" s="2">
        <v>16</v>
      </c>
      <c r="G175" s="2">
        <v>2</v>
      </c>
      <c r="H175" s="2">
        <v>450000</v>
      </c>
      <c r="I175" s="2">
        <v>300</v>
      </c>
      <c r="J175" s="2"/>
      <c r="K175" s="2">
        <v>53</v>
      </c>
      <c r="L175" s="2">
        <v>0</v>
      </c>
      <c r="M175" s="2">
        <v>12</v>
      </c>
      <c r="N175" s="2">
        <v>6</v>
      </c>
      <c r="O175" s="2">
        <v>20</v>
      </c>
      <c r="P175" s="2">
        <v>15</v>
      </c>
      <c r="Q175" s="2" t="s">
        <v>3578</v>
      </c>
      <c r="R175" s="2" t="s">
        <v>3579</v>
      </c>
      <c r="S175" s="4">
        <v>44961</v>
      </c>
    </row>
    <row r="176" spans="1:19" ht="12.5" x14ac:dyDescent="0.25">
      <c r="A176" s="14" t="str">
        <f>HYPERLINK("https://gerandofalcoes.my.salesforce.com/0014X00002YggnZQAR", "0014X00002YggnZQAR")</f>
        <v>0014X00002YggnZQAR</v>
      </c>
      <c r="B176" s="2" t="s">
        <v>3603</v>
      </c>
      <c r="C176" s="2" t="s">
        <v>423</v>
      </c>
      <c r="D176" s="2" t="s">
        <v>2</v>
      </c>
      <c r="E176" s="2"/>
      <c r="F176" s="2">
        <v>15</v>
      </c>
      <c r="G176" s="2">
        <v>2</v>
      </c>
      <c r="H176" s="2">
        <v>0</v>
      </c>
      <c r="I176" s="2">
        <v>60</v>
      </c>
      <c r="J176" s="2"/>
      <c r="K176" s="2">
        <v>23</v>
      </c>
      <c r="L176" s="2">
        <v>0</v>
      </c>
      <c r="M176" s="2">
        <v>12</v>
      </c>
      <c r="N176" s="2">
        <v>6</v>
      </c>
      <c r="O176" s="2">
        <v>0</v>
      </c>
      <c r="P176" s="2">
        <v>5</v>
      </c>
      <c r="Q176" s="2" t="s">
        <v>3604</v>
      </c>
      <c r="R176" s="2" t="s">
        <v>3604</v>
      </c>
      <c r="S176" s="4">
        <v>44962</v>
      </c>
    </row>
    <row r="177" spans="1:19" ht="12.5" x14ac:dyDescent="0.25">
      <c r="A177" s="14" t="str">
        <f>HYPERLINK("https://gerandofalcoes.my.salesforce.com/0014X00002Yggq4QAB", "0014X00002Yggq4QAB")</f>
        <v>0014X00002Yggq4QAB</v>
      </c>
      <c r="B177" s="2" t="s">
        <v>3594</v>
      </c>
      <c r="C177" s="2" t="s">
        <v>423</v>
      </c>
      <c r="D177" s="2" t="s">
        <v>2</v>
      </c>
      <c r="E177" s="2"/>
      <c r="F177" s="2">
        <v>4</v>
      </c>
      <c r="G177" s="2">
        <v>5</v>
      </c>
      <c r="H177" s="2">
        <v>57800</v>
      </c>
      <c r="I177" s="2">
        <v>60</v>
      </c>
      <c r="J177" s="2"/>
      <c r="K177" s="2">
        <v>30</v>
      </c>
      <c r="L177" s="2">
        <v>0</v>
      </c>
      <c r="M177" s="2">
        <v>5</v>
      </c>
      <c r="N177" s="2">
        <v>10</v>
      </c>
      <c r="O177" s="2">
        <v>10</v>
      </c>
      <c r="P177" s="2">
        <v>5</v>
      </c>
      <c r="Q177" s="2" t="s">
        <v>3595</v>
      </c>
      <c r="R177" s="2" t="s">
        <v>3596</v>
      </c>
      <c r="S177" s="4">
        <v>44962</v>
      </c>
    </row>
    <row r="178" spans="1:19" ht="12.5" x14ac:dyDescent="0.25">
      <c r="A178" s="14" t="str">
        <f>HYPERLINK("https://gerandofalcoes.my.salesforce.com/0014X00002YggqpQAB", "0014X00002YggqpQAB")</f>
        <v>0014X00002YggqpQAB</v>
      </c>
      <c r="B178" s="2" t="s">
        <v>3626</v>
      </c>
      <c r="C178" s="2" t="s">
        <v>423</v>
      </c>
      <c r="D178" s="2" t="s">
        <v>2</v>
      </c>
      <c r="E178" s="2"/>
      <c r="F178" s="2">
        <v>0</v>
      </c>
      <c r="G178" s="2">
        <v>2</v>
      </c>
      <c r="H178" s="2">
        <v>146129</v>
      </c>
      <c r="I178" s="2">
        <v>250</v>
      </c>
      <c r="J178" s="2"/>
      <c r="K178" s="2">
        <v>33</v>
      </c>
      <c r="L178" s="2">
        <v>0</v>
      </c>
      <c r="M178" s="2">
        <v>0</v>
      </c>
      <c r="N178" s="2">
        <v>6</v>
      </c>
      <c r="O178" s="2">
        <v>15</v>
      </c>
      <c r="P178" s="2">
        <v>12</v>
      </c>
      <c r="Q178" s="2" t="s">
        <v>3627</v>
      </c>
      <c r="R178" s="2" t="s">
        <v>2993</v>
      </c>
      <c r="S178" s="4">
        <v>44963</v>
      </c>
    </row>
    <row r="179" spans="1:19" ht="12.5" x14ac:dyDescent="0.25">
      <c r="A179" s="14" t="str">
        <f>HYPERLINK("https://gerandofalcoes.my.salesforce.com/0014X00002YggphQAB", "0014X00002YggphQAB")</f>
        <v>0014X00002YggphQAB</v>
      </c>
      <c r="B179" s="2" t="s">
        <v>3620</v>
      </c>
      <c r="C179" s="2" t="s">
        <v>423</v>
      </c>
      <c r="D179" s="2" t="s">
        <v>2</v>
      </c>
      <c r="E179" s="2"/>
      <c r="F179" s="2">
        <v>9</v>
      </c>
      <c r="G179" s="2">
        <v>27</v>
      </c>
      <c r="H179" s="2">
        <v>15000</v>
      </c>
      <c r="I179" s="2">
        <v>20</v>
      </c>
      <c r="J179" s="2"/>
      <c r="K179" s="2">
        <v>30</v>
      </c>
      <c r="L179" s="2">
        <v>0</v>
      </c>
      <c r="M179" s="2">
        <v>10</v>
      </c>
      <c r="N179" s="2">
        <v>10</v>
      </c>
      <c r="O179" s="2">
        <v>5</v>
      </c>
      <c r="P179" s="2">
        <v>5</v>
      </c>
      <c r="Q179" s="2" t="s">
        <v>3621</v>
      </c>
      <c r="R179" s="2" t="s">
        <v>3622</v>
      </c>
      <c r="S179" s="4">
        <v>44963</v>
      </c>
    </row>
    <row r="180" spans="1:19" ht="12.5" x14ac:dyDescent="0.25">
      <c r="A180" s="14" t="str">
        <f>HYPERLINK("https://gerandofalcoes.my.salesforce.com/0014X00002YggpqQAB", "0014X00002YggpqQAB")</f>
        <v>0014X00002YggpqQAB</v>
      </c>
      <c r="B180" s="2" t="s">
        <v>3623</v>
      </c>
      <c r="C180" s="2" t="s">
        <v>423</v>
      </c>
      <c r="D180" s="2" t="s">
        <v>2</v>
      </c>
      <c r="E180" s="2"/>
      <c r="F180" s="2">
        <v>0</v>
      </c>
      <c r="G180" s="2">
        <v>4</v>
      </c>
      <c r="H180" s="2">
        <v>0</v>
      </c>
      <c r="I180" s="2">
        <v>300</v>
      </c>
      <c r="J180" s="2"/>
      <c r="K180" s="2">
        <v>25</v>
      </c>
      <c r="L180" s="2">
        <v>0</v>
      </c>
      <c r="M180" s="2">
        <v>0</v>
      </c>
      <c r="N180" s="2">
        <v>10</v>
      </c>
      <c r="O180" s="2">
        <v>0</v>
      </c>
      <c r="P180" s="2">
        <v>15</v>
      </c>
      <c r="Q180" s="2" t="s">
        <v>3624</v>
      </c>
      <c r="R180" s="2" t="s">
        <v>3625</v>
      </c>
      <c r="S180" s="4">
        <v>44963</v>
      </c>
    </row>
    <row r="181" spans="1:19" ht="12.5" x14ac:dyDescent="0.25">
      <c r="A181" s="14" t="str">
        <f>HYPERLINK("https://gerandofalcoes.my.salesforce.com/0014X00002YggkeQAB", "0014X00002YggkeQAB")</f>
        <v>0014X00002YggkeQAB</v>
      </c>
      <c r="B181" s="2" t="s">
        <v>3660</v>
      </c>
      <c r="C181" s="2" t="s">
        <v>423</v>
      </c>
      <c r="D181" s="2" t="s">
        <v>2</v>
      </c>
      <c r="E181" s="2"/>
      <c r="F181" s="2">
        <v>1</v>
      </c>
      <c r="G181" s="2">
        <v>2</v>
      </c>
      <c r="H181" s="2">
        <v>0</v>
      </c>
      <c r="I181" s="2">
        <v>80</v>
      </c>
      <c r="J181" s="2"/>
      <c r="K181" s="2">
        <v>21</v>
      </c>
      <c r="L181" s="2">
        <v>0</v>
      </c>
      <c r="M181" s="2">
        <v>5</v>
      </c>
      <c r="N181" s="2">
        <v>6</v>
      </c>
      <c r="O181" s="2">
        <v>0</v>
      </c>
      <c r="P181" s="2">
        <v>10</v>
      </c>
      <c r="Q181" s="2" t="s">
        <v>3661</v>
      </c>
      <c r="R181" s="2" t="s">
        <v>3661</v>
      </c>
      <c r="S181" s="4">
        <v>44964</v>
      </c>
    </row>
    <row r="182" spans="1:19" ht="12.5" x14ac:dyDescent="0.25">
      <c r="A182" s="14" t="str">
        <f>HYPERLINK("https://gerandofalcoes.my.salesforce.com/0014X00002YggqTQAR", "0014X00002YggqTQAR")</f>
        <v>0014X00002YggqTQAR</v>
      </c>
      <c r="B182" s="2" t="s">
        <v>3683</v>
      </c>
      <c r="C182" s="2" t="s">
        <v>423</v>
      </c>
      <c r="D182" s="2" t="s">
        <v>2</v>
      </c>
      <c r="E182" s="2"/>
      <c r="F182" s="2">
        <v>0</v>
      </c>
      <c r="G182" s="2">
        <v>3</v>
      </c>
      <c r="H182" s="2">
        <v>0</v>
      </c>
      <c r="I182" s="2">
        <v>0</v>
      </c>
      <c r="J182" s="2"/>
      <c r="K182" s="2">
        <v>8</v>
      </c>
      <c r="L182" s="2">
        <v>0</v>
      </c>
      <c r="M182" s="2">
        <v>0</v>
      </c>
      <c r="N182" s="2">
        <v>8</v>
      </c>
      <c r="O182" s="2">
        <v>0</v>
      </c>
      <c r="P182" s="2">
        <v>0</v>
      </c>
      <c r="Q182" s="2" t="s">
        <v>3684</v>
      </c>
      <c r="R182" s="2" t="s">
        <v>3685</v>
      </c>
      <c r="S182" s="4">
        <v>44964</v>
      </c>
    </row>
    <row r="183" spans="1:19" ht="12.5" x14ac:dyDescent="0.25">
      <c r="A183" s="14" t="str">
        <f>HYPERLINK("https://gerandofalcoes.my.salesforce.com/0014X00002bCkLgQAK", "0014X00002bCkLgQAK")</f>
        <v>0014X00002bCkLgQAK</v>
      </c>
      <c r="B183" s="2" t="s">
        <v>3657</v>
      </c>
      <c r="C183" s="2" t="s">
        <v>423</v>
      </c>
      <c r="D183" s="2" t="s">
        <v>2</v>
      </c>
      <c r="E183" s="2"/>
      <c r="F183" s="2">
        <v>6</v>
      </c>
      <c r="G183" s="2">
        <v>7</v>
      </c>
      <c r="H183" s="2">
        <v>20000</v>
      </c>
      <c r="I183" s="2">
        <v>0</v>
      </c>
      <c r="J183" s="2"/>
      <c r="K183" s="2">
        <v>25</v>
      </c>
      <c r="L183" s="2">
        <v>0</v>
      </c>
      <c r="M183" s="2">
        <v>10</v>
      </c>
      <c r="N183" s="2">
        <v>10</v>
      </c>
      <c r="O183" s="2">
        <v>5</v>
      </c>
      <c r="P183" s="2">
        <v>0</v>
      </c>
      <c r="Q183" s="2" t="s">
        <v>3658</v>
      </c>
      <c r="R183" s="2" t="s">
        <v>3659</v>
      </c>
      <c r="S183" s="4">
        <v>44964</v>
      </c>
    </row>
    <row r="184" spans="1:19" ht="12.5" x14ac:dyDescent="0.25">
      <c r="A184" s="14" t="str">
        <f>HYPERLINK("https://gerandofalcoes.my.salesforce.com/0014X00002YggnoQAB", "0014X00002YggnoQAB")</f>
        <v>0014X00002YggnoQAB</v>
      </c>
      <c r="B184" s="2" t="s">
        <v>3644</v>
      </c>
      <c r="C184" s="2" t="s">
        <v>423</v>
      </c>
      <c r="D184" s="2" t="s">
        <v>2</v>
      </c>
      <c r="E184" s="2"/>
      <c r="F184" s="2">
        <v>11</v>
      </c>
      <c r="G184" s="2">
        <v>5</v>
      </c>
      <c r="H184" s="2">
        <v>442412</v>
      </c>
      <c r="I184" s="2">
        <v>200</v>
      </c>
      <c r="J184" s="2"/>
      <c r="K184" s="2">
        <v>54</v>
      </c>
      <c r="L184" s="2">
        <v>0</v>
      </c>
      <c r="M184" s="2">
        <v>12</v>
      </c>
      <c r="N184" s="2">
        <v>10</v>
      </c>
      <c r="O184" s="2">
        <v>20</v>
      </c>
      <c r="P184" s="2">
        <v>12</v>
      </c>
      <c r="Q184" s="2" t="s">
        <v>3645</v>
      </c>
      <c r="R184" s="2" t="s">
        <v>3646</v>
      </c>
      <c r="S184" s="4">
        <v>44964</v>
      </c>
    </row>
    <row r="185" spans="1:19" ht="12.5" x14ac:dyDescent="0.25">
      <c r="A185" s="14" t="str">
        <f>HYPERLINK("https://gerandofalcoes.my.salesforce.com/0014X00002YggowQAB", "0014X00002YggowQAB")</f>
        <v>0014X00002YggowQAB</v>
      </c>
      <c r="B185" s="2" t="s">
        <v>3750</v>
      </c>
      <c r="C185" s="2" t="s">
        <v>423</v>
      </c>
      <c r="D185" s="2" t="s">
        <v>2</v>
      </c>
      <c r="E185" s="2"/>
      <c r="F185" s="2">
        <v>0</v>
      </c>
      <c r="G185" s="2">
        <v>2</v>
      </c>
      <c r="H185" s="2">
        <v>0</v>
      </c>
      <c r="I185" s="2">
        <v>30</v>
      </c>
      <c r="J185" s="2"/>
      <c r="K185" s="2">
        <v>11</v>
      </c>
      <c r="L185" s="2">
        <v>0</v>
      </c>
      <c r="M185" s="2">
        <v>0</v>
      </c>
      <c r="N185" s="2">
        <v>6</v>
      </c>
      <c r="O185" s="2">
        <v>0</v>
      </c>
      <c r="P185" s="2">
        <v>5</v>
      </c>
      <c r="Q185" s="2" t="s">
        <v>3751</v>
      </c>
      <c r="R185" s="2" t="s">
        <v>3751</v>
      </c>
      <c r="S185" s="4">
        <v>44967</v>
      </c>
    </row>
    <row r="186" spans="1:19" ht="12.5" x14ac:dyDescent="0.25">
      <c r="A186" s="14" t="str">
        <f>HYPERLINK("https://gerandofalcoes.my.salesforce.com/0014X00002YggkFQAR", "0014X00002YggkFQAR")</f>
        <v>0014X00002YggkFQAR</v>
      </c>
      <c r="B186" s="2" t="s">
        <v>3716</v>
      </c>
      <c r="C186" s="2" t="s">
        <v>423</v>
      </c>
      <c r="D186" s="2" t="s">
        <v>2</v>
      </c>
      <c r="E186" s="2"/>
      <c r="F186" s="2">
        <v>0</v>
      </c>
      <c r="G186" s="2">
        <v>5</v>
      </c>
      <c r="H186" s="2">
        <v>8000</v>
      </c>
      <c r="I186" s="2">
        <v>50</v>
      </c>
      <c r="J186" s="2"/>
      <c r="K186" s="2">
        <v>20</v>
      </c>
      <c r="L186" s="2">
        <v>0</v>
      </c>
      <c r="M186" s="2">
        <v>0</v>
      </c>
      <c r="N186" s="2">
        <v>10</v>
      </c>
      <c r="O186" s="2">
        <v>5</v>
      </c>
      <c r="P186" s="2">
        <v>5</v>
      </c>
      <c r="Q186" s="2" t="s">
        <v>3717</v>
      </c>
      <c r="R186" s="2" t="s">
        <v>3718</v>
      </c>
      <c r="S186" s="4">
        <v>44967</v>
      </c>
    </row>
    <row r="187" spans="1:19" ht="12.5" x14ac:dyDescent="0.25">
      <c r="A187" s="14" t="str">
        <f>HYPERLINK("https://gerandofalcoes.my.salesforce.com/0014X00002YgglcQAB", "0014X00002YgglcQAB")</f>
        <v>0014X00002YgglcQAB</v>
      </c>
      <c r="B187" s="2" t="s">
        <v>3709</v>
      </c>
      <c r="C187" s="2" t="s">
        <v>423</v>
      </c>
      <c r="D187" s="2" t="s">
        <v>2</v>
      </c>
      <c r="E187" s="2"/>
      <c r="F187" s="2">
        <v>0</v>
      </c>
      <c r="G187" s="2">
        <v>2</v>
      </c>
      <c r="H187" s="2">
        <v>60000</v>
      </c>
      <c r="I187" s="2">
        <v>0</v>
      </c>
      <c r="J187" s="2"/>
      <c r="K187" s="2">
        <v>16</v>
      </c>
      <c r="L187" s="2">
        <v>0</v>
      </c>
      <c r="M187" s="2">
        <v>0</v>
      </c>
      <c r="N187" s="2">
        <v>6</v>
      </c>
      <c r="O187" s="2">
        <v>10</v>
      </c>
      <c r="P187" s="2">
        <v>0</v>
      </c>
      <c r="Q187" s="2" t="s">
        <v>3710</v>
      </c>
      <c r="R187" s="2" t="s">
        <v>3710</v>
      </c>
      <c r="S187" s="4">
        <v>44967</v>
      </c>
    </row>
    <row r="188" spans="1:19" ht="12.5" x14ac:dyDescent="0.25">
      <c r="A188" s="14" t="str">
        <f>HYPERLINK("https://gerandofalcoes.my.salesforce.com/0014X00002YggnYQAR", "0014X00002YggnYQAR")</f>
        <v>0014X00002YggnYQAR</v>
      </c>
      <c r="B188" s="2" t="s">
        <v>3763</v>
      </c>
      <c r="C188" s="2" t="s">
        <v>423</v>
      </c>
      <c r="D188" s="2" t="s">
        <v>2</v>
      </c>
      <c r="E188" s="2"/>
      <c r="F188" s="2">
        <v>127</v>
      </c>
      <c r="G188" s="2">
        <v>4</v>
      </c>
      <c r="H188" s="2">
        <v>0</v>
      </c>
      <c r="I188" s="2">
        <v>0</v>
      </c>
      <c r="J188" s="2"/>
      <c r="K188" s="2">
        <v>25</v>
      </c>
      <c r="L188" s="2">
        <v>0</v>
      </c>
      <c r="M188" s="2">
        <v>15</v>
      </c>
      <c r="N188" s="2">
        <v>10</v>
      </c>
      <c r="O188" s="2">
        <v>0</v>
      </c>
      <c r="P188" s="2">
        <v>0</v>
      </c>
      <c r="Q188" s="2" t="s">
        <v>3764</v>
      </c>
      <c r="R188" s="2" t="s">
        <v>3764</v>
      </c>
      <c r="S188" s="4">
        <v>44967</v>
      </c>
    </row>
    <row r="189" spans="1:19" ht="12.5" x14ac:dyDescent="0.25">
      <c r="A189" s="14" t="str">
        <f>HYPERLINK("https://gerandofalcoes.my.salesforce.com/0014X00002Yggr0QAB", "0014X00002Yggr0QAB")</f>
        <v>0014X00002Yggr0QAB</v>
      </c>
      <c r="B189" s="2" t="s">
        <v>3765</v>
      </c>
      <c r="C189" s="2" t="s">
        <v>423</v>
      </c>
      <c r="D189" s="2" t="s">
        <v>2</v>
      </c>
      <c r="E189" s="2"/>
      <c r="F189" s="2">
        <v>3</v>
      </c>
      <c r="G189" s="2">
        <v>122</v>
      </c>
      <c r="H189" s="2">
        <v>10000</v>
      </c>
      <c r="I189" s="2">
        <v>0</v>
      </c>
      <c r="J189" s="2"/>
      <c r="K189" s="2">
        <v>20</v>
      </c>
      <c r="L189" s="2">
        <v>0</v>
      </c>
      <c r="M189" s="2">
        <v>5</v>
      </c>
      <c r="N189" s="2">
        <v>10</v>
      </c>
      <c r="O189" s="2">
        <v>5</v>
      </c>
      <c r="P189" s="2">
        <v>0</v>
      </c>
      <c r="Q189" s="2" t="s">
        <v>3766</v>
      </c>
      <c r="R189" s="2" t="s">
        <v>3767</v>
      </c>
      <c r="S189" s="4">
        <v>44967</v>
      </c>
    </row>
    <row r="190" spans="1:19" ht="12.5" x14ac:dyDescent="0.25">
      <c r="A190" s="14" t="str">
        <f>HYPERLINK("https://gerandofalcoes.my.salesforce.com/0014X00002YgghRQAR", "0014X00002YgghRQAR")</f>
        <v>0014X00002YgghRQAR</v>
      </c>
      <c r="B190" s="2" t="s">
        <v>3689</v>
      </c>
      <c r="C190" s="2" t="s">
        <v>423</v>
      </c>
      <c r="D190" s="2" t="s">
        <v>2</v>
      </c>
      <c r="E190" s="2"/>
      <c r="F190" s="2">
        <v>220</v>
      </c>
      <c r="G190" s="2">
        <v>9</v>
      </c>
      <c r="H190" s="2">
        <v>9000000</v>
      </c>
      <c r="I190" s="2">
        <v>1600</v>
      </c>
      <c r="J190" s="2"/>
      <c r="K190" s="2">
        <v>70</v>
      </c>
      <c r="L190" s="2">
        <v>0</v>
      </c>
      <c r="M190" s="2">
        <v>15</v>
      </c>
      <c r="N190" s="2">
        <v>10</v>
      </c>
      <c r="O190" s="2">
        <v>25</v>
      </c>
      <c r="P190" s="2">
        <v>20</v>
      </c>
      <c r="Q190" s="2" t="s">
        <v>3690</v>
      </c>
      <c r="R190" s="2" t="s">
        <v>3691</v>
      </c>
      <c r="S190" s="4">
        <v>44967</v>
      </c>
    </row>
    <row r="191" spans="1:19" ht="12.5" x14ac:dyDescent="0.25">
      <c r="A191" s="14" t="str">
        <f>HYPERLINK("https://gerandofalcoes.my.salesforce.com/0014X00002YgggkQAB", "0014X00002YgggkQAB")</f>
        <v>0014X00002YgggkQAB</v>
      </c>
      <c r="B191" s="2" t="s">
        <v>3692</v>
      </c>
      <c r="C191" s="2" t="s">
        <v>423</v>
      </c>
      <c r="D191" s="2" t="s">
        <v>2</v>
      </c>
      <c r="E191" s="2"/>
      <c r="F191" s="2">
        <v>1</v>
      </c>
      <c r="G191" s="2">
        <v>3</v>
      </c>
      <c r="H191" s="2">
        <v>51325</v>
      </c>
      <c r="I191" s="2">
        <v>600</v>
      </c>
      <c r="J191" s="2"/>
      <c r="K191" s="2">
        <v>43</v>
      </c>
      <c r="L191" s="2">
        <v>0</v>
      </c>
      <c r="M191" s="2">
        <v>5</v>
      </c>
      <c r="N191" s="2">
        <v>8</v>
      </c>
      <c r="O191" s="2">
        <v>10</v>
      </c>
      <c r="P191" s="2">
        <v>20</v>
      </c>
      <c r="Q191" s="2" t="s">
        <v>3693</v>
      </c>
      <c r="R191" s="2" t="s">
        <v>3694</v>
      </c>
      <c r="S191" s="4">
        <v>44967</v>
      </c>
    </row>
    <row r="192" spans="1:19" ht="12.5" x14ac:dyDescent="0.25">
      <c r="A192" s="14" t="str">
        <f>HYPERLINK("https://gerandofalcoes.my.salesforce.com/0014X00002YggmTQAR", "0014X00002YggmTQAR")</f>
        <v>0014X00002YggmTQAR</v>
      </c>
      <c r="B192" s="2" t="s">
        <v>3758</v>
      </c>
      <c r="C192" s="2" t="s">
        <v>423</v>
      </c>
      <c r="D192" s="2" t="s">
        <v>2</v>
      </c>
      <c r="E192" s="2"/>
      <c r="F192" s="2">
        <v>1</v>
      </c>
      <c r="G192" s="2">
        <v>2</v>
      </c>
      <c r="H192" s="2">
        <v>0</v>
      </c>
      <c r="I192" s="2">
        <v>15</v>
      </c>
      <c r="J192" s="2"/>
      <c r="K192" s="2">
        <v>16</v>
      </c>
      <c r="L192" s="2">
        <v>0</v>
      </c>
      <c r="M192" s="2">
        <v>5</v>
      </c>
      <c r="N192" s="2">
        <v>6</v>
      </c>
      <c r="O192" s="2">
        <v>0</v>
      </c>
      <c r="P192" s="2">
        <v>5</v>
      </c>
      <c r="Q192" s="2" t="s">
        <v>3759</v>
      </c>
      <c r="R192" s="2" t="s">
        <v>3759</v>
      </c>
      <c r="S192" s="4">
        <v>44967</v>
      </c>
    </row>
    <row r="193" spans="1:19" ht="12.5" x14ac:dyDescent="0.25">
      <c r="A193" s="14" t="str">
        <f>HYPERLINK("https://gerandofalcoes.my.salesforce.com/0014X00002YggpxQAB", "0014X00002YggpxQAB")</f>
        <v>0014X00002YggpxQAB</v>
      </c>
      <c r="B193" s="2" t="s">
        <v>3760</v>
      </c>
      <c r="C193" s="2" t="s">
        <v>423</v>
      </c>
      <c r="D193" s="2" t="s">
        <v>2</v>
      </c>
      <c r="E193" s="2"/>
      <c r="F193" s="2">
        <v>6</v>
      </c>
      <c r="G193" s="2">
        <v>2</v>
      </c>
      <c r="H193" s="2">
        <v>235000</v>
      </c>
      <c r="I193" s="2">
        <v>10</v>
      </c>
      <c r="J193" s="2"/>
      <c r="K193" s="2">
        <v>36</v>
      </c>
      <c r="L193" s="2">
        <v>0</v>
      </c>
      <c r="M193" s="2">
        <v>10</v>
      </c>
      <c r="N193" s="2">
        <v>6</v>
      </c>
      <c r="O193" s="2">
        <v>15</v>
      </c>
      <c r="P193" s="2">
        <v>5</v>
      </c>
      <c r="Q193" s="2" t="s">
        <v>3761</v>
      </c>
      <c r="R193" s="2" t="s">
        <v>3762</v>
      </c>
      <c r="S193" s="4">
        <v>44967</v>
      </c>
    </row>
    <row r="194" spans="1:19" ht="12.5" x14ac:dyDescent="0.25">
      <c r="A194" s="14" t="str">
        <f>HYPERLINK("https://gerandofalcoes.my.salesforce.com/0014X00002YgghxQAB", "0014X00002YgghxQAB")</f>
        <v>0014X00002YgghxQAB</v>
      </c>
      <c r="B194" s="2" t="s">
        <v>3747</v>
      </c>
      <c r="C194" s="2" t="s">
        <v>423</v>
      </c>
      <c r="D194" s="2" t="s">
        <v>2</v>
      </c>
      <c r="E194" s="2"/>
      <c r="F194" s="2">
        <v>12</v>
      </c>
      <c r="G194" s="2">
        <v>3</v>
      </c>
      <c r="H194" s="2">
        <v>3000</v>
      </c>
      <c r="I194" s="2">
        <v>59</v>
      </c>
      <c r="J194" s="2"/>
      <c r="K194" s="2">
        <v>30</v>
      </c>
      <c r="L194" s="2">
        <v>0</v>
      </c>
      <c r="M194" s="2">
        <v>12</v>
      </c>
      <c r="N194" s="2">
        <v>8</v>
      </c>
      <c r="O194" s="2">
        <v>5</v>
      </c>
      <c r="P194" s="2">
        <v>5</v>
      </c>
      <c r="Q194" s="2" t="s">
        <v>3748</v>
      </c>
      <c r="R194" s="2" t="s">
        <v>3749</v>
      </c>
      <c r="S194" s="4">
        <v>44967</v>
      </c>
    </row>
    <row r="195" spans="1:19" ht="12.5" x14ac:dyDescent="0.25">
      <c r="A195" s="14" t="str">
        <f>HYPERLINK("https://gerandofalcoes.my.salesforce.com/0014X00002YgglkQAB", "0014X00002YgglkQAB")</f>
        <v>0014X00002YgglkQAB</v>
      </c>
      <c r="B195" s="2" t="s">
        <v>3711</v>
      </c>
      <c r="C195" s="2" t="s">
        <v>423</v>
      </c>
      <c r="D195" s="2" t="s">
        <v>2</v>
      </c>
      <c r="E195" s="2"/>
      <c r="F195" s="2">
        <v>2</v>
      </c>
      <c r="G195" s="2">
        <v>4</v>
      </c>
      <c r="H195" s="2">
        <v>95000</v>
      </c>
      <c r="I195" s="2">
        <v>15</v>
      </c>
      <c r="J195" s="2"/>
      <c r="K195" s="2">
        <v>30</v>
      </c>
      <c r="L195" s="2">
        <v>0</v>
      </c>
      <c r="M195" s="2">
        <v>5</v>
      </c>
      <c r="N195" s="2">
        <v>10</v>
      </c>
      <c r="O195" s="2">
        <v>10</v>
      </c>
      <c r="P195" s="2">
        <v>5</v>
      </c>
      <c r="Q195" s="2" t="s">
        <v>3712</v>
      </c>
      <c r="R195" s="2" t="s">
        <v>3713</v>
      </c>
      <c r="S195" s="4">
        <v>44967</v>
      </c>
    </row>
    <row r="196" spans="1:19" ht="12.5" x14ac:dyDescent="0.25">
      <c r="A196" s="14" t="str">
        <f>HYPERLINK("https://gerandofalcoes.my.salesforce.com/0014X00002YggpyQAB", "0014X00002YggpyQAB")</f>
        <v>0014X00002YggpyQAB</v>
      </c>
      <c r="B196" s="2" t="s">
        <v>3740</v>
      </c>
      <c r="C196" s="2" t="s">
        <v>423</v>
      </c>
      <c r="D196" s="2" t="s">
        <v>2</v>
      </c>
      <c r="E196" s="2"/>
      <c r="F196" s="2">
        <v>3</v>
      </c>
      <c r="G196" s="2">
        <v>3</v>
      </c>
      <c r="H196" s="2">
        <v>7000</v>
      </c>
      <c r="I196" s="2">
        <v>100</v>
      </c>
      <c r="J196" s="2"/>
      <c r="K196" s="2">
        <v>28</v>
      </c>
      <c r="L196" s="2">
        <v>0</v>
      </c>
      <c r="M196" s="2">
        <v>5</v>
      </c>
      <c r="N196" s="2">
        <v>8</v>
      </c>
      <c r="O196" s="2">
        <v>5</v>
      </c>
      <c r="P196" s="2">
        <v>10</v>
      </c>
      <c r="Q196" s="2" t="s">
        <v>3741</v>
      </c>
      <c r="R196" s="2" t="s">
        <v>3742</v>
      </c>
      <c r="S196" s="4">
        <v>44967</v>
      </c>
    </row>
    <row r="197" spans="1:19" ht="12.5" x14ac:dyDescent="0.25">
      <c r="A197" s="14" t="str">
        <f>HYPERLINK("https://gerandofalcoes.my.salesforce.com/0014X00002YggqbQAB", "0014X00002YggqbQAB")</f>
        <v>0014X00002YggqbQAB</v>
      </c>
      <c r="B197" s="2" t="s">
        <v>3735</v>
      </c>
      <c r="C197" s="2" t="s">
        <v>423</v>
      </c>
      <c r="D197" s="2" t="s">
        <v>2</v>
      </c>
      <c r="E197" s="2"/>
      <c r="F197" s="2">
        <v>4</v>
      </c>
      <c r="G197" s="2">
        <v>4</v>
      </c>
      <c r="H197" s="2">
        <v>300</v>
      </c>
      <c r="I197" s="2">
        <v>130</v>
      </c>
      <c r="J197" s="2"/>
      <c r="K197" s="2">
        <v>30</v>
      </c>
      <c r="L197" s="2">
        <v>0</v>
      </c>
      <c r="M197" s="2">
        <v>5</v>
      </c>
      <c r="N197" s="2">
        <v>10</v>
      </c>
      <c r="O197" s="2">
        <v>5</v>
      </c>
      <c r="P197" s="2">
        <v>10</v>
      </c>
      <c r="Q197" s="2" t="s">
        <v>3736</v>
      </c>
      <c r="R197" s="2" t="s">
        <v>3737</v>
      </c>
      <c r="S197" s="4">
        <v>44967</v>
      </c>
    </row>
    <row r="198" spans="1:19" ht="12.5" x14ac:dyDescent="0.25">
      <c r="A198" s="14" t="str">
        <f>HYPERLINK("https://gerandofalcoes.my.salesforce.com/0014X00002YggomQAB", "0014X00002YggomQAB")</f>
        <v>0014X00002YggomQAB</v>
      </c>
      <c r="B198" s="2" t="s">
        <v>6803</v>
      </c>
      <c r="C198" s="2" t="s">
        <v>423</v>
      </c>
      <c r="D198" s="2" t="s">
        <v>2</v>
      </c>
      <c r="E198" s="2"/>
      <c r="F198" s="2">
        <v>0</v>
      </c>
      <c r="G198" s="2">
        <v>3</v>
      </c>
      <c r="H198" s="2">
        <v>44682</v>
      </c>
      <c r="I198" s="2">
        <v>0</v>
      </c>
      <c r="J198" s="2"/>
      <c r="K198" s="2">
        <v>18</v>
      </c>
      <c r="L198" s="2">
        <v>0</v>
      </c>
      <c r="M198" s="2">
        <v>0</v>
      </c>
      <c r="N198" s="2">
        <v>8</v>
      </c>
      <c r="O198" s="2">
        <v>10</v>
      </c>
      <c r="P198" s="2">
        <v>0</v>
      </c>
      <c r="Q198" s="2" t="s">
        <v>3769</v>
      </c>
      <c r="R198" s="2" t="s">
        <v>3770</v>
      </c>
      <c r="S198" s="4">
        <v>44967</v>
      </c>
    </row>
    <row r="199" spans="1:19" ht="12.5" x14ac:dyDescent="0.25">
      <c r="A199" s="14" t="str">
        <f>HYPERLINK("https://gerandofalcoes.my.salesforce.com/0014X00002YggngQAB", "0014X00002YggngQAB")</f>
        <v>0014X00002YggngQAB</v>
      </c>
      <c r="B199" s="2" t="s">
        <v>3722</v>
      </c>
      <c r="C199" s="2" t="s">
        <v>1800</v>
      </c>
      <c r="D199" s="2" t="s">
        <v>2</v>
      </c>
      <c r="E199" s="2">
        <v>0</v>
      </c>
      <c r="F199" s="2">
        <v>0</v>
      </c>
      <c r="G199" s="2">
        <v>4</v>
      </c>
      <c r="H199" s="2">
        <v>13562</v>
      </c>
      <c r="I199" s="2">
        <v>0</v>
      </c>
      <c r="J199" s="2" t="s">
        <v>1779</v>
      </c>
      <c r="K199" s="2">
        <v>15</v>
      </c>
      <c r="L199" s="2">
        <v>0</v>
      </c>
      <c r="M199" s="2">
        <v>0</v>
      </c>
      <c r="N199" s="2">
        <v>10</v>
      </c>
      <c r="O199" s="2">
        <v>5</v>
      </c>
      <c r="P199" s="2">
        <v>0</v>
      </c>
      <c r="Q199" s="2" t="s">
        <v>3723</v>
      </c>
      <c r="R199" s="2" t="s">
        <v>3723</v>
      </c>
      <c r="S199" s="4">
        <v>44967</v>
      </c>
    </row>
    <row r="200" spans="1:19" ht="12.5" x14ac:dyDescent="0.25">
      <c r="A200" s="14" t="str">
        <f>HYPERLINK("https://gerandofalcoes.my.salesforce.com/0014X00002YgglaQAB", "0014X00002YgglaQAB")</f>
        <v>0014X00002YgglaQAB</v>
      </c>
      <c r="B200" s="2" t="s">
        <v>3802</v>
      </c>
      <c r="C200" s="2" t="s">
        <v>423</v>
      </c>
      <c r="D200" s="2" t="s">
        <v>2</v>
      </c>
      <c r="E200" s="2"/>
      <c r="F200" s="2">
        <v>10</v>
      </c>
      <c r="G200" s="2">
        <v>2</v>
      </c>
      <c r="H200" s="2">
        <v>6000</v>
      </c>
      <c r="I200" s="2">
        <v>25</v>
      </c>
      <c r="J200" s="2"/>
      <c r="K200" s="2">
        <v>26</v>
      </c>
      <c r="L200" s="2">
        <v>0</v>
      </c>
      <c r="M200" s="2">
        <v>10</v>
      </c>
      <c r="N200" s="2">
        <v>6</v>
      </c>
      <c r="O200" s="2">
        <v>5</v>
      </c>
      <c r="P200" s="2">
        <v>5</v>
      </c>
      <c r="Q200" s="2" t="s">
        <v>3803</v>
      </c>
      <c r="R200" s="2" t="s">
        <v>3804</v>
      </c>
      <c r="S200" s="4">
        <v>44970</v>
      </c>
    </row>
    <row r="201" spans="1:19" ht="12.5" x14ac:dyDescent="0.25">
      <c r="A201" s="14" t="str">
        <f>HYPERLINK("https://gerandofalcoes.my.salesforce.com/0014X00002YggoZQAR", "0014X00002YggoZQAR")</f>
        <v>0014X00002YggoZQAR</v>
      </c>
      <c r="B201" s="2" t="s">
        <v>3810</v>
      </c>
      <c r="C201" s="2" t="s">
        <v>423</v>
      </c>
      <c r="D201" s="2" t="s">
        <v>2</v>
      </c>
      <c r="E201" s="2"/>
      <c r="F201" s="2">
        <v>1</v>
      </c>
      <c r="G201" s="2">
        <v>2</v>
      </c>
      <c r="H201" s="2">
        <v>5000</v>
      </c>
      <c r="I201" s="2">
        <v>40</v>
      </c>
      <c r="J201" s="2"/>
      <c r="K201" s="2">
        <v>21</v>
      </c>
      <c r="L201" s="2">
        <v>0</v>
      </c>
      <c r="M201" s="2">
        <v>5</v>
      </c>
      <c r="N201" s="2">
        <v>6</v>
      </c>
      <c r="O201" s="2">
        <v>5</v>
      </c>
      <c r="P201" s="2">
        <v>5</v>
      </c>
      <c r="Q201" s="2" t="s">
        <v>3811</v>
      </c>
      <c r="R201" s="2" t="s">
        <v>3811</v>
      </c>
      <c r="S201" s="4">
        <v>44988</v>
      </c>
    </row>
    <row r="202" spans="1:19" ht="12.5" x14ac:dyDescent="0.25">
      <c r="A202" s="14" t="str">
        <f>HYPERLINK("https://gerandofalcoes.my.salesforce.com/0014X00002VKCqyQAH", "0014X00002VKCqyQAH")</f>
        <v>0014X00002VKCqyQAH</v>
      </c>
      <c r="B202" s="2" t="s">
        <v>3807</v>
      </c>
      <c r="C202" s="2" t="s">
        <v>423</v>
      </c>
      <c r="D202" s="2" t="s">
        <v>2</v>
      </c>
      <c r="E202" s="2">
        <v>40</v>
      </c>
      <c r="F202" s="2">
        <v>20</v>
      </c>
      <c r="G202" s="2">
        <v>3</v>
      </c>
      <c r="H202" s="2">
        <v>5000</v>
      </c>
      <c r="I202" s="2">
        <v>200</v>
      </c>
      <c r="J202" s="2" t="s">
        <v>1671</v>
      </c>
      <c r="K202" s="2">
        <v>52</v>
      </c>
      <c r="L202" s="2">
        <v>15</v>
      </c>
      <c r="M202" s="2">
        <v>12</v>
      </c>
      <c r="N202" s="2">
        <v>8</v>
      </c>
      <c r="O202" s="2">
        <v>5</v>
      </c>
      <c r="P202" s="2">
        <v>12</v>
      </c>
      <c r="Q202" s="2" t="s">
        <v>3808</v>
      </c>
      <c r="R202" s="2" t="s">
        <v>3809</v>
      </c>
      <c r="S202" s="4">
        <v>44986</v>
      </c>
    </row>
    <row r="203" spans="1:19" ht="12.5" x14ac:dyDescent="0.25">
      <c r="A203" s="14" t="str">
        <f>HYPERLINK("https://gerandofalcoes.my.salesforce.com/0014X00002YgglbQAB", "0014X00002YgglbQAB")</f>
        <v>0014X00002YgglbQAB</v>
      </c>
      <c r="B203" s="2" t="s">
        <v>3218</v>
      </c>
      <c r="C203" s="2" t="s">
        <v>423</v>
      </c>
      <c r="D203" s="2" t="s">
        <v>2</v>
      </c>
      <c r="E203" s="2"/>
      <c r="F203" s="2">
        <v>0</v>
      </c>
      <c r="G203" s="2">
        <v>3</v>
      </c>
      <c r="H203" s="2">
        <v>100000</v>
      </c>
      <c r="I203" s="2">
        <v>75</v>
      </c>
      <c r="J203" s="2"/>
      <c r="K203" s="2">
        <v>28</v>
      </c>
      <c r="L203" s="2">
        <v>0</v>
      </c>
      <c r="M203" s="2">
        <v>0</v>
      </c>
      <c r="N203" s="2">
        <v>8</v>
      </c>
      <c r="O203" s="2">
        <v>15</v>
      </c>
      <c r="P203" s="2">
        <v>5</v>
      </c>
      <c r="Q203" s="2" t="s">
        <v>3219</v>
      </c>
      <c r="R203" s="2" t="s">
        <v>3219</v>
      </c>
      <c r="S203" s="4">
        <v>44951</v>
      </c>
    </row>
    <row r="204" spans="1:19" ht="12.5" x14ac:dyDescent="0.25">
      <c r="A204" s="14" t="str">
        <f>HYPERLINK("https://gerandofalcoes.my.salesforce.com/0014X00002YgbkpQAB", "0014X00002YgbkpQAB")</f>
        <v>0014X00002YgbkpQAB</v>
      </c>
      <c r="B204" s="2" t="s">
        <v>3200</v>
      </c>
      <c r="C204" s="2" t="s">
        <v>423</v>
      </c>
      <c r="D204" s="2" t="s">
        <v>2</v>
      </c>
      <c r="E204" s="2"/>
      <c r="F204" s="2">
        <v>0</v>
      </c>
      <c r="G204" s="2">
        <v>0</v>
      </c>
      <c r="H204" s="2">
        <v>0</v>
      </c>
      <c r="I204" s="2">
        <v>0</v>
      </c>
      <c r="J204" s="2"/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 t="s">
        <v>3201</v>
      </c>
      <c r="R204" s="2" t="s">
        <v>3201</v>
      </c>
      <c r="S204" s="4">
        <v>44951</v>
      </c>
    </row>
    <row r="205" spans="1:19" ht="12.5" x14ac:dyDescent="0.25">
      <c r="A205" s="14" t="str">
        <f>HYPERLINK("https://gerandofalcoes.my.salesforce.com/0014X00002YggjEQAR", "0014X00002YggjEQAR")</f>
        <v>0014X00002YggjEQAR</v>
      </c>
      <c r="B205" s="2" t="s">
        <v>3235</v>
      </c>
      <c r="C205" s="2" t="s">
        <v>423</v>
      </c>
      <c r="D205" s="2" t="s">
        <v>2</v>
      </c>
      <c r="E205" s="2"/>
      <c r="F205" s="2">
        <v>5</v>
      </c>
      <c r="G205" s="2">
        <v>3</v>
      </c>
      <c r="H205" s="2">
        <v>238000</v>
      </c>
      <c r="I205" s="2">
        <v>340</v>
      </c>
      <c r="J205" s="2"/>
      <c r="K205" s="2">
        <v>43</v>
      </c>
      <c r="L205" s="2">
        <v>0</v>
      </c>
      <c r="M205" s="2">
        <v>5</v>
      </c>
      <c r="N205" s="2">
        <v>8</v>
      </c>
      <c r="O205" s="2">
        <v>15</v>
      </c>
      <c r="P205" s="2">
        <v>15</v>
      </c>
      <c r="Q205" s="2" t="s">
        <v>3236</v>
      </c>
      <c r="R205" s="2" t="s">
        <v>3237</v>
      </c>
      <c r="S205" s="4">
        <v>44952</v>
      </c>
    </row>
    <row r="206" spans="1:19" ht="12.5" x14ac:dyDescent="0.25">
      <c r="A206" s="14" t="str">
        <f>HYPERLINK("https://gerandofalcoes.my.salesforce.com/0014X00002YgggZQAR", "0014X00002YgggZQAR")</f>
        <v>0014X00002YgggZQAR</v>
      </c>
      <c r="B206" s="2" t="s">
        <v>3278</v>
      </c>
      <c r="C206" s="2" t="s">
        <v>423</v>
      </c>
      <c r="D206" s="2" t="s">
        <v>2</v>
      </c>
      <c r="E206" s="2"/>
      <c r="F206" s="2">
        <v>7</v>
      </c>
      <c r="G206" s="2">
        <v>3</v>
      </c>
      <c r="H206" s="2">
        <v>116906</v>
      </c>
      <c r="I206" s="2">
        <v>110</v>
      </c>
      <c r="J206" s="2"/>
      <c r="K206" s="2">
        <v>43</v>
      </c>
      <c r="L206" s="2">
        <v>0</v>
      </c>
      <c r="M206" s="2">
        <v>10</v>
      </c>
      <c r="N206" s="2">
        <v>8</v>
      </c>
      <c r="O206" s="2">
        <v>15</v>
      </c>
      <c r="P206" s="2">
        <v>10</v>
      </c>
      <c r="Q206" s="2" t="s">
        <v>3279</v>
      </c>
      <c r="R206" s="2" t="s">
        <v>3280</v>
      </c>
      <c r="S206" s="4">
        <v>44952</v>
      </c>
    </row>
    <row r="207" spans="1:19" ht="12.5" x14ac:dyDescent="0.25">
      <c r="A207" s="14" t="str">
        <f>HYPERLINK("https://gerandofalcoes.my.salesforce.com/0014X00002YgglrQAB", "0014X00002YgglrQAB")</f>
        <v>0014X00002YgglrQAB</v>
      </c>
      <c r="B207" s="2" t="s">
        <v>3384</v>
      </c>
      <c r="C207" s="2" t="s">
        <v>423</v>
      </c>
      <c r="D207" s="2" t="s">
        <v>2</v>
      </c>
      <c r="E207" s="2"/>
      <c r="F207" s="2">
        <v>0</v>
      </c>
      <c r="G207" s="2">
        <v>5</v>
      </c>
      <c r="H207" s="2">
        <v>10000</v>
      </c>
      <c r="I207" s="2">
        <v>0</v>
      </c>
      <c r="J207" s="2"/>
      <c r="K207" s="2">
        <v>15</v>
      </c>
      <c r="L207" s="2">
        <v>0</v>
      </c>
      <c r="M207" s="2">
        <v>0</v>
      </c>
      <c r="N207" s="2">
        <v>10</v>
      </c>
      <c r="O207" s="2">
        <v>5</v>
      </c>
      <c r="P207" s="2">
        <v>0</v>
      </c>
      <c r="Q207" s="2" t="s">
        <v>3385</v>
      </c>
      <c r="R207" s="2" t="s">
        <v>3386</v>
      </c>
      <c r="S207" s="4">
        <v>44953</v>
      </c>
    </row>
    <row r="208" spans="1:19" ht="12.5" x14ac:dyDescent="0.25">
      <c r="A208" s="14" t="str">
        <f>HYPERLINK("https://gerandofalcoes.my.salesforce.com/0014X00002YggnXQAR", "0014X00002YggnXQAR")</f>
        <v>0014X00002YggnXQAR</v>
      </c>
      <c r="B208" s="2" t="s">
        <v>3387</v>
      </c>
      <c r="C208" s="2" t="s">
        <v>423</v>
      </c>
      <c r="D208" s="2" t="s">
        <v>2</v>
      </c>
      <c r="E208" s="2"/>
      <c r="F208" s="2">
        <v>4</v>
      </c>
      <c r="G208" s="2">
        <v>3</v>
      </c>
      <c r="H208" s="2">
        <v>120</v>
      </c>
      <c r="I208" s="2">
        <v>0</v>
      </c>
      <c r="J208" s="2"/>
      <c r="K208" s="2">
        <v>18</v>
      </c>
      <c r="L208" s="2">
        <v>0</v>
      </c>
      <c r="M208" s="2">
        <v>5</v>
      </c>
      <c r="N208" s="2">
        <v>8</v>
      </c>
      <c r="O208" s="2">
        <v>5</v>
      </c>
      <c r="P208" s="2">
        <v>0</v>
      </c>
      <c r="Q208" s="2" t="s">
        <v>7163</v>
      </c>
      <c r="R208" s="2" t="s">
        <v>7163</v>
      </c>
      <c r="S208" s="4">
        <v>44953</v>
      </c>
    </row>
    <row r="209" spans="1:19" ht="12.5" x14ac:dyDescent="0.25">
      <c r="A209" s="14" t="str">
        <f>HYPERLINK("https://gerandofalcoes.my.salesforce.com/0014X00002Yggk3QAB", "0014X00002Yggk3QAB")</f>
        <v>0014X00002Yggk3QAB</v>
      </c>
      <c r="B209" s="2" t="s">
        <v>3325</v>
      </c>
      <c r="C209" s="2" t="s">
        <v>423</v>
      </c>
      <c r="D209" s="2" t="s">
        <v>2</v>
      </c>
      <c r="E209" s="2"/>
      <c r="F209" s="2">
        <v>0</v>
      </c>
      <c r="G209" s="2">
        <v>3</v>
      </c>
      <c r="H209" s="2">
        <v>8386</v>
      </c>
      <c r="I209" s="2">
        <v>0</v>
      </c>
      <c r="J209" s="2"/>
      <c r="K209" s="2">
        <v>13</v>
      </c>
      <c r="L209" s="2">
        <v>0</v>
      </c>
      <c r="M209" s="2">
        <v>0</v>
      </c>
      <c r="N209" s="2">
        <v>8</v>
      </c>
      <c r="O209" s="2">
        <v>5</v>
      </c>
      <c r="P209" s="2">
        <v>0</v>
      </c>
      <c r="Q209" s="2" t="s">
        <v>3326</v>
      </c>
      <c r="R209" s="2" t="s">
        <v>3327</v>
      </c>
      <c r="S209" s="4">
        <v>44953</v>
      </c>
    </row>
    <row r="210" spans="1:19" ht="12.5" x14ac:dyDescent="0.25">
      <c r="A210" s="14" t="str">
        <f>HYPERLINK("https://gerandofalcoes.my.salesforce.com/0014X00002YggpuQAB", "0014X00002YggpuQAB")</f>
        <v>0014X00002YggpuQAB</v>
      </c>
      <c r="B210" s="2" t="s">
        <v>3555</v>
      </c>
      <c r="C210" s="2" t="s">
        <v>423</v>
      </c>
      <c r="D210" s="2" t="s">
        <v>2</v>
      </c>
      <c r="E210" s="2"/>
      <c r="F210" s="2">
        <v>0</v>
      </c>
      <c r="G210" s="2">
        <v>3</v>
      </c>
      <c r="H210" s="2">
        <v>864</v>
      </c>
      <c r="I210" s="2">
        <v>70</v>
      </c>
      <c r="J210" s="2"/>
      <c r="K210" s="2">
        <v>18</v>
      </c>
      <c r="L210" s="2">
        <v>0</v>
      </c>
      <c r="M210" s="2">
        <v>0</v>
      </c>
      <c r="N210" s="2">
        <v>8</v>
      </c>
      <c r="O210" s="2">
        <v>5</v>
      </c>
      <c r="P210" s="2">
        <v>5</v>
      </c>
      <c r="Q210" s="2" t="s">
        <v>3556</v>
      </c>
      <c r="R210" s="2" t="s">
        <v>3557</v>
      </c>
      <c r="S210" s="4">
        <v>44959</v>
      </c>
    </row>
    <row r="211" spans="1:19" ht="12.5" x14ac:dyDescent="0.25">
      <c r="A211" s="14" t="str">
        <f>HYPERLINK("https://gerandofalcoes.my.salesforce.com/0014X00002YggkUQAR", "0014X00002YggkUQAR")</f>
        <v>0014X00002YggkUQAR</v>
      </c>
      <c r="B211" s="2" t="s">
        <v>3563</v>
      </c>
      <c r="C211" s="2" t="s">
        <v>423</v>
      </c>
      <c r="D211" s="2" t="s">
        <v>2</v>
      </c>
      <c r="E211" s="2"/>
      <c r="F211" s="2">
        <v>0</v>
      </c>
      <c r="G211" s="2">
        <v>5</v>
      </c>
      <c r="H211" s="2">
        <v>5000</v>
      </c>
      <c r="I211" s="2">
        <v>10</v>
      </c>
      <c r="J211" s="2"/>
      <c r="K211" s="2">
        <v>20</v>
      </c>
      <c r="L211" s="2">
        <v>0</v>
      </c>
      <c r="M211" s="2">
        <v>0</v>
      </c>
      <c r="N211" s="2">
        <v>10</v>
      </c>
      <c r="O211" s="2">
        <v>5</v>
      </c>
      <c r="P211" s="2">
        <v>5</v>
      </c>
      <c r="Q211" s="2" t="s">
        <v>3564</v>
      </c>
      <c r="R211" s="2" t="s">
        <v>3565</v>
      </c>
      <c r="S211" s="4">
        <v>44960</v>
      </c>
    </row>
    <row r="212" spans="1:19" ht="12.5" x14ac:dyDescent="0.25">
      <c r="A212" s="14" t="str">
        <f>HYPERLINK("https://gerandofalcoes.my.salesforce.com/0014X00002YggnEQAR", "0014X00002YggnEQAR")</f>
        <v>0014X00002YggnEQAR</v>
      </c>
      <c r="B212" s="2" t="s">
        <v>3673</v>
      </c>
      <c r="C212" s="2" t="s">
        <v>423</v>
      </c>
      <c r="D212" s="2" t="s">
        <v>2</v>
      </c>
      <c r="E212" s="2"/>
      <c r="F212" s="2">
        <v>4</v>
      </c>
      <c r="G212" s="2">
        <v>2</v>
      </c>
      <c r="H212" s="2">
        <v>10000</v>
      </c>
      <c r="I212" s="2">
        <v>60</v>
      </c>
      <c r="J212" s="2"/>
      <c r="K212" s="2">
        <v>21</v>
      </c>
      <c r="L212" s="2">
        <v>0</v>
      </c>
      <c r="M212" s="2">
        <v>5</v>
      </c>
      <c r="N212" s="2">
        <v>6</v>
      </c>
      <c r="O212" s="2">
        <v>5</v>
      </c>
      <c r="P212" s="2">
        <v>5</v>
      </c>
      <c r="Q212" s="2" t="s">
        <v>3674</v>
      </c>
      <c r="R212" s="2" t="s">
        <v>3674</v>
      </c>
      <c r="S212" s="4">
        <v>44964</v>
      </c>
    </row>
    <row r="213" spans="1:19" ht="12.5" x14ac:dyDescent="0.25">
      <c r="A213" s="14" t="str">
        <f>HYPERLINK("https://gerandofalcoes.my.salesforce.com/0014X00002Yggj7QAB", "0014X00002Yggj7QAB")</f>
        <v>0014X00002Yggj7QAB</v>
      </c>
      <c r="B213" s="2" t="s">
        <v>3650</v>
      </c>
      <c r="C213" s="2" t="s">
        <v>423</v>
      </c>
      <c r="D213" s="2" t="s">
        <v>2</v>
      </c>
      <c r="E213" s="2"/>
      <c r="F213" s="2">
        <v>0</v>
      </c>
      <c r="G213" s="2">
        <v>2</v>
      </c>
      <c r="H213" s="2">
        <v>90000</v>
      </c>
      <c r="I213" s="2">
        <v>40</v>
      </c>
      <c r="J213" s="2"/>
      <c r="K213" s="2">
        <v>21</v>
      </c>
      <c r="L213" s="2">
        <v>0</v>
      </c>
      <c r="M213" s="2">
        <v>0</v>
      </c>
      <c r="N213" s="2">
        <v>6</v>
      </c>
      <c r="O213" s="2">
        <v>10</v>
      </c>
      <c r="P213" s="2">
        <v>5</v>
      </c>
      <c r="Q213" s="2" t="s">
        <v>3651</v>
      </c>
      <c r="R213" s="2" t="s">
        <v>3651</v>
      </c>
      <c r="S213" s="4">
        <v>44964</v>
      </c>
    </row>
    <row r="214" spans="1:19" ht="12.5" x14ac:dyDescent="0.25">
      <c r="A214" s="14" t="str">
        <f>HYPERLINK("https://gerandofalcoes.my.salesforce.com/0014X00002Yggo4QAB", "0014X00002Yggo4QAB")</f>
        <v>0014X00002Yggo4QAB</v>
      </c>
      <c r="B214" s="2" t="s">
        <v>3707</v>
      </c>
      <c r="C214" s="2" t="s">
        <v>423</v>
      </c>
      <c r="D214" s="2" t="s">
        <v>2</v>
      </c>
      <c r="E214" s="2"/>
      <c r="F214" s="2">
        <v>0</v>
      </c>
      <c r="G214" s="2">
        <v>3</v>
      </c>
      <c r="H214" s="2">
        <v>3000</v>
      </c>
      <c r="I214" s="2">
        <v>0</v>
      </c>
      <c r="J214" s="2"/>
      <c r="K214" s="2">
        <v>13</v>
      </c>
      <c r="L214" s="2">
        <v>0</v>
      </c>
      <c r="M214" s="2">
        <v>0</v>
      </c>
      <c r="N214" s="2">
        <v>8</v>
      </c>
      <c r="O214" s="2">
        <v>5</v>
      </c>
      <c r="P214" s="2">
        <v>0</v>
      </c>
      <c r="Q214" s="2" t="s">
        <v>3708</v>
      </c>
      <c r="R214" s="2" t="s">
        <v>3708</v>
      </c>
      <c r="S214" s="4">
        <v>44967</v>
      </c>
    </row>
    <row r="215" spans="1:19" ht="12.5" x14ac:dyDescent="0.25">
      <c r="A215" s="14" t="str">
        <f>HYPERLINK("https://gerandofalcoes.my.salesforce.com/0014X00002Yjq5GQAR", "0014X00002Yjq5GQAR")</f>
        <v>0014X00002Yjq5GQAR</v>
      </c>
      <c r="B215" s="2" t="s">
        <v>3805</v>
      </c>
      <c r="C215" s="2" t="s">
        <v>423</v>
      </c>
      <c r="D215" s="2" t="s">
        <v>2</v>
      </c>
      <c r="E215" s="2">
        <v>0</v>
      </c>
      <c r="F215" s="2">
        <v>0</v>
      </c>
      <c r="G215" s="2">
        <v>1</v>
      </c>
      <c r="H215" s="2">
        <v>3000</v>
      </c>
      <c r="I215" s="2">
        <v>180</v>
      </c>
      <c r="J215" s="2" t="s">
        <v>7150</v>
      </c>
      <c r="K215" s="2">
        <v>21</v>
      </c>
      <c r="L215" s="2">
        <v>0</v>
      </c>
      <c r="M215" s="2">
        <v>0</v>
      </c>
      <c r="N215" s="2">
        <v>4</v>
      </c>
      <c r="O215" s="2">
        <v>5</v>
      </c>
      <c r="P215" s="2">
        <v>12</v>
      </c>
      <c r="Q215" s="2" t="s">
        <v>3806</v>
      </c>
      <c r="R215" s="2" t="s">
        <v>3806</v>
      </c>
      <c r="S215" s="4">
        <v>44985</v>
      </c>
    </row>
    <row r="216" spans="1:19" ht="12.5" x14ac:dyDescent="0.25">
      <c r="A216" s="14" t="str">
        <f>HYPERLINK("https://gerandofalcoes.my.salesforce.com/0014X00002YgggVQAR", "0014X00002YgggVQAR")</f>
        <v>0014X00002YgggVQAR</v>
      </c>
      <c r="B216" s="2" t="s">
        <v>3731</v>
      </c>
      <c r="C216" s="2" t="s">
        <v>423</v>
      </c>
      <c r="D216" s="2" t="s">
        <v>2</v>
      </c>
      <c r="E216" s="2"/>
      <c r="F216" s="2">
        <v>2</v>
      </c>
      <c r="G216" s="2">
        <v>2</v>
      </c>
      <c r="H216" s="2">
        <v>150000</v>
      </c>
      <c r="I216" s="2">
        <v>250</v>
      </c>
      <c r="J216" s="2"/>
      <c r="K216" s="2">
        <v>38</v>
      </c>
      <c r="L216" s="2">
        <v>0</v>
      </c>
      <c r="M216" s="2">
        <v>5</v>
      </c>
      <c r="N216" s="2">
        <v>6</v>
      </c>
      <c r="O216" s="2">
        <v>15</v>
      </c>
      <c r="P216" s="2">
        <v>12</v>
      </c>
      <c r="Q216" s="2" t="s">
        <v>3732</v>
      </c>
      <c r="R216" s="2" t="s">
        <v>3732</v>
      </c>
      <c r="S216" s="4">
        <v>44967</v>
      </c>
    </row>
    <row r="217" spans="1:19" ht="12.5" x14ac:dyDescent="0.25">
      <c r="A217" s="14" t="str">
        <f>HYPERLINK("https://gerandofalcoes.my.salesforce.com/0014X00002YgbkhQAB", "0014X00002YgbkhQAB")</f>
        <v>0014X00002YgbkhQAB</v>
      </c>
      <c r="B217" s="2" t="s">
        <v>3798</v>
      </c>
      <c r="C217" s="2" t="s">
        <v>423</v>
      </c>
      <c r="D217" s="2" t="s">
        <v>2</v>
      </c>
      <c r="E217" s="2"/>
      <c r="F217" s="2">
        <v>0</v>
      </c>
      <c r="G217" s="2">
        <v>0</v>
      </c>
      <c r="H217" s="2">
        <v>0</v>
      </c>
      <c r="I217" s="2">
        <v>0</v>
      </c>
      <c r="J217" s="2"/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 t="s">
        <v>3799</v>
      </c>
      <c r="R217" s="2" t="s">
        <v>3799</v>
      </c>
      <c r="S217" s="4">
        <v>44970</v>
      </c>
    </row>
    <row r="218" spans="1:19" ht="12.5" x14ac:dyDescent="0.25">
      <c r="A218" s="14" t="str">
        <f>HYPERLINK("https://gerandofalcoes.my.salesforce.com/0014X00002cUXt4QAG", "0014X00002cUXt4QAG")</f>
        <v>0014X00002cUXt4QAG</v>
      </c>
      <c r="B218" s="2" t="s">
        <v>3812</v>
      </c>
      <c r="C218" s="2" t="s">
        <v>423</v>
      </c>
      <c r="D218" s="2" t="s">
        <v>2</v>
      </c>
      <c r="E218" s="2">
        <v>10</v>
      </c>
      <c r="F218" s="2">
        <v>0</v>
      </c>
      <c r="G218" s="2">
        <v>0</v>
      </c>
      <c r="H218" s="2">
        <v>0</v>
      </c>
      <c r="I218" s="2">
        <v>10</v>
      </c>
      <c r="J218" s="2" t="s">
        <v>1671</v>
      </c>
      <c r="K218" s="2">
        <v>15</v>
      </c>
      <c r="L218" s="2">
        <v>10</v>
      </c>
      <c r="M218" s="2">
        <v>0</v>
      </c>
      <c r="N218" s="2">
        <v>0</v>
      </c>
      <c r="O218" s="2">
        <v>0</v>
      </c>
      <c r="P218" s="2">
        <v>5</v>
      </c>
      <c r="Q218" s="2" t="s">
        <v>3813</v>
      </c>
      <c r="R218" s="2" t="s">
        <v>3814</v>
      </c>
      <c r="S218" s="4">
        <v>44991</v>
      </c>
    </row>
    <row r="219" spans="1:19" ht="12.5" x14ac:dyDescent="0.25">
      <c r="A219" s="14" t="str">
        <f>HYPERLINK("https://gerandofalcoes.my.salesforce.com/0014X00002YkLeFQAV", "0014X00002YkLeFQAV")</f>
        <v>0014X00002YkLeFQAV</v>
      </c>
      <c r="B219" s="2" t="s">
        <v>3829</v>
      </c>
      <c r="C219" s="2" t="s">
        <v>423</v>
      </c>
      <c r="D219" s="2" t="s">
        <v>2</v>
      </c>
      <c r="E219" s="2">
        <v>17.97</v>
      </c>
      <c r="F219" s="2">
        <v>1</v>
      </c>
      <c r="G219" s="2">
        <v>0</v>
      </c>
      <c r="H219" s="2">
        <v>0</v>
      </c>
      <c r="I219" s="2">
        <v>1</v>
      </c>
      <c r="J219" s="2" t="s">
        <v>1779</v>
      </c>
      <c r="K219" s="2">
        <v>20</v>
      </c>
      <c r="L219" s="2">
        <v>10</v>
      </c>
      <c r="M219" s="2">
        <v>5</v>
      </c>
      <c r="N219" s="2">
        <v>0</v>
      </c>
      <c r="O219" s="2">
        <v>0</v>
      </c>
      <c r="P219" s="2">
        <v>5</v>
      </c>
      <c r="Q219" s="2" t="s">
        <v>3830</v>
      </c>
      <c r="R219" s="2" t="s">
        <v>3830</v>
      </c>
      <c r="S219" s="4">
        <v>45015</v>
      </c>
    </row>
    <row r="220" spans="1:19" ht="12.5" x14ac:dyDescent="0.25">
      <c r="A220" s="14" t="str">
        <f>HYPERLINK("https://gerandofalcoes.my.salesforce.com/0014X00002YggoGQAR", "0014X00002YggoGQAR")</f>
        <v>0014X00002YggoGQAR</v>
      </c>
      <c r="B220" s="2" t="s">
        <v>3028</v>
      </c>
      <c r="C220" s="2" t="s">
        <v>423</v>
      </c>
      <c r="D220" s="2" t="s">
        <v>2</v>
      </c>
      <c r="E220" s="2"/>
      <c r="F220" s="2">
        <v>12</v>
      </c>
      <c r="G220" s="2">
        <v>3</v>
      </c>
      <c r="H220" s="2">
        <v>3000</v>
      </c>
      <c r="I220" s="2">
        <v>40</v>
      </c>
      <c r="J220" s="2"/>
      <c r="K220" s="2">
        <v>30</v>
      </c>
      <c r="L220" s="2">
        <v>0</v>
      </c>
      <c r="M220" s="2">
        <v>12</v>
      </c>
      <c r="N220" s="2">
        <v>8</v>
      </c>
      <c r="O220" s="2">
        <v>5</v>
      </c>
      <c r="P220" s="2">
        <v>5</v>
      </c>
      <c r="Q220" s="2" t="s">
        <v>3029</v>
      </c>
      <c r="R220" s="2" t="s">
        <v>3030</v>
      </c>
      <c r="S220" s="4">
        <v>44945</v>
      </c>
    </row>
    <row r="221" spans="1:19" ht="12.5" x14ac:dyDescent="0.25">
      <c r="A221" s="14" t="str">
        <f>HYPERLINK("https://gerandofalcoes.my.salesforce.com/0014X00002YggqVQAR", "0014X00002YggqVQAR")</f>
        <v>0014X00002YggqVQAR</v>
      </c>
      <c r="B221" s="2" t="s">
        <v>3013</v>
      </c>
      <c r="C221" s="2" t="s">
        <v>423</v>
      </c>
      <c r="D221" s="2" t="s">
        <v>2</v>
      </c>
      <c r="E221" s="2"/>
      <c r="F221" s="2">
        <v>1</v>
      </c>
      <c r="G221" s="2">
        <v>3</v>
      </c>
      <c r="H221" s="2">
        <v>12000</v>
      </c>
      <c r="I221" s="2">
        <v>40</v>
      </c>
      <c r="J221" s="2"/>
      <c r="K221" s="2">
        <v>23</v>
      </c>
      <c r="L221" s="2">
        <v>0</v>
      </c>
      <c r="M221" s="2">
        <v>5</v>
      </c>
      <c r="N221" s="2">
        <v>8</v>
      </c>
      <c r="O221" s="2">
        <v>5</v>
      </c>
      <c r="P221" s="2">
        <v>5</v>
      </c>
      <c r="Q221" s="2" t="s">
        <v>3014</v>
      </c>
      <c r="R221" s="2" t="s">
        <v>3015</v>
      </c>
      <c r="S221" s="4">
        <v>44945</v>
      </c>
    </row>
    <row r="222" spans="1:19" ht="12.5" x14ac:dyDescent="0.25">
      <c r="A222" s="14" t="str">
        <f>HYPERLINK("https://gerandofalcoes.my.salesforce.com/0014X00002YggmOQAR", "0014X00002YggmOQAR")</f>
        <v>0014X00002YggmOQAR</v>
      </c>
      <c r="B222" s="2" t="s">
        <v>3818</v>
      </c>
      <c r="C222" s="2" t="s">
        <v>423</v>
      </c>
      <c r="D222" s="2" t="s">
        <v>2</v>
      </c>
      <c r="E222" s="2"/>
      <c r="F222" s="2">
        <v>4</v>
      </c>
      <c r="G222" s="2">
        <v>200</v>
      </c>
      <c r="H222" s="2">
        <v>3000</v>
      </c>
      <c r="I222" s="2">
        <v>200</v>
      </c>
      <c r="J222" s="2"/>
      <c r="K222" s="2">
        <v>32</v>
      </c>
      <c r="L222" s="2">
        <v>0</v>
      </c>
      <c r="M222" s="2">
        <v>5</v>
      </c>
      <c r="N222" s="2">
        <v>10</v>
      </c>
      <c r="O222" s="2">
        <v>5</v>
      </c>
      <c r="P222" s="2">
        <v>12</v>
      </c>
      <c r="Q222" s="2" t="s">
        <v>3819</v>
      </c>
      <c r="R222" s="2" t="s">
        <v>3820</v>
      </c>
      <c r="S222" s="4">
        <v>44992</v>
      </c>
    </row>
    <row r="223" spans="1:19" ht="12.5" x14ac:dyDescent="0.25">
      <c r="A223" s="14" t="str">
        <f>HYPERLINK("https://gerandofalcoes.my.salesforce.com/0014X00002YggnGQAR", "0014X00002YggnGQAR")</f>
        <v>0014X00002YggnGQAR</v>
      </c>
      <c r="B223" s="2" t="s">
        <v>3173</v>
      </c>
      <c r="C223" s="2" t="s">
        <v>423</v>
      </c>
      <c r="D223" s="2" t="s">
        <v>2</v>
      </c>
      <c r="E223" s="2"/>
      <c r="F223" s="2">
        <v>0</v>
      </c>
      <c r="G223" s="2">
        <v>3</v>
      </c>
      <c r="H223" s="2">
        <v>10000</v>
      </c>
      <c r="I223" s="2">
        <v>0</v>
      </c>
      <c r="J223" s="2"/>
      <c r="K223" s="2">
        <v>13</v>
      </c>
      <c r="L223" s="2">
        <v>0</v>
      </c>
      <c r="M223" s="2">
        <v>0</v>
      </c>
      <c r="N223" s="2">
        <v>8</v>
      </c>
      <c r="O223" s="2">
        <v>5</v>
      </c>
      <c r="P223" s="2">
        <v>0</v>
      </c>
      <c r="Q223" s="2" t="s">
        <v>3174</v>
      </c>
      <c r="R223" s="2" t="s">
        <v>3175</v>
      </c>
      <c r="S223" s="4">
        <v>44950</v>
      </c>
    </row>
    <row r="224" spans="1:19" ht="12.5" x14ac:dyDescent="0.25">
      <c r="A224" s="14" t="str">
        <f>HYPERLINK("https://gerandofalcoes.my.salesforce.com/0014X00002YggouQAB", "0014X00002YggouQAB")</f>
        <v>0014X00002YggouQAB</v>
      </c>
      <c r="B224" s="2" t="s">
        <v>3176</v>
      </c>
      <c r="C224" s="2" t="s">
        <v>423</v>
      </c>
      <c r="D224" s="2" t="s">
        <v>2</v>
      </c>
      <c r="E224" s="2"/>
      <c r="F224" s="2">
        <v>0</v>
      </c>
      <c r="G224" s="2">
        <v>2</v>
      </c>
      <c r="H224" s="2">
        <v>15000</v>
      </c>
      <c r="I224" s="2">
        <v>100</v>
      </c>
      <c r="J224" s="2"/>
      <c r="K224" s="2">
        <v>21</v>
      </c>
      <c r="L224" s="2">
        <v>0</v>
      </c>
      <c r="M224" s="2">
        <v>0</v>
      </c>
      <c r="N224" s="2">
        <v>6</v>
      </c>
      <c r="O224" s="2">
        <v>5</v>
      </c>
      <c r="P224" s="2">
        <v>10</v>
      </c>
      <c r="Q224" s="2" t="s">
        <v>3177</v>
      </c>
      <c r="R224" s="2" t="s">
        <v>3178</v>
      </c>
      <c r="S224" s="4">
        <v>44951</v>
      </c>
    </row>
    <row r="225" spans="1:19" ht="12.5" x14ac:dyDescent="0.25">
      <c r="A225" s="14" t="str">
        <f>HYPERLINK("https://gerandofalcoes.my.salesforce.com/0014X00002YggnKQAR", "0014X00002YggnKQAR")</f>
        <v>0014X00002YggnKQAR</v>
      </c>
      <c r="B225" s="2" t="s">
        <v>3207</v>
      </c>
      <c r="C225" s="2" t="s">
        <v>423</v>
      </c>
      <c r="D225" s="2" t="s">
        <v>2</v>
      </c>
      <c r="E225" s="2"/>
      <c r="F225" s="2">
        <v>0</v>
      </c>
      <c r="G225" s="2">
        <v>4</v>
      </c>
      <c r="H225" s="2">
        <v>83242522</v>
      </c>
      <c r="I225" s="2">
        <v>1117</v>
      </c>
      <c r="J225" s="2"/>
      <c r="K225" s="2">
        <v>55</v>
      </c>
      <c r="L225" s="2">
        <v>0</v>
      </c>
      <c r="M225" s="2">
        <v>0</v>
      </c>
      <c r="N225" s="2">
        <v>10</v>
      </c>
      <c r="O225" s="2">
        <v>25</v>
      </c>
      <c r="P225" s="2">
        <v>20</v>
      </c>
      <c r="Q225" s="2" t="s">
        <v>3208</v>
      </c>
      <c r="R225" s="2" t="s">
        <v>3209</v>
      </c>
      <c r="S225" s="4">
        <v>44951</v>
      </c>
    </row>
    <row r="226" spans="1:19" ht="12.5" x14ac:dyDescent="0.25">
      <c r="A226" s="14" t="str">
        <f>HYPERLINK("https://gerandofalcoes.my.salesforce.com/0014X00002Yggh0QAB", "0014X00002Yggh0QAB")</f>
        <v>0014X00002Yggh0QAB</v>
      </c>
      <c r="B226" s="2" t="s">
        <v>3220</v>
      </c>
      <c r="C226" s="2" t="s">
        <v>423</v>
      </c>
      <c r="D226" s="2" t="s">
        <v>2</v>
      </c>
      <c r="E226" s="2"/>
      <c r="F226" s="2">
        <v>10</v>
      </c>
      <c r="G226" s="2">
        <v>2</v>
      </c>
      <c r="H226" s="2">
        <v>10000</v>
      </c>
      <c r="I226" s="2">
        <v>65</v>
      </c>
      <c r="J226" s="2"/>
      <c r="K226" s="2">
        <v>26</v>
      </c>
      <c r="L226" s="2">
        <v>0</v>
      </c>
      <c r="M226" s="2">
        <v>10</v>
      </c>
      <c r="N226" s="2">
        <v>6</v>
      </c>
      <c r="O226" s="2">
        <v>5</v>
      </c>
      <c r="P226" s="2">
        <v>5</v>
      </c>
      <c r="Q226" s="2" t="s">
        <v>3221</v>
      </c>
      <c r="R226" s="2" t="s">
        <v>3221</v>
      </c>
      <c r="S226" s="4">
        <v>44951</v>
      </c>
    </row>
    <row r="227" spans="1:19" ht="12.5" x14ac:dyDescent="0.25">
      <c r="A227" s="14" t="str">
        <f>HYPERLINK("https://gerandofalcoes.my.salesforce.com/0014X00002YggiUQAR", "0014X00002YggiUQAR")</f>
        <v>0014X00002YggiUQAR</v>
      </c>
      <c r="B227" s="2" t="s">
        <v>3230</v>
      </c>
      <c r="C227" s="2" t="s">
        <v>423</v>
      </c>
      <c r="D227" s="2" t="s">
        <v>2</v>
      </c>
      <c r="E227" s="2"/>
      <c r="F227" s="2">
        <v>0</v>
      </c>
      <c r="G227" s="2">
        <v>3</v>
      </c>
      <c r="H227" s="2">
        <v>15000</v>
      </c>
      <c r="I227" s="2">
        <v>0</v>
      </c>
      <c r="J227" s="2"/>
      <c r="K227" s="2">
        <v>13</v>
      </c>
      <c r="L227" s="2">
        <v>0</v>
      </c>
      <c r="M227" s="2">
        <v>0</v>
      </c>
      <c r="N227" s="2">
        <v>8</v>
      </c>
      <c r="O227" s="2">
        <v>5</v>
      </c>
      <c r="P227" s="2">
        <v>0</v>
      </c>
      <c r="Q227" s="2" t="s">
        <v>3231</v>
      </c>
      <c r="R227" s="2" t="s">
        <v>3231</v>
      </c>
      <c r="S227" s="4">
        <v>44951</v>
      </c>
    </row>
    <row r="228" spans="1:19" ht="12.5" x14ac:dyDescent="0.25">
      <c r="A228" s="14" t="str">
        <f>HYPERLINK("https://gerandofalcoes.my.salesforce.com/0014X00002Yggi6QAB", "0014X00002Yggi6QAB")</f>
        <v>0014X00002Yggi6QAB</v>
      </c>
      <c r="B228" s="2" t="s">
        <v>3185</v>
      </c>
      <c r="C228" s="2" t="s">
        <v>423</v>
      </c>
      <c r="D228" s="2" t="s">
        <v>2</v>
      </c>
      <c r="E228" s="2"/>
      <c r="F228" s="2">
        <v>0</v>
      </c>
      <c r="G228" s="2">
        <v>2</v>
      </c>
      <c r="H228" s="2">
        <v>5000</v>
      </c>
      <c r="I228" s="2">
        <v>10</v>
      </c>
      <c r="J228" s="2"/>
      <c r="K228" s="2">
        <v>16</v>
      </c>
      <c r="L228" s="2">
        <v>0</v>
      </c>
      <c r="M228" s="2">
        <v>0</v>
      </c>
      <c r="N228" s="2">
        <v>6</v>
      </c>
      <c r="O228" s="2">
        <v>5</v>
      </c>
      <c r="P228" s="2">
        <v>5</v>
      </c>
      <c r="Q228" s="2" t="s">
        <v>3186</v>
      </c>
      <c r="R228" s="2" t="s">
        <v>3187</v>
      </c>
      <c r="S228" s="4">
        <v>44951</v>
      </c>
    </row>
    <row r="229" spans="1:19" ht="12.5" x14ac:dyDescent="0.25">
      <c r="A229" s="14" t="str">
        <f>HYPERLINK("https://gerandofalcoes.my.salesforce.com/0014X00002YggjOQAR", "0014X00002YggjOQAR")</f>
        <v>0014X00002YggjOQAR</v>
      </c>
      <c r="B229" s="2" t="s">
        <v>2649</v>
      </c>
      <c r="C229" s="2" t="s">
        <v>423</v>
      </c>
      <c r="D229" s="2" t="s">
        <v>2</v>
      </c>
      <c r="E229" s="2"/>
      <c r="F229" s="2">
        <v>0</v>
      </c>
      <c r="G229" s="2">
        <v>6</v>
      </c>
      <c r="H229" s="2">
        <v>0</v>
      </c>
      <c r="I229" s="2">
        <v>0</v>
      </c>
      <c r="J229" s="2"/>
      <c r="K229" s="2">
        <v>10</v>
      </c>
      <c r="L229" s="2">
        <v>0</v>
      </c>
      <c r="M229" s="2">
        <v>0</v>
      </c>
      <c r="N229" s="2">
        <v>10</v>
      </c>
      <c r="O229" s="2">
        <v>0</v>
      </c>
      <c r="P229" s="2">
        <v>0</v>
      </c>
      <c r="Q229" s="2" t="s">
        <v>3194</v>
      </c>
      <c r="R229" s="2" t="s">
        <v>3194</v>
      </c>
      <c r="S229" s="4">
        <v>44951</v>
      </c>
    </row>
    <row r="230" spans="1:19" ht="12.5" x14ac:dyDescent="0.25">
      <c r="A230" s="14" t="str">
        <f>HYPERLINK("https://gerandofalcoes.my.salesforce.com/0014X00002YggpNQAR", "0014X00002YggpNQAR")</f>
        <v>0014X00002YggpNQAR</v>
      </c>
      <c r="B230" s="2" t="s">
        <v>3191</v>
      </c>
      <c r="C230" s="2" t="s">
        <v>423</v>
      </c>
      <c r="D230" s="2" t="s">
        <v>2</v>
      </c>
      <c r="E230" s="2"/>
      <c r="F230" s="2">
        <v>0</v>
      </c>
      <c r="G230" s="2">
        <v>2</v>
      </c>
      <c r="H230" s="2">
        <v>3500</v>
      </c>
      <c r="I230" s="2">
        <v>25</v>
      </c>
      <c r="J230" s="2"/>
      <c r="K230" s="2">
        <v>16</v>
      </c>
      <c r="L230" s="2">
        <v>0</v>
      </c>
      <c r="M230" s="2">
        <v>0</v>
      </c>
      <c r="N230" s="2">
        <v>6</v>
      </c>
      <c r="O230" s="2">
        <v>5</v>
      </c>
      <c r="P230" s="2">
        <v>5</v>
      </c>
      <c r="Q230" s="2" t="s">
        <v>3192</v>
      </c>
      <c r="R230" s="2" t="s">
        <v>3193</v>
      </c>
      <c r="S230" s="4">
        <v>44951</v>
      </c>
    </row>
    <row r="231" spans="1:19" ht="12.5" x14ac:dyDescent="0.25">
      <c r="A231" s="14" t="str">
        <f>HYPERLINK("https://gerandofalcoes.my.salesforce.com/0014X00002YgghvQAB", "0014X00002YgghvQAB")</f>
        <v>0014X00002YgghvQAB</v>
      </c>
      <c r="B231" s="2" t="s">
        <v>3179</v>
      </c>
      <c r="C231" s="2" t="s">
        <v>423</v>
      </c>
      <c r="D231" s="2" t="s">
        <v>2</v>
      </c>
      <c r="E231" s="2"/>
      <c r="F231" s="2">
        <v>18</v>
      </c>
      <c r="G231" s="2">
        <v>3</v>
      </c>
      <c r="H231" s="2">
        <v>100000</v>
      </c>
      <c r="I231" s="2">
        <v>850</v>
      </c>
      <c r="J231" s="2"/>
      <c r="K231" s="2">
        <v>55</v>
      </c>
      <c r="L231" s="2">
        <v>0</v>
      </c>
      <c r="M231" s="2">
        <v>12</v>
      </c>
      <c r="N231" s="2">
        <v>8</v>
      </c>
      <c r="O231" s="2">
        <v>15</v>
      </c>
      <c r="P231" s="2">
        <v>20</v>
      </c>
      <c r="Q231" s="2" t="s">
        <v>3180</v>
      </c>
      <c r="R231" s="2" t="s">
        <v>3181</v>
      </c>
      <c r="S231" s="4">
        <v>44951</v>
      </c>
    </row>
    <row r="232" spans="1:19" ht="12.5" x14ac:dyDescent="0.25">
      <c r="A232" s="14" t="str">
        <f>HYPERLINK("https://gerandofalcoes.my.salesforce.com/0014X00002YgglNQAR", "0014X00002YgglNQAR")</f>
        <v>0014X00002YgglNQAR</v>
      </c>
      <c r="B232" s="2" t="s">
        <v>3225</v>
      </c>
      <c r="C232" s="2" t="s">
        <v>423</v>
      </c>
      <c r="D232" s="2" t="s">
        <v>2</v>
      </c>
      <c r="E232" s="2"/>
      <c r="F232" s="2">
        <v>0</v>
      </c>
      <c r="G232" s="2">
        <v>2</v>
      </c>
      <c r="H232" s="2">
        <v>8000</v>
      </c>
      <c r="I232" s="2">
        <v>30</v>
      </c>
      <c r="J232" s="2"/>
      <c r="K232" s="2">
        <v>16</v>
      </c>
      <c r="L232" s="2">
        <v>0</v>
      </c>
      <c r="M232" s="2">
        <v>0</v>
      </c>
      <c r="N232" s="2">
        <v>6</v>
      </c>
      <c r="O232" s="2">
        <v>5</v>
      </c>
      <c r="P232" s="2">
        <v>5</v>
      </c>
      <c r="Q232" s="2" t="s">
        <v>3226</v>
      </c>
      <c r="R232" s="2" t="s">
        <v>3227</v>
      </c>
      <c r="S232" s="4">
        <v>44951</v>
      </c>
    </row>
    <row r="233" spans="1:19" ht="12.5" x14ac:dyDescent="0.25">
      <c r="A233" s="14" t="str">
        <f>HYPERLINK("https://gerandofalcoes.my.salesforce.com/0014X00002YggpRQAR", "0014X00002YggpRQAR")</f>
        <v>0014X00002YggpRQAR</v>
      </c>
      <c r="B233" s="2" t="s">
        <v>3294</v>
      </c>
      <c r="C233" s="2" t="s">
        <v>423</v>
      </c>
      <c r="D233" s="2" t="s">
        <v>2</v>
      </c>
      <c r="E233" s="2"/>
      <c r="F233" s="2">
        <v>1</v>
      </c>
      <c r="G233" s="2">
        <v>3</v>
      </c>
      <c r="H233" s="2">
        <v>200000</v>
      </c>
      <c r="I233" s="2">
        <v>0</v>
      </c>
      <c r="J233" s="2"/>
      <c r="K233" s="2">
        <v>28</v>
      </c>
      <c r="L233" s="2">
        <v>0</v>
      </c>
      <c r="M233" s="2">
        <v>5</v>
      </c>
      <c r="N233" s="2">
        <v>8</v>
      </c>
      <c r="O233" s="2">
        <v>15</v>
      </c>
      <c r="P233" s="2">
        <v>0</v>
      </c>
      <c r="Q233" s="2" t="s">
        <v>3295</v>
      </c>
      <c r="R233" s="2" t="s">
        <v>3295</v>
      </c>
      <c r="S233" s="4">
        <v>44952</v>
      </c>
    </row>
    <row r="234" spans="1:19" ht="12.5" x14ac:dyDescent="0.25">
      <c r="A234" s="14" t="str">
        <f>HYPERLINK("https://gerandofalcoes.my.salesforce.com/0014X00002Yggp7QAB", "0014X00002Yggp7QAB")</f>
        <v>0014X00002Yggp7QAB</v>
      </c>
      <c r="B234" s="2" t="s">
        <v>3250</v>
      </c>
      <c r="C234" s="2" t="s">
        <v>423</v>
      </c>
      <c r="D234" s="2" t="s">
        <v>2</v>
      </c>
      <c r="E234" s="2"/>
      <c r="F234" s="2">
        <v>0</v>
      </c>
      <c r="G234" s="2">
        <v>3</v>
      </c>
      <c r="H234" s="2">
        <v>45500</v>
      </c>
      <c r="I234" s="2">
        <v>500</v>
      </c>
      <c r="J234" s="2"/>
      <c r="K234" s="2">
        <v>38</v>
      </c>
      <c r="L234" s="2">
        <v>0</v>
      </c>
      <c r="M234" s="2">
        <v>0</v>
      </c>
      <c r="N234" s="2">
        <v>8</v>
      </c>
      <c r="O234" s="2">
        <v>10</v>
      </c>
      <c r="P234" s="2">
        <v>20</v>
      </c>
      <c r="Q234" s="2" t="s">
        <v>3251</v>
      </c>
      <c r="R234" s="2" t="s">
        <v>3252</v>
      </c>
      <c r="S234" s="4">
        <v>44952</v>
      </c>
    </row>
    <row r="235" spans="1:19" ht="12.5" x14ac:dyDescent="0.25">
      <c r="A235" s="14" t="str">
        <f>HYPERLINK("https://gerandofalcoes.my.salesforce.com/0014X00002YggpsQAB", "0014X00002YggpsQAB")</f>
        <v>0014X00002YggpsQAB</v>
      </c>
      <c r="B235" s="2" t="s">
        <v>3291</v>
      </c>
      <c r="C235" s="2" t="s">
        <v>423</v>
      </c>
      <c r="D235" s="2" t="s">
        <v>2</v>
      </c>
      <c r="E235" s="2"/>
      <c r="F235" s="2">
        <v>3</v>
      </c>
      <c r="G235" s="2">
        <v>2</v>
      </c>
      <c r="H235" s="2">
        <v>1000</v>
      </c>
      <c r="I235" s="2">
        <v>1</v>
      </c>
      <c r="J235" s="2"/>
      <c r="K235" s="2">
        <v>21</v>
      </c>
      <c r="L235" s="2">
        <v>0</v>
      </c>
      <c r="M235" s="2">
        <v>5</v>
      </c>
      <c r="N235" s="2">
        <v>6</v>
      </c>
      <c r="O235" s="2">
        <v>5</v>
      </c>
      <c r="P235" s="2">
        <v>5</v>
      </c>
      <c r="Q235" s="2" t="s">
        <v>3292</v>
      </c>
      <c r="R235" s="2" t="s">
        <v>3293</v>
      </c>
      <c r="S235" s="4">
        <v>44952</v>
      </c>
    </row>
    <row r="236" spans="1:19" ht="12.5" x14ac:dyDescent="0.25">
      <c r="A236" s="14" t="str">
        <f>HYPERLINK("https://gerandofalcoes.my.salesforce.com/0014X00002YggoSQAR", "0014X00002YggoSQAR")</f>
        <v>0014X00002YggoSQAR</v>
      </c>
      <c r="B236" s="2" t="s">
        <v>3238</v>
      </c>
      <c r="C236" s="2" t="s">
        <v>423</v>
      </c>
      <c r="D236" s="2" t="s">
        <v>2</v>
      </c>
      <c r="E236" s="2"/>
      <c r="F236" s="2">
        <v>15</v>
      </c>
      <c r="G236" s="2">
        <v>7</v>
      </c>
      <c r="H236" s="2">
        <v>3101114</v>
      </c>
      <c r="I236" s="2">
        <v>145</v>
      </c>
      <c r="J236" s="2"/>
      <c r="K236" s="2">
        <v>57</v>
      </c>
      <c r="L236" s="2">
        <v>0</v>
      </c>
      <c r="M236" s="2">
        <v>12</v>
      </c>
      <c r="N236" s="2">
        <v>10</v>
      </c>
      <c r="O236" s="2">
        <v>25</v>
      </c>
      <c r="P236" s="2">
        <v>10</v>
      </c>
      <c r="Q236" s="2" t="s">
        <v>3239</v>
      </c>
      <c r="R236" s="2" t="s">
        <v>3240</v>
      </c>
      <c r="S236" s="4">
        <v>44952</v>
      </c>
    </row>
    <row r="237" spans="1:19" ht="12.5" x14ac:dyDescent="0.25">
      <c r="A237" s="14" t="str">
        <f>HYPERLINK("https://gerandofalcoes.my.salesforce.com/0014X00002YgggrQAB", "0014X00002YgggrQAB")</f>
        <v>0014X00002YgggrQAB</v>
      </c>
      <c r="B237" s="2" t="s">
        <v>3232</v>
      </c>
      <c r="C237" s="2" t="s">
        <v>423</v>
      </c>
      <c r="D237" s="2" t="s">
        <v>2</v>
      </c>
      <c r="E237" s="2"/>
      <c r="F237" s="2">
        <v>0</v>
      </c>
      <c r="G237" s="2">
        <v>6</v>
      </c>
      <c r="H237" s="2">
        <v>50000</v>
      </c>
      <c r="I237" s="2">
        <v>84</v>
      </c>
      <c r="J237" s="2"/>
      <c r="K237" s="2">
        <v>30</v>
      </c>
      <c r="L237" s="2">
        <v>0</v>
      </c>
      <c r="M237" s="2">
        <v>0</v>
      </c>
      <c r="N237" s="2">
        <v>10</v>
      </c>
      <c r="O237" s="2">
        <v>10</v>
      </c>
      <c r="P237" s="2">
        <v>10</v>
      </c>
      <c r="Q237" s="2" t="s">
        <v>3233</v>
      </c>
      <c r="R237" s="2" t="s">
        <v>3234</v>
      </c>
      <c r="S237" s="4">
        <v>44952</v>
      </c>
    </row>
    <row r="238" spans="1:19" ht="12.5" x14ac:dyDescent="0.25">
      <c r="A238" s="14" t="str">
        <f>HYPERLINK("https://gerandofalcoes.my.salesforce.com/0014X00002bCkJzQAK", "0014X00002bCkJzQAK")</f>
        <v>0014X00002bCkJzQAK</v>
      </c>
      <c r="B238" s="2" t="s">
        <v>3296</v>
      </c>
      <c r="C238" s="2" t="s">
        <v>423</v>
      </c>
      <c r="D238" s="2" t="s">
        <v>2</v>
      </c>
      <c r="E238" s="2"/>
      <c r="F238" s="2">
        <v>25</v>
      </c>
      <c r="G238" s="2">
        <v>2</v>
      </c>
      <c r="H238" s="2">
        <v>1000000</v>
      </c>
      <c r="I238" s="2">
        <v>0</v>
      </c>
      <c r="J238" s="2"/>
      <c r="K238" s="2">
        <v>43</v>
      </c>
      <c r="L238" s="2">
        <v>0</v>
      </c>
      <c r="M238" s="2">
        <v>12</v>
      </c>
      <c r="N238" s="2">
        <v>6</v>
      </c>
      <c r="O238" s="2">
        <v>25</v>
      </c>
      <c r="P238" s="2">
        <v>0</v>
      </c>
      <c r="Q238" s="2" t="s">
        <v>3297</v>
      </c>
      <c r="R238" s="2" t="s">
        <v>3298</v>
      </c>
      <c r="S238" s="4">
        <v>44952</v>
      </c>
    </row>
    <row r="239" spans="1:19" ht="12.5" x14ac:dyDescent="0.25">
      <c r="A239" s="14" t="str">
        <f>HYPERLINK("https://gerandofalcoes.my.salesforce.com/0014X00002YggmaQAB", "0014X00002YggmaQAB")</f>
        <v>0014X00002YggmaQAB</v>
      </c>
      <c r="B239" s="2" t="s">
        <v>3379</v>
      </c>
      <c r="C239" s="2" t="s">
        <v>423</v>
      </c>
      <c r="D239" s="2" t="s">
        <v>2</v>
      </c>
      <c r="E239" s="2"/>
      <c r="F239" s="2">
        <v>0</v>
      </c>
      <c r="G239" s="2">
        <v>2</v>
      </c>
      <c r="H239" s="2">
        <v>1000</v>
      </c>
      <c r="I239" s="2">
        <v>0</v>
      </c>
      <c r="J239" s="2"/>
      <c r="K239" s="2">
        <v>11</v>
      </c>
      <c r="L239" s="2">
        <v>0</v>
      </c>
      <c r="M239" s="2">
        <v>0</v>
      </c>
      <c r="N239" s="2">
        <v>6</v>
      </c>
      <c r="O239" s="2">
        <v>5</v>
      </c>
      <c r="P239" s="2">
        <v>0</v>
      </c>
      <c r="Q239" s="2" t="s">
        <v>3380</v>
      </c>
      <c r="R239" s="2" t="s">
        <v>3380</v>
      </c>
      <c r="S239" s="4">
        <v>44953</v>
      </c>
    </row>
    <row r="240" spans="1:19" ht="12.5" x14ac:dyDescent="0.25">
      <c r="A240" s="14" t="str">
        <f>HYPERLINK("https://gerandofalcoes.my.salesforce.com/0014X00002YggqxQAB", "0014X00002YggqxQAB")</f>
        <v>0014X00002YggqxQAB</v>
      </c>
      <c r="B240" s="2" t="s">
        <v>3375</v>
      </c>
      <c r="C240" s="2" t="s">
        <v>423</v>
      </c>
      <c r="D240" s="2" t="s">
        <v>2</v>
      </c>
      <c r="E240" s="2"/>
      <c r="F240" s="2">
        <v>3</v>
      </c>
      <c r="G240" s="2">
        <v>3</v>
      </c>
      <c r="H240" s="2">
        <v>1000</v>
      </c>
      <c r="I240" s="2">
        <v>6</v>
      </c>
      <c r="J240" s="2"/>
      <c r="K240" s="2">
        <v>23</v>
      </c>
      <c r="L240" s="2">
        <v>0</v>
      </c>
      <c r="M240" s="2">
        <v>5</v>
      </c>
      <c r="N240" s="2">
        <v>8</v>
      </c>
      <c r="O240" s="2">
        <v>5</v>
      </c>
      <c r="P240" s="2">
        <v>5</v>
      </c>
      <c r="Q240" s="2" t="s">
        <v>3376</v>
      </c>
      <c r="R240" s="2" t="s">
        <v>3376</v>
      </c>
      <c r="S240" s="4">
        <v>44953</v>
      </c>
    </row>
    <row r="241" spans="1:19" ht="12.5" x14ac:dyDescent="0.25">
      <c r="A241" s="14" t="str">
        <f>HYPERLINK("https://gerandofalcoes.my.salesforce.com/0014X00002YggnBQAR", "0014X00002YggnBQAR")</f>
        <v>0014X00002YggnBQAR</v>
      </c>
      <c r="B241" s="2" t="s">
        <v>3349</v>
      </c>
      <c r="C241" s="2" t="s">
        <v>423</v>
      </c>
      <c r="D241" s="2" t="s">
        <v>2</v>
      </c>
      <c r="E241" s="2"/>
      <c r="F241" s="2">
        <v>0</v>
      </c>
      <c r="G241" s="2">
        <v>3</v>
      </c>
      <c r="H241" s="2">
        <v>1000</v>
      </c>
      <c r="I241" s="2">
        <v>120</v>
      </c>
      <c r="J241" s="2"/>
      <c r="K241" s="2">
        <v>23</v>
      </c>
      <c r="L241" s="2">
        <v>0</v>
      </c>
      <c r="M241" s="2">
        <v>0</v>
      </c>
      <c r="N241" s="2">
        <v>8</v>
      </c>
      <c r="O241" s="2">
        <v>5</v>
      </c>
      <c r="P241" s="2">
        <v>10</v>
      </c>
      <c r="Q241" s="2" t="s">
        <v>3350</v>
      </c>
      <c r="R241" s="2" t="s">
        <v>3351</v>
      </c>
      <c r="S241" s="4">
        <v>44953</v>
      </c>
    </row>
    <row r="242" spans="1:19" ht="12.5" x14ac:dyDescent="0.25">
      <c r="A242" s="14" t="str">
        <f>HYPERLINK("https://gerandofalcoes.my.salesforce.com/0014X00002YggqDQAR", "0014X00002YggqDQAR")</f>
        <v>0014X00002YggqDQAR</v>
      </c>
      <c r="B242" s="2" t="s">
        <v>3381</v>
      </c>
      <c r="C242" s="2" t="s">
        <v>423</v>
      </c>
      <c r="D242" s="2" t="s">
        <v>2</v>
      </c>
      <c r="E242" s="2"/>
      <c r="F242" s="2">
        <v>0</v>
      </c>
      <c r="G242" s="2">
        <v>3</v>
      </c>
      <c r="H242" s="2">
        <v>50000</v>
      </c>
      <c r="I242" s="2">
        <v>0</v>
      </c>
      <c r="J242" s="2"/>
      <c r="K242" s="2">
        <v>18</v>
      </c>
      <c r="L242" s="2">
        <v>0</v>
      </c>
      <c r="M242" s="2">
        <v>0</v>
      </c>
      <c r="N242" s="2">
        <v>8</v>
      </c>
      <c r="O242" s="2">
        <v>10</v>
      </c>
      <c r="P242" s="2">
        <v>0</v>
      </c>
      <c r="Q242" s="2" t="s">
        <v>3382</v>
      </c>
      <c r="R242" s="2" t="s">
        <v>3383</v>
      </c>
      <c r="S242" s="4">
        <v>44953</v>
      </c>
    </row>
    <row r="243" spans="1:19" ht="12.5" x14ac:dyDescent="0.25">
      <c r="A243" s="14" t="str">
        <f>HYPERLINK("https://gerandofalcoes.my.salesforce.com/0014X00002YgggYQAR", "0014X00002YgggYQAR")</f>
        <v>0014X00002YgggYQAR</v>
      </c>
      <c r="B243" s="2" t="s">
        <v>3352</v>
      </c>
      <c r="C243" s="2" t="s">
        <v>423</v>
      </c>
      <c r="D243" s="2" t="s">
        <v>2</v>
      </c>
      <c r="E243" s="2"/>
      <c r="F243" s="2">
        <v>10</v>
      </c>
      <c r="G243" s="2">
        <v>3</v>
      </c>
      <c r="H243" s="2">
        <v>471944</v>
      </c>
      <c r="I243" s="2">
        <v>115</v>
      </c>
      <c r="J243" s="2"/>
      <c r="K243" s="2">
        <v>48</v>
      </c>
      <c r="L243" s="2">
        <v>0</v>
      </c>
      <c r="M243" s="2">
        <v>10</v>
      </c>
      <c r="N243" s="2">
        <v>8</v>
      </c>
      <c r="O243" s="2">
        <v>20</v>
      </c>
      <c r="P243" s="2">
        <v>10</v>
      </c>
      <c r="Q243" s="2" t="s">
        <v>3353</v>
      </c>
      <c r="R243" s="2" t="s">
        <v>7157</v>
      </c>
      <c r="S243" s="4">
        <v>44953</v>
      </c>
    </row>
    <row r="244" spans="1:19" ht="12.5" x14ac:dyDescent="0.25">
      <c r="A244" s="14" t="str">
        <f>HYPERLINK("https://gerandofalcoes.my.salesforce.com/0014X00002YggqlQAB", "0014X00002YggqlQAB")</f>
        <v>0014X00002YggqlQAB</v>
      </c>
      <c r="B244" s="2" t="s">
        <v>3308</v>
      </c>
      <c r="C244" s="2" t="s">
        <v>423</v>
      </c>
      <c r="D244" s="2" t="s">
        <v>2</v>
      </c>
      <c r="E244" s="2"/>
      <c r="F244" s="2">
        <v>15</v>
      </c>
      <c r="G244" s="2">
        <v>2</v>
      </c>
      <c r="H244" s="2">
        <v>20000</v>
      </c>
      <c r="I244" s="2">
        <v>120</v>
      </c>
      <c r="J244" s="2"/>
      <c r="K244" s="2">
        <v>33</v>
      </c>
      <c r="L244" s="2">
        <v>0</v>
      </c>
      <c r="M244" s="2">
        <v>12</v>
      </c>
      <c r="N244" s="2">
        <v>6</v>
      </c>
      <c r="O244" s="2">
        <v>5</v>
      </c>
      <c r="P244" s="2">
        <v>10</v>
      </c>
      <c r="Q244" s="2" t="s">
        <v>3309</v>
      </c>
      <c r="R244" s="2" t="s">
        <v>3310</v>
      </c>
      <c r="S244" s="4">
        <v>44953</v>
      </c>
    </row>
    <row r="245" spans="1:19" ht="12.5" x14ac:dyDescent="0.25">
      <c r="A245" s="14" t="str">
        <f>HYPERLINK("https://gerandofalcoes.my.salesforce.com/0014X00002YgglTQAR", "0014X00002YgglTQAR")</f>
        <v>0014X00002YgglTQAR</v>
      </c>
      <c r="B245" s="2" t="s">
        <v>3363</v>
      </c>
      <c r="C245" s="2" t="s">
        <v>423</v>
      </c>
      <c r="D245" s="2" t="s">
        <v>2</v>
      </c>
      <c r="E245" s="2"/>
      <c r="F245" s="2">
        <v>0</v>
      </c>
      <c r="G245" s="2">
        <v>2</v>
      </c>
      <c r="H245" s="2">
        <v>0</v>
      </c>
      <c r="I245" s="2">
        <v>60</v>
      </c>
      <c r="J245" s="2"/>
      <c r="K245" s="2">
        <v>11</v>
      </c>
      <c r="L245" s="2">
        <v>0</v>
      </c>
      <c r="M245" s="2">
        <v>0</v>
      </c>
      <c r="N245" s="2">
        <v>6</v>
      </c>
      <c r="O245" s="2">
        <v>0</v>
      </c>
      <c r="P245" s="2">
        <v>5</v>
      </c>
      <c r="Q245" s="2" t="s">
        <v>3364</v>
      </c>
      <c r="R245" s="2" t="s">
        <v>3364</v>
      </c>
      <c r="S245" s="4">
        <v>44953</v>
      </c>
    </row>
    <row r="246" spans="1:19" ht="12.5" x14ac:dyDescent="0.25">
      <c r="A246" s="14" t="str">
        <f>HYPERLINK("https://gerandofalcoes.my.salesforce.com/0014X00002YggmAQAR", "0014X00002YggmAQAR")</f>
        <v>0014X00002YggmAQAR</v>
      </c>
      <c r="B246" s="2" t="s">
        <v>3311</v>
      </c>
      <c r="C246" s="2" t="s">
        <v>423</v>
      </c>
      <c r="D246" s="2" t="s">
        <v>2</v>
      </c>
      <c r="E246" s="2"/>
      <c r="F246" s="2">
        <v>0</v>
      </c>
      <c r="G246" s="2">
        <v>5</v>
      </c>
      <c r="H246" s="2">
        <v>469000</v>
      </c>
      <c r="I246" s="2">
        <v>0</v>
      </c>
      <c r="J246" s="2"/>
      <c r="K246" s="2">
        <v>30</v>
      </c>
      <c r="L246" s="2">
        <v>0</v>
      </c>
      <c r="M246" s="2">
        <v>0</v>
      </c>
      <c r="N246" s="2">
        <v>10</v>
      </c>
      <c r="O246" s="2">
        <v>20</v>
      </c>
      <c r="P246" s="2">
        <v>0</v>
      </c>
      <c r="Q246" s="2" t="s">
        <v>3312</v>
      </c>
      <c r="R246" s="2" t="s">
        <v>3313</v>
      </c>
      <c r="S246" s="4">
        <v>44953</v>
      </c>
    </row>
    <row r="247" spans="1:19" ht="12.5" x14ac:dyDescent="0.25">
      <c r="A247" s="14" t="str">
        <f>HYPERLINK("https://gerandofalcoes.my.salesforce.com/0014X00002YgghWQAR", "0014X00002YgghWQAR")</f>
        <v>0014X00002YgghWQAR</v>
      </c>
      <c r="B247" s="2" t="s">
        <v>3331</v>
      </c>
      <c r="C247" s="2" t="s">
        <v>423</v>
      </c>
      <c r="D247" s="2" t="s">
        <v>2</v>
      </c>
      <c r="E247" s="2"/>
      <c r="F247" s="2">
        <v>0</v>
      </c>
      <c r="G247" s="2">
        <v>2</v>
      </c>
      <c r="H247" s="2">
        <v>8000</v>
      </c>
      <c r="I247" s="2">
        <v>0</v>
      </c>
      <c r="J247" s="2"/>
      <c r="K247" s="2">
        <v>11</v>
      </c>
      <c r="L247" s="2">
        <v>0</v>
      </c>
      <c r="M247" s="2">
        <v>0</v>
      </c>
      <c r="N247" s="2">
        <v>6</v>
      </c>
      <c r="O247" s="2">
        <v>5</v>
      </c>
      <c r="P247" s="2">
        <v>0</v>
      </c>
      <c r="Q247" s="2" t="s">
        <v>3332</v>
      </c>
      <c r="R247" s="2" t="s">
        <v>3333</v>
      </c>
      <c r="S247" s="4">
        <v>44953</v>
      </c>
    </row>
    <row r="248" spans="1:19" ht="12.5" x14ac:dyDescent="0.25">
      <c r="A248" s="14" t="str">
        <f>HYPERLINK("https://gerandofalcoes.my.salesforce.com/0014X00002YgglRQAR", "0014X00002YgglRQAR")</f>
        <v>0014X00002YgglRQAR</v>
      </c>
      <c r="B248" s="2" t="s">
        <v>3305</v>
      </c>
      <c r="C248" s="2" t="s">
        <v>423</v>
      </c>
      <c r="D248" s="2" t="s">
        <v>2</v>
      </c>
      <c r="E248" s="2"/>
      <c r="F248" s="2">
        <v>8</v>
      </c>
      <c r="G248" s="2">
        <v>2</v>
      </c>
      <c r="H248" s="2">
        <v>20000</v>
      </c>
      <c r="I248" s="2">
        <v>120</v>
      </c>
      <c r="J248" s="2"/>
      <c r="K248" s="2">
        <v>31</v>
      </c>
      <c r="L248" s="2">
        <v>0</v>
      </c>
      <c r="M248" s="2">
        <v>10</v>
      </c>
      <c r="N248" s="2">
        <v>6</v>
      </c>
      <c r="O248" s="2">
        <v>5</v>
      </c>
      <c r="P248" s="2">
        <v>10</v>
      </c>
      <c r="Q248" s="2" t="s">
        <v>3306</v>
      </c>
      <c r="R248" s="2" t="s">
        <v>3307</v>
      </c>
      <c r="S248" s="4">
        <v>44953</v>
      </c>
    </row>
    <row r="249" spans="1:19" ht="12.5" x14ac:dyDescent="0.25">
      <c r="A249" s="14" t="str">
        <f>HYPERLINK("https://gerandofalcoes.my.salesforce.com/0014X00002YggkuQAB", "0014X00002YggkuQAB")</f>
        <v>0014X00002YggkuQAB</v>
      </c>
      <c r="B249" s="2" t="s">
        <v>3302</v>
      </c>
      <c r="C249" s="2" t="s">
        <v>423</v>
      </c>
      <c r="D249" s="2" t="s">
        <v>2</v>
      </c>
      <c r="E249" s="2"/>
      <c r="F249" s="2">
        <v>9</v>
      </c>
      <c r="G249" s="2">
        <v>4</v>
      </c>
      <c r="H249" s="2">
        <v>200000</v>
      </c>
      <c r="I249" s="2">
        <v>60</v>
      </c>
      <c r="J249" s="2"/>
      <c r="K249" s="2">
        <v>40</v>
      </c>
      <c r="L249" s="2">
        <v>0</v>
      </c>
      <c r="M249" s="2">
        <v>10</v>
      </c>
      <c r="N249" s="2">
        <v>10</v>
      </c>
      <c r="O249" s="2">
        <v>15</v>
      </c>
      <c r="P249" s="2">
        <v>5</v>
      </c>
      <c r="Q249" s="2" t="s">
        <v>3303</v>
      </c>
      <c r="R249" s="2" t="s">
        <v>3304</v>
      </c>
      <c r="S249" s="4">
        <v>44953</v>
      </c>
    </row>
    <row r="250" spans="1:19" ht="12.5" x14ac:dyDescent="0.25">
      <c r="A250" s="14" t="str">
        <f>HYPERLINK("https://gerandofalcoes.my.salesforce.com/0014X00002YggnrQAB", "0014X00002YggnrQAB")</f>
        <v>0014X00002YggnrQAB</v>
      </c>
      <c r="B250" s="2" t="s">
        <v>3354</v>
      </c>
      <c r="C250" s="2" t="s">
        <v>423</v>
      </c>
      <c r="D250" s="2" t="s">
        <v>2</v>
      </c>
      <c r="E250" s="2"/>
      <c r="F250" s="2">
        <v>2</v>
      </c>
      <c r="G250" s="2">
        <v>5</v>
      </c>
      <c r="H250" s="2">
        <v>7006467</v>
      </c>
      <c r="I250" s="2">
        <v>100</v>
      </c>
      <c r="J250" s="2"/>
      <c r="K250" s="2">
        <v>50</v>
      </c>
      <c r="L250" s="2">
        <v>0</v>
      </c>
      <c r="M250" s="2">
        <v>5</v>
      </c>
      <c r="N250" s="2">
        <v>10</v>
      </c>
      <c r="O250" s="2">
        <v>25</v>
      </c>
      <c r="P250" s="2">
        <v>10</v>
      </c>
      <c r="Q250" s="2" t="s">
        <v>3355</v>
      </c>
      <c r="R250" s="2" t="s">
        <v>3356</v>
      </c>
      <c r="S250" s="4">
        <v>44953</v>
      </c>
    </row>
    <row r="251" spans="1:19" ht="12.5" x14ac:dyDescent="0.25">
      <c r="A251" s="14" t="str">
        <f>HYPERLINK("https://gerandofalcoes.my.salesforce.com/0014X00002Yggk2QAB", "0014X00002Yggk2QAB")</f>
        <v>0014X00002Yggk2QAB</v>
      </c>
      <c r="B251" s="2" t="s">
        <v>3389</v>
      </c>
      <c r="C251" s="2" t="s">
        <v>423</v>
      </c>
      <c r="D251" s="2" t="s">
        <v>2</v>
      </c>
      <c r="E251" s="2"/>
      <c r="F251" s="2">
        <v>0</v>
      </c>
      <c r="G251" s="2">
        <v>3</v>
      </c>
      <c r="H251" s="2">
        <v>0</v>
      </c>
      <c r="I251" s="2">
        <v>0</v>
      </c>
      <c r="J251" s="2"/>
      <c r="K251" s="2">
        <v>8</v>
      </c>
      <c r="L251" s="2">
        <v>0</v>
      </c>
      <c r="M251" s="2">
        <v>0</v>
      </c>
      <c r="N251" s="2">
        <v>8</v>
      </c>
      <c r="O251" s="2">
        <v>0</v>
      </c>
      <c r="P251" s="2">
        <v>0</v>
      </c>
      <c r="Q251" s="2" t="s">
        <v>3390</v>
      </c>
      <c r="R251" s="2" t="s">
        <v>3391</v>
      </c>
      <c r="S251" s="4">
        <v>44953</v>
      </c>
    </row>
    <row r="252" spans="1:19" ht="12.5" x14ac:dyDescent="0.25">
      <c r="A252" s="14" t="str">
        <f>HYPERLINK("https://gerandofalcoes.my.salesforce.com/0014X00002YgghwQAB", "0014X00002YgghwQAB")</f>
        <v>0014X00002YgghwQAB</v>
      </c>
      <c r="B252" s="2" t="s">
        <v>3549</v>
      </c>
      <c r="C252" s="2" t="s">
        <v>423</v>
      </c>
      <c r="D252" s="2" t="s">
        <v>2</v>
      </c>
      <c r="E252" s="2"/>
      <c r="F252" s="2">
        <v>0</v>
      </c>
      <c r="G252" s="2">
        <v>3</v>
      </c>
      <c r="H252" s="2">
        <v>2403625</v>
      </c>
      <c r="I252" s="2">
        <v>250</v>
      </c>
      <c r="J252" s="2"/>
      <c r="K252" s="2">
        <v>45</v>
      </c>
      <c r="L252" s="2">
        <v>0</v>
      </c>
      <c r="M252" s="2">
        <v>0</v>
      </c>
      <c r="N252" s="2">
        <v>8</v>
      </c>
      <c r="O252" s="2">
        <v>25</v>
      </c>
      <c r="P252" s="2">
        <v>12</v>
      </c>
      <c r="Q252" s="2" t="s">
        <v>3550</v>
      </c>
      <c r="R252" s="2" t="s">
        <v>3551</v>
      </c>
      <c r="S252" s="4">
        <v>44959</v>
      </c>
    </row>
    <row r="253" spans="1:19" ht="12.5" x14ac:dyDescent="0.25">
      <c r="A253" s="14" t="str">
        <f>HYPERLINK("https://gerandofalcoes.my.salesforce.com/0014X00002YggisQAB", "0014X00002YggisQAB")</f>
        <v>0014X00002YggisQAB</v>
      </c>
      <c r="B253" s="2" t="s">
        <v>3537</v>
      </c>
      <c r="C253" s="2" t="s">
        <v>423</v>
      </c>
      <c r="D253" s="2" t="s">
        <v>2</v>
      </c>
      <c r="E253" s="2"/>
      <c r="F253" s="2">
        <v>0</v>
      </c>
      <c r="G253" s="2">
        <v>2</v>
      </c>
      <c r="H253" s="2">
        <v>25000</v>
      </c>
      <c r="I253" s="2">
        <v>0</v>
      </c>
      <c r="J253" s="2"/>
      <c r="K253" s="2">
        <v>16</v>
      </c>
      <c r="L253" s="2">
        <v>0</v>
      </c>
      <c r="M253" s="2">
        <v>0</v>
      </c>
      <c r="N253" s="2">
        <v>6</v>
      </c>
      <c r="O253" s="2">
        <v>10</v>
      </c>
      <c r="P253" s="2">
        <v>0</v>
      </c>
      <c r="Q253" s="2" t="s">
        <v>3538</v>
      </c>
      <c r="R253" s="2" t="s">
        <v>3539</v>
      </c>
      <c r="S253" s="4">
        <v>44959</v>
      </c>
    </row>
    <row r="254" spans="1:19" ht="12.5" x14ac:dyDescent="0.25">
      <c r="A254" s="14" t="str">
        <f>HYPERLINK("https://gerandofalcoes.my.salesforce.com/0014X00002YggiOQAR", "0014X00002YggiOQAR")</f>
        <v>0014X00002YggiOQAR</v>
      </c>
      <c r="B254" s="2" t="s">
        <v>3552</v>
      </c>
      <c r="C254" s="2" t="s">
        <v>423</v>
      </c>
      <c r="D254" s="2" t="s">
        <v>2</v>
      </c>
      <c r="E254" s="2"/>
      <c r="F254" s="2">
        <v>0</v>
      </c>
      <c r="G254" s="2">
        <v>2</v>
      </c>
      <c r="H254" s="2">
        <v>500</v>
      </c>
      <c r="I254" s="2">
        <v>140</v>
      </c>
      <c r="J254" s="2"/>
      <c r="K254" s="2">
        <v>21</v>
      </c>
      <c r="L254" s="2">
        <v>0</v>
      </c>
      <c r="M254" s="2">
        <v>0</v>
      </c>
      <c r="N254" s="2">
        <v>6</v>
      </c>
      <c r="O254" s="2">
        <v>5</v>
      </c>
      <c r="P254" s="2">
        <v>10</v>
      </c>
      <c r="Q254" s="2" t="s">
        <v>3553</v>
      </c>
      <c r="R254" s="2" t="s">
        <v>3554</v>
      </c>
      <c r="S254" s="4">
        <v>44959</v>
      </c>
    </row>
    <row r="255" spans="1:19" ht="12.5" x14ac:dyDescent="0.25">
      <c r="A255" s="14" t="str">
        <f>HYPERLINK("https://gerandofalcoes.my.salesforce.com/0014X00002YgggTQAR", "0014X00002YgggTQAR")</f>
        <v>0014X00002YgggTQAR</v>
      </c>
      <c r="B255" s="2" t="s">
        <v>3569</v>
      </c>
      <c r="C255" s="2" t="s">
        <v>423</v>
      </c>
      <c r="D255" s="2" t="s">
        <v>2</v>
      </c>
      <c r="E255" s="2"/>
      <c r="F255" s="2">
        <v>25</v>
      </c>
      <c r="G255" s="2">
        <v>3</v>
      </c>
      <c r="H255" s="2">
        <v>15000</v>
      </c>
      <c r="I255" s="2">
        <v>1317</v>
      </c>
      <c r="J255" s="2"/>
      <c r="K255" s="2">
        <v>45</v>
      </c>
      <c r="L255" s="2">
        <v>0</v>
      </c>
      <c r="M255" s="2">
        <v>12</v>
      </c>
      <c r="N255" s="2">
        <v>8</v>
      </c>
      <c r="O255" s="2">
        <v>5</v>
      </c>
      <c r="P255" s="2">
        <v>20</v>
      </c>
      <c r="Q255" s="2" t="s">
        <v>3570</v>
      </c>
      <c r="R255" s="2" t="s">
        <v>3570</v>
      </c>
      <c r="S255" s="4">
        <v>44960</v>
      </c>
    </row>
    <row r="256" spans="1:19" ht="12.5" x14ac:dyDescent="0.25">
      <c r="A256" s="14" t="str">
        <f>HYPERLINK("https://gerandofalcoes.my.salesforce.com/0014X00002YggmbQAB", "0014X00002YggmbQAB")</f>
        <v>0014X00002YggmbQAB</v>
      </c>
      <c r="B256" s="2" t="s">
        <v>3586</v>
      </c>
      <c r="C256" s="2" t="s">
        <v>423</v>
      </c>
      <c r="D256" s="2" t="s">
        <v>2</v>
      </c>
      <c r="E256" s="2"/>
      <c r="F256" s="2">
        <v>1</v>
      </c>
      <c r="G256" s="2">
        <v>4</v>
      </c>
      <c r="H256" s="2">
        <v>24000</v>
      </c>
      <c r="I256" s="2">
        <v>15</v>
      </c>
      <c r="J256" s="2"/>
      <c r="K256" s="2">
        <v>25</v>
      </c>
      <c r="L256" s="2">
        <v>0</v>
      </c>
      <c r="M256" s="2">
        <v>5</v>
      </c>
      <c r="N256" s="2">
        <v>10</v>
      </c>
      <c r="O256" s="2">
        <v>5</v>
      </c>
      <c r="P256" s="2">
        <v>5</v>
      </c>
      <c r="Q256" s="2" t="s">
        <v>3587</v>
      </c>
      <c r="R256" s="2" t="s">
        <v>3587</v>
      </c>
      <c r="S256" s="4">
        <v>44961</v>
      </c>
    </row>
    <row r="257" spans="1:19" ht="12.5" x14ac:dyDescent="0.25">
      <c r="A257" s="14" t="str">
        <f>HYPERLINK("https://gerandofalcoes.my.salesforce.com/0014X00002YggjuQAB", "0014X00002YggjuQAB")</f>
        <v>0014X00002YggjuQAB</v>
      </c>
      <c r="B257" s="2" t="s">
        <v>3583</v>
      </c>
      <c r="C257" s="2" t="s">
        <v>423</v>
      </c>
      <c r="D257" s="2" t="s">
        <v>2</v>
      </c>
      <c r="E257" s="2"/>
      <c r="F257" s="2">
        <v>0</v>
      </c>
      <c r="G257" s="2">
        <v>7</v>
      </c>
      <c r="H257" s="2">
        <v>3000</v>
      </c>
      <c r="I257" s="2">
        <v>30</v>
      </c>
      <c r="J257" s="2"/>
      <c r="K257" s="2">
        <v>20</v>
      </c>
      <c r="L257" s="2">
        <v>0</v>
      </c>
      <c r="M257" s="2">
        <v>0</v>
      </c>
      <c r="N257" s="2">
        <v>10</v>
      </c>
      <c r="O257" s="2">
        <v>5</v>
      </c>
      <c r="P257" s="2">
        <v>5</v>
      </c>
      <c r="Q257" s="2" t="s">
        <v>3584</v>
      </c>
      <c r="R257" s="2" t="s">
        <v>3585</v>
      </c>
      <c r="S257" s="4">
        <v>44961</v>
      </c>
    </row>
    <row r="258" spans="1:19" ht="12.5" x14ac:dyDescent="0.25">
      <c r="A258" s="14" t="str">
        <f>HYPERLINK("https://gerandofalcoes.my.salesforce.com/0014X00002YggpAQAR", "0014X00002YggpAQAR")</f>
        <v>0014X00002YggpAQAR</v>
      </c>
      <c r="B258" s="2" t="s">
        <v>3591</v>
      </c>
      <c r="C258" s="2" t="s">
        <v>423</v>
      </c>
      <c r="D258" s="2" t="s">
        <v>2</v>
      </c>
      <c r="E258" s="2"/>
      <c r="F258" s="2">
        <v>17</v>
      </c>
      <c r="G258" s="2">
        <v>5</v>
      </c>
      <c r="H258" s="2">
        <v>586443</v>
      </c>
      <c r="I258" s="2">
        <v>0</v>
      </c>
      <c r="J258" s="2"/>
      <c r="K258" s="2">
        <v>42</v>
      </c>
      <c r="L258" s="2">
        <v>0</v>
      </c>
      <c r="M258" s="2">
        <v>12</v>
      </c>
      <c r="N258" s="2">
        <v>10</v>
      </c>
      <c r="O258" s="2">
        <v>20</v>
      </c>
      <c r="P258" s="2">
        <v>0</v>
      </c>
      <c r="Q258" s="2" t="s">
        <v>3592</v>
      </c>
      <c r="R258" s="2" t="s">
        <v>3593</v>
      </c>
      <c r="S258" s="4">
        <v>44962</v>
      </c>
    </row>
    <row r="259" spans="1:19" ht="12.5" x14ac:dyDescent="0.25">
      <c r="A259" s="14" t="str">
        <f>HYPERLINK("https://gerandofalcoes.my.salesforce.com/0014X00002YggpXQAR", "0014X00002YggpXQAR")</f>
        <v>0014X00002YggpXQAR</v>
      </c>
      <c r="B259" s="2" t="s">
        <v>3597</v>
      </c>
      <c r="C259" s="2" t="s">
        <v>423</v>
      </c>
      <c r="D259" s="2" t="s">
        <v>2</v>
      </c>
      <c r="E259" s="2"/>
      <c r="F259" s="2">
        <v>0</v>
      </c>
      <c r="G259" s="2">
        <v>3</v>
      </c>
      <c r="H259" s="2">
        <v>48</v>
      </c>
      <c r="I259" s="2">
        <v>270</v>
      </c>
      <c r="J259" s="2"/>
      <c r="K259" s="2">
        <v>25</v>
      </c>
      <c r="L259" s="2">
        <v>0</v>
      </c>
      <c r="M259" s="2">
        <v>0</v>
      </c>
      <c r="N259" s="2">
        <v>8</v>
      </c>
      <c r="O259" s="2">
        <v>5</v>
      </c>
      <c r="P259" s="2">
        <v>12</v>
      </c>
      <c r="Q259" s="2" t="s">
        <v>3598</v>
      </c>
      <c r="R259" s="2" t="s">
        <v>3599</v>
      </c>
      <c r="S259" s="4">
        <v>44962</v>
      </c>
    </row>
    <row r="260" spans="1:19" ht="12.5" x14ac:dyDescent="0.25">
      <c r="A260" s="14" t="str">
        <f>HYPERLINK("https://gerandofalcoes.my.salesforce.com/0014X00002bFKFnQAO", "0014X00002bFKFnQAO")</f>
        <v>0014X00002bFKFnQAO</v>
      </c>
      <c r="B260" s="2" t="s">
        <v>3605</v>
      </c>
      <c r="C260" s="2" t="s">
        <v>1684</v>
      </c>
      <c r="D260" s="2" t="s">
        <v>2</v>
      </c>
      <c r="E260" s="2"/>
      <c r="F260" s="2">
        <v>0</v>
      </c>
      <c r="G260" s="2">
        <v>0</v>
      </c>
      <c r="H260" s="2">
        <v>0</v>
      </c>
      <c r="I260" s="2">
        <v>0</v>
      </c>
      <c r="J260" s="2"/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 t="s">
        <v>3606</v>
      </c>
      <c r="R260" s="2"/>
      <c r="S260" s="4">
        <v>44962</v>
      </c>
    </row>
    <row r="261" spans="1:19" ht="12.5" x14ac:dyDescent="0.25">
      <c r="A261" s="14" t="str">
        <f>HYPERLINK("https://gerandofalcoes.my.salesforce.com/0014X00002UFYFtQAP", "0014X00002UFYFtQAP")</f>
        <v>0014X00002UFYFtQAP</v>
      </c>
      <c r="B261" s="2" t="s">
        <v>3588</v>
      </c>
      <c r="C261" s="2" t="s">
        <v>1684</v>
      </c>
      <c r="D261" s="2" t="s">
        <v>2</v>
      </c>
      <c r="E261" s="2">
        <v>90</v>
      </c>
      <c r="F261" s="2">
        <v>15</v>
      </c>
      <c r="G261" s="2">
        <v>4</v>
      </c>
      <c r="H261" s="2">
        <v>600000</v>
      </c>
      <c r="I261" s="2">
        <v>5000</v>
      </c>
      <c r="J261" s="2"/>
      <c r="K261" s="2">
        <v>92</v>
      </c>
      <c r="L261" s="2">
        <v>30</v>
      </c>
      <c r="M261" s="2">
        <v>12</v>
      </c>
      <c r="N261" s="2">
        <v>10</v>
      </c>
      <c r="O261" s="2">
        <v>20</v>
      </c>
      <c r="P261" s="2">
        <v>20</v>
      </c>
      <c r="Q261" s="2" t="s">
        <v>3589</v>
      </c>
      <c r="R261" s="2" t="s">
        <v>3590</v>
      </c>
      <c r="S261" s="4">
        <v>44962</v>
      </c>
    </row>
    <row r="262" spans="1:19" ht="12.5" x14ac:dyDescent="0.25">
      <c r="A262" s="14" t="str">
        <f>HYPERLINK("https://gerandofalcoes.my.salesforce.com/0014X00002YggjRQAR", "0014X00002YggjRQAR")</f>
        <v>0014X00002YggjRQAR</v>
      </c>
      <c r="B262" s="2" t="s">
        <v>3607</v>
      </c>
      <c r="C262" s="2" t="s">
        <v>423</v>
      </c>
      <c r="D262" s="2" t="s">
        <v>2</v>
      </c>
      <c r="E262" s="2"/>
      <c r="F262" s="2">
        <v>0</v>
      </c>
      <c r="G262" s="2">
        <v>4</v>
      </c>
      <c r="H262" s="2">
        <v>6000</v>
      </c>
      <c r="I262" s="2">
        <v>20</v>
      </c>
      <c r="J262" s="2"/>
      <c r="K262" s="2">
        <v>20</v>
      </c>
      <c r="L262" s="2">
        <v>0</v>
      </c>
      <c r="M262" s="2">
        <v>0</v>
      </c>
      <c r="N262" s="2">
        <v>10</v>
      </c>
      <c r="O262" s="2">
        <v>5</v>
      </c>
      <c r="P262" s="2">
        <v>5</v>
      </c>
      <c r="Q262" s="2" t="s">
        <v>3608</v>
      </c>
      <c r="R262" s="2" t="s">
        <v>3609</v>
      </c>
      <c r="S262" s="4">
        <v>44963</v>
      </c>
    </row>
    <row r="263" spans="1:19" ht="12.5" x14ac:dyDescent="0.25">
      <c r="A263" s="14" t="str">
        <f>HYPERLINK("https://gerandofalcoes.my.salesforce.com/0014X00002YggkzQAB", "0014X00002YggkzQAB")</f>
        <v>0014X00002YggkzQAB</v>
      </c>
      <c r="B263" s="2" t="s">
        <v>3637</v>
      </c>
      <c r="C263" s="2" t="s">
        <v>423</v>
      </c>
      <c r="D263" s="2" t="s">
        <v>2</v>
      </c>
      <c r="E263" s="2"/>
      <c r="F263" s="2">
        <v>0</v>
      </c>
      <c r="G263" s="2">
        <v>3</v>
      </c>
      <c r="H263" s="2">
        <v>3410</v>
      </c>
      <c r="I263" s="2">
        <v>0</v>
      </c>
      <c r="J263" s="2"/>
      <c r="K263" s="2">
        <v>13</v>
      </c>
      <c r="L263" s="2">
        <v>0</v>
      </c>
      <c r="M263" s="2">
        <v>0</v>
      </c>
      <c r="N263" s="2">
        <v>8</v>
      </c>
      <c r="O263" s="2">
        <v>5</v>
      </c>
      <c r="P263" s="2">
        <v>0</v>
      </c>
      <c r="Q263" s="2" t="s">
        <v>3638</v>
      </c>
      <c r="R263" s="2" t="s">
        <v>3639</v>
      </c>
      <c r="S263" s="4">
        <v>44963</v>
      </c>
    </row>
    <row r="264" spans="1:19" ht="12.5" x14ac:dyDescent="0.25">
      <c r="A264" s="14" t="str">
        <f>HYPERLINK("https://gerandofalcoes.my.salesforce.com/0014X00002YggkoQAB", "0014X00002YggkoQAB")</f>
        <v>0014X00002YggkoQAB</v>
      </c>
      <c r="B264" s="2" t="s">
        <v>3631</v>
      </c>
      <c r="C264" s="2" t="s">
        <v>423</v>
      </c>
      <c r="D264" s="2" t="s">
        <v>2</v>
      </c>
      <c r="E264" s="2"/>
      <c r="F264" s="2">
        <v>0</v>
      </c>
      <c r="G264" s="2">
        <v>2</v>
      </c>
      <c r="H264" s="2">
        <v>10000</v>
      </c>
      <c r="I264" s="2">
        <v>30</v>
      </c>
      <c r="J264" s="2"/>
      <c r="K264" s="2">
        <v>16</v>
      </c>
      <c r="L264" s="2">
        <v>0</v>
      </c>
      <c r="M264" s="2">
        <v>0</v>
      </c>
      <c r="N264" s="2">
        <v>6</v>
      </c>
      <c r="O264" s="2">
        <v>5</v>
      </c>
      <c r="P264" s="2">
        <v>5</v>
      </c>
      <c r="Q264" s="2" t="s">
        <v>3632</v>
      </c>
      <c r="R264" s="2" t="s">
        <v>3633</v>
      </c>
      <c r="S264" s="4">
        <v>44963</v>
      </c>
    </row>
    <row r="265" spans="1:19" ht="12.5" x14ac:dyDescent="0.25">
      <c r="A265" s="14" t="str">
        <f>HYPERLINK("https://gerandofalcoes.my.salesforce.com/0014X00002YggovQAB", "0014X00002YggovQAB")</f>
        <v>0014X00002YggovQAB</v>
      </c>
      <c r="B265" s="2" t="s">
        <v>3634</v>
      </c>
      <c r="C265" s="2" t="s">
        <v>423</v>
      </c>
      <c r="D265" s="2" t="s">
        <v>2</v>
      </c>
      <c r="E265" s="2"/>
      <c r="F265" s="2">
        <v>0</v>
      </c>
      <c r="G265" s="2">
        <v>3</v>
      </c>
      <c r="H265" s="2">
        <v>13000</v>
      </c>
      <c r="I265" s="2">
        <v>30</v>
      </c>
      <c r="J265" s="2"/>
      <c r="K265" s="2">
        <v>18</v>
      </c>
      <c r="L265" s="2">
        <v>0</v>
      </c>
      <c r="M265" s="2">
        <v>0</v>
      </c>
      <c r="N265" s="2">
        <v>8</v>
      </c>
      <c r="O265" s="2">
        <v>5</v>
      </c>
      <c r="P265" s="2">
        <v>5</v>
      </c>
      <c r="Q265" s="2" t="s">
        <v>3635</v>
      </c>
      <c r="R265" s="2" t="s">
        <v>3636</v>
      </c>
      <c r="S265" s="4">
        <v>44963</v>
      </c>
    </row>
    <row r="266" spans="1:19" ht="12.5" x14ac:dyDescent="0.25">
      <c r="A266" s="14" t="str">
        <f>HYPERLINK("https://gerandofalcoes.my.salesforce.com/0014X00002YggjsQAB", "0014X00002YggjsQAB")</f>
        <v>0014X00002YggjsQAB</v>
      </c>
      <c r="B266" s="2" t="s">
        <v>3610</v>
      </c>
      <c r="C266" s="2" t="s">
        <v>423</v>
      </c>
      <c r="D266" s="2" t="s">
        <v>2</v>
      </c>
      <c r="E266" s="2"/>
      <c r="F266" s="2">
        <v>10</v>
      </c>
      <c r="G266" s="2">
        <v>2</v>
      </c>
      <c r="H266" s="2">
        <v>40000</v>
      </c>
      <c r="I266" s="2">
        <v>65</v>
      </c>
      <c r="J266" s="2"/>
      <c r="K266" s="2">
        <v>31</v>
      </c>
      <c r="L266" s="2">
        <v>0</v>
      </c>
      <c r="M266" s="2">
        <v>10</v>
      </c>
      <c r="N266" s="2">
        <v>6</v>
      </c>
      <c r="O266" s="2">
        <v>10</v>
      </c>
      <c r="P266" s="2">
        <v>5</v>
      </c>
      <c r="Q266" s="2" t="s">
        <v>7158</v>
      </c>
      <c r="R266" s="2" t="s">
        <v>7159</v>
      </c>
      <c r="S266" s="4">
        <v>44963</v>
      </c>
    </row>
    <row r="267" spans="1:19" ht="12.5" x14ac:dyDescent="0.25">
      <c r="A267" s="14" t="str">
        <f>HYPERLINK("https://gerandofalcoes.my.salesforce.com/0014X00002YgggUQAR", "0014X00002YgggUQAR")</f>
        <v>0014X00002YgggUQAR</v>
      </c>
      <c r="B267" s="2" t="s">
        <v>3640</v>
      </c>
      <c r="C267" s="2" t="s">
        <v>1684</v>
      </c>
      <c r="D267" s="2" t="s">
        <v>2</v>
      </c>
      <c r="E267" s="2"/>
      <c r="F267" s="2">
        <v>0</v>
      </c>
      <c r="G267" s="2">
        <v>2</v>
      </c>
      <c r="H267" s="2">
        <v>45000</v>
      </c>
      <c r="I267" s="2">
        <v>0</v>
      </c>
      <c r="J267" s="2"/>
      <c r="K267" s="2">
        <v>16</v>
      </c>
      <c r="L267" s="2">
        <v>0</v>
      </c>
      <c r="M267" s="2">
        <v>0</v>
      </c>
      <c r="N267" s="2">
        <v>6</v>
      </c>
      <c r="O267" s="2">
        <v>10</v>
      </c>
      <c r="P267" s="2">
        <v>0</v>
      </c>
      <c r="Q267" s="2" t="s">
        <v>3641</v>
      </c>
      <c r="R267" s="2" t="s">
        <v>3641</v>
      </c>
      <c r="S267" s="4">
        <v>44963</v>
      </c>
    </row>
    <row r="268" spans="1:19" ht="12.5" x14ac:dyDescent="0.25">
      <c r="A268" s="14" t="str">
        <f>HYPERLINK("https://gerandofalcoes.my.salesforce.com/0014X00002YggoBQAR", "0014X00002YggoBQAR")</f>
        <v>0014X00002YggoBQAR</v>
      </c>
      <c r="B268" s="2" t="s">
        <v>3642</v>
      </c>
      <c r="C268" s="2" t="s">
        <v>423</v>
      </c>
      <c r="D268" s="2" t="s">
        <v>2</v>
      </c>
      <c r="E268" s="2"/>
      <c r="F268" s="2">
        <v>0</v>
      </c>
      <c r="G268" s="2">
        <v>3</v>
      </c>
      <c r="H268" s="2">
        <v>1200</v>
      </c>
      <c r="I268" s="2">
        <v>0</v>
      </c>
      <c r="J268" s="2"/>
      <c r="K268" s="2">
        <v>13</v>
      </c>
      <c r="L268" s="2">
        <v>0</v>
      </c>
      <c r="M268" s="2">
        <v>0</v>
      </c>
      <c r="N268" s="2">
        <v>8</v>
      </c>
      <c r="O268" s="2">
        <v>5</v>
      </c>
      <c r="P268" s="2">
        <v>0</v>
      </c>
      <c r="Q268" s="2" t="s">
        <v>3643</v>
      </c>
      <c r="R268" s="2" t="s">
        <v>3643</v>
      </c>
      <c r="S268" s="4">
        <v>44963</v>
      </c>
    </row>
    <row r="269" spans="1:19" ht="12.5" x14ac:dyDescent="0.25">
      <c r="A269" s="14" t="str">
        <f>HYPERLINK("https://gerandofalcoes.my.salesforce.com/0014X00002YggnHQAR", "0014X00002YggnHQAR")</f>
        <v>0014X00002YggnHQAR</v>
      </c>
      <c r="B269" s="2" t="s">
        <v>3612</v>
      </c>
      <c r="C269" s="2" t="s">
        <v>423</v>
      </c>
      <c r="D269" s="2" t="s">
        <v>2</v>
      </c>
      <c r="E269" s="2"/>
      <c r="F269" s="2">
        <v>0</v>
      </c>
      <c r="G269" s="2">
        <v>2</v>
      </c>
      <c r="H269" s="2">
        <v>10</v>
      </c>
      <c r="I269" s="2">
        <v>0</v>
      </c>
      <c r="J269" s="2"/>
      <c r="K269" s="2">
        <v>11</v>
      </c>
      <c r="L269" s="2">
        <v>0</v>
      </c>
      <c r="M269" s="2">
        <v>0</v>
      </c>
      <c r="N269" s="2">
        <v>6</v>
      </c>
      <c r="O269" s="2">
        <v>5</v>
      </c>
      <c r="P269" s="2">
        <v>0</v>
      </c>
      <c r="Q269" s="2" t="s">
        <v>3613</v>
      </c>
      <c r="R269" s="2" t="s">
        <v>3613</v>
      </c>
      <c r="S269" s="4">
        <v>44963</v>
      </c>
    </row>
    <row r="270" spans="1:19" ht="12.5" x14ac:dyDescent="0.25">
      <c r="A270" s="14" t="str">
        <f>HYPERLINK("https://gerandofalcoes.my.salesforce.com/0014X00002YggqQQAR", "0014X00002YggqQQAR")</f>
        <v>0014X00002YggqQQAR</v>
      </c>
      <c r="B270" s="2" t="s">
        <v>3665</v>
      </c>
      <c r="C270" s="2" t="s">
        <v>423</v>
      </c>
      <c r="D270" s="2" t="s">
        <v>2</v>
      </c>
      <c r="E270" s="2"/>
      <c r="F270" s="2">
        <v>0</v>
      </c>
      <c r="G270" s="2">
        <v>2</v>
      </c>
      <c r="H270" s="2">
        <v>800</v>
      </c>
      <c r="I270" s="2">
        <v>60</v>
      </c>
      <c r="J270" s="2"/>
      <c r="K270" s="2">
        <v>16</v>
      </c>
      <c r="L270" s="2">
        <v>0</v>
      </c>
      <c r="M270" s="2">
        <v>0</v>
      </c>
      <c r="N270" s="2">
        <v>6</v>
      </c>
      <c r="O270" s="2">
        <v>5</v>
      </c>
      <c r="P270" s="2">
        <v>5</v>
      </c>
      <c r="Q270" s="2" t="s">
        <v>3666</v>
      </c>
      <c r="R270" s="2" t="s">
        <v>3666</v>
      </c>
      <c r="S270" s="4">
        <v>44964</v>
      </c>
    </row>
    <row r="271" spans="1:19" ht="12.5" x14ac:dyDescent="0.25">
      <c r="A271" s="14" t="str">
        <f>HYPERLINK("https://gerandofalcoes.my.salesforce.com/0014X00002Yggm8QAB", "0014X00002Yggm8QAB")</f>
        <v>0014X00002Yggm8QAB</v>
      </c>
      <c r="B271" s="2" t="s">
        <v>3678</v>
      </c>
      <c r="C271" s="2" t="s">
        <v>423</v>
      </c>
      <c r="D271" s="2" t="s">
        <v>2</v>
      </c>
      <c r="E271" s="2"/>
      <c r="F271" s="2">
        <v>4</v>
      </c>
      <c r="G271" s="2">
        <v>3</v>
      </c>
      <c r="H271" s="2">
        <v>140000</v>
      </c>
      <c r="I271" s="2">
        <v>216</v>
      </c>
      <c r="J271" s="2"/>
      <c r="K271" s="2">
        <v>40</v>
      </c>
      <c r="L271" s="2">
        <v>0</v>
      </c>
      <c r="M271" s="2">
        <v>5</v>
      </c>
      <c r="N271" s="2">
        <v>8</v>
      </c>
      <c r="O271" s="2">
        <v>15</v>
      </c>
      <c r="P271" s="2">
        <v>12</v>
      </c>
      <c r="Q271" s="2" t="s">
        <v>3679</v>
      </c>
      <c r="R271" s="2" t="s">
        <v>3680</v>
      </c>
      <c r="S271" s="4">
        <v>44964</v>
      </c>
    </row>
    <row r="272" spans="1:19" ht="12.5" x14ac:dyDescent="0.25">
      <c r="A272" s="14" t="str">
        <f>HYPERLINK("https://gerandofalcoes.my.salesforce.com/0014X00002YggjFQAR", "0014X00002YggjFQAR")</f>
        <v>0014X00002YggjFQAR</v>
      </c>
      <c r="B272" s="2" t="s">
        <v>3686</v>
      </c>
      <c r="C272" s="2" t="s">
        <v>423</v>
      </c>
      <c r="D272" s="2" t="s">
        <v>2</v>
      </c>
      <c r="E272" s="2"/>
      <c r="F272" s="2">
        <v>0</v>
      </c>
      <c r="G272" s="2">
        <v>2</v>
      </c>
      <c r="H272" s="2">
        <v>0</v>
      </c>
      <c r="I272" s="2">
        <v>0</v>
      </c>
      <c r="J272" s="2"/>
      <c r="K272" s="2">
        <v>6</v>
      </c>
      <c r="L272" s="2">
        <v>0</v>
      </c>
      <c r="M272" s="2">
        <v>0</v>
      </c>
      <c r="N272" s="2">
        <v>6</v>
      </c>
      <c r="O272" s="2">
        <v>0</v>
      </c>
      <c r="P272" s="2">
        <v>0</v>
      </c>
      <c r="Q272" s="2" t="s">
        <v>3687</v>
      </c>
      <c r="R272" s="2" t="s">
        <v>3688</v>
      </c>
      <c r="S272" s="4">
        <v>44964</v>
      </c>
    </row>
    <row r="273" spans="1:19" ht="12.5" x14ac:dyDescent="0.25">
      <c r="A273" s="14" t="str">
        <f>HYPERLINK("https://gerandofalcoes.my.salesforce.com/0014X00002YggkRQAR", "0014X00002YggkRQAR")</f>
        <v>0014X00002YggkRQAR</v>
      </c>
      <c r="B273" s="2" t="s">
        <v>3652</v>
      </c>
      <c r="C273" s="2" t="s">
        <v>423</v>
      </c>
      <c r="D273" s="2" t="s">
        <v>2</v>
      </c>
      <c r="E273" s="2"/>
      <c r="F273" s="2">
        <v>0</v>
      </c>
      <c r="G273" s="2">
        <v>3</v>
      </c>
      <c r="H273" s="2">
        <v>20000</v>
      </c>
      <c r="I273" s="2">
        <v>80</v>
      </c>
      <c r="J273" s="2"/>
      <c r="K273" s="2">
        <v>23</v>
      </c>
      <c r="L273" s="2">
        <v>0</v>
      </c>
      <c r="M273" s="2">
        <v>0</v>
      </c>
      <c r="N273" s="2">
        <v>8</v>
      </c>
      <c r="O273" s="2">
        <v>5</v>
      </c>
      <c r="P273" s="2">
        <v>10</v>
      </c>
      <c r="Q273" s="2" t="s">
        <v>3653</v>
      </c>
      <c r="R273" s="2" t="s">
        <v>3653</v>
      </c>
      <c r="S273" s="4">
        <v>44964</v>
      </c>
    </row>
    <row r="274" spans="1:19" ht="12.5" x14ac:dyDescent="0.25">
      <c r="A274" s="14" t="str">
        <f>HYPERLINK("https://gerandofalcoes.my.salesforce.com/0014X00002YggmvQAB", "0014X00002YggmvQAB")</f>
        <v>0014X00002YggmvQAB</v>
      </c>
      <c r="B274" s="2" t="s">
        <v>3654</v>
      </c>
      <c r="C274" s="2" t="s">
        <v>423</v>
      </c>
      <c r="D274" s="2" t="s">
        <v>2</v>
      </c>
      <c r="E274" s="2"/>
      <c r="F274" s="2">
        <v>0</v>
      </c>
      <c r="G274" s="2">
        <v>2</v>
      </c>
      <c r="H274" s="2">
        <v>17500000</v>
      </c>
      <c r="I274" s="2">
        <v>84</v>
      </c>
      <c r="J274" s="2"/>
      <c r="K274" s="2">
        <v>41</v>
      </c>
      <c r="L274" s="2">
        <v>0</v>
      </c>
      <c r="M274" s="2">
        <v>0</v>
      </c>
      <c r="N274" s="2">
        <v>6</v>
      </c>
      <c r="O274" s="2">
        <v>25</v>
      </c>
      <c r="P274" s="2">
        <v>10</v>
      </c>
      <c r="Q274" s="2" t="s">
        <v>3655</v>
      </c>
      <c r="R274" s="2" t="s">
        <v>3656</v>
      </c>
      <c r="S274" s="4">
        <v>44964</v>
      </c>
    </row>
    <row r="275" spans="1:19" ht="12.5" x14ac:dyDescent="0.25">
      <c r="A275" s="14" t="str">
        <f>HYPERLINK("https://gerandofalcoes.my.salesforce.com/0014X00002Yggh1QAB", "0014X00002Yggh1QAB")</f>
        <v>0014X00002Yggh1QAB</v>
      </c>
      <c r="B275" s="2" t="s">
        <v>3675</v>
      </c>
      <c r="C275" s="2" t="s">
        <v>423</v>
      </c>
      <c r="D275" s="2" t="s">
        <v>2</v>
      </c>
      <c r="E275" s="2"/>
      <c r="F275" s="2">
        <v>23</v>
      </c>
      <c r="G275" s="2">
        <v>6</v>
      </c>
      <c r="H275" s="2">
        <v>99279054</v>
      </c>
      <c r="I275" s="2">
        <v>520</v>
      </c>
      <c r="J275" s="2"/>
      <c r="K275" s="2">
        <v>67</v>
      </c>
      <c r="L275" s="2">
        <v>0</v>
      </c>
      <c r="M275" s="2">
        <v>12</v>
      </c>
      <c r="N275" s="2">
        <v>10</v>
      </c>
      <c r="O275" s="2">
        <v>25</v>
      </c>
      <c r="P275" s="2">
        <v>20</v>
      </c>
      <c r="Q275" s="2" t="s">
        <v>3676</v>
      </c>
      <c r="R275" s="2" t="s">
        <v>3677</v>
      </c>
      <c r="S275" s="4">
        <v>44964</v>
      </c>
    </row>
    <row r="276" spans="1:19" ht="12.5" x14ac:dyDescent="0.25">
      <c r="A276" s="14" t="str">
        <f>HYPERLINK("https://gerandofalcoes.my.salesforce.com/0014X00002YggpeQAB", "0014X00002YggpeQAB")</f>
        <v>0014X00002YggpeQAB</v>
      </c>
      <c r="B276" s="2" t="s">
        <v>3670</v>
      </c>
      <c r="C276" s="2" t="s">
        <v>423</v>
      </c>
      <c r="D276" s="2" t="s">
        <v>2</v>
      </c>
      <c r="E276" s="2"/>
      <c r="F276" s="2">
        <v>0</v>
      </c>
      <c r="G276" s="2">
        <v>4</v>
      </c>
      <c r="H276" s="2">
        <v>32100</v>
      </c>
      <c r="I276" s="2">
        <v>0</v>
      </c>
      <c r="J276" s="2"/>
      <c r="K276" s="2">
        <v>20</v>
      </c>
      <c r="L276" s="2">
        <v>0</v>
      </c>
      <c r="M276" s="2">
        <v>0</v>
      </c>
      <c r="N276" s="2">
        <v>10</v>
      </c>
      <c r="O276" s="2">
        <v>10</v>
      </c>
      <c r="P276" s="2">
        <v>0</v>
      </c>
      <c r="Q276" s="2" t="s">
        <v>3671</v>
      </c>
      <c r="R276" s="2" t="s">
        <v>7149</v>
      </c>
      <c r="S276" s="4">
        <v>44964</v>
      </c>
    </row>
    <row r="277" spans="1:19" ht="12.5" x14ac:dyDescent="0.25">
      <c r="A277" s="14" t="str">
        <f>HYPERLINK("https://gerandofalcoes.my.salesforce.com/0014X00002YggniQAB", "0014X00002YggniQAB")</f>
        <v>0014X00002YggniQAB</v>
      </c>
      <c r="B277" s="2" t="s">
        <v>3647</v>
      </c>
      <c r="C277" s="2" t="s">
        <v>423</v>
      </c>
      <c r="D277" s="2" t="s">
        <v>2</v>
      </c>
      <c r="E277" s="2"/>
      <c r="F277" s="2">
        <v>30</v>
      </c>
      <c r="G277" s="2">
        <v>7</v>
      </c>
      <c r="H277" s="2">
        <v>1235895</v>
      </c>
      <c r="I277" s="2">
        <v>0</v>
      </c>
      <c r="J277" s="2"/>
      <c r="K277" s="2">
        <v>47</v>
      </c>
      <c r="L277" s="2">
        <v>0</v>
      </c>
      <c r="M277" s="2">
        <v>12</v>
      </c>
      <c r="N277" s="2">
        <v>10</v>
      </c>
      <c r="O277" s="2">
        <v>25</v>
      </c>
      <c r="P277" s="2">
        <v>0</v>
      </c>
      <c r="Q277" s="2" t="s">
        <v>3648</v>
      </c>
      <c r="R277" s="2" t="s">
        <v>3649</v>
      </c>
      <c r="S277" s="4">
        <v>44964</v>
      </c>
    </row>
    <row r="278" spans="1:19" ht="12.5" x14ac:dyDescent="0.25">
      <c r="A278" s="14" t="str">
        <f>HYPERLINK("https://gerandofalcoes.my.salesforce.com/0014X00002YgghUQAR", "0014X00002YgghUQAR")</f>
        <v>0014X00002YgghUQAR</v>
      </c>
      <c r="B278" s="2" t="s">
        <v>3771</v>
      </c>
      <c r="C278" s="2" t="s">
        <v>423</v>
      </c>
      <c r="D278" s="2" t="s">
        <v>2</v>
      </c>
      <c r="E278" s="2"/>
      <c r="F278" s="2">
        <v>10</v>
      </c>
      <c r="G278" s="2">
        <v>4</v>
      </c>
      <c r="H278" s="2">
        <v>1600</v>
      </c>
      <c r="I278" s="2">
        <v>0</v>
      </c>
      <c r="J278" s="2"/>
      <c r="K278" s="2">
        <v>25</v>
      </c>
      <c r="L278" s="2">
        <v>0</v>
      </c>
      <c r="M278" s="2">
        <v>10</v>
      </c>
      <c r="N278" s="2">
        <v>10</v>
      </c>
      <c r="O278" s="2">
        <v>5</v>
      </c>
      <c r="P278" s="2">
        <v>0</v>
      </c>
      <c r="Q278" s="2" t="s">
        <v>3772</v>
      </c>
      <c r="R278" s="2" t="s">
        <v>3772</v>
      </c>
      <c r="S278" s="4">
        <v>44967</v>
      </c>
    </row>
    <row r="279" spans="1:19" ht="12.5" x14ac:dyDescent="0.25">
      <c r="A279" s="14" t="str">
        <f>HYPERLINK("https://gerandofalcoes.my.salesforce.com/0014X00002YggkxQAB", "0014X00002YggkxQAB")</f>
        <v>0014X00002YggkxQAB</v>
      </c>
      <c r="B279" s="2" t="s">
        <v>3733</v>
      </c>
      <c r="C279" s="2" t="s">
        <v>423</v>
      </c>
      <c r="D279" s="2" t="s">
        <v>2</v>
      </c>
      <c r="E279" s="2"/>
      <c r="F279" s="2">
        <v>0</v>
      </c>
      <c r="G279" s="2">
        <v>3</v>
      </c>
      <c r="H279" s="2">
        <v>80000</v>
      </c>
      <c r="I279" s="2">
        <v>250</v>
      </c>
      <c r="J279" s="2"/>
      <c r="K279" s="2">
        <v>30</v>
      </c>
      <c r="L279" s="2">
        <v>0</v>
      </c>
      <c r="M279" s="2">
        <v>0</v>
      </c>
      <c r="N279" s="2">
        <v>8</v>
      </c>
      <c r="O279" s="2">
        <v>10</v>
      </c>
      <c r="P279" s="2">
        <v>12</v>
      </c>
      <c r="Q279" s="2" t="s">
        <v>3734</v>
      </c>
      <c r="R279" s="2" t="s">
        <v>3734</v>
      </c>
      <c r="S279" s="4">
        <v>44967</v>
      </c>
    </row>
    <row r="280" spans="1:19" ht="12.5" x14ac:dyDescent="0.25">
      <c r="A280" s="14" t="str">
        <f>HYPERLINK("https://gerandofalcoes.my.salesforce.com/0014X00002YggpvQAB", "0014X00002YggpvQAB")</f>
        <v>0014X00002YggpvQAB</v>
      </c>
      <c r="B280" s="2" t="s">
        <v>3729</v>
      </c>
      <c r="C280" s="2" t="s">
        <v>423</v>
      </c>
      <c r="D280" s="2" t="s">
        <v>2</v>
      </c>
      <c r="E280" s="2"/>
      <c r="F280" s="2">
        <v>12</v>
      </c>
      <c r="G280" s="2">
        <v>3</v>
      </c>
      <c r="H280" s="2">
        <v>50000</v>
      </c>
      <c r="I280" s="2">
        <v>200</v>
      </c>
      <c r="J280" s="2"/>
      <c r="K280" s="2">
        <v>42</v>
      </c>
      <c r="L280" s="2">
        <v>0</v>
      </c>
      <c r="M280" s="2">
        <v>12</v>
      </c>
      <c r="N280" s="2">
        <v>8</v>
      </c>
      <c r="O280" s="2">
        <v>10</v>
      </c>
      <c r="P280" s="2">
        <v>12</v>
      </c>
      <c r="Q280" s="2" t="s">
        <v>3730</v>
      </c>
      <c r="R280" s="2" t="s">
        <v>3730</v>
      </c>
      <c r="S280" s="4">
        <v>44967</v>
      </c>
    </row>
    <row r="281" spans="1:19" ht="12.5" x14ac:dyDescent="0.25">
      <c r="A281" s="14" t="str">
        <f>HYPERLINK("https://gerandofalcoes.my.salesforce.com/0014X00002YggqCQAR", "0014X00002YggqCQAR")</f>
        <v>0014X00002YggqCQAR</v>
      </c>
      <c r="B281" s="2" t="s">
        <v>3745</v>
      </c>
      <c r="C281" s="2" t="s">
        <v>423</v>
      </c>
      <c r="D281" s="2" t="s">
        <v>2</v>
      </c>
      <c r="E281" s="2"/>
      <c r="F281" s="2">
        <v>3</v>
      </c>
      <c r="G281" s="2">
        <v>2</v>
      </c>
      <c r="H281" s="2">
        <v>300</v>
      </c>
      <c r="I281" s="2">
        <v>70</v>
      </c>
      <c r="J281" s="2"/>
      <c r="K281" s="2">
        <v>21</v>
      </c>
      <c r="L281" s="2">
        <v>0</v>
      </c>
      <c r="M281" s="2">
        <v>5</v>
      </c>
      <c r="N281" s="2">
        <v>6</v>
      </c>
      <c r="O281" s="2">
        <v>5</v>
      </c>
      <c r="P281" s="2">
        <v>5</v>
      </c>
      <c r="Q281" s="2" t="s">
        <v>3746</v>
      </c>
      <c r="R281" s="2" t="s">
        <v>3746</v>
      </c>
      <c r="S281" s="4">
        <v>44967</v>
      </c>
    </row>
    <row r="282" spans="1:19" ht="12.5" x14ac:dyDescent="0.25">
      <c r="A282" s="14" t="str">
        <f>HYPERLINK("https://gerandofalcoes.my.salesforce.com/0014X00002YgggxQAB", "0014X00002YgggxQAB")</f>
        <v>0014X00002YgggxQAB</v>
      </c>
      <c r="B282" s="2" t="s">
        <v>3698</v>
      </c>
      <c r="C282" s="2" t="s">
        <v>423</v>
      </c>
      <c r="D282" s="2" t="s">
        <v>2</v>
      </c>
      <c r="E282" s="2"/>
      <c r="F282" s="2">
        <v>0</v>
      </c>
      <c r="G282" s="2">
        <v>2</v>
      </c>
      <c r="H282" s="2">
        <v>131802.91</v>
      </c>
      <c r="I282" s="2">
        <v>50</v>
      </c>
      <c r="J282" s="2" t="s">
        <v>1779</v>
      </c>
      <c r="K282" s="2">
        <v>26</v>
      </c>
      <c r="L282" s="2">
        <v>0</v>
      </c>
      <c r="M282" s="2">
        <v>0</v>
      </c>
      <c r="N282" s="2">
        <v>6</v>
      </c>
      <c r="O282" s="2">
        <v>15</v>
      </c>
      <c r="P282" s="2">
        <v>5</v>
      </c>
      <c r="Q282" s="2" t="s">
        <v>3699</v>
      </c>
      <c r="R282" s="2" t="s">
        <v>3700</v>
      </c>
      <c r="S282" s="4">
        <v>44967</v>
      </c>
    </row>
    <row r="283" spans="1:19" ht="12.5" x14ac:dyDescent="0.25">
      <c r="A283" s="14" t="str">
        <f>HYPERLINK("https://gerandofalcoes.my.salesforce.com/0014X00002YggkOQAR", "0014X00002YggkOQAR")</f>
        <v>0014X00002YggkOQAR</v>
      </c>
      <c r="B283" s="2" t="s">
        <v>3719</v>
      </c>
      <c r="C283" s="2" t="s">
        <v>423</v>
      </c>
      <c r="D283" s="2" t="s">
        <v>2</v>
      </c>
      <c r="E283" s="2"/>
      <c r="F283" s="2">
        <v>20</v>
      </c>
      <c r="G283" s="2">
        <v>4</v>
      </c>
      <c r="H283" s="2">
        <v>180000</v>
      </c>
      <c r="I283" s="2">
        <v>80</v>
      </c>
      <c r="J283" s="2"/>
      <c r="K283" s="2">
        <v>47</v>
      </c>
      <c r="L283" s="2">
        <v>0</v>
      </c>
      <c r="M283" s="2">
        <v>12</v>
      </c>
      <c r="N283" s="2">
        <v>10</v>
      </c>
      <c r="O283" s="2">
        <v>15</v>
      </c>
      <c r="P283" s="2">
        <v>10</v>
      </c>
      <c r="Q283" s="2" t="s">
        <v>3720</v>
      </c>
      <c r="R283" s="2" t="s">
        <v>3721</v>
      </c>
      <c r="S283" s="4">
        <v>44967</v>
      </c>
    </row>
    <row r="284" spans="1:19" ht="12.5" x14ac:dyDescent="0.25">
      <c r="A284" s="14" t="str">
        <f>HYPERLINK("https://gerandofalcoes.my.salesforce.com/0014X00002YggiKQAR", "0014X00002YggiKQAR")</f>
        <v>0014X00002YggiKQAR</v>
      </c>
      <c r="B284" s="2" t="s">
        <v>3743</v>
      </c>
      <c r="C284" s="2" t="s">
        <v>423</v>
      </c>
      <c r="D284" s="2" t="s">
        <v>2</v>
      </c>
      <c r="E284" s="2"/>
      <c r="F284" s="2">
        <v>0</v>
      </c>
      <c r="G284" s="2">
        <v>2</v>
      </c>
      <c r="H284" s="2">
        <v>1000</v>
      </c>
      <c r="I284" s="2">
        <v>100</v>
      </c>
      <c r="J284" s="2"/>
      <c r="K284" s="2">
        <v>21</v>
      </c>
      <c r="L284" s="2">
        <v>0</v>
      </c>
      <c r="M284" s="2">
        <v>0</v>
      </c>
      <c r="N284" s="2">
        <v>6</v>
      </c>
      <c r="O284" s="2">
        <v>5</v>
      </c>
      <c r="P284" s="2">
        <v>10</v>
      </c>
      <c r="Q284" s="2" t="s">
        <v>3744</v>
      </c>
      <c r="R284" s="2" t="s">
        <v>3744</v>
      </c>
      <c r="S284" s="4">
        <v>44967</v>
      </c>
    </row>
    <row r="285" spans="1:19" ht="12.5" x14ac:dyDescent="0.25">
      <c r="A285" s="14" t="str">
        <f>HYPERLINK("https://gerandofalcoes.my.salesforce.com/0014X00002YgghbQAB", "0014X00002YgghbQAB")</f>
        <v>0014X00002YgghbQAB</v>
      </c>
      <c r="B285" s="2" t="s">
        <v>3784</v>
      </c>
      <c r="C285" s="2" t="s">
        <v>423</v>
      </c>
      <c r="D285" s="2" t="s">
        <v>2</v>
      </c>
      <c r="E285" s="2"/>
      <c r="F285" s="2">
        <v>4</v>
      </c>
      <c r="G285" s="2">
        <v>6</v>
      </c>
      <c r="H285" s="2">
        <v>8000</v>
      </c>
      <c r="I285" s="2">
        <v>280</v>
      </c>
      <c r="J285" s="2"/>
      <c r="K285" s="2">
        <v>32</v>
      </c>
      <c r="L285" s="2">
        <v>0</v>
      </c>
      <c r="M285" s="2">
        <v>5</v>
      </c>
      <c r="N285" s="2">
        <v>10</v>
      </c>
      <c r="O285" s="2">
        <v>5</v>
      </c>
      <c r="P285" s="2">
        <v>12</v>
      </c>
      <c r="Q285" s="2" t="s">
        <v>3785</v>
      </c>
      <c r="R285" s="2" t="s">
        <v>3786</v>
      </c>
      <c r="S285" s="4">
        <v>44968</v>
      </c>
    </row>
    <row r="286" spans="1:19" ht="12.5" x14ac:dyDescent="0.25">
      <c r="A286" s="14" t="str">
        <f>HYPERLINK("https://gerandofalcoes.my.salesforce.com/0014X00002YgghrQAB", "0014X00002YgghrQAB")</f>
        <v>0014X00002YgghrQAB</v>
      </c>
      <c r="B286" s="2" t="s">
        <v>3775</v>
      </c>
      <c r="C286" s="2" t="s">
        <v>423</v>
      </c>
      <c r="D286" s="2" t="s">
        <v>2</v>
      </c>
      <c r="E286" s="2"/>
      <c r="F286" s="2">
        <v>12</v>
      </c>
      <c r="G286" s="2">
        <v>4</v>
      </c>
      <c r="H286" s="2">
        <v>700000</v>
      </c>
      <c r="I286" s="2">
        <v>410</v>
      </c>
      <c r="J286" s="2"/>
      <c r="K286" s="2">
        <v>57</v>
      </c>
      <c r="L286" s="2">
        <v>0</v>
      </c>
      <c r="M286" s="2">
        <v>12</v>
      </c>
      <c r="N286" s="2">
        <v>10</v>
      </c>
      <c r="O286" s="2">
        <v>20</v>
      </c>
      <c r="P286" s="2">
        <v>15</v>
      </c>
      <c r="Q286" s="2" t="s">
        <v>3776</v>
      </c>
      <c r="R286" s="2" t="s">
        <v>3776</v>
      </c>
      <c r="S286" s="4">
        <v>44968</v>
      </c>
    </row>
    <row r="287" spans="1:19" ht="12.5" x14ac:dyDescent="0.25">
      <c r="A287" s="14" t="str">
        <f>HYPERLINK("https://gerandofalcoes.my.salesforce.com/0014X00002YggiFQAR", "0014X00002YggiFQAR")</f>
        <v>0014X00002YggiFQAR</v>
      </c>
      <c r="B287" s="2" t="s">
        <v>3794</v>
      </c>
      <c r="C287" s="2" t="s">
        <v>423</v>
      </c>
      <c r="D287" s="2" t="s">
        <v>2</v>
      </c>
      <c r="E287" s="2"/>
      <c r="F287" s="2">
        <v>2</v>
      </c>
      <c r="G287" s="2">
        <v>2</v>
      </c>
      <c r="H287" s="2">
        <v>200</v>
      </c>
      <c r="I287" s="2">
        <v>50</v>
      </c>
      <c r="J287" s="2"/>
      <c r="K287" s="2">
        <v>21</v>
      </c>
      <c r="L287" s="2">
        <v>0</v>
      </c>
      <c r="M287" s="2">
        <v>5</v>
      </c>
      <c r="N287" s="2">
        <v>6</v>
      </c>
      <c r="O287" s="2">
        <v>5</v>
      </c>
      <c r="P287" s="2">
        <v>5</v>
      </c>
      <c r="Q287" s="2" t="s">
        <v>3795</v>
      </c>
      <c r="R287" s="2" t="s">
        <v>3795</v>
      </c>
      <c r="S287" s="4">
        <v>44968</v>
      </c>
    </row>
    <row r="288" spans="1:19" ht="12.5" x14ac:dyDescent="0.25">
      <c r="A288" s="14" t="str">
        <f>HYPERLINK("https://gerandofalcoes.my.salesforce.com/0014X00002YgghAQAR", "0014X00002YgghAQAR")</f>
        <v>0014X00002YgghAQAR</v>
      </c>
      <c r="B288" s="2" t="s">
        <v>3695</v>
      </c>
      <c r="C288" s="2" t="s">
        <v>423</v>
      </c>
      <c r="D288" s="2" t="s">
        <v>2</v>
      </c>
      <c r="E288" s="2"/>
      <c r="F288" s="2">
        <v>36</v>
      </c>
      <c r="G288" s="2">
        <v>11</v>
      </c>
      <c r="H288" s="2">
        <v>237000</v>
      </c>
      <c r="I288" s="2">
        <v>450</v>
      </c>
      <c r="J288" s="2"/>
      <c r="K288" s="2">
        <v>60</v>
      </c>
      <c r="L288" s="2">
        <v>0</v>
      </c>
      <c r="M288" s="2">
        <v>15</v>
      </c>
      <c r="N288" s="2">
        <v>10</v>
      </c>
      <c r="O288" s="2">
        <v>15</v>
      </c>
      <c r="P288" s="2">
        <v>20</v>
      </c>
      <c r="Q288" s="2" t="s">
        <v>3696</v>
      </c>
      <c r="R288" s="2" t="s">
        <v>3697</v>
      </c>
      <c r="S288" s="4">
        <v>44967</v>
      </c>
    </row>
    <row r="289" spans="1:19" ht="12.5" x14ac:dyDescent="0.25">
      <c r="A289" s="14" t="str">
        <f>HYPERLINK("https://gerandofalcoes.my.salesforce.com/0014X00002YggmmQAB", "0014X00002YggmmQAB")</f>
        <v>0014X00002YggmmQAB</v>
      </c>
      <c r="B289" s="2" t="s">
        <v>3752</v>
      </c>
      <c r="C289" s="2" t="s">
        <v>423</v>
      </c>
      <c r="D289" s="2" t="s">
        <v>2</v>
      </c>
      <c r="E289" s="2"/>
      <c r="F289" s="2">
        <v>0</v>
      </c>
      <c r="G289" s="2">
        <v>4</v>
      </c>
      <c r="H289" s="2">
        <v>1500</v>
      </c>
      <c r="I289" s="2">
        <v>30</v>
      </c>
      <c r="J289" s="2"/>
      <c r="K289" s="2">
        <v>20</v>
      </c>
      <c r="L289" s="2">
        <v>0</v>
      </c>
      <c r="M289" s="2">
        <v>0</v>
      </c>
      <c r="N289" s="2">
        <v>10</v>
      </c>
      <c r="O289" s="2">
        <v>5</v>
      </c>
      <c r="P289" s="2">
        <v>5</v>
      </c>
      <c r="Q289" s="2" t="s">
        <v>3753</v>
      </c>
      <c r="R289" s="2" t="s">
        <v>3754</v>
      </c>
      <c r="S289" s="4">
        <v>44967</v>
      </c>
    </row>
    <row r="290" spans="1:19" ht="12.5" x14ac:dyDescent="0.25">
      <c r="A290" s="14" t="str">
        <f>HYPERLINK("https://gerandofalcoes.my.salesforce.com/0014X00002YggoEQAR", "0014X00002YggoEQAR")</f>
        <v>0014X00002YggoEQAR</v>
      </c>
      <c r="B290" s="2" t="s">
        <v>3701</v>
      </c>
      <c r="C290" s="2" t="s">
        <v>423</v>
      </c>
      <c r="D290" s="2" t="s">
        <v>2</v>
      </c>
      <c r="E290" s="2"/>
      <c r="F290" s="2">
        <v>0</v>
      </c>
      <c r="G290" s="2">
        <v>2</v>
      </c>
      <c r="H290" s="2">
        <v>1000</v>
      </c>
      <c r="I290" s="2">
        <v>30</v>
      </c>
      <c r="J290" s="2"/>
      <c r="K290" s="2">
        <v>16</v>
      </c>
      <c r="L290" s="2">
        <v>0</v>
      </c>
      <c r="M290" s="2">
        <v>0</v>
      </c>
      <c r="N290" s="2">
        <v>6</v>
      </c>
      <c r="O290" s="2">
        <v>5</v>
      </c>
      <c r="P290" s="2">
        <v>5</v>
      </c>
      <c r="Q290" s="2" t="s">
        <v>3702</v>
      </c>
      <c r="R290" s="2" t="s">
        <v>3702</v>
      </c>
      <c r="S290" s="4">
        <v>44967</v>
      </c>
    </row>
    <row r="291" spans="1:19" ht="12.5" x14ac:dyDescent="0.25">
      <c r="A291" s="14" t="str">
        <f>HYPERLINK("https://gerandofalcoes.my.salesforce.com/0014X00002YggoCQAR", "0014X00002YggoCQAR")</f>
        <v>0014X00002YggoCQAR</v>
      </c>
      <c r="B291" s="2" t="s">
        <v>3727</v>
      </c>
      <c r="C291" s="2" t="s">
        <v>423</v>
      </c>
      <c r="D291" s="2" t="s">
        <v>2</v>
      </c>
      <c r="E291" s="2"/>
      <c r="F291" s="2">
        <v>0</v>
      </c>
      <c r="G291" s="2">
        <v>2</v>
      </c>
      <c r="H291" s="2">
        <v>5000</v>
      </c>
      <c r="I291" s="2">
        <v>50</v>
      </c>
      <c r="J291" s="2"/>
      <c r="K291" s="2">
        <v>16</v>
      </c>
      <c r="L291" s="2">
        <v>0</v>
      </c>
      <c r="M291" s="2">
        <v>0</v>
      </c>
      <c r="N291" s="2">
        <v>6</v>
      </c>
      <c r="O291" s="2">
        <v>5</v>
      </c>
      <c r="P291" s="2">
        <v>5</v>
      </c>
      <c r="Q291" s="2" t="s">
        <v>3728</v>
      </c>
      <c r="R291" s="2" t="s">
        <v>3728</v>
      </c>
      <c r="S291" s="4">
        <v>44967</v>
      </c>
    </row>
    <row r="292" spans="1:19" ht="12.5" x14ac:dyDescent="0.25">
      <c r="A292" s="14" t="str">
        <f>HYPERLINK("https://gerandofalcoes.my.salesforce.com/0014X00002YgbkqQAB", "0014X00002YgbkqQAB")</f>
        <v>0014X00002YgbkqQAB</v>
      </c>
      <c r="B292" s="2" t="s">
        <v>3773</v>
      </c>
      <c r="C292" s="2" t="s">
        <v>423</v>
      </c>
      <c r="D292" s="2" t="s">
        <v>2</v>
      </c>
      <c r="E292" s="2"/>
      <c r="F292" s="2">
        <v>0</v>
      </c>
      <c r="G292" s="2">
        <v>0</v>
      </c>
      <c r="H292" s="2">
        <v>0</v>
      </c>
      <c r="I292" s="2">
        <v>0</v>
      </c>
      <c r="J292" s="2"/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 t="s">
        <v>3774</v>
      </c>
      <c r="R292" s="2" t="s">
        <v>3774</v>
      </c>
      <c r="S292" s="4">
        <v>44967</v>
      </c>
    </row>
    <row r="293" spans="1:19" ht="12.5" x14ac:dyDescent="0.25">
      <c r="A293" s="14" t="str">
        <f>HYPERLINK("https://gerandofalcoes.my.salesforce.com/0014X00002Yggr5QAB", "0014X00002Yggr5QAB")</f>
        <v>0014X00002Yggr5QAB</v>
      </c>
      <c r="B293" s="2" t="s">
        <v>3779</v>
      </c>
      <c r="C293" s="2" t="s">
        <v>423</v>
      </c>
      <c r="D293" s="2" t="s">
        <v>2</v>
      </c>
      <c r="E293" s="2"/>
      <c r="F293" s="2">
        <v>3</v>
      </c>
      <c r="G293" s="2">
        <v>2</v>
      </c>
      <c r="H293" s="2">
        <v>24000</v>
      </c>
      <c r="I293" s="2">
        <v>0</v>
      </c>
      <c r="J293" s="2"/>
      <c r="K293" s="2">
        <v>16</v>
      </c>
      <c r="L293" s="2">
        <v>0</v>
      </c>
      <c r="M293" s="2">
        <v>5</v>
      </c>
      <c r="N293" s="2">
        <v>6</v>
      </c>
      <c r="O293" s="2">
        <v>5</v>
      </c>
      <c r="P293" s="2">
        <v>0</v>
      </c>
      <c r="Q293" s="2" t="s">
        <v>3780</v>
      </c>
      <c r="R293" s="2" t="s">
        <v>3780</v>
      </c>
      <c r="S293" s="4">
        <v>44968</v>
      </c>
    </row>
    <row r="294" spans="1:19" ht="12.5" x14ac:dyDescent="0.25">
      <c r="A294" s="14" t="str">
        <f>HYPERLINK("https://gerandofalcoes.my.salesforce.com/0014X00002YggitQAB", "0014X00002YggitQAB")</f>
        <v>0014X00002YggitQAB</v>
      </c>
      <c r="B294" s="2" t="s">
        <v>3781</v>
      </c>
      <c r="C294" s="2" t="s">
        <v>423</v>
      </c>
      <c r="D294" s="2" t="s">
        <v>2</v>
      </c>
      <c r="E294" s="2"/>
      <c r="F294" s="2">
        <v>0</v>
      </c>
      <c r="G294" s="2">
        <v>2</v>
      </c>
      <c r="H294" s="2">
        <v>0</v>
      </c>
      <c r="I294" s="2">
        <v>40</v>
      </c>
      <c r="J294" s="2"/>
      <c r="K294" s="2">
        <v>11</v>
      </c>
      <c r="L294" s="2">
        <v>0</v>
      </c>
      <c r="M294" s="2">
        <v>0</v>
      </c>
      <c r="N294" s="2">
        <v>6</v>
      </c>
      <c r="O294" s="2">
        <v>0</v>
      </c>
      <c r="P294" s="2">
        <v>5</v>
      </c>
      <c r="Q294" s="2" t="s">
        <v>3782</v>
      </c>
      <c r="R294" s="2" t="s">
        <v>3783</v>
      </c>
      <c r="S294" s="4">
        <v>44968</v>
      </c>
    </row>
    <row r="295" spans="1:19" ht="12.5" x14ac:dyDescent="0.25">
      <c r="A295" s="14" t="str">
        <f>HYPERLINK("https://gerandofalcoes.my.salesforce.com/0014X00002VKCtUQAX", "0014X00002VKCtUQAX")</f>
        <v>0014X00002VKCtUQAX</v>
      </c>
      <c r="B295" s="2" t="s">
        <v>3823</v>
      </c>
      <c r="C295" s="2" t="s">
        <v>423</v>
      </c>
      <c r="D295" s="2" t="s">
        <v>2</v>
      </c>
      <c r="E295" s="2">
        <v>37</v>
      </c>
      <c r="F295" s="2">
        <v>0</v>
      </c>
      <c r="G295" s="2">
        <v>0</v>
      </c>
      <c r="H295" s="2">
        <v>0</v>
      </c>
      <c r="I295" s="2">
        <v>51</v>
      </c>
      <c r="J295" s="2" t="s">
        <v>1779</v>
      </c>
      <c r="K295" s="2">
        <v>20</v>
      </c>
      <c r="L295" s="2">
        <v>15</v>
      </c>
      <c r="M295" s="2">
        <v>0</v>
      </c>
      <c r="N295" s="2">
        <v>0</v>
      </c>
      <c r="O295" s="2">
        <v>0</v>
      </c>
      <c r="P295" s="2">
        <v>5</v>
      </c>
      <c r="Q295" s="2" t="s">
        <v>3824</v>
      </c>
      <c r="R295" s="2" t="s">
        <v>3824</v>
      </c>
      <c r="S295" s="4">
        <v>45015</v>
      </c>
    </row>
    <row r="296" spans="1:19" ht="12.5" x14ac:dyDescent="0.25">
      <c r="A296" s="14" t="str">
        <f>HYPERLINK("https://gerandofalcoes.my.salesforce.com/0014X00002VKCqFQAX", "0014X00002VKCqFQAX")</f>
        <v>0014X00002VKCqFQAX</v>
      </c>
      <c r="B296" s="2" t="s">
        <v>3827</v>
      </c>
      <c r="C296" s="2" t="s">
        <v>423</v>
      </c>
      <c r="D296" s="2" t="s">
        <v>2</v>
      </c>
      <c r="E296" s="2">
        <v>21</v>
      </c>
      <c r="F296" s="2">
        <v>0</v>
      </c>
      <c r="G296" s="2">
        <v>0</v>
      </c>
      <c r="H296" s="2">
        <v>0</v>
      </c>
      <c r="I296" s="2">
        <v>0</v>
      </c>
      <c r="J296" s="2" t="s">
        <v>1779</v>
      </c>
      <c r="K296" s="2">
        <v>10</v>
      </c>
      <c r="L296" s="2">
        <v>10</v>
      </c>
      <c r="M296" s="2">
        <v>0</v>
      </c>
      <c r="N296" s="2">
        <v>0</v>
      </c>
      <c r="O296" s="2">
        <v>0</v>
      </c>
      <c r="P296" s="2">
        <v>0</v>
      </c>
      <c r="Q296" s="2" t="s">
        <v>2968</v>
      </c>
      <c r="R296" s="2" t="s">
        <v>2968</v>
      </c>
      <c r="S296" s="4">
        <v>45015</v>
      </c>
    </row>
    <row r="297" spans="1:19" ht="12.5" x14ac:dyDescent="0.25">
      <c r="A297" s="14" t="str">
        <f>HYPERLINK("https://gerandofalcoes.my.salesforce.com/0014X00002VKCrgQAH", "0014X00002VKCrgQAH")</f>
        <v>0014X00002VKCrgQAH</v>
      </c>
      <c r="B297" s="2" t="s">
        <v>3831</v>
      </c>
      <c r="C297" s="2" t="s">
        <v>423</v>
      </c>
      <c r="D297" s="2" t="s">
        <v>2</v>
      </c>
      <c r="E297" s="2">
        <v>17</v>
      </c>
      <c r="F297" s="2">
        <v>0</v>
      </c>
      <c r="G297" s="2">
        <v>1</v>
      </c>
      <c r="H297" s="2">
        <v>0</v>
      </c>
      <c r="I297" s="2">
        <v>22</v>
      </c>
      <c r="J297" s="2" t="s">
        <v>1779</v>
      </c>
      <c r="K297" s="2">
        <v>19</v>
      </c>
      <c r="L297" s="2">
        <v>10</v>
      </c>
      <c r="M297" s="2">
        <v>0</v>
      </c>
      <c r="N297" s="2">
        <v>4</v>
      </c>
      <c r="O297" s="2">
        <v>0</v>
      </c>
      <c r="P297" s="2">
        <v>5</v>
      </c>
      <c r="Q297" s="2" t="s">
        <v>3832</v>
      </c>
      <c r="R297" s="2" t="s">
        <v>3832</v>
      </c>
      <c r="S297" s="4">
        <v>45015</v>
      </c>
    </row>
    <row r="298" spans="1:19" ht="12.5" x14ac:dyDescent="0.25">
      <c r="A298" s="14" t="str">
        <f>HYPERLINK("https://gerandofalcoes.my.salesforce.com/0014X00002VKCq3QAH", "0014X00002VKCq3QAH")</f>
        <v>0014X00002VKCq3QAH</v>
      </c>
      <c r="B298" s="2" t="s">
        <v>3825</v>
      </c>
      <c r="C298" s="2" t="s">
        <v>423</v>
      </c>
      <c r="D298" s="2" t="s">
        <v>2</v>
      </c>
      <c r="E298" s="2">
        <v>28.4</v>
      </c>
      <c r="F298" s="2">
        <v>0</v>
      </c>
      <c r="G298" s="2">
        <v>0</v>
      </c>
      <c r="H298" s="2">
        <v>518799</v>
      </c>
      <c r="I298" s="2">
        <v>22</v>
      </c>
      <c r="J298" s="2" t="s">
        <v>1671</v>
      </c>
      <c r="K298" s="2">
        <v>40</v>
      </c>
      <c r="L298" s="2">
        <v>15</v>
      </c>
      <c r="M298" s="2">
        <v>0</v>
      </c>
      <c r="N298" s="2">
        <v>0</v>
      </c>
      <c r="O298" s="2">
        <v>20</v>
      </c>
      <c r="P298" s="2">
        <v>5</v>
      </c>
      <c r="Q298" s="2" t="s">
        <v>3826</v>
      </c>
      <c r="R298" s="2" t="s">
        <v>3826</v>
      </c>
      <c r="S298" s="4">
        <v>45015</v>
      </c>
    </row>
    <row r="299" spans="1:19" ht="12.5" x14ac:dyDescent="0.25">
      <c r="A299" s="14" t="str">
        <f>HYPERLINK("https://gerandofalcoes.my.salesforce.com/0014X00002YggiPQAR", "0014X00002YggiPQAR")</f>
        <v>0014X00002YggiPQAR</v>
      </c>
      <c r="B299" s="2" t="s">
        <v>3033</v>
      </c>
      <c r="C299" s="2" t="s">
        <v>423</v>
      </c>
      <c r="D299" s="2" t="s">
        <v>2</v>
      </c>
      <c r="E299" s="2"/>
      <c r="F299" s="2">
        <v>1</v>
      </c>
      <c r="G299" s="2">
        <v>2</v>
      </c>
      <c r="H299" s="2">
        <v>600</v>
      </c>
      <c r="I299" s="2">
        <v>0</v>
      </c>
      <c r="J299" s="2"/>
      <c r="K299" s="2">
        <v>16</v>
      </c>
      <c r="L299" s="2">
        <v>0</v>
      </c>
      <c r="M299" s="2">
        <v>5</v>
      </c>
      <c r="N299" s="2">
        <v>6</v>
      </c>
      <c r="O299" s="2">
        <v>5</v>
      </c>
      <c r="P299" s="2">
        <v>0</v>
      </c>
      <c r="Q299" s="2" t="s">
        <v>3034</v>
      </c>
      <c r="R299" s="2" t="s">
        <v>3034</v>
      </c>
      <c r="S299" s="4">
        <v>44945</v>
      </c>
    </row>
    <row r="300" spans="1:19" ht="12.5" x14ac:dyDescent="0.25">
      <c r="A300" s="14" t="str">
        <f>HYPERLINK("https://gerandofalcoes.my.salesforce.com/0014X00002YgbkWQAR", "0014X00002YgbkWQAR")</f>
        <v>0014X00002YgbkWQAR</v>
      </c>
      <c r="B300" s="2" t="s">
        <v>3821</v>
      </c>
      <c r="C300" s="2" t="s">
        <v>423</v>
      </c>
      <c r="D300" s="2" t="s">
        <v>2</v>
      </c>
      <c r="E300" s="2"/>
      <c r="F300" s="2">
        <v>0</v>
      </c>
      <c r="G300" s="2">
        <v>0</v>
      </c>
      <c r="H300" s="2">
        <v>0</v>
      </c>
      <c r="I300" s="2">
        <v>0</v>
      </c>
      <c r="J300" s="2"/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 t="s">
        <v>3822</v>
      </c>
      <c r="R300" s="2" t="s">
        <v>3822</v>
      </c>
      <c r="S300" s="4">
        <v>45001</v>
      </c>
    </row>
    <row r="301" spans="1:19" ht="12.5" x14ac:dyDescent="0.25">
      <c r="A301" s="14" t="str">
        <f>HYPERLINK("https://gerandofalcoes.my.salesforce.com/0014X00002YggjrQAB", "0014X00002YggjrQAB")</f>
        <v>0014X00002YggjrQAB</v>
      </c>
      <c r="B301" s="2" t="s">
        <v>3040</v>
      </c>
      <c r="C301" s="2" t="s">
        <v>423</v>
      </c>
      <c r="D301" s="2" t="s">
        <v>2</v>
      </c>
      <c r="E301" s="2"/>
      <c r="F301" s="2">
        <v>0</v>
      </c>
      <c r="G301" s="2">
        <v>2</v>
      </c>
      <c r="H301" s="2">
        <v>86000</v>
      </c>
      <c r="I301" s="2">
        <v>170</v>
      </c>
      <c r="J301" s="2"/>
      <c r="K301" s="2">
        <v>28</v>
      </c>
      <c r="L301" s="2">
        <v>0</v>
      </c>
      <c r="M301" s="2">
        <v>0</v>
      </c>
      <c r="N301" s="2">
        <v>6</v>
      </c>
      <c r="O301" s="2">
        <v>10</v>
      </c>
      <c r="P301" s="2">
        <v>12</v>
      </c>
      <c r="Q301" s="2" t="s">
        <v>3041</v>
      </c>
      <c r="R301" s="2" t="s">
        <v>3042</v>
      </c>
      <c r="S301" s="4">
        <v>44945</v>
      </c>
    </row>
    <row r="302" spans="1:19" ht="12.5" x14ac:dyDescent="0.25">
      <c r="A302" s="14" t="str">
        <f>HYPERLINK("https://gerandofalcoes.my.salesforce.com/0014X00002YggiJQAR", "0014X00002YggiJQAR")</f>
        <v>0014X00002YggiJQAR</v>
      </c>
      <c r="B302" s="2" t="s">
        <v>3069</v>
      </c>
      <c r="C302" s="2" t="s">
        <v>423</v>
      </c>
      <c r="D302" s="2" t="s">
        <v>2</v>
      </c>
      <c r="E302" s="2"/>
      <c r="F302" s="2">
        <v>1</v>
      </c>
      <c r="G302" s="2">
        <v>2</v>
      </c>
      <c r="H302" s="2">
        <v>0</v>
      </c>
      <c r="I302" s="2">
        <v>1200</v>
      </c>
      <c r="J302" s="2"/>
      <c r="K302" s="2">
        <v>31</v>
      </c>
      <c r="L302" s="2">
        <v>0</v>
      </c>
      <c r="M302" s="2">
        <v>5</v>
      </c>
      <c r="N302" s="2">
        <v>6</v>
      </c>
      <c r="O302" s="2">
        <v>0</v>
      </c>
      <c r="P302" s="2">
        <v>20</v>
      </c>
      <c r="Q302" s="2" t="s">
        <v>3070</v>
      </c>
      <c r="R302" s="2" t="s">
        <v>3071</v>
      </c>
      <c r="S302" s="4">
        <v>44946</v>
      </c>
    </row>
    <row r="303" spans="1:19" ht="12.5" x14ac:dyDescent="0.25">
      <c r="A303" s="14" t="str">
        <f>HYPERLINK("https://gerandofalcoes.my.salesforce.com/0014X00002VKCq1QAH", "0014X00002VKCq1QAH")</f>
        <v>0014X00002VKCq1QAH</v>
      </c>
      <c r="B303" s="2" t="s">
        <v>2164</v>
      </c>
      <c r="C303" s="2" t="s">
        <v>423</v>
      </c>
      <c r="D303" s="2" t="s">
        <v>2</v>
      </c>
      <c r="E303" s="2">
        <v>33</v>
      </c>
      <c r="F303" s="2">
        <v>0</v>
      </c>
      <c r="G303" s="2">
        <v>2</v>
      </c>
      <c r="H303" s="2">
        <v>5000</v>
      </c>
      <c r="I303" s="2">
        <v>250</v>
      </c>
      <c r="J303" s="2" t="s">
        <v>1779</v>
      </c>
      <c r="K303" s="2">
        <v>38</v>
      </c>
      <c r="L303" s="2">
        <v>15</v>
      </c>
      <c r="M303" s="2">
        <v>0</v>
      </c>
      <c r="N303" s="2">
        <v>6</v>
      </c>
      <c r="O303" s="2">
        <v>5</v>
      </c>
      <c r="P303" s="2">
        <v>12</v>
      </c>
      <c r="Q303" s="2" t="s">
        <v>2165</v>
      </c>
      <c r="R303" s="2" t="s">
        <v>2166</v>
      </c>
      <c r="S303" s="4">
        <v>44837</v>
      </c>
    </row>
    <row r="304" spans="1:19" ht="12.5" x14ac:dyDescent="0.25">
      <c r="A304" s="14" t="str">
        <f>HYPERLINK("https://gerandofalcoes.my.salesforce.com/0014X00002VKCoxQAH", "0014X00002VKCoxQAH")</f>
        <v>0014X00002VKCoxQAH</v>
      </c>
      <c r="B304" s="2" t="s">
        <v>2582</v>
      </c>
      <c r="C304" s="2" t="s">
        <v>423</v>
      </c>
      <c r="D304" s="2" t="s">
        <v>2</v>
      </c>
      <c r="E304" s="2">
        <v>38</v>
      </c>
      <c r="F304" s="2">
        <v>6</v>
      </c>
      <c r="G304" s="2">
        <v>1</v>
      </c>
      <c r="H304" s="2">
        <v>550</v>
      </c>
      <c r="I304" s="2">
        <v>0</v>
      </c>
      <c r="J304" s="2" t="s">
        <v>1779</v>
      </c>
      <c r="K304" s="2">
        <v>34</v>
      </c>
      <c r="L304" s="2">
        <v>15</v>
      </c>
      <c r="M304" s="2">
        <v>10</v>
      </c>
      <c r="N304" s="2">
        <v>4</v>
      </c>
      <c r="O304" s="2">
        <v>5</v>
      </c>
      <c r="P304" s="2">
        <v>0</v>
      </c>
      <c r="Q304" s="2" t="s">
        <v>2583</v>
      </c>
      <c r="R304" s="2" t="s">
        <v>2584</v>
      </c>
      <c r="S304" s="4">
        <v>44837</v>
      </c>
    </row>
    <row r="305" spans="1:19" ht="12.5" x14ac:dyDescent="0.25">
      <c r="A305" s="14" t="str">
        <f>HYPERLINK("https://gerandofalcoes.my.salesforce.com/0014X00002VKCsVQAX", "0014X00002VKCsVQAX")</f>
        <v>0014X00002VKCsVQAX</v>
      </c>
      <c r="B305" s="2" t="s">
        <v>1785</v>
      </c>
      <c r="C305" s="2" t="s">
        <v>423</v>
      </c>
      <c r="D305" s="2" t="s">
        <v>2</v>
      </c>
      <c r="E305" s="2">
        <v>56</v>
      </c>
      <c r="F305" s="2">
        <v>0</v>
      </c>
      <c r="G305" s="2">
        <v>3</v>
      </c>
      <c r="H305" s="2">
        <v>22800</v>
      </c>
      <c r="I305" s="2">
        <v>95</v>
      </c>
      <c r="J305" s="2" t="s">
        <v>1671</v>
      </c>
      <c r="K305" s="2">
        <v>43</v>
      </c>
      <c r="L305" s="2">
        <v>20</v>
      </c>
      <c r="M305" s="2">
        <v>0</v>
      </c>
      <c r="N305" s="2">
        <v>8</v>
      </c>
      <c r="O305" s="2">
        <v>5</v>
      </c>
      <c r="P305" s="2">
        <v>10</v>
      </c>
      <c r="Q305" s="2" t="s">
        <v>1786</v>
      </c>
      <c r="R305" s="2" t="s">
        <v>1787</v>
      </c>
      <c r="S305" s="4">
        <v>44837</v>
      </c>
    </row>
    <row r="306" spans="1:19" ht="12.5" x14ac:dyDescent="0.25">
      <c r="A306" s="14" t="str">
        <f>HYPERLINK("https://gerandofalcoes.my.salesforce.com/0014X00002VKCqXQAX", "0014X00002VKCqXQAX")</f>
        <v>0014X00002VKCqXQAX</v>
      </c>
      <c r="B306" s="2" t="s">
        <v>2301</v>
      </c>
      <c r="C306" s="2" t="s">
        <v>423</v>
      </c>
      <c r="D306" s="2" t="s">
        <v>2</v>
      </c>
      <c r="E306" s="2">
        <v>29</v>
      </c>
      <c r="F306" s="2">
        <v>0</v>
      </c>
      <c r="G306" s="2">
        <v>5</v>
      </c>
      <c r="H306" s="2">
        <v>70000</v>
      </c>
      <c r="I306" s="2">
        <v>100</v>
      </c>
      <c r="J306" s="2" t="s">
        <v>1671</v>
      </c>
      <c r="K306" s="2">
        <v>45</v>
      </c>
      <c r="L306" s="2">
        <v>15</v>
      </c>
      <c r="M306" s="2">
        <v>0</v>
      </c>
      <c r="N306" s="2">
        <v>10</v>
      </c>
      <c r="O306" s="2">
        <v>10</v>
      </c>
      <c r="P306" s="2">
        <v>10</v>
      </c>
      <c r="Q306" s="2" t="s">
        <v>2302</v>
      </c>
      <c r="R306" s="2" t="s">
        <v>2303</v>
      </c>
      <c r="S306" s="4">
        <v>44837</v>
      </c>
    </row>
    <row r="307" spans="1:19" ht="12.5" x14ac:dyDescent="0.25">
      <c r="A307" s="14" t="str">
        <f>HYPERLINK("https://gerandofalcoes.my.salesforce.com/0014X00002VKCouQAH", "0014X00002VKCouQAH")</f>
        <v>0014X00002VKCouQAH</v>
      </c>
      <c r="B307" s="2" t="s">
        <v>2642</v>
      </c>
      <c r="C307" s="2" t="s">
        <v>1800</v>
      </c>
      <c r="D307" s="2" t="s">
        <v>2</v>
      </c>
      <c r="E307" s="2">
        <v>18</v>
      </c>
      <c r="F307" s="2">
        <v>0</v>
      </c>
      <c r="G307" s="2">
        <v>2</v>
      </c>
      <c r="H307" s="2">
        <v>11000</v>
      </c>
      <c r="I307" s="2">
        <v>0</v>
      </c>
      <c r="J307" s="2" t="s">
        <v>1779</v>
      </c>
      <c r="K307" s="2">
        <v>21</v>
      </c>
      <c r="L307" s="2">
        <v>10</v>
      </c>
      <c r="M307" s="2">
        <v>0</v>
      </c>
      <c r="N307" s="2">
        <v>6</v>
      </c>
      <c r="O307" s="2">
        <v>5</v>
      </c>
      <c r="P307" s="2">
        <v>0</v>
      </c>
      <c r="Q307" s="2" t="s">
        <v>2643</v>
      </c>
      <c r="R307" s="2" t="s">
        <v>2643</v>
      </c>
      <c r="S307" s="4">
        <v>44837</v>
      </c>
    </row>
    <row r="308" spans="1:19" ht="12.5" x14ac:dyDescent="0.25">
      <c r="A308" s="14" t="str">
        <f>HYPERLINK("https://gerandofalcoes.my.salesforce.com/0014X00002VKCpvQAH", "0014X00002VKCpvQAH")</f>
        <v>0014X00002VKCpvQAH</v>
      </c>
      <c r="B308" s="2" t="s">
        <v>2967</v>
      </c>
      <c r="C308" s="2" t="s">
        <v>423</v>
      </c>
      <c r="D308" s="2" t="s">
        <v>2</v>
      </c>
      <c r="E308" s="2">
        <v>10</v>
      </c>
      <c r="F308" s="2">
        <v>1</v>
      </c>
      <c r="G308" s="2">
        <v>1</v>
      </c>
      <c r="H308" s="2">
        <v>1000</v>
      </c>
      <c r="I308" s="2">
        <v>70</v>
      </c>
      <c r="J308" s="2" t="s">
        <v>1779</v>
      </c>
      <c r="K308" s="2">
        <v>29</v>
      </c>
      <c r="L308" s="2">
        <v>10</v>
      </c>
      <c r="M308" s="2">
        <v>5</v>
      </c>
      <c r="N308" s="2">
        <v>4</v>
      </c>
      <c r="O308" s="2">
        <v>5</v>
      </c>
      <c r="P308" s="2">
        <v>5</v>
      </c>
      <c r="Q308" s="2" t="s">
        <v>2968</v>
      </c>
      <c r="R308" s="2" t="s">
        <v>2969</v>
      </c>
      <c r="S308" s="4">
        <v>44837</v>
      </c>
    </row>
    <row r="309" spans="1:19" ht="12.5" x14ac:dyDescent="0.25">
      <c r="A309" s="14" t="str">
        <f>HYPERLINK("https://gerandofalcoes.my.salesforce.com/0014X00002VKCrDQAX", "0014X00002VKCrDQAX")</f>
        <v>0014X00002VKCrDQAX</v>
      </c>
      <c r="B309" s="2" t="s">
        <v>2755</v>
      </c>
      <c r="C309" s="2" t="s">
        <v>423</v>
      </c>
      <c r="D309" s="2" t="s">
        <v>2</v>
      </c>
      <c r="E309" s="2">
        <v>14</v>
      </c>
      <c r="F309" s="2">
        <v>2</v>
      </c>
      <c r="G309" s="2">
        <v>0</v>
      </c>
      <c r="H309" s="2">
        <v>0</v>
      </c>
      <c r="I309" s="2">
        <v>60</v>
      </c>
      <c r="J309" s="2" t="s">
        <v>1779</v>
      </c>
      <c r="K309" s="2">
        <v>20</v>
      </c>
      <c r="L309" s="2">
        <v>10</v>
      </c>
      <c r="M309" s="2">
        <v>5</v>
      </c>
      <c r="N309" s="2">
        <v>0</v>
      </c>
      <c r="O309" s="2">
        <v>0</v>
      </c>
      <c r="P309" s="2">
        <v>5</v>
      </c>
      <c r="Q309" s="2" t="s">
        <v>2756</v>
      </c>
      <c r="R309" s="2" t="s">
        <v>2756</v>
      </c>
      <c r="S309" s="4">
        <v>44837</v>
      </c>
    </row>
    <row r="310" spans="1:19" ht="12.5" x14ac:dyDescent="0.25">
      <c r="A310" s="14" t="str">
        <f>HYPERLINK("https://gerandofalcoes.my.salesforce.com/0014X00002VKCqRQAX", "0014X00002VKCqRQAX")</f>
        <v>0014X00002VKCqRQAX</v>
      </c>
      <c r="B310" s="2" t="s">
        <v>1758</v>
      </c>
      <c r="C310" s="2" t="s">
        <v>423</v>
      </c>
      <c r="D310" s="2" t="s">
        <v>2</v>
      </c>
      <c r="E310" s="2">
        <v>61.97</v>
      </c>
      <c r="F310" s="2">
        <v>0</v>
      </c>
      <c r="G310" s="2">
        <v>6</v>
      </c>
      <c r="H310" s="2">
        <v>112190</v>
      </c>
      <c r="I310" s="2">
        <v>197</v>
      </c>
      <c r="J310" s="2" t="s">
        <v>1671</v>
      </c>
      <c r="K310" s="2">
        <v>57</v>
      </c>
      <c r="L310" s="2">
        <v>20</v>
      </c>
      <c r="M310" s="2">
        <v>0</v>
      </c>
      <c r="N310" s="2">
        <v>10</v>
      </c>
      <c r="O310" s="2">
        <v>15</v>
      </c>
      <c r="P310" s="2">
        <v>12</v>
      </c>
      <c r="Q310" s="2" t="s">
        <v>1759</v>
      </c>
      <c r="R310" s="2" t="s">
        <v>1760</v>
      </c>
      <c r="S310" s="4">
        <v>44837</v>
      </c>
    </row>
    <row r="311" spans="1:19" ht="12.5" x14ac:dyDescent="0.25">
      <c r="A311" s="14" t="str">
        <f>HYPERLINK("https://gerandofalcoes.my.salesforce.com/0014X00002VKCr1QAH", "0014X00002VKCr1QAH")</f>
        <v>0014X00002VKCr1QAH</v>
      </c>
      <c r="B311" s="2" t="s">
        <v>2494</v>
      </c>
      <c r="C311" s="2" t="s">
        <v>423</v>
      </c>
      <c r="D311" s="2" t="s">
        <v>2</v>
      </c>
      <c r="E311" s="2">
        <v>21.76</v>
      </c>
      <c r="F311" s="2">
        <v>5</v>
      </c>
      <c r="G311" s="2">
        <v>3</v>
      </c>
      <c r="H311" s="2">
        <v>92000</v>
      </c>
      <c r="I311" s="2">
        <v>0</v>
      </c>
      <c r="J311" s="2" t="s">
        <v>1779</v>
      </c>
      <c r="K311" s="2">
        <v>33</v>
      </c>
      <c r="L311" s="2">
        <v>10</v>
      </c>
      <c r="M311" s="2">
        <v>5</v>
      </c>
      <c r="N311" s="2">
        <v>8</v>
      </c>
      <c r="O311" s="2">
        <v>10</v>
      </c>
      <c r="P311" s="2">
        <v>0</v>
      </c>
      <c r="Q311" s="2" t="s">
        <v>2495</v>
      </c>
      <c r="R311" s="2" t="s">
        <v>2496</v>
      </c>
      <c r="S311" s="4">
        <v>44837</v>
      </c>
    </row>
    <row r="312" spans="1:19" ht="12.5" x14ac:dyDescent="0.25">
      <c r="A312" s="14" t="str">
        <f>HYPERLINK("https://gerandofalcoes.my.salesforce.com/0014X00002VKCuWQAX", "0014X00002VKCuWQAX")</f>
        <v>0014X00002VKCuWQAX</v>
      </c>
      <c r="B312" s="2" t="s">
        <v>1930</v>
      </c>
      <c r="C312" s="2" t="s">
        <v>423</v>
      </c>
      <c r="D312" s="2" t="s">
        <v>2</v>
      </c>
      <c r="E312" s="2">
        <v>42</v>
      </c>
      <c r="F312" s="2">
        <v>35</v>
      </c>
      <c r="G312" s="2">
        <v>4</v>
      </c>
      <c r="H312" s="2">
        <v>30000</v>
      </c>
      <c r="I312" s="2">
        <v>30</v>
      </c>
      <c r="J312" s="2" t="s">
        <v>1671</v>
      </c>
      <c r="K312" s="2">
        <v>55</v>
      </c>
      <c r="L312" s="2">
        <v>15</v>
      </c>
      <c r="M312" s="2">
        <v>15</v>
      </c>
      <c r="N312" s="2">
        <v>10</v>
      </c>
      <c r="O312" s="2">
        <v>10</v>
      </c>
      <c r="P312" s="2">
        <v>5</v>
      </c>
      <c r="Q312" s="2" t="s">
        <v>1931</v>
      </c>
      <c r="R312" s="2" t="s">
        <v>1931</v>
      </c>
      <c r="S312" s="4">
        <v>44837</v>
      </c>
    </row>
    <row r="313" spans="1:19" ht="12.5" x14ac:dyDescent="0.25">
      <c r="A313" s="14" t="str">
        <f>HYPERLINK("https://gerandofalcoes.my.salesforce.com/0014X00002VKCpsQAH", "0014X00002VKCpsQAH")</f>
        <v>0014X00002VKCpsQAH</v>
      </c>
      <c r="B313" s="2" t="s">
        <v>1764</v>
      </c>
      <c r="C313" s="2" t="s">
        <v>423</v>
      </c>
      <c r="D313" s="2" t="s">
        <v>2</v>
      </c>
      <c r="E313" s="2">
        <v>52</v>
      </c>
      <c r="F313" s="2">
        <v>36</v>
      </c>
      <c r="G313" s="2">
        <v>2</v>
      </c>
      <c r="H313" s="2">
        <v>2039327</v>
      </c>
      <c r="I313" s="2">
        <v>0</v>
      </c>
      <c r="J313" s="2" t="s">
        <v>1650</v>
      </c>
      <c r="K313" s="2">
        <v>66</v>
      </c>
      <c r="L313" s="2">
        <v>20</v>
      </c>
      <c r="M313" s="2">
        <v>15</v>
      </c>
      <c r="N313" s="2">
        <v>6</v>
      </c>
      <c r="O313" s="2">
        <v>25</v>
      </c>
      <c r="P313" s="2">
        <v>0</v>
      </c>
      <c r="Q313" s="2" t="s">
        <v>1765</v>
      </c>
      <c r="R313" s="2" t="s">
        <v>1766</v>
      </c>
      <c r="S313" s="4">
        <v>44837</v>
      </c>
    </row>
    <row r="314" spans="1:19" ht="12.5" x14ac:dyDescent="0.25">
      <c r="A314" s="14" t="str">
        <f>HYPERLINK("https://gerandofalcoes.my.salesforce.com/0014X00002VKCuIQAX", "0014X00002VKCuIQAX")</f>
        <v>0014X00002VKCuIQAX</v>
      </c>
      <c r="B314" s="2" t="s">
        <v>2217</v>
      </c>
      <c r="C314" s="2" t="s">
        <v>423</v>
      </c>
      <c r="D314" s="2" t="s">
        <v>2</v>
      </c>
      <c r="E314" s="2">
        <v>32</v>
      </c>
      <c r="F314" s="2">
        <v>0</v>
      </c>
      <c r="G314" s="2">
        <v>2</v>
      </c>
      <c r="H314" s="2">
        <v>10000</v>
      </c>
      <c r="I314" s="2">
        <v>300</v>
      </c>
      <c r="J314" s="2" t="s">
        <v>1671</v>
      </c>
      <c r="K314" s="2">
        <v>41</v>
      </c>
      <c r="L314" s="2">
        <v>15</v>
      </c>
      <c r="M314" s="2">
        <v>0</v>
      </c>
      <c r="N314" s="2">
        <v>6</v>
      </c>
      <c r="O314" s="2">
        <v>5</v>
      </c>
      <c r="P314" s="2">
        <v>15</v>
      </c>
      <c r="Q314" s="2" t="s">
        <v>2218</v>
      </c>
      <c r="R314" s="2" t="s">
        <v>2219</v>
      </c>
      <c r="S314" s="4">
        <v>44837</v>
      </c>
    </row>
    <row r="315" spans="1:19" ht="12.5" x14ac:dyDescent="0.25">
      <c r="A315" s="14" t="str">
        <f>HYPERLINK("https://gerandofalcoes.my.salesforce.com/0014X00002VKCt4QAH", "0014X00002VKCt4QAH")</f>
        <v>0014X00002VKCt4QAH</v>
      </c>
      <c r="B315" s="2" t="s">
        <v>1841</v>
      </c>
      <c r="C315" s="2" t="s">
        <v>423</v>
      </c>
      <c r="D315" s="2" t="s">
        <v>2</v>
      </c>
      <c r="E315" s="2">
        <v>80</v>
      </c>
      <c r="F315" s="2">
        <v>0</v>
      </c>
      <c r="G315" s="2">
        <v>2</v>
      </c>
      <c r="H315" s="2">
        <v>272000</v>
      </c>
      <c r="I315" s="2">
        <v>105</v>
      </c>
      <c r="J315" s="2" t="s">
        <v>1671</v>
      </c>
      <c r="K315" s="2">
        <v>56</v>
      </c>
      <c r="L315" s="2">
        <v>25</v>
      </c>
      <c r="M315" s="2">
        <v>0</v>
      </c>
      <c r="N315" s="2">
        <v>6</v>
      </c>
      <c r="O315" s="2">
        <v>15</v>
      </c>
      <c r="P315" s="2">
        <v>10</v>
      </c>
      <c r="Q315" s="2" t="s">
        <v>1842</v>
      </c>
      <c r="R315" s="2" t="s">
        <v>1843</v>
      </c>
      <c r="S315" s="4">
        <v>44837</v>
      </c>
    </row>
    <row r="316" spans="1:19" ht="12.5" x14ac:dyDescent="0.25">
      <c r="A316" s="14" t="str">
        <f>HYPERLINK("https://gerandofalcoes.my.salesforce.com/0014X00002VKCuPQAX", "0014X00002VKCuPQAX")</f>
        <v>0014X00002VKCuPQAX</v>
      </c>
      <c r="B316" s="2" t="s">
        <v>2909</v>
      </c>
      <c r="C316" s="2" t="s">
        <v>423</v>
      </c>
      <c r="D316" s="2" t="s">
        <v>2</v>
      </c>
      <c r="E316" s="2">
        <v>24</v>
      </c>
      <c r="F316" s="2">
        <v>0</v>
      </c>
      <c r="G316" s="2">
        <v>0</v>
      </c>
      <c r="H316" s="2">
        <v>0</v>
      </c>
      <c r="I316" s="2">
        <v>0</v>
      </c>
      <c r="J316" s="2" t="s">
        <v>1779</v>
      </c>
      <c r="K316" s="2">
        <v>10</v>
      </c>
      <c r="L316" s="2">
        <v>10</v>
      </c>
      <c r="M316" s="2">
        <v>0</v>
      </c>
      <c r="N316" s="2">
        <v>0</v>
      </c>
      <c r="O316" s="2">
        <v>0</v>
      </c>
      <c r="P316" s="2">
        <v>0</v>
      </c>
      <c r="Q316" s="2" t="s">
        <v>2910</v>
      </c>
      <c r="R316" s="2" t="s">
        <v>2911</v>
      </c>
      <c r="S316" s="4">
        <v>44837</v>
      </c>
    </row>
    <row r="317" spans="1:19" ht="12.5" x14ac:dyDescent="0.25">
      <c r="A317" s="14" t="str">
        <f>HYPERLINK("https://gerandofalcoes.my.salesforce.com/0014X00002VKCpxQAH", "0014X00002VKCpxQAH")</f>
        <v>0014X00002VKCpxQAH</v>
      </c>
      <c r="B317" s="2" t="s">
        <v>2551</v>
      </c>
      <c r="C317" s="2" t="s">
        <v>1800</v>
      </c>
      <c r="D317" s="2" t="s">
        <v>2</v>
      </c>
      <c r="E317" s="2">
        <v>20</v>
      </c>
      <c r="F317" s="2">
        <v>5</v>
      </c>
      <c r="G317" s="2">
        <v>7</v>
      </c>
      <c r="H317" s="2">
        <v>21530</v>
      </c>
      <c r="I317" s="2">
        <v>387</v>
      </c>
      <c r="J317" s="2" t="s">
        <v>1671</v>
      </c>
      <c r="K317" s="2">
        <v>45</v>
      </c>
      <c r="L317" s="2">
        <v>10</v>
      </c>
      <c r="M317" s="2">
        <v>5</v>
      </c>
      <c r="N317" s="2">
        <v>10</v>
      </c>
      <c r="O317" s="2">
        <v>5</v>
      </c>
      <c r="P317" s="2">
        <v>15</v>
      </c>
      <c r="Q317" s="2" t="s">
        <v>2552</v>
      </c>
      <c r="R317" s="2" t="s">
        <v>2553</v>
      </c>
      <c r="S317" s="4">
        <v>44837</v>
      </c>
    </row>
    <row r="318" spans="1:19" ht="12.5" x14ac:dyDescent="0.25">
      <c r="A318" s="14" t="str">
        <f>HYPERLINK("https://gerandofalcoes.my.salesforce.com/0014X00002VKCqgQAH", "0014X00002VKCqgQAH")</f>
        <v>0014X00002VKCqgQAH</v>
      </c>
      <c r="B318" s="2" t="s">
        <v>1816</v>
      </c>
      <c r="C318" s="2" t="s">
        <v>423</v>
      </c>
      <c r="D318" s="2" t="s">
        <v>2</v>
      </c>
      <c r="E318" s="2">
        <v>43</v>
      </c>
      <c r="F318" s="2">
        <v>12</v>
      </c>
      <c r="G318" s="2">
        <v>2</v>
      </c>
      <c r="H318" s="2">
        <v>472000</v>
      </c>
      <c r="I318" s="2">
        <v>50</v>
      </c>
      <c r="J318" s="2" t="s">
        <v>1671</v>
      </c>
      <c r="K318" s="2">
        <v>58</v>
      </c>
      <c r="L318" s="2">
        <v>15</v>
      </c>
      <c r="M318" s="2">
        <v>12</v>
      </c>
      <c r="N318" s="2">
        <v>6</v>
      </c>
      <c r="O318" s="2">
        <v>20</v>
      </c>
      <c r="P318" s="2">
        <v>5</v>
      </c>
      <c r="Q318" s="2" t="s">
        <v>1817</v>
      </c>
      <c r="R318" s="2" t="s">
        <v>1818</v>
      </c>
      <c r="S318" s="4">
        <v>44837</v>
      </c>
    </row>
    <row r="319" spans="1:19" ht="12.5" x14ac:dyDescent="0.25">
      <c r="A319" s="14" t="str">
        <f>HYPERLINK("https://gerandofalcoes.my.salesforce.com/0014X00002VKCpmQAH", "0014X00002VKCpmQAH")</f>
        <v>0014X00002VKCpmQAH</v>
      </c>
      <c r="B319" s="2" t="s">
        <v>2555</v>
      </c>
      <c r="C319" s="2" t="s">
        <v>1800</v>
      </c>
      <c r="D319" s="2" t="s">
        <v>2</v>
      </c>
      <c r="E319" s="2">
        <v>20</v>
      </c>
      <c r="F319" s="2">
        <v>0</v>
      </c>
      <c r="G319" s="2">
        <v>3</v>
      </c>
      <c r="H319" s="2">
        <v>7000</v>
      </c>
      <c r="I319" s="2">
        <v>80</v>
      </c>
      <c r="J319" s="2" t="s">
        <v>1779</v>
      </c>
      <c r="K319" s="2">
        <v>33</v>
      </c>
      <c r="L319" s="2">
        <v>10</v>
      </c>
      <c r="M319" s="2">
        <v>0</v>
      </c>
      <c r="N319" s="2">
        <v>8</v>
      </c>
      <c r="O319" s="2">
        <v>5</v>
      </c>
      <c r="P319" s="2">
        <v>10</v>
      </c>
      <c r="Q319" s="2" t="s">
        <v>2556</v>
      </c>
      <c r="R319" s="2" t="s">
        <v>2556</v>
      </c>
      <c r="S319" s="4">
        <v>44837</v>
      </c>
    </row>
    <row r="320" spans="1:19" ht="12.5" x14ac:dyDescent="0.25">
      <c r="A320" s="14" t="str">
        <f>HYPERLINK("https://gerandofalcoes.my.salesforce.com/0014X00002VKCuzQAH", "0014X00002VKCuzQAH")</f>
        <v>0014X00002VKCuzQAH</v>
      </c>
      <c r="B320" s="2" t="s">
        <v>2117</v>
      </c>
      <c r="C320" s="2" t="s">
        <v>423</v>
      </c>
      <c r="D320" s="2" t="s">
        <v>2</v>
      </c>
      <c r="E320" s="2">
        <v>35</v>
      </c>
      <c r="F320" s="2">
        <v>0</v>
      </c>
      <c r="G320" s="2">
        <v>3</v>
      </c>
      <c r="H320" s="2">
        <v>34878</v>
      </c>
      <c r="I320" s="2">
        <v>7</v>
      </c>
      <c r="J320" s="2" t="s">
        <v>1779</v>
      </c>
      <c r="K320" s="2">
        <v>38</v>
      </c>
      <c r="L320" s="2">
        <v>15</v>
      </c>
      <c r="M320" s="2">
        <v>0</v>
      </c>
      <c r="N320" s="2">
        <v>8</v>
      </c>
      <c r="O320" s="2">
        <v>10</v>
      </c>
      <c r="P320" s="2">
        <v>5</v>
      </c>
      <c r="Q320" s="2" t="s">
        <v>2118</v>
      </c>
      <c r="R320" s="2" t="s">
        <v>2119</v>
      </c>
      <c r="S320" s="4">
        <v>44837</v>
      </c>
    </row>
    <row r="321" spans="1:19" ht="12.5" x14ac:dyDescent="0.25">
      <c r="A321" s="14" t="str">
        <f>HYPERLINK("https://gerandofalcoes.my.salesforce.com/0014X00002VKCq5QAH", "0014X00002VKCq5QAH")</f>
        <v>0014X00002VKCq5QAH</v>
      </c>
      <c r="B321" s="2" t="s">
        <v>2304</v>
      </c>
      <c r="C321" s="2" t="s">
        <v>423</v>
      </c>
      <c r="D321" s="2" t="s">
        <v>2</v>
      </c>
      <c r="E321" s="2">
        <v>29</v>
      </c>
      <c r="F321" s="2">
        <v>3</v>
      </c>
      <c r="G321" s="2">
        <v>3</v>
      </c>
      <c r="H321" s="2">
        <v>30000</v>
      </c>
      <c r="I321" s="2">
        <v>50</v>
      </c>
      <c r="J321" s="2" t="s">
        <v>1671</v>
      </c>
      <c r="K321" s="2">
        <v>43</v>
      </c>
      <c r="L321" s="2">
        <v>15</v>
      </c>
      <c r="M321" s="2">
        <v>5</v>
      </c>
      <c r="N321" s="2">
        <v>8</v>
      </c>
      <c r="O321" s="2">
        <v>10</v>
      </c>
      <c r="P321" s="2">
        <v>5</v>
      </c>
      <c r="Q321" s="2" t="s">
        <v>2305</v>
      </c>
      <c r="R321" s="2" t="s">
        <v>2306</v>
      </c>
      <c r="S321" s="4">
        <v>44837</v>
      </c>
    </row>
    <row r="322" spans="1:19" ht="12.5" x14ac:dyDescent="0.25">
      <c r="A322" s="14" t="str">
        <f>HYPERLINK("https://gerandofalcoes.my.salesforce.com/0014X00002VKCtIQAX", "0014X00002VKCtIQAX")</f>
        <v>0014X00002VKCtIQAX</v>
      </c>
      <c r="B322" s="2" t="s">
        <v>1927</v>
      </c>
      <c r="C322" s="2" t="s">
        <v>423</v>
      </c>
      <c r="D322" s="2" t="s">
        <v>2</v>
      </c>
      <c r="E322" s="2">
        <v>42</v>
      </c>
      <c r="F322" s="2">
        <v>0</v>
      </c>
      <c r="G322" s="2">
        <v>6</v>
      </c>
      <c r="H322" s="2">
        <v>0</v>
      </c>
      <c r="I322" s="2">
        <v>180</v>
      </c>
      <c r="J322" s="2" t="s">
        <v>1779</v>
      </c>
      <c r="K322" s="2">
        <v>37</v>
      </c>
      <c r="L322" s="2">
        <v>15</v>
      </c>
      <c r="M322" s="2">
        <v>0</v>
      </c>
      <c r="N322" s="2">
        <v>10</v>
      </c>
      <c r="O322" s="2">
        <v>0</v>
      </c>
      <c r="P322" s="2">
        <v>12</v>
      </c>
      <c r="Q322" s="2" t="s">
        <v>1928</v>
      </c>
      <c r="R322" s="2" t="s">
        <v>1929</v>
      </c>
      <c r="S322" s="4">
        <v>44837</v>
      </c>
    </row>
    <row r="323" spans="1:19" ht="12.5" x14ac:dyDescent="0.25">
      <c r="A323" s="14" t="str">
        <f>HYPERLINK("https://gerandofalcoes.my.salesforce.com/0014X00002VKCufQAH", "0014X00002VKCufQAH")</f>
        <v>0014X00002VKCufQAH</v>
      </c>
      <c r="B323" s="2" t="s">
        <v>1895</v>
      </c>
      <c r="C323" s="2" t="s">
        <v>423</v>
      </c>
      <c r="D323" s="2" t="s">
        <v>2</v>
      </c>
      <c r="E323" s="2">
        <v>47</v>
      </c>
      <c r="F323" s="2">
        <v>5</v>
      </c>
      <c r="G323" s="2">
        <v>1</v>
      </c>
      <c r="H323" s="2">
        <v>14040000</v>
      </c>
      <c r="I323" s="2">
        <v>50</v>
      </c>
      <c r="J323" s="2" t="s">
        <v>1671</v>
      </c>
      <c r="K323" s="2">
        <v>54</v>
      </c>
      <c r="L323" s="2">
        <v>15</v>
      </c>
      <c r="M323" s="2">
        <v>5</v>
      </c>
      <c r="N323" s="2">
        <v>4</v>
      </c>
      <c r="O323" s="2">
        <v>25</v>
      </c>
      <c r="P323" s="2">
        <v>5</v>
      </c>
      <c r="Q323" s="2" t="s">
        <v>1896</v>
      </c>
      <c r="R323" s="2" t="s">
        <v>1896</v>
      </c>
      <c r="S323" s="4">
        <v>44837</v>
      </c>
    </row>
    <row r="324" spans="1:19" ht="12.5" x14ac:dyDescent="0.25">
      <c r="A324" s="14" t="str">
        <f>HYPERLINK("https://gerandofalcoes.my.salesforce.com/0014X00002VKCuNQAX", "0014X00002VKCuNQAX")</f>
        <v>0014X00002VKCuNQAX</v>
      </c>
      <c r="B324" s="2" t="s">
        <v>1963</v>
      </c>
      <c r="C324" s="2" t="s">
        <v>1800</v>
      </c>
      <c r="D324" s="2" t="s">
        <v>2</v>
      </c>
      <c r="E324" s="2">
        <v>40</v>
      </c>
      <c r="F324" s="2">
        <v>0</v>
      </c>
      <c r="G324" s="2">
        <v>4</v>
      </c>
      <c r="H324" s="2">
        <v>52814</v>
      </c>
      <c r="I324" s="2">
        <v>96</v>
      </c>
      <c r="J324" s="2" t="s">
        <v>1671</v>
      </c>
      <c r="K324" s="2">
        <v>45</v>
      </c>
      <c r="L324" s="2">
        <v>15</v>
      </c>
      <c r="M324" s="2">
        <v>0</v>
      </c>
      <c r="N324" s="2">
        <v>10</v>
      </c>
      <c r="O324" s="2">
        <v>10</v>
      </c>
      <c r="P324" s="2">
        <v>10</v>
      </c>
      <c r="Q324" s="2" t="s">
        <v>1964</v>
      </c>
      <c r="R324" s="2" t="s">
        <v>1965</v>
      </c>
      <c r="S324" s="4">
        <v>44837</v>
      </c>
    </row>
    <row r="325" spans="1:19" ht="12.5" x14ac:dyDescent="0.25">
      <c r="A325" s="14" t="str">
        <f>HYPERLINK("https://gerandofalcoes.my.salesforce.com/0014X00002VKCuTQAX", "0014X00002VKCuTQAX")</f>
        <v>0014X00002VKCuTQAX</v>
      </c>
      <c r="B325" s="2" t="s">
        <v>1801</v>
      </c>
      <c r="C325" s="2" t="s">
        <v>423</v>
      </c>
      <c r="D325" s="2" t="s">
        <v>2</v>
      </c>
      <c r="E325" s="2">
        <v>53</v>
      </c>
      <c r="F325" s="2">
        <v>14</v>
      </c>
      <c r="G325" s="2">
        <v>2</v>
      </c>
      <c r="H325" s="2">
        <v>350000</v>
      </c>
      <c r="I325" s="2">
        <v>75</v>
      </c>
      <c r="J325" s="2" t="s">
        <v>1671</v>
      </c>
      <c r="K325" s="2">
        <v>63</v>
      </c>
      <c r="L325" s="2">
        <v>20</v>
      </c>
      <c r="M325" s="2">
        <v>12</v>
      </c>
      <c r="N325" s="2">
        <v>6</v>
      </c>
      <c r="O325" s="2">
        <v>20</v>
      </c>
      <c r="P325" s="2">
        <v>5</v>
      </c>
      <c r="Q325" s="2" t="s">
        <v>1802</v>
      </c>
      <c r="R325" s="2" t="s">
        <v>1803</v>
      </c>
      <c r="S325" s="4">
        <v>44837</v>
      </c>
    </row>
    <row r="326" spans="1:19" ht="12.5" x14ac:dyDescent="0.25">
      <c r="A326" s="14" t="str">
        <f>HYPERLINK("https://gerandofalcoes.my.salesforce.com/0014X00002VKCtOQAX", "0014X00002VKCtOQAX")</f>
        <v>0014X00002VKCtOQAX</v>
      </c>
      <c r="B326" s="2" t="s">
        <v>1986</v>
      </c>
      <c r="C326" s="2" t="s">
        <v>423</v>
      </c>
      <c r="D326" s="2" t="s">
        <v>2</v>
      </c>
      <c r="E326" s="2">
        <v>39</v>
      </c>
      <c r="F326" s="2">
        <v>0</v>
      </c>
      <c r="G326" s="2">
        <v>2</v>
      </c>
      <c r="H326" s="2">
        <v>4046</v>
      </c>
      <c r="I326" s="2">
        <v>240</v>
      </c>
      <c r="J326" s="2" t="s">
        <v>1779</v>
      </c>
      <c r="K326" s="2">
        <v>38</v>
      </c>
      <c r="L326" s="2">
        <v>15</v>
      </c>
      <c r="M326" s="2">
        <v>0</v>
      </c>
      <c r="N326" s="2">
        <v>6</v>
      </c>
      <c r="O326" s="2">
        <v>5</v>
      </c>
      <c r="P326" s="2">
        <v>12</v>
      </c>
      <c r="Q326" s="2" t="s">
        <v>1987</v>
      </c>
      <c r="R326" s="2" t="s">
        <v>1988</v>
      </c>
      <c r="S326" s="4">
        <v>44837</v>
      </c>
    </row>
    <row r="327" spans="1:19" ht="12.5" x14ac:dyDescent="0.25">
      <c r="A327" s="14" t="str">
        <f>HYPERLINK("https://gerandofalcoes.my.salesforce.com/0014X00002VKCqeQAH", "0014X00002VKCqeQAH")</f>
        <v>0014X00002VKCqeQAH</v>
      </c>
      <c r="B327" s="2" t="s">
        <v>2338</v>
      </c>
      <c r="C327" s="2" t="s">
        <v>423</v>
      </c>
      <c r="D327" s="2" t="s">
        <v>2</v>
      </c>
      <c r="E327" s="2">
        <v>27.33</v>
      </c>
      <c r="F327" s="2">
        <v>0</v>
      </c>
      <c r="G327" s="2">
        <v>0</v>
      </c>
      <c r="H327" s="2">
        <v>0</v>
      </c>
      <c r="I327" s="2">
        <v>120</v>
      </c>
      <c r="J327" s="2" t="s">
        <v>1779</v>
      </c>
      <c r="K327" s="2">
        <v>25</v>
      </c>
      <c r="L327" s="2">
        <v>15</v>
      </c>
      <c r="M327" s="2">
        <v>0</v>
      </c>
      <c r="N327" s="2">
        <v>0</v>
      </c>
      <c r="O327" s="2">
        <v>0</v>
      </c>
      <c r="P327" s="2">
        <v>10</v>
      </c>
      <c r="Q327" s="2" t="s">
        <v>2339</v>
      </c>
      <c r="R327" s="2" t="s">
        <v>2339</v>
      </c>
      <c r="S327" s="4">
        <v>44837</v>
      </c>
    </row>
    <row r="328" spans="1:19" ht="12.5" x14ac:dyDescent="0.25">
      <c r="A328" s="14" t="str">
        <f>HYPERLINK("https://gerandofalcoes.my.salesforce.com/0014X00002VKCtWQAX", "0014X00002VKCtWQAX")</f>
        <v>0014X00002VKCtWQAX</v>
      </c>
      <c r="B328" s="2" t="s">
        <v>7164</v>
      </c>
      <c r="C328" s="2" t="s">
        <v>423</v>
      </c>
      <c r="D328" s="2" t="s">
        <v>2</v>
      </c>
      <c r="E328" s="2">
        <v>41</v>
      </c>
      <c r="F328" s="2">
        <v>0</v>
      </c>
      <c r="G328" s="2">
        <v>0</v>
      </c>
      <c r="H328" s="2">
        <v>1000</v>
      </c>
      <c r="I328" s="2">
        <v>150</v>
      </c>
      <c r="J328" s="2" t="s">
        <v>1779</v>
      </c>
      <c r="K328" s="2">
        <v>32</v>
      </c>
      <c r="L328" s="2">
        <v>15</v>
      </c>
      <c r="M328" s="2">
        <v>0</v>
      </c>
      <c r="N328" s="2">
        <v>0</v>
      </c>
      <c r="O328" s="2">
        <v>5</v>
      </c>
      <c r="P328" s="2">
        <v>12</v>
      </c>
      <c r="Q328" s="2" t="s">
        <v>2652</v>
      </c>
      <c r="R328" s="2" t="s">
        <v>2653</v>
      </c>
      <c r="S328" s="4">
        <v>44837</v>
      </c>
    </row>
    <row r="329" spans="1:19" ht="12.5" x14ac:dyDescent="0.25">
      <c r="A329" s="14" t="str">
        <f>HYPERLINK("https://gerandofalcoes.my.salesforce.com/0014X00002VKCqsQAH", "0014X00002VKCqsQAH")</f>
        <v>0014X00002VKCqsQAH</v>
      </c>
      <c r="B329" s="2" t="s">
        <v>2700</v>
      </c>
      <c r="C329" s="2" t="s">
        <v>423</v>
      </c>
      <c r="D329" s="2" t="s">
        <v>2</v>
      </c>
      <c r="E329" s="2">
        <v>33</v>
      </c>
      <c r="F329" s="2">
        <v>8</v>
      </c>
      <c r="G329" s="2">
        <v>2</v>
      </c>
      <c r="H329" s="2">
        <v>47000</v>
      </c>
      <c r="I329" s="2">
        <v>100</v>
      </c>
      <c r="J329" s="2" t="s">
        <v>1671</v>
      </c>
      <c r="K329" s="2">
        <v>51</v>
      </c>
      <c r="L329" s="2">
        <v>15</v>
      </c>
      <c r="M329" s="2">
        <v>10</v>
      </c>
      <c r="N329" s="2">
        <v>6</v>
      </c>
      <c r="O329" s="2">
        <v>10</v>
      </c>
      <c r="P329" s="2">
        <v>10</v>
      </c>
      <c r="Q329" s="2" t="s">
        <v>2701</v>
      </c>
      <c r="R329" s="2" t="s">
        <v>2702</v>
      </c>
      <c r="S329" s="4">
        <v>44837</v>
      </c>
    </row>
    <row r="330" spans="1:19" ht="12.5" x14ac:dyDescent="0.25">
      <c r="A330" s="14" t="str">
        <f>HYPERLINK("https://gerandofalcoes.my.salesforce.com/0014X00002VKCqLQAX", "0014X00002VKCqLQAX")</f>
        <v>0014X00002VKCqLQAX</v>
      </c>
      <c r="B330" s="2" t="s">
        <v>1871</v>
      </c>
      <c r="C330" s="2" t="s">
        <v>423</v>
      </c>
      <c r="D330" s="2" t="s">
        <v>2</v>
      </c>
      <c r="E330" s="2">
        <v>79</v>
      </c>
      <c r="F330" s="2">
        <v>462</v>
      </c>
      <c r="G330" s="2">
        <v>2</v>
      </c>
      <c r="H330" s="2">
        <v>9114662</v>
      </c>
      <c r="I330" s="2">
        <v>365</v>
      </c>
      <c r="J330" s="2" t="s">
        <v>1654</v>
      </c>
      <c r="K330" s="2">
        <v>86</v>
      </c>
      <c r="L330" s="2">
        <v>25</v>
      </c>
      <c r="M330" s="2">
        <v>15</v>
      </c>
      <c r="N330" s="2">
        <v>6</v>
      </c>
      <c r="O330" s="2">
        <v>25</v>
      </c>
      <c r="P330" s="2">
        <v>15</v>
      </c>
      <c r="Q330" s="2" t="s">
        <v>1872</v>
      </c>
      <c r="R330" s="2" t="s">
        <v>1873</v>
      </c>
      <c r="S330" s="4">
        <v>44837</v>
      </c>
    </row>
    <row r="331" spans="1:19" ht="12.5" x14ac:dyDescent="0.25">
      <c r="A331" s="14" t="str">
        <f>HYPERLINK("https://gerandofalcoes.my.salesforce.com/0014X00002VKCuDQAX", "0014X00002VKCuDQAX")</f>
        <v>0014X00002VKCuDQAX</v>
      </c>
      <c r="B331" s="2" t="s">
        <v>2900</v>
      </c>
      <c r="C331" s="2" t="s">
        <v>1684</v>
      </c>
      <c r="D331" s="2" t="s">
        <v>2</v>
      </c>
      <c r="E331" s="2">
        <v>22</v>
      </c>
      <c r="F331" s="2">
        <v>0</v>
      </c>
      <c r="G331" s="2">
        <v>1</v>
      </c>
      <c r="H331" s="2">
        <v>20000</v>
      </c>
      <c r="I331" s="2">
        <v>30</v>
      </c>
      <c r="J331" s="2" t="s">
        <v>1779</v>
      </c>
      <c r="K331" s="2">
        <v>24</v>
      </c>
      <c r="L331" s="2">
        <v>10</v>
      </c>
      <c r="M331" s="2">
        <v>0</v>
      </c>
      <c r="N331" s="2">
        <v>4</v>
      </c>
      <c r="O331" s="2">
        <v>5</v>
      </c>
      <c r="P331" s="2">
        <v>5</v>
      </c>
      <c r="Q331" s="2" t="s">
        <v>2901</v>
      </c>
      <c r="R331" s="2" t="s">
        <v>2901</v>
      </c>
      <c r="S331" s="4">
        <v>44837</v>
      </c>
    </row>
    <row r="332" spans="1:19" ht="12.5" x14ac:dyDescent="0.25">
      <c r="A332" s="14" t="str">
        <f>HYPERLINK("https://gerandofalcoes.my.salesforce.com/0014X00002VKCrpQAH", "0014X00002VKCrpQAH")</f>
        <v>0014X00002VKCrpQAH</v>
      </c>
      <c r="B332" s="2" t="s">
        <v>2887</v>
      </c>
      <c r="C332" s="2" t="s">
        <v>1800</v>
      </c>
      <c r="D332" s="2" t="s">
        <v>2</v>
      </c>
      <c r="E332" s="2">
        <v>9</v>
      </c>
      <c r="F332" s="2">
        <v>0</v>
      </c>
      <c r="G332" s="2">
        <v>4</v>
      </c>
      <c r="H332" s="2">
        <v>2700</v>
      </c>
      <c r="I332" s="2">
        <v>80</v>
      </c>
      <c r="J332" s="2" t="s">
        <v>1779</v>
      </c>
      <c r="K332" s="2">
        <v>35</v>
      </c>
      <c r="L332" s="2">
        <v>10</v>
      </c>
      <c r="M332" s="2">
        <v>0</v>
      </c>
      <c r="N332" s="2">
        <v>10</v>
      </c>
      <c r="O332" s="2">
        <v>5</v>
      </c>
      <c r="P332" s="2">
        <v>10</v>
      </c>
      <c r="Q332" s="2" t="s">
        <v>2888</v>
      </c>
      <c r="R332" s="2" t="s">
        <v>2889</v>
      </c>
      <c r="S332" s="4">
        <v>44837</v>
      </c>
    </row>
    <row r="333" spans="1:19" ht="12.5" x14ac:dyDescent="0.25">
      <c r="A333" s="14" t="str">
        <f>HYPERLINK("https://gerandofalcoes.my.salesforce.com/0014P00003AN2FzQAL", "0014P00003AN2FzQAL")</f>
        <v>0014P00003AN2FzQAL</v>
      </c>
      <c r="B333" s="2" t="s">
        <v>2127</v>
      </c>
      <c r="C333" s="2" t="s">
        <v>423</v>
      </c>
      <c r="D333" s="2" t="s">
        <v>2</v>
      </c>
      <c r="E333" s="2">
        <v>87</v>
      </c>
      <c r="F333" s="2">
        <v>5</v>
      </c>
      <c r="G333" s="2">
        <v>5</v>
      </c>
      <c r="H333" s="2">
        <v>304000</v>
      </c>
      <c r="I333" s="2">
        <v>180</v>
      </c>
      <c r="J333" s="2" t="s">
        <v>1650</v>
      </c>
      <c r="K333" s="2">
        <v>72</v>
      </c>
      <c r="L333" s="2">
        <v>25</v>
      </c>
      <c r="M333" s="2">
        <v>5</v>
      </c>
      <c r="N333" s="2">
        <v>10</v>
      </c>
      <c r="O333" s="2">
        <v>20</v>
      </c>
      <c r="P333" s="2">
        <v>12</v>
      </c>
      <c r="Q333" s="2" t="s">
        <v>652</v>
      </c>
      <c r="R333" s="2" t="s">
        <v>652</v>
      </c>
      <c r="S333" s="4">
        <v>44837</v>
      </c>
    </row>
    <row r="334" spans="1:19" ht="12.5" x14ac:dyDescent="0.25">
      <c r="A334" s="14" t="str">
        <f>HYPERLINK("https://gerandofalcoes.my.salesforce.com/0014P00003AN2G0QAL", "0014P00003AN2G0QAL")</f>
        <v>0014P00003AN2G0QAL</v>
      </c>
      <c r="B334" s="2" t="s">
        <v>146</v>
      </c>
      <c r="C334" s="2" t="s">
        <v>423</v>
      </c>
      <c r="D334" s="2" t="s">
        <v>27</v>
      </c>
      <c r="E334" s="2">
        <v>83</v>
      </c>
      <c r="F334" s="2">
        <v>7</v>
      </c>
      <c r="G334" s="2">
        <v>3</v>
      </c>
      <c r="H334" s="2">
        <v>31263.49</v>
      </c>
      <c r="I334" s="2">
        <v>71</v>
      </c>
      <c r="J334" s="2" t="s">
        <v>1671</v>
      </c>
      <c r="K334" s="2">
        <v>58</v>
      </c>
      <c r="L334" s="2">
        <v>25</v>
      </c>
      <c r="M334" s="2">
        <v>10</v>
      </c>
      <c r="N334" s="2">
        <v>8</v>
      </c>
      <c r="O334" s="2">
        <v>10</v>
      </c>
      <c r="P334" s="2">
        <v>5</v>
      </c>
      <c r="Q334" s="2" t="s">
        <v>1699</v>
      </c>
      <c r="R334" s="2" t="s">
        <v>1699</v>
      </c>
      <c r="S334" s="4">
        <v>44837</v>
      </c>
    </row>
    <row r="335" spans="1:19" ht="12.5" x14ac:dyDescent="0.25">
      <c r="A335" s="14" t="str">
        <f>HYPERLINK("https://gerandofalcoes.my.salesforce.com/0014P00003AN2G1QAL", "0014P00003AN2G1QAL")</f>
        <v>0014P00003AN2G1QAL</v>
      </c>
      <c r="B335" s="2" t="s">
        <v>1744</v>
      </c>
      <c r="C335" s="2" t="s">
        <v>423</v>
      </c>
      <c r="D335" s="2" t="s">
        <v>2</v>
      </c>
      <c r="E335" s="2">
        <v>86</v>
      </c>
      <c r="F335" s="2">
        <v>10</v>
      </c>
      <c r="G335" s="2">
        <v>2</v>
      </c>
      <c r="H335" s="2">
        <v>1545600</v>
      </c>
      <c r="I335" s="2">
        <v>123</v>
      </c>
      <c r="J335" s="2" t="s">
        <v>1650</v>
      </c>
      <c r="K335" s="2">
        <v>76</v>
      </c>
      <c r="L335" s="2">
        <v>25</v>
      </c>
      <c r="M335" s="2">
        <v>10</v>
      </c>
      <c r="N335" s="2">
        <v>6</v>
      </c>
      <c r="O335" s="2">
        <v>25</v>
      </c>
      <c r="P335" s="2">
        <v>10</v>
      </c>
      <c r="Q335" s="2" t="s">
        <v>839</v>
      </c>
      <c r="R335" s="2" t="s">
        <v>839</v>
      </c>
      <c r="S335" s="4">
        <v>44837</v>
      </c>
    </row>
    <row r="336" spans="1:19" ht="12.5" x14ac:dyDescent="0.25">
      <c r="A336" s="14" t="str">
        <f>HYPERLINK("https://gerandofalcoes.my.salesforce.com/0014P00003AN2G2QAL", "0014P00003AN2G2QAL")</f>
        <v>0014P00003AN2G2QAL</v>
      </c>
      <c r="B336" s="2" t="s">
        <v>2150</v>
      </c>
      <c r="C336" s="2" t="s">
        <v>423</v>
      </c>
      <c r="D336" s="2" t="s">
        <v>2</v>
      </c>
      <c r="E336" s="2"/>
      <c r="F336" s="2">
        <v>10</v>
      </c>
      <c r="G336" s="2">
        <v>1</v>
      </c>
      <c r="H336" s="2">
        <v>30485954</v>
      </c>
      <c r="I336" s="2">
        <v>200</v>
      </c>
      <c r="J336" s="2" t="s">
        <v>1671</v>
      </c>
      <c r="K336" s="2">
        <v>51</v>
      </c>
      <c r="L336" s="2">
        <v>0</v>
      </c>
      <c r="M336" s="2">
        <v>10</v>
      </c>
      <c r="N336" s="2">
        <v>4</v>
      </c>
      <c r="O336" s="2">
        <v>25</v>
      </c>
      <c r="P336" s="2">
        <v>12</v>
      </c>
      <c r="Q336" s="2" t="s">
        <v>911</v>
      </c>
      <c r="R336" s="2" t="s">
        <v>2151</v>
      </c>
      <c r="S336" s="4">
        <v>44837</v>
      </c>
    </row>
    <row r="337" spans="1:19" ht="12.5" x14ac:dyDescent="0.25">
      <c r="A337" s="14" t="str">
        <f>HYPERLINK("https://gerandofalcoes.my.salesforce.com/0014P00003AN2G3QAL", "0014P00003AN2G3QAL")</f>
        <v>0014P00003AN2G3QAL</v>
      </c>
      <c r="B337" s="2" t="s">
        <v>1677</v>
      </c>
      <c r="C337" s="2" t="s">
        <v>423</v>
      </c>
      <c r="D337" s="2" t="s">
        <v>27</v>
      </c>
      <c r="E337" s="2">
        <v>89</v>
      </c>
      <c r="F337" s="2">
        <v>9</v>
      </c>
      <c r="G337" s="2">
        <v>3</v>
      </c>
      <c r="H337" s="2">
        <v>46396.77</v>
      </c>
      <c r="I337" s="2">
        <v>188</v>
      </c>
      <c r="J337" s="2" t="s">
        <v>1650</v>
      </c>
      <c r="K337" s="2">
        <v>65</v>
      </c>
      <c r="L337" s="2">
        <v>25</v>
      </c>
      <c r="M337" s="2">
        <v>10</v>
      </c>
      <c r="N337" s="2">
        <v>8</v>
      </c>
      <c r="O337" s="2">
        <v>10</v>
      </c>
      <c r="P337" s="2">
        <v>12</v>
      </c>
      <c r="Q337" s="2" t="s">
        <v>153</v>
      </c>
      <c r="R337" s="2" t="s">
        <v>153</v>
      </c>
      <c r="S337" s="4">
        <v>44837</v>
      </c>
    </row>
    <row r="338" spans="1:19" ht="12.5" x14ac:dyDescent="0.25">
      <c r="A338" s="14" t="str">
        <f>HYPERLINK("https://gerandofalcoes.my.salesforce.com/0014P00003AN2G4QAL", "0014P00003AN2G4QAL")</f>
        <v>0014P00003AN2G4QAL</v>
      </c>
      <c r="B338" s="2" t="s">
        <v>1747</v>
      </c>
      <c r="C338" s="2" t="s">
        <v>423</v>
      </c>
      <c r="D338" s="2" t="s">
        <v>27</v>
      </c>
      <c r="E338" s="2">
        <v>56</v>
      </c>
      <c r="F338" s="2">
        <v>0</v>
      </c>
      <c r="G338" s="2">
        <v>2</v>
      </c>
      <c r="H338" s="2">
        <v>37000</v>
      </c>
      <c r="I338" s="2">
        <v>180</v>
      </c>
      <c r="J338" s="2" t="s">
        <v>1671</v>
      </c>
      <c r="K338" s="2">
        <v>48</v>
      </c>
      <c r="L338" s="2">
        <v>20</v>
      </c>
      <c r="M338" s="2">
        <v>0</v>
      </c>
      <c r="N338" s="2">
        <v>6</v>
      </c>
      <c r="O338" s="2">
        <v>10</v>
      </c>
      <c r="P338" s="2">
        <v>12</v>
      </c>
      <c r="Q338" s="2" t="s">
        <v>925</v>
      </c>
      <c r="R338" s="2" t="s">
        <v>925</v>
      </c>
      <c r="S338" s="4">
        <v>44837</v>
      </c>
    </row>
    <row r="339" spans="1:19" ht="12.5" x14ac:dyDescent="0.25">
      <c r="A339" s="14" t="str">
        <f>HYPERLINK("https://gerandofalcoes.my.salesforce.com/0014P00003AN2G5QAL", "0014P00003AN2G5QAL")</f>
        <v>0014P00003AN2G5QAL</v>
      </c>
      <c r="B339" s="2" t="s">
        <v>1712</v>
      </c>
      <c r="C339" s="2" t="s">
        <v>423</v>
      </c>
      <c r="D339" s="2" t="s">
        <v>27</v>
      </c>
      <c r="E339" s="2">
        <v>78</v>
      </c>
      <c r="F339" s="2">
        <v>19</v>
      </c>
      <c r="G339" s="2">
        <v>3</v>
      </c>
      <c r="H339" s="2">
        <v>1912288.57</v>
      </c>
      <c r="I339" s="2">
        <v>193</v>
      </c>
      <c r="J339" s="2" t="s">
        <v>1654</v>
      </c>
      <c r="K339" s="2">
        <v>82</v>
      </c>
      <c r="L339" s="2">
        <v>25</v>
      </c>
      <c r="M339" s="2">
        <v>12</v>
      </c>
      <c r="N339" s="2">
        <v>8</v>
      </c>
      <c r="O339" s="2">
        <v>25</v>
      </c>
      <c r="P339" s="2">
        <v>12</v>
      </c>
      <c r="Q339" s="2" t="s">
        <v>156</v>
      </c>
      <c r="R339" s="2" t="s">
        <v>156</v>
      </c>
      <c r="S339" s="4">
        <v>44837</v>
      </c>
    </row>
    <row r="340" spans="1:19" ht="12.5" x14ac:dyDescent="0.25">
      <c r="A340" s="14" t="str">
        <f>HYPERLINK("https://gerandofalcoes.my.salesforce.com/0014P00003AN2G6QAL", "0014P00003AN2G6QAL")</f>
        <v>0014P00003AN2G6QAL</v>
      </c>
      <c r="B340" s="2" t="s">
        <v>1704</v>
      </c>
      <c r="C340" s="2" t="s">
        <v>423</v>
      </c>
      <c r="D340" s="2" t="s">
        <v>27</v>
      </c>
      <c r="E340" s="2">
        <v>82</v>
      </c>
      <c r="F340" s="2">
        <v>11</v>
      </c>
      <c r="G340" s="2">
        <v>3</v>
      </c>
      <c r="H340" s="2">
        <v>62859.59</v>
      </c>
      <c r="I340" s="2">
        <v>282</v>
      </c>
      <c r="J340" s="2" t="s">
        <v>1650</v>
      </c>
      <c r="K340" s="2">
        <v>67</v>
      </c>
      <c r="L340" s="2">
        <v>25</v>
      </c>
      <c r="M340" s="2">
        <v>12</v>
      </c>
      <c r="N340" s="2">
        <v>8</v>
      </c>
      <c r="O340" s="2">
        <v>10</v>
      </c>
      <c r="P340" s="2">
        <v>12</v>
      </c>
      <c r="Q340" s="2" t="s">
        <v>157</v>
      </c>
      <c r="R340" s="2" t="s">
        <v>157</v>
      </c>
      <c r="S340" s="4">
        <v>44837</v>
      </c>
    </row>
    <row r="341" spans="1:19" ht="12.5" x14ac:dyDescent="0.25">
      <c r="A341" s="14" t="str">
        <f>HYPERLINK("https://gerandofalcoes.my.salesforce.com/0014P00003AN2FyQAL", "0014P00003AN2FyQAL")</f>
        <v>0014P00003AN2FyQAL</v>
      </c>
      <c r="B341" s="2" t="s">
        <v>2876</v>
      </c>
      <c r="C341" s="2" t="s">
        <v>423</v>
      </c>
      <c r="D341" s="2" t="s">
        <v>2</v>
      </c>
      <c r="E341" s="2">
        <v>6</v>
      </c>
      <c r="F341" s="2">
        <v>0</v>
      </c>
      <c r="G341" s="2">
        <v>3</v>
      </c>
      <c r="H341" s="2">
        <v>90000</v>
      </c>
      <c r="I341" s="2">
        <v>200</v>
      </c>
      <c r="J341" s="2" t="s">
        <v>1671</v>
      </c>
      <c r="K341" s="2">
        <v>40</v>
      </c>
      <c r="L341" s="2">
        <v>10</v>
      </c>
      <c r="M341" s="2">
        <v>0</v>
      </c>
      <c r="N341" s="2">
        <v>8</v>
      </c>
      <c r="O341" s="2">
        <v>10</v>
      </c>
      <c r="P341" s="2">
        <v>12</v>
      </c>
      <c r="Q341" s="2" t="s">
        <v>2877</v>
      </c>
      <c r="R341" s="2" t="s">
        <v>2877</v>
      </c>
      <c r="S341" s="4">
        <v>44837</v>
      </c>
    </row>
    <row r="342" spans="1:19" ht="12.5" x14ac:dyDescent="0.25">
      <c r="A342" s="14" t="str">
        <f>HYPERLINK("https://gerandofalcoes.my.salesforce.com/0014P00003AN2G7QAL", "0014P00003AN2G7QAL")</f>
        <v>0014P00003AN2G7QAL</v>
      </c>
      <c r="B342" s="2" t="s">
        <v>1740</v>
      </c>
      <c r="C342" s="2" t="s">
        <v>423</v>
      </c>
      <c r="D342" s="2" t="s">
        <v>2</v>
      </c>
      <c r="E342" s="2">
        <v>78</v>
      </c>
      <c r="F342" s="2">
        <v>3</v>
      </c>
      <c r="G342" s="2">
        <v>4</v>
      </c>
      <c r="H342" s="2">
        <v>140000</v>
      </c>
      <c r="I342" s="2">
        <v>3</v>
      </c>
      <c r="J342" s="2" t="s">
        <v>1671</v>
      </c>
      <c r="K342" s="2">
        <v>60</v>
      </c>
      <c r="L342" s="2">
        <v>25</v>
      </c>
      <c r="M342" s="2">
        <v>5</v>
      </c>
      <c r="N342" s="2">
        <v>10</v>
      </c>
      <c r="O342" s="2">
        <v>15</v>
      </c>
      <c r="P342" s="2">
        <v>5</v>
      </c>
      <c r="Q342" s="2" t="s">
        <v>945</v>
      </c>
      <c r="R342" s="2" t="s">
        <v>945</v>
      </c>
      <c r="S342" s="4">
        <v>44837</v>
      </c>
    </row>
    <row r="343" spans="1:19" ht="12.5" x14ac:dyDescent="0.25">
      <c r="A343" s="14" t="str">
        <f>HYPERLINK("https://gerandofalcoes.my.salesforce.com/0014P00003AN2G8QAL", "0014P00003AN2G8QAL")</f>
        <v>0014P00003AN2G8QAL</v>
      </c>
      <c r="B343" s="2" t="s">
        <v>1897</v>
      </c>
      <c r="C343" s="2" t="s">
        <v>423</v>
      </c>
      <c r="D343" s="2" t="s">
        <v>2</v>
      </c>
      <c r="E343" s="2">
        <v>68</v>
      </c>
      <c r="F343" s="2">
        <v>2</v>
      </c>
      <c r="G343" s="2">
        <v>5</v>
      </c>
      <c r="H343" s="2">
        <v>455000</v>
      </c>
      <c r="I343" s="2">
        <v>545</v>
      </c>
      <c r="J343" s="2" t="s">
        <v>1650</v>
      </c>
      <c r="K343" s="2">
        <v>75</v>
      </c>
      <c r="L343" s="2">
        <v>20</v>
      </c>
      <c r="M343" s="2">
        <v>5</v>
      </c>
      <c r="N343" s="2">
        <v>10</v>
      </c>
      <c r="O343" s="2">
        <v>20</v>
      </c>
      <c r="P343" s="2">
        <v>20</v>
      </c>
      <c r="Q343" s="2" t="s">
        <v>1898</v>
      </c>
      <c r="R343" s="2" t="s">
        <v>1898</v>
      </c>
      <c r="S343" s="4">
        <v>44837</v>
      </c>
    </row>
    <row r="344" spans="1:19" ht="12.5" x14ac:dyDescent="0.25">
      <c r="A344" s="14" t="str">
        <f>HYPERLINK("https://gerandofalcoes.my.salesforce.com/0014P00003AN2G9QAL", "0014P00003AN2G9QAL")</f>
        <v>0014P00003AN2G9QAL</v>
      </c>
      <c r="B344" s="2" t="s">
        <v>1670</v>
      </c>
      <c r="C344" s="2" t="s">
        <v>423</v>
      </c>
      <c r="D344" s="2" t="s">
        <v>27</v>
      </c>
      <c r="E344" s="2">
        <v>78.59</v>
      </c>
      <c r="F344" s="2">
        <v>7</v>
      </c>
      <c r="G344" s="2">
        <v>2</v>
      </c>
      <c r="H344" s="2">
        <v>5950</v>
      </c>
      <c r="I344" s="2">
        <v>210</v>
      </c>
      <c r="J344" s="2" t="s">
        <v>1671</v>
      </c>
      <c r="K344" s="2">
        <v>58</v>
      </c>
      <c r="L344" s="2">
        <v>25</v>
      </c>
      <c r="M344" s="2">
        <v>10</v>
      </c>
      <c r="N344" s="2">
        <v>6</v>
      </c>
      <c r="O344" s="2">
        <v>5</v>
      </c>
      <c r="P344" s="2">
        <v>12</v>
      </c>
      <c r="Q344" s="2" t="s">
        <v>961</v>
      </c>
      <c r="R344" s="2" t="s">
        <v>961</v>
      </c>
      <c r="S344" s="4">
        <v>44837</v>
      </c>
    </row>
    <row r="345" spans="1:19" ht="12.5" x14ac:dyDescent="0.25">
      <c r="A345" s="14" t="str">
        <f>HYPERLINK("https://gerandofalcoes.my.salesforce.com/0014P00003AN2GAQA1", "0014P00003AN2GAQA1")</f>
        <v>0014P00003AN2GAQA1</v>
      </c>
      <c r="B345" s="2" t="s">
        <v>2981</v>
      </c>
      <c r="C345" s="2" t="s">
        <v>1684</v>
      </c>
      <c r="D345" s="2" t="s">
        <v>2</v>
      </c>
      <c r="E345" s="2"/>
      <c r="F345" s="2">
        <v>1</v>
      </c>
      <c r="G345" s="2">
        <v>0</v>
      </c>
      <c r="H345" s="2">
        <v>0</v>
      </c>
      <c r="I345" s="2">
        <v>1200</v>
      </c>
      <c r="J345" s="2" t="s">
        <v>1779</v>
      </c>
      <c r="K345" s="2">
        <v>25</v>
      </c>
      <c r="L345" s="2">
        <v>0</v>
      </c>
      <c r="M345" s="2">
        <v>5</v>
      </c>
      <c r="N345" s="2">
        <v>0</v>
      </c>
      <c r="O345" s="2">
        <v>0</v>
      </c>
      <c r="P345" s="2">
        <v>20</v>
      </c>
      <c r="Q345" s="2" t="s">
        <v>7165</v>
      </c>
      <c r="R345" s="2" t="s">
        <v>7165</v>
      </c>
      <c r="S345" s="4">
        <v>44837</v>
      </c>
    </row>
    <row r="346" spans="1:19" ht="12.5" x14ac:dyDescent="0.25">
      <c r="A346" s="14" t="str">
        <f>HYPERLINK("https://gerandofalcoes.my.salesforce.com/0014P00003AN2GBQA1", "0014P00003AN2GBQA1")</f>
        <v>0014P00003AN2GBQA1</v>
      </c>
      <c r="B346" s="2" t="s">
        <v>2228</v>
      </c>
      <c r="C346" s="2" t="s">
        <v>423</v>
      </c>
      <c r="D346" s="2" t="s">
        <v>2</v>
      </c>
      <c r="E346" s="2">
        <v>48</v>
      </c>
      <c r="F346" s="2">
        <v>20</v>
      </c>
      <c r="G346" s="2">
        <v>2</v>
      </c>
      <c r="H346" s="2">
        <v>80000000</v>
      </c>
      <c r="I346" s="2">
        <v>60</v>
      </c>
      <c r="J346" s="2" t="s">
        <v>1671</v>
      </c>
      <c r="K346" s="2">
        <v>63</v>
      </c>
      <c r="L346" s="2">
        <v>15</v>
      </c>
      <c r="M346" s="2">
        <v>12</v>
      </c>
      <c r="N346" s="2">
        <v>6</v>
      </c>
      <c r="O346" s="2">
        <v>25</v>
      </c>
      <c r="P346" s="2">
        <v>5</v>
      </c>
      <c r="Q346" s="2" t="s">
        <v>2229</v>
      </c>
      <c r="R346" s="2" t="s">
        <v>2229</v>
      </c>
      <c r="S346" s="4">
        <v>44837</v>
      </c>
    </row>
    <row r="347" spans="1:19" ht="12.5" x14ac:dyDescent="0.25">
      <c r="A347" s="14" t="str">
        <f>HYPERLINK("https://gerandofalcoes.my.salesforce.com/0014P00003AN2GCQA1", "0014P00003AN2GCQA1")</f>
        <v>0014P00003AN2GCQA1</v>
      </c>
      <c r="B347" s="2" t="s">
        <v>1832</v>
      </c>
      <c r="C347" s="2" t="s">
        <v>423</v>
      </c>
      <c r="D347" s="2" t="s">
        <v>2</v>
      </c>
      <c r="E347" s="2">
        <v>65</v>
      </c>
      <c r="F347" s="2">
        <v>2</v>
      </c>
      <c r="G347" s="2">
        <v>4</v>
      </c>
      <c r="H347" s="2">
        <v>234550</v>
      </c>
      <c r="I347" s="2">
        <v>187</v>
      </c>
      <c r="J347" s="2" t="s">
        <v>1671</v>
      </c>
      <c r="K347" s="2">
        <v>62</v>
      </c>
      <c r="L347" s="2">
        <v>20</v>
      </c>
      <c r="M347" s="2">
        <v>5</v>
      </c>
      <c r="N347" s="2">
        <v>10</v>
      </c>
      <c r="O347" s="2">
        <v>15</v>
      </c>
      <c r="P347" s="2">
        <v>12</v>
      </c>
      <c r="Q347" s="2" t="s">
        <v>978</v>
      </c>
      <c r="R347" s="2" t="s">
        <v>978</v>
      </c>
      <c r="S347" s="4">
        <v>44837</v>
      </c>
    </row>
    <row r="348" spans="1:19" ht="12.5" x14ac:dyDescent="0.25">
      <c r="A348" s="14" t="str">
        <f>HYPERLINK("https://gerandofalcoes.my.salesforce.com/0014P00003AN2GDQA1", "0014P00003AN2GDQA1")</f>
        <v>0014P00003AN2GDQA1</v>
      </c>
      <c r="B348" s="2" t="s">
        <v>1707</v>
      </c>
      <c r="C348" s="2" t="s">
        <v>423</v>
      </c>
      <c r="D348" s="2" t="s">
        <v>27</v>
      </c>
      <c r="E348" s="2">
        <v>73.2</v>
      </c>
      <c r="F348" s="2">
        <v>5</v>
      </c>
      <c r="G348" s="2">
        <v>2</v>
      </c>
      <c r="H348" s="2">
        <v>77000</v>
      </c>
      <c r="I348" s="2">
        <v>157</v>
      </c>
      <c r="J348" s="2" t="s">
        <v>1671</v>
      </c>
      <c r="K348" s="2">
        <v>53</v>
      </c>
      <c r="L348" s="2">
        <v>20</v>
      </c>
      <c r="M348" s="2">
        <v>5</v>
      </c>
      <c r="N348" s="2">
        <v>6</v>
      </c>
      <c r="O348" s="2">
        <v>10</v>
      </c>
      <c r="P348" s="2">
        <v>12</v>
      </c>
      <c r="Q348" s="2" t="s">
        <v>987</v>
      </c>
      <c r="R348" s="2" t="s">
        <v>987</v>
      </c>
      <c r="S348" s="4">
        <v>44837</v>
      </c>
    </row>
    <row r="349" spans="1:19" ht="12.5" x14ac:dyDescent="0.25">
      <c r="A349" s="14" t="str">
        <f>HYPERLINK("https://gerandofalcoes.my.salesforce.com/0014P00003AN2GFQA1", "0014P00003AN2GFQA1")</f>
        <v>0014P00003AN2GFQA1</v>
      </c>
      <c r="B349" s="2" t="s">
        <v>2980</v>
      </c>
      <c r="C349" s="2" t="s">
        <v>423</v>
      </c>
      <c r="D349" s="2" t="s">
        <v>2</v>
      </c>
      <c r="E349" s="2"/>
      <c r="F349" s="2">
        <v>23</v>
      </c>
      <c r="G349" s="2">
        <v>4</v>
      </c>
      <c r="H349" s="2">
        <v>531000</v>
      </c>
      <c r="I349" s="2">
        <v>15185</v>
      </c>
      <c r="J349" s="2" t="s">
        <v>1671</v>
      </c>
      <c r="K349" s="2">
        <v>62</v>
      </c>
      <c r="L349" s="2">
        <v>0</v>
      </c>
      <c r="M349" s="2">
        <v>12</v>
      </c>
      <c r="N349" s="2">
        <v>10</v>
      </c>
      <c r="O349" s="2">
        <v>20</v>
      </c>
      <c r="P349" s="2">
        <v>20</v>
      </c>
      <c r="Q349" s="2" t="s">
        <v>995</v>
      </c>
      <c r="R349" s="2" t="s">
        <v>995</v>
      </c>
      <c r="S349" s="4">
        <v>44837</v>
      </c>
    </row>
    <row r="350" spans="1:19" ht="12.5" x14ac:dyDescent="0.25">
      <c r="A350" s="14" t="str">
        <f>HYPERLINK("https://gerandofalcoes.my.salesforce.com/0014P00003AN2GGQA1", "0014P00003AN2GGQA1")</f>
        <v>0014P00003AN2GGQA1</v>
      </c>
      <c r="B350" s="2" t="s">
        <v>2711</v>
      </c>
      <c r="C350" s="2" t="s">
        <v>423</v>
      </c>
      <c r="D350" s="2" t="s">
        <v>2</v>
      </c>
      <c r="E350" s="2">
        <v>39</v>
      </c>
      <c r="F350" s="2">
        <v>5</v>
      </c>
      <c r="G350" s="2">
        <v>1</v>
      </c>
      <c r="H350" s="2">
        <v>0</v>
      </c>
      <c r="I350" s="2">
        <v>25</v>
      </c>
      <c r="J350" s="2" t="s">
        <v>1779</v>
      </c>
      <c r="K350" s="2">
        <v>29</v>
      </c>
      <c r="L350" s="2">
        <v>15</v>
      </c>
      <c r="M350" s="2">
        <v>5</v>
      </c>
      <c r="N350" s="2">
        <v>4</v>
      </c>
      <c r="O350" s="2">
        <v>0</v>
      </c>
      <c r="P350" s="2">
        <v>5</v>
      </c>
      <c r="Q350" s="2" t="s">
        <v>2712</v>
      </c>
      <c r="R350" s="2" t="s">
        <v>2712</v>
      </c>
      <c r="S350" s="4">
        <v>44837</v>
      </c>
    </row>
    <row r="351" spans="1:19" ht="12.5" x14ac:dyDescent="0.25">
      <c r="A351" s="14" t="str">
        <f>HYPERLINK("https://gerandofalcoes.my.salesforce.com/0014X00002VKCpLQAX", "0014X00002VKCpLQAX")</f>
        <v>0014X00002VKCpLQAX</v>
      </c>
      <c r="B351" s="2" t="s">
        <v>2335</v>
      </c>
      <c r="C351" s="2" t="s">
        <v>1800</v>
      </c>
      <c r="D351" s="2" t="s">
        <v>2</v>
      </c>
      <c r="E351" s="2">
        <v>10</v>
      </c>
      <c r="F351" s="2">
        <v>0</v>
      </c>
      <c r="G351" s="2">
        <v>3</v>
      </c>
      <c r="H351" s="2">
        <v>5000</v>
      </c>
      <c r="I351" s="2">
        <v>0</v>
      </c>
      <c r="J351" s="2" t="s">
        <v>1779</v>
      </c>
      <c r="K351" s="2">
        <v>23</v>
      </c>
      <c r="L351" s="2">
        <v>10</v>
      </c>
      <c r="M351" s="2">
        <v>0</v>
      </c>
      <c r="N351" s="2">
        <v>8</v>
      </c>
      <c r="O351" s="2">
        <v>5</v>
      </c>
      <c r="P351" s="2">
        <v>0</v>
      </c>
      <c r="Q351" s="2" t="s">
        <v>2863</v>
      </c>
      <c r="R351" s="2" t="s">
        <v>2864</v>
      </c>
      <c r="S351" s="4">
        <v>44837</v>
      </c>
    </row>
    <row r="352" spans="1:19" ht="12.5" x14ac:dyDescent="0.25">
      <c r="A352" s="14" t="str">
        <f>HYPERLINK("https://gerandofalcoes.my.salesforce.com/0014X00002VKCpWQAX", "0014X00002VKCpWQAX")</f>
        <v>0014X00002VKCpWQAX</v>
      </c>
      <c r="B352" s="2" t="s">
        <v>2844</v>
      </c>
      <c r="C352" s="2" t="s">
        <v>423</v>
      </c>
      <c r="D352" s="2" t="s">
        <v>2</v>
      </c>
      <c r="E352" s="2">
        <v>10.64</v>
      </c>
      <c r="F352" s="2">
        <v>5</v>
      </c>
      <c r="G352" s="2">
        <v>1</v>
      </c>
      <c r="H352" s="2">
        <v>35619</v>
      </c>
      <c r="I352" s="2">
        <v>500</v>
      </c>
      <c r="J352" s="2" t="s">
        <v>1671</v>
      </c>
      <c r="K352" s="2">
        <v>49</v>
      </c>
      <c r="L352" s="2">
        <v>10</v>
      </c>
      <c r="M352" s="2">
        <v>5</v>
      </c>
      <c r="N352" s="2">
        <v>4</v>
      </c>
      <c r="O352" s="2">
        <v>10</v>
      </c>
      <c r="P352" s="2">
        <v>20</v>
      </c>
      <c r="Q352" s="2" t="s">
        <v>2845</v>
      </c>
      <c r="R352" s="2" t="s">
        <v>2846</v>
      </c>
      <c r="S352" s="4">
        <v>44837</v>
      </c>
    </row>
    <row r="353" spans="1:19" ht="12.5" x14ac:dyDescent="0.25">
      <c r="A353" s="14" t="str">
        <f>HYPERLINK("https://gerandofalcoes.my.salesforce.com/0014X00002VKCqMQAX", "0014X00002VKCqMQAX")</f>
        <v>0014X00002VKCqMQAX</v>
      </c>
      <c r="B353" s="2" t="s">
        <v>2737</v>
      </c>
      <c r="C353" s="2" t="s">
        <v>423</v>
      </c>
      <c r="D353" s="2" t="s">
        <v>2</v>
      </c>
      <c r="E353" s="2">
        <v>51</v>
      </c>
      <c r="F353" s="2">
        <v>2</v>
      </c>
      <c r="G353" s="2">
        <v>3</v>
      </c>
      <c r="H353" s="2">
        <v>5010380</v>
      </c>
      <c r="I353" s="2">
        <v>86</v>
      </c>
      <c r="J353" s="2" t="s">
        <v>1650</v>
      </c>
      <c r="K353" s="2">
        <v>68</v>
      </c>
      <c r="L353" s="2">
        <v>20</v>
      </c>
      <c r="M353" s="2">
        <v>5</v>
      </c>
      <c r="N353" s="2">
        <v>8</v>
      </c>
      <c r="O353" s="2">
        <v>25</v>
      </c>
      <c r="P353" s="2">
        <v>10</v>
      </c>
      <c r="Q353" s="2" t="s">
        <v>2738</v>
      </c>
      <c r="R353" s="2" t="s">
        <v>2739</v>
      </c>
      <c r="S353" s="4">
        <v>44837</v>
      </c>
    </row>
    <row r="354" spans="1:19" ht="12.5" x14ac:dyDescent="0.25">
      <c r="A354" s="14" t="str">
        <f>HYPERLINK("https://gerandofalcoes.my.salesforce.com/0014X00002VKCpKQAX", "0014X00002VKCpKQAX")</f>
        <v>0014X00002VKCpKQAX</v>
      </c>
      <c r="B354" s="2" t="s">
        <v>2225</v>
      </c>
      <c r="C354" s="2" t="s">
        <v>423</v>
      </c>
      <c r="D354" s="2" t="s">
        <v>2</v>
      </c>
      <c r="E354" s="2">
        <v>42</v>
      </c>
      <c r="F354" s="2">
        <v>0</v>
      </c>
      <c r="G354" s="2">
        <v>0</v>
      </c>
      <c r="H354" s="2">
        <v>0</v>
      </c>
      <c r="I354" s="2">
        <v>78</v>
      </c>
      <c r="J354" s="2" t="s">
        <v>1779</v>
      </c>
      <c r="K354" s="2">
        <v>20</v>
      </c>
      <c r="L354" s="2">
        <v>15</v>
      </c>
      <c r="M354" s="2">
        <v>0</v>
      </c>
      <c r="N354" s="2">
        <v>0</v>
      </c>
      <c r="O354" s="2">
        <v>0</v>
      </c>
      <c r="P354" s="2">
        <v>5</v>
      </c>
      <c r="Q354" s="2" t="s">
        <v>2233</v>
      </c>
      <c r="R354" s="2" t="s">
        <v>2234</v>
      </c>
      <c r="S354" s="4">
        <v>44837</v>
      </c>
    </row>
    <row r="355" spans="1:19" ht="12.5" x14ac:dyDescent="0.25">
      <c r="A355" s="14" t="str">
        <f>HYPERLINK("https://gerandofalcoes.my.salesforce.com/0014X00002VKCqtQAH", "0014X00002VKCqtQAH")</f>
        <v>0014X00002VKCqtQAH</v>
      </c>
      <c r="B355" s="2" t="s">
        <v>2543</v>
      </c>
      <c r="C355" s="2" t="s">
        <v>423</v>
      </c>
      <c r="D355" s="2" t="s">
        <v>2</v>
      </c>
      <c r="E355" s="2">
        <v>47</v>
      </c>
      <c r="F355" s="2">
        <v>0</v>
      </c>
      <c r="G355" s="2">
        <v>1</v>
      </c>
      <c r="H355" s="2">
        <v>5</v>
      </c>
      <c r="I355" s="2">
        <v>105</v>
      </c>
      <c r="J355" s="2" t="s">
        <v>1779</v>
      </c>
      <c r="K355" s="2">
        <v>34</v>
      </c>
      <c r="L355" s="2">
        <v>15</v>
      </c>
      <c r="M355" s="2">
        <v>0</v>
      </c>
      <c r="N355" s="2">
        <v>4</v>
      </c>
      <c r="O355" s="2">
        <v>5</v>
      </c>
      <c r="P355" s="2">
        <v>10</v>
      </c>
      <c r="Q355" s="2" t="s">
        <v>2544</v>
      </c>
      <c r="R355" s="2" t="s">
        <v>2545</v>
      </c>
      <c r="S355" s="4">
        <v>44837</v>
      </c>
    </row>
    <row r="356" spans="1:19" ht="12.5" x14ac:dyDescent="0.25">
      <c r="A356" s="14" t="str">
        <f>HYPERLINK("https://gerandofalcoes.my.salesforce.com/0014X00002VKCrAQAX", "0014X00002VKCrAQAX")</f>
        <v>0014X00002VKCrAQAX</v>
      </c>
      <c r="B356" s="2" t="s">
        <v>1795</v>
      </c>
      <c r="C356" s="2" t="s">
        <v>423</v>
      </c>
      <c r="D356" s="2" t="s">
        <v>2</v>
      </c>
      <c r="E356" s="2">
        <v>53.7</v>
      </c>
      <c r="F356" s="2">
        <v>2</v>
      </c>
      <c r="G356" s="2">
        <v>4</v>
      </c>
      <c r="H356" s="2">
        <v>87500</v>
      </c>
      <c r="I356" s="2">
        <v>19</v>
      </c>
      <c r="J356" s="2" t="s">
        <v>1671</v>
      </c>
      <c r="K356" s="2">
        <v>50</v>
      </c>
      <c r="L356" s="2">
        <v>20</v>
      </c>
      <c r="M356" s="2">
        <v>5</v>
      </c>
      <c r="N356" s="2">
        <v>10</v>
      </c>
      <c r="O356" s="2">
        <v>10</v>
      </c>
      <c r="P356" s="2">
        <v>5</v>
      </c>
      <c r="Q356" s="2" t="s">
        <v>1796</v>
      </c>
      <c r="R356" s="2" t="s">
        <v>1797</v>
      </c>
      <c r="S356" s="4">
        <v>44837</v>
      </c>
    </row>
    <row r="357" spans="1:19" ht="12.5" x14ac:dyDescent="0.25">
      <c r="A357" s="14" t="str">
        <f>HYPERLINK("https://gerandofalcoes.my.salesforce.com/0014X00002VKCpCQAX", "0014X00002VKCpCQAX")</f>
        <v>0014X00002VKCpCQAX</v>
      </c>
      <c r="B357" s="2" t="s">
        <v>2182</v>
      </c>
      <c r="C357" s="2" t="s">
        <v>423</v>
      </c>
      <c r="D357" s="2" t="s">
        <v>2</v>
      </c>
      <c r="E357" s="2">
        <v>33</v>
      </c>
      <c r="F357" s="2">
        <v>0</v>
      </c>
      <c r="G357" s="2">
        <v>0</v>
      </c>
      <c r="H357" s="2">
        <v>0</v>
      </c>
      <c r="I357" s="2">
        <v>30</v>
      </c>
      <c r="J357" s="2" t="s">
        <v>1779</v>
      </c>
      <c r="K357" s="2">
        <v>20</v>
      </c>
      <c r="L357" s="2">
        <v>15</v>
      </c>
      <c r="M357" s="2">
        <v>0</v>
      </c>
      <c r="N357" s="2">
        <v>0</v>
      </c>
      <c r="O357" s="2">
        <v>0</v>
      </c>
      <c r="P357" s="2">
        <v>5</v>
      </c>
      <c r="Q357" s="2" t="s">
        <v>2183</v>
      </c>
      <c r="R357" s="2" t="s">
        <v>2184</v>
      </c>
      <c r="S357" s="4">
        <v>44837</v>
      </c>
    </row>
    <row r="358" spans="1:19" ht="12.5" x14ac:dyDescent="0.25">
      <c r="A358" s="14" t="str">
        <f>HYPERLINK("https://gerandofalcoes.my.salesforce.com/0014X00002VKCpRQAX", "0014X00002VKCpRQAX")</f>
        <v>0014X00002VKCpRQAX</v>
      </c>
      <c r="B358" s="2" t="s">
        <v>2332</v>
      </c>
      <c r="C358" s="2" t="s">
        <v>1800</v>
      </c>
      <c r="D358" s="2" t="s">
        <v>2</v>
      </c>
      <c r="E358" s="2">
        <v>28</v>
      </c>
      <c r="F358" s="2">
        <v>0</v>
      </c>
      <c r="G358" s="2">
        <v>2</v>
      </c>
      <c r="H358" s="2">
        <v>32500000</v>
      </c>
      <c r="I358" s="2">
        <v>0</v>
      </c>
      <c r="J358" s="2" t="s">
        <v>1671</v>
      </c>
      <c r="K358" s="2">
        <v>46</v>
      </c>
      <c r="L358" s="2">
        <v>15</v>
      </c>
      <c r="M358" s="2">
        <v>0</v>
      </c>
      <c r="N358" s="2">
        <v>6</v>
      </c>
      <c r="O358" s="2">
        <v>25</v>
      </c>
      <c r="P358" s="2">
        <v>0</v>
      </c>
      <c r="Q358" s="2" t="s">
        <v>2333</v>
      </c>
      <c r="R358" s="2" t="s">
        <v>2334</v>
      </c>
      <c r="S358" s="4">
        <v>44837</v>
      </c>
    </row>
    <row r="359" spans="1:19" ht="12.5" x14ac:dyDescent="0.25">
      <c r="A359" s="14" t="str">
        <f>HYPERLINK("https://gerandofalcoes.my.salesforce.com/0014X00002VKCrVQAX", "0014X00002VKCrVQAX")</f>
        <v>0014X00002VKCrVQAX</v>
      </c>
      <c r="B359" s="2" t="s">
        <v>2973</v>
      </c>
      <c r="C359" s="2" t="s">
        <v>423</v>
      </c>
      <c r="D359" s="2" t="s">
        <v>2</v>
      </c>
      <c r="E359" s="2">
        <v>20</v>
      </c>
      <c r="F359" s="2">
        <v>0</v>
      </c>
      <c r="G359" s="2">
        <v>0</v>
      </c>
      <c r="H359" s="2">
        <v>0</v>
      </c>
      <c r="I359" s="2">
        <v>0</v>
      </c>
      <c r="J359" s="2" t="s">
        <v>1779</v>
      </c>
      <c r="K359" s="2">
        <v>10</v>
      </c>
      <c r="L359" s="2">
        <v>10</v>
      </c>
      <c r="M359" s="2">
        <v>0</v>
      </c>
      <c r="N359" s="2">
        <v>0</v>
      </c>
      <c r="O359" s="2">
        <v>0</v>
      </c>
      <c r="P359" s="2">
        <v>0</v>
      </c>
      <c r="Q359" s="2" t="s">
        <v>2974</v>
      </c>
      <c r="R359" s="2" t="s">
        <v>2975</v>
      </c>
      <c r="S359" s="4">
        <v>44837</v>
      </c>
    </row>
    <row r="360" spans="1:19" ht="12.5" x14ac:dyDescent="0.25">
      <c r="A360" s="14" t="str">
        <f>HYPERLINK("https://gerandofalcoes.my.salesforce.com/0014X00002VKCrcQAH", "0014X00002VKCrcQAH")</f>
        <v>0014X00002VKCrcQAH</v>
      </c>
      <c r="B360" s="2" t="s">
        <v>2609</v>
      </c>
      <c r="C360" s="2" t="s">
        <v>423</v>
      </c>
      <c r="D360" s="2" t="s">
        <v>2</v>
      </c>
      <c r="E360" s="2">
        <v>19</v>
      </c>
      <c r="F360" s="2">
        <v>0</v>
      </c>
      <c r="G360" s="2">
        <v>3</v>
      </c>
      <c r="H360" s="2">
        <v>2000</v>
      </c>
      <c r="I360" s="2">
        <v>0</v>
      </c>
      <c r="J360" s="2" t="s">
        <v>1779</v>
      </c>
      <c r="K360" s="2">
        <v>23</v>
      </c>
      <c r="L360" s="2">
        <v>10</v>
      </c>
      <c r="M360" s="2">
        <v>0</v>
      </c>
      <c r="N360" s="2">
        <v>8</v>
      </c>
      <c r="O360" s="2">
        <v>5</v>
      </c>
      <c r="P360" s="2">
        <v>0</v>
      </c>
      <c r="Q360" s="2" t="s">
        <v>2610</v>
      </c>
      <c r="R360" s="2" t="s">
        <v>2611</v>
      </c>
      <c r="S360" s="4">
        <v>44837</v>
      </c>
    </row>
    <row r="361" spans="1:19" ht="12.5" x14ac:dyDescent="0.25">
      <c r="A361" s="14" t="str">
        <f>HYPERLINK("https://gerandofalcoes.my.salesforce.com/0014X00002VKCr9QAH", "0014X00002VKCr9QAH")</f>
        <v>0014X00002VKCr9QAH</v>
      </c>
      <c r="B361" s="2" t="s">
        <v>2357</v>
      </c>
      <c r="C361" s="2" t="s">
        <v>423</v>
      </c>
      <c r="D361" s="2" t="s">
        <v>2</v>
      </c>
      <c r="E361" s="2">
        <v>27</v>
      </c>
      <c r="F361" s="2">
        <v>0</v>
      </c>
      <c r="G361" s="2">
        <v>2</v>
      </c>
      <c r="H361" s="2">
        <v>0</v>
      </c>
      <c r="I361" s="2">
        <v>30</v>
      </c>
      <c r="J361" s="2" t="s">
        <v>1779</v>
      </c>
      <c r="K361" s="2">
        <v>26</v>
      </c>
      <c r="L361" s="2">
        <v>15</v>
      </c>
      <c r="M361" s="2">
        <v>0</v>
      </c>
      <c r="N361" s="2">
        <v>6</v>
      </c>
      <c r="O361" s="2">
        <v>0</v>
      </c>
      <c r="P361" s="2">
        <v>5</v>
      </c>
      <c r="Q361" s="2" t="s">
        <v>2358</v>
      </c>
      <c r="R361" s="2" t="s">
        <v>2358</v>
      </c>
      <c r="S361" s="4">
        <v>44837</v>
      </c>
    </row>
    <row r="362" spans="1:19" ht="12.5" x14ac:dyDescent="0.25">
      <c r="A362" s="14" t="str">
        <f>HYPERLINK("https://gerandofalcoes.my.salesforce.com/0014X00002VKCu5QAH", "0014X00002VKCu5QAH")</f>
        <v>0014X00002VKCu5QAH</v>
      </c>
      <c r="B362" s="2" t="s">
        <v>2172</v>
      </c>
      <c r="C362" s="2" t="s">
        <v>423</v>
      </c>
      <c r="D362" s="2" t="s">
        <v>2</v>
      </c>
      <c r="E362" s="2">
        <v>33</v>
      </c>
      <c r="F362" s="2">
        <v>17</v>
      </c>
      <c r="G362" s="2">
        <v>1</v>
      </c>
      <c r="H362" s="2">
        <v>12000</v>
      </c>
      <c r="I362" s="2">
        <v>125</v>
      </c>
      <c r="J362" s="2" t="s">
        <v>1671</v>
      </c>
      <c r="K362" s="2">
        <v>46</v>
      </c>
      <c r="L362" s="2">
        <v>15</v>
      </c>
      <c r="M362" s="2">
        <v>12</v>
      </c>
      <c r="N362" s="2">
        <v>4</v>
      </c>
      <c r="O362" s="2">
        <v>5</v>
      </c>
      <c r="P362" s="2">
        <v>10</v>
      </c>
      <c r="Q362" s="2" t="s">
        <v>2173</v>
      </c>
      <c r="R362" s="2" t="s">
        <v>2174</v>
      </c>
      <c r="S362" s="4">
        <v>44837</v>
      </c>
    </row>
    <row r="363" spans="1:19" ht="12.5" x14ac:dyDescent="0.25">
      <c r="A363" s="14" t="str">
        <f>HYPERLINK("https://gerandofalcoes.my.salesforce.com/0014X00002VKCraQAH", "0014X00002VKCraQAH")</f>
        <v>0014X00002VKCraQAH</v>
      </c>
      <c r="B363" s="2" t="s">
        <v>2836</v>
      </c>
      <c r="C363" s="2" t="s">
        <v>423</v>
      </c>
      <c r="D363" s="2" t="s">
        <v>2</v>
      </c>
      <c r="E363" s="2">
        <v>35</v>
      </c>
      <c r="F363" s="2">
        <v>0</v>
      </c>
      <c r="G363" s="2">
        <v>1</v>
      </c>
      <c r="H363" s="2">
        <v>970224</v>
      </c>
      <c r="I363" s="2">
        <v>150</v>
      </c>
      <c r="J363" s="2" t="s">
        <v>1671</v>
      </c>
      <c r="K363" s="2">
        <v>56</v>
      </c>
      <c r="L363" s="2">
        <v>15</v>
      </c>
      <c r="M363" s="2">
        <v>0</v>
      </c>
      <c r="N363" s="2">
        <v>4</v>
      </c>
      <c r="O363" s="2">
        <v>25</v>
      </c>
      <c r="P363" s="2">
        <v>12</v>
      </c>
      <c r="Q363" s="2" t="s">
        <v>2837</v>
      </c>
      <c r="R363" s="2" t="s">
        <v>2838</v>
      </c>
      <c r="S363" s="4">
        <v>44837</v>
      </c>
    </row>
    <row r="364" spans="1:19" ht="12.5" x14ac:dyDescent="0.25">
      <c r="A364" s="14" t="str">
        <f>HYPERLINK("https://gerandofalcoes.my.salesforce.com/0014X00002VKCp7QAH", "0014X00002VKCp7QAH")</f>
        <v>0014X00002VKCp7QAH</v>
      </c>
      <c r="B364" s="2" t="s">
        <v>2043</v>
      </c>
      <c r="C364" s="2" t="s">
        <v>423</v>
      </c>
      <c r="D364" s="2" t="s">
        <v>2</v>
      </c>
      <c r="E364" s="2">
        <v>37</v>
      </c>
      <c r="F364" s="2">
        <v>4</v>
      </c>
      <c r="G364" s="2">
        <v>3</v>
      </c>
      <c r="H364" s="2">
        <v>96000</v>
      </c>
      <c r="I364" s="2">
        <v>70</v>
      </c>
      <c r="J364" s="2" t="s">
        <v>1671</v>
      </c>
      <c r="K364" s="2">
        <v>43</v>
      </c>
      <c r="L364" s="2">
        <v>15</v>
      </c>
      <c r="M364" s="2">
        <v>5</v>
      </c>
      <c r="N364" s="2">
        <v>8</v>
      </c>
      <c r="O364" s="2">
        <v>10</v>
      </c>
      <c r="P364" s="2">
        <v>5</v>
      </c>
      <c r="Q364" s="2" t="s">
        <v>2044</v>
      </c>
      <c r="R364" s="2" t="s">
        <v>2045</v>
      </c>
      <c r="S364" s="4">
        <v>44837</v>
      </c>
    </row>
    <row r="365" spans="1:19" ht="12.5" x14ac:dyDescent="0.25">
      <c r="A365" s="14" t="str">
        <f>HYPERLINK("https://gerandofalcoes.my.salesforce.com/0014X00002VKCrMQAX", "0014X00002VKCrMQAX")</f>
        <v>0014X00002VKCrMQAX</v>
      </c>
      <c r="B365" s="2" t="s">
        <v>2881</v>
      </c>
      <c r="C365" s="2" t="s">
        <v>423</v>
      </c>
      <c r="D365" s="2" t="s">
        <v>2</v>
      </c>
      <c r="E365" s="2">
        <v>9.0299999999999994</v>
      </c>
      <c r="F365" s="2">
        <v>0</v>
      </c>
      <c r="G365" s="2">
        <v>6</v>
      </c>
      <c r="H365" s="2">
        <v>3057</v>
      </c>
      <c r="I365" s="2">
        <v>3</v>
      </c>
      <c r="J365" s="2" t="s">
        <v>1779</v>
      </c>
      <c r="K365" s="2">
        <v>30</v>
      </c>
      <c r="L365" s="2">
        <v>10</v>
      </c>
      <c r="M365" s="2">
        <v>0</v>
      </c>
      <c r="N365" s="2">
        <v>10</v>
      </c>
      <c r="O365" s="2">
        <v>5</v>
      </c>
      <c r="P365" s="2">
        <v>5</v>
      </c>
      <c r="Q365" s="2" t="s">
        <v>2882</v>
      </c>
      <c r="R365" s="2" t="s">
        <v>2883</v>
      </c>
      <c r="S365" s="4">
        <v>44837</v>
      </c>
    </row>
    <row r="366" spans="1:19" ht="12.5" x14ac:dyDescent="0.25">
      <c r="A366" s="14" t="str">
        <f>HYPERLINK("https://gerandofalcoes.my.salesforce.com/0014X00002VKCqUQAX", "0014X00002VKCqUQAX")</f>
        <v>0014X00002VKCqUQAX</v>
      </c>
      <c r="B366" s="2" t="s">
        <v>2807</v>
      </c>
      <c r="C366" s="2" t="s">
        <v>1800</v>
      </c>
      <c r="D366" s="2" t="s">
        <v>2</v>
      </c>
      <c r="E366" s="2">
        <v>13</v>
      </c>
      <c r="F366" s="2">
        <v>0</v>
      </c>
      <c r="G366" s="2">
        <v>3</v>
      </c>
      <c r="H366" s="2">
        <v>10000</v>
      </c>
      <c r="I366" s="2">
        <v>0</v>
      </c>
      <c r="J366" s="2" t="s">
        <v>1779</v>
      </c>
      <c r="K366" s="2">
        <v>23</v>
      </c>
      <c r="L366" s="2">
        <v>10</v>
      </c>
      <c r="M366" s="2">
        <v>0</v>
      </c>
      <c r="N366" s="2">
        <v>8</v>
      </c>
      <c r="O366" s="2">
        <v>5</v>
      </c>
      <c r="P366" s="2">
        <v>0</v>
      </c>
      <c r="Q366" s="2" t="s">
        <v>2808</v>
      </c>
      <c r="R366" s="2" t="s">
        <v>2808</v>
      </c>
      <c r="S366" s="4">
        <v>44837</v>
      </c>
    </row>
    <row r="367" spans="1:19" ht="12.5" x14ac:dyDescent="0.25">
      <c r="A367" s="14" t="str">
        <f>HYPERLINK("https://gerandofalcoes.my.salesforce.com/0014X00002VKCrOQAX", "0014X00002VKCrOQAX")</f>
        <v>0014X00002VKCrOQAX</v>
      </c>
      <c r="B367" s="2" t="s">
        <v>2715</v>
      </c>
      <c r="C367" s="2" t="s">
        <v>1800</v>
      </c>
      <c r="D367" s="2" t="s">
        <v>2</v>
      </c>
      <c r="E367" s="2">
        <v>15</v>
      </c>
      <c r="F367" s="2">
        <v>0</v>
      </c>
      <c r="G367" s="2">
        <v>3</v>
      </c>
      <c r="H367" s="2">
        <v>15000</v>
      </c>
      <c r="I367" s="2">
        <v>255</v>
      </c>
      <c r="J367" s="2" t="s">
        <v>1779</v>
      </c>
      <c r="K367" s="2">
        <v>35</v>
      </c>
      <c r="L367" s="2">
        <v>10</v>
      </c>
      <c r="M367" s="2">
        <v>0</v>
      </c>
      <c r="N367" s="2">
        <v>8</v>
      </c>
      <c r="O367" s="2">
        <v>5</v>
      </c>
      <c r="P367" s="2">
        <v>12</v>
      </c>
      <c r="Q367" s="2" t="s">
        <v>2716</v>
      </c>
      <c r="R367" s="2" t="s">
        <v>2716</v>
      </c>
      <c r="S367" s="4">
        <v>44837</v>
      </c>
    </row>
    <row r="368" spans="1:19" ht="12.5" x14ac:dyDescent="0.25">
      <c r="A368" s="14" t="str">
        <f>HYPERLINK("https://gerandofalcoes.my.salesforce.com/0014X00002VKCqVQAX", "0014X00002VKCqVQAX")</f>
        <v>0014X00002VKCqVQAX</v>
      </c>
      <c r="B368" s="2" t="s">
        <v>2759</v>
      </c>
      <c r="C368" s="2" t="s">
        <v>423</v>
      </c>
      <c r="D368" s="2" t="s">
        <v>2</v>
      </c>
      <c r="E368" s="2">
        <v>14</v>
      </c>
      <c r="F368" s="2">
        <v>0</v>
      </c>
      <c r="G368" s="2">
        <v>15</v>
      </c>
      <c r="H368" s="2">
        <v>1850078</v>
      </c>
      <c r="I368" s="2">
        <v>20</v>
      </c>
      <c r="J368" s="2" t="s">
        <v>1671</v>
      </c>
      <c r="K368" s="2">
        <v>50</v>
      </c>
      <c r="L368" s="2">
        <v>10</v>
      </c>
      <c r="M368" s="2">
        <v>0</v>
      </c>
      <c r="N368" s="2">
        <v>10</v>
      </c>
      <c r="O368" s="2">
        <v>25</v>
      </c>
      <c r="P368" s="2">
        <v>5</v>
      </c>
      <c r="Q368" s="2" t="s">
        <v>2760</v>
      </c>
      <c r="R368" s="2" t="s">
        <v>2761</v>
      </c>
      <c r="S368" s="4">
        <v>44837</v>
      </c>
    </row>
    <row r="369" spans="1:19" ht="12.5" x14ac:dyDescent="0.25">
      <c r="A369" s="14" t="str">
        <f>HYPERLINK("https://gerandofalcoes.my.salesforce.com/0014X00002VKCtxQAH", "0014X00002VKCtxQAH")</f>
        <v>0014X00002VKCtxQAH</v>
      </c>
      <c r="B369" s="2" t="s">
        <v>1813</v>
      </c>
      <c r="C369" s="2" t="s">
        <v>423</v>
      </c>
      <c r="D369" s="2" t="s">
        <v>2</v>
      </c>
      <c r="E369" s="2">
        <v>52</v>
      </c>
      <c r="F369" s="2">
        <v>10</v>
      </c>
      <c r="G369" s="2">
        <v>3</v>
      </c>
      <c r="H369" s="2">
        <v>5000</v>
      </c>
      <c r="I369" s="2">
        <v>580</v>
      </c>
      <c r="J369" s="2" t="s">
        <v>1671</v>
      </c>
      <c r="K369" s="2">
        <v>63</v>
      </c>
      <c r="L369" s="2">
        <v>20</v>
      </c>
      <c r="M369" s="2">
        <v>10</v>
      </c>
      <c r="N369" s="2">
        <v>8</v>
      </c>
      <c r="O369" s="2">
        <v>5</v>
      </c>
      <c r="P369" s="2">
        <v>20</v>
      </c>
      <c r="Q369" s="2" t="s">
        <v>1814</v>
      </c>
      <c r="R369" s="2" t="s">
        <v>1815</v>
      </c>
      <c r="S369" s="4">
        <v>44837</v>
      </c>
    </row>
    <row r="370" spans="1:19" ht="12.5" x14ac:dyDescent="0.25">
      <c r="A370" s="14" t="str">
        <f>HYPERLINK("https://gerandofalcoes.my.salesforce.com/0014P00003AN2GHQA1", "0014P00003AN2GHQA1")</f>
        <v>0014P00003AN2GHQA1</v>
      </c>
      <c r="B370" s="2" t="s">
        <v>2503</v>
      </c>
      <c r="C370" s="2" t="s">
        <v>423</v>
      </c>
      <c r="D370" s="2" t="s">
        <v>2</v>
      </c>
      <c r="E370" s="2">
        <v>63</v>
      </c>
      <c r="F370" s="2">
        <v>2</v>
      </c>
      <c r="G370" s="2">
        <v>3</v>
      </c>
      <c r="H370" s="2">
        <v>165000</v>
      </c>
      <c r="I370" s="2">
        <v>90</v>
      </c>
      <c r="J370" s="2" t="s">
        <v>1671</v>
      </c>
      <c r="K370" s="2">
        <v>58</v>
      </c>
      <c r="L370" s="2">
        <v>20</v>
      </c>
      <c r="M370" s="2">
        <v>5</v>
      </c>
      <c r="N370" s="2">
        <v>8</v>
      </c>
      <c r="O370" s="2">
        <v>15</v>
      </c>
      <c r="P370" s="2">
        <v>10</v>
      </c>
      <c r="Q370" s="2" t="s">
        <v>1010</v>
      </c>
      <c r="R370" s="2" t="s">
        <v>1010</v>
      </c>
      <c r="S370" s="4">
        <v>44837</v>
      </c>
    </row>
    <row r="371" spans="1:19" ht="12.5" x14ac:dyDescent="0.25">
      <c r="A371" s="14" t="str">
        <f>HYPERLINK("https://gerandofalcoes.my.salesforce.com/0014P00003SGWPWQA5", "0014P00003SGWPWQA5")</f>
        <v>0014P00003SGWPWQA5</v>
      </c>
      <c r="B371" s="2" t="s">
        <v>171</v>
      </c>
      <c r="C371" s="2" t="s">
        <v>423</v>
      </c>
      <c r="D371" s="2" t="s">
        <v>27</v>
      </c>
      <c r="E371" s="2">
        <v>89</v>
      </c>
      <c r="F371" s="2">
        <v>7</v>
      </c>
      <c r="G371" s="2">
        <v>4</v>
      </c>
      <c r="H371" s="2">
        <v>30000</v>
      </c>
      <c r="I371" s="2">
        <v>278</v>
      </c>
      <c r="J371" s="2" t="s">
        <v>1650</v>
      </c>
      <c r="K371" s="2">
        <v>67</v>
      </c>
      <c r="L371" s="2">
        <v>25</v>
      </c>
      <c r="M371" s="2">
        <v>10</v>
      </c>
      <c r="N371" s="2">
        <v>10</v>
      </c>
      <c r="O371" s="2">
        <v>10</v>
      </c>
      <c r="P371" s="2">
        <v>12</v>
      </c>
      <c r="Q371" s="2" t="s">
        <v>172</v>
      </c>
      <c r="R371" s="2" t="s">
        <v>172</v>
      </c>
      <c r="S371" s="4">
        <v>44837</v>
      </c>
    </row>
    <row r="372" spans="1:19" ht="12.5" x14ac:dyDescent="0.25">
      <c r="A372" s="14" t="str">
        <f>HYPERLINK("https://gerandofalcoes.my.salesforce.com/0014P00003SGWPYQA5", "0014P00003SGWPYQA5")</f>
        <v>0014P00003SGWPYQA5</v>
      </c>
      <c r="B372" s="2" t="s">
        <v>175</v>
      </c>
      <c r="C372" s="2" t="s">
        <v>423</v>
      </c>
      <c r="D372" s="2" t="s">
        <v>2</v>
      </c>
      <c r="E372" s="2">
        <v>50.15</v>
      </c>
      <c r="F372" s="2">
        <v>0</v>
      </c>
      <c r="G372" s="2">
        <v>2</v>
      </c>
      <c r="H372" s="2">
        <v>23420</v>
      </c>
      <c r="I372" s="2">
        <v>200</v>
      </c>
      <c r="J372" s="2" t="s">
        <v>1671</v>
      </c>
      <c r="K372" s="2">
        <v>43</v>
      </c>
      <c r="L372" s="2">
        <v>20</v>
      </c>
      <c r="M372" s="2">
        <v>0</v>
      </c>
      <c r="N372" s="2">
        <v>6</v>
      </c>
      <c r="O372" s="2">
        <v>5</v>
      </c>
      <c r="P372" s="2">
        <v>12</v>
      </c>
      <c r="Q372" s="2" t="s">
        <v>176</v>
      </c>
      <c r="R372" s="2" t="s">
        <v>176</v>
      </c>
      <c r="S372" s="4">
        <v>44837</v>
      </c>
    </row>
    <row r="373" spans="1:19" ht="12.5" x14ac:dyDescent="0.25">
      <c r="A373" s="14" t="str">
        <f>HYPERLINK("https://gerandofalcoes.my.salesforce.com/0014P00003SGWPZQA5", "0014P00003SGWPZQA5")</f>
        <v>0014P00003SGWPZQA5</v>
      </c>
      <c r="B373" s="2" t="s">
        <v>160</v>
      </c>
      <c r="C373" s="2" t="s">
        <v>423</v>
      </c>
      <c r="D373" s="2" t="s">
        <v>2</v>
      </c>
      <c r="E373" s="2">
        <v>44</v>
      </c>
      <c r="F373" s="2">
        <v>2</v>
      </c>
      <c r="G373" s="2">
        <v>3</v>
      </c>
      <c r="H373" s="2">
        <v>140000</v>
      </c>
      <c r="I373" s="2">
        <v>78</v>
      </c>
      <c r="J373" s="2" t="s">
        <v>1671</v>
      </c>
      <c r="K373" s="2">
        <v>48</v>
      </c>
      <c r="L373" s="2">
        <v>15</v>
      </c>
      <c r="M373" s="2">
        <v>5</v>
      </c>
      <c r="N373" s="2">
        <v>8</v>
      </c>
      <c r="O373" s="2">
        <v>15</v>
      </c>
      <c r="P373" s="2">
        <v>5</v>
      </c>
      <c r="Q373" s="2" t="s">
        <v>161</v>
      </c>
      <c r="R373" s="2" t="s">
        <v>1828</v>
      </c>
      <c r="S373" s="4">
        <v>44837</v>
      </c>
    </row>
    <row r="374" spans="1:19" ht="12.5" x14ac:dyDescent="0.25">
      <c r="A374" s="14" t="str">
        <f>HYPERLINK("https://gerandofalcoes.my.salesforce.com/0014P00003SGWPaQAP", "0014P00003SGWPaQAP")</f>
        <v>0014P00003SGWPaQAP</v>
      </c>
      <c r="B374" s="2" t="s">
        <v>179</v>
      </c>
      <c r="C374" s="2" t="s">
        <v>423</v>
      </c>
      <c r="D374" s="2" t="s">
        <v>2</v>
      </c>
      <c r="E374" s="2">
        <v>37</v>
      </c>
      <c r="F374" s="2">
        <v>4</v>
      </c>
      <c r="G374" s="2">
        <v>3</v>
      </c>
      <c r="H374" s="2">
        <v>50000</v>
      </c>
      <c r="I374" s="2">
        <v>511</v>
      </c>
      <c r="J374" s="2" t="s">
        <v>1671</v>
      </c>
      <c r="K374" s="2">
        <v>58</v>
      </c>
      <c r="L374" s="2">
        <v>15</v>
      </c>
      <c r="M374" s="2">
        <v>5</v>
      </c>
      <c r="N374" s="2">
        <v>8</v>
      </c>
      <c r="O374" s="2">
        <v>10</v>
      </c>
      <c r="P374" s="2">
        <v>20</v>
      </c>
      <c r="Q374" s="2" t="s">
        <v>180</v>
      </c>
      <c r="R374" s="2" t="s">
        <v>2031</v>
      </c>
      <c r="S374" s="4">
        <v>44837</v>
      </c>
    </row>
    <row r="375" spans="1:19" ht="12.5" x14ac:dyDescent="0.25">
      <c r="A375" s="14" t="str">
        <f>HYPERLINK("https://gerandofalcoes.my.salesforce.com/0014P00003SGWPuQAP", "0014P00003SGWPuQAP")</f>
        <v>0014P00003SGWPuQAP</v>
      </c>
      <c r="B375" s="2" t="s">
        <v>1672</v>
      </c>
      <c r="C375" s="2" t="s">
        <v>423</v>
      </c>
      <c r="D375" s="2" t="s">
        <v>27</v>
      </c>
      <c r="E375" s="2">
        <v>86.4</v>
      </c>
      <c r="F375" s="2">
        <v>0</v>
      </c>
      <c r="G375" s="2">
        <v>4</v>
      </c>
      <c r="H375" s="2">
        <v>3000</v>
      </c>
      <c r="I375" s="2">
        <v>268</v>
      </c>
      <c r="J375" s="2" t="s">
        <v>1671</v>
      </c>
      <c r="K375" s="2">
        <v>52</v>
      </c>
      <c r="L375" s="2">
        <v>25</v>
      </c>
      <c r="M375" s="2">
        <v>0</v>
      </c>
      <c r="N375" s="2">
        <v>10</v>
      </c>
      <c r="O375" s="2">
        <v>5</v>
      </c>
      <c r="P375" s="2">
        <v>12</v>
      </c>
      <c r="Q375" s="2" t="s">
        <v>186</v>
      </c>
      <c r="R375" s="2" t="s">
        <v>1673</v>
      </c>
      <c r="S375" s="4">
        <v>44837</v>
      </c>
    </row>
    <row r="376" spans="1:19" ht="12.5" x14ac:dyDescent="0.25">
      <c r="A376" s="14" t="str">
        <f>HYPERLINK("https://gerandofalcoes.my.salesforce.com/0014P00003SGWPTQA5", "0014P00003SGWPTQA5")</f>
        <v>0014P00003SGWPTQA5</v>
      </c>
      <c r="B376" s="2" t="s">
        <v>376</v>
      </c>
      <c r="C376" s="2" t="s">
        <v>423</v>
      </c>
      <c r="D376" s="2" t="s">
        <v>2</v>
      </c>
      <c r="E376" s="2">
        <v>36.65</v>
      </c>
      <c r="F376" s="2">
        <v>0</v>
      </c>
      <c r="G376" s="2">
        <v>1</v>
      </c>
      <c r="H376" s="2">
        <v>6000</v>
      </c>
      <c r="I376" s="2">
        <v>104</v>
      </c>
      <c r="J376" s="2" t="s">
        <v>1779</v>
      </c>
      <c r="K376" s="2">
        <v>34</v>
      </c>
      <c r="L376" s="2">
        <v>15</v>
      </c>
      <c r="M376" s="2">
        <v>0</v>
      </c>
      <c r="N376" s="2">
        <v>4</v>
      </c>
      <c r="O376" s="2">
        <v>5</v>
      </c>
      <c r="P376" s="2">
        <v>10</v>
      </c>
      <c r="Q376" s="2" t="s">
        <v>377</v>
      </c>
      <c r="R376" s="2" t="s">
        <v>1586</v>
      </c>
      <c r="S376" s="4">
        <v>44837</v>
      </c>
    </row>
    <row r="377" spans="1:19" ht="12.5" x14ac:dyDescent="0.25">
      <c r="A377" s="14" t="str">
        <f>HYPERLINK("https://gerandofalcoes.my.salesforce.com/0014P00003SGWPUQA5", "0014P00003SGWPUQA5")</f>
        <v>0014P00003SGWPUQA5</v>
      </c>
      <c r="B377" s="2" t="s">
        <v>379</v>
      </c>
      <c r="C377" s="2" t="s">
        <v>423</v>
      </c>
      <c r="D377" s="2" t="s">
        <v>2</v>
      </c>
      <c r="E377" s="2">
        <v>58</v>
      </c>
      <c r="F377" s="2">
        <v>0</v>
      </c>
      <c r="G377" s="2">
        <v>3</v>
      </c>
      <c r="H377" s="2">
        <v>88255</v>
      </c>
      <c r="I377" s="2">
        <v>60</v>
      </c>
      <c r="J377" s="2" t="s">
        <v>1671</v>
      </c>
      <c r="K377" s="2">
        <v>43</v>
      </c>
      <c r="L377" s="2">
        <v>20</v>
      </c>
      <c r="M377" s="2">
        <v>0</v>
      </c>
      <c r="N377" s="2">
        <v>8</v>
      </c>
      <c r="O377" s="2">
        <v>10</v>
      </c>
      <c r="P377" s="2">
        <v>5</v>
      </c>
      <c r="Q377" s="2" t="s">
        <v>380</v>
      </c>
      <c r="R377" s="2" t="s">
        <v>1595</v>
      </c>
      <c r="S377" s="4">
        <v>44837</v>
      </c>
    </row>
    <row r="378" spans="1:19" ht="12.5" x14ac:dyDescent="0.25">
      <c r="A378" s="14" t="str">
        <f>HYPERLINK("https://gerandofalcoes.my.salesforce.com/0014P00003SGWPVQA5", "0014P00003SGWPVQA5")</f>
        <v>0014P00003SGWPVQA5</v>
      </c>
      <c r="B378" s="2" t="s">
        <v>2352</v>
      </c>
      <c r="C378" s="2" t="s">
        <v>1684</v>
      </c>
      <c r="D378" s="2" t="s">
        <v>2</v>
      </c>
      <c r="E378" s="2">
        <v>27</v>
      </c>
      <c r="F378" s="2">
        <v>0</v>
      </c>
      <c r="G378" s="2">
        <v>1</v>
      </c>
      <c r="H378" s="2">
        <v>2000</v>
      </c>
      <c r="I378" s="2">
        <v>70</v>
      </c>
      <c r="J378" s="2" t="s">
        <v>1779</v>
      </c>
      <c r="K378" s="2">
        <v>29</v>
      </c>
      <c r="L378" s="2">
        <v>15</v>
      </c>
      <c r="M378" s="2">
        <v>0</v>
      </c>
      <c r="N378" s="2">
        <v>4</v>
      </c>
      <c r="O378" s="2">
        <v>5</v>
      </c>
      <c r="P378" s="2">
        <v>5</v>
      </c>
      <c r="Q378" s="2" t="s">
        <v>381</v>
      </c>
      <c r="R378" s="2" t="s">
        <v>2353</v>
      </c>
      <c r="S378" s="4">
        <v>44837</v>
      </c>
    </row>
    <row r="379" spans="1:19" ht="12.5" x14ac:dyDescent="0.25">
      <c r="A379" s="14" t="str">
        <f>HYPERLINK("https://gerandofalcoes.my.salesforce.com/0014X00002QTry4QAD", "0014X00002QTry4QAD")</f>
        <v>0014X00002QTry4QAD</v>
      </c>
      <c r="B379" s="2" t="s">
        <v>1701</v>
      </c>
      <c r="C379" s="2" t="s">
        <v>423</v>
      </c>
      <c r="D379" s="2" t="s">
        <v>27</v>
      </c>
      <c r="E379" s="2">
        <v>76.38</v>
      </c>
      <c r="F379" s="2">
        <v>0</v>
      </c>
      <c r="G379" s="2">
        <v>3</v>
      </c>
      <c r="H379" s="2">
        <v>350</v>
      </c>
      <c r="I379" s="2">
        <v>40</v>
      </c>
      <c r="J379" s="2" t="s">
        <v>1671</v>
      </c>
      <c r="K379" s="2">
        <v>43</v>
      </c>
      <c r="L379" s="2">
        <v>25</v>
      </c>
      <c r="M379" s="2">
        <v>0</v>
      </c>
      <c r="N379" s="2">
        <v>8</v>
      </c>
      <c r="O379" s="2">
        <v>5</v>
      </c>
      <c r="P379" s="2">
        <v>5</v>
      </c>
      <c r="Q379" s="2" t="s">
        <v>1702</v>
      </c>
      <c r="R379" s="2" t="s">
        <v>1703</v>
      </c>
      <c r="S379" s="4">
        <v>44837</v>
      </c>
    </row>
    <row r="380" spans="1:19" ht="12.5" x14ac:dyDescent="0.25">
      <c r="A380" s="14" t="str">
        <f>HYPERLINK("https://gerandofalcoes.my.salesforce.com/0014X00002PUOY7QAP", "0014X00002PUOY7QAP")</f>
        <v>0014X00002PUOY7QAP</v>
      </c>
      <c r="B380" s="2" t="s">
        <v>2317</v>
      </c>
      <c r="C380" s="2" t="s">
        <v>423</v>
      </c>
      <c r="D380" s="2" t="s">
        <v>2</v>
      </c>
      <c r="E380" s="2">
        <v>28</v>
      </c>
      <c r="F380" s="2">
        <v>28</v>
      </c>
      <c r="G380" s="2">
        <v>3</v>
      </c>
      <c r="H380" s="2">
        <v>200000</v>
      </c>
      <c r="I380" s="2">
        <v>500</v>
      </c>
      <c r="J380" s="2" t="s">
        <v>1650</v>
      </c>
      <c r="K380" s="2">
        <v>70</v>
      </c>
      <c r="L380" s="2">
        <v>15</v>
      </c>
      <c r="M380" s="2">
        <v>12</v>
      </c>
      <c r="N380" s="2">
        <v>8</v>
      </c>
      <c r="O380" s="2">
        <v>15</v>
      </c>
      <c r="P380" s="2">
        <v>20</v>
      </c>
      <c r="Q380" s="2" t="s">
        <v>448</v>
      </c>
      <c r="R380" s="2" t="s">
        <v>448</v>
      </c>
      <c r="S380" s="4">
        <v>44837</v>
      </c>
    </row>
    <row r="381" spans="1:19" ht="12.5" x14ac:dyDescent="0.25">
      <c r="A381" s="14" t="str">
        <f>HYPERLINK("https://gerandofalcoes.my.salesforce.com/0014X00002PUOZAQA5", "0014X00002PUOZAQA5")</f>
        <v>0014X00002PUOZAQA5</v>
      </c>
      <c r="B381" s="2" t="s">
        <v>1717</v>
      </c>
      <c r="C381" s="2" t="s">
        <v>423</v>
      </c>
      <c r="D381" s="2" t="s">
        <v>2</v>
      </c>
      <c r="E381" s="2">
        <v>76.81</v>
      </c>
      <c r="F381" s="2">
        <v>0</v>
      </c>
      <c r="G381" s="2">
        <v>3</v>
      </c>
      <c r="H381" s="2">
        <v>286000</v>
      </c>
      <c r="I381" s="2">
        <v>127</v>
      </c>
      <c r="J381" s="2" t="s">
        <v>1671</v>
      </c>
      <c r="K381" s="2">
        <v>58</v>
      </c>
      <c r="L381" s="2">
        <v>25</v>
      </c>
      <c r="M381" s="2">
        <v>0</v>
      </c>
      <c r="N381" s="2">
        <v>8</v>
      </c>
      <c r="O381" s="2">
        <v>15</v>
      </c>
      <c r="P381" s="2">
        <v>10</v>
      </c>
      <c r="Q381" s="2" t="s">
        <v>1718</v>
      </c>
      <c r="R381" s="2" t="s">
        <v>1718</v>
      </c>
      <c r="S381" s="4">
        <v>44837</v>
      </c>
    </row>
    <row r="382" spans="1:19" ht="12.5" x14ac:dyDescent="0.25">
      <c r="A382" s="14" t="str">
        <f>HYPERLINK("https://gerandofalcoes.my.salesforce.com/0014P00003ESKdlQAH", "0014P00003ESKdlQAH")</f>
        <v>0014P00003ESKdlQAH</v>
      </c>
      <c r="B382" s="2" t="s">
        <v>1719</v>
      </c>
      <c r="C382" s="2" t="s">
        <v>423</v>
      </c>
      <c r="D382" s="2" t="s">
        <v>2</v>
      </c>
      <c r="E382" s="2">
        <v>76</v>
      </c>
      <c r="F382" s="2">
        <v>0</v>
      </c>
      <c r="G382" s="2">
        <v>3</v>
      </c>
      <c r="H382" s="2">
        <v>97514224</v>
      </c>
      <c r="I382" s="2">
        <v>500</v>
      </c>
      <c r="J382" s="2" t="s">
        <v>1650</v>
      </c>
      <c r="K382" s="2">
        <v>78</v>
      </c>
      <c r="L382" s="2">
        <v>25</v>
      </c>
      <c r="M382" s="2">
        <v>0</v>
      </c>
      <c r="N382" s="2">
        <v>8</v>
      </c>
      <c r="O382" s="2">
        <v>25</v>
      </c>
      <c r="P382" s="2">
        <v>20</v>
      </c>
      <c r="Q382" s="2" t="s">
        <v>898</v>
      </c>
      <c r="R382" s="2" t="s">
        <v>898</v>
      </c>
      <c r="S382" s="4">
        <v>44837</v>
      </c>
    </row>
    <row r="383" spans="1:19" ht="12.5" x14ac:dyDescent="0.25">
      <c r="A383" s="14" t="str">
        <f>HYPERLINK("https://gerandofalcoes.my.salesforce.com/0014P00003AN2FVQA1", "0014P00003AN2FVQA1")</f>
        <v>0014P00003AN2FVQA1</v>
      </c>
      <c r="B383" s="2" t="s">
        <v>1738</v>
      </c>
      <c r="C383" s="2" t="s">
        <v>423</v>
      </c>
      <c r="D383" s="2" t="s">
        <v>2</v>
      </c>
      <c r="E383" s="2">
        <v>70</v>
      </c>
      <c r="F383" s="2">
        <v>22</v>
      </c>
      <c r="G383" s="2">
        <v>3</v>
      </c>
      <c r="H383" s="2">
        <v>1385871</v>
      </c>
      <c r="I383" s="2">
        <v>700</v>
      </c>
      <c r="J383" s="2" t="s">
        <v>1654</v>
      </c>
      <c r="K383" s="2">
        <v>85</v>
      </c>
      <c r="L383" s="2">
        <v>20</v>
      </c>
      <c r="M383" s="2">
        <v>12</v>
      </c>
      <c r="N383" s="2">
        <v>8</v>
      </c>
      <c r="O383" s="2">
        <v>25</v>
      </c>
      <c r="P383" s="2">
        <v>20</v>
      </c>
      <c r="Q383" s="2" t="s">
        <v>632</v>
      </c>
      <c r="R383" s="2" t="s">
        <v>632</v>
      </c>
      <c r="S383" s="4">
        <v>44837</v>
      </c>
    </row>
    <row r="384" spans="1:19" ht="12.5" x14ac:dyDescent="0.25">
      <c r="A384" s="14" t="str">
        <f>HYPERLINK("https://gerandofalcoes.my.salesforce.com/0014P00003AN2FWQA1", "0014P00003AN2FWQA1")</f>
        <v>0014P00003AN2FWQA1</v>
      </c>
      <c r="B384" s="2" t="s">
        <v>2395</v>
      </c>
      <c r="C384" s="2" t="s">
        <v>423</v>
      </c>
      <c r="D384" s="2" t="s">
        <v>2</v>
      </c>
      <c r="E384" s="2">
        <v>43</v>
      </c>
      <c r="F384" s="2">
        <v>2</v>
      </c>
      <c r="G384" s="2">
        <v>1</v>
      </c>
      <c r="H384" s="2">
        <v>300000</v>
      </c>
      <c r="I384" s="2">
        <v>280</v>
      </c>
      <c r="J384" s="2" t="s">
        <v>1671</v>
      </c>
      <c r="K384" s="2">
        <v>56</v>
      </c>
      <c r="L384" s="2">
        <v>15</v>
      </c>
      <c r="M384" s="2">
        <v>5</v>
      </c>
      <c r="N384" s="2">
        <v>4</v>
      </c>
      <c r="O384" s="2">
        <v>20</v>
      </c>
      <c r="P384" s="2">
        <v>12</v>
      </c>
      <c r="Q384" s="2" t="s">
        <v>2396</v>
      </c>
      <c r="R384" s="2" t="s">
        <v>2396</v>
      </c>
      <c r="S384" s="4">
        <v>44837</v>
      </c>
    </row>
    <row r="385" spans="1:19" ht="12.5" x14ac:dyDescent="0.25">
      <c r="A385" s="14" t="str">
        <f>HYPERLINK("https://gerandofalcoes.my.salesforce.com/0014P00003AN2FXQA1", "0014P00003AN2FXQA1")</f>
        <v>0014P00003AN2FXQA1</v>
      </c>
      <c r="B385" s="2" t="s">
        <v>1799</v>
      </c>
      <c r="C385" s="2" t="s">
        <v>1800</v>
      </c>
      <c r="D385" s="2" t="s">
        <v>2</v>
      </c>
      <c r="E385" s="2">
        <v>53</v>
      </c>
      <c r="F385" s="2">
        <v>8</v>
      </c>
      <c r="G385" s="2">
        <v>3</v>
      </c>
      <c r="H385" s="2">
        <v>250000</v>
      </c>
      <c r="I385" s="2">
        <v>238</v>
      </c>
      <c r="J385" s="2" t="s">
        <v>1650</v>
      </c>
      <c r="K385" s="2">
        <v>65</v>
      </c>
      <c r="L385" s="2">
        <v>20</v>
      </c>
      <c r="M385" s="2">
        <v>10</v>
      </c>
      <c r="N385" s="2">
        <v>8</v>
      </c>
      <c r="O385" s="2">
        <v>15</v>
      </c>
      <c r="P385" s="2">
        <v>12</v>
      </c>
      <c r="Q385" s="2" t="s">
        <v>646</v>
      </c>
      <c r="R385" s="2" t="s">
        <v>646</v>
      </c>
      <c r="S385" s="4">
        <v>44837</v>
      </c>
    </row>
    <row r="386" spans="1:19" ht="12.5" x14ac:dyDescent="0.25">
      <c r="A386" s="14" t="str">
        <f>HYPERLINK("https://gerandofalcoes.my.salesforce.com/0014P00003AN2FYQA1", "0014P00003AN2FYQA1")</f>
        <v>0014P00003AN2FYQA1</v>
      </c>
      <c r="B386" s="2" t="s">
        <v>1874</v>
      </c>
      <c r="C386" s="2" t="s">
        <v>423</v>
      </c>
      <c r="D386" s="2" t="s">
        <v>2</v>
      </c>
      <c r="E386" s="2">
        <v>45</v>
      </c>
      <c r="F386" s="2">
        <v>4</v>
      </c>
      <c r="G386" s="2">
        <v>5</v>
      </c>
      <c r="H386" s="2">
        <v>100000</v>
      </c>
      <c r="I386" s="2">
        <v>50</v>
      </c>
      <c r="J386" s="2" t="s">
        <v>1671</v>
      </c>
      <c r="K386" s="2">
        <v>50</v>
      </c>
      <c r="L386" s="2">
        <v>15</v>
      </c>
      <c r="M386" s="2">
        <v>5</v>
      </c>
      <c r="N386" s="2">
        <v>10</v>
      </c>
      <c r="O386" s="2">
        <v>15</v>
      </c>
      <c r="P386" s="2">
        <v>5</v>
      </c>
      <c r="Q386" s="2" t="s">
        <v>7147</v>
      </c>
      <c r="R386" s="2" t="s">
        <v>7147</v>
      </c>
      <c r="S386" s="4">
        <v>44837</v>
      </c>
    </row>
    <row r="387" spans="1:19" ht="12.5" x14ac:dyDescent="0.25">
      <c r="A387" s="14" t="str">
        <f>HYPERLINK("https://gerandofalcoes.my.salesforce.com/0014P00003AN2FZQA1", "0014P00003AN2FZQA1")</f>
        <v>0014P00003AN2FZQA1</v>
      </c>
      <c r="B387" s="2" t="s">
        <v>1685</v>
      </c>
      <c r="C387" s="2" t="s">
        <v>423</v>
      </c>
      <c r="D387" s="2" t="s">
        <v>2</v>
      </c>
      <c r="E387" s="2">
        <v>94</v>
      </c>
      <c r="F387" s="2">
        <v>51</v>
      </c>
      <c r="G387" s="2">
        <v>8</v>
      </c>
      <c r="H387" s="2">
        <v>501000</v>
      </c>
      <c r="I387" s="2">
        <v>400</v>
      </c>
      <c r="J387" s="2" t="s">
        <v>1654</v>
      </c>
      <c r="K387" s="2">
        <v>90</v>
      </c>
      <c r="L387" s="2">
        <v>30</v>
      </c>
      <c r="M387" s="2">
        <v>15</v>
      </c>
      <c r="N387" s="2">
        <v>10</v>
      </c>
      <c r="O387" s="2">
        <v>20</v>
      </c>
      <c r="P387" s="2">
        <v>15</v>
      </c>
      <c r="Q387" s="2" t="s">
        <v>1686</v>
      </c>
      <c r="R387" s="2" t="s">
        <v>1686</v>
      </c>
      <c r="S387" s="4">
        <v>44837</v>
      </c>
    </row>
    <row r="388" spans="1:19" ht="12.5" x14ac:dyDescent="0.25">
      <c r="A388" s="14" t="str">
        <f>HYPERLINK("https://gerandofalcoes.my.salesforce.com/0014P00003AN2FaQAL", "0014P00003AN2FaQAL")</f>
        <v>0014P00003AN2FaQAL</v>
      </c>
      <c r="B388" s="2" t="s">
        <v>81</v>
      </c>
      <c r="C388" s="2" t="s">
        <v>423</v>
      </c>
      <c r="D388" s="2" t="s">
        <v>2</v>
      </c>
      <c r="E388" s="2">
        <v>43.16</v>
      </c>
      <c r="F388" s="2">
        <v>7</v>
      </c>
      <c r="G388" s="2">
        <v>2</v>
      </c>
      <c r="H388" s="2">
        <v>150000</v>
      </c>
      <c r="I388" s="2">
        <v>102</v>
      </c>
      <c r="J388" s="2" t="s">
        <v>1671</v>
      </c>
      <c r="K388" s="2">
        <v>56</v>
      </c>
      <c r="L388" s="2">
        <v>15</v>
      </c>
      <c r="M388" s="2">
        <v>10</v>
      </c>
      <c r="N388" s="2">
        <v>6</v>
      </c>
      <c r="O388" s="2">
        <v>15</v>
      </c>
      <c r="P388" s="2">
        <v>10</v>
      </c>
      <c r="Q388" s="2" t="s">
        <v>82</v>
      </c>
      <c r="R388" s="2" t="s">
        <v>660</v>
      </c>
      <c r="S388" s="4">
        <v>44837</v>
      </c>
    </row>
    <row r="389" spans="1:19" ht="12.5" x14ac:dyDescent="0.25">
      <c r="A389" s="14" t="str">
        <f>HYPERLINK("https://gerandofalcoes.my.salesforce.com/0014P00003AN2FbQAL", "0014P00003AN2FbQAL")</f>
        <v>0014P00003AN2FbQAL</v>
      </c>
      <c r="B389" s="2" t="s">
        <v>2318</v>
      </c>
      <c r="C389" s="2" t="s">
        <v>423</v>
      </c>
      <c r="D389" s="2" t="s">
        <v>2</v>
      </c>
      <c r="E389" s="2">
        <v>28</v>
      </c>
      <c r="F389" s="2">
        <v>0</v>
      </c>
      <c r="G389" s="2">
        <v>0</v>
      </c>
      <c r="H389" s="2">
        <v>20000</v>
      </c>
      <c r="I389" s="2">
        <v>330</v>
      </c>
      <c r="J389" s="2" t="s">
        <v>1779</v>
      </c>
      <c r="K389" s="2">
        <v>35</v>
      </c>
      <c r="L389" s="2">
        <v>15</v>
      </c>
      <c r="M389" s="2">
        <v>0</v>
      </c>
      <c r="N389" s="2">
        <v>0</v>
      </c>
      <c r="O389" s="2">
        <v>5</v>
      </c>
      <c r="P389" s="2">
        <v>15</v>
      </c>
      <c r="Q389" s="2" t="s">
        <v>88</v>
      </c>
      <c r="R389" s="2" t="s">
        <v>88</v>
      </c>
      <c r="S389" s="4">
        <v>44837</v>
      </c>
    </row>
    <row r="390" spans="1:19" ht="12.5" x14ac:dyDescent="0.25">
      <c r="A390" s="14" t="str">
        <f>HYPERLINK("https://gerandofalcoes.my.salesforce.com/0014P00003AN2FcQAL", "0014P00003AN2FcQAL")</f>
        <v>0014P00003AN2FcQAL</v>
      </c>
      <c r="B390" s="2" t="s">
        <v>1681</v>
      </c>
      <c r="C390" s="2" t="s">
        <v>423</v>
      </c>
      <c r="D390" s="2" t="s">
        <v>27</v>
      </c>
      <c r="E390" s="2">
        <v>87</v>
      </c>
      <c r="F390" s="2">
        <v>10</v>
      </c>
      <c r="G390" s="2">
        <v>3</v>
      </c>
      <c r="H390" s="2">
        <v>501150</v>
      </c>
      <c r="I390" s="2">
        <v>171</v>
      </c>
      <c r="J390" s="2" t="s">
        <v>1650</v>
      </c>
      <c r="K390" s="2">
        <v>75</v>
      </c>
      <c r="L390" s="2">
        <v>25</v>
      </c>
      <c r="M390" s="2">
        <v>10</v>
      </c>
      <c r="N390" s="2">
        <v>8</v>
      </c>
      <c r="O390" s="2">
        <v>20</v>
      </c>
      <c r="P390" s="2">
        <v>12</v>
      </c>
      <c r="Q390" s="2" t="s">
        <v>91</v>
      </c>
      <c r="R390" s="2" t="s">
        <v>91</v>
      </c>
      <c r="S390" s="4">
        <v>44837</v>
      </c>
    </row>
    <row r="391" spans="1:19" ht="12.5" x14ac:dyDescent="0.25">
      <c r="A391" s="14" t="str">
        <f>HYPERLINK("https://gerandofalcoes.my.salesforce.com/0014P00003AN2FdQAL", "0014P00003AN2FdQAL")</f>
        <v>0014P00003AN2FdQAL</v>
      </c>
      <c r="B391" s="2" t="s">
        <v>95</v>
      </c>
      <c r="C391" s="2" t="s">
        <v>423</v>
      </c>
      <c r="D391" s="2" t="s">
        <v>2</v>
      </c>
      <c r="E391" s="2">
        <v>7</v>
      </c>
      <c r="F391" s="2">
        <v>0</v>
      </c>
      <c r="G391" s="2">
        <v>0</v>
      </c>
      <c r="H391" s="2">
        <v>0</v>
      </c>
      <c r="I391" s="2">
        <v>300</v>
      </c>
      <c r="J391" s="2" t="s">
        <v>1779</v>
      </c>
      <c r="K391" s="2">
        <v>25</v>
      </c>
      <c r="L391" s="2">
        <v>10</v>
      </c>
      <c r="M391" s="2">
        <v>0</v>
      </c>
      <c r="N391" s="2">
        <v>0</v>
      </c>
      <c r="O391" s="2">
        <v>0</v>
      </c>
      <c r="P391" s="2">
        <v>15</v>
      </c>
      <c r="Q391" s="2" t="s">
        <v>96</v>
      </c>
      <c r="R391" s="2" t="s">
        <v>685</v>
      </c>
      <c r="S391" s="4">
        <v>44837</v>
      </c>
    </row>
    <row r="392" spans="1:19" ht="12.5" x14ac:dyDescent="0.25">
      <c r="A392" s="14" t="str">
        <f>HYPERLINK("https://gerandofalcoes.my.salesforce.com/0014P00003AN2FeQAL", "0014P00003AN2FeQAL")</f>
        <v>0014P00003AN2FeQAL</v>
      </c>
      <c r="B392" s="2" t="s">
        <v>100</v>
      </c>
      <c r="C392" s="2" t="s">
        <v>423</v>
      </c>
      <c r="D392" s="2" t="s">
        <v>2</v>
      </c>
      <c r="E392" s="2">
        <v>25</v>
      </c>
      <c r="F392" s="2">
        <v>10</v>
      </c>
      <c r="G392" s="2">
        <v>3</v>
      </c>
      <c r="H392" s="2">
        <v>105000</v>
      </c>
      <c r="I392" s="2">
        <v>64</v>
      </c>
      <c r="J392" s="2" t="s">
        <v>1671</v>
      </c>
      <c r="K392" s="2">
        <v>53</v>
      </c>
      <c r="L392" s="2">
        <v>15</v>
      </c>
      <c r="M392" s="2">
        <v>10</v>
      </c>
      <c r="N392" s="2">
        <v>8</v>
      </c>
      <c r="O392" s="2">
        <v>15</v>
      </c>
      <c r="P392" s="2">
        <v>5</v>
      </c>
      <c r="Q392" s="2" t="s">
        <v>101</v>
      </c>
      <c r="R392" s="2" t="s">
        <v>2472</v>
      </c>
      <c r="S392" s="4">
        <v>44837</v>
      </c>
    </row>
    <row r="393" spans="1:19" ht="12.5" x14ac:dyDescent="0.25">
      <c r="A393" s="14" t="str">
        <f>HYPERLINK("https://gerandofalcoes.my.salesforce.com/0014X00002VKCqYQAX", "0014X00002VKCqYQAX")</f>
        <v>0014X00002VKCqYQAX</v>
      </c>
      <c r="B393" s="2" t="s">
        <v>2322</v>
      </c>
      <c r="C393" s="2" t="s">
        <v>1800</v>
      </c>
      <c r="D393" s="2" t="s">
        <v>2</v>
      </c>
      <c r="E393" s="2">
        <v>28</v>
      </c>
      <c r="F393" s="2">
        <v>1</v>
      </c>
      <c r="G393" s="2">
        <v>6</v>
      </c>
      <c r="H393" s="2">
        <v>5000</v>
      </c>
      <c r="I393" s="2">
        <v>80</v>
      </c>
      <c r="J393" s="2" t="s">
        <v>1671</v>
      </c>
      <c r="K393" s="2">
        <v>45</v>
      </c>
      <c r="L393" s="2">
        <v>15</v>
      </c>
      <c r="M393" s="2">
        <v>5</v>
      </c>
      <c r="N393" s="2">
        <v>10</v>
      </c>
      <c r="O393" s="2">
        <v>5</v>
      </c>
      <c r="P393" s="2">
        <v>10</v>
      </c>
      <c r="Q393" s="2" t="s">
        <v>2323</v>
      </c>
      <c r="R393" s="2" t="s">
        <v>2324</v>
      </c>
      <c r="S393" s="4">
        <v>44837</v>
      </c>
    </row>
    <row r="394" spans="1:19" ht="12.5" x14ac:dyDescent="0.25">
      <c r="A394" s="14" t="str">
        <f>HYPERLINK("https://gerandofalcoes.my.salesforce.com/0014X00002VKCukQAH", "0014X00002VKCukQAH")</f>
        <v>0014X00002VKCukQAH</v>
      </c>
      <c r="B394" s="2" t="s">
        <v>2990</v>
      </c>
      <c r="C394" s="2" t="s">
        <v>1800</v>
      </c>
      <c r="D394" s="2" t="s">
        <v>2</v>
      </c>
      <c r="E394" s="2"/>
      <c r="F394" s="2">
        <v>8</v>
      </c>
      <c r="G394" s="2">
        <v>2</v>
      </c>
      <c r="H394" s="2">
        <v>0</v>
      </c>
      <c r="I394" s="2">
        <v>50</v>
      </c>
      <c r="J394" s="2" t="s">
        <v>1779</v>
      </c>
      <c r="K394" s="2">
        <v>21</v>
      </c>
      <c r="L394" s="2">
        <v>0</v>
      </c>
      <c r="M394" s="2">
        <v>10</v>
      </c>
      <c r="N394" s="2">
        <v>6</v>
      </c>
      <c r="O394" s="2">
        <v>0</v>
      </c>
      <c r="P394" s="2">
        <v>5</v>
      </c>
      <c r="Q394" s="2" t="s">
        <v>2991</v>
      </c>
      <c r="R394" s="2" t="s">
        <v>2991</v>
      </c>
      <c r="S394" s="4">
        <v>44837</v>
      </c>
    </row>
    <row r="395" spans="1:19" ht="12.5" x14ac:dyDescent="0.25">
      <c r="A395" s="14" t="str">
        <f>HYPERLINK("https://gerandofalcoes.my.salesforce.com/0014X00002VKCsmQAH", "0014X00002VKCsmQAH")</f>
        <v>0014X00002VKCsmQAH</v>
      </c>
      <c r="B395" s="2" t="s">
        <v>2370</v>
      </c>
      <c r="C395" s="2" t="s">
        <v>1800</v>
      </c>
      <c r="D395" s="2" t="s">
        <v>2</v>
      </c>
      <c r="E395" s="2">
        <v>26</v>
      </c>
      <c r="F395" s="2">
        <v>0</v>
      </c>
      <c r="G395" s="2">
        <v>2</v>
      </c>
      <c r="H395" s="2">
        <v>8000</v>
      </c>
      <c r="I395" s="2">
        <v>20</v>
      </c>
      <c r="J395" s="2" t="s">
        <v>1779</v>
      </c>
      <c r="K395" s="2">
        <v>31</v>
      </c>
      <c r="L395" s="2">
        <v>15</v>
      </c>
      <c r="M395" s="2">
        <v>0</v>
      </c>
      <c r="N395" s="2">
        <v>6</v>
      </c>
      <c r="O395" s="2">
        <v>5</v>
      </c>
      <c r="P395" s="2">
        <v>5</v>
      </c>
      <c r="Q395" s="2" t="s">
        <v>2371</v>
      </c>
      <c r="R395" s="2" t="s">
        <v>2371</v>
      </c>
      <c r="S395" s="4">
        <v>44837</v>
      </c>
    </row>
    <row r="396" spans="1:19" ht="12.5" x14ac:dyDescent="0.25">
      <c r="A396" s="14" t="str">
        <f>HYPERLINK("https://gerandofalcoes.my.salesforce.com/0014X00002VKCpUQAX", "0014X00002VKCpUQAX")</f>
        <v>0014X00002VKCpUQAX</v>
      </c>
      <c r="B396" s="2" t="s">
        <v>2795</v>
      </c>
      <c r="C396" s="2" t="s">
        <v>423</v>
      </c>
      <c r="D396" s="2" t="s">
        <v>2</v>
      </c>
      <c r="E396" s="2">
        <v>13</v>
      </c>
      <c r="F396" s="2">
        <v>3</v>
      </c>
      <c r="G396" s="2">
        <v>1</v>
      </c>
      <c r="H396" s="2">
        <v>1200</v>
      </c>
      <c r="I396" s="2">
        <v>50</v>
      </c>
      <c r="J396" s="2" t="s">
        <v>1779</v>
      </c>
      <c r="K396" s="2">
        <v>29</v>
      </c>
      <c r="L396" s="2">
        <v>10</v>
      </c>
      <c r="M396" s="2">
        <v>5</v>
      </c>
      <c r="N396" s="2">
        <v>4</v>
      </c>
      <c r="O396" s="2">
        <v>5</v>
      </c>
      <c r="P396" s="2">
        <v>5</v>
      </c>
      <c r="Q396" s="2" t="s">
        <v>2796</v>
      </c>
      <c r="R396" s="2" t="s">
        <v>2797</v>
      </c>
      <c r="S396" s="4">
        <v>44837</v>
      </c>
    </row>
    <row r="397" spans="1:19" ht="12.5" x14ac:dyDescent="0.25">
      <c r="A397" s="14" t="str">
        <f>HYPERLINK("https://gerandofalcoes.my.salesforce.com/0014X00002VKCpcQAH", "0014X00002VKCpcQAH")</f>
        <v>0014X00002VKCpcQAH</v>
      </c>
      <c r="B397" s="2" t="s">
        <v>2689</v>
      </c>
      <c r="C397" s="2" t="s">
        <v>1800</v>
      </c>
      <c r="D397" s="2" t="s">
        <v>2</v>
      </c>
      <c r="E397" s="2">
        <v>16</v>
      </c>
      <c r="F397" s="2">
        <v>0</v>
      </c>
      <c r="G397" s="2">
        <v>2</v>
      </c>
      <c r="H397" s="2">
        <v>98000</v>
      </c>
      <c r="I397" s="2">
        <v>20</v>
      </c>
      <c r="J397" s="2" t="s">
        <v>1779</v>
      </c>
      <c r="K397" s="2">
        <v>31</v>
      </c>
      <c r="L397" s="2">
        <v>10</v>
      </c>
      <c r="M397" s="2">
        <v>0</v>
      </c>
      <c r="N397" s="2">
        <v>6</v>
      </c>
      <c r="O397" s="2">
        <v>10</v>
      </c>
      <c r="P397" s="2">
        <v>5</v>
      </c>
      <c r="Q397" s="2" t="s">
        <v>7166</v>
      </c>
      <c r="R397" s="2" t="s">
        <v>2690</v>
      </c>
      <c r="S397" s="4">
        <v>44837</v>
      </c>
    </row>
    <row r="398" spans="1:19" ht="12.5" x14ac:dyDescent="0.25">
      <c r="A398" s="14" t="str">
        <f>HYPERLINK("https://gerandofalcoes.my.salesforce.com/0014X00002VKCtwQAH", "0014X00002VKCtwQAH")</f>
        <v>0014X00002VKCtwQAH</v>
      </c>
      <c r="B398" s="2" t="s">
        <v>1954</v>
      </c>
      <c r="C398" s="2" t="s">
        <v>1800</v>
      </c>
      <c r="D398" s="2" t="s">
        <v>2</v>
      </c>
      <c r="E398" s="2">
        <v>41</v>
      </c>
      <c r="F398" s="2">
        <v>4</v>
      </c>
      <c r="G398" s="2">
        <v>3</v>
      </c>
      <c r="H398" s="2">
        <v>186011</v>
      </c>
      <c r="I398" s="2">
        <v>0</v>
      </c>
      <c r="J398" s="2" t="s">
        <v>1671</v>
      </c>
      <c r="K398" s="2">
        <v>43</v>
      </c>
      <c r="L398" s="2">
        <v>15</v>
      </c>
      <c r="M398" s="2">
        <v>5</v>
      </c>
      <c r="N398" s="2">
        <v>8</v>
      </c>
      <c r="O398" s="2">
        <v>15</v>
      </c>
      <c r="P398" s="2">
        <v>0</v>
      </c>
      <c r="Q398" s="2" t="s">
        <v>1955</v>
      </c>
      <c r="R398" s="2" t="s">
        <v>1956</v>
      </c>
      <c r="S398" s="4">
        <v>44837</v>
      </c>
    </row>
    <row r="399" spans="1:19" ht="12.5" x14ac:dyDescent="0.25">
      <c r="A399" s="14" t="str">
        <f>HYPERLINK("https://gerandofalcoes.my.salesforce.com/0014X00002VMXzNQAX", "0014X00002VMXzNQAX")</f>
        <v>0014X00002VMXzNQAX</v>
      </c>
      <c r="B399" s="2" t="s">
        <v>1778</v>
      </c>
      <c r="C399" s="2" t="s">
        <v>423</v>
      </c>
      <c r="D399" s="2" t="s">
        <v>2</v>
      </c>
      <c r="E399" s="2">
        <v>57</v>
      </c>
      <c r="F399" s="2">
        <v>0</v>
      </c>
      <c r="G399" s="2">
        <v>3</v>
      </c>
      <c r="H399" s="2">
        <v>65000</v>
      </c>
      <c r="I399" s="2">
        <v>0</v>
      </c>
      <c r="J399" s="2" t="s">
        <v>1779</v>
      </c>
      <c r="K399" s="2">
        <v>38</v>
      </c>
      <c r="L399" s="2">
        <v>20</v>
      </c>
      <c r="M399" s="2">
        <v>0</v>
      </c>
      <c r="N399" s="2">
        <v>8</v>
      </c>
      <c r="O399" s="2">
        <v>10</v>
      </c>
      <c r="P399" s="2">
        <v>0</v>
      </c>
      <c r="Q399" s="2" t="s">
        <v>1780</v>
      </c>
      <c r="R399" s="2" t="s">
        <v>1781</v>
      </c>
      <c r="S399" s="4">
        <v>44837</v>
      </c>
    </row>
    <row r="400" spans="1:19" ht="12.5" x14ac:dyDescent="0.25">
      <c r="A400" s="14" t="str">
        <f>HYPERLINK("https://gerandofalcoes.my.salesforce.com/0014X00002VKCv9QAH", "0014X00002VKCv9QAH")</f>
        <v>0014X00002VKCv9QAH</v>
      </c>
      <c r="B400" s="2" t="s">
        <v>2874</v>
      </c>
      <c r="C400" s="2" t="s">
        <v>423</v>
      </c>
      <c r="D400" s="2" t="s">
        <v>2</v>
      </c>
      <c r="E400" s="2">
        <v>35</v>
      </c>
      <c r="F400" s="2">
        <v>0</v>
      </c>
      <c r="G400" s="2">
        <v>0</v>
      </c>
      <c r="H400" s="2">
        <v>0</v>
      </c>
      <c r="I400" s="2">
        <v>200</v>
      </c>
      <c r="J400" s="2" t="s">
        <v>1779</v>
      </c>
      <c r="K400" s="2">
        <v>27</v>
      </c>
      <c r="L400" s="2">
        <v>15</v>
      </c>
      <c r="M400" s="2">
        <v>0</v>
      </c>
      <c r="N400" s="2">
        <v>0</v>
      </c>
      <c r="O400" s="2">
        <v>0</v>
      </c>
      <c r="P400" s="2">
        <v>12</v>
      </c>
      <c r="Q400" s="2" t="s">
        <v>2875</v>
      </c>
      <c r="R400" s="2" t="s">
        <v>2875</v>
      </c>
      <c r="S400" s="4">
        <v>44837</v>
      </c>
    </row>
    <row r="401" spans="1:19" ht="12.5" x14ac:dyDescent="0.25">
      <c r="A401" s="14" t="str">
        <f>HYPERLINK("https://gerandofalcoes.my.salesforce.com/0014X00002VKCrIQAX", "0014X00002VKCrIQAX")</f>
        <v>0014X00002VKCrIQAX</v>
      </c>
      <c r="B401" s="2" t="s">
        <v>2670</v>
      </c>
      <c r="C401" s="2" t="s">
        <v>1684</v>
      </c>
      <c r="D401" s="2" t="s">
        <v>2</v>
      </c>
      <c r="E401" s="2">
        <v>17</v>
      </c>
      <c r="F401" s="2">
        <v>0</v>
      </c>
      <c r="G401" s="2">
        <v>2</v>
      </c>
      <c r="H401" s="2">
        <v>1</v>
      </c>
      <c r="I401" s="2">
        <v>0</v>
      </c>
      <c r="J401" s="2" t="s">
        <v>1779</v>
      </c>
      <c r="K401" s="2">
        <v>21</v>
      </c>
      <c r="L401" s="2">
        <v>10</v>
      </c>
      <c r="M401" s="2">
        <v>0</v>
      </c>
      <c r="N401" s="2">
        <v>6</v>
      </c>
      <c r="O401" s="2">
        <v>5</v>
      </c>
      <c r="P401" s="2">
        <v>0</v>
      </c>
      <c r="Q401" s="2" t="s">
        <v>2671</v>
      </c>
      <c r="R401" s="2" t="s">
        <v>2671</v>
      </c>
      <c r="S401" s="4">
        <v>44837</v>
      </c>
    </row>
    <row r="402" spans="1:19" ht="12.5" x14ac:dyDescent="0.25">
      <c r="A402" s="14" t="str">
        <f>HYPERLINK("https://gerandofalcoes.my.salesforce.com/0014X00002VKCuRQAX", "0014X00002VKCuRQAX")</f>
        <v>0014X00002VKCuRQAX</v>
      </c>
      <c r="B402" s="2" t="s">
        <v>2243</v>
      </c>
      <c r="C402" s="2" t="s">
        <v>423</v>
      </c>
      <c r="D402" s="2" t="s">
        <v>2</v>
      </c>
      <c r="E402" s="2">
        <v>31</v>
      </c>
      <c r="F402" s="2">
        <v>3</v>
      </c>
      <c r="G402" s="2">
        <v>6</v>
      </c>
      <c r="H402" s="2">
        <v>100000</v>
      </c>
      <c r="I402" s="2">
        <v>0</v>
      </c>
      <c r="J402" s="2" t="s">
        <v>1671</v>
      </c>
      <c r="K402" s="2">
        <v>45</v>
      </c>
      <c r="L402" s="2">
        <v>15</v>
      </c>
      <c r="M402" s="2">
        <v>5</v>
      </c>
      <c r="N402" s="2">
        <v>10</v>
      </c>
      <c r="O402" s="2">
        <v>15</v>
      </c>
      <c r="P402" s="2">
        <v>0</v>
      </c>
      <c r="Q402" s="2" t="s">
        <v>2244</v>
      </c>
      <c r="R402" s="2" t="s">
        <v>2244</v>
      </c>
      <c r="S402" s="4">
        <v>44837</v>
      </c>
    </row>
    <row r="403" spans="1:19" ht="12.5" x14ac:dyDescent="0.25">
      <c r="A403" s="14" t="str">
        <f>HYPERLINK("https://gerandofalcoes.my.salesforce.com/0014X00002VKCrwQAH", "0014X00002VKCrwQAH")</f>
        <v>0014X00002VKCrwQAH</v>
      </c>
      <c r="B403" s="2" t="s">
        <v>2959</v>
      </c>
      <c r="C403" s="2" t="s">
        <v>423</v>
      </c>
      <c r="D403" s="2" t="s">
        <v>2</v>
      </c>
      <c r="E403" s="2">
        <v>16</v>
      </c>
      <c r="F403" s="2">
        <v>0</v>
      </c>
      <c r="G403" s="2">
        <v>2</v>
      </c>
      <c r="H403" s="2">
        <v>15000</v>
      </c>
      <c r="I403" s="2">
        <v>30</v>
      </c>
      <c r="J403" s="2" t="s">
        <v>1779</v>
      </c>
      <c r="K403" s="2">
        <v>26</v>
      </c>
      <c r="L403" s="2">
        <v>10</v>
      </c>
      <c r="M403" s="2">
        <v>0</v>
      </c>
      <c r="N403" s="2">
        <v>6</v>
      </c>
      <c r="O403" s="2">
        <v>5</v>
      </c>
      <c r="P403" s="2">
        <v>5</v>
      </c>
      <c r="Q403" s="2" t="s">
        <v>2960</v>
      </c>
      <c r="R403" s="2" t="s">
        <v>2961</v>
      </c>
      <c r="S403" s="4">
        <v>44837</v>
      </c>
    </row>
    <row r="404" spans="1:19" ht="12.5" x14ac:dyDescent="0.25">
      <c r="A404" s="14" t="str">
        <f>HYPERLINK("https://gerandofalcoes.my.salesforce.com/0014X00002VKCsLQAX", "0014X00002VKCsLQAX")</f>
        <v>0014X00002VKCsLQAX</v>
      </c>
      <c r="B404" s="2" t="s">
        <v>2798</v>
      </c>
      <c r="C404" s="2" t="s">
        <v>1800</v>
      </c>
      <c r="D404" s="2" t="s">
        <v>2</v>
      </c>
      <c r="E404" s="2">
        <v>13</v>
      </c>
      <c r="F404" s="2">
        <v>0</v>
      </c>
      <c r="G404" s="2">
        <v>3</v>
      </c>
      <c r="H404" s="2">
        <v>500</v>
      </c>
      <c r="I404" s="2">
        <v>30</v>
      </c>
      <c r="J404" s="2" t="s">
        <v>1779</v>
      </c>
      <c r="K404" s="2">
        <v>28</v>
      </c>
      <c r="L404" s="2">
        <v>10</v>
      </c>
      <c r="M404" s="2">
        <v>0</v>
      </c>
      <c r="N404" s="2">
        <v>8</v>
      </c>
      <c r="O404" s="2">
        <v>5</v>
      </c>
      <c r="P404" s="2">
        <v>5</v>
      </c>
      <c r="Q404" s="2" t="s">
        <v>2799</v>
      </c>
      <c r="R404" s="2" t="s">
        <v>2800</v>
      </c>
      <c r="S404" s="4">
        <v>44837</v>
      </c>
    </row>
    <row r="405" spans="1:19" ht="12.5" x14ac:dyDescent="0.25">
      <c r="A405" s="14" t="str">
        <f>HYPERLINK("https://gerandofalcoes.my.salesforce.com/0014X00002VKCrTQAX", "0014X00002VKCrTQAX")</f>
        <v>0014X00002VKCrTQAX</v>
      </c>
      <c r="B405" s="2" t="s">
        <v>2180</v>
      </c>
      <c r="C405" s="2" t="s">
        <v>423</v>
      </c>
      <c r="D405" s="2" t="s">
        <v>2</v>
      </c>
      <c r="E405" s="2">
        <v>33</v>
      </c>
      <c r="F405" s="2">
        <v>0</v>
      </c>
      <c r="G405" s="2">
        <v>5</v>
      </c>
      <c r="H405" s="2">
        <v>0</v>
      </c>
      <c r="I405" s="2">
        <v>40</v>
      </c>
      <c r="J405" s="2" t="s">
        <v>1779</v>
      </c>
      <c r="K405" s="2">
        <v>30</v>
      </c>
      <c r="L405" s="2">
        <v>15</v>
      </c>
      <c r="M405" s="2">
        <v>0</v>
      </c>
      <c r="N405" s="2">
        <v>10</v>
      </c>
      <c r="O405" s="2">
        <v>0</v>
      </c>
      <c r="P405" s="2">
        <v>5</v>
      </c>
      <c r="Q405" s="2" t="s">
        <v>2181</v>
      </c>
      <c r="R405" s="2" t="s">
        <v>2181</v>
      </c>
      <c r="S405" s="4">
        <v>44837</v>
      </c>
    </row>
    <row r="406" spans="1:19" ht="12.5" x14ac:dyDescent="0.25">
      <c r="A406" s="14" t="str">
        <f>HYPERLINK("https://gerandofalcoes.my.salesforce.com/0014P00003SGWQ3QAP", "0014P00003SGWQ3QAP")</f>
        <v>0014P00003SGWQ3QAP</v>
      </c>
      <c r="B406" s="2" t="s">
        <v>210</v>
      </c>
      <c r="C406" s="2" t="s">
        <v>423</v>
      </c>
      <c r="D406" s="2" t="s">
        <v>2</v>
      </c>
      <c r="E406" s="2">
        <v>51</v>
      </c>
      <c r="F406" s="2">
        <v>34</v>
      </c>
      <c r="G406" s="2">
        <v>4</v>
      </c>
      <c r="H406" s="2">
        <v>140000</v>
      </c>
      <c r="I406" s="2">
        <v>40</v>
      </c>
      <c r="J406" s="2" t="s">
        <v>1650</v>
      </c>
      <c r="K406" s="2">
        <v>65</v>
      </c>
      <c r="L406" s="2">
        <v>20</v>
      </c>
      <c r="M406" s="2">
        <v>15</v>
      </c>
      <c r="N406" s="2">
        <v>10</v>
      </c>
      <c r="O406" s="2">
        <v>15</v>
      </c>
      <c r="P406" s="2">
        <v>5</v>
      </c>
      <c r="Q406" s="2" t="s">
        <v>211</v>
      </c>
      <c r="R406" s="2" t="s">
        <v>1459</v>
      </c>
      <c r="S406" s="4">
        <v>44837</v>
      </c>
    </row>
    <row r="407" spans="1:19" ht="12.5" x14ac:dyDescent="0.25">
      <c r="A407" s="14" t="str">
        <f>HYPERLINK("https://gerandofalcoes.my.salesforce.com/0014P00003SGWQ4QAP", "0014P00003SGWQ4QAP")</f>
        <v>0014P00003SGWQ4QAP</v>
      </c>
      <c r="B407" s="2" t="s">
        <v>217</v>
      </c>
      <c r="C407" s="2" t="s">
        <v>423</v>
      </c>
      <c r="D407" s="2" t="s">
        <v>2</v>
      </c>
      <c r="E407" s="2">
        <v>33</v>
      </c>
      <c r="F407" s="2">
        <v>0</v>
      </c>
      <c r="G407" s="2">
        <v>2</v>
      </c>
      <c r="H407" s="2">
        <v>8324</v>
      </c>
      <c r="I407" s="2">
        <v>117</v>
      </c>
      <c r="J407" s="2" t="s">
        <v>1779</v>
      </c>
      <c r="K407" s="2">
        <v>36</v>
      </c>
      <c r="L407" s="2">
        <v>15</v>
      </c>
      <c r="M407" s="2">
        <v>0</v>
      </c>
      <c r="N407" s="2">
        <v>6</v>
      </c>
      <c r="O407" s="2">
        <v>5</v>
      </c>
      <c r="P407" s="2">
        <v>10</v>
      </c>
      <c r="Q407" s="2" t="s">
        <v>218</v>
      </c>
      <c r="R407" s="2" t="s">
        <v>1140</v>
      </c>
      <c r="S407" s="4">
        <v>44837</v>
      </c>
    </row>
    <row r="408" spans="1:19" ht="12.5" x14ac:dyDescent="0.25">
      <c r="A408" s="14" t="str">
        <f>HYPERLINK("https://gerandofalcoes.my.salesforce.com/0014P00003SGWQ6QAP", "0014P00003SGWQ6QAP")</f>
        <v>0014P00003SGWQ6QAP</v>
      </c>
      <c r="B408" s="2" t="s">
        <v>221</v>
      </c>
      <c r="C408" s="2" t="s">
        <v>423</v>
      </c>
      <c r="D408" s="2" t="s">
        <v>2</v>
      </c>
      <c r="E408" s="2"/>
      <c r="F408" s="2">
        <v>20</v>
      </c>
      <c r="G408" s="2">
        <v>3</v>
      </c>
      <c r="H408" s="2">
        <v>149830</v>
      </c>
      <c r="I408" s="2">
        <v>250</v>
      </c>
      <c r="J408" s="2" t="s">
        <v>1671</v>
      </c>
      <c r="K408" s="2">
        <v>47</v>
      </c>
      <c r="L408" s="2">
        <v>0</v>
      </c>
      <c r="M408" s="2">
        <v>12</v>
      </c>
      <c r="N408" s="2">
        <v>8</v>
      </c>
      <c r="O408" s="2">
        <v>15</v>
      </c>
      <c r="P408" s="2">
        <v>12</v>
      </c>
      <c r="Q408" s="2" t="s">
        <v>222</v>
      </c>
      <c r="R408" s="2" t="s">
        <v>2985</v>
      </c>
      <c r="S408" s="4">
        <v>44837</v>
      </c>
    </row>
    <row r="409" spans="1:19" ht="12.5" x14ac:dyDescent="0.25">
      <c r="A409" s="14" t="str">
        <f>HYPERLINK("https://gerandofalcoes.my.salesforce.com/0014P00003SGWQ7QAP", "0014P00003SGWQ7QAP")</f>
        <v>0014P00003SGWQ7QAP</v>
      </c>
      <c r="B409" s="2" t="s">
        <v>226</v>
      </c>
      <c r="C409" s="2" t="s">
        <v>423</v>
      </c>
      <c r="D409" s="2" t="s">
        <v>27</v>
      </c>
      <c r="E409" s="2">
        <v>39</v>
      </c>
      <c r="F409" s="2">
        <v>6</v>
      </c>
      <c r="G409" s="2">
        <v>2</v>
      </c>
      <c r="H409" s="2">
        <v>9291.52</v>
      </c>
      <c r="I409" s="2">
        <v>150</v>
      </c>
      <c r="J409" s="2" t="s">
        <v>1671</v>
      </c>
      <c r="K409" s="2">
        <v>48</v>
      </c>
      <c r="L409" s="2">
        <v>15</v>
      </c>
      <c r="M409" s="2">
        <v>10</v>
      </c>
      <c r="N409" s="2">
        <v>6</v>
      </c>
      <c r="O409" s="2">
        <v>5</v>
      </c>
      <c r="P409" s="2">
        <v>12</v>
      </c>
      <c r="Q409" s="2" t="s">
        <v>227</v>
      </c>
      <c r="R409" s="2" t="s">
        <v>1159</v>
      </c>
      <c r="S409" s="4">
        <v>44837</v>
      </c>
    </row>
    <row r="410" spans="1:19" ht="12.5" x14ac:dyDescent="0.25">
      <c r="A410" s="14" t="str">
        <f>HYPERLINK("https://gerandofalcoes.my.salesforce.com/0014P00003SGWQ8QAP", "0014P00003SGWQ8QAP")</f>
        <v>0014P00003SGWQ8QAP</v>
      </c>
      <c r="B410" s="2" t="s">
        <v>213</v>
      </c>
      <c r="C410" s="2" t="s">
        <v>423</v>
      </c>
      <c r="D410" s="2" t="s">
        <v>2</v>
      </c>
      <c r="E410" s="2">
        <v>14</v>
      </c>
      <c r="F410" s="2">
        <v>0</v>
      </c>
      <c r="G410" s="2">
        <v>2</v>
      </c>
      <c r="H410" s="2">
        <v>300000</v>
      </c>
      <c r="I410" s="2">
        <v>0</v>
      </c>
      <c r="J410" s="2" t="s">
        <v>1779</v>
      </c>
      <c r="K410" s="2">
        <v>36</v>
      </c>
      <c r="L410" s="2">
        <v>10</v>
      </c>
      <c r="M410" s="2">
        <v>0</v>
      </c>
      <c r="N410" s="2">
        <v>6</v>
      </c>
      <c r="O410" s="2">
        <v>20</v>
      </c>
      <c r="P410" s="2">
        <v>0</v>
      </c>
      <c r="Q410" s="2" t="s">
        <v>214</v>
      </c>
      <c r="R410" s="2" t="s">
        <v>1170</v>
      </c>
      <c r="S410" s="4">
        <v>44837</v>
      </c>
    </row>
    <row r="411" spans="1:19" ht="12.5" x14ac:dyDescent="0.25">
      <c r="A411" s="14" t="str">
        <f>HYPERLINK("https://gerandofalcoes.my.salesforce.com/0014P00003SGWQ9QAP", "0014P00003SGWQ9QAP")</f>
        <v>0014P00003SGWQ9QAP</v>
      </c>
      <c r="B411" s="2" t="s">
        <v>232</v>
      </c>
      <c r="C411" s="2" t="s">
        <v>423</v>
      </c>
      <c r="D411" s="2" t="s">
        <v>2</v>
      </c>
      <c r="E411" s="2">
        <v>51</v>
      </c>
      <c r="F411" s="2">
        <v>5</v>
      </c>
      <c r="G411" s="2">
        <v>3</v>
      </c>
      <c r="H411" s="2">
        <v>191584</v>
      </c>
      <c r="I411" s="2">
        <v>245</v>
      </c>
      <c r="J411" s="2" t="s">
        <v>1671</v>
      </c>
      <c r="K411" s="2">
        <v>60</v>
      </c>
      <c r="L411" s="2">
        <v>20</v>
      </c>
      <c r="M411" s="2">
        <v>5</v>
      </c>
      <c r="N411" s="2">
        <v>8</v>
      </c>
      <c r="O411" s="2">
        <v>15</v>
      </c>
      <c r="P411" s="2">
        <v>12</v>
      </c>
      <c r="Q411" s="2" t="s">
        <v>233</v>
      </c>
      <c r="R411" s="2" t="s">
        <v>2285</v>
      </c>
      <c r="S411" s="4">
        <v>44837</v>
      </c>
    </row>
    <row r="412" spans="1:19" ht="12.5" x14ac:dyDescent="0.25">
      <c r="A412" s="14" t="str">
        <f>HYPERLINK("https://gerandofalcoes.my.salesforce.com/0014P00003SGWQAQA5", "0014P00003SGWQAQA5")</f>
        <v>0014P00003SGWQAQA5</v>
      </c>
      <c r="B412" s="2" t="s">
        <v>2958</v>
      </c>
      <c r="C412" s="2" t="s">
        <v>423</v>
      </c>
      <c r="D412" s="2" t="s">
        <v>2</v>
      </c>
      <c r="E412" s="2">
        <v>4</v>
      </c>
      <c r="F412" s="2">
        <v>0</v>
      </c>
      <c r="G412" s="2">
        <v>1</v>
      </c>
      <c r="H412" s="2">
        <v>16000</v>
      </c>
      <c r="I412" s="2">
        <v>200</v>
      </c>
      <c r="J412" s="2" t="s">
        <v>1779</v>
      </c>
      <c r="K412" s="2">
        <v>31</v>
      </c>
      <c r="L412" s="2">
        <v>10</v>
      </c>
      <c r="M412" s="2">
        <v>0</v>
      </c>
      <c r="N412" s="2">
        <v>4</v>
      </c>
      <c r="O412" s="2">
        <v>5</v>
      </c>
      <c r="P412" s="2">
        <v>12</v>
      </c>
      <c r="Q412" s="2" t="s">
        <v>238</v>
      </c>
      <c r="R412" s="2" t="s">
        <v>1191</v>
      </c>
      <c r="S412" s="4">
        <v>44837</v>
      </c>
    </row>
    <row r="413" spans="1:19" ht="12.5" x14ac:dyDescent="0.25">
      <c r="A413" s="14" t="str">
        <f>HYPERLINK("https://gerandofalcoes.my.salesforce.com/0014P00003SGWQBQA5", "0014P00003SGWQBQA5")</f>
        <v>0014P00003SGWQBQA5</v>
      </c>
      <c r="B413" s="2" t="s">
        <v>242</v>
      </c>
      <c r="C413" s="2" t="s">
        <v>423</v>
      </c>
      <c r="D413" s="2" t="s">
        <v>2</v>
      </c>
      <c r="E413" s="2">
        <v>50</v>
      </c>
      <c r="F413" s="2">
        <v>12</v>
      </c>
      <c r="G413" s="2">
        <v>0</v>
      </c>
      <c r="H413" s="2">
        <v>0</v>
      </c>
      <c r="I413" s="2">
        <v>300</v>
      </c>
      <c r="J413" s="2" t="s">
        <v>1671</v>
      </c>
      <c r="K413" s="2">
        <v>47</v>
      </c>
      <c r="L413" s="2">
        <v>20</v>
      </c>
      <c r="M413" s="2">
        <v>12</v>
      </c>
      <c r="N413" s="2">
        <v>0</v>
      </c>
      <c r="O413" s="2">
        <v>0</v>
      </c>
      <c r="P413" s="2">
        <v>15</v>
      </c>
      <c r="Q413" s="2" t="s">
        <v>243</v>
      </c>
      <c r="R413" s="2" t="s">
        <v>1201</v>
      </c>
      <c r="S413" s="4">
        <v>44837</v>
      </c>
    </row>
    <row r="414" spans="1:19" ht="12.5" x14ac:dyDescent="0.25">
      <c r="A414" s="14" t="str">
        <f>HYPERLINK("https://gerandofalcoes.my.salesforce.com/0014P00003SGWQCQA5", "0014P00003SGWQCQA5")</f>
        <v>0014P00003SGWQCQA5</v>
      </c>
      <c r="B414" s="2" t="s">
        <v>248</v>
      </c>
      <c r="C414" s="2" t="s">
        <v>423</v>
      </c>
      <c r="D414" s="2" t="s">
        <v>2</v>
      </c>
      <c r="E414" s="2">
        <v>47</v>
      </c>
      <c r="F414" s="2">
        <v>5</v>
      </c>
      <c r="G414" s="2">
        <v>3</v>
      </c>
      <c r="H414" s="2">
        <v>500000</v>
      </c>
      <c r="I414" s="2">
        <v>72</v>
      </c>
      <c r="J414" s="2" t="s">
        <v>1671</v>
      </c>
      <c r="K414" s="2">
        <v>53</v>
      </c>
      <c r="L414" s="2">
        <v>15</v>
      </c>
      <c r="M414" s="2">
        <v>5</v>
      </c>
      <c r="N414" s="2">
        <v>8</v>
      </c>
      <c r="O414" s="2">
        <v>20</v>
      </c>
      <c r="P414" s="2">
        <v>5</v>
      </c>
      <c r="Q414" s="2" t="s">
        <v>249</v>
      </c>
      <c r="R414" s="2" t="s">
        <v>2025</v>
      </c>
      <c r="S414" s="4">
        <v>44837</v>
      </c>
    </row>
    <row r="415" spans="1:19" ht="12.5" x14ac:dyDescent="0.25">
      <c r="A415" s="14" t="str">
        <f>HYPERLINK("https://gerandofalcoes.my.salesforce.com/0014P00003SGWQDQA5", "0014P00003SGWQDQA5")</f>
        <v>0014P00003SGWQDQA5</v>
      </c>
      <c r="B415" s="2" t="s">
        <v>1669</v>
      </c>
      <c r="C415" s="2" t="s">
        <v>423</v>
      </c>
      <c r="D415" s="2" t="s">
        <v>27</v>
      </c>
      <c r="E415" s="2">
        <v>91</v>
      </c>
      <c r="F415" s="2">
        <v>10</v>
      </c>
      <c r="G415" s="2">
        <v>3</v>
      </c>
      <c r="H415" s="2">
        <v>707090.8</v>
      </c>
      <c r="I415" s="2">
        <v>390</v>
      </c>
      <c r="J415" s="2" t="s">
        <v>1654</v>
      </c>
      <c r="K415" s="2">
        <v>83</v>
      </c>
      <c r="L415" s="2">
        <v>30</v>
      </c>
      <c r="M415" s="2">
        <v>10</v>
      </c>
      <c r="N415" s="2">
        <v>8</v>
      </c>
      <c r="O415" s="2">
        <v>20</v>
      </c>
      <c r="P415" s="2">
        <v>15</v>
      </c>
      <c r="Q415" s="2" t="s">
        <v>251</v>
      </c>
      <c r="R415" s="2" t="s">
        <v>251</v>
      </c>
      <c r="S415" s="4">
        <v>44837</v>
      </c>
    </row>
    <row r="416" spans="1:19" ht="12.5" x14ac:dyDescent="0.25">
      <c r="A416" s="14" t="str">
        <f>HYPERLINK("https://gerandofalcoes.my.salesforce.com/0014P00003SGWQFQA5", "0014P00003SGWQFQA5")</f>
        <v>0014P00003SGWQFQA5</v>
      </c>
      <c r="B416" s="2" t="s">
        <v>2856</v>
      </c>
      <c r="C416" s="2" t="s">
        <v>423</v>
      </c>
      <c r="D416" s="2" t="s">
        <v>2</v>
      </c>
      <c r="E416" s="2">
        <v>10</v>
      </c>
      <c r="F416" s="2">
        <v>2</v>
      </c>
      <c r="G416" s="2">
        <v>1</v>
      </c>
      <c r="H416" s="2">
        <v>8000</v>
      </c>
      <c r="I416" s="2">
        <v>210</v>
      </c>
      <c r="J416" s="2" t="s">
        <v>1779</v>
      </c>
      <c r="K416" s="2">
        <v>36</v>
      </c>
      <c r="L416" s="2">
        <v>10</v>
      </c>
      <c r="M416" s="2">
        <v>5</v>
      </c>
      <c r="N416" s="2">
        <v>4</v>
      </c>
      <c r="O416" s="2">
        <v>5</v>
      </c>
      <c r="P416" s="2">
        <v>12</v>
      </c>
      <c r="Q416" s="2" t="s">
        <v>256</v>
      </c>
      <c r="R416" s="2" t="s">
        <v>1221</v>
      </c>
      <c r="S416" s="4">
        <v>44837</v>
      </c>
    </row>
    <row r="417" spans="1:19" ht="12.5" x14ac:dyDescent="0.25">
      <c r="A417" s="14" t="str">
        <f>HYPERLINK("https://gerandofalcoes.my.salesforce.com/0014P00003SGWQGQA5", "0014P00003SGWQGQA5")</f>
        <v>0014P00003SGWQGQA5</v>
      </c>
      <c r="B417" s="2" t="s">
        <v>259</v>
      </c>
      <c r="C417" s="2" t="s">
        <v>423</v>
      </c>
      <c r="D417" s="2" t="s">
        <v>2</v>
      </c>
      <c r="E417" s="2">
        <v>11</v>
      </c>
      <c r="F417" s="2">
        <v>7</v>
      </c>
      <c r="G417" s="2">
        <v>1</v>
      </c>
      <c r="H417" s="2">
        <v>32000</v>
      </c>
      <c r="I417" s="2">
        <v>30</v>
      </c>
      <c r="J417" s="2" t="s">
        <v>1779</v>
      </c>
      <c r="K417" s="2">
        <v>39</v>
      </c>
      <c r="L417" s="2">
        <v>10</v>
      </c>
      <c r="M417" s="2">
        <v>10</v>
      </c>
      <c r="N417" s="2">
        <v>4</v>
      </c>
      <c r="O417" s="2">
        <v>10</v>
      </c>
      <c r="P417" s="2">
        <v>5</v>
      </c>
      <c r="Q417" s="2" t="s">
        <v>260</v>
      </c>
      <c r="R417" s="2" t="s">
        <v>1232</v>
      </c>
      <c r="S417" s="4">
        <v>44837</v>
      </c>
    </row>
    <row r="418" spans="1:19" ht="12.5" x14ac:dyDescent="0.25">
      <c r="A418" s="14" t="str">
        <f>HYPERLINK("https://gerandofalcoes.my.salesforce.com/0014P00003SGWQHQA5", "0014P00003SGWQHQA5")</f>
        <v>0014P00003SGWQHQA5</v>
      </c>
      <c r="B418" s="2" t="s">
        <v>265</v>
      </c>
      <c r="C418" s="2" t="s">
        <v>423</v>
      </c>
      <c r="D418" s="2" t="s">
        <v>2</v>
      </c>
      <c r="E418" s="2">
        <v>5</v>
      </c>
      <c r="F418" s="2">
        <v>0</v>
      </c>
      <c r="G418" s="2">
        <v>1</v>
      </c>
      <c r="H418" s="2">
        <v>13000</v>
      </c>
      <c r="I418" s="2">
        <v>100</v>
      </c>
      <c r="J418" s="2" t="s">
        <v>1779</v>
      </c>
      <c r="K418" s="2">
        <v>29</v>
      </c>
      <c r="L418" s="2">
        <v>10</v>
      </c>
      <c r="M418" s="2">
        <v>0</v>
      </c>
      <c r="N418" s="2">
        <v>4</v>
      </c>
      <c r="O418" s="2">
        <v>5</v>
      </c>
      <c r="P418" s="2">
        <v>10</v>
      </c>
      <c r="Q418" s="2" t="s">
        <v>266</v>
      </c>
      <c r="R418" s="2" t="s">
        <v>266</v>
      </c>
      <c r="S418" s="4">
        <v>44837</v>
      </c>
    </row>
    <row r="419" spans="1:19" ht="12.5" x14ac:dyDescent="0.25">
      <c r="A419" s="14" t="str">
        <f>HYPERLINK("https://gerandofalcoes.my.salesforce.com/0014P00003SGWQIQA5", "0014P00003SGWQIQA5")</f>
        <v>0014P00003SGWQIQA5</v>
      </c>
      <c r="B419" s="2" t="s">
        <v>2992</v>
      </c>
      <c r="C419" s="2" t="s">
        <v>1684</v>
      </c>
      <c r="D419" s="2" t="s">
        <v>2</v>
      </c>
      <c r="E419" s="2"/>
      <c r="F419" s="2">
        <v>0</v>
      </c>
      <c r="G419" s="2">
        <v>2</v>
      </c>
      <c r="H419" s="2">
        <v>20000</v>
      </c>
      <c r="I419" s="2">
        <v>0</v>
      </c>
      <c r="J419" s="2" t="s">
        <v>1779</v>
      </c>
      <c r="K419" s="2">
        <v>11</v>
      </c>
      <c r="L419" s="2">
        <v>0</v>
      </c>
      <c r="M419" s="2">
        <v>0</v>
      </c>
      <c r="N419" s="2">
        <v>6</v>
      </c>
      <c r="O419" s="2">
        <v>5</v>
      </c>
      <c r="P419" s="2">
        <v>0</v>
      </c>
      <c r="Q419" s="2" t="s">
        <v>2993</v>
      </c>
      <c r="R419" s="2" t="s">
        <v>2994</v>
      </c>
      <c r="S419" s="4">
        <v>44837</v>
      </c>
    </row>
    <row r="420" spans="1:19" ht="12.5" x14ac:dyDescent="0.25">
      <c r="A420" s="14" t="str">
        <f>HYPERLINK("https://gerandofalcoes.my.salesforce.com/0014P00003SGWQJQA5", "0014P00003SGWQJQA5")</f>
        <v>0014P00003SGWQJQA5</v>
      </c>
      <c r="B420" s="2" t="s">
        <v>2480</v>
      </c>
      <c r="C420" s="2" t="s">
        <v>423</v>
      </c>
      <c r="D420" s="2" t="s">
        <v>2</v>
      </c>
      <c r="E420" s="2">
        <v>22</v>
      </c>
      <c r="F420" s="2">
        <v>2</v>
      </c>
      <c r="G420" s="2">
        <v>2</v>
      </c>
      <c r="H420" s="2">
        <v>11000</v>
      </c>
      <c r="I420" s="2">
        <v>103</v>
      </c>
      <c r="J420" s="2" t="s">
        <v>1779</v>
      </c>
      <c r="K420" s="2">
        <v>36</v>
      </c>
      <c r="L420" s="2">
        <v>10</v>
      </c>
      <c r="M420" s="2">
        <v>5</v>
      </c>
      <c r="N420" s="2">
        <v>6</v>
      </c>
      <c r="O420" s="2">
        <v>5</v>
      </c>
      <c r="P420" s="2">
        <v>10</v>
      </c>
      <c r="Q420" s="2" t="s">
        <v>269</v>
      </c>
      <c r="R420" s="2" t="s">
        <v>1248</v>
      </c>
      <c r="S420" s="4">
        <v>44837</v>
      </c>
    </row>
    <row r="421" spans="1:19" ht="12.5" x14ac:dyDescent="0.25">
      <c r="A421" s="14" t="str">
        <f>HYPERLINK("https://gerandofalcoes.my.salesforce.com/0014P00003YSm8CQAT", "0014P00003YSm8CQAT")</f>
        <v>0014P00003YSm8CQAT</v>
      </c>
      <c r="B421" s="2" t="s">
        <v>272</v>
      </c>
      <c r="C421" s="2" t="s">
        <v>423</v>
      </c>
      <c r="D421" s="2" t="s">
        <v>2</v>
      </c>
      <c r="E421" s="2">
        <v>33</v>
      </c>
      <c r="F421" s="2">
        <v>8</v>
      </c>
      <c r="G421" s="2">
        <v>0</v>
      </c>
      <c r="H421" s="2">
        <v>0</v>
      </c>
      <c r="I421" s="2">
        <v>98</v>
      </c>
      <c r="J421" s="2" t="s">
        <v>1779</v>
      </c>
      <c r="K421" s="2">
        <v>35</v>
      </c>
      <c r="L421" s="2">
        <v>15</v>
      </c>
      <c r="M421" s="2">
        <v>10</v>
      </c>
      <c r="N421" s="2">
        <v>0</v>
      </c>
      <c r="O421" s="2">
        <v>0</v>
      </c>
      <c r="P421" s="2">
        <v>10</v>
      </c>
      <c r="Q421" s="2" t="s">
        <v>273</v>
      </c>
      <c r="R421" s="2" t="s">
        <v>1518</v>
      </c>
      <c r="S421" s="4">
        <v>44837</v>
      </c>
    </row>
    <row r="422" spans="1:19" ht="12.5" x14ac:dyDescent="0.25">
      <c r="A422" s="14" t="str">
        <f>HYPERLINK("https://gerandofalcoes.my.salesforce.com/0014P00003SGWPbQAP", "0014P00003SGWPbQAP")</f>
        <v>0014P00003SGWPbQAP</v>
      </c>
      <c r="B422" s="2" t="s">
        <v>276</v>
      </c>
      <c r="C422" s="2" t="s">
        <v>423</v>
      </c>
      <c r="D422" s="2" t="s">
        <v>2</v>
      </c>
      <c r="E422" s="2">
        <v>25</v>
      </c>
      <c r="F422" s="2">
        <v>21</v>
      </c>
      <c r="G422" s="2">
        <v>8</v>
      </c>
      <c r="H422" s="2">
        <v>1406000</v>
      </c>
      <c r="I422" s="2">
        <v>121</v>
      </c>
      <c r="J422" s="2" t="s">
        <v>1650</v>
      </c>
      <c r="K422" s="2">
        <v>72</v>
      </c>
      <c r="L422" s="2">
        <v>15</v>
      </c>
      <c r="M422" s="2">
        <v>12</v>
      </c>
      <c r="N422" s="2">
        <v>10</v>
      </c>
      <c r="O422" s="2">
        <v>25</v>
      </c>
      <c r="P422" s="2">
        <v>10</v>
      </c>
      <c r="Q422" s="2" t="s">
        <v>277</v>
      </c>
      <c r="R422" s="2" t="s">
        <v>1257</v>
      </c>
      <c r="S422" s="4">
        <v>44837</v>
      </c>
    </row>
    <row r="423" spans="1:19" ht="12.5" x14ac:dyDescent="0.25">
      <c r="A423" s="14" t="str">
        <f>HYPERLINK("https://gerandofalcoes.my.salesforce.com/0014P00003SGWPcQAP", "0014P00003SGWPcQAP")</f>
        <v>0014P00003SGWPcQAP</v>
      </c>
      <c r="B423" s="2" t="s">
        <v>2896</v>
      </c>
      <c r="C423" s="2" t="s">
        <v>423</v>
      </c>
      <c r="D423" s="2" t="s">
        <v>2</v>
      </c>
      <c r="E423" s="2">
        <v>25</v>
      </c>
      <c r="F423" s="2">
        <v>0</v>
      </c>
      <c r="G423" s="2">
        <v>0</v>
      </c>
      <c r="H423" s="2">
        <v>0</v>
      </c>
      <c r="I423" s="2">
        <v>-25</v>
      </c>
      <c r="J423" s="2" t="s">
        <v>1779</v>
      </c>
      <c r="K423" s="2">
        <v>15</v>
      </c>
      <c r="L423" s="2">
        <v>15</v>
      </c>
      <c r="M423" s="2">
        <v>0</v>
      </c>
      <c r="N423" s="2">
        <v>0</v>
      </c>
      <c r="O423" s="2">
        <v>0</v>
      </c>
      <c r="P423" s="2">
        <v>0</v>
      </c>
      <c r="Q423" s="2" t="s">
        <v>282</v>
      </c>
      <c r="R423" s="2" t="s">
        <v>2897</v>
      </c>
      <c r="S423" s="4">
        <v>44837</v>
      </c>
    </row>
    <row r="424" spans="1:19" ht="12.5" x14ac:dyDescent="0.25">
      <c r="A424" s="14" t="str">
        <f>HYPERLINK("https://gerandofalcoes.my.salesforce.com/0014P00003SGWPdQAP", "0014P00003SGWPdQAP")</f>
        <v>0014P00003SGWPdQAP</v>
      </c>
      <c r="B424" s="2" t="s">
        <v>2397</v>
      </c>
      <c r="C424" s="2" t="s">
        <v>423</v>
      </c>
      <c r="D424" s="2" t="s">
        <v>2</v>
      </c>
      <c r="E424" s="2">
        <v>25</v>
      </c>
      <c r="F424" s="2">
        <v>1</v>
      </c>
      <c r="G424" s="2">
        <v>5</v>
      </c>
      <c r="H424" s="2">
        <v>22850</v>
      </c>
      <c r="I424" s="2">
        <v>1500</v>
      </c>
      <c r="J424" s="2" t="s">
        <v>1671</v>
      </c>
      <c r="K424" s="2">
        <v>55</v>
      </c>
      <c r="L424" s="2">
        <v>15</v>
      </c>
      <c r="M424" s="2">
        <v>5</v>
      </c>
      <c r="N424" s="2">
        <v>10</v>
      </c>
      <c r="O424" s="2">
        <v>5</v>
      </c>
      <c r="P424" s="2">
        <v>20</v>
      </c>
      <c r="Q424" s="2" t="s">
        <v>283</v>
      </c>
      <c r="R424" s="2" t="s">
        <v>2398</v>
      </c>
      <c r="S424" s="4">
        <v>44837</v>
      </c>
    </row>
    <row r="425" spans="1:19" ht="12.5" x14ac:dyDescent="0.25">
      <c r="A425" s="14" t="str">
        <f>HYPERLINK("https://gerandofalcoes.my.salesforce.com/0014P00003SGWPeQAP", "0014P00003SGWPeQAP")</f>
        <v>0014P00003SGWPeQAP</v>
      </c>
      <c r="B425" s="2" t="s">
        <v>2720</v>
      </c>
      <c r="C425" s="2" t="s">
        <v>423</v>
      </c>
      <c r="D425" s="2" t="s">
        <v>2</v>
      </c>
      <c r="E425" s="2">
        <v>15</v>
      </c>
      <c r="F425" s="2">
        <v>0</v>
      </c>
      <c r="G425" s="2">
        <v>1</v>
      </c>
      <c r="H425" s="2">
        <v>12000</v>
      </c>
      <c r="I425" s="2">
        <v>70</v>
      </c>
      <c r="J425" s="2" t="s">
        <v>1779</v>
      </c>
      <c r="K425" s="2">
        <v>24</v>
      </c>
      <c r="L425" s="2">
        <v>10</v>
      </c>
      <c r="M425" s="2">
        <v>0</v>
      </c>
      <c r="N425" s="2">
        <v>4</v>
      </c>
      <c r="O425" s="2">
        <v>5</v>
      </c>
      <c r="P425" s="2">
        <v>5</v>
      </c>
      <c r="Q425" s="2" t="s">
        <v>291</v>
      </c>
      <c r="R425" s="2" t="s">
        <v>1288</v>
      </c>
      <c r="S425" s="4">
        <v>44837</v>
      </c>
    </row>
    <row r="426" spans="1:19" ht="12.5" x14ac:dyDescent="0.25">
      <c r="A426" s="14" t="str">
        <f>HYPERLINK("https://gerandofalcoes.my.salesforce.com/0014P00003SGWPfQAP", "0014P00003SGWPfQAP")</f>
        <v>0014P00003SGWPfQAP</v>
      </c>
      <c r="B426" s="2" t="s">
        <v>294</v>
      </c>
      <c r="C426" s="2" t="s">
        <v>1800</v>
      </c>
      <c r="D426" s="2" t="s">
        <v>2</v>
      </c>
      <c r="E426" s="2">
        <v>46</v>
      </c>
      <c r="F426" s="2">
        <v>0</v>
      </c>
      <c r="G426" s="2">
        <v>3</v>
      </c>
      <c r="H426" s="2">
        <v>6605</v>
      </c>
      <c r="I426" s="2">
        <v>100</v>
      </c>
      <c r="J426" s="2" t="s">
        <v>1779</v>
      </c>
      <c r="K426" s="2">
        <v>38</v>
      </c>
      <c r="L426" s="2">
        <v>15</v>
      </c>
      <c r="M426" s="2">
        <v>0</v>
      </c>
      <c r="N426" s="2">
        <v>8</v>
      </c>
      <c r="O426" s="2">
        <v>5</v>
      </c>
      <c r="P426" s="2">
        <v>10</v>
      </c>
      <c r="Q426" s="2" t="s">
        <v>295</v>
      </c>
      <c r="R426" s="2" t="s">
        <v>1298</v>
      </c>
      <c r="S426" s="4">
        <v>44837</v>
      </c>
    </row>
    <row r="427" spans="1:19" ht="12.5" x14ac:dyDescent="0.25">
      <c r="A427" s="14" t="str">
        <f>HYPERLINK("https://gerandofalcoes.my.salesforce.com/0014P00003SGWPgQAP", "0014P00003SGWPgQAP")</f>
        <v>0014P00003SGWPgQAP</v>
      </c>
      <c r="B427" s="2" t="s">
        <v>298</v>
      </c>
      <c r="C427" s="2" t="s">
        <v>1684</v>
      </c>
      <c r="D427" s="2" t="s">
        <v>2</v>
      </c>
      <c r="E427" s="2">
        <v>20</v>
      </c>
      <c r="F427" s="2">
        <v>4</v>
      </c>
      <c r="G427" s="2">
        <v>0</v>
      </c>
      <c r="H427" s="2">
        <v>11000</v>
      </c>
      <c r="I427" s="2">
        <v>20</v>
      </c>
      <c r="J427" s="2" t="s">
        <v>1779</v>
      </c>
      <c r="K427" s="2">
        <v>25</v>
      </c>
      <c r="L427" s="2">
        <v>10</v>
      </c>
      <c r="M427" s="2">
        <v>5</v>
      </c>
      <c r="N427" s="2">
        <v>0</v>
      </c>
      <c r="O427" s="2">
        <v>5</v>
      </c>
      <c r="P427" s="2">
        <v>5</v>
      </c>
      <c r="Q427" s="2" t="s">
        <v>299</v>
      </c>
      <c r="R427" s="2" t="s">
        <v>1310</v>
      </c>
      <c r="S427" s="4">
        <v>44837</v>
      </c>
    </row>
    <row r="428" spans="1:19" ht="12.5" x14ac:dyDescent="0.25">
      <c r="A428" s="14" t="str">
        <f>HYPERLINK("https://gerandofalcoes.my.salesforce.com/0014P00003SGWPhQAP", "0014P00003SGWPhQAP")</f>
        <v>0014P00003SGWPhQAP</v>
      </c>
      <c r="B428" s="2" t="s">
        <v>1693</v>
      </c>
      <c r="C428" s="2" t="s">
        <v>423</v>
      </c>
      <c r="D428" s="2" t="s">
        <v>27</v>
      </c>
      <c r="E428" s="2">
        <v>82.68</v>
      </c>
      <c r="F428" s="2">
        <v>14</v>
      </c>
      <c r="G428" s="2">
        <v>3</v>
      </c>
      <c r="H428" s="2">
        <v>173994</v>
      </c>
      <c r="I428" s="2">
        <v>310</v>
      </c>
      <c r="J428" s="2" t="s">
        <v>1650</v>
      </c>
      <c r="K428" s="2">
        <v>75</v>
      </c>
      <c r="L428" s="2">
        <v>25</v>
      </c>
      <c r="M428" s="2">
        <v>12</v>
      </c>
      <c r="N428" s="2">
        <v>8</v>
      </c>
      <c r="O428" s="2">
        <v>15</v>
      </c>
      <c r="P428" s="2">
        <v>15</v>
      </c>
      <c r="Q428" s="2" t="s">
        <v>286</v>
      </c>
      <c r="R428" s="2" t="s">
        <v>1321</v>
      </c>
      <c r="S428" s="4">
        <v>44837</v>
      </c>
    </row>
    <row r="429" spans="1:19" ht="12.5" x14ac:dyDescent="0.25">
      <c r="A429" s="14" t="str">
        <f>HYPERLINK("https://gerandofalcoes.my.salesforce.com/0014P00003SGWPlQAP", "0014P00003SGWPlQAP")</f>
        <v>0014P00003SGWPlQAP</v>
      </c>
      <c r="B429" s="2" t="s">
        <v>311</v>
      </c>
      <c r="C429" s="2" t="s">
        <v>423</v>
      </c>
      <c r="D429" s="2" t="s">
        <v>2</v>
      </c>
      <c r="E429" s="2">
        <v>30</v>
      </c>
      <c r="F429" s="2">
        <v>0</v>
      </c>
      <c r="G429" s="2">
        <v>2</v>
      </c>
      <c r="H429" s="2">
        <v>30000</v>
      </c>
      <c r="I429" s="2">
        <v>120</v>
      </c>
      <c r="J429" s="2" t="s">
        <v>1671</v>
      </c>
      <c r="K429" s="2">
        <v>41</v>
      </c>
      <c r="L429" s="2">
        <v>15</v>
      </c>
      <c r="M429" s="2">
        <v>0</v>
      </c>
      <c r="N429" s="2">
        <v>6</v>
      </c>
      <c r="O429" s="2">
        <v>10</v>
      </c>
      <c r="P429" s="2">
        <v>10</v>
      </c>
      <c r="Q429" s="2" t="s">
        <v>312</v>
      </c>
      <c r="R429" s="2" t="s">
        <v>312</v>
      </c>
      <c r="S429" s="4">
        <v>44837</v>
      </c>
    </row>
    <row r="430" spans="1:19" ht="12.5" x14ac:dyDescent="0.25">
      <c r="A430" s="14" t="str">
        <f>HYPERLINK("https://gerandofalcoes.my.salesforce.com/0014P00003SGWPmQAP", "0014P00003SGWPmQAP")</f>
        <v>0014P00003SGWPmQAP</v>
      </c>
      <c r="B430" s="2" t="s">
        <v>315</v>
      </c>
      <c r="C430" s="2" t="s">
        <v>423</v>
      </c>
      <c r="D430" s="2" t="s">
        <v>2</v>
      </c>
      <c r="E430" s="2">
        <v>49</v>
      </c>
      <c r="F430" s="2">
        <v>2</v>
      </c>
      <c r="G430" s="2">
        <v>4</v>
      </c>
      <c r="H430" s="2">
        <v>75550</v>
      </c>
      <c r="I430" s="2">
        <v>239</v>
      </c>
      <c r="J430" s="2" t="s">
        <v>1779</v>
      </c>
      <c r="K430" s="2">
        <v>37</v>
      </c>
      <c r="L430" s="2">
        <v>0</v>
      </c>
      <c r="M430" s="2">
        <v>5</v>
      </c>
      <c r="N430" s="2">
        <v>10</v>
      </c>
      <c r="O430" s="2">
        <v>10</v>
      </c>
      <c r="P430" s="2">
        <v>12</v>
      </c>
      <c r="Q430" s="2" t="s">
        <v>316</v>
      </c>
      <c r="R430" s="2" t="s">
        <v>1370</v>
      </c>
      <c r="S430" s="4">
        <v>44837</v>
      </c>
    </row>
    <row r="431" spans="1:19" ht="12.5" x14ac:dyDescent="0.25">
      <c r="A431" s="14" t="str">
        <f>HYPERLINK("https://gerandofalcoes.my.salesforce.com/0014P00003SGWPnQAP", "0014P00003SGWPnQAP")</f>
        <v>0014P00003SGWPnQAP</v>
      </c>
      <c r="B431" s="2" t="s">
        <v>1745</v>
      </c>
      <c r="C431" s="2" t="s">
        <v>423</v>
      </c>
      <c r="D431" s="2" t="s">
        <v>2</v>
      </c>
      <c r="E431" s="2">
        <v>64</v>
      </c>
      <c r="F431" s="2">
        <v>20</v>
      </c>
      <c r="G431" s="2">
        <v>1</v>
      </c>
      <c r="H431" s="2">
        <v>1266000</v>
      </c>
      <c r="I431" s="2">
        <v>250</v>
      </c>
      <c r="J431" s="2" t="s">
        <v>1650</v>
      </c>
      <c r="K431" s="2">
        <v>73</v>
      </c>
      <c r="L431" s="2">
        <v>20</v>
      </c>
      <c r="M431" s="2">
        <v>12</v>
      </c>
      <c r="N431" s="2">
        <v>4</v>
      </c>
      <c r="O431" s="2">
        <v>25</v>
      </c>
      <c r="P431" s="2">
        <v>12</v>
      </c>
      <c r="Q431" s="2" t="s">
        <v>319</v>
      </c>
      <c r="R431" s="2" t="s">
        <v>1379</v>
      </c>
      <c r="S431" s="4">
        <v>44837</v>
      </c>
    </row>
    <row r="432" spans="1:19" ht="12.5" x14ac:dyDescent="0.25">
      <c r="A432" s="14" t="str">
        <f>HYPERLINK("https://gerandofalcoes.my.salesforce.com/0014P00003SGWPoQAP", "0014P00003SGWPoQAP")</f>
        <v>0014P00003SGWPoQAP</v>
      </c>
      <c r="B432" s="2" t="s">
        <v>1705</v>
      </c>
      <c r="C432" s="2" t="s">
        <v>423</v>
      </c>
      <c r="D432" s="2" t="s">
        <v>27</v>
      </c>
      <c r="E432" s="2">
        <v>78.08</v>
      </c>
      <c r="F432" s="2">
        <v>0</v>
      </c>
      <c r="G432" s="2">
        <v>2</v>
      </c>
      <c r="H432" s="2">
        <v>1000</v>
      </c>
      <c r="I432" s="2">
        <v>120</v>
      </c>
      <c r="J432" s="2" t="s">
        <v>1671</v>
      </c>
      <c r="K432" s="2">
        <v>46</v>
      </c>
      <c r="L432" s="2">
        <v>25</v>
      </c>
      <c r="M432" s="2">
        <v>0</v>
      </c>
      <c r="N432" s="2">
        <v>6</v>
      </c>
      <c r="O432" s="2">
        <v>5</v>
      </c>
      <c r="P432" s="2">
        <v>10</v>
      </c>
      <c r="Q432" s="2" t="s">
        <v>321</v>
      </c>
      <c r="R432" s="2" t="s">
        <v>1706</v>
      </c>
      <c r="S432" s="4">
        <v>44837</v>
      </c>
    </row>
    <row r="433" spans="1:19" ht="12.5" x14ac:dyDescent="0.25">
      <c r="A433" s="14" t="str">
        <f>HYPERLINK("https://gerandofalcoes.my.salesforce.com/0014P00003SGWPpQAP", "0014P00003SGWPpQAP")</f>
        <v>0014P00003SGWPpQAP</v>
      </c>
      <c r="B433" s="2" t="s">
        <v>1694</v>
      </c>
      <c r="C433" s="2" t="s">
        <v>423</v>
      </c>
      <c r="D433" s="2" t="s">
        <v>27</v>
      </c>
      <c r="E433" s="2">
        <v>74.349999999999994</v>
      </c>
      <c r="F433" s="2">
        <v>1</v>
      </c>
      <c r="G433" s="2">
        <v>5</v>
      </c>
      <c r="H433" s="2">
        <v>36000</v>
      </c>
      <c r="I433" s="2">
        <v>80</v>
      </c>
      <c r="J433" s="2" t="s">
        <v>1671</v>
      </c>
      <c r="K433" s="2">
        <v>55</v>
      </c>
      <c r="L433" s="2">
        <v>20</v>
      </c>
      <c r="M433" s="2">
        <v>5</v>
      </c>
      <c r="N433" s="2">
        <v>10</v>
      </c>
      <c r="O433" s="2">
        <v>10</v>
      </c>
      <c r="P433" s="2">
        <v>10</v>
      </c>
      <c r="Q433" s="2" t="s">
        <v>323</v>
      </c>
      <c r="R433" s="2" t="s">
        <v>1402</v>
      </c>
      <c r="S433" s="4">
        <v>44837</v>
      </c>
    </row>
    <row r="434" spans="1:19" ht="12.5" x14ac:dyDescent="0.25">
      <c r="A434" s="14" t="str">
        <f>HYPERLINK("https://gerandofalcoes.my.salesforce.com/0014X00002VKCqZQAX", "0014X00002VKCqZQAX")</f>
        <v>0014X00002VKCqZQAX</v>
      </c>
      <c r="B434" s="2" t="s">
        <v>2315</v>
      </c>
      <c r="C434" s="2" t="s">
        <v>423</v>
      </c>
      <c r="D434" s="2" t="s">
        <v>2</v>
      </c>
      <c r="E434" s="2">
        <v>38</v>
      </c>
      <c r="F434" s="2">
        <v>0</v>
      </c>
      <c r="G434" s="2">
        <v>25</v>
      </c>
      <c r="H434" s="2">
        <v>31680</v>
      </c>
      <c r="I434" s="2">
        <v>30</v>
      </c>
      <c r="J434" s="2" t="s">
        <v>1671</v>
      </c>
      <c r="K434" s="2">
        <v>40</v>
      </c>
      <c r="L434" s="2">
        <v>15</v>
      </c>
      <c r="M434" s="2">
        <v>0</v>
      </c>
      <c r="N434" s="2">
        <v>10</v>
      </c>
      <c r="O434" s="2">
        <v>10</v>
      </c>
      <c r="P434" s="2">
        <v>5</v>
      </c>
      <c r="Q434" s="2" t="s">
        <v>2316</v>
      </c>
      <c r="R434" s="2" t="s">
        <v>2316</v>
      </c>
      <c r="S434" s="4">
        <v>44837</v>
      </c>
    </row>
    <row r="435" spans="1:19" ht="12.5" x14ac:dyDescent="0.25">
      <c r="A435" s="14" t="str">
        <f>HYPERLINK("https://gerandofalcoes.my.salesforce.com/0014X00002VKCuvQAH", "0014X00002VKCuvQAH")</f>
        <v>0014X00002VKCuvQAH</v>
      </c>
      <c r="B435" s="2" t="s">
        <v>1924</v>
      </c>
      <c r="C435" s="2" t="s">
        <v>423</v>
      </c>
      <c r="D435" s="2" t="s">
        <v>2</v>
      </c>
      <c r="E435" s="2">
        <v>42</v>
      </c>
      <c r="F435" s="2">
        <v>44</v>
      </c>
      <c r="G435" s="2">
        <v>6</v>
      </c>
      <c r="H435" s="2">
        <v>900000</v>
      </c>
      <c r="I435" s="2">
        <v>380</v>
      </c>
      <c r="J435" s="2" t="s">
        <v>1654</v>
      </c>
      <c r="K435" s="2">
        <v>80</v>
      </c>
      <c r="L435" s="2">
        <v>15</v>
      </c>
      <c r="M435" s="2">
        <v>15</v>
      </c>
      <c r="N435" s="2">
        <v>10</v>
      </c>
      <c r="O435" s="2">
        <v>25</v>
      </c>
      <c r="P435" s="2">
        <v>15</v>
      </c>
      <c r="Q435" s="2" t="s">
        <v>1925</v>
      </c>
      <c r="R435" s="2" t="s">
        <v>1926</v>
      </c>
      <c r="S435" s="4">
        <v>44837</v>
      </c>
    </row>
    <row r="436" spans="1:19" ht="12.5" x14ac:dyDescent="0.25">
      <c r="A436" s="14" t="str">
        <f>HYPERLINK("https://gerandofalcoes.my.salesforce.com/0014X00002VKCpIQAX", "0014X00002VKCpIQAX")</f>
        <v>0014X00002VKCpIQAX</v>
      </c>
      <c r="B436" s="2" t="s">
        <v>2523</v>
      </c>
      <c r="C436" s="2" t="s">
        <v>423</v>
      </c>
      <c r="D436" s="2" t="s">
        <v>2</v>
      </c>
      <c r="E436" s="2">
        <v>21</v>
      </c>
      <c r="F436" s="2">
        <v>0</v>
      </c>
      <c r="G436" s="2">
        <v>4</v>
      </c>
      <c r="H436" s="2">
        <v>300</v>
      </c>
      <c r="I436" s="2">
        <v>50</v>
      </c>
      <c r="J436" s="2" t="s">
        <v>1779</v>
      </c>
      <c r="K436" s="2">
        <v>30</v>
      </c>
      <c r="L436" s="2">
        <v>10</v>
      </c>
      <c r="M436" s="2">
        <v>0</v>
      </c>
      <c r="N436" s="2">
        <v>10</v>
      </c>
      <c r="O436" s="2">
        <v>5</v>
      </c>
      <c r="P436" s="2">
        <v>5</v>
      </c>
      <c r="Q436" s="2" t="s">
        <v>2524</v>
      </c>
      <c r="R436" s="2" t="s">
        <v>2525</v>
      </c>
      <c r="S436" s="4">
        <v>44837</v>
      </c>
    </row>
    <row r="437" spans="1:19" ht="12.5" x14ac:dyDescent="0.25">
      <c r="A437" s="14" t="str">
        <f>HYPERLINK("https://gerandofalcoes.my.salesforce.com/0014X00002VKCqHQAX", "0014X00002VKCqHQAX")</f>
        <v>0014X00002VKCqHQAX</v>
      </c>
      <c r="B437" s="2" t="s">
        <v>1829</v>
      </c>
      <c r="C437" s="2" t="s">
        <v>423</v>
      </c>
      <c r="D437" s="2" t="s">
        <v>2</v>
      </c>
      <c r="E437" s="2">
        <v>50</v>
      </c>
      <c r="F437" s="2">
        <v>0</v>
      </c>
      <c r="G437" s="2">
        <v>5</v>
      </c>
      <c r="H437" s="2">
        <v>521000</v>
      </c>
      <c r="I437" s="2">
        <v>155</v>
      </c>
      <c r="J437" s="2" t="s">
        <v>1671</v>
      </c>
      <c r="K437" s="2">
        <v>62</v>
      </c>
      <c r="L437" s="2">
        <v>20</v>
      </c>
      <c r="M437" s="2">
        <v>0</v>
      </c>
      <c r="N437" s="2">
        <v>10</v>
      </c>
      <c r="O437" s="2">
        <v>20</v>
      </c>
      <c r="P437" s="2">
        <v>12</v>
      </c>
      <c r="Q437" s="2" t="s">
        <v>1830</v>
      </c>
      <c r="R437" s="2" t="s">
        <v>1831</v>
      </c>
      <c r="S437" s="4">
        <v>44837</v>
      </c>
    </row>
    <row r="438" spans="1:19" ht="12.5" x14ac:dyDescent="0.25">
      <c r="A438" s="14" t="str">
        <f>HYPERLINK("https://gerandofalcoes.my.salesforce.com/0014X00002VKCuBQAX", "0014X00002VKCuBQAX")</f>
        <v>0014X00002VKCuBQAX</v>
      </c>
      <c r="B438" s="2" t="s">
        <v>2038</v>
      </c>
      <c r="C438" s="2" t="s">
        <v>423</v>
      </c>
      <c r="D438" s="2" t="s">
        <v>2</v>
      </c>
      <c r="E438" s="2">
        <v>37</v>
      </c>
      <c r="F438" s="2">
        <v>0</v>
      </c>
      <c r="G438" s="2">
        <v>2</v>
      </c>
      <c r="H438" s="2">
        <v>10000</v>
      </c>
      <c r="I438" s="2">
        <v>102</v>
      </c>
      <c r="J438" s="2" t="s">
        <v>1779</v>
      </c>
      <c r="K438" s="2">
        <v>36</v>
      </c>
      <c r="L438" s="2">
        <v>15</v>
      </c>
      <c r="M438" s="2">
        <v>0</v>
      </c>
      <c r="N438" s="2">
        <v>6</v>
      </c>
      <c r="O438" s="2">
        <v>5</v>
      </c>
      <c r="P438" s="2">
        <v>10</v>
      </c>
      <c r="Q438" s="2" t="s">
        <v>2039</v>
      </c>
      <c r="R438" s="2" t="s">
        <v>2039</v>
      </c>
      <c r="S438" s="4">
        <v>44837</v>
      </c>
    </row>
    <row r="439" spans="1:19" ht="12.5" x14ac:dyDescent="0.25">
      <c r="A439" s="14" t="str">
        <f>HYPERLINK("https://gerandofalcoes.my.salesforce.com/0014X00002VKCuKQAX", "0014X00002VKCuKQAX")</f>
        <v>0014X00002VKCuKQAX</v>
      </c>
      <c r="B439" s="2" t="s">
        <v>1879</v>
      </c>
      <c r="C439" s="2" t="s">
        <v>423</v>
      </c>
      <c r="D439" s="2" t="s">
        <v>2</v>
      </c>
      <c r="E439" s="2">
        <v>40</v>
      </c>
      <c r="F439" s="2">
        <v>2</v>
      </c>
      <c r="G439" s="2">
        <v>1</v>
      </c>
      <c r="H439" s="2">
        <v>50000</v>
      </c>
      <c r="I439" s="2">
        <v>20</v>
      </c>
      <c r="J439" s="2" t="s">
        <v>1779</v>
      </c>
      <c r="K439" s="2">
        <v>39</v>
      </c>
      <c r="L439" s="2">
        <v>15</v>
      </c>
      <c r="M439" s="2">
        <v>5</v>
      </c>
      <c r="N439" s="2">
        <v>4</v>
      </c>
      <c r="O439" s="2">
        <v>10</v>
      </c>
      <c r="P439" s="2">
        <v>5</v>
      </c>
      <c r="Q439" s="2" t="s">
        <v>1880</v>
      </c>
      <c r="R439" s="2" t="s">
        <v>1880</v>
      </c>
      <c r="S439" s="4">
        <v>44837</v>
      </c>
    </row>
    <row r="440" spans="1:19" ht="12.5" x14ac:dyDescent="0.25">
      <c r="A440" s="14" t="str">
        <f>HYPERLINK("https://gerandofalcoes.my.salesforce.com/0014X00002VKCptQAH", "0014X00002VKCptQAH")</f>
        <v>0014X00002VKCptQAH</v>
      </c>
      <c r="B440" s="2" t="s">
        <v>2230</v>
      </c>
      <c r="C440" s="2" t="s">
        <v>423</v>
      </c>
      <c r="D440" s="2" t="s">
        <v>2</v>
      </c>
      <c r="E440" s="2">
        <v>40</v>
      </c>
      <c r="F440" s="2">
        <v>8</v>
      </c>
      <c r="G440" s="2">
        <v>0</v>
      </c>
      <c r="H440" s="2">
        <v>0</v>
      </c>
      <c r="I440" s="2">
        <v>44</v>
      </c>
      <c r="J440" s="2" t="s">
        <v>1779</v>
      </c>
      <c r="K440" s="2">
        <v>30</v>
      </c>
      <c r="L440" s="2">
        <v>15</v>
      </c>
      <c r="M440" s="2">
        <v>10</v>
      </c>
      <c r="N440" s="2">
        <v>0</v>
      </c>
      <c r="O440" s="2">
        <v>0</v>
      </c>
      <c r="P440" s="2">
        <v>5</v>
      </c>
      <c r="Q440" s="2" t="s">
        <v>2231</v>
      </c>
      <c r="R440" s="2" t="s">
        <v>2232</v>
      </c>
      <c r="S440" s="4">
        <v>44837</v>
      </c>
    </row>
    <row r="441" spans="1:19" ht="12.5" x14ac:dyDescent="0.25">
      <c r="A441" s="14" t="str">
        <f>HYPERLINK("https://gerandofalcoes.my.salesforce.com/0014X00002VKCowQAH", "0014X00002VKCowQAH")</f>
        <v>0014X00002VKCowQAH</v>
      </c>
      <c r="B441" s="2" t="s">
        <v>2549</v>
      </c>
      <c r="C441" s="2" t="s">
        <v>423</v>
      </c>
      <c r="D441" s="2" t="s">
        <v>2</v>
      </c>
      <c r="E441" s="2">
        <v>27</v>
      </c>
      <c r="F441" s="2">
        <v>0</v>
      </c>
      <c r="G441" s="2">
        <v>0</v>
      </c>
      <c r="H441" s="2">
        <v>0</v>
      </c>
      <c r="I441" s="2">
        <v>100</v>
      </c>
      <c r="J441" s="2" t="s">
        <v>1779</v>
      </c>
      <c r="K441" s="2">
        <v>25</v>
      </c>
      <c r="L441" s="2">
        <v>15</v>
      </c>
      <c r="M441" s="2">
        <v>0</v>
      </c>
      <c r="N441" s="2">
        <v>0</v>
      </c>
      <c r="O441" s="2">
        <v>0</v>
      </c>
      <c r="P441" s="2">
        <v>10</v>
      </c>
      <c r="Q441" s="2" t="s">
        <v>2550</v>
      </c>
      <c r="R441" s="2" t="s">
        <v>2550</v>
      </c>
      <c r="S441" s="4">
        <v>44837</v>
      </c>
    </row>
    <row r="442" spans="1:19" ht="12.5" x14ac:dyDescent="0.25">
      <c r="A442" s="14" t="str">
        <f>HYPERLINK("https://gerandofalcoes.my.salesforce.com/0014X00002VKCsYQAX", "0014X00002VKCsYQAX")</f>
        <v>0014X00002VKCsYQAX</v>
      </c>
      <c r="B442" s="2" t="s">
        <v>2413</v>
      </c>
      <c r="C442" s="2" t="s">
        <v>423</v>
      </c>
      <c r="D442" s="2" t="s">
        <v>2</v>
      </c>
      <c r="E442" s="2">
        <v>25</v>
      </c>
      <c r="F442" s="2">
        <v>0</v>
      </c>
      <c r="G442" s="2">
        <v>1</v>
      </c>
      <c r="H442" s="2">
        <v>0</v>
      </c>
      <c r="I442" s="2">
        <v>64</v>
      </c>
      <c r="J442" s="2" t="s">
        <v>1779</v>
      </c>
      <c r="K442" s="2">
        <v>24</v>
      </c>
      <c r="L442" s="2">
        <v>15</v>
      </c>
      <c r="M442" s="2">
        <v>0</v>
      </c>
      <c r="N442" s="2">
        <v>4</v>
      </c>
      <c r="O442" s="2">
        <v>0</v>
      </c>
      <c r="P442" s="2">
        <v>5</v>
      </c>
      <c r="Q442" s="2" t="s">
        <v>2414</v>
      </c>
      <c r="R442" s="2" t="s">
        <v>2414</v>
      </c>
      <c r="S442" s="4">
        <v>44837</v>
      </c>
    </row>
    <row r="443" spans="1:19" ht="12.5" x14ac:dyDescent="0.25">
      <c r="A443" s="14" t="str">
        <f>HYPERLINK("https://gerandofalcoes.my.salesforce.com/0014X00002VKCusQAH", "0014X00002VKCusQAH")</f>
        <v>0014X00002VKCusQAH</v>
      </c>
      <c r="B443" s="2" t="s">
        <v>1946</v>
      </c>
      <c r="C443" s="2" t="s">
        <v>423</v>
      </c>
      <c r="D443" s="2" t="s">
        <v>2</v>
      </c>
      <c r="E443" s="2">
        <v>41</v>
      </c>
      <c r="F443" s="2">
        <v>0</v>
      </c>
      <c r="G443" s="2">
        <v>2</v>
      </c>
      <c r="H443" s="2">
        <v>3000</v>
      </c>
      <c r="I443" s="2">
        <v>262</v>
      </c>
      <c r="J443" s="2" t="s">
        <v>1779</v>
      </c>
      <c r="K443" s="2">
        <v>38</v>
      </c>
      <c r="L443" s="2">
        <v>15</v>
      </c>
      <c r="M443" s="2">
        <v>0</v>
      </c>
      <c r="N443" s="2">
        <v>6</v>
      </c>
      <c r="O443" s="2">
        <v>5</v>
      </c>
      <c r="P443" s="2">
        <v>12</v>
      </c>
      <c r="Q443" s="2" t="s">
        <v>1947</v>
      </c>
      <c r="R443" s="2" t="s">
        <v>1948</v>
      </c>
      <c r="S443" s="4">
        <v>44837</v>
      </c>
    </row>
    <row r="444" spans="1:19" ht="12.5" x14ac:dyDescent="0.25">
      <c r="A444" s="14" t="str">
        <f>HYPERLINK("https://gerandofalcoes.my.salesforce.com/0014X00002VKCpnQAH", "0014X00002VKCpnQAH")</f>
        <v>0014X00002VKCpnQAH</v>
      </c>
      <c r="B444" s="2" t="s">
        <v>2965</v>
      </c>
      <c r="C444" s="2" t="s">
        <v>423</v>
      </c>
      <c r="D444" s="2" t="s">
        <v>2</v>
      </c>
      <c r="E444" s="2">
        <v>13</v>
      </c>
      <c r="F444" s="2">
        <v>0</v>
      </c>
      <c r="G444" s="2">
        <v>1</v>
      </c>
      <c r="H444" s="2">
        <v>10000</v>
      </c>
      <c r="I444" s="2">
        <v>0</v>
      </c>
      <c r="J444" s="2" t="s">
        <v>1779</v>
      </c>
      <c r="K444" s="2">
        <v>19</v>
      </c>
      <c r="L444" s="2">
        <v>10</v>
      </c>
      <c r="M444" s="2">
        <v>0</v>
      </c>
      <c r="N444" s="2">
        <v>4</v>
      </c>
      <c r="O444" s="2">
        <v>5</v>
      </c>
      <c r="P444" s="2">
        <v>0</v>
      </c>
      <c r="Q444" s="2" t="s">
        <v>2966</v>
      </c>
      <c r="R444" s="2" t="s">
        <v>2966</v>
      </c>
      <c r="S444" s="4">
        <v>44837</v>
      </c>
    </row>
    <row r="445" spans="1:19" ht="12.5" x14ac:dyDescent="0.25">
      <c r="A445" s="14" t="str">
        <f>HYPERLINK("https://gerandofalcoes.my.salesforce.com/0014X00002VKCqQQAX", "0014X00002VKCqQQAX")</f>
        <v>0014X00002VKCqQQAX</v>
      </c>
      <c r="B445" s="2" t="s">
        <v>2952</v>
      </c>
      <c r="C445" s="2" t="s">
        <v>423</v>
      </c>
      <c r="D445" s="2" t="s">
        <v>2</v>
      </c>
      <c r="E445" s="2">
        <v>17</v>
      </c>
      <c r="F445" s="2">
        <v>0</v>
      </c>
      <c r="G445" s="2">
        <v>2</v>
      </c>
      <c r="H445" s="2">
        <v>0</v>
      </c>
      <c r="I445" s="2">
        <v>40</v>
      </c>
      <c r="J445" s="2" t="s">
        <v>1779</v>
      </c>
      <c r="K445" s="2">
        <v>21</v>
      </c>
      <c r="L445" s="2">
        <v>10</v>
      </c>
      <c r="M445" s="2">
        <v>0</v>
      </c>
      <c r="N445" s="2">
        <v>6</v>
      </c>
      <c r="O445" s="2">
        <v>0</v>
      </c>
      <c r="P445" s="2">
        <v>5</v>
      </c>
      <c r="Q445" s="2" t="s">
        <v>2953</v>
      </c>
      <c r="R445" s="2" t="s">
        <v>2954</v>
      </c>
      <c r="S445" s="4">
        <v>44837</v>
      </c>
    </row>
    <row r="446" spans="1:19" ht="12.5" x14ac:dyDescent="0.25">
      <c r="A446" s="14" t="str">
        <f>HYPERLINK("https://gerandofalcoes.my.salesforce.com/0014X00002VKCqfQAH", "0014X00002VKCqfQAH")</f>
        <v>0014X00002VKCqfQAH</v>
      </c>
      <c r="B446" s="2" t="s">
        <v>1998</v>
      </c>
      <c r="C446" s="2" t="s">
        <v>1800</v>
      </c>
      <c r="D446" s="2" t="s">
        <v>2</v>
      </c>
      <c r="E446" s="2">
        <v>39</v>
      </c>
      <c r="F446" s="2">
        <v>0</v>
      </c>
      <c r="G446" s="2">
        <v>2</v>
      </c>
      <c r="H446" s="2">
        <v>14000</v>
      </c>
      <c r="I446" s="2">
        <v>0</v>
      </c>
      <c r="J446" s="2" t="s">
        <v>1779</v>
      </c>
      <c r="K446" s="2">
        <v>26</v>
      </c>
      <c r="L446" s="2">
        <v>15</v>
      </c>
      <c r="M446" s="2">
        <v>0</v>
      </c>
      <c r="N446" s="2">
        <v>6</v>
      </c>
      <c r="O446" s="2">
        <v>5</v>
      </c>
      <c r="P446" s="2">
        <v>0</v>
      </c>
      <c r="Q446" s="2" t="s">
        <v>1999</v>
      </c>
      <c r="R446" s="2" t="s">
        <v>2000</v>
      </c>
      <c r="S446" s="4">
        <v>44837</v>
      </c>
    </row>
    <row r="447" spans="1:19" ht="12.5" x14ac:dyDescent="0.25">
      <c r="A447" s="14" t="str">
        <f>HYPERLINK("https://gerandofalcoes.my.salesforce.com/0014X00002VKCsWQAX", "0014X00002VKCsWQAX")</f>
        <v>0014X00002VKCsWQAX</v>
      </c>
      <c r="B447" s="2" t="s">
        <v>2211</v>
      </c>
      <c r="C447" s="2" t="s">
        <v>423</v>
      </c>
      <c r="D447" s="2" t="s">
        <v>2</v>
      </c>
      <c r="E447" s="2">
        <v>32</v>
      </c>
      <c r="F447" s="2">
        <v>3</v>
      </c>
      <c r="G447" s="2">
        <v>2</v>
      </c>
      <c r="H447" s="2">
        <v>1000</v>
      </c>
      <c r="I447" s="2">
        <v>1200</v>
      </c>
      <c r="J447" s="2" t="s">
        <v>1671</v>
      </c>
      <c r="K447" s="2">
        <v>51</v>
      </c>
      <c r="L447" s="2">
        <v>15</v>
      </c>
      <c r="M447" s="2">
        <v>5</v>
      </c>
      <c r="N447" s="2">
        <v>6</v>
      </c>
      <c r="O447" s="2">
        <v>5</v>
      </c>
      <c r="P447" s="2">
        <v>20</v>
      </c>
      <c r="Q447" s="2" t="s">
        <v>2212</v>
      </c>
      <c r="R447" s="2" t="s">
        <v>2213</v>
      </c>
      <c r="S447" s="4">
        <v>44837</v>
      </c>
    </row>
    <row r="448" spans="1:19" ht="12.5" x14ac:dyDescent="0.25">
      <c r="A448" s="14" t="str">
        <f>HYPERLINK("https://gerandofalcoes.my.salesforce.com/0014X00002VKCrNQAX", "0014X00002VKCrNQAX")</f>
        <v>0014X00002VKCrNQAX</v>
      </c>
      <c r="B448" s="2" t="s">
        <v>2035</v>
      </c>
      <c r="C448" s="2" t="s">
        <v>423</v>
      </c>
      <c r="D448" s="2" t="s">
        <v>2</v>
      </c>
      <c r="E448" s="2">
        <v>37</v>
      </c>
      <c r="F448" s="2">
        <v>10</v>
      </c>
      <c r="G448" s="2">
        <v>2</v>
      </c>
      <c r="H448" s="2">
        <v>20000</v>
      </c>
      <c r="I448" s="2">
        <v>130</v>
      </c>
      <c r="J448" s="2" t="s">
        <v>1671</v>
      </c>
      <c r="K448" s="2">
        <v>46</v>
      </c>
      <c r="L448" s="2">
        <v>15</v>
      </c>
      <c r="M448" s="2">
        <v>10</v>
      </c>
      <c r="N448" s="2">
        <v>6</v>
      </c>
      <c r="O448" s="2">
        <v>5</v>
      </c>
      <c r="P448" s="2">
        <v>10</v>
      </c>
      <c r="Q448" s="2" t="s">
        <v>2036</v>
      </c>
      <c r="R448" s="2" t="s">
        <v>2037</v>
      </c>
      <c r="S448" s="4">
        <v>44837</v>
      </c>
    </row>
    <row r="449" spans="1:19" ht="12.5" x14ac:dyDescent="0.25">
      <c r="A449" s="14" t="str">
        <f>HYPERLINK("https://gerandofalcoes.my.salesforce.com/0014X00002VKCqWQAX", "0014X00002VKCqWQAX")</f>
        <v>0014X00002VKCqWQAX</v>
      </c>
      <c r="B449" s="2" t="s">
        <v>2114</v>
      </c>
      <c r="C449" s="2" t="s">
        <v>1800</v>
      </c>
      <c r="D449" s="2" t="s">
        <v>2</v>
      </c>
      <c r="E449" s="2">
        <v>35</v>
      </c>
      <c r="F449" s="2">
        <v>2</v>
      </c>
      <c r="G449" s="2">
        <v>3</v>
      </c>
      <c r="H449" s="2">
        <v>11579</v>
      </c>
      <c r="I449" s="2">
        <v>20</v>
      </c>
      <c r="J449" s="2" t="s">
        <v>1779</v>
      </c>
      <c r="K449" s="2">
        <v>38</v>
      </c>
      <c r="L449" s="2">
        <v>15</v>
      </c>
      <c r="M449" s="2">
        <v>5</v>
      </c>
      <c r="N449" s="2">
        <v>8</v>
      </c>
      <c r="O449" s="2">
        <v>5</v>
      </c>
      <c r="P449" s="2">
        <v>5</v>
      </c>
      <c r="Q449" s="2" t="s">
        <v>2115</v>
      </c>
      <c r="R449" s="2" t="s">
        <v>2116</v>
      </c>
      <c r="S449" s="4">
        <v>44837</v>
      </c>
    </row>
    <row r="450" spans="1:19" ht="12.5" x14ac:dyDescent="0.25">
      <c r="A450" s="14" t="str">
        <f>HYPERLINK("https://gerandofalcoes.my.salesforce.com/0014X00002VKCqPQAX", "0014X00002VKCqPQAX")</f>
        <v>0014X00002VKCqPQAX</v>
      </c>
      <c r="B450" s="2" t="s">
        <v>2122</v>
      </c>
      <c r="C450" s="2" t="s">
        <v>423</v>
      </c>
      <c r="D450" s="2" t="s">
        <v>2</v>
      </c>
      <c r="E450" s="2">
        <v>34</v>
      </c>
      <c r="F450" s="2">
        <v>5</v>
      </c>
      <c r="G450" s="2">
        <v>1</v>
      </c>
      <c r="H450" s="2">
        <v>0</v>
      </c>
      <c r="I450" s="2">
        <v>186</v>
      </c>
      <c r="J450" s="2" t="s">
        <v>1779</v>
      </c>
      <c r="K450" s="2">
        <v>36</v>
      </c>
      <c r="L450" s="2">
        <v>15</v>
      </c>
      <c r="M450" s="2">
        <v>5</v>
      </c>
      <c r="N450" s="2">
        <v>4</v>
      </c>
      <c r="O450" s="2">
        <v>0</v>
      </c>
      <c r="P450" s="2">
        <v>12</v>
      </c>
      <c r="Q450" s="2" t="s">
        <v>2123</v>
      </c>
      <c r="R450" s="2" t="s">
        <v>2124</v>
      </c>
      <c r="S450" s="4">
        <v>44837</v>
      </c>
    </row>
    <row r="451" spans="1:19" ht="12.5" x14ac:dyDescent="0.25">
      <c r="A451" s="14" t="str">
        <f>HYPERLINK("https://gerandofalcoes.my.salesforce.com/0014X00002VKCqkQAH", "0014X00002VKCqkQAH")</f>
        <v>0014X00002VKCqkQAH</v>
      </c>
      <c r="B451" s="2" t="s">
        <v>2847</v>
      </c>
      <c r="C451" s="2" t="s">
        <v>423</v>
      </c>
      <c r="D451" s="2" t="s">
        <v>2</v>
      </c>
      <c r="E451" s="2">
        <v>41</v>
      </c>
      <c r="F451" s="2">
        <v>0</v>
      </c>
      <c r="G451" s="2">
        <v>2</v>
      </c>
      <c r="H451" s="2">
        <v>12000</v>
      </c>
      <c r="I451" s="2">
        <v>500</v>
      </c>
      <c r="J451" s="2" t="s">
        <v>1671</v>
      </c>
      <c r="K451" s="2">
        <v>46</v>
      </c>
      <c r="L451" s="2">
        <v>15</v>
      </c>
      <c r="M451" s="2">
        <v>0</v>
      </c>
      <c r="N451" s="2">
        <v>6</v>
      </c>
      <c r="O451" s="2">
        <v>5</v>
      </c>
      <c r="P451" s="2">
        <v>20</v>
      </c>
      <c r="Q451" s="2" t="s">
        <v>2848</v>
      </c>
      <c r="R451" s="2" t="s">
        <v>2849</v>
      </c>
      <c r="S451" s="4">
        <v>44837</v>
      </c>
    </row>
    <row r="452" spans="1:19" ht="12.5" x14ac:dyDescent="0.25">
      <c r="A452" s="14" t="str">
        <f>HYPERLINK("https://gerandofalcoes.my.salesforce.com/0014X00002VKCt2QAH", "0014X00002VKCt2QAH")</f>
        <v>0014X00002VKCt2QAH</v>
      </c>
      <c r="B452" s="2" t="s">
        <v>1792</v>
      </c>
      <c r="C452" s="2" t="s">
        <v>423</v>
      </c>
      <c r="D452" s="2" t="s">
        <v>2</v>
      </c>
      <c r="E452" s="2">
        <v>71</v>
      </c>
      <c r="F452" s="2">
        <v>4</v>
      </c>
      <c r="G452" s="2">
        <v>4</v>
      </c>
      <c r="H452" s="2">
        <v>143565</v>
      </c>
      <c r="I452" s="2">
        <v>240</v>
      </c>
      <c r="J452" s="2" t="s">
        <v>1671</v>
      </c>
      <c r="K452" s="2">
        <v>62</v>
      </c>
      <c r="L452" s="2">
        <v>20</v>
      </c>
      <c r="M452" s="2">
        <v>5</v>
      </c>
      <c r="N452" s="2">
        <v>10</v>
      </c>
      <c r="O452" s="2">
        <v>15</v>
      </c>
      <c r="P452" s="2">
        <v>12</v>
      </c>
      <c r="Q452" s="2" t="s">
        <v>1793</v>
      </c>
      <c r="R452" s="2" t="s">
        <v>1794</v>
      </c>
      <c r="S452" s="4">
        <v>44837</v>
      </c>
    </row>
    <row r="453" spans="1:19" ht="12.5" x14ac:dyDescent="0.25">
      <c r="A453" s="14" t="str">
        <f>HYPERLINK("https://gerandofalcoes.my.salesforce.com/0014X00002VKCt3QAH", "0014X00002VKCt3QAH")</f>
        <v>0014X00002VKCt3QAH</v>
      </c>
      <c r="B453" s="2" t="s">
        <v>2706</v>
      </c>
      <c r="C453" s="2" t="s">
        <v>423</v>
      </c>
      <c r="D453" s="2" t="s">
        <v>2</v>
      </c>
      <c r="E453" s="2">
        <v>21</v>
      </c>
      <c r="F453" s="2">
        <v>0</v>
      </c>
      <c r="G453" s="2">
        <v>0</v>
      </c>
      <c r="H453" s="2">
        <v>0</v>
      </c>
      <c r="I453" s="2">
        <v>100</v>
      </c>
      <c r="J453" s="2" t="s">
        <v>1779</v>
      </c>
      <c r="K453" s="2">
        <v>20</v>
      </c>
      <c r="L453" s="2">
        <v>10</v>
      </c>
      <c r="M453" s="2">
        <v>0</v>
      </c>
      <c r="N453" s="2">
        <v>0</v>
      </c>
      <c r="O453" s="2">
        <v>0</v>
      </c>
      <c r="P453" s="2">
        <v>10</v>
      </c>
      <c r="Q453" s="2" t="s">
        <v>2707</v>
      </c>
      <c r="R453" s="2" t="s">
        <v>2708</v>
      </c>
      <c r="S453" s="4">
        <v>44837</v>
      </c>
    </row>
    <row r="454" spans="1:19" ht="12.5" x14ac:dyDescent="0.25">
      <c r="A454" s="14" t="str">
        <f>HYPERLINK("https://gerandofalcoes.my.salesforce.com/0014P00003YSp7ZQAT", "0014P00003YSp7ZQAT")</f>
        <v>0014P00003YSp7ZQAT</v>
      </c>
      <c r="B454" s="2" t="s">
        <v>2136</v>
      </c>
      <c r="C454" s="2" t="s">
        <v>423</v>
      </c>
      <c r="D454" s="2" t="s">
        <v>2</v>
      </c>
      <c r="E454" s="2">
        <v>34</v>
      </c>
      <c r="F454" s="2">
        <v>0</v>
      </c>
      <c r="G454" s="2">
        <v>2</v>
      </c>
      <c r="H454" s="2">
        <v>50000</v>
      </c>
      <c r="I454" s="2">
        <v>210</v>
      </c>
      <c r="J454" s="2" t="s">
        <v>1671</v>
      </c>
      <c r="K454" s="2">
        <v>43</v>
      </c>
      <c r="L454" s="2">
        <v>15</v>
      </c>
      <c r="M454" s="2">
        <v>0</v>
      </c>
      <c r="N454" s="2">
        <v>6</v>
      </c>
      <c r="O454" s="2">
        <v>10</v>
      </c>
      <c r="P454" s="2">
        <v>12</v>
      </c>
      <c r="Q454" s="2" t="s">
        <v>2137</v>
      </c>
      <c r="R454" s="2" t="s">
        <v>2138</v>
      </c>
      <c r="S454" s="4">
        <v>44837</v>
      </c>
    </row>
    <row r="455" spans="1:19" ht="12.5" x14ac:dyDescent="0.25">
      <c r="A455" s="14" t="str">
        <f>HYPERLINK("https://gerandofalcoes.my.salesforce.com/0014P00003YSp7aQAD", "0014P00003YSp7aQAD")</f>
        <v>0014P00003YSp7aQAD</v>
      </c>
      <c r="B455" s="2" t="s">
        <v>2922</v>
      </c>
      <c r="C455" s="2" t="s">
        <v>423</v>
      </c>
      <c r="D455" s="2" t="s">
        <v>2</v>
      </c>
      <c r="E455" s="2">
        <v>14</v>
      </c>
      <c r="F455" s="2">
        <v>8</v>
      </c>
      <c r="G455" s="2">
        <v>0</v>
      </c>
      <c r="H455" s="2">
        <v>5000</v>
      </c>
      <c r="I455" s="2">
        <v>30</v>
      </c>
      <c r="J455" s="2" t="s">
        <v>1779</v>
      </c>
      <c r="K455" s="2">
        <v>30</v>
      </c>
      <c r="L455" s="2">
        <v>10</v>
      </c>
      <c r="M455" s="2">
        <v>10</v>
      </c>
      <c r="N455" s="2">
        <v>0</v>
      </c>
      <c r="O455" s="2">
        <v>5</v>
      </c>
      <c r="P455" s="2">
        <v>5</v>
      </c>
      <c r="Q455" s="2" t="s">
        <v>2923</v>
      </c>
      <c r="R455" s="2" t="s">
        <v>2924</v>
      </c>
      <c r="S455" s="4">
        <v>44837</v>
      </c>
    </row>
    <row r="456" spans="1:19" ht="12.5" x14ac:dyDescent="0.25">
      <c r="A456" s="14" t="str">
        <f>HYPERLINK("https://gerandofalcoes.my.salesforce.com/0014P00003YSp7bQAD", "0014P00003YSp7bQAD")</f>
        <v>0014P00003YSp7bQAD</v>
      </c>
      <c r="B456" s="2" t="s">
        <v>2169</v>
      </c>
      <c r="C456" s="2" t="s">
        <v>1684</v>
      </c>
      <c r="D456" s="2" t="s">
        <v>2</v>
      </c>
      <c r="E456" s="2">
        <v>33</v>
      </c>
      <c r="F456" s="2">
        <v>40</v>
      </c>
      <c r="G456" s="2">
        <v>2</v>
      </c>
      <c r="H456" s="2">
        <v>50000</v>
      </c>
      <c r="I456" s="2">
        <v>150</v>
      </c>
      <c r="J456" s="2" t="s">
        <v>1671</v>
      </c>
      <c r="K456" s="2">
        <v>58</v>
      </c>
      <c r="L456" s="2">
        <v>15</v>
      </c>
      <c r="M456" s="2">
        <v>15</v>
      </c>
      <c r="N456" s="2">
        <v>6</v>
      </c>
      <c r="O456" s="2">
        <v>10</v>
      </c>
      <c r="P456" s="2">
        <v>12</v>
      </c>
      <c r="Q456" s="2" t="s">
        <v>2170</v>
      </c>
      <c r="R456" s="2" t="s">
        <v>2171</v>
      </c>
      <c r="S456" s="4">
        <v>44837</v>
      </c>
    </row>
    <row r="457" spans="1:19" ht="12.5" x14ac:dyDescent="0.25">
      <c r="A457" s="14" t="str">
        <f>HYPERLINK("https://gerandofalcoes.my.salesforce.com/0014P00003YSp7dQAD", "0014P00003YSp7dQAD")</f>
        <v>0014P00003YSp7dQAD</v>
      </c>
      <c r="B457" s="2" t="s">
        <v>1855</v>
      </c>
      <c r="C457" s="2" t="s">
        <v>423</v>
      </c>
      <c r="D457" s="2" t="s">
        <v>2</v>
      </c>
      <c r="E457" s="2">
        <v>34</v>
      </c>
      <c r="F457" s="2">
        <v>6</v>
      </c>
      <c r="G457" s="2">
        <v>5</v>
      </c>
      <c r="H457" s="2">
        <v>42178400</v>
      </c>
      <c r="I457" s="2">
        <v>243</v>
      </c>
      <c r="J457" s="2" t="s">
        <v>1650</v>
      </c>
      <c r="K457" s="2">
        <v>72</v>
      </c>
      <c r="L457" s="2">
        <v>15</v>
      </c>
      <c r="M457" s="2">
        <v>10</v>
      </c>
      <c r="N457" s="2">
        <v>10</v>
      </c>
      <c r="O457" s="2">
        <v>25</v>
      </c>
      <c r="P457" s="2">
        <v>12</v>
      </c>
      <c r="Q457" s="2" t="s">
        <v>1856</v>
      </c>
      <c r="R457" s="2" t="s">
        <v>1857</v>
      </c>
      <c r="S457" s="4">
        <v>44837</v>
      </c>
    </row>
    <row r="458" spans="1:19" ht="12.5" x14ac:dyDescent="0.25">
      <c r="A458" s="14" t="str">
        <f>HYPERLINK("https://gerandofalcoes.my.salesforce.com/0014P00003YSp7eQAD", "0014P00003YSp7eQAD")</f>
        <v>0014P00003YSp7eQAD</v>
      </c>
      <c r="B458" s="2" t="s">
        <v>1804</v>
      </c>
      <c r="C458" s="2" t="s">
        <v>423</v>
      </c>
      <c r="D458" s="2" t="s">
        <v>2</v>
      </c>
      <c r="E458" s="2">
        <v>45</v>
      </c>
      <c r="F458" s="2">
        <v>6</v>
      </c>
      <c r="G458" s="2">
        <v>3</v>
      </c>
      <c r="H458" s="2">
        <v>43600000</v>
      </c>
      <c r="I458" s="2">
        <v>131</v>
      </c>
      <c r="J458" s="2" t="s">
        <v>1650</v>
      </c>
      <c r="K458" s="2">
        <v>68</v>
      </c>
      <c r="L458" s="2">
        <v>15</v>
      </c>
      <c r="M458" s="2">
        <v>10</v>
      </c>
      <c r="N458" s="2">
        <v>8</v>
      </c>
      <c r="O458" s="2">
        <v>25</v>
      </c>
      <c r="P458" s="2">
        <v>10</v>
      </c>
      <c r="Q458" s="2" t="s">
        <v>1805</v>
      </c>
      <c r="R458" s="2" t="s">
        <v>1806</v>
      </c>
      <c r="S458" s="4">
        <v>44837</v>
      </c>
    </row>
    <row r="459" spans="1:19" ht="12.5" x14ac:dyDescent="0.25">
      <c r="A459" s="14" t="str">
        <f>HYPERLINK("https://gerandofalcoes.my.salesforce.com/0014X00002VKCpXQAX", "0014X00002VKCpXQAX")</f>
        <v>0014X00002VKCpXQAX</v>
      </c>
      <c r="B459" s="2" t="s">
        <v>2565</v>
      </c>
      <c r="C459" s="2" t="s">
        <v>1800</v>
      </c>
      <c r="D459" s="2" t="s">
        <v>2</v>
      </c>
      <c r="E459" s="2">
        <v>20</v>
      </c>
      <c r="F459" s="2">
        <v>6</v>
      </c>
      <c r="G459" s="2">
        <v>4</v>
      </c>
      <c r="H459" s="2">
        <v>0</v>
      </c>
      <c r="I459" s="2">
        <v>0</v>
      </c>
      <c r="J459" s="2" t="s">
        <v>1779</v>
      </c>
      <c r="K459" s="2">
        <v>30</v>
      </c>
      <c r="L459" s="2">
        <v>10</v>
      </c>
      <c r="M459" s="2">
        <v>10</v>
      </c>
      <c r="N459" s="2">
        <v>10</v>
      </c>
      <c r="O459" s="2">
        <v>0</v>
      </c>
      <c r="P459" s="2">
        <v>0</v>
      </c>
      <c r="Q459" s="2" t="s">
        <v>2566</v>
      </c>
      <c r="R459" s="2" t="s">
        <v>2567</v>
      </c>
      <c r="S459" s="4">
        <v>44837</v>
      </c>
    </row>
    <row r="460" spans="1:19" ht="12.5" x14ac:dyDescent="0.25">
      <c r="A460" s="14" t="str">
        <f>HYPERLINK("https://gerandofalcoes.my.salesforce.com/0014X00002VKCpPQAX", "0014X00002VKCpPQAX")</f>
        <v>0014X00002VKCpPQAX</v>
      </c>
      <c r="B460" s="2" t="s">
        <v>2591</v>
      </c>
      <c r="C460" s="2" t="s">
        <v>423</v>
      </c>
      <c r="D460" s="2" t="s">
        <v>2</v>
      </c>
      <c r="E460" s="2">
        <v>29</v>
      </c>
      <c r="F460" s="2">
        <v>0</v>
      </c>
      <c r="G460" s="2">
        <v>3</v>
      </c>
      <c r="H460" s="2">
        <v>75000</v>
      </c>
      <c r="I460" s="2">
        <v>0</v>
      </c>
      <c r="J460" s="2" t="s">
        <v>1779</v>
      </c>
      <c r="K460" s="2">
        <v>33</v>
      </c>
      <c r="L460" s="2">
        <v>15</v>
      </c>
      <c r="M460" s="2">
        <v>0</v>
      </c>
      <c r="N460" s="2">
        <v>8</v>
      </c>
      <c r="O460" s="2">
        <v>10</v>
      </c>
      <c r="P460" s="2">
        <v>0</v>
      </c>
      <c r="Q460" s="2" t="s">
        <v>2592</v>
      </c>
      <c r="R460" s="2" t="s">
        <v>2592</v>
      </c>
      <c r="S460" s="4">
        <v>44837</v>
      </c>
    </row>
    <row r="461" spans="1:19" ht="12.5" x14ac:dyDescent="0.25">
      <c r="A461" s="14" t="str">
        <f>HYPERLINK("https://gerandofalcoes.my.salesforce.com/0014X00002VKCvCQAX", "0014X00002VKCvCQAX")</f>
        <v>0014X00002VKCvCQAX</v>
      </c>
      <c r="B461" s="2" t="s">
        <v>2415</v>
      </c>
      <c r="C461" s="2" t="s">
        <v>1800</v>
      </c>
      <c r="D461" s="2" t="s">
        <v>2</v>
      </c>
      <c r="E461" s="2">
        <v>25</v>
      </c>
      <c r="F461" s="2">
        <v>0</v>
      </c>
      <c r="G461" s="2">
        <v>4</v>
      </c>
      <c r="H461" s="2">
        <v>25000</v>
      </c>
      <c r="I461" s="2">
        <v>0</v>
      </c>
      <c r="J461" s="2" t="s">
        <v>1779</v>
      </c>
      <c r="K461" s="2">
        <v>35</v>
      </c>
      <c r="L461" s="2">
        <v>15</v>
      </c>
      <c r="M461" s="2">
        <v>0</v>
      </c>
      <c r="N461" s="2">
        <v>10</v>
      </c>
      <c r="O461" s="2">
        <v>10</v>
      </c>
      <c r="P461" s="2">
        <v>0</v>
      </c>
      <c r="Q461" s="2" t="s">
        <v>2416</v>
      </c>
      <c r="R461" s="2" t="s">
        <v>2417</v>
      </c>
      <c r="S461" s="4">
        <v>44837</v>
      </c>
    </row>
    <row r="462" spans="1:19" ht="12.5" x14ac:dyDescent="0.25">
      <c r="A462" s="14" t="str">
        <f>HYPERLINK("https://gerandofalcoes.my.salesforce.com/0014X00002VKCsaQAH", "0014X00002VKCsaQAH")</f>
        <v>0014X00002VKCsaQAH</v>
      </c>
      <c r="B462" s="2" t="s">
        <v>7167</v>
      </c>
      <c r="C462" s="2" t="s">
        <v>423</v>
      </c>
      <c r="D462" s="2" t="s">
        <v>2</v>
      </c>
      <c r="E462" s="2">
        <v>40.25</v>
      </c>
      <c r="F462" s="2">
        <v>0</v>
      </c>
      <c r="G462" s="2">
        <v>3</v>
      </c>
      <c r="H462" s="2">
        <v>10749</v>
      </c>
      <c r="I462" s="2">
        <v>15</v>
      </c>
      <c r="J462" s="2" t="s">
        <v>1779</v>
      </c>
      <c r="K462" s="2">
        <v>33</v>
      </c>
      <c r="L462" s="2">
        <v>15</v>
      </c>
      <c r="M462" s="2">
        <v>0</v>
      </c>
      <c r="N462" s="2">
        <v>8</v>
      </c>
      <c r="O462" s="2">
        <v>5</v>
      </c>
      <c r="P462" s="2">
        <v>5</v>
      </c>
      <c r="Q462" s="2" t="s">
        <v>1962</v>
      </c>
      <c r="R462" s="2" t="s">
        <v>1962</v>
      </c>
      <c r="S462" s="4">
        <v>44837</v>
      </c>
    </row>
    <row r="463" spans="1:19" ht="12.5" x14ac:dyDescent="0.25">
      <c r="A463" s="14" t="str">
        <f>HYPERLINK("https://gerandofalcoes.my.salesforce.com/0014X00002VKCt9QAH", "0014X00002VKCt9QAH")</f>
        <v>0014X00002VKCt9QAH</v>
      </c>
      <c r="B463" s="2" t="s">
        <v>2100</v>
      </c>
      <c r="C463" s="2" t="s">
        <v>1800</v>
      </c>
      <c r="D463" s="2" t="s">
        <v>2</v>
      </c>
      <c r="E463" s="2">
        <v>35</v>
      </c>
      <c r="F463" s="2">
        <v>0</v>
      </c>
      <c r="G463" s="2">
        <v>2</v>
      </c>
      <c r="H463" s="2">
        <v>600</v>
      </c>
      <c r="I463" s="2">
        <v>150</v>
      </c>
      <c r="J463" s="2" t="s">
        <v>1779</v>
      </c>
      <c r="K463" s="2">
        <v>38</v>
      </c>
      <c r="L463" s="2">
        <v>15</v>
      </c>
      <c r="M463" s="2">
        <v>0</v>
      </c>
      <c r="N463" s="2">
        <v>6</v>
      </c>
      <c r="O463" s="2">
        <v>5</v>
      </c>
      <c r="P463" s="2">
        <v>12</v>
      </c>
      <c r="Q463" s="2" t="s">
        <v>2101</v>
      </c>
      <c r="R463" s="2" t="s">
        <v>2102</v>
      </c>
      <c r="S463" s="4">
        <v>44837</v>
      </c>
    </row>
    <row r="464" spans="1:19" ht="12.5" x14ac:dyDescent="0.25">
      <c r="A464" s="14" t="str">
        <f>HYPERLINK("https://gerandofalcoes.my.salesforce.com/0014X00002VKCtvQAH", "0014X00002VKCtvQAH")</f>
        <v>0014X00002VKCtvQAH</v>
      </c>
      <c r="B464" s="2" t="s">
        <v>1959</v>
      </c>
      <c r="C464" s="2" t="s">
        <v>423</v>
      </c>
      <c r="D464" s="2" t="s">
        <v>2</v>
      </c>
      <c r="E464" s="2">
        <v>54</v>
      </c>
      <c r="F464" s="2">
        <v>0</v>
      </c>
      <c r="G464" s="2">
        <v>3</v>
      </c>
      <c r="H464" s="2">
        <v>100000</v>
      </c>
      <c r="I464" s="2">
        <v>120</v>
      </c>
      <c r="J464" s="2" t="s">
        <v>1671</v>
      </c>
      <c r="K464" s="2">
        <v>53</v>
      </c>
      <c r="L464" s="2">
        <v>20</v>
      </c>
      <c r="M464" s="2">
        <v>0</v>
      </c>
      <c r="N464" s="2">
        <v>8</v>
      </c>
      <c r="O464" s="2">
        <v>15</v>
      </c>
      <c r="P464" s="2">
        <v>10</v>
      </c>
      <c r="Q464" s="2" t="s">
        <v>7153</v>
      </c>
      <c r="R464" s="2" t="s">
        <v>1960</v>
      </c>
      <c r="S464" s="4">
        <v>44837</v>
      </c>
    </row>
    <row r="465" spans="1:19" ht="12.5" x14ac:dyDescent="0.25">
      <c r="A465" s="14" t="str">
        <f>HYPERLINK("https://gerandofalcoes.my.salesforce.com/0014X00002VKCpMQAX", "0014X00002VKCpMQAX")</f>
        <v>0014X00002VKCpMQAX</v>
      </c>
      <c r="B465" s="2" t="s">
        <v>2660</v>
      </c>
      <c r="C465" s="2" t="s">
        <v>1800</v>
      </c>
      <c r="D465" s="2" t="s">
        <v>2</v>
      </c>
      <c r="E465" s="2">
        <v>17</v>
      </c>
      <c r="F465" s="2">
        <v>0</v>
      </c>
      <c r="G465" s="2">
        <v>2</v>
      </c>
      <c r="H465" s="2">
        <v>6000</v>
      </c>
      <c r="I465" s="2">
        <v>90</v>
      </c>
      <c r="J465" s="2" t="s">
        <v>1779</v>
      </c>
      <c r="K465" s="2">
        <v>31</v>
      </c>
      <c r="L465" s="2">
        <v>10</v>
      </c>
      <c r="M465" s="2">
        <v>0</v>
      </c>
      <c r="N465" s="2">
        <v>6</v>
      </c>
      <c r="O465" s="2">
        <v>5</v>
      </c>
      <c r="P465" s="2">
        <v>10</v>
      </c>
      <c r="Q465" s="2" t="s">
        <v>2661</v>
      </c>
      <c r="R465" s="2" t="s">
        <v>2661</v>
      </c>
      <c r="S465" s="4">
        <v>44837</v>
      </c>
    </row>
    <row r="466" spans="1:19" ht="12.5" x14ac:dyDescent="0.25">
      <c r="A466" s="14" t="str">
        <f>HYPERLINK("https://gerandofalcoes.my.salesforce.com/0014X00002VKCtJQAX", "0014X00002VKCtJQAX")</f>
        <v>0014X00002VKCtJQAX</v>
      </c>
      <c r="B466" s="2" t="s">
        <v>2672</v>
      </c>
      <c r="C466" s="2" t="s">
        <v>423</v>
      </c>
      <c r="D466" s="2" t="s">
        <v>2</v>
      </c>
      <c r="E466" s="2">
        <v>17</v>
      </c>
      <c r="F466" s="2">
        <v>0</v>
      </c>
      <c r="G466" s="2">
        <v>3</v>
      </c>
      <c r="H466" s="2">
        <v>0</v>
      </c>
      <c r="I466" s="2">
        <v>0</v>
      </c>
      <c r="J466" s="2" t="s">
        <v>1779</v>
      </c>
      <c r="K466" s="2">
        <v>18</v>
      </c>
      <c r="L466" s="2">
        <v>10</v>
      </c>
      <c r="M466" s="2">
        <v>0</v>
      </c>
      <c r="N466" s="2">
        <v>8</v>
      </c>
      <c r="O466" s="2">
        <v>0</v>
      </c>
      <c r="P466" s="2">
        <v>0</v>
      </c>
      <c r="Q466" s="2" t="s">
        <v>2673</v>
      </c>
      <c r="R466" s="2" t="s">
        <v>2674</v>
      </c>
      <c r="S466" s="4">
        <v>44837</v>
      </c>
    </row>
    <row r="467" spans="1:19" ht="12.5" x14ac:dyDescent="0.25">
      <c r="A467" s="14" t="str">
        <f>HYPERLINK("https://gerandofalcoes.my.salesforce.com/0014X00002VKCttQAH", "0014X00002VKCttQAH")</f>
        <v>0014X00002VKCttQAH</v>
      </c>
      <c r="B467" s="2" t="s">
        <v>1966</v>
      </c>
      <c r="C467" s="2" t="s">
        <v>1684</v>
      </c>
      <c r="D467" s="2" t="s">
        <v>2</v>
      </c>
      <c r="E467" s="2">
        <v>40</v>
      </c>
      <c r="F467" s="2">
        <v>5</v>
      </c>
      <c r="G467" s="2">
        <v>3</v>
      </c>
      <c r="H467" s="2">
        <v>20</v>
      </c>
      <c r="I467" s="2">
        <v>30</v>
      </c>
      <c r="J467" s="2" t="s">
        <v>1779</v>
      </c>
      <c r="K467" s="2">
        <v>38</v>
      </c>
      <c r="L467" s="2">
        <v>15</v>
      </c>
      <c r="M467" s="2">
        <v>5</v>
      </c>
      <c r="N467" s="2">
        <v>8</v>
      </c>
      <c r="O467" s="2">
        <v>5</v>
      </c>
      <c r="P467" s="2">
        <v>5</v>
      </c>
      <c r="Q467" s="2" t="s">
        <v>1967</v>
      </c>
      <c r="R467" s="2" t="s">
        <v>1968</v>
      </c>
      <c r="S467" s="4">
        <v>44837</v>
      </c>
    </row>
    <row r="468" spans="1:19" ht="12.5" x14ac:dyDescent="0.25">
      <c r="A468" s="14" t="str">
        <f>HYPERLINK("https://gerandofalcoes.my.salesforce.com/0014X00002VKCsQQAX", "0014X00002VKCsQQAX")</f>
        <v>0014X00002VKCsQQAX</v>
      </c>
      <c r="B468" s="2" t="s">
        <v>2780</v>
      </c>
      <c r="C468" s="2" t="s">
        <v>423</v>
      </c>
      <c r="D468" s="2" t="s">
        <v>2</v>
      </c>
      <c r="E468" s="2">
        <v>13</v>
      </c>
      <c r="F468" s="2">
        <v>0</v>
      </c>
      <c r="G468" s="2">
        <v>2</v>
      </c>
      <c r="H468" s="2">
        <v>0</v>
      </c>
      <c r="I468" s="2">
        <v>585</v>
      </c>
      <c r="J468" s="2" t="s">
        <v>1779</v>
      </c>
      <c r="K468" s="2">
        <v>36</v>
      </c>
      <c r="L468" s="2">
        <v>10</v>
      </c>
      <c r="M468" s="2">
        <v>0</v>
      </c>
      <c r="N468" s="2">
        <v>6</v>
      </c>
      <c r="O468" s="2">
        <v>0</v>
      </c>
      <c r="P468" s="2">
        <v>20</v>
      </c>
      <c r="Q468" s="2" t="s">
        <v>2781</v>
      </c>
      <c r="R468" s="2" t="s">
        <v>2782</v>
      </c>
      <c r="S468" s="4">
        <v>44837</v>
      </c>
    </row>
    <row r="469" spans="1:19" ht="12.5" x14ac:dyDescent="0.25">
      <c r="A469" s="14" t="str">
        <f>HYPERLINK("https://gerandofalcoes.my.salesforce.com/0014P00003YSp7iQAD", "0014P00003YSp7iQAD")</f>
        <v>0014P00003YSp7iQAD</v>
      </c>
      <c r="B469" s="2" t="s">
        <v>2680</v>
      </c>
      <c r="C469" s="2" t="s">
        <v>423</v>
      </c>
      <c r="D469" s="2" t="s">
        <v>2</v>
      </c>
      <c r="E469" s="2">
        <v>35</v>
      </c>
      <c r="F469" s="2">
        <v>0</v>
      </c>
      <c r="G469" s="2">
        <v>1</v>
      </c>
      <c r="H469" s="2">
        <v>2000</v>
      </c>
      <c r="I469" s="2">
        <v>300</v>
      </c>
      <c r="J469" s="2" t="s">
        <v>1779</v>
      </c>
      <c r="K469" s="2">
        <v>39</v>
      </c>
      <c r="L469" s="2">
        <v>15</v>
      </c>
      <c r="M469" s="2">
        <v>0</v>
      </c>
      <c r="N469" s="2">
        <v>4</v>
      </c>
      <c r="O469" s="2">
        <v>5</v>
      </c>
      <c r="P469" s="2">
        <v>15</v>
      </c>
      <c r="Q469" s="2" t="s">
        <v>2681</v>
      </c>
      <c r="R469" s="2" t="s">
        <v>2682</v>
      </c>
      <c r="S469" s="4">
        <v>44837</v>
      </c>
    </row>
    <row r="470" spans="1:19" ht="12.5" x14ac:dyDescent="0.25">
      <c r="A470" s="14" t="str">
        <f>HYPERLINK("https://gerandofalcoes.my.salesforce.com/0014P00003SGWPiQAP", "0014P00003SGWPiQAP")</f>
        <v>0014P00003SGWPiQAP</v>
      </c>
      <c r="B470" s="2" t="s">
        <v>300</v>
      </c>
      <c r="C470" s="2" t="s">
        <v>423</v>
      </c>
      <c r="D470" s="2" t="s">
        <v>27</v>
      </c>
      <c r="E470" s="2">
        <v>96</v>
      </c>
      <c r="F470" s="2">
        <v>8</v>
      </c>
      <c r="G470" s="2">
        <v>4</v>
      </c>
      <c r="H470" s="2">
        <v>587278.81999999995</v>
      </c>
      <c r="I470" s="2">
        <v>115</v>
      </c>
      <c r="J470" s="2" t="s">
        <v>1654</v>
      </c>
      <c r="K470" s="2">
        <v>80</v>
      </c>
      <c r="L470" s="2">
        <v>30</v>
      </c>
      <c r="M470" s="2">
        <v>10</v>
      </c>
      <c r="N470" s="2">
        <v>10</v>
      </c>
      <c r="O470" s="2">
        <v>20</v>
      </c>
      <c r="P470" s="2">
        <v>10</v>
      </c>
      <c r="Q470" s="2" t="s">
        <v>301</v>
      </c>
      <c r="R470" s="2" t="s">
        <v>1657</v>
      </c>
      <c r="S470" s="4">
        <v>44837</v>
      </c>
    </row>
    <row r="471" spans="1:19" ht="12.5" x14ac:dyDescent="0.25">
      <c r="A471" s="14" t="str">
        <f>HYPERLINK("https://gerandofalcoes.my.salesforce.com/0014P00003SGWPjQAP", "0014P00003SGWPjQAP")</f>
        <v>0014P00003SGWPjQAP</v>
      </c>
      <c r="B471" s="2" t="s">
        <v>2986</v>
      </c>
      <c r="C471" s="2" t="s">
        <v>423</v>
      </c>
      <c r="D471" s="2" t="s">
        <v>2</v>
      </c>
      <c r="E471" s="2"/>
      <c r="F471" s="2">
        <v>0</v>
      </c>
      <c r="G471" s="2">
        <v>0</v>
      </c>
      <c r="H471" s="2">
        <v>0</v>
      </c>
      <c r="I471" s="2">
        <v>250</v>
      </c>
      <c r="J471" s="2" t="s">
        <v>1779</v>
      </c>
      <c r="K471" s="2">
        <v>12</v>
      </c>
      <c r="L471" s="2">
        <v>0</v>
      </c>
      <c r="M471" s="2">
        <v>0</v>
      </c>
      <c r="N471" s="2">
        <v>0</v>
      </c>
      <c r="O471" s="2">
        <v>0</v>
      </c>
      <c r="P471" s="2">
        <v>12</v>
      </c>
      <c r="Q471" s="2" t="s">
        <v>303</v>
      </c>
      <c r="R471" s="2" t="s">
        <v>2987</v>
      </c>
      <c r="S471" s="4">
        <v>44837</v>
      </c>
    </row>
    <row r="472" spans="1:19" ht="12.5" x14ac:dyDescent="0.25">
      <c r="A472" s="14" t="str">
        <f>HYPERLINK("https://gerandofalcoes.my.salesforce.com/0014P00003SGWPkQAP", "0014P00003SGWPkQAP")</f>
        <v>0014P00003SGWPkQAP</v>
      </c>
      <c r="B472" s="2" t="s">
        <v>306</v>
      </c>
      <c r="C472" s="2" t="s">
        <v>423</v>
      </c>
      <c r="D472" s="2" t="s">
        <v>2</v>
      </c>
      <c r="E472" s="2">
        <v>49</v>
      </c>
      <c r="F472" s="2">
        <v>7</v>
      </c>
      <c r="G472" s="2">
        <v>3</v>
      </c>
      <c r="H472" s="2">
        <v>264000</v>
      </c>
      <c r="I472" s="2">
        <v>240</v>
      </c>
      <c r="J472" s="2" t="s">
        <v>1671</v>
      </c>
      <c r="K472" s="2">
        <v>45</v>
      </c>
      <c r="L472" s="2">
        <v>0</v>
      </c>
      <c r="M472" s="2">
        <v>10</v>
      </c>
      <c r="N472" s="2">
        <v>8</v>
      </c>
      <c r="O472" s="2">
        <v>15</v>
      </c>
      <c r="P472" s="2">
        <v>12</v>
      </c>
      <c r="Q472" s="2" t="s">
        <v>307</v>
      </c>
      <c r="R472" s="2" t="s">
        <v>1867</v>
      </c>
      <c r="S472" s="4">
        <v>44837</v>
      </c>
    </row>
    <row r="473" spans="1:19" ht="12.5" x14ac:dyDescent="0.25">
      <c r="A473" s="14" t="str">
        <f>HYPERLINK("https://gerandofalcoes.my.salesforce.com/0014P00003YSp7vQAD", "0014P00003YSp7vQAD")</f>
        <v>0014P00003YSp7vQAD</v>
      </c>
      <c r="B473" s="2" t="s">
        <v>2492</v>
      </c>
      <c r="C473" s="2" t="s">
        <v>423</v>
      </c>
      <c r="D473" s="2" t="s">
        <v>2</v>
      </c>
      <c r="E473" s="2">
        <v>20</v>
      </c>
      <c r="F473" s="2">
        <v>2</v>
      </c>
      <c r="G473" s="2">
        <v>1</v>
      </c>
      <c r="H473" s="2">
        <v>42000</v>
      </c>
      <c r="I473" s="2">
        <v>71</v>
      </c>
      <c r="J473" s="2" t="s">
        <v>1779</v>
      </c>
      <c r="K473" s="2">
        <v>34</v>
      </c>
      <c r="L473" s="2">
        <v>10</v>
      </c>
      <c r="M473" s="2">
        <v>5</v>
      </c>
      <c r="N473" s="2">
        <v>4</v>
      </c>
      <c r="O473" s="2">
        <v>10</v>
      </c>
      <c r="P473" s="2">
        <v>5</v>
      </c>
      <c r="Q473" s="2" t="s">
        <v>2493</v>
      </c>
      <c r="R473" s="2" t="s">
        <v>2493</v>
      </c>
      <c r="S473" s="4">
        <v>44837</v>
      </c>
    </row>
    <row r="474" spans="1:19" ht="12.5" x14ac:dyDescent="0.25">
      <c r="A474" s="14" t="str">
        <f>HYPERLINK("https://gerandofalcoes.my.salesforce.com/0014P00003YSp7xQAD", "0014P00003YSp7xQAD")</f>
        <v>0014P00003YSp7xQAD</v>
      </c>
      <c r="B474" s="2" t="s">
        <v>2801</v>
      </c>
      <c r="C474" s="2" t="s">
        <v>1800</v>
      </c>
      <c r="D474" s="2" t="s">
        <v>2</v>
      </c>
      <c r="E474" s="2">
        <v>13</v>
      </c>
      <c r="F474" s="2">
        <v>7</v>
      </c>
      <c r="G474" s="2">
        <v>3</v>
      </c>
      <c r="H474" s="2">
        <v>1000</v>
      </c>
      <c r="I474" s="2">
        <v>30</v>
      </c>
      <c r="J474" s="2" t="s">
        <v>1779</v>
      </c>
      <c r="K474" s="2">
        <v>38</v>
      </c>
      <c r="L474" s="2">
        <v>10</v>
      </c>
      <c r="M474" s="2">
        <v>10</v>
      </c>
      <c r="N474" s="2">
        <v>8</v>
      </c>
      <c r="O474" s="2">
        <v>5</v>
      </c>
      <c r="P474" s="2">
        <v>5</v>
      </c>
      <c r="Q474" s="2" t="s">
        <v>2802</v>
      </c>
      <c r="R474" s="2" t="s">
        <v>2803</v>
      </c>
      <c r="S474" s="4">
        <v>44837</v>
      </c>
    </row>
    <row r="475" spans="1:19" ht="12.5" x14ac:dyDescent="0.25">
      <c r="A475" s="14" t="str">
        <f>HYPERLINK("https://gerandofalcoes.my.salesforce.com/0014P00003YSp7fQAD", "0014P00003YSp7fQAD")</f>
        <v>0014P00003YSp7fQAD</v>
      </c>
      <c r="B475" s="2" t="s">
        <v>2465</v>
      </c>
      <c r="C475" s="2" t="s">
        <v>423</v>
      </c>
      <c r="D475" s="2" t="s">
        <v>2</v>
      </c>
      <c r="E475" s="2">
        <v>23</v>
      </c>
      <c r="F475" s="2">
        <v>0</v>
      </c>
      <c r="G475" s="2">
        <v>2</v>
      </c>
      <c r="H475" s="2">
        <v>5000</v>
      </c>
      <c r="I475" s="2">
        <v>50</v>
      </c>
      <c r="J475" s="2" t="s">
        <v>1779</v>
      </c>
      <c r="K475" s="2">
        <v>26</v>
      </c>
      <c r="L475" s="2">
        <v>10</v>
      </c>
      <c r="M475" s="2">
        <v>0</v>
      </c>
      <c r="N475" s="2">
        <v>6</v>
      </c>
      <c r="O475" s="2">
        <v>5</v>
      </c>
      <c r="P475" s="2">
        <v>5</v>
      </c>
      <c r="Q475" s="2" t="s">
        <v>6552</v>
      </c>
      <c r="R475" s="2" t="s">
        <v>6552</v>
      </c>
      <c r="S475" s="4">
        <v>44837</v>
      </c>
    </row>
    <row r="476" spans="1:19" ht="12.5" x14ac:dyDescent="0.25">
      <c r="A476" s="14" t="str">
        <f>HYPERLINK("https://gerandofalcoes.my.salesforce.com/0014P00003YSp7hQAD", "0014P00003YSp7hQAD")</f>
        <v>0014P00003YSp7hQAD</v>
      </c>
      <c r="B476" s="2" t="s">
        <v>2713</v>
      </c>
      <c r="C476" s="2" t="s">
        <v>423</v>
      </c>
      <c r="D476" s="2" t="s">
        <v>2</v>
      </c>
      <c r="E476" s="2">
        <v>15</v>
      </c>
      <c r="F476" s="2">
        <v>4</v>
      </c>
      <c r="G476" s="2">
        <v>3</v>
      </c>
      <c r="H476" s="2">
        <v>89000</v>
      </c>
      <c r="I476" s="2">
        <v>820</v>
      </c>
      <c r="J476" s="2" t="s">
        <v>1671</v>
      </c>
      <c r="K476" s="2">
        <v>53</v>
      </c>
      <c r="L476" s="2">
        <v>10</v>
      </c>
      <c r="M476" s="2">
        <v>5</v>
      </c>
      <c r="N476" s="2">
        <v>8</v>
      </c>
      <c r="O476" s="2">
        <v>10</v>
      </c>
      <c r="P476" s="2">
        <v>20</v>
      </c>
      <c r="Q476" s="2" t="s">
        <v>2714</v>
      </c>
      <c r="R476" s="2" t="s">
        <v>2714</v>
      </c>
      <c r="S476" s="4">
        <v>44837</v>
      </c>
    </row>
    <row r="477" spans="1:19" ht="12.5" x14ac:dyDescent="0.25">
      <c r="A477" s="14" t="str">
        <f>HYPERLINK("https://gerandofalcoes.my.salesforce.com/0014P00003YSp7kQAD", "0014P00003YSp7kQAD")</f>
        <v>0014P00003YSp7kQAD</v>
      </c>
      <c r="B477" s="2" t="s">
        <v>2225</v>
      </c>
      <c r="C477" s="2" t="s">
        <v>1800</v>
      </c>
      <c r="D477" s="2" t="s">
        <v>2</v>
      </c>
      <c r="E477" s="2">
        <v>32</v>
      </c>
      <c r="F477" s="2">
        <v>0</v>
      </c>
      <c r="G477" s="2">
        <v>2</v>
      </c>
      <c r="H477" s="2">
        <v>0</v>
      </c>
      <c r="I477" s="2">
        <v>17</v>
      </c>
      <c r="J477" s="2" t="s">
        <v>1779</v>
      </c>
      <c r="K477" s="2">
        <v>26</v>
      </c>
      <c r="L477" s="2">
        <v>15</v>
      </c>
      <c r="M477" s="2">
        <v>0</v>
      </c>
      <c r="N477" s="2">
        <v>6</v>
      </c>
      <c r="O477" s="2">
        <v>0</v>
      </c>
      <c r="P477" s="2">
        <v>5</v>
      </c>
      <c r="Q477" s="2" t="s">
        <v>2226</v>
      </c>
      <c r="R477" s="2" t="s">
        <v>2227</v>
      </c>
      <c r="S477" s="4">
        <v>44837</v>
      </c>
    </row>
    <row r="478" spans="1:19" ht="12.5" x14ac:dyDescent="0.25">
      <c r="A478" s="14" t="str">
        <f>HYPERLINK("https://gerandofalcoes.my.salesforce.com/0014P00003YSp7lQAD", "0014P00003YSp7lQAD")</f>
        <v>0014P00003YSp7lQAD</v>
      </c>
      <c r="B478" s="2" t="s">
        <v>2057</v>
      </c>
      <c r="C478" s="2" t="s">
        <v>423</v>
      </c>
      <c r="D478" s="2" t="s">
        <v>2</v>
      </c>
      <c r="E478" s="2">
        <v>37</v>
      </c>
      <c r="F478" s="2">
        <v>0</v>
      </c>
      <c r="G478" s="2">
        <v>2</v>
      </c>
      <c r="H478" s="2">
        <v>50000</v>
      </c>
      <c r="I478" s="2">
        <v>0</v>
      </c>
      <c r="J478" s="2" t="s">
        <v>1779</v>
      </c>
      <c r="K478" s="2">
        <v>31</v>
      </c>
      <c r="L478" s="2">
        <v>15</v>
      </c>
      <c r="M478" s="2">
        <v>0</v>
      </c>
      <c r="N478" s="2">
        <v>6</v>
      </c>
      <c r="O478" s="2">
        <v>10</v>
      </c>
      <c r="P478" s="2">
        <v>0</v>
      </c>
      <c r="Q478" s="2" t="s">
        <v>2058</v>
      </c>
      <c r="R478" s="2" t="s">
        <v>2059</v>
      </c>
      <c r="S478" s="4">
        <v>44837</v>
      </c>
    </row>
    <row r="479" spans="1:19" ht="12.5" x14ac:dyDescent="0.25">
      <c r="A479" s="14" t="str">
        <f>HYPERLINK("https://gerandofalcoes.my.salesforce.com/0014P00003YSp7mQAD", "0014P00003YSp7mQAD")</f>
        <v>0014P00003YSp7mQAD</v>
      </c>
      <c r="B479" s="2" t="s">
        <v>2109</v>
      </c>
      <c r="C479" s="2" t="s">
        <v>1800</v>
      </c>
      <c r="D479" s="2" t="s">
        <v>2</v>
      </c>
      <c r="E479" s="2">
        <v>35</v>
      </c>
      <c r="F479" s="2">
        <v>5</v>
      </c>
      <c r="G479" s="2">
        <v>4</v>
      </c>
      <c r="H479" s="2">
        <v>0</v>
      </c>
      <c r="I479" s="2">
        <v>53</v>
      </c>
      <c r="J479" s="2" t="s">
        <v>1779</v>
      </c>
      <c r="K479" s="2">
        <v>35</v>
      </c>
      <c r="L479" s="2">
        <v>15</v>
      </c>
      <c r="M479" s="2">
        <v>5</v>
      </c>
      <c r="N479" s="2">
        <v>10</v>
      </c>
      <c r="O479" s="2">
        <v>0</v>
      </c>
      <c r="P479" s="2">
        <v>5</v>
      </c>
      <c r="Q479" s="2" t="s">
        <v>2110</v>
      </c>
      <c r="R479" s="2" t="s">
        <v>2111</v>
      </c>
      <c r="S479" s="4">
        <v>44837</v>
      </c>
    </row>
    <row r="480" spans="1:19" ht="12.5" x14ac:dyDescent="0.25">
      <c r="A480" s="14" t="str">
        <f>HYPERLINK("https://gerandofalcoes.my.salesforce.com/0014P00003YSp7nQAD", "0014P00003YSp7nQAD")</f>
        <v>0014P00003YSp7nQAD</v>
      </c>
      <c r="B480" s="2" t="s">
        <v>2401</v>
      </c>
      <c r="C480" s="2" t="s">
        <v>1800</v>
      </c>
      <c r="D480" s="2" t="s">
        <v>2</v>
      </c>
      <c r="E480" s="2">
        <v>25</v>
      </c>
      <c r="F480" s="2">
        <v>7</v>
      </c>
      <c r="G480" s="2">
        <v>6</v>
      </c>
      <c r="H480" s="2">
        <v>200000</v>
      </c>
      <c r="I480" s="2">
        <v>350</v>
      </c>
      <c r="J480" s="2" t="s">
        <v>1650</v>
      </c>
      <c r="K480" s="2">
        <v>65</v>
      </c>
      <c r="L480" s="2">
        <v>15</v>
      </c>
      <c r="M480" s="2">
        <v>10</v>
      </c>
      <c r="N480" s="2">
        <v>10</v>
      </c>
      <c r="O480" s="2">
        <v>15</v>
      </c>
      <c r="P480" s="2">
        <v>15</v>
      </c>
      <c r="Q480" s="2" t="s">
        <v>2402</v>
      </c>
      <c r="R480" s="2" t="s">
        <v>2403</v>
      </c>
      <c r="S480" s="4">
        <v>44837</v>
      </c>
    </row>
    <row r="481" spans="1:19" ht="12.5" x14ac:dyDescent="0.25">
      <c r="A481" s="14" t="str">
        <f>HYPERLINK("https://gerandofalcoes.my.salesforce.com/0014P00003YSp7oQAD", "0014P00003YSp7oQAD")</f>
        <v>0014P00003YSp7oQAD</v>
      </c>
      <c r="B481" s="2" t="s">
        <v>2746</v>
      </c>
      <c r="C481" s="2" t="s">
        <v>1800</v>
      </c>
      <c r="D481" s="2" t="s">
        <v>2</v>
      </c>
      <c r="E481" s="2">
        <v>14</v>
      </c>
      <c r="F481" s="2">
        <v>30</v>
      </c>
      <c r="G481" s="2">
        <v>2</v>
      </c>
      <c r="H481" s="2">
        <v>10000</v>
      </c>
      <c r="I481" s="2">
        <v>350</v>
      </c>
      <c r="J481" s="2" t="s">
        <v>1671</v>
      </c>
      <c r="K481" s="2">
        <v>48</v>
      </c>
      <c r="L481" s="2">
        <v>10</v>
      </c>
      <c r="M481" s="2">
        <v>12</v>
      </c>
      <c r="N481" s="2">
        <v>6</v>
      </c>
      <c r="O481" s="2">
        <v>5</v>
      </c>
      <c r="P481" s="2">
        <v>15</v>
      </c>
      <c r="Q481" s="2" t="s">
        <v>2747</v>
      </c>
      <c r="R481" s="2" t="s">
        <v>2748</v>
      </c>
      <c r="S481" s="4">
        <v>44837</v>
      </c>
    </row>
    <row r="482" spans="1:19" ht="12.5" x14ac:dyDescent="0.25">
      <c r="A482" s="14" t="str">
        <f>HYPERLINK("https://gerandofalcoes.my.salesforce.com/0014P00003YSp7pQAD", "0014P00003YSp7pQAD")</f>
        <v>0014P00003YSp7pQAD</v>
      </c>
      <c r="B482" s="2" t="s">
        <v>2596</v>
      </c>
      <c r="C482" s="2" t="s">
        <v>1800</v>
      </c>
      <c r="D482" s="2" t="s">
        <v>2</v>
      </c>
      <c r="E482" s="2">
        <v>19</v>
      </c>
      <c r="F482" s="2">
        <v>0</v>
      </c>
      <c r="G482" s="2">
        <v>3</v>
      </c>
      <c r="H482" s="2">
        <v>150000</v>
      </c>
      <c r="I482" s="2">
        <v>190</v>
      </c>
      <c r="J482" s="2" t="s">
        <v>1671</v>
      </c>
      <c r="K482" s="2">
        <v>45</v>
      </c>
      <c r="L482" s="2">
        <v>10</v>
      </c>
      <c r="M482" s="2">
        <v>0</v>
      </c>
      <c r="N482" s="2">
        <v>8</v>
      </c>
      <c r="O482" s="2">
        <v>15</v>
      </c>
      <c r="P482" s="2">
        <v>12</v>
      </c>
      <c r="Q482" s="2" t="s">
        <v>2597</v>
      </c>
      <c r="R482" s="2" t="s">
        <v>2598</v>
      </c>
      <c r="S482" s="4">
        <v>44837</v>
      </c>
    </row>
    <row r="483" spans="1:19" ht="12.5" x14ac:dyDescent="0.25">
      <c r="A483" s="14" t="str">
        <f>HYPERLINK("https://gerandofalcoes.my.salesforce.com/0014P00003YSp7qQAD", "0014P00003YSp7qQAD")</f>
        <v>0014P00003YSp7qQAD</v>
      </c>
      <c r="B483" s="2" t="s">
        <v>2438</v>
      </c>
      <c r="C483" s="2" t="s">
        <v>423</v>
      </c>
      <c r="D483" s="2" t="s">
        <v>2</v>
      </c>
      <c r="E483" s="2">
        <v>24</v>
      </c>
      <c r="F483" s="2">
        <v>5</v>
      </c>
      <c r="G483" s="2">
        <v>2</v>
      </c>
      <c r="H483" s="2">
        <v>7000</v>
      </c>
      <c r="I483" s="2">
        <v>1250</v>
      </c>
      <c r="J483" s="2" t="s">
        <v>1671</v>
      </c>
      <c r="K483" s="2">
        <v>46</v>
      </c>
      <c r="L483" s="2">
        <v>10</v>
      </c>
      <c r="M483" s="2">
        <v>5</v>
      </c>
      <c r="N483" s="2">
        <v>6</v>
      </c>
      <c r="O483" s="2">
        <v>5</v>
      </c>
      <c r="P483" s="2">
        <v>20</v>
      </c>
      <c r="Q483" s="2" t="s">
        <v>2439</v>
      </c>
      <c r="R483" s="2" t="s">
        <v>2440</v>
      </c>
      <c r="S483" s="4">
        <v>44837</v>
      </c>
    </row>
    <row r="484" spans="1:19" ht="12.5" x14ac:dyDescent="0.25">
      <c r="A484" s="14" t="str">
        <f>HYPERLINK("https://gerandofalcoes.my.salesforce.com/0014P00003YSp7rQAD", "0014P00003YSp7rQAD")</f>
        <v>0014P00003YSp7rQAD</v>
      </c>
      <c r="B484" s="2" t="s">
        <v>2509</v>
      </c>
      <c r="C484" s="2" t="s">
        <v>1800</v>
      </c>
      <c r="D484" s="2" t="s">
        <v>2</v>
      </c>
      <c r="E484" s="2">
        <v>21</v>
      </c>
      <c r="F484" s="2">
        <v>1</v>
      </c>
      <c r="G484" s="2">
        <v>2</v>
      </c>
      <c r="H484" s="2">
        <v>11000</v>
      </c>
      <c r="I484" s="2">
        <v>320</v>
      </c>
      <c r="J484" s="2" t="s">
        <v>1671</v>
      </c>
      <c r="K484" s="2">
        <v>41</v>
      </c>
      <c r="L484" s="2">
        <v>10</v>
      </c>
      <c r="M484" s="2">
        <v>5</v>
      </c>
      <c r="N484" s="2">
        <v>6</v>
      </c>
      <c r="O484" s="2">
        <v>5</v>
      </c>
      <c r="P484" s="2">
        <v>15</v>
      </c>
      <c r="Q484" s="2" t="s">
        <v>2510</v>
      </c>
      <c r="R484" s="2" t="s">
        <v>2510</v>
      </c>
      <c r="S484" s="4">
        <v>44837</v>
      </c>
    </row>
    <row r="485" spans="1:19" ht="12.5" x14ac:dyDescent="0.25">
      <c r="A485" s="14" t="str">
        <f>HYPERLINK("https://gerandofalcoes.my.salesforce.com/0014P00003YSp7sQAD", "0014P00003YSp7sQAD")</f>
        <v>0014P00003YSp7sQAD</v>
      </c>
      <c r="B485" s="2" t="s">
        <v>1674</v>
      </c>
      <c r="C485" s="2" t="s">
        <v>423</v>
      </c>
      <c r="D485" s="2" t="s">
        <v>27</v>
      </c>
      <c r="E485" s="2">
        <v>88.17</v>
      </c>
      <c r="F485" s="2">
        <v>12</v>
      </c>
      <c r="G485" s="2">
        <v>3</v>
      </c>
      <c r="H485" s="2">
        <v>60000</v>
      </c>
      <c r="I485" s="2">
        <v>300</v>
      </c>
      <c r="J485" s="2" t="s">
        <v>1650</v>
      </c>
      <c r="K485" s="2">
        <v>70</v>
      </c>
      <c r="L485" s="2">
        <v>25</v>
      </c>
      <c r="M485" s="2">
        <v>12</v>
      </c>
      <c r="N485" s="2">
        <v>8</v>
      </c>
      <c r="O485" s="2">
        <v>10</v>
      </c>
      <c r="P485" s="2">
        <v>15</v>
      </c>
      <c r="Q485" s="2" t="s">
        <v>1675</v>
      </c>
      <c r="R485" s="2" t="s">
        <v>1675</v>
      </c>
      <c r="S485" s="4">
        <v>44837</v>
      </c>
    </row>
    <row r="486" spans="1:19" ht="12.5" x14ac:dyDescent="0.25">
      <c r="A486" s="14" t="str">
        <f>HYPERLINK("https://gerandofalcoes.my.salesforce.com/0014P00003YSp7tQAD", "0014P00003YSp7tQAD")</f>
        <v>0014P00003YSp7tQAD</v>
      </c>
      <c r="B486" s="2" t="s">
        <v>2418</v>
      </c>
      <c r="C486" s="2" t="s">
        <v>1800</v>
      </c>
      <c r="D486" s="2" t="s">
        <v>2</v>
      </c>
      <c r="E486" s="2">
        <v>25</v>
      </c>
      <c r="F486" s="2">
        <v>8</v>
      </c>
      <c r="G486" s="2">
        <v>2</v>
      </c>
      <c r="H486" s="2">
        <v>0</v>
      </c>
      <c r="I486" s="2">
        <v>0</v>
      </c>
      <c r="J486" s="2" t="s">
        <v>1779</v>
      </c>
      <c r="K486" s="2">
        <v>31</v>
      </c>
      <c r="L486" s="2">
        <v>15</v>
      </c>
      <c r="M486" s="2">
        <v>10</v>
      </c>
      <c r="N486" s="2">
        <v>6</v>
      </c>
      <c r="O486" s="2">
        <v>0</v>
      </c>
      <c r="P486" s="2">
        <v>0</v>
      </c>
      <c r="Q486" s="2" t="s">
        <v>2419</v>
      </c>
      <c r="R486" s="2" t="s">
        <v>2419</v>
      </c>
      <c r="S486" s="4">
        <v>44837</v>
      </c>
    </row>
    <row r="487" spans="1:19" ht="12.5" x14ac:dyDescent="0.25">
      <c r="A487" s="14" t="str">
        <f>HYPERLINK("https://gerandofalcoes.my.salesforce.com/0014P00003YSp7uQAD", "0014P00003YSp7uQAD")</f>
        <v>0014P00003YSp7uQAD</v>
      </c>
      <c r="B487" s="2" t="s">
        <v>2120</v>
      </c>
      <c r="C487" s="2" t="s">
        <v>423</v>
      </c>
      <c r="D487" s="2" t="s">
        <v>2</v>
      </c>
      <c r="E487" s="2">
        <v>35</v>
      </c>
      <c r="F487" s="2">
        <v>5</v>
      </c>
      <c r="G487" s="2">
        <v>2</v>
      </c>
      <c r="H487" s="2">
        <v>100000</v>
      </c>
      <c r="I487" s="2">
        <v>0</v>
      </c>
      <c r="J487" s="2" t="s">
        <v>1671</v>
      </c>
      <c r="K487" s="2">
        <v>41</v>
      </c>
      <c r="L487" s="2">
        <v>15</v>
      </c>
      <c r="M487" s="2">
        <v>5</v>
      </c>
      <c r="N487" s="2">
        <v>6</v>
      </c>
      <c r="O487" s="2">
        <v>15</v>
      </c>
      <c r="P487" s="2">
        <v>0</v>
      </c>
      <c r="Q487" s="2" t="s">
        <v>2121</v>
      </c>
      <c r="R487" s="2" t="s">
        <v>2121</v>
      </c>
      <c r="S487" s="4">
        <v>44837</v>
      </c>
    </row>
    <row r="488" spans="1:19" ht="12.5" x14ac:dyDescent="0.25">
      <c r="A488" s="14" t="str">
        <f>HYPERLINK("https://gerandofalcoes.my.salesforce.com/0014X00002VKCtVQAX", "0014X00002VKCtVQAX")</f>
        <v>0014X00002VKCtVQAX</v>
      </c>
      <c r="B488" s="2" t="s">
        <v>2665</v>
      </c>
      <c r="C488" s="2" t="s">
        <v>1800</v>
      </c>
      <c r="D488" s="2" t="s">
        <v>2</v>
      </c>
      <c r="E488" s="2">
        <v>17</v>
      </c>
      <c r="F488" s="2">
        <v>8</v>
      </c>
      <c r="G488" s="2">
        <v>2</v>
      </c>
      <c r="H488" s="2">
        <v>8000</v>
      </c>
      <c r="I488" s="2">
        <v>16</v>
      </c>
      <c r="J488" s="2" t="s">
        <v>1779</v>
      </c>
      <c r="K488" s="2">
        <v>36</v>
      </c>
      <c r="L488" s="2">
        <v>10</v>
      </c>
      <c r="M488" s="2">
        <v>10</v>
      </c>
      <c r="N488" s="2">
        <v>6</v>
      </c>
      <c r="O488" s="2">
        <v>5</v>
      </c>
      <c r="P488" s="2">
        <v>5</v>
      </c>
      <c r="Q488" s="2" t="s">
        <v>2666</v>
      </c>
      <c r="R488" s="2" t="s">
        <v>2666</v>
      </c>
      <c r="S488" s="4">
        <v>44837</v>
      </c>
    </row>
    <row r="489" spans="1:19" ht="12.5" x14ac:dyDescent="0.25">
      <c r="A489" s="14" t="str">
        <f>HYPERLINK("https://gerandofalcoes.my.salesforce.com/0014X00002VKCuqQAH", "0014X00002VKCuqQAH")</f>
        <v>0014X00002VKCuqQAH</v>
      </c>
      <c r="B489" s="2" t="s">
        <v>2649</v>
      </c>
      <c r="C489" s="2" t="s">
        <v>423</v>
      </c>
      <c r="D489" s="2" t="s">
        <v>2</v>
      </c>
      <c r="E489" s="2">
        <v>17.440000000000001</v>
      </c>
      <c r="F489" s="2">
        <v>0</v>
      </c>
      <c r="G489" s="2">
        <v>3</v>
      </c>
      <c r="H489" s="2">
        <v>7019</v>
      </c>
      <c r="I489" s="2">
        <v>100</v>
      </c>
      <c r="J489" s="2" t="s">
        <v>1779</v>
      </c>
      <c r="K489" s="2">
        <v>33</v>
      </c>
      <c r="L489" s="2">
        <v>10</v>
      </c>
      <c r="M489" s="2">
        <v>0</v>
      </c>
      <c r="N489" s="2">
        <v>8</v>
      </c>
      <c r="O489" s="2">
        <v>5</v>
      </c>
      <c r="P489" s="2">
        <v>10</v>
      </c>
      <c r="Q489" s="2" t="s">
        <v>2650</v>
      </c>
      <c r="R489" s="2" t="s">
        <v>2650</v>
      </c>
      <c r="S489" s="4">
        <v>44837</v>
      </c>
    </row>
    <row r="490" spans="1:19" ht="12.5" x14ac:dyDescent="0.25">
      <c r="A490" s="14" t="str">
        <f>HYPERLINK("https://gerandofalcoes.my.salesforce.com/0014X00002VKCrhQAH", "0014X00002VKCrhQAH")</f>
        <v>0014X00002VKCrhQAH</v>
      </c>
      <c r="B490" s="2" t="s">
        <v>3895</v>
      </c>
      <c r="C490" s="2" t="s">
        <v>1800</v>
      </c>
      <c r="D490" s="2" t="s">
        <v>2</v>
      </c>
      <c r="E490" s="2">
        <v>45</v>
      </c>
      <c r="F490" s="2">
        <v>6</v>
      </c>
      <c r="G490" s="2">
        <v>5</v>
      </c>
      <c r="H490" s="2">
        <v>150000</v>
      </c>
      <c r="I490" s="2">
        <v>200</v>
      </c>
      <c r="J490" s="2" t="s">
        <v>1671</v>
      </c>
      <c r="K490" s="2">
        <v>62</v>
      </c>
      <c r="L490" s="2">
        <v>15</v>
      </c>
      <c r="M490" s="2">
        <v>10</v>
      </c>
      <c r="N490" s="2">
        <v>10</v>
      </c>
      <c r="O490" s="2">
        <v>15</v>
      </c>
      <c r="P490" s="2">
        <v>12</v>
      </c>
      <c r="Q490" s="2" t="s">
        <v>7168</v>
      </c>
      <c r="R490" s="2" t="s">
        <v>3897</v>
      </c>
      <c r="S490" s="4">
        <v>44837</v>
      </c>
    </row>
    <row r="491" spans="1:19" ht="12.5" x14ac:dyDescent="0.25">
      <c r="A491" s="14" t="str">
        <f>HYPERLINK("https://gerandofalcoes.my.salesforce.com/0014X00002VKCuSQAX", "0014X00002VKCuSQAX")</f>
        <v>0014X00002VKCuSQAX</v>
      </c>
      <c r="B491" s="2" t="s">
        <v>2444</v>
      </c>
      <c r="C491" s="2" t="s">
        <v>1800</v>
      </c>
      <c r="D491" s="2" t="s">
        <v>2</v>
      </c>
      <c r="E491" s="2">
        <v>24</v>
      </c>
      <c r="F491" s="2">
        <v>6</v>
      </c>
      <c r="G491" s="2">
        <v>2</v>
      </c>
      <c r="H491" s="2">
        <v>15000</v>
      </c>
      <c r="I491" s="2">
        <v>336</v>
      </c>
      <c r="J491" s="2" t="s">
        <v>1671</v>
      </c>
      <c r="K491" s="2">
        <v>46</v>
      </c>
      <c r="L491" s="2">
        <v>10</v>
      </c>
      <c r="M491" s="2">
        <v>10</v>
      </c>
      <c r="N491" s="2">
        <v>6</v>
      </c>
      <c r="O491" s="2">
        <v>5</v>
      </c>
      <c r="P491" s="2">
        <v>15</v>
      </c>
      <c r="Q491" s="2" t="s">
        <v>2445</v>
      </c>
      <c r="R491" s="2" t="s">
        <v>2446</v>
      </c>
      <c r="S491" s="4">
        <v>44837</v>
      </c>
    </row>
    <row r="492" spans="1:19" ht="12.5" x14ac:dyDescent="0.25">
      <c r="A492" s="14" t="str">
        <f>HYPERLINK("https://gerandofalcoes.my.salesforce.com/0014X00002VKCr2QAH", "0014X00002VKCr2QAH")</f>
        <v>0014X00002VKCr2QAH</v>
      </c>
      <c r="B492" s="2" t="s">
        <v>1915</v>
      </c>
      <c r="C492" s="2" t="s">
        <v>423</v>
      </c>
      <c r="D492" s="2" t="s">
        <v>2</v>
      </c>
      <c r="E492" s="2">
        <v>36</v>
      </c>
      <c r="F492" s="2">
        <v>8</v>
      </c>
      <c r="G492" s="2">
        <v>2</v>
      </c>
      <c r="H492" s="2">
        <v>4500000</v>
      </c>
      <c r="I492" s="2">
        <v>-40</v>
      </c>
      <c r="J492" s="2" t="s">
        <v>1671</v>
      </c>
      <c r="K492" s="2">
        <v>56</v>
      </c>
      <c r="L492" s="2">
        <v>15</v>
      </c>
      <c r="M492" s="2">
        <v>10</v>
      </c>
      <c r="N492" s="2">
        <v>6</v>
      </c>
      <c r="O492" s="2">
        <v>25</v>
      </c>
      <c r="P492" s="2">
        <v>0</v>
      </c>
      <c r="Q492" s="2" t="s">
        <v>1916</v>
      </c>
      <c r="R492" s="2" t="s">
        <v>1917</v>
      </c>
      <c r="S492" s="4">
        <v>44837</v>
      </c>
    </row>
    <row r="493" spans="1:19" ht="12.5" x14ac:dyDescent="0.25">
      <c r="A493" s="14" t="str">
        <f>HYPERLINK("https://gerandofalcoes.my.salesforce.com/0014X00002VKCtHQAX", "0014X00002VKCtHQAX")</f>
        <v>0014X00002VKCtHQAX</v>
      </c>
      <c r="B493" s="2" t="s">
        <v>2188</v>
      </c>
      <c r="C493" s="2" t="s">
        <v>423</v>
      </c>
      <c r="D493" s="2" t="s">
        <v>2</v>
      </c>
      <c r="E493" s="2">
        <v>33</v>
      </c>
      <c r="F493" s="2">
        <v>0</v>
      </c>
      <c r="G493" s="2">
        <v>3</v>
      </c>
      <c r="H493" s="2">
        <v>3000</v>
      </c>
      <c r="I493" s="2">
        <v>0</v>
      </c>
      <c r="J493" s="2" t="s">
        <v>1779</v>
      </c>
      <c r="K493" s="2">
        <v>28</v>
      </c>
      <c r="L493" s="2">
        <v>15</v>
      </c>
      <c r="M493" s="2">
        <v>0</v>
      </c>
      <c r="N493" s="2">
        <v>8</v>
      </c>
      <c r="O493" s="2">
        <v>5</v>
      </c>
      <c r="P493" s="2">
        <v>0</v>
      </c>
      <c r="Q493" s="2" t="s">
        <v>2189</v>
      </c>
      <c r="R493" s="2" t="s">
        <v>2190</v>
      </c>
      <c r="S493" s="4">
        <v>44837</v>
      </c>
    </row>
    <row r="494" spans="1:19" ht="12.5" x14ac:dyDescent="0.25">
      <c r="A494" s="14" t="str">
        <f>HYPERLINK("https://gerandofalcoes.my.salesforce.com/0014X00002VKCtXQAX", "0014X00002VKCtXQAX")</f>
        <v>0014X00002VKCtXQAX</v>
      </c>
      <c r="B494" s="2" t="s">
        <v>2462</v>
      </c>
      <c r="C494" s="2" t="s">
        <v>423</v>
      </c>
      <c r="D494" s="2" t="s">
        <v>2</v>
      </c>
      <c r="E494" s="2">
        <v>23</v>
      </c>
      <c r="F494" s="2">
        <v>0</v>
      </c>
      <c r="G494" s="2">
        <v>2</v>
      </c>
      <c r="H494" s="2">
        <v>25000</v>
      </c>
      <c r="I494" s="2">
        <v>60</v>
      </c>
      <c r="J494" s="2" t="s">
        <v>1779</v>
      </c>
      <c r="K494" s="2">
        <v>31</v>
      </c>
      <c r="L494" s="2">
        <v>10</v>
      </c>
      <c r="M494" s="2">
        <v>0</v>
      </c>
      <c r="N494" s="2">
        <v>6</v>
      </c>
      <c r="O494" s="2">
        <v>10</v>
      </c>
      <c r="P494" s="2">
        <v>5</v>
      </c>
      <c r="Q494" s="2" t="s">
        <v>2463</v>
      </c>
      <c r="R494" s="2" t="s">
        <v>2464</v>
      </c>
      <c r="S494" s="4">
        <v>44837</v>
      </c>
    </row>
    <row r="495" spans="1:19" ht="12.5" x14ac:dyDescent="0.25">
      <c r="A495" s="14" t="str">
        <f>HYPERLINK("https://gerandofalcoes.my.salesforce.com/0014X00002VKCsDQAX", "0014X00002VKCsDQAX")</f>
        <v>0014X00002VKCsDQAX</v>
      </c>
      <c r="B495" s="2" t="s">
        <v>2789</v>
      </c>
      <c r="C495" s="2" t="s">
        <v>423</v>
      </c>
      <c r="D495" s="2" t="s">
        <v>2</v>
      </c>
      <c r="E495" s="2">
        <v>13</v>
      </c>
      <c r="F495" s="2">
        <v>0</v>
      </c>
      <c r="G495" s="2">
        <v>2</v>
      </c>
      <c r="H495" s="2">
        <v>14000</v>
      </c>
      <c r="I495" s="2">
        <v>60</v>
      </c>
      <c r="J495" s="2" t="s">
        <v>1779</v>
      </c>
      <c r="K495" s="2">
        <v>26</v>
      </c>
      <c r="L495" s="2">
        <v>10</v>
      </c>
      <c r="M495" s="2">
        <v>0</v>
      </c>
      <c r="N495" s="2">
        <v>6</v>
      </c>
      <c r="O495" s="2">
        <v>5</v>
      </c>
      <c r="P495" s="2">
        <v>5</v>
      </c>
      <c r="Q495" s="2" t="s">
        <v>2790</v>
      </c>
      <c r="R495" s="2" t="s">
        <v>2791</v>
      </c>
      <c r="S495" s="4">
        <v>44837</v>
      </c>
    </row>
    <row r="496" spans="1:19" ht="12.5" x14ac:dyDescent="0.25">
      <c r="A496" s="14" t="str">
        <f>HYPERLINK("https://gerandofalcoes.my.salesforce.com/0014X00002VKCrLQAX", "0014X00002VKCrLQAX")</f>
        <v>0014X00002VKCrLQAX</v>
      </c>
      <c r="B496" s="2" t="s">
        <v>2637</v>
      </c>
      <c r="C496" s="2" t="s">
        <v>1800</v>
      </c>
      <c r="D496" s="2" t="s">
        <v>2</v>
      </c>
      <c r="E496" s="2">
        <v>18</v>
      </c>
      <c r="F496" s="2">
        <v>0</v>
      </c>
      <c r="G496" s="2">
        <v>4</v>
      </c>
      <c r="H496" s="2">
        <v>6.5</v>
      </c>
      <c r="I496" s="2">
        <v>45</v>
      </c>
      <c r="J496" s="2" t="s">
        <v>1779</v>
      </c>
      <c r="K496" s="2">
        <v>30</v>
      </c>
      <c r="L496" s="2">
        <v>10</v>
      </c>
      <c r="M496" s="2">
        <v>0</v>
      </c>
      <c r="N496" s="2">
        <v>10</v>
      </c>
      <c r="O496" s="2">
        <v>5</v>
      </c>
      <c r="P496" s="2">
        <v>5</v>
      </c>
      <c r="Q496" s="2" t="s">
        <v>2638</v>
      </c>
      <c r="R496" s="2" t="s">
        <v>2638</v>
      </c>
      <c r="S496" s="4">
        <v>44837</v>
      </c>
    </row>
    <row r="497" spans="1:19" ht="12.5" x14ac:dyDescent="0.25">
      <c r="A497" s="14" t="str">
        <f>HYPERLINK("https://gerandofalcoes.my.salesforce.com/0014X00002VKCtMQAX", "0014X00002VKCtMQAX")</f>
        <v>0014X00002VKCtMQAX</v>
      </c>
      <c r="B497" s="2" t="s">
        <v>2762</v>
      </c>
      <c r="C497" s="2" t="s">
        <v>1800</v>
      </c>
      <c r="D497" s="2" t="s">
        <v>2</v>
      </c>
      <c r="E497" s="2">
        <v>14</v>
      </c>
      <c r="F497" s="2">
        <v>5</v>
      </c>
      <c r="G497" s="2">
        <v>2</v>
      </c>
      <c r="H497" s="2">
        <v>500</v>
      </c>
      <c r="I497" s="2">
        <v>0</v>
      </c>
      <c r="J497" s="2" t="s">
        <v>1779</v>
      </c>
      <c r="K497" s="2">
        <v>26</v>
      </c>
      <c r="L497" s="2">
        <v>10</v>
      </c>
      <c r="M497" s="2">
        <v>5</v>
      </c>
      <c r="N497" s="2">
        <v>6</v>
      </c>
      <c r="O497" s="2">
        <v>5</v>
      </c>
      <c r="P497" s="2">
        <v>0</v>
      </c>
      <c r="Q497" s="2" t="s">
        <v>2763</v>
      </c>
      <c r="R497" s="2" t="s">
        <v>2764</v>
      </c>
      <c r="S497" s="4">
        <v>44837</v>
      </c>
    </row>
    <row r="498" spans="1:19" ht="12.5" x14ac:dyDescent="0.25">
      <c r="A498" s="14" t="str">
        <f>HYPERLINK("https://gerandofalcoes.my.salesforce.com/0014X00002VKCqNQAX", "0014X00002VKCqNQAX")</f>
        <v>0014X00002VKCqNQAX</v>
      </c>
      <c r="B498" s="2" t="s">
        <v>2783</v>
      </c>
      <c r="C498" s="2" t="s">
        <v>423</v>
      </c>
      <c r="D498" s="2" t="s">
        <v>2</v>
      </c>
      <c r="E498" s="2">
        <v>13</v>
      </c>
      <c r="F498" s="2">
        <v>10</v>
      </c>
      <c r="G498" s="2">
        <v>10</v>
      </c>
      <c r="H498" s="2">
        <v>275000</v>
      </c>
      <c r="I498" s="2">
        <v>348</v>
      </c>
      <c r="J498" s="2" t="s">
        <v>1671</v>
      </c>
      <c r="K498" s="2">
        <v>60</v>
      </c>
      <c r="L498" s="2">
        <v>10</v>
      </c>
      <c r="M498" s="2">
        <v>10</v>
      </c>
      <c r="N498" s="2">
        <v>10</v>
      </c>
      <c r="O498" s="2">
        <v>15</v>
      </c>
      <c r="P498" s="2">
        <v>15</v>
      </c>
      <c r="Q498" s="2" t="s">
        <v>2784</v>
      </c>
      <c r="R498" s="2" t="s">
        <v>2785</v>
      </c>
      <c r="S498" s="4">
        <v>44837</v>
      </c>
    </row>
    <row r="499" spans="1:19" ht="12.5" x14ac:dyDescent="0.25">
      <c r="A499" s="14" t="str">
        <f>HYPERLINK("https://gerandofalcoes.my.salesforce.com/0014X00002VKCtRQAX", "0014X00002VKCtRQAX")</f>
        <v>0014X00002VKCtRQAX</v>
      </c>
      <c r="B499" s="2" t="s">
        <v>2529</v>
      </c>
      <c r="C499" s="2" t="s">
        <v>1800</v>
      </c>
      <c r="D499" s="2" t="s">
        <v>2</v>
      </c>
      <c r="E499" s="2">
        <v>21</v>
      </c>
      <c r="F499" s="2">
        <v>1</v>
      </c>
      <c r="G499" s="2">
        <v>6</v>
      </c>
      <c r="H499" s="2">
        <v>300</v>
      </c>
      <c r="I499" s="2">
        <v>30</v>
      </c>
      <c r="J499" s="2" t="s">
        <v>1779</v>
      </c>
      <c r="K499" s="2">
        <v>35</v>
      </c>
      <c r="L499" s="2">
        <v>10</v>
      </c>
      <c r="M499" s="2">
        <v>5</v>
      </c>
      <c r="N499" s="2">
        <v>10</v>
      </c>
      <c r="O499" s="2">
        <v>5</v>
      </c>
      <c r="P499" s="2">
        <v>5</v>
      </c>
      <c r="Q499" s="2" t="s">
        <v>2530</v>
      </c>
      <c r="R499" s="2" t="s">
        <v>2530</v>
      </c>
      <c r="S499" s="4">
        <v>44837</v>
      </c>
    </row>
    <row r="500" spans="1:19" ht="12.5" x14ac:dyDescent="0.25">
      <c r="A500" s="14" t="str">
        <f>HYPERLINK("https://gerandofalcoes.my.salesforce.com/0014X00002VKCrvQAH", "0014X00002VKCrvQAH")</f>
        <v>0014X00002VKCrvQAH</v>
      </c>
      <c r="B500" s="2" t="s">
        <v>2816</v>
      </c>
      <c r="C500" s="2" t="s">
        <v>423</v>
      </c>
      <c r="D500" s="2" t="s">
        <v>2</v>
      </c>
      <c r="E500" s="2">
        <v>10</v>
      </c>
      <c r="F500" s="2">
        <v>4</v>
      </c>
      <c r="G500" s="2">
        <v>1</v>
      </c>
      <c r="H500" s="2">
        <v>1200</v>
      </c>
      <c r="I500" s="2">
        <v>150</v>
      </c>
      <c r="J500" s="2" t="s">
        <v>1779</v>
      </c>
      <c r="K500" s="2">
        <v>36</v>
      </c>
      <c r="L500" s="2">
        <v>10</v>
      </c>
      <c r="M500" s="2">
        <v>5</v>
      </c>
      <c r="N500" s="2">
        <v>4</v>
      </c>
      <c r="O500" s="2">
        <v>5</v>
      </c>
      <c r="P500" s="2">
        <v>12</v>
      </c>
      <c r="Q500" s="2" t="s">
        <v>7160</v>
      </c>
      <c r="R500" s="2" t="s">
        <v>7160</v>
      </c>
      <c r="S500" s="4">
        <v>44837</v>
      </c>
    </row>
    <row r="501" spans="1:19" ht="12.5" x14ac:dyDescent="0.25">
      <c r="A501" s="14" t="str">
        <f>HYPERLINK("https://gerandofalcoes.my.salesforce.com/0014X00002VKD04QAH", "0014X00002VKD04QAH")</f>
        <v>0014X00002VKD04QAH</v>
      </c>
      <c r="B501" s="2" t="s">
        <v>2282</v>
      </c>
      <c r="C501" s="2" t="s">
        <v>423</v>
      </c>
      <c r="D501" s="2" t="s">
        <v>2</v>
      </c>
      <c r="E501" s="2">
        <v>37</v>
      </c>
      <c r="F501" s="2">
        <v>24</v>
      </c>
      <c r="G501" s="2">
        <v>3</v>
      </c>
      <c r="H501" s="2">
        <v>1200000</v>
      </c>
      <c r="I501" s="2">
        <v>35</v>
      </c>
      <c r="J501" s="2" t="s">
        <v>1650</v>
      </c>
      <c r="K501" s="2">
        <v>65</v>
      </c>
      <c r="L501" s="2">
        <v>15</v>
      </c>
      <c r="M501" s="2">
        <v>12</v>
      </c>
      <c r="N501" s="2">
        <v>8</v>
      </c>
      <c r="O501" s="2">
        <v>25</v>
      </c>
      <c r="P501" s="2">
        <v>5</v>
      </c>
      <c r="Q501" s="2" t="s">
        <v>2283</v>
      </c>
      <c r="R501" s="2" t="s">
        <v>2284</v>
      </c>
      <c r="S501" s="4">
        <v>44837</v>
      </c>
    </row>
    <row r="502" spans="1:19" ht="12.5" x14ac:dyDescent="0.25">
      <c r="A502" s="14" t="str">
        <f>HYPERLINK("https://gerandofalcoes.my.salesforce.com/0014X00002VKCvAQAX", "0014X00002VKCvAQAX")</f>
        <v>0014X00002VKCvAQAX</v>
      </c>
      <c r="B502" s="2" t="s">
        <v>2927</v>
      </c>
      <c r="C502" s="2" t="s">
        <v>423</v>
      </c>
      <c r="D502" s="2" t="s">
        <v>2</v>
      </c>
      <c r="E502" s="2">
        <v>6.68</v>
      </c>
      <c r="F502" s="2">
        <v>0</v>
      </c>
      <c r="G502" s="2">
        <v>1</v>
      </c>
      <c r="H502" s="2">
        <v>35000</v>
      </c>
      <c r="I502" s="2">
        <v>0</v>
      </c>
      <c r="J502" s="2" t="s">
        <v>1779</v>
      </c>
      <c r="K502" s="2">
        <v>24</v>
      </c>
      <c r="L502" s="2">
        <v>10</v>
      </c>
      <c r="M502" s="2">
        <v>0</v>
      </c>
      <c r="N502" s="2">
        <v>4</v>
      </c>
      <c r="O502" s="2">
        <v>10</v>
      </c>
      <c r="P502" s="2">
        <v>0</v>
      </c>
      <c r="Q502" s="2" t="s">
        <v>2928</v>
      </c>
      <c r="R502" s="2" t="s">
        <v>2929</v>
      </c>
      <c r="S502" s="4">
        <v>44837</v>
      </c>
    </row>
    <row r="503" spans="1:19" ht="12.5" x14ac:dyDescent="0.25">
      <c r="A503" s="14" t="str">
        <f>HYPERLINK("https://gerandofalcoes.my.salesforce.com/0014X00002VKCrZQAX", "0014X00002VKCrZQAX")</f>
        <v>0014X00002VKCrZQAX</v>
      </c>
      <c r="B503" s="2" t="s">
        <v>1724</v>
      </c>
      <c r="C503" s="2" t="s">
        <v>423</v>
      </c>
      <c r="D503" s="2" t="s">
        <v>2</v>
      </c>
      <c r="E503" s="2">
        <v>80</v>
      </c>
      <c r="F503" s="2">
        <v>5</v>
      </c>
      <c r="G503" s="2">
        <v>7</v>
      </c>
      <c r="H503" s="2">
        <v>701915</v>
      </c>
      <c r="I503" s="2">
        <v>259</v>
      </c>
      <c r="J503" s="2" t="s">
        <v>1650</v>
      </c>
      <c r="K503" s="2">
        <v>72</v>
      </c>
      <c r="L503" s="2">
        <v>25</v>
      </c>
      <c r="M503" s="2">
        <v>5</v>
      </c>
      <c r="N503" s="2">
        <v>10</v>
      </c>
      <c r="O503" s="2">
        <v>20</v>
      </c>
      <c r="P503" s="2">
        <v>12</v>
      </c>
      <c r="Q503" s="2" t="s">
        <v>1725</v>
      </c>
      <c r="R503" s="2" t="s">
        <v>1726</v>
      </c>
      <c r="S503" s="4">
        <v>44837</v>
      </c>
    </row>
    <row r="504" spans="1:19" ht="12.5" x14ac:dyDescent="0.25">
      <c r="A504" s="14" t="str">
        <f>HYPERLINK("https://gerandofalcoes.my.salesforce.com/0014X00002VMXzMQAX", "0014X00002VMXzMQAX")</f>
        <v>0014X00002VMXzMQAX</v>
      </c>
      <c r="B504" s="2" t="s">
        <v>2916</v>
      </c>
      <c r="C504" s="2" t="s">
        <v>423</v>
      </c>
      <c r="D504" s="2" t="s">
        <v>2</v>
      </c>
      <c r="E504" s="2">
        <v>20</v>
      </c>
      <c r="F504" s="2">
        <v>1</v>
      </c>
      <c r="G504" s="2">
        <v>2</v>
      </c>
      <c r="H504" s="2">
        <v>18000</v>
      </c>
      <c r="I504" s="2">
        <v>10</v>
      </c>
      <c r="J504" s="2" t="s">
        <v>1779</v>
      </c>
      <c r="K504" s="2">
        <v>31</v>
      </c>
      <c r="L504" s="2">
        <v>10</v>
      </c>
      <c r="M504" s="2">
        <v>5</v>
      </c>
      <c r="N504" s="2">
        <v>6</v>
      </c>
      <c r="O504" s="2">
        <v>5</v>
      </c>
      <c r="P504" s="2">
        <v>5</v>
      </c>
      <c r="Q504" s="2" t="s">
        <v>2917</v>
      </c>
      <c r="R504" s="2" t="s">
        <v>2918</v>
      </c>
      <c r="S504" s="4">
        <v>44837</v>
      </c>
    </row>
    <row r="505" spans="1:19" ht="12.5" x14ac:dyDescent="0.25">
      <c r="A505" s="14" t="str">
        <f>HYPERLINK("https://gerandofalcoes.my.salesforce.com/0014X00002VKCtEQAX", "0014X00002VKCtEQAX")</f>
        <v>0014X00002VKCtEQAX</v>
      </c>
      <c r="B505" s="2" t="s">
        <v>2717</v>
      </c>
      <c r="C505" s="2" t="s">
        <v>423</v>
      </c>
      <c r="D505" s="2" t="s">
        <v>2</v>
      </c>
      <c r="E505" s="2">
        <v>15</v>
      </c>
      <c r="F505" s="2">
        <v>0</v>
      </c>
      <c r="G505" s="2">
        <v>3</v>
      </c>
      <c r="H505" s="2">
        <v>0</v>
      </c>
      <c r="I505" s="2">
        <v>187</v>
      </c>
      <c r="J505" s="2" t="s">
        <v>1779</v>
      </c>
      <c r="K505" s="2">
        <v>30</v>
      </c>
      <c r="L505" s="2">
        <v>10</v>
      </c>
      <c r="M505" s="2">
        <v>0</v>
      </c>
      <c r="N505" s="2">
        <v>8</v>
      </c>
      <c r="O505" s="2">
        <v>0</v>
      </c>
      <c r="P505" s="2">
        <v>12</v>
      </c>
      <c r="Q505" s="2" t="s">
        <v>2718</v>
      </c>
      <c r="R505" s="2" t="s">
        <v>2719</v>
      </c>
      <c r="S505" s="4">
        <v>44837</v>
      </c>
    </row>
    <row r="506" spans="1:19" ht="12.5" x14ac:dyDescent="0.25">
      <c r="A506" s="14" t="str">
        <f>HYPERLINK("https://gerandofalcoes.my.salesforce.com/0014X00002VKCqTQAX", "0014X00002VKCqTQAX")</f>
        <v>0014X00002VKCqTQAX</v>
      </c>
      <c r="B506" s="2" t="s">
        <v>2431</v>
      </c>
      <c r="C506" s="2" t="s">
        <v>423</v>
      </c>
      <c r="D506" s="2" t="s">
        <v>2</v>
      </c>
      <c r="E506" s="2">
        <v>33</v>
      </c>
      <c r="F506" s="2">
        <v>0</v>
      </c>
      <c r="G506" s="2">
        <v>1</v>
      </c>
      <c r="H506" s="2">
        <v>7500</v>
      </c>
      <c r="I506" s="2">
        <v>250</v>
      </c>
      <c r="J506" s="2" t="s">
        <v>1779</v>
      </c>
      <c r="K506" s="2">
        <v>36</v>
      </c>
      <c r="L506" s="2">
        <v>15</v>
      </c>
      <c r="M506" s="2">
        <v>0</v>
      </c>
      <c r="N506" s="2">
        <v>4</v>
      </c>
      <c r="O506" s="2">
        <v>5</v>
      </c>
      <c r="P506" s="2">
        <v>12</v>
      </c>
      <c r="Q506" s="2" t="s">
        <v>2432</v>
      </c>
      <c r="R506" s="2" t="s">
        <v>2432</v>
      </c>
      <c r="S506" s="4">
        <v>44837</v>
      </c>
    </row>
    <row r="507" spans="1:19" ht="12.5" x14ac:dyDescent="0.25">
      <c r="A507" s="14" t="str">
        <f>HYPERLINK("https://gerandofalcoes.my.salesforce.com/0014X00002VKCriQAH", "0014X00002VKCriQAH")</f>
        <v>0014X00002VKCriQAH</v>
      </c>
      <c r="B507" s="2" t="s">
        <v>1905</v>
      </c>
      <c r="C507" s="2" t="s">
        <v>423</v>
      </c>
      <c r="D507" s="2" t="s">
        <v>2</v>
      </c>
      <c r="E507" s="2">
        <v>43.02</v>
      </c>
      <c r="F507" s="2">
        <v>0</v>
      </c>
      <c r="G507" s="2">
        <v>2</v>
      </c>
      <c r="H507" s="2">
        <v>2105801</v>
      </c>
      <c r="I507" s="2">
        <v>84</v>
      </c>
      <c r="J507" s="2" t="s">
        <v>1671</v>
      </c>
      <c r="K507" s="2">
        <v>56</v>
      </c>
      <c r="L507" s="2">
        <v>15</v>
      </c>
      <c r="M507" s="2">
        <v>0</v>
      </c>
      <c r="N507" s="2">
        <v>6</v>
      </c>
      <c r="O507" s="2">
        <v>25</v>
      </c>
      <c r="P507" s="2">
        <v>10</v>
      </c>
      <c r="Q507" s="2" t="s">
        <v>1906</v>
      </c>
      <c r="R507" s="2" t="s">
        <v>1907</v>
      </c>
      <c r="S507" s="4">
        <v>44837</v>
      </c>
    </row>
    <row r="508" spans="1:19" ht="12.5" x14ac:dyDescent="0.25">
      <c r="A508" s="14" t="str">
        <f>HYPERLINK("https://gerandofalcoes.my.salesforce.com/0014X00002VKCrCQAX", "0014X00002VKCrCQAX")</f>
        <v>0014X00002VKCrCQAX</v>
      </c>
      <c r="B508" s="2" t="s">
        <v>2534</v>
      </c>
      <c r="C508" s="2" t="s">
        <v>423</v>
      </c>
      <c r="D508" s="2" t="s">
        <v>2</v>
      </c>
      <c r="E508" s="2">
        <v>21</v>
      </c>
      <c r="F508" s="2">
        <v>0</v>
      </c>
      <c r="G508" s="2">
        <v>2</v>
      </c>
      <c r="H508" s="2">
        <v>12000</v>
      </c>
      <c r="I508" s="2">
        <v>0</v>
      </c>
      <c r="J508" s="2" t="s">
        <v>1779</v>
      </c>
      <c r="K508" s="2">
        <v>21</v>
      </c>
      <c r="L508" s="2">
        <v>10</v>
      </c>
      <c r="M508" s="2">
        <v>0</v>
      </c>
      <c r="N508" s="2">
        <v>6</v>
      </c>
      <c r="O508" s="2">
        <v>5</v>
      </c>
      <c r="P508" s="2">
        <v>0</v>
      </c>
      <c r="Q508" s="2" t="s">
        <v>2535</v>
      </c>
      <c r="R508" s="2" t="s">
        <v>2535</v>
      </c>
      <c r="S508" s="4">
        <v>44837</v>
      </c>
    </row>
    <row r="509" spans="1:19" ht="12.5" x14ac:dyDescent="0.25">
      <c r="A509" s="14" t="str">
        <f>HYPERLINK("https://gerandofalcoes.my.salesforce.com/0014X00002VKCtbQAH", "0014X00002VKCtbQAH")</f>
        <v>0014X00002VKCtbQAH</v>
      </c>
      <c r="B509" s="2" t="s">
        <v>2871</v>
      </c>
      <c r="C509" s="2" t="s">
        <v>423</v>
      </c>
      <c r="D509" s="2" t="s">
        <v>2</v>
      </c>
      <c r="E509" s="2">
        <v>9.98</v>
      </c>
      <c r="F509" s="2">
        <v>11</v>
      </c>
      <c r="G509" s="2">
        <v>0</v>
      </c>
      <c r="H509" s="2">
        <v>0</v>
      </c>
      <c r="I509" s="2">
        <v>80</v>
      </c>
      <c r="J509" s="2" t="s">
        <v>1779</v>
      </c>
      <c r="K509" s="2">
        <v>32</v>
      </c>
      <c r="L509" s="2">
        <v>10</v>
      </c>
      <c r="M509" s="2">
        <v>12</v>
      </c>
      <c r="N509" s="2">
        <v>0</v>
      </c>
      <c r="O509" s="2">
        <v>0</v>
      </c>
      <c r="P509" s="2">
        <v>10</v>
      </c>
      <c r="Q509" s="2" t="s">
        <v>2872</v>
      </c>
      <c r="R509" s="2" t="s">
        <v>2873</v>
      </c>
      <c r="S509" s="4">
        <v>44837</v>
      </c>
    </row>
    <row r="510" spans="1:19" ht="12.5" x14ac:dyDescent="0.25">
      <c r="A510" s="14" t="str">
        <f>HYPERLINK("https://gerandofalcoes.my.salesforce.com/0014X00002VKCpwQAH", "0014X00002VKCpwQAH")</f>
        <v>0014X00002VKCpwQAH</v>
      </c>
      <c r="B510" s="2" t="s">
        <v>1940</v>
      </c>
      <c r="C510" s="2" t="s">
        <v>423</v>
      </c>
      <c r="D510" s="2" t="s">
        <v>2</v>
      </c>
      <c r="E510" s="2">
        <v>23</v>
      </c>
      <c r="F510" s="2">
        <v>0</v>
      </c>
      <c r="G510" s="2">
        <v>3</v>
      </c>
      <c r="H510" s="2">
        <v>4289056</v>
      </c>
      <c r="I510" s="2">
        <v>400</v>
      </c>
      <c r="J510" s="2" t="s">
        <v>1671</v>
      </c>
      <c r="K510" s="2">
        <v>58</v>
      </c>
      <c r="L510" s="2">
        <v>10</v>
      </c>
      <c r="M510" s="2">
        <v>0</v>
      </c>
      <c r="N510" s="2">
        <v>8</v>
      </c>
      <c r="O510" s="2">
        <v>25</v>
      </c>
      <c r="P510" s="2">
        <v>15</v>
      </c>
      <c r="Q510" s="2" t="s">
        <v>1941</v>
      </c>
      <c r="R510" s="2" t="s">
        <v>1942</v>
      </c>
      <c r="S510" s="4">
        <v>44837</v>
      </c>
    </row>
    <row r="511" spans="1:19" ht="12.5" x14ac:dyDescent="0.25">
      <c r="A511" s="14" t="str">
        <f>HYPERLINK("https://gerandofalcoes.my.salesforce.com/0014X00002VKCt8QAH", "0014X00002VKCt8QAH")</f>
        <v>0014X00002VKCt8QAH</v>
      </c>
      <c r="B511" s="2" t="s">
        <v>2938</v>
      </c>
      <c r="C511" s="2" t="s">
        <v>423</v>
      </c>
      <c r="D511" s="2" t="s">
        <v>2</v>
      </c>
      <c r="E511" s="2">
        <v>5.84</v>
      </c>
      <c r="F511" s="2">
        <v>0</v>
      </c>
      <c r="G511" s="2">
        <v>0</v>
      </c>
      <c r="H511" s="2">
        <v>0</v>
      </c>
      <c r="I511" s="2">
        <v>0</v>
      </c>
      <c r="J511" s="2" t="s">
        <v>1779</v>
      </c>
      <c r="K511" s="2">
        <v>10</v>
      </c>
      <c r="L511" s="2">
        <v>10</v>
      </c>
      <c r="M511" s="2">
        <v>0</v>
      </c>
      <c r="N511" s="2">
        <v>0</v>
      </c>
      <c r="O511" s="2">
        <v>0</v>
      </c>
      <c r="P511" s="2">
        <v>0</v>
      </c>
      <c r="Q511" s="2" t="s">
        <v>2939</v>
      </c>
      <c r="R511" s="2" t="s">
        <v>2940</v>
      </c>
      <c r="S511" s="4">
        <v>44837</v>
      </c>
    </row>
    <row r="512" spans="1:19" ht="12.5" x14ac:dyDescent="0.25">
      <c r="A512" s="14" t="str">
        <f>HYPERLINK("https://gerandofalcoes.my.salesforce.com/0014X00002VKCuJQAX", "0014X00002VKCuJQAX")</f>
        <v>0014X00002VKCuJQAX</v>
      </c>
      <c r="B512" s="2" t="s">
        <v>2073</v>
      </c>
      <c r="C512" s="2" t="s">
        <v>423</v>
      </c>
      <c r="D512" s="2" t="s">
        <v>2</v>
      </c>
      <c r="E512" s="2">
        <v>36</v>
      </c>
      <c r="F512" s="2">
        <v>0</v>
      </c>
      <c r="G512" s="2">
        <v>3</v>
      </c>
      <c r="H512" s="2">
        <v>3000</v>
      </c>
      <c r="I512" s="2">
        <v>100</v>
      </c>
      <c r="J512" s="2" t="s">
        <v>1779</v>
      </c>
      <c r="K512" s="2">
        <v>38</v>
      </c>
      <c r="L512" s="2">
        <v>15</v>
      </c>
      <c r="M512" s="2">
        <v>0</v>
      </c>
      <c r="N512" s="2">
        <v>8</v>
      </c>
      <c r="O512" s="2">
        <v>5</v>
      </c>
      <c r="P512" s="2">
        <v>10</v>
      </c>
      <c r="Q512" s="2" t="s">
        <v>2074</v>
      </c>
      <c r="R512" s="2" t="s">
        <v>2075</v>
      </c>
      <c r="S512" s="4">
        <v>44837</v>
      </c>
    </row>
    <row r="513" spans="1:19" ht="12.5" x14ac:dyDescent="0.25">
      <c r="A513" s="14" t="str">
        <f>HYPERLINK("https://gerandofalcoes.my.salesforce.com/0014X00002VKCtjQAH", "0014X00002VKCtjQAH")</f>
        <v>0014X00002VKCtjQAH</v>
      </c>
      <c r="B513" s="2" t="s">
        <v>2144</v>
      </c>
      <c r="C513" s="2" t="s">
        <v>423</v>
      </c>
      <c r="D513" s="2" t="s">
        <v>2</v>
      </c>
      <c r="E513" s="2">
        <v>33.86</v>
      </c>
      <c r="F513" s="2">
        <v>0</v>
      </c>
      <c r="G513" s="2">
        <v>5</v>
      </c>
      <c r="H513" s="2">
        <v>120000</v>
      </c>
      <c r="I513" s="2">
        <v>100</v>
      </c>
      <c r="J513" s="2" t="s">
        <v>1671</v>
      </c>
      <c r="K513" s="2">
        <v>50</v>
      </c>
      <c r="L513" s="2">
        <v>15</v>
      </c>
      <c r="M513" s="2">
        <v>0</v>
      </c>
      <c r="N513" s="2">
        <v>10</v>
      </c>
      <c r="O513" s="2">
        <v>15</v>
      </c>
      <c r="P513" s="2">
        <v>10</v>
      </c>
      <c r="Q513" s="2" t="s">
        <v>2145</v>
      </c>
      <c r="R513" s="2" t="s">
        <v>2146</v>
      </c>
      <c r="S513" s="4">
        <v>44837</v>
      </c>
    </row>
    <row r="514" spans="1:19" ht="12.5" x14ac:dyDescent="0.25">
      <c r="A514" s="14" t="str">
        <f>HYPERLINK("https://gerandofalcoes.my.salesforce.com/0014X00002VKCryQAH", "0014X00002VKCryQAH")</f>
        <v>0014X00002VKCryQAH</v>
      </c>
      <c r="B514" s="2" t="s">
        <v>1824</v>
      </c>
      <c r="C514" s="2" t="s">
        <v>423</v>
      </c>
      <c r="D514" s="2" t="s">
        <v>2</v>
      </c>
      <c r="E514" s="2">
        <v>51</v>
      </c>
      <c r="F514" s="2">
        <v>2</v>
      </c>
      <c r="G514" s="2">
        <v>7</v>
      </c>
      <c r="H514" s="2">
        <v>200000</v>
      </c>
      <c r="I514" s="2">
        <v>90</v>
      </c>
      <c r="J514" s="2" t="s">
        <v>1671</v>
      </c>
      <c r="K514" s="2">
        <v>60</v>
      </c>
      <c r="L514" s="2">
        <v>20</v>
      </c>
      <c r="M514" s="2">
        <v>5</v>
      </c>
      <c r="N514" s="2">
        <v>10</v>
      </c>
      <c r="O514" s="2">
        <v>15</v>
      </c>
      <c r="P514" s="2">
        <v>10</v>
      </c>
      <c r="Q514" s="2" t="s">
        <v>1825</v>
      </c>
      <c r="R514" s="2" t="s">
        <v>1826</v>
      </c>
      <c r="S514" s="4">
        <v>44837</v>
      </c>
    </row>
    <row r="515" spans="1:19" ht="12.5" x14ac:dyDescent="0.25">
      <c r="A515" s="14" t="str">
        <f>HYPERLINK("https://gerandofalcoes.my.salesforce.com/0014X00002VKCtFQAX", "0014X00002VKCtFQAX")</f>
        <v>0014X00002VKCtFQAX</v>
      </c>
      <c r="B515" s="2" t="s">
        <v>2112</v>
      </c>
      <c r="C515" s="2" t="s">
        <v>423</v>
      </c>
      <c r="D515" s="2" t="s">
        <v>2</v>
      </c>
      <c r="E515" s="2">
        <v>35</v>
      </c>
      <c r="F515" s="2">
        <v>12</v>
      </c>
      <c r="G515" s="2">
        <v>2</v>
      </c>
      <c r="H515" s="2">
        <v>100000</v>
      </c>
      <c r="I515" s="2">
        <v>40</v>
      </c>
      <c r="J515" s="2" t="s">
        <v>1671</v>
      </c>
      <c r="K515" s="2">
        <v>53</v>
      </c>
      <c r="L515" s="2">
        <v>15</v>
      </c>
      <c r="M515" s="2">
        <v>12</v>
      </c>
      <c r="N515" s="2">
        <v>6</v>
      </c>
      <c r="O515" s="2">
        <v>15</v>
      </c>
      <c r="P515" s="2">
        <v>5</v>
      </c>
      <c r="Q515" s="2" t="s">
        <v>2113</v>
      </c>
      <c r="R515" s="2" t="s">
        <v>2113</v>
      </c>
      <c r="S515" s="4">
        <v>44837</v>
      </c>
    </row>
    <row r="516" spans="1:19" ht="12.5" x14ac:dyDescent="0.25">
      <c r="A516" s="14" t="str">
        <f>HYPERLINK("https://gerandofalcoes.my.salesforce.com/0014X00002VKCsRQAX", "0014X00002VKCsRQAX")</f>
        <v>0014X00002VKCsRQAX</v>
      </c>
      <c r="B516" s="2" t="s">
        <v>2878</v>
      </c>
      <c r="C516" s="2" t="s">
        <v>423</v>
      </c>
      <c r="D516" s="2" t="s">
        <v>2</v>
      </c>
      <c r="E516" s="2">
        <v>29</v>
      </c>
      <c r="F516" s="2">
        <v>0</v>
      </c>
      <c r="G516" s="2">
        <v>1</v>
      </c>
      <c r="H516" s="2">
        <v>15000</v>
      </c>
      <c r="I516" s="2">
        <v>250</v>
      </c>
      <c r="J516" s="2" t="s">
        <v>1779</v>
      </c>
      <c r="K516" s="2">
        <v>36</v>
      </c>
      <c r="L516" s="2">
        <v>15</v>
      </c>
      <c r="M516" s="2">
        <v>0</v>
      </c>
      <c r="N516" s="2">
        <v>4</v>
      </c>
      <c r="O516" s="2">
        <v>5</v>
      </c>
      <c r="P516" s="2">
        <v>12</v>
      </c>
      <c r="Q516" s="2" t="s">
        <v>2879</v>
      </c>
      <c r="R516" s="2" t="s">
        <v>2880</v>
      </c>
      <c r="S516" s="4">
        <v>44837</v>
      </c>
    </row>
    <row r="517" spans="1:19" ht="12.5" x14ac:dyDescent="0.25">
      <c r="A517" s="14" t="str">
        <f>HYPERLINK("https://gerandofalcoes.my.salesforce.com/0014X00002VKCsdQAH", "0014X00002VKCsdQAH")</f>
        <v>0014X00002VKCsdQAH</v>
      </c>
      <c r="B517" s="2" t="s">
        <v>2857</v>
      </c>
      <c r="C517" s="2" t="s">
        <v>1800</v>
      </c>
      <c r="D517" s="2" t="s">
        <v>2</v>
      </c>
      <c r="E517" s="2">
        <v>10</v>
      </c>
      <c r="F517" s="2">
        <v>0</v>
      </c>
      <c r="G517" s="2">
        <v>2</v>
      </c>
      <c r="H517" s="2">
        <v>24000</v>
      </c>
      <c r="I517" s="2">
        <v>95</v>
      </c>
      <c r="J517" s="2" t="s">
        <v>1779</v>
      </c>
      <c r="K517" s="2">
        <v>31</v>
      </c>
      <c r="L517" s="2">
        <v>10</v>
      </c>
      <c r="M517" s="2">
        <v>0</v>
      </c>
      <c r="N517" s="2">
        <v>6</v>
      </c>
      <c r="O517" s="2">
        <v>5</v>
      </c>
      <c r="P517" s="2">
        <v>10</v>
      </c>
      <c r="Q517" s="2" t="s">
        <v>2858</v>
      </c>
      <c r="R517" s="2" t="s">
        <v>2859</v>
      </c>
      <c r="S517" s="4">
        <v>44837</v>
      </c>
    </row>
    <row r="518" spans="1:19" ht="12.5" x14ac:dyDescent="0.25">
      <c r="A518" s="14" t="str">
        <f>HYPERLINK("https://gerandofalcoes.my.salesforce.com/0014X00002VKCurQAH", "0014X00002VKCurQAH")</f>
        <v>0014X00002VKCurQAH</v>
      </c>
      <c r="B518" s="2" t="s">
        <v>2484</v>
      </c>
      <c r="C518" s="2" t="s">
        <v>423</v>
      </c>
      <c r="D518" s="2" t="s">
        <v>2</v>
      </c>
      <c r="E518" s="2">
        <v>22</v>
      </c>
      <c r="F518" s="2">
        <v>0</v>
      </c>
      <c r="G518" s="2">
        <v>2</v>
      </c>
      <c r="H518" s="2">
        <v>30000</v>
      </c>
      <c r="I518" s="2">
        <v>90</v>
      </c>
      <c r="J518" s="2" t="s">
        <v>1779</v>
      </c>
      <c r="K518" s="2">
        <v>36</v>
      </c>
      <c r="L518" s="2">
        <v>10</v>
      </c>
      <c r="M518" s="2">
        <v>0</v>
      </c>
      <c r="N518" s="2">
        <v>6</v>
      </c>
      <c r="O518" s="2">
        <v>10</v>
      </c>
      <c r="P518" s="2">
        <v>10</v>
      </c>
      <c r="Q518" s="2" t="s">
        <v>2485</v>
      </c>
      <c r="R518" s="2" t="s">
        <v>2486</v>
      </c>
      <c r="S518" s="4">
        <v>44837</v>
      </c>
    </row>
    <row r="519" spans="1:19" ht="12.5" x14ac:dyDescent="0.25">
      <c r="A519" s="14" t="str">
        <f>HYPERLINK("https://gerandofalcoes.my.salesforce.com/0014X00002VKCqGQAX", "0014X00002VKCqGQAX")</f>
        <v>0014X00002VKCqGQAX</v>
      </c>
      <c r="B519" s="2" t="s">
        <v>2372</v>
      </c>
      <c r="C519" s="2" t="s">
        <v>423</v>
      </c>
      <c r="D519" s="2" t="s">
        <v>2</v>
      </c>
      <c r="E519" s="2">
        <v>26</v>
      </c>
      <c r="F519" s="2">
        <v>0</v>
      </c>
      <c r="G519" s="2">
        <v>2</v>
      </c>
      <c r="H519" s="2">
        <v>0</v>
      </c>
      <c r="I519" s="2">
        <v>0</v>
      </c>
      <c r="J519" s="2" t="s">
        <v>1779</v>
      </c>
      <c r="K519" s="2">
        <v>21</v>
      </c>
      <c r="L519" s="2">
        <v>15</v>
      </c>
      <c r="M519" s="2">
        <v>0</v>
      </c>
      <c r="N519" s="2">
        <v>6</v>
      </c>
      <c r="O519" s="2">
        <v>0</v>
      </c>
      <c r="P519" s="2">
        <v>0</v>
      </c>
      <c r="Q519" s="2" t="s">
        <v>2373</v>
      </c>
      <c r="R519" s="2" t="s">
        <v>2374</v>
      </c>
      <c r="S519" s="4">
        <v>44837</v>
      </c>
    </row>
    <row r="520" spans="1:19" ht="12.5" x14ac:dyDescent="0.25">
      <c r="A520" s="14" t="str">
        <f>HYPERLINK("https://gerandofalcoes.my.salesforce.com/0014X00002VKD06QAH", "0014X00002VKD06QAH")</f>
        <v>0014X00002VKD06QAH</v>
      </c>
      <c r="B520" s="2" t="s">
        <v>2677</v>
      </c>
      <c r="C520" s="2" t="s">
        <v>423</v>
      </c>
      <c r="D520" s="2" t="s">
        <v>2</v>
      </c>
      <c r="E520" s="2">
        <v>44</v>
      </c>
      <c r="F520" s="2">
        <v>17</v>
      </c>
      <c r="G520" s="2">
        <v>4</v>
      </c>
      <c r="H520" s="2">
        <v>56138481</v>
      </c>
      <c r="I520" s="2">
        <v>74</v>
      </c>
      <c r="J520" s="2" t="s">
        <v>1650</v>
      </c>
      <c r="K520" s="2">
        <v>67</v>
      </c>
      <c r="L520" s="2">
        <v>15</v>
      </c>
      <c r="M520" s="2">
        <v>12</v>
      </c>
      <c r="N520" s="2">
        <v>10</v>
      </c>
      <c r="O520" s="2">
        <v>25</v>
      </c>
      <c r="P520" s="2">
        <v>5</v>
      </c>
      <c r="Q520" s="2" t="s">
        <v>2678</v>
      </c>
      <c r="R520" s="2" t="s">
        <v>2679</v>
      </c>
      <c r="S520" s="4">
        <v>44837</v>
      </c>
    </row>
    <row r="521" spans="1:19" ht="12.5" x14ac:dyDescent="0.25">
      <c r="A521" s="14" t="str">
        <f>HYPERLINK("https://gerandofalcoes.my.salesforce.com/0014X00002VKCv7QAH", "0014X00002VKCv7QAH")</f>
        <v>0014X00002VKCv7QAH</v>
      </c>
      <c r="B521" s="2" t="s">
        <v>2568</v>
      </c>
      <c r="C521" s="2" t="s">
        <v>1800</v>
      </c>
      <c r="D521" s="2" t="s">
        <v>2</v>
      </c>
      <c r="E521" s="2">
        <v>20</v>
      </c>
      <c r="F521" s="2">
        <v>0</v>
      </c>
      <c r="G521" s="2">
        <v>3</v>
      </c>
      <c r="H521" s="2">
        <v>2000</v>
      </c>
      <c r="I521" s="2">
        <v>0</v>
      </c>
      <c r="J521" s="2" t="s">
        <v>1779</v>
      </c>
      <c r="K521" s="2">
        <v>23</v>
      </c>
      <c r="L521" s="2">
        <v>10</v>
      </c>
      <c r="M521" s="2">
        <v>0</v>
      </c>
      <c r="N521" s="2">
        <v>8</v>
      </c>
      <c r="O521" s="2">
        <v>5</v>
      </c>
      <c r="P521" s="2">
        <v>0</v>
      </c>
      <c r="Q521" s="2" t="s">
        <v>2569</v>
      </c>
      <c r="R521" s="2" t="s">
        <v>2570</v>
      </c>
      <c r="S521" s="4">
        <v>44837</v>
      </c>
    </row>
    <row r="522" spans="1:19" ht="12.5" x14ac:dyDescent="0.25">
      <c r="A522" s="14" t="str">
        <f>HYPERLINK("https://gerandofalcoes.my.salesforce.com/0014X00002VKCreQAH", "0014X00002VKCreQAH")</f>
        <v>0014X00002VKCreQAH</v>
      </c>
      <c r="B522" s="2" t="s">
        <v>2914</v>
      </c>
      <c r="C522" s="2" t="s">
        <v>423</v>
      </c>
      <c r="D522" s="2" t="s">
        <v>2</v>
      </c>
      <c r="E522" s="2">
        <v>29</v>
      </c>
      <c r="F522" s="2">
        <v>0</v>
      </c>
      <c r="G522" s="2">
        <v>1</v>
      </c>
      <c r="H522" s="2">
        <v>3245</v>
      </c>
      <c r="I522" s="2">
        <v>0</v>
      </c>
      <c r="J522" s="2" t="s">
        <v>1779</v>
      </c>
      <c r="K522" s="2">
        <v>24</v>
      </c>
      <c r="L522" s="2">
        <v>15</v>
      </c>
      <c r="M522" s="2">
        <v>0</v>
      </c>
      <c r="N522" s="2">
        <v>4</v>
      </c>
      <c r="O522" s="2">
        <v>5</v>
      </c>
      <c r="P522" s="2">
        <v>0</v>
      </c>
      <c r="Q522" s="2" t="s">
        <v>2915</v>
      </c>
      <c r="R522" s="2" t="s">
        <v>2915</v>
      </c>
      <c r="S522" s="4">
        <v>44837</v>
      </c>
    </row>
    <row r="523" spans="1:19" ht="12.5" x14ac:dyDescent="0.25">
      <c r="A523" s="14" t="str">
        <f>HYPERLINK("https://gerandofalcoes.my.salesforce.com/0014X00002VKCrbQAH", "0014X00002VKCrbQAH")</f>
        <v>0014X00002VKCrbQAH</v>
      </c>
      <c r="B523" s="2" t="s">
        <v>2820</v>
      </c>
      <c r="C523" s="2" t="s">
        <v>423</v>
      </c>
      <c r="D523" s="2" t="s">
        <v>2</v>
      </c>
      <c r="E523" s="2">
        <v>12</v>
      </c>
      <c r="F523" s="2">
        <v>0</v>
      </c>
      <c r="G523" s="2">
        <v>0</v>
      </c>
      <c r="H523" s="2">
        <v>0</v>
      </c>
      <c r="I523" s="2">
        <v>300</v>
      </c>
      <c r="J523" s="2" t="s">
        <v>1779</v>
      </c>
      <c r="K523" s="2">
        <v>25</v>
      </c>
      <c r="L523" s="2">
        <v>10</v>
      </c>
      <c r="M523" s="2">
        <v>0</v>
      </c>
      <c r="N523" s="2">
        <v>0</v>
      </c>
      <c r="O523" s="2">
        <v>0</v>
      </c>
      <c r="P523" s="2">
        <v>15</v>
      </c>
      <c r="Q523" s="2" t="s">
        <v>2821</v>
      </c>
      <c r="R523" s="2" t="s">
        <v>2822</v>
      </c>
      <c r="S523" s="4">
        <v>44837</v>
      </c>
    </row>
    <row r="524" spans="1:19" ht="12.5" x14ac:dyDescent="0.25">
      <c r="A524" s="14" t="str">
        <f>HYPERLINK("https://gerandofalcoes.my.salesforce.com/0014X00002VKCs2QAH", "0014X00002VKCs2QAH")</f>
        <v>0014X00002VKCs2QAH</v>
      </c>
      <c r="B524" s="2" t="s">
        <v>2727</v>
      </c>
      <c r="C524" s="2" t="s">
        <v>1800</v>
      </c>
      <c r="D524" s="2" t="s">
        <v>2</v>
      </c>
      <c r="E524" s="2">
        <v>15</v>
      </c>
      <c r="F524" s="2">
        <v>0</v>
      </c>
      <c r="G524" s="2">
        <v>2</v>
      </c>
      <c r="H524" s="2">
        <v>2500</v>
      </c>
      <c r="I524" s="2">
        <v>0</v>
      </c>
      <c r="J524" s="2" t="s">
        <v>1779</v>
      </c>
      <c r="K524" s="2">
        <v>21</v>
      </c>
      <c r="L524" s="2">
        <v>10</v>
      </c>
      <c r="M524" s="2">
        <v>0</v>
      </c>
      <c r="N524" s="2">
        <v>6</v>
      </c>
      <c r="O524" s="2">
        <v>5</v>
      </c>
      <c r="P524" s="2">
        <v>0</v>
      </c>
      <c r="Q524" s="2" t="s">
        <v>2728</v>
      </c>
      <c r="R524" s="2" t="s">
        <v>2729</v>
      </c>
      <c r="S524" s="4">
        <v>44837</v>
      </c>
    </row>
    <row r="525" spans="1:19" ht="12.5" x14ac:dyDescent="0.25">
      <c r="A525" s="14" t="str">
        <f>HYPERLINK("https://gerandofalcoes.my.salesforce.com/0014X00002VKCr5QAH", "0014X00002VKCr5QAH")</f>
        <v>0014X00002VKCr5QAH</v>
      </c>
      <c r="B525" s="2" t="s">
        <v>2067</v>
      </c>
      <c r="C525" s="2" t="s">
        <v>423</v>
      </c>
      <c r="D525" s="2" t="s">
        <v>2</v>
      </c>
      <c r="E525" s="2">
        <v>36.520000000000003</v>
      </c>
      <c r="F525" s="2">
        <v>6</v>
      </c>
      <c r="G525" s="2">
        <v>2</v>
      </c>
      <c r="H525" s="2">
        <v>5356022</v>
      </c>
      <c r="I525" s="2">
        <v>0</v>
      </c>
      <c r="J525" s="2" t="s">
        <v>1671</v>
      </c>
      <c r="K525" s="2">
        <v>56</v>
      </c>
      <c r="L525" s="2">
        <v>15</v>
      </c>
      <c r="M525" s="2">
        <v>10</v>
      </c>
      <c r="N525" s="2">
        <v>6</v>
      </c>
      <c r="O525" s="2">
        <v>25</v>
      </c>
      <c r="P525" s="2">
        <v>0</v>
      </c>
      <c r="Q525" s="2" t="s">
        <v>2068</v>
      </c>
      <c r="R525" s="2" t="s">
        <v>2069</v>
      </c>
      <c r="S525" s="4">
        <v>44837</v>
      </c>
    </row>
    <row r="526" spans="1:19" ht="12.5" x14ac:dyDescent="0.25">
      <c r="A526" s="14" t="str">
        <f>HYPERLINK("https://gerandofalcoes.my.salesforce.com/0014X00002VKCsxQAH", "0014X00002VKCsxQAH")</f>
        <v>0014X00002VKCsxQAH</v>
      </c>
      <c r="B526" s="2" t="s">
        <v>2500</v>
      </c>
      <c r="C526" s="2" t="s">
        <v>423</v>
      </c>
      <c r="D526" s="2" t="s">
        <v>2</v>
      </c>
      <c r="E526" s="2">
        <v>25</v>
      </c>
      <c r="F526" s="2">
        <v>0</v>
      </c>
      <c r="G526" s="2">
        <v>1</v>
      </c>
      <c r="H526" s="2">
        <v>3500000</v>
      </c>
      <c r="I526" s="2">
        <v>150</v>
      </c>
      <c r="J526" s="2" t="s">
        <v>1671</v>
      </c>
      <c r="K526" s="2">
        <v>56</v>
      </c>
      <c r="L526" s="2">
        <v>15</v>
      </c>
      <c r="M526" s="2">
        <v>0</v>
      </c>
      <c r="N526" s="2">
        <v>4</v>
      </c>
      <c r="O526" s="2">
        <v>25</v>
      </c>
      <c r="P526" s="2">
        <v>12</v>
      </c>
      <c r="Q526" s="2" t="s">
        <v>2501</v>
      </c>
      <c r="R526" s="2" t="s">
        <v>2502</v>
      </c>
      <c r="S526" s="4">
        <v>44837</v>
      </c>
    </row>
    <row r="527" spans="1:19" ht="12.5" x14ac:dyDescent="0.25">
      <c r="A527" s="14" t="str">
        <f>HYPERLINK("https://gerandofalcoes.my.salesforce.com/0014X00002VKCuAQAX", "0014X00002VKCuAQAX")</f>
        <v>0014X00002VKCuAQAX</v>
      </c>
      <c r="B527" s="2" t="s">
        <v>2155</v>
      </c>
      <c r="C527" s="2" t="s">
        <v>423</v>
      </c>
      <c r="D527" s="2" t="s">
        <v>2</v>
      </c>
      <c r="E527" s="2">
        <v>33.15</v>
      </c>
      <c r="F527" s="2">
        <v>0</v>
      </c>
      <c r="G527" s="2">
        <v>2</v>
      </c>
      <c r="H527" s="2">
        <v>25000</v>
      </c>
      <c r="I527" s="2">
        <v>25</v>
      </c>
      <c r="J527" s="2" t="s">
        <v>1779</v>
      </c>
      <c r="K527" s="2">
        <v>36</v>
      </c>
      <c r="L527" s="2">
        <v>15</v>
      </c>
      <c r="M527" s="2">
        <v>0</v>
      </c>
      <c r="N527" s="2">
        <v>6</v>
      </c>
      <c r="O527" s="2">
        <v>10</v>
      </c>
      <c r="P527" s="2">
        <v>5</v>
      </c>
      <c r="Q527" s="2" t="s">
        <v>2156</v>
      </c>
      <c r="R527" s="2" t="s">
        <v>2157</v>
      </c>
      <c r="S527" s="4">
        <v>44837</v>
      </c>
    </row>
    <row r="528" spans="1:19" ht="12.5" x14ac:dyDescent="0.25">
      <c r="A528" s="14" t="str">
        <f>HYPERLINK("https://gerandofalcoes.my.salesforce.com/0014X00002VKCrHQAX", "0014X00002VKCrHQAX")</f>
        <v>0014X00002VKCrHQAX</v>
      </c>
      <c r="B528" s="2" t="s">
        <v>2478</v>
      </c>
      <c r="C528" s="2" t="s">
        <v>423</v>
      </c>
      <c r="D528" s="2" t="s">
        <v>2</v>
      </c>
      <c r="E528" s="2">
        <v>22</v>
      </c>
      <c r="F528" s="2">
        <v>0</v>
      </c>
      <c r="G528" s="2">
        <v>3</v>
      </c>
      <c r="H528" s="2">
        <v>500</v>
      </c>
      <c r="I528" s="2">
        <v>114</v>
      </c>
      <c r="J528" s="2" t="s">
        <v>1779</v>
      </c>
      <c r="K528" s="2">
        <v>33</v>
      </c>
      <c r="L528" s="2">
        <v>10</v>
      </c>
      <c r="M528" s="2">
        <v>0</v>
      </c>
      <c r="N528" s="2">
        <v>8</v>
      </c>
      <c r="O528" s="2">
        <v>5</v>
      </c>
      <c r="P528" s="2">
        <v>10</v>
      </c>
      <c r="Q528" s="2" t="s">
        <v>2479</v>
      </c>
      <c r="R528" s="2" t="s">
        <v>2479</v>
      </c>
      <c r="S528" s="4">
        <v>44837</v>
      </c>
    </row>
    <row r="529" spans="1:19" ht="12.5" x14ac:dyDescent="0.25">
      <c r="A529" s="14" t="str">
        <f>HYPERLINK("https://gerandofalcoes.my.salesforce.com/0014X00002VKCsFQAX", "0014X00002VKCsFQAX")</f>
        <v>0014X00002VKCsFQAX</v>
      </c>
      <c r="B529" s="2" t="s">
        <v>2625</v>
      </c>
      <c r="C529" s="2" t="s">
        <v>423</v>
      </c>
      <c r="D529" s="2" t="s">
        <v>2</v>
      </c>
      <c r="E529" s="2">
        <v>18.13</v>
      </c>
      <c r="F529" s="2">
        <v>0</v>
      </c>
      <c r="G529" s="2">
        <v>1</v>
      </c>
      <c r="H529" s="2">
        <v>998</v>
      </c>
      <c r="I529" s="2">
        <v>70</v>
      </c>
      <c r="J529" s="2" t="s">
        <v>1779</v>
      </c>
      <c r="K529" s="2">
        <v>24</v>
      </c>
      <c r="L529" s="2">
        <v>10</v>
      </c>
      <c r="M529" s="2">
        <v>0</v>
      </c>
      <c r="N529" s="2">
        <v>4</v>
      </c>
      <c r="O529" s="2">
        <v>5</v>
      </c>
      <c r="P529" s="2">
        <v>5</v>
      </c>
      <c r="Q529" s="2" t="s">
        <v>2626</v>
      </c>
      <c r="R529" s="2" t="s">
        <v>2627</v>
      </c>
      <c r="S529" s="4">
        <v>44837</v>
      </c>
    </row>
    <row r="530" spans="1:19" ht="12.5" x14ac:dyDescent="0.25">
      <c r="A530" s="14" t="str">
        <f>HYPERLINK("https://gerandofalcoes.my.salesforce.com/0014X00002VKCsMQAX", "0014X00002VKCsMQAX")</f>
        <v>0014X00002VKCsMQAX</v>
      </c>
      <c r="B530" s="2" t="s">
        <v>2902</v>
      </c>
      <c r="C530" s="2" t="s">
        <v>423</v>
      </c>
      <c r="D530" s="2" t="s">
        <v>2</v>
      </c>
      <c r="E530" s="2">
        <v>8</v>
      </c>
      <c r="F530" s="2">
        <v>10</v>
      </c>
      <c r="G530" s="2">
        <v>2</v>
      </c>
      <c r="H530" s="2">
        <v>5000</v>
      </c>
      <c r="I530" s="2">
        <v>106</v>
      </c>
      <c r="J530" s="2" t="s">
        <v>1671</v>
      </c>
      <c r="K530" s="2">
        <v>41</v>
      </c>
      <c r="L530" s="2">
        <v>10</v>
      </c>
      <c r="M530" s="2">
        <v>10</v>
      </c>
      <c r="N530" s="2">
        <v>6</v>
      </c>
      <c r="O530" s="2">
        <v>5</v>
      </c>
      <c r="P530" s="2">
        <v>10</v>
      </c>
      <c r="Q530" s="2" t="s">
        <v>2903</v>
      </c>
      <c r="R530" s="2" t="s">
        <v>2904</v>
      </c>
      <c r="S530" s="4">
        <v>44837</v>
      </c>
    </row>
    <row r="531" spans="1:19" ht="12.5" x14ac:dyDescent="0.25">
      <c r="A531" s="14" t="str">
        <f>HYPERLINK("https://gerandofalcoes.my.salesforce.com/0014X00002VKCrJQAX", "0014X00002VKCrJQAX")</f>
        <v>0014X00002VKCrJQAX</v>
      </c>
      <c r="B531" s="2" t="s">
        <v>2375</v>
      </c>
      <c r="C531" s="2" t="s">
        <v>1800</v>
      </c>
      <c r="D531" s="2" t="s">
        <v>2</v>
      </c>
      <c r="E531" s="2">
        <v>26</v>
      </c>
      <c r="F531" s="2">
        <v>0</v>
      </c>
      <c r="G531" s="2">
        <v>4</v>
      </c>
      <c r="H531" s="2">
        <v>1</v>
      </c>
      <c r="I531" s="2">
        <v>0</v>
      </c>
      <c r="J531" s="2" t="s">
        <v>1779</v>
      </c>
      <c r="K531" s="2">
        <v>30</v>
      </c>
      <c r="L531" s="2">
        <v>15</v>
      </c>
      <c r="M531" s="2">
        <v>0</v>
      </c>
      <c r="N531" s="2">
        <v>10</v>
      </c>
      <c r="O531" s="2">
        <v>5</v>
      </c>
      <c r="P531" s="2">
        <v>0</v>
      </c>
      <c r="Q531" s="2" t="s">
        <v>2376</v>
      </c>
      <c r="R531" s="2" t="s">
        <v>2377</v>
      </c>
      <c r="S531" s="4">
        <v>44837</v>
      </c>
    </row>
    <row r="532" spans="1:19" ht="12.5" x14ac:dyDescent="0.25">
      <c r="A532" s="14" t="str">
        <f>HYPERLINK("https://gerandofalcoes.my.salesforce.com/0014X00002VKCpjQAH", "0014X00002VKCpjQAH")</f>
        <v>0014X00002VKCpjQAH</v>
      </c>
      <c r="B532" s="2" t="s">
        <v>2152</v>
      </c>
      <c r="C532" s="2" t="s">
        <v>423</v>
      </c>
      <c r="D532" s="2" t="s">
        <v>2</v>
      </c>
      <c r="E532" s="2">
        <v>46</v>
      </c>
      <c r="F532" s="2">
        <v>0</v>
      </c>
      <c r="G532" s="2">
        <v>2</v>
      </c>
      <c r="H532" s="2">
        <v>160028</v>
      </c>
      <c r="I532" s="2">
        <v>156</v>
      </c>
      <c r="J532" s="2" t="s">
        <v>1671</v>
      </c>
      <c r="K532" s="2">
        <v>48</v>
      </c>
      <c r="L532" s="2">
        <v>15</v>
      </c>
      <c r="M532" s="2">
        <v>0</v>
      </c>
      <c r="N532" s="2">
        <v>6</v>
      </c>
      <c r="O532" s="2">
        <v>15</v>
      </c>
      <c r="P532" s="2">
        <v>12</v>
      </c>
      <c r="Q532" s="2" t="s">
        <v>2153</v>
      </c>
      <c r="R532" s="2" t="s">
        <v>2154</v>
      </c>
      <c r="S532" s="4">
        <v>44837</v>
      </c>
    </row>
    <row r="533" spans="1:19" ht="12.5" x14ac:dyDescent="0.25">
      <c r="A533" s="14" t="str">
        <f>HYPERLINK("https://gerandofalcoes.my.salesforce.com/0014X00002VKCv2QAH", "0014X00002VKCv2QAH")</f>
        <v>0014X00002VKCv2QAH</v>
      </c>
      <c r="B533" s="2" t="s">
        <v>2450</v>
      </c>
      <c r="C533" s="2" t="s">
        <v>423</v>
      </c>
      <c r="D533" s="2" t="s">
        <v>2</v>
      </c>
      <c r="E533" s="2">
        <v>24</v>
      </c>
      <c r="F533" s="2">
        <v>5</v>
      </c>
      <c r="G533" s="2">
        <v>3</v>
      </c>
      <c r="H533" s="2">
        <v>500</v>
      </c>
      <c r="I533" s="2">
        <v>0</v>
      </c>
      <c r="J533" s="2" t="s">
        <v>1779</v>
      </c>
      <c r="K533" s="2">
        <v>28</v>
      </c>
      <c r="L533" s="2">
        <v>10</v>
      </c>
      <c r="M533" s="2">
        <v>5</v>
      </c>
      <c r="N533" s="2">
        <v>8</v>
      </c>
      <c r="O533" s="2">
        <v>5</v>
      </c>
      <c r="P533" s="2">
        <v>0</v>
      </c>
      <c r="Q533" s="2" t="s">
        <v>2451</v>
      </c>
      <c r="R533" s="2" t="s">
        <v>2451</v>
      </c>
      <c r="S533" s="4">
        <v>44837</v>
      </c>
    </row>
    <row r="534" spans="1:19" ht="12.5" x14ac:dyDescent="0.25">
      <c r="A534" s="14" t="str">
        <f>HYPERLINK("https://gerandofalcoes.my.salesforce.com/0014X00002VKCtTQAX", "0014X00002VKCtTQAX")</f>
        <v>0014X00002VKCtTQAX</v>
      </c>
      <c r="B534" s="2" t="s">
        <v>2091</v>
      </c>
      <c r="C534" s="2" t="s">
        <v>423</v>
      </c>
      <c r="D534" s="2" t="s">
        <v>2</v>
      </c>
      <c r="E534" s="2">
        <v>44</v>
      </c>
      <c r="F534" s="2">
        <v>0</v>
      </c>
      <c r="G534" s="2">
        <v>2</v>
      </c>
      <c r="H534" s="2">
        <v>21451</v>
      </c>
      <c r="I534" s="2">
        <v>56</v>
      </c>
      <c r="J534" s="2" t="s">
        <v>1779</v>
      </c>
      <c r="K534" s="2">
        <v>31</v>
      </c>
      <c r="L534" s="2">
        <v>15</v>
      </c>
      <c r="M534" s="2">
        <v>0</v>
      </c>
      <c r="N534" s="2">
        <v>6</v>
      </c>
      <c r="O534" s="2">
        <v>5</v>
      </c>
      <c r="P534" s="2">
        <v>5</v>
      </c>
      <c r="Q534" s="2" t="s">
        <v>2092</v>
      </c>
      <c r="R534" s="2" t="s">
        <v>2092</v>
      </c>
      <c r="S534" s="4">
        <v>44837</v>
      </c>
    </row>
    <row r="535" spans="1:19" ht="12.5" x14ac:dyDescent="0.25">
      <c r="A535" s="14" t="str">
        <f>HYPERLINK("https://gerandofalcoes.my.salesforce.com/0014X00002VKCtNQAX", "0014X00002VKCtNQAX")</f>
        <v>0014X00002VKCtNQAX</v>
      </c>
      <c r="B535" s="2" t="s">
        <v>2703</v>
      </c>
      <c r="C535" s="2" t="s">
        <v>423</v>
      </c>
      <c r="D535" s="2" t="s">
        <v>2</v>
      </c>
      <c r="E535" s="2">
        <v>26</v>
      </c>
      <c r="F535" s="2">
        <v>0</v>
      </c>
      <c r="G535" s="2">
        <v>2</v>
      </c>
      <c r="H535" s="2">
        <v>2014715</v>
      </c>
      <c r="I535" s="2">
        <v>50</v>
      </c>
      <c r="J535" s="2" t="s">
        <v>1671</v>
      </c>
      <c r="K535" s="2">
        <v>51</v>
      </c>
      <c r="L535" s="2">
        <v>15</v>
      </c>
      <c r="M535" s="2">
        <v>0</v>
      </c>
      <c r="N535" s="2">
        <v>6</v>
      </c>
      <c r="O535" s="2">
        <v>25</v>
      </c>
      <c r="P535" s="2">
        <v>5</v>
      </c>
      <c r="Q535" s="2" t="s">
        <v>2704</v>
      </c>
      <c r="R535" s="2" t="s">
        <v>2705</v>
      </c>
      <c r="S535" s="4">
        <v>44837</v>
      </c>
    </row>
    <row r="536" spans="1:19" ht="12.5" x14ac:dyDescent="0.25">
      <c r="A536" s="14" t="str">
        <f>HYPERLINK("https://gerandofalcoes.my.salesforce.com/0014X00002VKCu0QAH", "0014X00002VKCu0QAH")</f>
        <v>0014X00002VKCu0QAH</v>
      </c>
      <c r="B536" s="2" t="s">
        <v>2457</v>
      </c>
      <c r="C536" s="2" t="s">
        <v>423</v>
      </c>
      <c r="D536" s="2" t="s">
        <v>2</v>
      </c>
      <c r="E536" s="2">
        <v>23</v>
      </c>
      <c r="F536" s="2">
        <v>0</v>
      </c>
      <c r="G536" s="2">
        <v>2</v>
      </c>
      <c r="H536" s="2">
        <v>2500</v>
      </c>
      <c r="I536" s="2">
        <v>120</v>
      </c>
      <c r="J536" s="2" t="s">
        <v>1779</v>
      </c>
      <c r="K536" s="2">
        <v>31</v>
      </c>
      <c r="L536" s="2">
        <v>10</v>
      </c>
      <c r="M536" s="2">
        <v>0</v>
      </c>
      <c r="N536" s="2">
        <v>6</v>
      </c>
      <c r="O536" s="2">
        <v>5</v>
      </c>
      <c r="P536" s="2">
        <v>10</v>
      </c>
      <c r="Q536" s="2" t="s">
        <v>2458</v>
      </c>
      <c r="R536" s="2" t="s">
        <v>2458</v>
      </c>
      <c r="S536" s="4">
        <v>44837</v>
      </c>
    </row>
    <row r="537" spans="1:19" ht="12.5" x14ac:dyDescent="0.25">
      <c r="A537" s="14" t="str">
        <f>HYPERLINK("https://gerandofalcoes.my.salesforce.com/0014X00002VKCspQAH", "0014X00002VKCspQAH")</f>
        <v>0014X00002VKCspQAH</v>
      </c>
      <c r="B537" s="2" t="s">
        <v>2506</v>
      </c>
      <c r="C537" s="2" t="s">
        <v>423</v>
      </c>
      <c r="D537" s="2" t="s">
        <v>2</v>
      </c>
      <c r="E537" s="2">
        <v>32</v>
      </c>
      <c r="F537" s="2">
        <v>0</v>
      </c>
      <c r="G537" s="2">
        <v>0</v>
      </c>
      <c r="H537" s="2">
        <v>0</v>
      </c>
      <c r="I537" s="2">
        <v>100</v>
      </c>
      <c r="J537" s="2" t="s">
        <v>1779</v>
      </c>
      <c r="K537" s="2">
        <v>25</v>
      </c>
      <c r="L537" s="2">
        <v>15</v>
      </c>
      <c r="M537" s="2">
        <v>0</v>
      </c>
      <c r="N537" s="2">
        <v>0</v>
      </c>
      <c r="O537" s="2">
        <v>0</v>
      </c>
      <c r="P537" s="2">
        <v>10</v>
      </c>
      <c r="Q537" s="2" t="s">
        <v>2507</v>
      </c>
      <c r="R537" s="2" t="s">
        <v>2508</v>
      </c>
      <c r="S537" s="4">
        <v>44837</v>
      </c>
    </row>
    <row r="538" spans="1:19" ht="12.5" x14ac:dyDescent="0.25">
      <c r="A538" s="14" t="str">
        <f>HYPERLINK("https://gerandofalcoes.my.salesforce.com/0014X00002VKCuCQAX", "0014X00002VKCuCQAX")</f>
        <v>0014X00002VKCuCQAX</v>
      </c>
      <c r="B538" s="2" t="s">
        <v>1847</v>
      </c>
      <c r="C538" s="2" t="s">
        <v>423</v>
      </c>
      <c r="D538" s="2" t="s">
        <v>2</v>
      </c>
      <c r="E538" s="2">
        <v>62</v>
      </c>
      <c r="F538" s="2">
        <v>3</v>
      </c>
      <c r="G538" s="2">
        <v>3</v>
      </c>
      <c r="H538" s="2">
        <v>20593734</v>
      </c>
      <c r="I538" s="2">
        <v>37</v>
      </c>
      <c r="J538" s="2" t="s">
        <v>1671</v>
      </c>
      <c r="K538" s="2">
        <v>63</v>
      </c>
      <c r="L538" s="2">
        <v>20</v>
      </c>
      <c r="M538" s="2">
        <v>5</v>
      </c>
      <c r="N538" s="2">
        <v>8</v>
      </c>
      <c r="O538" s="2">
        <v>25</v>
      </c>
      <c r="P538" s="2">
        <v>5</v>
      </c>
      <c r="Q538" s="2" t="s">
        <v>1848</v>
      </c>
      <c r="R538" s="2" t="s">
        <v>1849</v>
      </c>
      <c r="S538" s="4">
        <v>44837</v>
      </c>
    </row>
    <row r="539" spans="1:19" ht="12.5" x14ac:dyDescent="0.25">
      <c r="A539" s="14" t="str">
        <f>HYPERLINK("https://gerandofalcoes.my.salesforce.com/0014X00002VKCrfQAH", "0014X00002VKCrfQAH")</f>
        <v>0014X00002VKCrfQAH</v>
      </c>
      <c r="B539" s="2" t="s">
        <v>2804</v>
      </c>
      <c r="C539" s="2" t="s">
        <v>1800</v>
      </c>
      <c r="D539" s="2" t="s">
        <v>2</v>
      </c>
      <c r="E539" s="2">
        <v>13</v>
      </c>
      <c r="F539" s="2">
        <v>0</v>
      </c>
      <c r="G539" s="2">
        <v>4</v>
      </c>
      <c r="H539" s="2">
        <v>10000</v>
      </c>
      <c r="I539" s="2">
        <v>2</v>
      </c>
      <c r="J539" s="2" t="s">
        <v>1779</v>
      </c>
      <c r="K539" s="2">
        <v>30</v>
      </c>
      <c r="L539" s="2">
        <v>10</v>
      </c>
      <c r="M539" s="2">
        <v>0</v>
      </c>
      <c r="N539" s="2">
        <v>10</v>
      </c>
      <c r="O539" s="2">
        <v>5</v>
      </c>
      <c r="P539" s="2">
        <v>5</v>
      </c>
      <c r="Q539" s="2" t="s">
        <v>2805</v>
      </c>
      <c r="R539" s="2" t="s">
        <v>2806</v>
      </c>
      <c r="S539" s="4">
        <v>44837</v>
      </c>
    </row>
    <row r="540" spans="1:19" ht="12.5" x14ac:dyDescent="0.25">
      <c r="A540" s="14" t="str">
        <f>HYPERLINK("https://gerandofalcoes.my.salesforce.com/0014X00002VKCrQQAX", "0014X00002VKCrQQAX")</f>
        <v>0014X00002VKCrQQAX</v>
      </c>
      <c r="B540" s="2" t="s">
        <v>2765</v>
      </c>
      <c r="C540" s="2" t="s">
        <v>1800</v>
      </c>
      <c r="D540" s="2" t="s">
        <v>2</v>
      </c>
      <c r="E540" s="2">
        <v>14</v>
      </c>
      <c r="F540" s="2">
        <v>0</v>
      </c>
      <c r="G540" s="2">
        <v>2</v>
      </c>
      <c r="H540" s="2">
        <v>40000</v>
      </c>
      <c r="I540" s="2">
        <v>0</v>
      </c>
      <c r="J540" s="2" t="s">
        <v>1779</v>
      </c>
      <c r="K540" s="2">
        <v>26</v>
      </c>
      <c r="L540" s="2">
        <v>10</v>
      </c>
      <c r="M540" s="2">
        <v>0</v>
      </c>
      <c r="N540" s="2">
        <v>6</v>
      </c>
      <c r="O540" s="2">
        <v>10</v>
      </c>
      <c r="P540" s="2">
        <v>0</v>
      </c>
      <c r="Q540" s="2" t="s">
        <v>2766</v>
      </c>
      <c r="R540" s="2" t="s">
        <v>2767</v>
      </c>
      <c r="S540" s="4">
        <v>44837</v>
      </c>
    </row>
    <row r="541" spans="1:19" ht="12.5" x14ac:dyDescent="0.25">
      <c r="A541" s="14" t="str">
        <f>HYPERLINK("https://gerandofalcoes.my.salesforce.com/0014X00002VKCroQAH", "0014X00002VKCroQAH")</f>
        <v>0014X00002VKCroQAH</v>
      </c>
      <c r="B541" s="2" t="s">
        <v>2632</v>
      </c>
      <c r="C541" s="2" t="s">
        <v>1800</v>
      </c>
      <c r="D541" s="2" t="s">
        <v>2</v>
      </c>
      <c r="E541" s="2">
        <v>18</v>
      </c>
      <c r="F541" s="2">
        <v>0</v>
      </c>
      <c r="G541" s="2">
        <v>3</v>
      </c>
      <c r="H541" s="2">
        <v>8400</v>
      </c>
      <c r="I541" s="2">
        <v>100</v>
      </c>
      <c r="J541" s="2" t="s">
        <v>1779</v>
      </c>
      <c r="K541" s="2">
        <v>33</v>
      </c>
      <c r="L541" s="2">
        <v>10</v>
      </c>
      <c r="M541" s="2">
        <v>0</v>
      </c>
      <c r="N541" s="2">
        <v>8</v>
      </c>
      <c r="O541" s="2">
        <v>5</v>
      </c>
      <c r="P541" s="2">
        <v>10</v>
      </c>
      <c r="Q541" s="2" t="s">
        <v>2633</v>
      </c>
      <c r="R541" s="2" t="s">
        <v>2634</v>
      </c>
      <c r="S541" s="4">
        <v>44837</v>
      </c>
    </row>
    <row r="542" spans="1:19" ht="12.5" x14ac:dyDescent="0.25">
      <c r="A542" s="14" t="str">
        <f>HYPERLINK("https://gerandofalcoes.my.salesforce.com/0014X00002VKCueQAH", "0014X00002VKCueQAH")</f>
        <v>0014X00002VKCueQAH</v>
      </c>
      <c r="B542" s="2" t="s">
        <v>2128</v>
      </c>
      <c r="C542" s="2" t="s">
        <v>423</v>
      </c>
      <c r="D542" s="2" t="s">
        <v>2</v>
      </c>
      <c r="E542" s="2">
        <v>33</v>
      </c>
      <c r="F542" s="2">
        <v>0</v>
      </c>
      <c r="G542" s="2">
        <v>3</v>
      </c>
      <c r="H542" s="2">
        <v>40000</v>
      </c>
      <c r="I542" s="2">
        <v>10</v>
      </c>
      <c r="J542" s="2" t="s">
        <v>1779</v>
      </c>
      <c r="K542" s="2">
        <v>38</v>
      </c>
      <c r="L542" s="2">
        <v>15</v>
      </c>
      <c r="M542" s="2">
        <v>0</v>
      </c>
      <c r="N542" s="2">
        <v>8</v>
      </c>
      <c r="O542" s="2">
        <v>10</v>
      </c>
      <c r="P542" s="2">
        <v>5</v>
      </c>
      <c r="Q542" s="2" t="s">
        <v>2129</v>
      </c>
      <c r="R542" s="2" t="s">
        <v>2130</v>
      </c>
      <c r="S542" s="4">
        <v>44837</v>
      </c>
    </row>
    <row r="543" spans="1:19" ht="12.5" x14ac:dyDescent="0.25">
      <c r="A543" s="14" t="str">
        <f>HYPERLINK("https://gerandofalcoes.my.salesforce.com/0014X00002VKCqnQAH", "0014X00002VKCqnQAH")</f>
        <v>0014X00002VKCqnQAH</v>
      </c>
      <c r="B543" s="2" t="s">
        <v>2743</v>
      </c>
      <c r="C543" s="2" t="s">
        <v>423</v>
      </c>
      <c r="D543" s="2" t="s">
        <v>2</v>
      </c>
      <c r="E543" s="2">
        <v>48</v>
      </c>
      <c r="F543" s="2">
        <v>0</v>
      </c>
      <c r="G543" s="2">
        <v>4</v>
      </c>
      <c r="H543" s="2">
        <v>99683</v>
      </c>
      <c r="I543" s="2">
        <v>180</v>
      </c>
      <c r="J543" s="2" t="s">
        <v>1671</v>
      </c>
      <c r="K543" s="2">
        <v>47</v>
      </c>
      <c r="L543" s="2">
        <v>15</v>
      </c>
      <c r="M543" s="2">
        <v>0</v>
      </c>
      <c r="N543" s="2">
        <v>10</v>
      </c>
      <c r="O543" s="2">
        <v>10</v>
      </c>
      <c r="P543" s="2">
        <v>12</v>
      </c>
      <c r="Q543" s="2" t="s">
        <v>2744</v>
      </c>
      <c r="R543" s="2" t="s">
        <v>2745</v>
      </c>
      <c r="S543" s="4">
        <v>44837</v>
      </c>
    </row>
    <row r="544" spans="1:19" ht="12.5" x14ac:dyDescent="0.25">
      <c r="A544" s="14" t="str">
        <f>HYPERLINK("https://gerandofalcoes.my.salesforce.com/0014X00002VKCr7QAH", "0014X00002VKCr7QAH")</f>
        <v>0014X00002VKCr7QAH</v>
      </c>
      <c r="B544" s="2" t="s">
        <v>2730</v>
      </c>
      <c r="C544" s="2" t="s">
        <v>423</v>
      </c>
      <c r="D544" s="2" t="s">
        <v>2</v>
      </c>
      <c r="E544" s="2">
        <v>15</v>
      </c>
      <c r="F544" s="2">
        <v>0</v>
      </c>
      <c r="G544" s="2">
        <v>2</v>
      </c>
      <c r="H544" s="2">
        <v>0</v>
      </c>
      <c r="I544" s="2">
        <v>0</v>
      </c>
      <c r="J544" s="2" t="s">
        <v>1779</v>
      </c>
      <c r="K544" s="2">
        <v>16</v>
      </c>
      <c r="L544" s="2">
        <v>10</v>
      </c>
      <c r="M544" s="2">
        <v>0</v>
      </c>
      <c r="N544" s="2">
        <v>6</v>
      </c>
      <c r="O544" s="2">
        <v>0</v>
      </c>
      <c r="P544" s="2">
        <v>0</v>
      </c>
      <c r="Q544" s="2" t="s">
        <v>2731</v>
      </c>
      <c r="R544" s="2" t="s">
        <v>2731</v>
      </c>
      <c r="S544" s="4">
        <v>44837</v>
      </c>
    </row>
    <row r="545" spans="1:19" ht="12.5" x14ac:dyDescent="0.25">
      <c r="A545" s="14" t="str">
        <f>HYPERLINK("https://gerandofalcoes.my.salesforce.com/0014X00002VKCtCQAX", "0014X00002VKCtCQAX")</f>
        <v>0014X00002VKCtCQAX</v>
      </c>
      <c r="B545" s="2" t="s">
        <v>2724</v>
      </c>
      <c r="C545" s="2" t="s">
        <v>423</v>
      </c>
      <c r="D545" s="2" t="s">
        <v>2</v>
      </c>
      <c r="E545" s="2">
        <v>15</v>
      </c>
      <c r="F545" s="2">
        <v>0</v>
      </c>
      <c r="G545" s="2">
        <v>1</v>
      </c>
      <c r="H545" s="2">
        <v>6000</v>
      </c>
      <c r="I545" s="2">
        <v>40</v>
      </c>
      <c r="J545" s="2" t="s">
        <v>1779</v>
      </c>
      <c r="K545" s="2">
        <v>24</v>
      </c>
      <c r="L545" s="2">
        <v>10</v>
      </c>
      <c r="M545" s="2">
        <v>0</v>
      </c>
      <c r="N545" s="2">
        <v>4</v>
      </c>
      <c r="O545" s="2">
        <v>5</v>
      </c>
      <c r="P545" s="2">
        <v>5</v>
      </c>
      <c r="Q545" s="2" t="s">
        <v>2725</v>
      </c>
      <c r="R545" s="2" t="s">
        <v>2726</v>
      </c>
      <c r="S545" s="4">
        <v>44837</v>
      </c>
    </row>
    <row r="546" spans="1:19" ht="12.5" x14ac:dyDescent="0.25">
      <c r="A546" s="14" t="str">
        <f>HYPERLINK("https://gerandofalcoes.my.salesforce.com/0014X00002VKCr3QAH", "0014X00002VKCr3QAH")</f>
        <v>0014X00002VKCr3QAH</v>
      </c>
      <c r="B546" s="2" t="s">
        <v>2399</v>
      </c>
      <c r="C546" s="2" t="s">
        <v>423</v>
      </c>
      <c r="D546" s="2" t="s">
        <v>2</v>
      </c>
      <c r="E546" s="2">
        <v>25</v>
      </c>
      <c r="F546" s="2">
        <v>0</v>
      </c>
      <c r="G546" s="2">
        <v>0</v>
      </c>
      <c r="H546" s="2">
        <v>0</v>
      </c>
      <c r="I546" s="2">
        <v>700</v>
      </c>
      <c r="J546" s="2" t="s">
        <v>1779</v>
      </c>
      <c r="K546" s="2">
        <v>35</v>
      </c>
      <c r="L546" s="2">
        <v>15</v>
      </c>
      <c r="M546" s="2">
        <v>0</v>
      </c>
      <c r="N546" s="2">
        <v>0</v>
      </c>
      <c r="O546" s="2">
        <v>0</v>
      </c>
      <c r="P546" s="2">
        <v>20</v>
      </c>
      <c r="Q546" s="2" t="s">
        <v>2400</v>
      </c>
      <c r="R546" s="2" t="s">
        <v>2400</v>
      </c>
      <c r="S546" s="4">
        <v>44837</v>
      </c>
    </row>
    <row r="547" spans="1:19" ht="12.5" x14ac:dyDescent="0.25">
      <c r="A547" s="14" t="str">
        <f>HYPERLINK("https://gerandofalcoes.my.salesforce.com/0014X00002VKCqmQAH", "0014X00002VKCqmQAH")</f>
        <v>0014X00002VKCqmQAH</v>
      </c>
      <c r="B547" s="2" t="s">
        <v>2032</v>
      </c>
      <c r="C547" s="2" t="s">
        <v>423</v>
      </c>
      <c r="D547" s="2" t="s">
        <v>2</v>
      </c>
      <c r="E547" s="2">
        <v>37</v>
      </c>
      <c r="F547" s="2">
        <v>5</v>
      </c>
      <c r="G547" s="2">
        <v>1</v>
      </c>
      <c r="H547" s="2">
        <v>40000</v>
      </c>
      <c r="I547" s="2">
        <v>250</v>
      </c>
      <c r="J547" s="2" t="s">
        <v>1671</v>
      </c>
      <c r="K547" s="2">
        <v>46</v>
      </c>
      <c r="L547" s="2">
        <v>15</v>
      </c>
      <c r="M547" s="2">
        <v>5</v>
      </c>
      <c r="N547" s="2">
        <v>4</v>
      </c>
      <c r="O547" s="2">
        <v>10</v>
      </c>
      <c r="P547" s="2">
        <v>12</v>
      </c>
      <c r="Q547" s="2" t="s">
        <v>2033</v>
      </c>
      <c r="R547" s="2" t="s">
        <v>2034</v>
      </c>
      <c r="S547" s="4">
        <v>44837</v>
      </c>
    </row>
    <row r="548" spans="1:19" ht="12.5" x14ac:dyDescent="0.25">
      <c r="A548" s="14" t="str">
        <f>HYPERLINK("https://gerandofalcoes.my.salesforce.com/0014X00002VKCu1QAH", "0014X00002VKCu1QAH")</f>
        <v>0014X00002VKCu1QAH</v>
      </c>
      <c r="B548" s="2" t="s">
        <v>2158</v>
      </c>
      <c r="C548" s="2" t="s">
        <v>1800</v>
      </c>
      <c r="D548" s="2" t="s">
        <v>2</v>
      </c>
      <c r="E548" s="2">
        <v>33</v>
      </c>
      <c r="F548" s="2">
        <v>0</v>
      </c>
      <c r="G548" s="2">
        <v>3</v>
      </c>
      <c r="H548" s="2">
        <v>10000</v>
      </c>
      <c r="I548" s="2">
        <v>3500</v>
      </c>
      <c r="J548" s="2" t="s">
        <v>1671</v>
      </c>
      <c r="K548" s="2">
        <v>48</v>
      </c>
      <c r="L548" s="2">
        <v>15</v>
      </c>
      <c r="M548" s="2">
        <v>0</v>
      </c>
      <c r="N548" s="2">
        <v>8</v>
      </c>
      <c r="O548" s="2">
        <v>5</v>
      </c>
      <c r="P548" s="2">
        <v>20</v>
      </c>
      <c r="Q548" s="2" t="s">
        <v>2159</v>
      </c>
      <c r="R548" s="2" t="s">
        <v>2160</v>
      </c>
      <c r="S548" s="4">
        <v>44837</v>
      </c>
    </row>
    <row r="549" spans="1:19" ht="12.5" x14ac:dyDescent="0.25">
      <c r="A549" s="14" t="str">
        <f>HYPERLINK("https://gerandofalcoes.my.salesforce.com/0014X00002VKD05QAH", "0014X00002VKD05QAH")</f>
        <v>0014X00002VKD05QAH</v>
      </c>
      <c r="B549" s="2" t="s">
        <v>2264</v>
      </c>
      <c r="C549" s="2" t="s">
        <v>423</v>
      </c>
      <c r="D549" s="2" t="s">
        <v>2</v>
      </c>
      <c r="E549" s="2">
        <v>30</v>
      </c>
      <c r="F549" s="2">
        <v>0</v>
      </c>
      <c r="G549" s="2">
        <v>2</v>
      </c>
      <c r="H549" s="2">
        <v>199010</v>
      </c>
      <c r="I549" s="2">
        <v>240</v>
      </c>
      <c r="J549" s="2" t="s">
        <v>1671</v>
      </c>
      <c r="K549" s="2">
        <v>48</v>
      </c>
      <c r="L549" s="2">
        <v>15</v>
      </c>
      <c r="M549" s="2">
        <v>0</v>
      </c>
      <c r="N549" s="2">
        <v>6</v>
      </c>
      <c r="O549" s="2">
        <v>15</v>
      </c>
      <c r="P549" s="2">
        <v>12</v>
      </c>
      <c r="Q549" s="2" t="s">
        <v>2265</v>
      </c>
      <c r="R549" s="2" t="s">
        <v>2266</v>
      </c>
      <c r="S549" s="4">
        <v>44837</v>
      </c>
    </row>
    <row r="550" spans="1:19" ht="12.5" x14ac:dyDescent="0.25">
      <c r="A550" s="14" t="str">
        <f>HYPERLINK("https://gerandofalcoes.my.salesforce.com/0014X00002VKCsSQAX", "0014X00002VKCsSQAX")</f>
        <v>0014X00002VKCsSQAX</v>
      </c>
      <c r="B550" s="2" t="s">
        <v>2354</v>
      </c>
      <c r="C550" s="2" t="s">
        <v>423</v>
      </c>
      <c r="D550" s="2" t="s">
        <v>2</v>
      </c>
      <c r="E550" s="2">
        <v>27</v>
      </c>
      <c r="F550" s="2">
        <v>0</v>
      </c>
      <c r="G550" s="2">
        <v>3</v>
      </c>
      <c r="H550" s="2">
        <v>28800</v>
      </c>
      <c r="I550" s="2">
        <v>65</v>
      </c>
      <c r="J550" s="2" t="s">
        <v>1779</v>
      </c>
      <c r="K550" s="2">
        <v>38</v>
      </c>
      <c r="L550" s="2">
        <v>15</v>
      </c>
      <c r="M550" s="2">
        <v>0</v>
      </c>
      <c r="N550" s="2">
        <v>8</v>
      </c>
      <c r="O550" s="2">
        <v>10</v>
      </c>
      <c r="P550" s="2">
        <v>5</v>
      </c>
      <c r="Q550" s="2" t="s">
        <v>2355</v>
      </c>
      <c r="R550" s="2" t="s">
        <v>2356</v>
      </c>
      <c r="S550" s="4">
        <v>44837</v>
      </c>
    </row>
    <row r="551" spans="1:19" ht="12.5" x14ac:dyDescent="0.25">
      <c r="A551" s="14" t="str">
        <f>HYPERLINK("https://gerandofalcoes.my.salesforce.com/0014P00003AN2FvQAL", "0014P00003AN2FvQAL")</f>
        <v>0014P00003AN2FvQAL</v>
      </c>
      <c r="B551" s="2" t="s">
        <v>1746</v>
      </c>
      <c r="C551" s="2" t="s">
        <v>423</v>
      </c>
      <c r="D551" s="2" t="s">
        <v>27</v>
      </c>
      <c r="E551" s="2">
        <v>64</v>
      </c>
      <c r="F551" s="2">
        <v>7</v>
      </c>
      <c r="G551" s="2">
        <v>2</v>
      </c>
      <c r="H551" s="2">
        <v>109514.68</v>
      </c>
      <c r="I551" s="2">
        <v>127</v>
      </c>
      <c r="J551" s="2" t="s">
        <v>1671</v>
      </c>
      <c r="K551" s="2">
        <v>61</v>
      </c>
      <c r="L551" s="2">
        <v>20</v>
      </c>
      <c r="M551" s="2">
        <v>10</v>
      </c>
      <c r="N551" s="2">
        <v>6</v>
      </c>
      <c r="O551" s="2">
        <v>15</v>
      </c>
      <c r="P551" s="2">
        <v>10</v>
      </c>
      <c r="Q551" s="2" t="s">
        <v>142</v>
      </c>
      <c r="R551" s="2" t="s">
        <v>142</v>
      </c>
      <c r="S551" s="4">
        <v>44837</v>
      </c>
    </row>
    <row r="552" spans="1:19" ht="12.5" x14ac:dyDescent="0.25">
      <c r="A552" s="14" t="str">
        <f>HYPERLINK("https://gerandofalcoes.my.salesforce.com/0014X00002VKCsvQAH", "0014X00002VKCsvQAH")</f>
        <v>0014X00002VKCsvQAH</v>
      </c>
      <c r="B552" s="2" t="s">
        <v>2467</v>
      </c>
      <c r="C552" s="2" t="s">
        <v>423</v>
      </c>
      <c r="D552" s="2" t="s">
        <v>2</v>
      </c>
      <c r="E552" s="2">
        <v>23</v>
      </c>
      <c r="F552" s="2">
        <v>4</v>
      </c>
      <c r="G552" s="2">
        <v>0</v>
      </c>
      <c r="H552" s="2">
        <v>15000</v>
      </c>
      <c r="I552" s="2">
        <v>0</v>
      </c>
      <c r="J552" s="2" t="s">
        <v>1779</v>
      </c>
      <c r="K552" s="2">
        <v>20</v>
      </c>
      <c r="L552" s="2">
        <v>10</v>
      </c>
      <c r="M552" s="2">
        <v>5</v>
      </c>
      <c r="N552" s="2">
        <v>0</v>
      </c>
      <c r="O552" s="2">
        <v>5</v>
      </c>
      <c r="P552" s="2">
        <v>0</v>
      </c>
      <c r="Q552" s="2" t="s">
        <v>2468</v>
      </c>
      <c r="R552" s="2" t="s">
        <v>2468</v>
      </c>
      <c r="S552" s="4">
        <v>44837</v>
      </c>
    </row>
    <row r="553" spans="1:19" ht="12.5" x14ac:dyDescent="0.25">
      <c r="A553" s="14" t="str">
        <f>HYPERLINK("https://gerandofalcoes.my.salesforce.com/0014X00002UGqWjQAL", "0014X00002UGqWjQAL")</f>
        <v>0014X00002UGqWjQAL</v>
      </c>
      <c r="B553" s="2" t="s">
        <v>2654</v>
      </c>
      <c r="C553" s="2" t="s">
        <v>423</v>
      </c>
      <c r="D553" s="2" t="s">
        <v>2</v>
      </c>
      <c r="E553" s="2">
        <v>17</v>
      </c>
      <c r="F553" s="2">
        <v>0</v>
      </c>
      <c r="G553" s="2">
        <v>2</v>
      </c>
      <c r="H553" s="2">
        <v>2000</v>
      </c>
      <c r="I553" s="2">
        <v>150</v>
      </c>
      <c r="J553" s="2" t="s">
        <v>1779</v>
      </c>
      <c r="K553" s="2">
        <v>33</v>
      </c>
      <c r="L553" s="2">
        <v>10</v>
      </c>
      <c r="M553" s="2">
        <v>0</v>
      </c>
      <c r="N553" s="2">
        <v>6</v>
      </c>
      <c r="O553" s="2">
        <v>5</v>
      </c>
      <c r="P553" s="2">
        <v>12</v>
      </c>
      <c r="Q553" s="2" t="s">
        <v>2655</v>
      </c>
      <c r="R553" s="2" t="s">
        <v>2656</v>
      </c>
      <c r="S553" s="4">
        <v>44837</v>
      </c>
    </row>
    <row r="554" spans="1:19" ht="12.5" x14ac:dyDescent="0.25">
      <c r="A554" s="14" t="str">
        <f>HYPERLINK("https://gerandofalcoes.my.salesforce.com/0014X00002UGscXQAT", "0014X00002UGscXQAT")</f>
        <v>0014X00002UGscXQAT</v>
      </c>
      <c r="B554" s="2" t="s">
        <v>2995</v>
      </c>
      <c r="C554" s="2" t="s">
        <v>1800</v>
      </c>
      <c r="D554" s="2" t="s">
        <v>2</v>
      </c>
      <c r="E554" s="2"/>
      <c r="F554" s="2">
        <v>2</v>
      </c>
      <c r="G554" s="2">
        <v>2</v>
      </c>
      <c r="H554" s="2">
        <v>1000</v>
      </c>
      <c r="I554" s="2">
        <v>0</v>
      </c>
      <c r="J554" s="2" t="s">
        <v>1779</v>
      </c>
      <c r="K554" s="2">
        <v>16</v>
      </c>
      <c r="L554" s="2">
        <v>0</v>
      </c>
      <c r="M554" s="2">
        <v>5</v>
      </c>
      <c r="N554" s="2">
        <v>6</v>
      </c>
      <c r="O554" s="2">
        <v>5</v>
      </c>
      <c r="P554" s="2">
        <v>0</v>
      </c>
      <c r="Q554" s="2" t="s">
        <v>2996</v>
      </c>
      <c r="R554" s="2" t="s">
        <v>2997</v>
      </c>
      <c r="S554" s="4">
        <v>44837</v>
      </c>
    </row>
    <row r="555" spans="1:19" ht="12.5" x14ac:dyDescent="0.25">
      <c r="A555" s="14" t="str">
        <f>HYPERLINK("https://gerandofalcoes.my.salesforce.com/0014P00003AN2FoQAL", "0014P00003AN2FoQAL")</f>
        <v>0014P00003AN2FoQAL</v>
      </c>
      <c r="B555" s="2" t="s">
        <v>1938</v>
      </c>
      <c r="C555" s="2" t="s">
        <v>423</v>
      </c>
      <c r="D555" s="2" t="s">
        <v>2</v>
      </c>
      <c r="E555" s="2">
        <v>41.14</v>
      </c>
      <c r="F555" s="2">
        <v>5</v>
      </c>
      <c r="G555" s="2">
        <v>1</v>
      </c>
      <c r="H555" s="2">
        <v>25000</v>
      </c>
      <c r="I555" s="2">
        <v>300</v>
      </c>
      <c r="J555" s="2" t="s">
        <v>1671</v>
      </c>
      <c r="K555" s="2">
        <v>49</v>
      </c>
      <c r="L555" s="2">
        <v>15</v>
      </c>
      <c r="M555" s="2">
        <v>5</v>
      </c>
      <c r="N555" s="2">
        <v>4</v>
      </c>
      <c r="O555" s="2">
        <v>10</v>
      </c>
      <c r="P555" s="2">
        <v>15</v>
      </c>
      <c r="Q555" s="2" t="s">
        <v>130</v>
      </c>
      <c r="R555" s="2" t="s">
        <v>1939</v>
      </c>
      <c r="S555" s="4">
        <v>44837</v>
      </c>
    </row>
    <row r="556" spans="1:19" ht="12.5" x14ac:dyDescent="0.25">
      <c r="A556" s="14" t="str">
        <f>HYPERLINK("https://gerandofalcoes.my.salesforce.com/0014P00003AN2FpQAL", "0014P00003AN2FpQAL")</f>
        <v>0014P00003AN2FpQAL</v>
      </c>
      <c r="B556" s="2" t="s">
        <v>1678</v>
      </c>
      <c r="C556" s="2" t="s">
        <v>423</v>
      </c>
      <c r="D556" s="2" t="s">
        <v>27</v>
      </c>
      <c r="E556" s="2">
        <v>89</v>
      </c>
      <c r="F556" s="2">
        <v>16</v>
      </c>
      <c r="G556" s="2">
        <v>2</v>
      </c>
      <c r="H556" s="2">
        <v>76727.45</v>
      </c>
      <c r="I556" s="2">
        <v>173</v>
      </c>
      <c r="J556" s="2" t="s">
        <v>1650</v>
      </c>
      <c r="K556" s="2">
        <v>65</v>
      </c>
      <c r="L556" s="2">
        <v>25</v>
      </c>
      <c r="M556" s="2">
        <v>12</v>
      </c>
      <c r="N556" s="2">
        <v>6</v>
      </c>
      <c r="O556" s="2">
        <v>10</v>
      </c>
      <c r="P556" s="2">
        <v>12</v>
      </c>
      <c r="Q556" s="2" t="s">
        <v>131</v>
      </c>
      <c r="R556" s="2" t="s">
        <v>131</v>
      </c>
      <c r="S556" s="4">
        <v>44837</v>
      </c>
    </row>
    <row r="557" spans="1:19" ht="12.5" x14ac:dyDescent="0.25">
      <c r="A557" s="14" t="str">
        <f>HYPERLINK("https://gerandofalcoes.my.salesforce.com/0014P00003AN2FqQAL", "0014P00003AN2FqQAL")</f>
        <v>0014P00003AN2FqQAL</v>
      </c>
      <c r="B557" s="2" t="s">
        <v>1658</v>
      </c>
      <c r="C557" s="2" t="s">
        <v>423</v>
      </c>
      <c r="D557" s="2" t="s">
        <v>27</v>
      </c>
      <c r="E557" s="2">
        <v>95</v>
      </c>
      <c r="F557" s="2">
        <v>46</v>
      </c>
      <c r="G557" s="2">
        <v>4</v>
      </c>
      <c r="H557" s="2">
        <v>1272655.06</v>
      </c>
      <c r="I557" s="2">
        <v>348</v>
      </c>
      <c r="J557" s="2" t="s">
        <v>1654</v>
      </c>
      <c r="K557" s="2">
        <v>95</v>
      </c>
      <c r="L557" s="2">
        <v>30</v>
      </c>
      <c r="M557" s="2">
        <v>15</v>
      </c>
      <c r="N557" s="2">
        <v>10</v>
      </c>
      <c r="O557" s="2">
        <v>25</v>
      </c>
      <c r="P557" s="2">
        <v>15</v>
      </c>
      <c r="Q557" s="2" t="s">
        <v>132</v>
      </c>
      <c r="R557" s="2" t="s">
        <v>132</v>
      </c>
      <c r="S557" s="4">
        <v>44837</v>
      </c>
    </row>
    <row r="558" spans="1:19" ht="12.5" x14ac:dyDescent="0.25">
      <c r="A558" s="14" t="str">
        <f>HYPERLINK("https://gerandofalcoes.my.salesforce.com/0014P00003AN2FsQAL", "0014P00003AN2FsQAL")</f>
        <v>0014P00003AN2FsQAL</v>
      </c>
      <c r="B558" s="2" t="s">
        <v>1688</v>
      </c>
      <c r="C558" s="2" t="s">
        <v>423</v>
      </c>
      <c r="D558" s="2" t="s">
        <v>27</v>
      </c>
      <c r="E558" s="2">
        <v>85</v>
      </c>
      <c r="F558" s="2">
        <v>6</v>
      </c>
      <c r="G558" s="2">
        <v>3</v>
      </c>
      <c r="H558" s="2">
        <v>93122.27</v>
      </c>
      <c r="I558" s="2">
        <v>206</v>
      </c>
      <c r="J558" s="2" t="s">
        <v>1650</v>
      </c>
      <c r="K558" s="2">
        <v>65</v>
      </c>
      <c r="L558" s="2">
        <v>25</v>
      </c>
      <c r="M558" s="2">
        <v>10</v>
      </c>
      <c r="N558" s="2">
        <v>8</v>
      </c>
      <c r="O558" s="2">
        <v>10</v>
      </c>
      <c r="P558" s="2">
        <v>12</v>
      </c>
      <c r="Q558" s="2" t="s">
        <v>134</v>
      </c>
      <c r="R558" s="2" t="s">
        <v>134</v>
      </c>
      <c r="S558" s="4">
        <v>44837</v>
      </c>
    </row>
    <row r="559" spans="1:19" ht="12.5" x14ac:dyDescent="0.25">
      <c r="A559" s="14" t="str">
        <f>HYPERLINK("https://gerandofalcoes.my.salesforce.com/0014X00002VKCteQAH", "0014X00002VKCteQAH")</f>
        <v>0014X00002VKCteQAH</v>
      </c>
      <c r="B559" s="2" t="s">
        <v>2368</v>
      </c>
      <c r="C559" s="2" t="s">
        <v>423</v>
      </c>
      <c r="D559" s="2" t="s">
        <v>2</v>
      </c>
      <c r="E559" s="2">
        <v>26</v>
      </c>
      <c r="F559" s="2">
        <v>0</v>
      </c>
      <c r="G559" s="2">
        <v>4</v>
      </c>
      <c r="H559" s="2">
        <v>120000</v>
      </c>
      <c r="I559" s="2">
        <v>60</v>
      </c>
      <c r="J559" s="2" t="s">
        <v>1671</v>
      </c>
      <c r="K559" s="2">
        <v>45</v>
      </c>
      <c r="L559" s="2">
        <v>15</v>
      </c>
      <c r="M559" s="2">
        <v>0</v>
      </c>
      <c r="N559" s="2">
        <v>10</v>
      </c>
      <c r="O559" s="2">
        <v>15</v>
      </c>
      <c r="P559" s="2">
        <v>5</v>
      </c>
      <c r="Q559" s="2" t="s">
        <v>2369</v>
      </c>
      <c r="R559" s="2" t="s">
        <v>2369</v>
      </c>
      <c r="S559" s="4">
        <v>44837</v>
      </c>
    </row>
    <row r="560" spans="1:19" ht="12.5" x14ac:dyDescent="0.25">
      <c r="A560" s="14" t="str">
        <f>HYPERLINK("https://gerandofalcoes.my.salesforce.com/0014P00003AN2FtQAL", "0014P00003AN2FtQAL")</f>
        <v>0014P00003AN2FtQAL</v>
      </c>
      <c r="B560" s="2" t="s">
        <v>137</v>
      </c>
      <c r="C560" s="2" t="s">
        <v>423</v>
      </c>
      <c r="D560" s="2" t="s">
        <v>27</v>
      </c>
      <c r="E560" s="2">
        <v>86</v>
      </c>
      <c r="F560" s="2">
        <v>7</v>
      </c>
      <c r="G560" s="2">
        <v>4</v>
      </c>
      <c r="H560" s="2">
        <v>67399.429999999993</v>
      </c>
      <c r="I560" s="2">
        <v>159</v>
      </c>
      <c r="J560" s="2" t="s">
        <v>1650</v>
      </c>
      <c r="K560" s="2">
        <v>67</v>
      </c>
      <c r="L560" s="2">
        <v>25</v>
      </c>
      <c r="M560" s="2">
        <v>10</v>
      </c>
      <c r="N560" s="2">
        <v>10</v>
      </c>
      <c r="O560" s="2">
        <v>10</v>
      </c>
      <c r="P560" s="2">
        <v>12</v>
      </c>
      <c r="Q560" s="2" t="s">
        <v>138</v>
      </c>
      <c r="R560" s="2" t="s">
        <v>1682</v>
      </c>
      <c r="S560" s="4">
        <v>44837</v>
      </c>
    </row>
    <row r="561" spans="1:19" ht="12.5" x14ac:dyDescent="0.25">
      <c r="A561" s="14" t="str">
        <f>HYPERLINK("https://gerandofalcoes.my.salesforce.com/0014P00003AN2FuQAL", "0014P00003AN2FuQAL")</f>
        <v>0014P00003AN2FuQAL</v>
      </c>
      <c r="B561" s="2" t="s">
        <v>1659</v>
      </c>
      <c r="C561" s="2" t="s">
        <v>423</v>
      </c>
      <c r="D561" s="2" t="s">
        <v>27</v>
      </c>
      <c r="E561" s="2">
        <v>95</v>
      </c>
      <c r="F561" s="2">
        <v>23</v>
      </c>
      <c r="G561" s="2">
        <v>3</v>
      </c>
      <c r="H561" s="2">
        <v>243360.63</v>
      </c>
      <c r="I561" s="2">
        <v>291</v>
      </c>
      <c r="J561" s="2" t="s">
        <v>1650</v>
      </c>
      <c r="K561" s="2">
        <v>77</v>
      </c>
      <c r="L561" s="2">
        <v>30</v>
      </c>
      <c r="M561" s="2">
        <v>12</v>
      </c>
      <c r="N561" s="2">
        <v>8</v>
      </c>
      <c r="O561" s="2">
        <v>15</v>
      </c>
      <c r="P561" s="2">
        <v>12</v>
      </c>
      <c r="Q561" s="2" t="s">
        <v>140</v>
      </c>
      <c r="R561" s="2" t="s">
        <v>140</v>
      </c>
      <c r="S561" s="4">
        <v>44837</v>
      </c>
    </row>
    <row r="562" spans="1:19" ht="12.5" x14ac:dyDescent="0.25">
      <c r="A562" s="14" t="str">
        <f>HYPERLINK("https://gerandofalcoes.my.salesforce.com/0014P00003AN2FwQAL", "0014P00003AN2FwQAL")</f>
        <v>0014P00003AN2FwQAL</v>
      </c>
      <c r="B562" s="2" t="s">
        <v>115</v>
      </c>
      <c r="C562" s="2" t="s">
        <v>423</v>
      </c>
      <c r="D562" s="2" t="s">
        <v>27</v>
      </c>
      <c r="E562" s="2">
        <v>73</v>
      </c>
      <c r="F562" s="2">
        <v>15</v>
      </c>
      <c r="G562" s="2">
        <v>1</v>
      </c>
      <c r="H562" s="2">
        <v>65923</v>
      </c>
      <c r="I562" s="2">
        <v>77</v>
      </c>
      <c r="J562" s="2" t="s">
        <v>1671</v>
      </c>
      <c r="K562" s="2">
        <v>51</v>
      </c>
      <c r="L562" s="2">
        <v>20</v>
      </c>
      <c r="M562" s="2">
        <v>12</v>
      </c>
      <c r="N562" s="2">
        <v>4</v>
      </c>
      <c r="O562" s="2">
        <v>10</v>
      </c>
      <c r="P562" s="2">
        <v>5</v>
      </c>
      <c r="Q562" s="2" t="s">
        <v>116</v>
      </c>
      <c r="R562" s="2" t="s">
        <v>1723</v>
      </c>
      <c r="S562" s="4">
        <v>44837</v>
      </c>
    </row>
    <row r="563" spans="1:19" ht="12.5" x14ac:dyDescent="0.25">
      <c r="A563" s="14" t="str">
        <f>HYPERLINK("https://gerandofalcoes.my.salesforce.com/0014P00003AN2FxQAL", "0014P00003AN2FxQAL")</f>
        <v>0014P00003AN2FxQAL</v>
      </c>
      <c r="B563" s="2" t="s">
        <v>1664</v>
      </c>
      <c r="C563" s="2" t="s">
        <v>423</v>
      </c>
      <c r="D563" s="2" t="s">
        <v>27</v>
      </c>
      <c r="E563" s="2">
        <v>93</v>
      </c>
      <c r="F563" s="2">
        <v>29</v>
      </c>
      <c r="G563" s="2">
        <v>1</v>
      </c>
      <c r="H563" s="2">
        <v>621309.18999999994</v>
      </c>
      <c r="I563" s="2">
        <v>203</v>
      </c>
      <c r="J563" s="2" t="s">
        <v>1650</v>
      </c>
      <c r="K563" s="2">
        <v>78</v>
      </c>
      <c r="L563" s="2">
        <v>30</v>
      </c>
      <c r="M563" s="2">
        <v>12</v>
      </c>
      <c r="N563" s="2">
        <v>4</v>
      </c>
      <c r="O563" s="2">
        <v>20</v>
      </c>
      <c r="P563" s="2">
        <v>12</v>
      </c>
      <c r="Q563" s="2" t="s">
        <v>144</v>
      </c>
      <c r="R563" s="2" t="s">
        <v>144</v>
      </c>
      <c r="S563" s="4">
        <v>44837</v>
      </c>
    </row>
    <row r="564" spans="1:19" ht="12.5" x14ac:dyDescent="0.25">
      <c r="A564" s="14" t="str">
        <f>HYPERLINK("https://gerandofalcoes.my.salesforce.com/0014X00002VKCrtQAH", "0014X00002VKCrtQAH")</f>
        <v>0014X00002VKCrtQAH</v>
      </c>
      <c r="B564" s="2" t="s">
        <v>2579</v>
      </c>
      <c r="C564" s="2" t="s">
        <v>423</v>
      </c>
      <c r="D564" s="2" t="s">
        <v>2</v>
      </c>
      <c r="E564" s="2">
        <v>34</v>
      </c>
      <c r="F564" s="2">
        <v>0</v>
      </c>
      <c r="G564" s="2">
        <v>2</v>
      </c>
      <c r="H564" s="2">
        <v>6000</v>
      </c>
      <c r="I564" s="2">
        <v>33</v>
      </c>
      <c r="J564" s="2" t="s">
        <v>1779</v>
      </c>
      <c r="K564" s="2">
        <v>31</v>
      </c>
      <c r="L564" s="2">
        <v>15</v>
      </c>
      <c r="M564" s="2">
        <v>0</v>
      </c>
      <c r="N564" s="2">
        <v>6</v>
      </c>
      <c r="O564" s="2">
        <v>5</v>
      </c>
      <c r="P564" s="2">
        <v>5</v>
      </c>
      <c r="Q564" s="2" t="s">
        <v>2580</v>
      </c>
      <c r="R564" s="2" t="s">
        <v>2581</v>
      </c>
      <c r="S564" s="4">
        <v>44837</v>
      </c>
    </row>
    <row r="565" spans="1:19" ht="12.5" x14ac:dyDescent="0.25">
      <c r="A565" s="14" t="str">
        <f>HYPERLINK("https://gerandofalcoes.my.salesforce.com/0014X00002VKCunQAH", "0014X00002VKCunQAH")</f>
        <v>0014X00002VKCunQAH</v>
      </c>
      <c r="B565" s="2" t="s">
        <v>2054</v>
      </c>
      <c r="C565" s="2" t="s">
        <v>423</v>
      </c>
      <c r="D565" s="2" t="s">
        <v>2</v>
      </c>
      <c r="E565" s="2">
        <v>37</v>
      </c>
      <c r="F565" s="2">
        <v>4</v>
      </c>
      <c r="G565" s="2">
        <v>6</v>
      </c>
      <c r="H565" s="2">
        <v>240</v>
      </c>
      <c r="I565" s="2">
        <v>12</v>
      </c>
      <c r="J565" s="2" t="s">
        <v>1671</v>
      </c>
      <c r="K565" s="2">
        <v>40</v>
      </c>
      <c r="L565" s="2">
        <v>15</v>
      </c>
      <c r="M565" s="2">
        <v>5</v>
      </c>
      <c r="N565" s="2">
        <v>10</v>
      </c>
      <c r="O565" s="2">
        <v>5</v>
      </c>
      <c r="P565" s="2">
        <v>5</v>
      </c>
      <c r="Q565" s="2" t="s">
        <v>2055</v>
      </c>
      <c r="R565" s="2" t="s">
        <v>2056</v>
      </c>
      <c r="S565" s="4">
        <v>44837</v>
      </c>
    </row>
    <row r="566" spans="1:19" ht="12.5" x14ac:dyDescent="0.25">
      <c r="A566" s="14" t="str">
        <f>HYPERLINK("https://gerandofalcoes.my.salesforce.com/0014X00002VKCpOQAX", "0014X00002VKCpOQAX")</f>
        <v>0014X00002VKCpOQAX</v>
      </c>
      <c r="B566" s="2" t="s">
        <v>2905</v>
      </c>
      <c r="C566" s="2" t="s">
        <v>423</v>
      </c>
      <c r="D566" s="2" t="s">
        <v>2</v>
      </c>
      <c r="E566" s="2">
        <v>8</v>
      </c>
      <c r="F566" s="2">
        <v>4</v>
      </c>
      <c r="G566" s="2">
        <v>10</v>
      </c>
      <c r="H566" s="2">
        <v>0</v>
      </c>
      <c r="I566" s="2">
        <v>100</v>
      </c>
      <c r="J566" s="2" t="s">
        <v>1779</v>
      </c>
      <c r="K566" s="2">
        <v>35</v>
      </c>
      <c r="L566" s="2">
        <v>10</v>
      </c>
      <c r="M566" s="2">
        <v>5</v>
      </c>
      <c r="N566" s="2">
        <v>10</v>
      </c>
      <c r="O566" s="2">
        <v>0</v>
      </c>
      <c r="P566" s="2">
        <v>10</v>
      </c>
      <c r="Q566" s="2" t="s">
        <v>2906</v>
      </c>
      <c r="R566" s="2" t="s">
        <v>2906</v>
      </c>
      <c r="S566" s="4">
        <v>44837</v>
      </c>
    </row>
    <row r="567" spans="1:19" ht="12.5" x14ac:dyDescent="0.25">
      <c r="A567" s="14" t="str">
        <f>HYPERLINK("https://gerandofalcoes.my.salesforce.com/0014X00002VKCv1QAH", "0014X00002VKCv1QAH")</f>
        <v>0014X00002VKCv1QAH</v>
      </c>
      <c r="B567" s="2" t="s">
        <v>2307</v>
      </c>
      <c r="C567" s="2" t="s">
        <v>423</v>
      </c>
      <c r="D567" s="2" t="s">
        <v>2</v>
      </c>
      <c r="E567" s="2">
        <v>29</v>
      </c>
      <c r="F567" s="2">
        <v>0</v>
      </c>
      <c r="G567" s="2">
        <v>2</v>
      </c>
      <c r="H567" s="2">
        <v>10000</v>
      </c>
      <c r="I567" s="2">
        <v>20</v>
      </c>
      <c r="J567" s="2" t="s">
        <v>1779</v>
      </c>
      <c r="K567" s="2">
        <v>31</v>
      </c>
      <c r="L567" s="2">
        <v>15</v>
      </c>
      <c r="M567" s="2">
        <v>0</v>
      </c>
      <c r="N567" s="2">
        <v>6</v>
      </c>
      <c r="O567" s="2">
        <v>5</v>
      </c>
      <c r="P567" s="2">
        <v>5</v>
      </c>
      <c r="Q567" s="2" t="s">
        <v>2308</v>
      </c>
      <c r="R567" s="2" t="s">
        <v>2308</v>
      </c>
      <c r="S567" s="4">
        <v>44837</v>
      </c>
    </row>
    <row r="568" spans="1:19" ht="12.5" x14ac:dyDescent="0.25">
      <c r="A568" s="14" t="str">
        <f>HYPERLINK("https://gerandofalcoes.my.salesforce.com/0014X00002VKCrxQAH", "0014X00002VKCrxQAH")</f>
        <v>0014X00002VKCrxQAH</v>
      </c>
      <c r="B568" s="2" t="s">
        <v>2970</v>
      </c>
      <c r="C568" s="2" t="s">
        <v>423</v>
      </c>
      <c r="D568" s="2" t="s">
        <v>2</v>
      </c>
      <c r="E568" s="2">
        <v>18</v>
      </c>
      <c r="F568" s="2">
        <v>0</v>
      </c>
      <c r="G568" s="2">
        <v>0</v>
      </c>
      <c r="H568" s="2">
        <v>0</v>
      </c>
      <c r="I568" s="2">
        <v>60</v>
      </c>
      <c r="J568" s="2" t="s">
        <v>1779</v>
      </c>
      <c r="K568" s="2">
        <v>15</v>
      </c>
      <c r="L568" s="2">
        <v>10</v>
      </c>
      <c r="M568" s="2">
        <v>0</v>
      </c>
      <c r="N568" s="2">
        <v>0</v>
      </c>
      <c r="O568" s="2">
        <v>0</v>
      </c>
      <c r="P568" s="2">
        <v>5</v>
      </c>
      <c r="Q568" s="2" t="s">
        <v>2971</v>
      </c>
      <c r="R568" s="2" t="s">
        <v>2972</v>
      </c>
      <c r="S568" s="4">
        <v>44837</v>
      </c>
    </row>
    <row r="569" spans="1:19" ht="12.5" x14ac:dyDescent="0.25">
      <c r="A569" s="14" t="str">
        <f>HYPERLINK("https://gerandofalcoes.my.salesforce.com/0014X00002VKCv3QAH", "0014X00002VKCv3QAH")</f>
        <v>0014X00002VKCv3QAH</v>
      </c>
      <c r="B569" s="2" t="s">
        <v>2141</v>
      </c>
      <c r="C569" s="2" t="s">
        <v>1800</v>
      </c>
      <c r="D569" s="2" t="s">
        <v>2</v>
      </c>
      <c r="E569" s="2">
        <v>34</v>
      </c>
      <c r="F569" s="2">
        <v>0</v>
      </c>
      <c r="G569" s="2">
        <v>3</v>
      </c>
      <c r="H569" s="2">
        <v>12000</v>
      </c>
      <c r="I569" s="2">
        <v>20</v>
      </c>
      <c r="J569" s="2" t="s">
        <v>1779</v>
      </c>
      <c r="K569" s="2">
        <v>33</v>
      </c>
      <c r="L569" s="2">
        <v>15</v>
      </c>
      <c r="M569" s="2">
        <v>0</v>
      </c>
      <c r="N569" s="2">
        <v>8</v>
      </c>
      <c r="O569" s="2">
        <v>5</v>
      </c>
      <c r="P569" s="2">
        <v>5</v>
      </c>
      <c r="Q569" s="2" t="s">
        <v>2142</v>
      </c>
      <c r="R569" s="2" t="s">
        <v>2143</v>
      </c>
      <c r="S569" s="4">
        <v>44837</v>
      </c>
    </row>
    <row r="570" spans="1:19" ht="12.5" x14ac:dyDescent="0.25">
      <c r="A570" s="14" t="str">
        <f>HYPERLINK("https://gerandofalcoes.my.salesforce.com/0014P00003SGWPqQAP", "0014P00003SGWPqQAP")</f>
        <v>0014P00003SGWPqQAP</v>
      </c>
      <c r="B570" s="2" t="s">
        <v>2835</v>
      </c>
      <c r="C570" s="2" t="s">
        <v>1800</v>
      </c>
      <c r="D570" s="2" t="s">
        <v>2</v>
      </c>
      <c r="E570" s="2">
        <v>11</v>
      </c>
      <c r="F570" s="2">
        <v>2</v>
      </c>
      <c r="G570" s="2">
        <v>0</v>
      </c>
      <c r="H570" s="2">
        <v>140000</v>
      </c>
      <c r="I570" s="2">
        <v>200</v>
      </c>
      <c r="J570" s="2" t="s">
        <v>1671</v>
      </c>
      <c r="K570" s="2">
        <v>42</v>
      </c>
      <c r="L570" s="2">
        <v>10</v>
      </c>
      <c r="M570" s="2">
        <v>5</v>
      </c>
      <c r="N570" s="2">
        <v>0</v>
      </c>
      <c r="O570" s="2">
        <v>15</v>
      </c>
      <c r="P570" s="2">
        <v>12</v>
      </c>
      <c r="Q570" s="2" t="s">
        <v>327</v>
      </c>
      <c r="R570" s="2" t="s">
        <v>1409</v>
      </c>
      <c r="S570" s="4">
        <v>44837</v>
      </c>
    </row>
    <row r="571" spans="1:19" ht="12.5" x14ac:dyDescent="0.25">
      <c r="A571" s="14" t="str">
        <f>HYPERLINK("https://gerandofalcoes.my.salesforce.com/0014P00003SGWPrQAP", "0014P00003SGWPrQAP")</f>
        <v>0014P00003SGWPrQAP</v>
      </c>
      <c r="B571" s="2" t="s">
        <v>2774</v>
      </c>
      <c r="C571" s="2" t="s">
        <v>423</v>
      </c>
      <c r="D571" s="2" t="s">
        <v>2</v>
      </c>
      <c r="E571" s="2">
        <v>31</v>
      </c>
      <c r="F571" s="2">
        <v>0</v>
      </c>
      <c r="G571" s="2">
        <v>2</v>
      </c>
      <c r="H571" s="2">
        <v>50000</v>
      </c>
      <c r="I571" s="2">
        <v>52</v>
      </c>
      <c r="J571" s="2" t="s">
        <v>1779</v>
      </c>
      <c r="K571" s="2">
        <v>36</v>
      </c>
      <c r="L571" s="2">
        <v>15</v>
      </c>
      <c r="M571" s="2">
        <v>0</v>
      </c>
      <c r="N571" s="2">
        <v>6</v>
      </c>
      <c r="O571" s="2">
        <v>10</v>
      </c>
      <c r="P571" s="2">
        <v>5</v>
      </c>
      <c r="Q571" s="2" t="s">
        <v>329</v>
      </c>
      <c r="R571" s="2" t="s">
        <v>1419</v>
      </c>
      <c r="S571" s="4">
        <v>44837</v>
      </c>
    </row>
    <row r="572" spans="1:19" ht="12.5" x14ac:dyDescent="0.25">
      <c r="A572" s="14" t="str">
        <f>HYPERLINK("https://gerandofalcoes.my.salesforce.com/0014P00003SGWPsQAP", "0014P00003SGWPsQAP")</f>
        <v>0014P00003SGWPsQAP</v>
      </c>
      <c r="B572" s="2" t="s">
        <v>1663</v>
      </c>
      <c r="C572" s="2" t="s">
        <v>423</v>
      </c>
      <c r="D572" s="2" t="s">
        <v>27</v>
      </c>
      <c r="E572" s="2">
        <v>93</v>
      </c>
      <c r="F572" s="2">
        <v>49</v>
      </c>
      <c r="G572" s="2">
        <v>3</v>
      </c>
      <c r="H572" s="2">
        <v>1126099.1000000001</v>
      </c>
      <c r="I572" s="2">
        <v>390</v>
      </c>
      <c r="J572" s="2" t="s">
        <v>1654</v>
      </c>
      <c r="K572" s="2">
        <v>93</v>
      </c>
      <c r="L572" s="2">
        <v>30</v>
      </c>
      <c r="M572" s="2">
        <v>15</v>
      </c>
      <c r="N572" s="2">
        <v>8</v>
      </c>
      <c r="O572" s="2">
        <v>25</v>
      </c>
      <c r="P572" s="2">
        <v>15</v>
      </c>
      <c r="Q572" s="2" t="s">
        <v>332</v>
      </c>
      <c r="R572" s="2" t="s">
        <v>1429</v>
      </c>
      <c r="S572" s="4">
        <v>44837</v>
      </c>
    </row>
    <row r="573" spans="1:19" ht="12.5" x14ac:dyDescent="0.25">
      <c r="A573" s="14" t="str">
        <f>HYPERLINK("https://gerandofalcoes.my.salesforce.com/0014P00003SGWPtQAP", "0014P00003SGWPtQAP")</f>
        <v>0014P00003SGWPtQAP</v>
      </c>
      <c r="B573" s="2" t="s">
        <v>2628</v>
      </c>
      <c r="C573" s="2" t="s">
        <v>423</v>
      </c>
      <c r="D573" s="2" t="s">
        <v>2</v>
      </c>
      <c r="E573" s="2">
        <v>24</v>
      </c>
      <c r="F573" s="2">
        <v>3</v>
      </c>
      <c r="G573" s="2">
        <v>0</v>
      </c>
      <c r="H573" s="2">
        <v>400000</v>
      </c>
      <c r="I573" s="2">
        <v>134</v>
      </c>
      <c r="J573" s="2" t="s">
        <v>1671</v>
      </c>
      <c r="K573" s="2">
        <v>45</v>
      </c>
      <c r="L573" s="2">
        <v>10</v>
      </c>
      <c r="M573" s="2">
        <v>5</v>
      </c>
      <c r="N573" s="2">
        <v>0</v>
      </c>
      <c r="O573" s="2">
        <v>20</v>
      </c>
      <c r="P573" s="2">
        <v>10</v>
      </c>
      <c r="Q573" s="2" t="s">
        <v>336</v>
      </c>
      <c r="R573" s="2" t="s">
        <v>336</v>
      </c>
      <c r="S573" s="4">
        <v>44837</v>
      </c>
    </row>
    <row r="574" spans="1:19" ht="12.5" x14ac:dyDescent="0.25">
      <c r="A574" s="14" t="str">
        <f>HYPERLINK("https://gerandofalcoes.my.salesforce.com/0014P00003SGWFqQAP", "0014P00003SGWFqQAP")</f>
        <v>0014P00003SGWFqQAP</v>
      </c>
      <c r="B574" s="2" t="s">
        <v>343</v>
      </c>
      <c r="C574" s="2" t="s">
        <v>423</v>
      </c>
      <c r="D574" s="2" t="s">
        <v>2</v>
      </c>
      <c r="E574" s="2">
        <v>67</v>
      </c>
      <c r="F574" s="2">
        <v>10</v>
      </c>
      <c r="G574" s="2">
        <v>6</v>
      </c>
      <c r="H574" s="2">
        <v>796000</v>
      </c>
      <c r="I574" s="2">
        <v>80</v>
      </c>
      <c r="J574" s="2" t="s">
        <v>1650</v>
      </c>
      <c r="K574" s="2">
        <v>70</v>
      </c>
      <c r="L574" s="2">
        <v>20</v>
      </c>
      <c r="M574" s="2">
        <v>10</v>
      </c>
      <c r="N574" s="2">
        <v>10</v>
      </c>
      <c r="O574" s="2">
        <v>20</v>
      </c>
      <c r="P574" s="2">
        <v>10</v>
      </c>
      <c r="Q574" s="2" t="s">
        <v>344</v>
      </c>
      <c r="R574" s="2" t="s">
        <v>1479</v>
      </c>
      <c r="S574" s="4">
        <v>44837</v>
      </c>
    </row>
    <row r="575" spans="1:19" ht="12.5" x14ac:dyDescent="0.25">
      <c r="A575" s="14" t="str">
        <f>HYPERLINK("https://gerandofalcoes.my.salesforce.com/0014P00003SGWPMQA5", "0014P00003SGWPMQA5")</f>
        <v>0014P00003SGWPMQA5</v>
      </c>
      <c r="B575" s="2" t="s">
        <v>347</v>
      </c>
      <c r="C575" s="2" t="s">
        <v>423</v>
      </c>
      <c r="D575" s="2" t="s">
        <v>2</v>
      </c>
      <c r="E575" s="2">
        <v>3.21</v>
      </c>
      <c r="F575" s="2">
        <v>0</v>
      </c>
      <c r="G575" s="2">
        <v>0</v>
      </c>
      <c r="H575" s="2">
        <v>0</v>
      </c>
      <c r="I575" s="2">
        <v>0</v>
      </c>
      <c r="J575" s="2" t="s">
        <v>1779</v>
      </c>
      <c r="K575" s="2">
        <v>10</v>
      </c>
      <c r="L575" s="2">
        <v>10</v>
      </c>
      <c r="M575" s="2">
        <v>0</v>
      </c>
      <c r="N575" s="2">
        <v>0</v>
      </c>
      <c r="O575" s="2">
        <v>0</v>
      </c>
      <c r="P575" s="2">
        <v>0</v>
      </c>
      <c r="Q575" s="2" t="s">
        <v>348</v>
      </c>
      <c r="R575" s="2" t="s">
        <v>1488</v>
      </c>
      <c r="S575" s="4">
        <v>44837</v>
      </c>
    </row>
    <row r="576" spans="1:19" ht="12.5" x14ac:dyDescent="0.25">
      <c r="A576" s="14" t="str">
        <f>HYPERLINK("https://gerandofalcoes.my.salesforce.com/0014P00003SGWFrQAP", "0014P00003SGWFrQAP")</f>
        <v>0014P00003SGWFrQAP</v>
      </c>
      <c r="B576" s="2" t="s">
        <v>350</v>
      </c>
      <c r="C576" s="2" t="s">
        <v>423</v>
      </c>
      <c r="D576" s="2" t="s">
        <v>2</v>
      </c>
      <c r="E576" s="2">
        <v>43</v>
      </c>
      <c r="F576" s="2">
        <v>7</v>
      </c>
      <c r="G576" s="2">
        <v>0</v>
      </c>
      <c r="H576" s="2">
        <v>290000</v>
      </c>
      <c r="I576" s="2">
        <v>183</v>
      </c>
      <c r="J576" s="2" t="s">
        <v>1671</v>
      </c>
      <c r="K576" s="2">
        <v>52</v>
      </c>
      <c r="L576" s="2">
        <v>15</v>
      </c>
      <c r="M576" s="2">
        <v>10</v>
      </c>
      <c r="N576" s="2">
        <v>0</v>
      </c>
      <c r="O576" s="2">
        <v>15</v>
      </c>
      <c r="P576" s="2">
        <v>12</v>
      </c>
      <c r="Q576" s="2" t="s">
        <v>351</v>
      </c>
      <c r="R576" s="2" t="s">
        <v>1499</v>
      </c>
      <c r="S576" s="4">
        <v>44837</v>
      </c>
    </row>
    <row r="577" spans="1:19" ht="12.5" x14ac:dyDescent="0.25">
      <c r="A577" s="14" t="str">
        <f>HYPERLINK("https://gerandofalcoes.my.salesforce.com/0014P00003SGWFsQAP", "0014P00003SGWFsQAP")</f>
        <v>0014P00003SGWFsQAP</v>
      </c>
      <c r="B577" s="2" t="s">
        <v>339</v>
      </c>
      <c r="C577" s="2" t="s">
        <v>423</v>
      </c>
      <c r="D577" s="2" t="s">
        <v>2</v>
      </c>
      <c r="E577" s="2">
        <v>33</v>
      </c>
      <c r="F577" s="2">
        <v>0</v>
      </c>
      <c r="G577" s="2">
        <v>0</v>
      </c>
      <c r="H577" s="2">
        <v>0</v>
      </c>
      <c r="I577" s="2">
        <v>106</v>
      </c>
      <c r="J577" s="2" t="s">
        <v>1779</v>
      </c>
      <c r="K577" s="2">
        <v>25</v>
      </c>
      <c r="L577" s="2">
        <v>15</v>
      </c>
      <c r="M577" s="2">
        <v>0</v>
      </c>
      <c r="N577" s="2">
        <v>0</v>
      </c>
      <c r="O577" s="2">
        <v>0</v>
      </c>
      <c r="P577" s="2">
        <v>10</v>
      </c>
      <c r="Q577" s="2" t="s">
        <v>340</v>
      </c>
      <c r="R577" s="2" t="s">
        <v>340</v>
      </c>
      <c r="S577" s="4">
        <v>44837</v>
      </c>
    </row>
    <row r="578" spans="1:19" ht="12.5" x14ac:dyDescent="0.25">
      <c r="A578" s="14" t="str">
        <f>HYPERLINK("https://gerandofalcoes.my.salesforce.com/0014P00003SGWFtQAP", "0014P00003SGWFtQAP")</f>
        <v>0014P00003SGWFtQAP</v>
      </c>
      <c r="B578" s="2" t="s">
        <v>354</v>
      </c>
      <c r="C578" s="2" t="s">
        <v>423</v>
      </c>
      <c r="D578" s="2" t="s">
        <v>27</v>
      </c>
      <c r="E578" s="2">
        <v>85</v>
      </c>
      <c r="F578" s="2">
        <v>4</v>
      </c>
      <c r="G578" s="2">
        <v>1</v>
      </c>
      <c r="H578" s="2">
        <v>11500</v>
      </c>
      <c r="I578" s="2">
        <v>78</v>
      </c>
      <c r="J578" s="2" t="s">
        <v>1671</v>
      </c>
      <c r="K578" s="2">
        <v>44</v>
      </c>
      <c r="L578" s="2">
        <v>25</v>
      </c>
      <c r="M578" s="2">
        <v>5</v>
      </c>
      <c r="N578" s="2">
        <v>4</v>
      </c>
      <c r="O578" s="2">
        <v>5</v>
      </c>
      <c r="P578" s="2">
        <v>5</v>
      </c>
      <c r="Q578" s="2" t="s">
        <v>1692</v>
      </c>
      <c r="R578" s="2" t="s">
        <v>1449</v>
      </c>
      <c r="S578" s="4">
        <v>44837</v>
      </c>
    </row>
    <row r="579" spans="1:19" ht="12.5" x14ac:dyDescent="0.25">
      <c r="A579" s="14" t="str">
        <f>HYPERLINK("https://gerandofalcoes.my.salesforce.com/0014P00003YSp7WQAT", "0014P00003YSp7WQAT")</f>
        <v>0014P00003YSp7WQAT</v>
      </c>
      <c r="B579" s="2" t="s">
        <v>1782</v>
      </c>
      <c r="C579" s="2" t="s">
        <v>423</v>
      </c>
      <c r="D579" s="2" t="s">
        <v>2</v>
      </c>
      <c r="E579" s="2">
        <v>45</v>
      </c>
      <c r="F579" s="2">
        <v>11</v>
      </c>
      <c r="G579" s="2">
        <v>5</v>
      </c>
      <c r="H579" s="2">
        <v>18433245</v>
      </c>
      <c r="I579" s="2">
        <v>150</v>
      </c>
      <c r="J579" s="2" t="s">
        <v>1650</v>
      </c>
      <c r="K579" s="2">
        <v>74</v>
      </c>
      <c r="L579" s="2">
        <v>15</v>
      </c>
      <c r="M579" s="2">
        <v>12</v>
      </c>
      <c r="N579" s="2">
        <v>10</v>
      </c>
      <c r="O579" s="2">
        <v>25</v>
      </c>
      <c r="P579" s="2">
        <v>12</v>
      </c>
      <c r="Q579" s="2" t="s">
        <v>1783</v>
      </c>
      <c r="R579" s="2" t="s">
        <v>1784</v>
      </c>
      <c r="S579" s="4">
        <v>44837</v>
      </c>
    </row>
    <row r="580" spans="1:19" ht="12.5" x14ac:dyDescent="0.25">
      <c r="A580" s="14" t="str">
        <f>HYPERLINK("https://gerandofalcoes.my.salesforce.com/0014P00003SGWPLQA5", "0014P00003SGWPLQA5")</f>
        <v>0014P00003SGWPLQA5</v>
      </c>
      <c r="B580" s="2" t="s">
        <v>356</v>
      </c>
      <c r="C580" s="2" t="s">
        <v>423</v>
      </c>
      <c r="D580" s="2" t="s">
        <v>2</v>
      </c>
      <c r="E580" s="2">
        <v>63</v>
      </c>
      <c r="F580" s="2">
        <v>0</v>
      </c>
      <c r="G580" s="2">
        <v>3</v>
      </c>
      <c r="H580" s="2">
        <v>43894</v>
      </c>
      <c r="I580" s="2">
        <v>100</v>
      </c>
      <c r="J580" s="2" t="s">
        <v>1671</v>
      </c>
      <c r="K580" s="2">
        <v>48</v>
      </c>
      <c r="L580" s="2">
        <v>20</v>
      </c>
      <c r="M580" s="2">
        <v>0</v>
      </c>
      <c r="N580" s="2">
        <v>8</v>
      </c>
      <c r="O580" s="2">
        <v>10</v>
      </c>
      <c r="P580" s="2">
        <v>10</v>
      </c>
      <c r="Q580" s="2" t="s">
        <v>357</v>
      </c>
      <c r="R580" s="2" t="s">
        <v>2314</v>
      </c>
      <c r="S580" s="4">
        <v>44837</v>
      </c>
    </row>
    <row r="581" spans="1:19" ht="12.5" x14ac:dyDescent="0.25">
      <c r="A581" s="14" t="str">
        <f>HYPERLINK("https://gerandofalcoes.my.salesforce.com/0014P00003SGWPNQA5", "0014P00003SGWPNQA5")</f>
        <v>0014P00003SGWPNQA5</v>
      </c>
      <c r="B581" s="2" t="s">
        <v>2998</v>
      </c>
      <c r="C581" s="2" t="s">
        <v>1684</v>
      </c>
      <c r="D581" s="2" t="s">
        <v>2</v>
      </c>
      <c r="E581" s="2"/>
      <c r="F581" s="2">
        <v>0</v>
      </c>
      <c r="G581" s="2">
        <v>1</v>
      </c>
      <c r="H581" s="2">
        <v>6000</v>
      </c>
      <c r="I581" s="2">
        <v>0</v>
      </c>
      <c r="J581" s="2" t="s">
        <v>1779</v>
      </c>
      <c r="K581" s="2">
        <v>9</v>
      </c>
      <c r="L581" s="2">
        <v>0</v>
      </c>
      <c r="M581" s="2">
        <v>0</v>
      </c>
      <c r="N581" s="2">
        <v>4</v>
      </c>
      <c r="O581" s="2">
        <v>5</v>
      </c>
      <c r="P581" s="2">
        <v>0</v>
      </c>
      <c r="Q581" s="2" t="s">
        <v>359</v>
      </c>
      <c r="R581" s="2" t="s">
        <v>359</v>
      </c>
      <c r="S581" s="4">
        <v>44837</v>
      </c>
    </row>
    <row r="582" spans="1:19" ht="12.5" x14ac:dyDescent="0.25">
      <c r="A582" s="14" t="str">
        <f>HYPERLINK("https://gerandofalcoes.my.salesforce.com/0014P00003SGWPQQA5", "0014P00003SGWPQQA5")</f>
        <v>0014P00003SGWPQQA5</v>
      </c>
      <c r="B582" s="2" t="s">
        <v>363</v>
      </c>
      <c r="C582" s="2" t="s">
        <v>423</v>
      </c>
      <c r="D582" s="2" t="s">
        <v>27</v>
      </c>
      <c r="E582" s="2">
        <v>93</v>
      </c>
      <c r="F582" s="2">
        <v>32</v>
      </c>
      <c r="G582" s="2">
        <v>4</v>
      </c>
      <c r="H582" s="2">
        <v>1010730.87</v>
      </c>
      <c r="I582" s="2">
        <v>192</v>
      </c>
      <c r="J582" s="2" t="s">
        <v>1654</v>
      </c>
      <c r="K582" s="2">
        <v>92</v>
      </c>
      <c r="L582" s="2">
        <v>30</v>
      </c>
      <c r="M582" s="2">
        <v>15</v>
      </c>
      <c r="N582" s="2">
        <v>10</v>
      </c>
      <c r="O582" s="2">
        <v>25</v>
      </c>
      <c r="P582" s="2">
        <v>12</v>
      </c>
      <c r="Q582" s="2" t="s">
        <v>364</v>
      </c>
      <c r="R582" s="2" t="s">
        <v>1545</v>
      </c>
      <c r="S582" s="4">
        <v>44837</v>
      </c>
    </row>
    <row r="583" spans="1:19" ht="12.5" x14ac:dyDescent="0.25">
      <c r="A583" s="14" t="str">
        <f>HYPERLINK("https://gerandofalcoes.my.salesforce.com/0014P00003SGWPPQA5", "0014P00003SGWPPQA5")</f>
        <v>0014P00003SGWPPQA5</v>
      </c>
      <c r="B583" s="2" t="s">
        <v>1700</v>
      </c>
      <c r="C583" s="2" t="s">
        <v>423</v>
      </c>
      <c r="D583" s="2" t="s">
        <v>27</v>
      </c>
      <c r="E583" s="2">
        <v>76.849999999999994</v>
      </c>
      <c r="F583" s="2">
        <v>10</v>
      </c>
      <c r="G583" s="2">
        <v>2</v>
      </c>
      <c r="H583" s="2">
        <v>60000</v>
      </c>
      <c r="I583" s="2">
        <v>120</v>
      </c>
      <c r="J583" s="2" t="s">
        <v>1671</v>
      </c>
      <c r="K583" s="2">
        <v>61</v>
      </c>
      <c r="L583" s="2">
        <v>25</v>
      </c>
      <c r="M583" s="2">
        <v>10</v>
      </c>
      <c r="N583" s="2">
        <v>6</v>
      </c>
      <c r="O583" s="2">
        <v>10</v>
      </c>
      <c r="P583" s="2">
        <v>10</v>
      </c>
      <c r="Q583" s="2" t="s">
        <v>366</v>
      </c>
      <c r="R583" s="2" t="s">
        <v>1557</v>
      </c>
      <c r="S583" s="4">
        <v>44837</v>
      </c>
    </row>
    <row r="584" spans="1:19" ht="12.5" x14ac:dyDescent="0.25">
      <c r="A584" s="14" t="str">
        <f>HYPERLINK("https://gerandofalcoes.my.salesforce.com/0014P00003SGWPRQA5", "0014P00003SGWPRQA5")</f>
        <v>0014P00003SGWPRQA5</v>
      </c>
      <c r="B584" s="2" t="s">
        <v>367</v>
      </c>
      <c r="C584" s="2" t="s">
        <v>423</v>
      </c>
      <c r="D584" s="2" t="s">
        <v>2</v>
      </c>
      <c r="E584" s="2">
        <v>57.96</v>
      </c>
      <c r="F584" s="2">
        <v>4</v>
      </c>
      <c r="G584" s="2">
        <v>6</v>
      </c>
      <c r="H584" s="2">
        <v>11100000</v>
      </c>
      <c r="I584" s="2">
        <v>200</v>
      </c>
      <c r="J584" s="2" t="s">
        <v>1650</v>
      </c>
      <c r="K584" s="2">
        <v>72</v>
      </c>
      <c r="L584" s="2">
        <v>20</v>
      </c>
      <c r="M584" s="2">
        <v>5</v>
      </c>
      <c r="N584" s="2">
        <v>10</v>
      </c>
      <c r="O584" s="2">
        <v>25</v>
      </c>
      <c r="P584" s="2">
        <v>12</v>
      </c>
      <c r="Q584" s="2" t="s">
        <v>369</v>
      </c>
      <c r="R584" s="2" t="s">
        <v>369</v>
      </c>
      <c r="S584" s="4">
        <v>44837</v>
      </c>
    </row>
    <row r="585" spans="1:19" ht="12.5" x14ac:dyDescent="0.25">
      <c r="A585" s="14" t="str">
        <f>HYPERLINK("https://gerandofalcoes.my.salesforce.com/0014P00003SGWPSQA5", "0014P00003SGWPSQA5")</f>
        <v>0014P00003SGWPSQA5</v>
      </c>
      <c r="B585" s="2" t="s">
        <v>372</v>
      </c>
      <c r="C585" s="2" t="s">
        <v>423</v>
      </c>
      <c r="D585" s="2" t="s">
        <v>2</v>
      </c>
      <c r="E585" s="2">
        <v>57</v>
      </c>
      <c r="F585" s="2">
        <v>10</v>
      </c>
      <c r="G585" s="2">
        <v>2</v>
      </c>
      <c r="H585" s="2">
        <v>657000000</v>
      </c>
      <c r="I585" s="2">
        <v>110</v>
      </c>
      <c r="J585" s="2" t="s">
        <v>1650</v>
      </c>
      <c r="K585" s="2">
        <v>71</v>
      </c>
      <c r="L585" s="2">
        <v>20</v>
      </c>
      <c r="M585" s="2">
        <v>10</v>
      </c>
      <c r="N585" s="2">
        <v>6</v>
      </c>
      <c r="O585" s="2">
        <v>25</v>
      </c>
      <c r="P585" s="2">
        <v>10</v>
      </c>
      <c r="Q585" s="2" t="s">
        <v>373</v>
      </c>
      <c r="R585" s="2" t="s">
        <v>373</v>
      </c>
      <c r="S585" s="4">
        <v>44837</v>
      </c>
    </row>
    <row r="586" spans="1:19" ht="12.5" x14ac:dyDescent="0.25">
      <c r="A586" s="14" t="str">
        <f>HYPERLINK("https://gerandofalcoes.my.salesforce.com/0014X00002OEuauQAD", "0014X00002OEuauQAD")</f>
        <v>0014X00002OEuauQAD</v>
      </c>
      <c r="B586" s="2" t="s">
        <v>2639</v>
      </c>
      <c r="C586" s="2" t="s">
        <v>423</v>
      </c>
      <c r="D586" s="2" t="s">
        <v>2</v>
      </c>
      <c r="E586" s="2">
        <v>18</v>
      </c>
      <c r="F586" s="2">
        <v>2</v>
      </c>
      <c r="G586" s="2">
        <v>2</v>
      </c>
      <c r="H586" s="2">
        <v>5000</v>
      </c>
      <c r="I586" s="2">
        <v>14</v>
      </c>
      <c r="J586" s="2" t="s">
        <v>1779</v>
      </c>
      <c r="K586" s="2">
        <v>31</v>
      </c>
      <c r="L586" s="2">
        <v>10</v>
      </c>
      <c r="M586" s="2">
        <v>5</v>
      </c>
      <c r="N586" s="2">
        <v>6</v>
      </c>
      <c r="O586" s="2">
        <v>5</v>
      </c>
      <c r="P586" s="2">
        <v>5</v>
      </c>
      <c r="Q586" s="2" t="s">
        <v>2640</v>
      </c>
      <c r="R586" s="2" t="s">
        <v>2641</v>
      </c>
      <c r="S586" s="4">
        <v>44837</v>
      </c>
    </row>
    <row r="587" spans="1:19" ht="12.5" x14ac:dyDescent="0.25">
      <c r="A587" s="14" t="str">
        <f>HYPERLINK("https://gerandofalcoes.my.salesforce.com/0014X00002OEualQAD", "0014X00002OEualQAD")</f>
        <v>0014X00002OEualQAD</v>
      </c>
      <c r="B587" s="2" t="s">
        <v>2220</v>
      </c>
      <c r="C587" s="2" t="s">
        <v>1800</v>
      </c>
      <c r="D587" s="2" t="s">
        <v>2</v>
      </c>
      <c r="E587" s="2">
        <v>32</v>
      </c>
      <c r="F587" s="2">
        <v>2</v>
      </c>
      <c r="G587" s="2">
        <v>3</v>
      </c>
      <c r="H587" s="2">
        <v>40000</v>
      </c>
      <c r="I587" s="2">
        <v>80</v>
      </c>
      <c r="J587" s="2" t="s">
        <v>1671</v>
      </c>
      <c r="K587" s="2">
        <v>48</v>
      </c>
      <c r="L587" s="2">
        <v>15</v>
      </c>
      <c r="M587" s="2">
        <v>5</v>
      </c>
      <c r="N587" s="2">
        <v>8</v>
      </c>
      <c r="O587" s="2">
        <v>10</v>
      </c>
      <c r="P587" s="2">
        <v>10</v>
      </c>
      <c r="Q587" s="2" t="s">
        <v>2221</v>
      </c>
      <c r="R587" s="2" t="s">
        <v>2222</v>
      </c>
      <c r="S587" s="4">
        <v>44837</v>
      </c>
    </row>
    <row r="588" spans="1:19" ht="12.5" x14ac:dyDescent="0.25">
      <c r="A588" s="14" t="str">
        <f>HYPERLINK("https://gerandofalcoes.my.salesforce.com/0014X00002OEuamQAD", "0014X00002OEuamQAD")</f>
        <v>0014X00002OEuamQAD</v>
      </c>
      <c r="B588" s="2" t="s">
        <v>2612</v>
      </c>
      <c r="C588" s="2" t="s">
        <v>1800</v>
      </c>
      <c r="D588" s="2" t="s">
        <v>2</v>
      </c>
      <c r="E588" s="2">
        <v>19</v>
      </c>
      <c r="F588" s="2">
        <v>0</v>
      </c>
      <c r="G588" s="2">
        <v>4</v>
      </c>
      <c r="H588" s="2">
        <v>7000</v>
      </c>
      <c r="I588" s="2">
        <v>0</v>
      </c>
      <c r="J588" s="2" t="s">
        <v>1779</v>
      </c>
      <c r="K588" s="2">
        <v>25</v>
      </c>
      <c r="L588" s="2">
        <v>10</v>
      </c>
      <c r="M588" s="2">
        <v>0</v>
      </c>
      <c r="N588" s="2">
        <v>10</v>
      </c>
      <c r="O588" s="2">
        <v>5</v>
      </c>
      <c r="P588" s="2">
        <v>0</v>
      </c>
      <c r="Q588" s="2" t="s">
        <v>2613</v>
      </c>
      <c r="R588" s="2" t="s">
        <v>2613</v>
      </c>
      <c r="S588" s="4">
        <v>44837</v>
      </c>
    </row>
    <row r="589" spans="1:19" ht="12.5" x14ac:dyDescent="0.25">
      <c r="A589" s="14" t="str">
        <f>HYPERLINK("https://gerandofalcoes.my.salesforce.com/0014X00002OEuaoQAD", "0014X00002OEuaoQAD")</f>
        <v>0014X00002OEuaoQAD</v>
      </c>
      <c r="B589" s="2" t="s">
        <v>2749</v>
      </c>
      <c r="C589" s="2" t="s">
        <v>1800</v>
      </c>
      <c r="D589" s="2" t="s">
        <v>2</v>
      </c>
      <c r="E589" s="2">
        <v>14</v>
      </c>
      <c r="F589" s="2">
        <v>0</v>
      </c>
      <c r="G589" s="2">
        <v>2</v>
      </c>
      <c r="H589" s="2">
        <v>0</v>
      </c>
      <c r="I589" s="2">
        <v>230</v>
      </c>
      <c r="J589" s="2" t="s">
        <v>1779</v>
      </c>
      <c r="K589" s="2">
        <v>28</v>
      </c>
      <c r="L589" s="2">
        <v>10</v>
      </c>
      <c r="M589" s="2">
        <v>0</v>
      </c>
      <c r="N589" s="2">
        <v>6</v>
      </c>
      <c r="O589" s="2">
        <v>0</v>
      </c>
      <c r="P589" s="2">
        <v>12</v>
      </c>
      <c r="Q589" s="2" t="s">
        <v>2750</v>
      </c>
      <c r="R589" s="2" t="s">
        <v>2751</v>
      </c>
      <c r="S589" s="4">
        <v>44837</v>
      </c>
    </row>
    <row r="590" spans="1:19" ht="12.5" x14ac:dyDescent="0.25">
      <c r="A590" s="14" t="str">
        <f>HYPERLINK("https://gerandofalcoes.my.salesforce.com/0014X00002OEuapQAD", "0014X00002OEuapQAD")</f>
        <v>0014X00002OEuapQAD</v>
      </c>
      <c r="B590" s="2" t="s">
        <v>2732</v>
      </c>
      <c r="C590" s="2" t="s">
        <v>1800</v>
      </c>
      <c r="D590" s="2" t="s">
        <v>2</v>
      </c>
      <c r="E590" s="2">
        <v>15</v>
      </c>
      <c r="F590" s="2">
        <v>0</v>
      </c>
      <c r="G590" s="2">
        <v>0</v>
      </c>
      <c r="H590" s="2">
        <v>0</v>
      </c>
      <c r="I590" s="2">
        <v>0</v>
      </c>
      <c r="J590" s="2" t="s">
        <v>1779</v>
      </c>
      <c r="K590" s="2">
        <v>10</v>
      </c>
      <c r="L590" s="2">
        <v>10</v>
      </c>
      <c r="M590" s="2">
        <v>0</v>
      </c>
      <c r="N590" s="2">
        <v>0</v>
      </c>
      <c r="O590" s="2">
        <v>0</v>
      </c>
      <c r="P590" s="2">
        <v>0</v>
      </c>
      <c r="Q590" s="2" t="s">
        <v>2733</v>
      </c>
      <c r="R590" s="2" t="s">
        <v>2733</v>
      </c>
      <c r="S590" s="4">
        <v>44837</v>
      </c>
    </row>
    <row r="591" spans="1:19" ht="12.5" x14ac:dyDescent="0.25">
      <c r="A591" s="14" t="str">
        <f>HYPERLINK("https://gerandofalcoes.my.salesforce.com/0014X00002OEuaqQAD", "0014X00002OEuaqQAD")</f>
        <v>0014X00002OEuaqQAD</v>
      </c>
      <c r="B591" s="2" t="s">
        <v>2629</v>
      </c>
      <c r="C591" s="2" t="s">
        <v>423</v>
      </c>
      <c r="D591" s="2" t="s">
        <v>2</v>
      </c>
      <c r="E591" s="2">
        <v>18</v>
      </c>
      <c r="F591" s="2">
        <v>20</v>
      </c>
      <c r="G591" s="2">
        <v>2</v>
      </c>
      <c r="H591" s="2">
        <v>3000</v>
      </c>
      <c r="I591" s="2">
        <v>300</v>
      </c>
      <c r="J591" s="2" t="s">
        <v>1671</v>
      </c>
      <c r="K591" s="2">
        <v>48</v>
      </c>
      <c r="L591" s="2">
        <v>10</v>
      </c>
      <c r="M591" s="2">
        <v>12</v>
      </c>
      <c r="N591" s="2">
        <v>6</v>
      </c>
      <c r="O591" s="2">
        <v>5</v>
      </c>
      <c r="P591" s="2">
        <v>15</v>
      </c>
      <c r="Q591" s="2" t="s">
        <v>2630</v>
      </c>
      <c r="R591" s="2" t="s">
        <v>2631</v>
      </c>
      <c r="S591" s="4">
        <v>44837</v>
      </c>
    </row>
    <row r="592" spans="1:19" ht="12.5" x14ac:dyDescent="0.25">
      <c r="A592" s="14" t="str">
        <f>HYPERLINK("https://gerandofalcoes.my.salesforce.com/0014X00002OEuasQAD", "0014X00002OEuasQAD")</f>
        <v>0014X00002OEuasQAD</v>
      </c>
      <c r="B592" s="2" t="s">
        <v>2420</v>
      </c>
      <c r="C592" s="2" t="s">
        <v>423</v>
      </c>
      <c r="D592" s="2" t="s">
        <v>2</v>
      </c>
      <c r="E592" s="2">
        <v>25</v>
      </c>
      <c r="F592" s="2">
        <v>0</v>
      </c>
      <c r="G592" s="2">
        <v>4</v>
      </c>
      <c r="H592" s="2">
        <v>20000</v>
      </c>
      <c r="I592" s="2">
        <v>0</v>
      </c>
      <c r="J592" s="2" t="s">
        <v>1779</v>
      </c>
      <c r="K592" s="2">
        <v>30</v>
      </c>
      <c r="L592" s="2">
        <v>15</v>
      </c>
      <c r="M592" s="2">
        <v>0</v>
      </c>
      <c r="N592" s="2">
        <v>10</v>
      </c>
      <c r="O592" s="2">
        <v>5</v>
      </c>
      <c r="P592" s="2">
        <v>0</v>
      </c>
      <c r="Q592" s="2" t="s">
        <v>2421</v>
      </c>
      <c r="R592" s="2" t="s">
        <v>2422</v>
      </c>
      <c r="S592" s="4">
        <v>44837</v>
      </c>
    </row>
    <row r="593" spans="1:19" ht="12.5" x14ac:dyDescent="0.25">
      <c r="A593" s="14" t="str">
        <f>HYPERLINK("https://gerandofalcoes.my.salesforce.com/0014X00002OEuawQAD", "0014X00002OEuawQAD")</f>
        <v>0014X00002OEuawQAD</v>
      </c>
      <c r="B593" s="2" t="s">
        <v>1995</v>
      </c>
      <c r="C593" s="2" t="s">
        <v>1800</v>
      </c>
      <c r="D593" s="2" t="s">
        <v>2</v>
      </c>
      <c r="E593" s="2">
        <v>39</v>
      </c>
      <c r="F593" s="2">
        <v>13</v>
      </c>
      <c r="G593" s="2">
        <v>3</v>
      </c>
      <c r="H593" s="2">
        <v>120000</v>
      </c>
      <c r="I593" s="2">
        <v>130</v>
      </c>
      <c r="J593" s="2" t="s">
        <v>1671</v>
      </c>
      <c r="K593" s="2">
        <v>60</v>
      </c>
      <c r="L593" s="2">
        <v>15</v>
      </c>
      <c r="M593" s="2">
        <v>12</v>
      </c>
      <c r="N593" s="2">
        <v>8</v>
      </c>
      <c r="O593" s="2">
        <v>15</v>
      </c>
      <c r="P593" s="2">
        <v>10</v>
      </c>
      <c r="Q593" s="2" t="s">
        <v>1996</v>
      </c>
      <c r="R593" s="2" t="s">
        <v>1997</v>
      </c>
      <c r="S593" s="4">
        <v>44837</v>
      </c>
    </row>
    <row r="594" spans="1:19" ht="12.5" x14ac:dyDescent="0.25">
      <c r="A594" s="14" t="str">
        <f>HYPERLINK("https://gerandofalcoes.my.salesforce.com/0014X00002OFqnrQAD", "0014X00002OFqnrQAD")</f>
        <v>0014X00002OFqnrQAD</v>
      </c>
      <c r="B594" s="2" t="s">
        <v>1791</v>
      </c>
      <c r="C594" s="2" t="s">
        <v>1684</v>
      </c>
      <c r="D594" s="2" t="s">
        <v>27</v>
      </c>
      <c r="E594" s="2">
        <v>56</v>
      </c>
      <c r="F594" s="2">
        <v>0</v>
      </c>
      <c r="G594" s="2">
        <v>0</v>
      </c>
      <c r="H594" s="2">
        <v>0</v>
      </c>
      <c r="I594" s="2">
        <v>0</v>
      </c>
      <c r="J594" s="2" t="s">
        <v>1779</v>
      </c>
      <c r="K594" s="2">
        <v>20</v>
      </c>
      <c r="L594" s="2">
        <v>20</v>
      </c>
      <c r="M594" s="2">
        <v>0</v>
      </c>
      <c r="N594" s="2">
        <v>0</v>
      </c>
      <c r="O594" s="2">
        <v>0</v>
      </c>
      <c r="P594" s="2">
        <v>0</v>
      </c>
      <c r="Q594" s="2"/>
      <c r="R594" s="2"/>
      <c r="S594" s="4">
        <v>44837</v>
      </c>
    </row>
    <row r="595" spans="1:19" ht="12.5" x14ac:dyDescent="0.25">
      <c r="A595" s="14" t="str">
        <f>HYPERLINK("https://gerandofalcoes.my.salesforce.com/0014X00002QTWZVQA5", "0014X00002QTWZVQA5")</f>
        <v>0014X00002QTWZVQA5</v>
      </c>
      <c r="B595" s="2" t="s">
        <v>2662</v>
      </c>
      <c r="C595" s="2" t="s">
        <v>1800</v>
      </c>
      <c r="D595" s="2" t="s">
        <v>2</v>
      </c>
      <c r="E595" s="2">
        <v>17</v>
      </c>
      <c r="F595" s="2">
        <v>4</v>
      </c>
      <c r="G595" s="2">
        <v>3</v>
      </c>
      <c r="H595" s="2">
        <v>69000</v>
      </c>
      <c r="I595" s="2">
        <v>35</v>
      </c>
      <c r="J595" s="2" t="s">
        <v>1779</v>
      </c>
      <c r="K595" s="2">
        <v>38</v>
      </c>
      <c r="L595" s="2">
        <v>10</v>
      </c>
      <c r="M595" s="2">
        <v>5</v>
      </c>
      <c r="N595" s="2">
        <v>8</v>
      </c>
      <c r="O595" s="2">
        <v>10</v>
      </c>
      <c r="P595" s="2">
        <v>5</v>
      </c>
      <c r="Q595" s="2" t="s">
        <v>2663</v>
      </c>
      <c r="R595" s="2" t="s">
        <v>2664</v>
      </c>
      <c r="S595" s="4">
        <v>44837</v>
      </c>
    </row>
    <row r="596" spans="1:19" ht="12.5" x14ac:dyDescent="0.25">
      <c r="A596" s="14" t="str">
        <f>HYPERLINK("https://gerandofalcoes.my.salesforce.com/0014X00002PUOTvQAP", "0014X00002PUOTvQAP")</f>
        <v>0014X00002PUOTvQAP</v>
      </c>
      <c r="B596" s="2" t="s">
        <v>1883</v>
      </c>
      <c r="C596" s="2" t="s">
        <v>1800</v>
      </c>
      <c r="D596" s="2" t="s">
        <v>2</v>
      </c>
      <c r="E596" s="2">
        <v>44</v>
      </c>
      <c r="F596" s="2">
        <v>3</v>
      </c>
      <c r="G596" s="2">
        <v>1</v>
      </c>
      <c r="H596" s="2">
        <v>150000</v>
      </c>
      <c r="I596" s="2">
        <v>800</v>
      </c>
      <c r="J596" s="2" t="s">
        <v>1671</v>
      </c>
      <c r="K596" s="2">
        <v>59</v>
      </c>
      <c r="L596" s="2">
        <v>15</v>
      </c>
      <c r="M596" s="2">
        <v>5</v>
      </c>
      <c r="N596" s="2">
        <v>4</v>
      </c>
      <c r="O596" s="2">
        <v>15</v>
      </c>
      <c r="P596" s="2">
        <v>20</v>
      </c>
      <c r="Q596" s="2" t="s">
        <v>1884</v>
      </c>
      <c r="R596" s="2" t="s">
        <v>424</v>
      </c>
      <c r="S596" s="4">
        <v>44837</v>
      </c>
    </row>
    <row r="597" spans="1:19" ht="12.5" x14ac:dyDescent="0.25">
      <c r="A597" s="14" t="str">
        <f>HYPERLINK("https://gerandofalcoes.my.salesforce.com/0014X00002PUOaDQAX", "0014X00002PUOaDQAX")</f>
        <v>0014X00002PUOaDQAX</v>
      </c>
      <c r="B597" s="2" t="s">
        <v>1767</v>
      </c>
      <c r="C597" s="2" t="s">
        <v>423</v>
      </c>
      <c r="D597" s="2" t="s">
        <v>2</v>
      </c>
      <c r="E597" s="2">
        <v>80</v>
      </c>
      <c r="F597" s="2">
        <v>11</v>
      </c>
      <c r="G597" s="2">
        <v>10</v>
      </c>
      <c r="H597" s="2">
        <v>30139720</v>
      </c>
      <c r="I597" s="2">
        <v>139</v>
      </c>
      <c r="J597" s="2" t="s">
        <v>1654</v>
      </c>
      <c r="K597" s="2">
        <v>82</v>
      </c>
      <c r="L597" s="2">
        <v>25</v>
      </c>
      <c r="M597" s="2">
        <v>12</v>
      </c>
      <c r="N597" s="2">
        <v>10</v>
      </c>
      <c r="O597" s="2">
        <v>25</v>
      </c>
      <c r="P597" s="2">
        <v>10</v>
      </c>
      <c r="Q597" s="2" t="s">
        <v>439</v>
      </c>
      <c r="R597" s="2" t="s">
        <v>439</v>
      </c>
      <c r="S597" s="4">
        <v>44837</v>
      </c>
    </row>
    <row r="598" spans="1:19" ht="12.5" x14ac:dyDescent="0.25">
      <c r="A598" s="14" t="str">
        <f>HYPERLINK("https://gerandofalcoes.my.salesforce.com/0014X00002PUOUaQAP", "0014X00002PUOUaQAP")</f>
        <v>0014X00002PUOUaQAP</v>
      </c>
      <c r="B598" s="2" t="s">
        <v>8</v>
      </c>
      <c r="C598" s="2" t="s">
        <v>423</v>
      </c>
      <c r="D598" s="2" t="s">
        <v>2</v>
      </c>
      <c r="E598" s="2">
        <v>30.77</v>
      </c>
      <c r="F598" s="2">
        <v>2</v>
      </c>
      <c r="G598" s="2">
        <v>1</v>
      </c>
      <c r="H598" s="2">
        <v>24000</v>
      </c>
      <c r="I598" s="2">
        <v>200</v>
      </c>
      <c r="J598" s="2" t="s">
        <v>1671</v>
      </c>
      <c r="K598" s="2">
        <v>41</v>
      </c>
      <c r="L598" s="2">
        <v>15</v>
      </c>
      <c r="M598" s="2">
        <v>5</v>
      </c>
      <c r="N598" s="2">
        <v>4</v>
      </c>
      <c r="O598" s="2">
        <v>5</v>
      </c>
      <c r="P598" s="2">
        <v>12</v>
      </c>
      <c r="Q598" s="2" t="s">
        <v>2252</v>
      </c>
      <c r="R598" s="2" t="s">
        <v>2252</v>
      </c>
      <c r="S598" s="4">
        <v>44837</v>
      </c>
    </row>
    <row r="599" spans="1:19" ht="12.5" x14ac:dyDescent="0.25">
      <c r="A599" s="14" t="str">
        <f>HYPERLINK("https://gerandofalcoes.my.salesforce.com/0014X00002PUObkQAH", "0014X00002PUObkQAH")</f>
        <v>0014X00002PUObkQAH</v>
      </c>
      <c r="B599" s="2" t="s">
        <v>2065</v>
      </c>
      <c r="C599" s="2" t="s">
        <v>423</v>
      </c>
      <c r="D599" s="2" t="s">
        <v>2</v>
      </c>
      <c r="E599" s="2">
        <v>39</v>
      </c>
      <c r="F599" s="2">
        <v>0</v>
      </c>
      <c r="G599" s="2">
        <v>2</v>
      </c>
      <c r="H599" s="2">
        <v>3520653</v>
      </c>
      <c r="I599" s="2">
        <v>313</v>
      </c>
      <c r="J599" s="2" t="s">
        <v>1671</v>
      </c>
      <c r="K599" s="2">
        <v>61</v>
      </c>
      <c r="L599" s="2">
        <v>15</v>
      </c>
      <c r="M599" s="2">
        <v>0</v>
      </c>
      <c r="N599" s="2">
        <v>6</v>
      </c>
      <c r="O599" s="2">
        <v>25</v>
      </c>
      <c r="P599" s="2">
        <v>15</v>
      </c>
      <c r="Q599" s="2" t="s">
        <v>2066</v>
      </c>
      <c r="R599" s="2" t="s">
        <v>477</v>
      </c>
      <c r="S599" s="4">
        <v>44837</v>
      </c>
    </row>
    <row r="600" spans="1:19" ht="12.5" x14ac:dyDescent="0.25">
      <c r="A600" s="14" t="str">
        <f>HYPERLINK("https://gerandofalcoes.my.salesforce.com/0014X00002PUOdWQAX", "0014X00002PUOdWQAX")</f>
        <v>0014X00002PUOdWQAX</v>
      </c>
      <c r="B600" s="2" t="s">
        <v>22</v>
      </c>
      <c r="C600" s="2" t="s">
        <v>423</v>
      </c>
      <c r="D600" s="2" t="s">
        <v>2</v>
      </c>
      <c r="E600" s="2">
        <v>29</v>
      </c>
      <c r="F600" s="2">
        <v>10</v>
      </c>
      <c r="G600" s="2">
        <v>0</v>
      </c>
      <c r="H600" s="2">
        <v>0</v>
      </c>
      <c r="I600" s="2">
        <v>100</v>
      </c>
      <c r="J600" s="2" t="s">
        <v>1779</v>
      </c>
      <c r="K600" s="2">
        <v>35</v>
      </c>
      <c r="L600" s="2">
        <v>15</v>
      </c>
      <c r="M600" s="2">
        <v>10</v>
      </c>
      <c r="N600" s="2">
        <v>0</v>
      </c>
      <c r="O600" s="2">
        <v>0</v>
      </c>
      <c r="P600" s="2">
        <v>10</v>
      </c>
      <c r="Q600" s="2" t="s">
        <v>485</v>
      </c>
      <c r="R600" s="2" t="s">
        <v>485</v>
      </c>
      <c r="S600" s="4">
        <v>44837</v>
      </c>
    </row>
    <row r="601" spans="1:19" ht="12.5" x14ac:dyDescent="0.25">
      <c r="A601" s="14" t="str">
        <f>HYPERLINK("https://gerandofalcoes.my.salesforce.com/0014P00003YSp7OQAT", "0014P00003YSp7OQAT")</f>
        <v>0014P00003YSp7OQAT</v>
      </c>
      <c r="B601" s="2" t="s">
        <v>2694</v>
      </c>
      <c r="C601" s="2" t="s">
        <v>423</v>
      </c>
      <c r="D601" s="2" t="s">
        <v>2</v>
      </c>
      <c r="E601" s="2">
        <v>22</v>
      </c>
      <c r="F601" s="2">
        <v>5</v>
      </c>
      <c r="G601" s="2">
        <v>1</v>
      </c>
      <c r="H601" s="2">
        <v>20785</v>
      </c>
      <c r="I601" s="2">
        <v>20</v>
      </c>
      <c r="J601" s="2" t="s">
        <v>1779</v>
      </c>
      <c r="K601" s="2">
        <v>29</v>
      </c>
      <c r="L601" s="2">
        <v>10</v>
      </c>
      <c r="M601" s="2">
        <v>5</v>
      </c>
      <c r="N601" s="2">
        <v>4</v>
      </c>
      <c r="O601" s="2">
        <v>5</v>
      </c>
      <c r="P601" s="2">
        <v>5</v>
      </c>
      <c r="Q601" s="2" t="s">
        <v>2695</v>
      </c>
      <c r="R601" s="2" t="s">
        <v>2696</v>
      </c>
      <c r="S601" s="4">
        <v>44837</v>
      </c>
    </row>
    <row r="602" spans="1:19" ht="12.5" x14ac:dyDescent="0.25">
      <c r="A602" s="14" t="str">
        <f>HYPERLINK("https://gerandofalcoes.my.salesforce.com/0014P00003YSp7PQAT", "0014P00003YSp7PQAT")</f>
        <v>0014P00003YSp7PQAT</v>
      </c>
      <c r="B602" s="2" t="s">
        <v>1807</v>
      </c>
      <c r="C602" s="2" t="s">
        <v>423</v>
      </c>
      <c r="D602" s="2" t="s">
        <v>2</v>
      </c>
      <c r="E602" s="2">
        <v>41</v>
      </c>
      <c r="F602" s="2">
        <v>5</v>
      </c>
      <c r="G602" s="2">
        <v>4</v>
      </c>
      <c r="H602" s="2">
        <v>465000</v>
      </c>
      <c r="I602" s="2">
        <v>55</v>
      </c>
      <c r="J602" s="2" t="s">
        <v>1671</v>
      </c>
      <c r="K602" s="2">
        <v>55</v>
      </c>
      <c r="L602" s="2">
        <v>15</v>
      </c>
      <c r="M602" s="2">
        <v>5</v>
      </c>
      <c r="N602" s="2">
        <v>10</v>
      </c>
      <c r="O602" s="2">
        <v>20</v>
      </c>
      <c r="P602" s="2">
        <v>5</v>
      </c>
      <c r="Q602" s="2" t="s">
        <v>1808</v>
      </c>
      <c r="R602" s="2" t="s">
        <v>1809</v>
      </c>
      <c r="S602" s="4">
        <v>44837</v>
      </c>
    </row>
    <row r="603" spans="1:19" ht="12.5" x14ac:dyDescent="0.25">
      <c r="A603" s="14" t="str">
        <f>HYPERLINK("https://gerandofalcoes.my.salesforce.com/0014X00002VKCuUQAX", "0014X00002VKCuUQAX")</f>
        <v>0014X00002VKCuUQAX</v>
      </c>
      <c r="B603" s="2" t="s">
        <v>2860</v>
      </c>
      <c r="C603" s="2" t="s">
        <v>1800</v>
      </c>
      <c r="D603" s="2" t="s">
        <v>2</v>
      </c>
      <c r="E603" s="2">
        <v>10</v>
      </c>
      <c r="F603" s="2">
        <v>83</v>
      </c>
      <c r="G603" s="2">
        <v>8</v>
      </c>
      <c r="H603" s="2">
        <v>0</v>
      </c>
      <c r="I603" s="2">
        <v>5</v>
      </c>
      <c r="J603" s="2" t="s">
        <v>1671</v>
      </c>
      <c r="K603" s="2">
        <v>40</v>
      </c>
      <c r="L603" s="2">
        <v>10</v>
      </c>
      <c r="M603" s="2">
        <v>15</v>
      </c>
      <c r="N603" s="2">
        <v>10</v>
      </c>
      <c r="O603" s="2">
        <v>0</v>
      </c>
      <c r="P603" s="2">
        <v>5</v>
      </c>
      <c r="Q603" s="2" t="s">
        <v>2861</v>
      </c>
      <c r="R603" s="2" t="s">
        <v>2862</v>
      </c>
      <c r="S603" s="4">
        <v>44837</v>
      </c>
    </row>
    <row r="604" spans="1:19" ht="12.5" x14ac:dyDescent="0.25">
      <c r="A604" s="14" t="str">
        <f>HYPERLINK("https://gerandofalcoes.my.salesforce.com/0014X00002VKCpNQAX", "0014X00002VKCpNQAX")</f>
        <v>0014X00002VKCpNQAX</v>
      </c>
      <c r="B604" s="2" t="s">
        <v>2185</v>
      </c>
      <c r="C604" s="2" t="s">
        <v>1800</v>
      </c>
      <c r="D604" s="2" t="s">
        <v>2</v>
      </c>
      <c r="E604" s="2">
        <v>33</v>
      </c>
      <c r="F604" s="2">
        <v>0</v>
      </c>
      <c r="G604" s="2">
        <v>4</v>
      </c>
      <c r="H604" s="2">
        <v>800</v>
      </c>
      <c r="I604" s="2">
        <v>25</v>
      </c>
      <c r="J604" s="2" t="s">
        <v>1779</v>
      </c>
      <c r="K604" s="2">
        <v>35</v>
      </c>
      <c r="L604" s="2">
        <v>15</v>
      </c>
      <c r="M604" s="2">
        <v>0</v>
      </c>
      <c r="N604" s="2">
        <v>10</v>
      </c>
      <c r="O604" s="2">
        <v>5</v>
      </c>
      <c r="P604" s="2">
        <v>5</v>
      </c>
      <c r="Q604" s="2" t="s">
        <v>2186</v>
      </c>
      <c r="R604" s="2" t="s">
        <v>2187</v>
      </c>
      <c r="S604" s="4">
        <v>44837</v>
      </c>
    </row>
    <row r="605" spans="1:19" ht="12.5" x14ac:dyDescent="0.25">
      <c r="A605" s="14" t="str">
        <f>HYPERLINK("https://gerandofalcoes.my.salesforce.com/0014X00002VKCuYQAX", "0014X00002VKCuYQAX")</f>
        <v>0014X00002VKCuYQAX</v>
      </c>
      <c r="B605" s="2" t="s">
        <v>2049</v>
      </c>
      <c r="C605" s="2" t="s">
        <v>423</v>
      </c>
      <c r="D605" s="2" t="s">
        <v>2</v>
      </c>
      <c r="E605" s="2">
        <v>37</v>
      </c>
      <c r="F605" s="2">
        <v>0</v>
      </c>
      <c r="G605" s="2">
        <v>4</v>
      </c>
      <c r="H605" s="2">
        <v>2500</v>
      </c>
      <c r="I605" s="2">
        <v>55</v>
      </c>
      <c r="J605" s="2" t="s">
        <v>1779</v>
      </c>
      <c r="K605" s="2">
        <v>35</v>
      </c>
      <c r="L605" s="2">
        <v>15</v>
      </c>
      <c r="M605" s="2">
        <v>0</v>
      </c>
      <c r="N605" s="2">
        <v>10</v>
      </c>
      <c r="O605" s="2">
        <v>5</v>
      </c>
      <c r="P605" s="2">
        <v>5</v>
      </c>
      <c r="Q605" s="2" t="s">
        <v>2050</v>
      </c>
      <c r="R605" s="2" t="s">
        <v>2050</v>
      </c>
      <c r="S605" s="4">
        <v>44837</v>
      </c>
    </row>
    <row r="606" spans="1:19" ht="12.5" x14ac:dyDescent="0.25">
      <c r="A606" s="14" t="str">
        <f>HYPERLINK("https://gerandofalcoes.my.salesforce.com/0014P00003YSp7yQAD", "0014P00003YSp7yQAD")</f>
        <v>0014P00003YSp7yQAD</v>
      </c>
      <c r="B606" s="2" t="s">
        <v>2823</v>
      </c>
      <c r="C606" s="2" t="s">
        <v>423</v>
      </c>
      <c r="D606" s="2" t="s">
        <v>2</v>
      </c>
      <c r="E606" s="2">
        <v>12</v>
      </c>
      <c r="F606" s="2">
        <v>0</v>
      </c>
      <c r="G606" s="2">
        <v>3</v>
      </c>
      <c r="H606" s="2">
        <v>10000</v>
      </c>
      <c r="I606" s="2">
        <v>200</v>
      </c>
      <c r="J606" s="2" t="s">
        <v>1779</v>
      </c>
      <c r="K606" s="2">
        <v>35</v>
      </c>
      <c r="L606" s="2">
        <v>10</v>
      </c>
      <c r="M606" s="2">
        <v>0</v>
      </c>
      <c r="N606" s="2">
        <v>8</v>
      </c>
      <c r="O606" s="2">
        <v>5</v>
      </c>
      <c r="P606" s="2">
        <v>12</v>
      </c>
      <c r="Q606" s="2" t="s">
        <v>2824</v>
      </c>
      <c r="R606" s="2" t="s">
        <v>2825</v>
      </c>
      <c r="S606" s="4">
        <v>44837</v>
      </c>
    </row>
    <row r="607" spans="1:19" ht="12.5" x14ac:dyDescent="0.25">
      <c r="A607" s="14" t="str">
        <f>HYPERLINK("https://gerandofalcoes.my.salesforce.com/0014P00003YSp7zQAD", "0014P00003YSp7zQAD")</f>
        <v>0014P00003YSp7zQAD</v>
      </c>
      <c r="B607" s="2" t="s">
        <v>2441</v>
      </c>
      <c r="C607" s="2" t="s">
        <v>423</v>
      </c>
      <c r="D607" s="2" t="s">
        <v>2</v>
      </c>
      <c r="E607" s="2">
        <v>24</v>
      </c>
      <c r="F607" s="2">
        <v>1</v>
      </c>
      <c r="G607" s="2">
        <v>0</v>
      </c>
      <c r="H607" s="2">
        <v>380000</v>
      </c>
      <c r="I607" s="2">
        <v>780</v>
      </c>
      <c r="J607" s="2" t="s">
        <v>1671</v>
      </c>
      <c r="K607" s="2">
        <v>55</v>
      </c>
      <c r="L607" s="2">
        <v>10</v>
      </c>
      <c r="M607" s="2">
        <v>5</v>
      </c>
      <c r="N607" s="2">
        <v>0</v>
      </c>
      <c r="O607" s="2">
        <v>20</v>
      </c>
      <c r="P607" s="2">
        <v>20</v>
      </c>
      <c r="Q607" s="2" t="s">
        <v>2442</v>
      </c>
      <c r="R607" s="2" t="s">
        <v>2443</v>
      </c>
      <c r="S607" s="4">
        <v>44837</v>
      </c>
    </row>
    <row r="608" spans="1:19" ht="12.5" x14ac:dyDescent="0.25">
      <c r="A608" s="14" t="str">
        <f>HYPERLINK("https://gerandofalcoes.my.salesforce.com/0014P00003YSp81QAD", "0014P00003YSp81QAD")</f>
        <v>0014P00003YSp81QAD</v>
      </c>
      <c r="B608" s="2" t="s">
        <v>1992</v>
      </c>
      <c r="C608" s="2" t="s">
        <v>1800</v>
      </c>
      <c r="D608" s="2" t="s">
        <v>2</v>
      </c>
      <c r="E608" s="2">
        <v>39</v>
      </c>
      <c r="F608" s="2">
        <v>0</v>
      </c>
      <c r="G608" s="2">
        <v>2</v>
      </c>
      <c r="H608" s="2">
        <v>5000</v>
      </c>
      <c r="I608" s="2">
        <v>150</v>
      </c>
      <c r="J608" s="2" t="s">
        <v>1779</v>
      </c>
      <c r="K608" s="2">
        <v>38</v>
      </c>
      <c r="L608" s="2">
        <v>15</v>
      </c>
      <c r="M608" s="2">
        <v>0</v>
      </c>
      <c r="N608" s="2">
        <v>6</v>
      </c>
      <c r="O608" s="2">
        <v>5</v>
      </c>
      <c r="P608" s="2">
        <v>12</v>
      </c>
      <c r="Q608" s="2" t="s">
        <v>1993</v>
      </c>
      <c r="R608" s="2" t="s">
        <v>1994</v>
      </c>
      <c r="S608" s="4">
        <v>44837</v>
      </c>
    </row>
    <row r="609" spans="1:19" ht="12.5" x14ac:dyDescent="0.25">
      <c r="A609" s="14" t="str">
        <f>HYPERLINK("https://gerandofalcoes.my.salesforce.com/0014P00003YSp82QAD", "0014P00003YSp82QAD")</f>
        <v>0014P00003YSp82QAD</v>
      </c>
      <c r="B609" s="2" t="s">
        <v>2362</v>
      </c>
      <c r="C609" s="2" t="s">
        <v>423</v>
      </c>
      <c r="D609" s="2" t="s">
        <v>2</v>
      </c>
      <c r="E609" s="2">
        <v>25</v>
      </c>
      <c r="F609" s="2">
        <v>9</v>
      </c>
      <c r="G609" s="2">
        <v>5</v>
      </c>
      <c r="H609" s="2">
        <v>5224158</v>
      </c>
      <c r="I609" s="2">
        <v>80</v>
      </c>
      <c r="J609" s="2" t="s">
        <v>1650</v>
      </c>
      <c r="K609" s="2">
        <v>70</v>
      </c>
      <c r="L609" s="2">
        <v>15</v>
      </c>
      <c r="M609" s="2">
        <v>10</v>
      </c>
      <c r="N609" s="2">
        <v>10</v>
      </c>
      <c r="O609" s="2">
        <v>25</v>
      </c>
      <c r="P609" s="2">
        <v>10</v>
      </c>
      <c r="Q609" s="2" t="s">
        <v>2363</v>
      </c>
      <c r="R609" s="2" t="s">
        <v>2364</v>
      </c>
      <c r="S609" s="4">
        <v>44837</v>
      </c>
    </row>
    <row r="610" spans="1:19" ht="12.5" x14ac:dyDescent="0.25">
      <c r="A610" s="14" t="str">
        <f>HYPERLINK("https://gerandofalcoes.my.salesforce.com/0014P00003YSp83QAD", "0014P00003YSp83QAD")</f>
        <v>0014P00003YSp83QAD</v>
      </c>
      <c r="B610" s="2" t="s">
        <v>1727</v>
      </c>
      <c r="C610" s="2" t="s">
        <v>423</v>
      </c>
      <c r="D610" s="2" t="s">
        <v>2</v>
      </c>
      <c r="E610" s="2">
        <v>45</v>
      </c>
      <c r="F610" s="2">
        <v>3</v>
      </c>
      <c r="G610" s="2">
        <v>2</v>
      </c>
      <c r="H610" s="2">
        <v>15844866</v>
      </c>
      <c r="I610" s="2">
        <v>502</v>
      </c>
      <c r="J610" s="2" t="s">
        <v>1650</v>
      </c>
      <c r="K610" s="2">
        <v>71</v>
      </c>
      <c r="L610" s="2">
        <v>15</v>
      </c>
      <c r="M610" s="2">
        <v>5</v>
      </c>
      <c r="N610" s="2">
        <v>6</v>
      </c>
      <c r="O610" s="2">
        <v>25</v>
      </c>
      <c r="P610" s="2">
        <v>20</v>
      </c>
      <c r="Q610" s="2" t="s">
        <v>1728</v>
      </c>
      <c r="R610" s="2" t="s">
        <v>1729</v>
      </c>
      <c r="S610" s="4">
        <v>44837</v>
      </c>
    </row>
    <row r="611" spans="1:19" ht="12.5" x14ac:dyDescent="0.25">
      <c r="A611" s="14" t="str">
        <f>HYPERLINK("https://gerandofalcoes.my.salesforce.com/0014P00003YSp84QAD", "0014P00003YSp84QAD")</f>
        <v>0014P00003YSp84QAD</v>
      </c>
      <c r="B611" s="2" t="s">
        <v>2454</v>
      </c>
      <c r="C611" s="2" t="s">
        <v>423</v>
      </c>
      <c r="D611" s="2" t="s">
        <v>2</v>
      </c>
      <c r="E611" s="2">
        <v>35</v>
      </c>
      <c r="F611" s="2">
        <v>0</v>
      </c>
      <c r="G611" s="2">
        <v>0</v>
      </c>
      <c r="H611" s="2">
        <v>0</v>
      </c>
      <c r="I611" s="2">
        <v>203</v>
      </c>
      <c r="J611" s="2" t="s">
        <v>1779</v>
      </c>
      <c r="K611" s="2">
        <v>27</v>
      </c>
      <c r="L611" s="2">
        <v>15</v>
      </c>
      <c r="M611" s="2">
        <v>0</v>
      </c>
      <c r="N611" s="2">
        <v>0</v>
      </c>
      <c r="O611" s="2">
        <v>0</v>
      </c>
      <c r="P611" s="2">
        <v>12</v>
      </c>
      <c r="Q611" s="2" t="s">
        <v>2455</v>
      </c>
      <c r="R611" s="2" t="s">
        <v>2456</v>
      </c>
      <c r="S611" s="4">
        <v>44837</v>
      </c>
    </row>
    <row r="612" spans="1:19" ht="12.5" x14ac:dyDescent="0.25">
      <c r="A612" s="14" t="str">
        <f>HYPERLINK("https://gerandofalcoes.my.salesforce.com/0014P00003YSp86QAD", "0014P00003YSp86QAD")</f>
        <v>0014P00003YSp86QAD</v>
      </c>
      <c r="B612" s="2" t="s">
        <v>2514</v>
      </c>
      <c r="C612" s="2" t="s">
        <v>423</v>
      </c>
      <c r="D612" s="2" t="s">
        <v>2</v>
      </c>
      <c r="E612" s="2">
        <v>21</v>
      </c>
      <c r="F612" s="2">
        <v>0</v>
      </c>
      <c r="G612" s="2">
        <v>2</v>
      </c>
      <c r="H612" s="2">
        <v>10000</v>
      </c>
      <c r="I612" s="2">
        <v>100</v>
      </c>
      <c r="J612" s="2" t="s">
        <v>1779</v>
      </c>
      <c r="K612" s="2">
        <v>31</v>
      </c>
      <c r="L612" s="2">
        <v>10</v>
      </c>
      <c r="M612" s="2">
        <v>0</v>
      </c>
      <c r="N612" s="2">
        <v>6</v>
      </c>
      <c r="O612" s="2">
        <v>5</v>
      </c>
      <c r="P612" s="2">
        <v>10</v>
      </c>
      <c r="Q612" s="2" t="s">
        <v>2515</v>
      </c>
      <c r="R612" s="2" t="s">
        <v>2515</v>
      </c>
      <c r="S612" s="4">
        <v>44837</v>
      </c>
    </row>
    <row r="613" spans="1:19" ht="12.5" x14ac:dyDescent="0.25">
      <c r="A613" s="14" t="str">
        <f>HYPERLINK("https://gerandofalcoes.my.salesforce.com/0014P00003YSp87QAD", "0014P00003YSp87QAD")</f>
        <v>0014P00003YSp87QAD</v>
      </c>
      <c r="B613" s="2" t="s">
        <v>1755</v>
      </c>
      <c r="C613" s="2" t="s">
        <v>423</v>
      </c>
      <c r="D613" s="2" t="s">
        <v>2</v>
      </c>
      <c r="E613" s="2">
        <v>41</v>
      </c>
      <c r="F613" s="2">
        <v>19</v>
      </c>
      <c r="G613" s="2">
        <v>3</v>
      </c>
      <c r="H613" s="2">
        <v>223000</v>
      </c>
      <c r="I613" s="2">
        <v>50</v>
      </c>
      <c r="J613" s="2" t="s">
        <v>1671</v>
      </c>
      <c r="K613" s="2">
        <v>55</v>
      </c>
      <c r="L613" s="2">
        <v>15</v>
      </c>
      <c r="M613" s="2">
        <v>12</v>
      </c>
      <c r="N613" s="2">
        <v>8</v>
      </c>
      <c r="O613" s="2">
        <v>15</v>
      </c>
      <c r="P613" s="2">
        <v>5</v>
      </c>
      <c r="Q613" s="2" t="s">
        <v>1756</v>
      </c>
      <c r="R613" s="2" t="s">
        <v>1757</v>
      </c>
      <c r="S613" s="4">
        <v>44837</v>
      </c>
    </row>
    <row r="614" spans="1:19" ht="12.5" x14ac:dyDescent="0.25">
      <c r="A614" s="14" t="str">
        <f>HYPERLINK("https://gerandofalcoes.my.salesforce.com/0014P00003YSp88QAD", "0014P00003YSp88QAD")</f>
        <v>0014P00003YSp88QAD</v>
      </c>
      <c r="B614" s="2" t="s">
        <v>2325</v>
      </c>
      <c r="C614" s="2" t="s">
        <v>1800</v>
      </c>
      <c r="D614" s="2" t="s">
        <v>2</v>
      </c>
      <c r="E614" s="2">
        <v>28</v>
      </c>
      <c r="F614" s="2">
        <v>0</v>
      </c>
      <c r="G614" s="2">
        <v>2</v>
      </c>
      <c r="H614" s="2">
        <v>0</v>
      </c>
      <c r="I614" s="2">
        <v>80</v>
      </c>
      <c r="J614" s="2" t="s">
        <v>1779</v>
      </c>
      <c r="K614" s="2">
        <v>31</v>
      </c>
      <c r="L614" s="2">
        <v>15</v>
      </c>
      <c r="M614" s="2">
        <v>0</v>
      </c>
      <c r="N614" s="2">
        <v>6</v>
      </c>
      <c r="O614" s="2">
        <v>0</v>
      </c>
      <c r="P614" s="2">
        <v>10</v>
      </c>
      <c r="Q614" s="2" t="s">
        <v>2326</v>
      </c>
      <c r="R614" s="2" t="s">
        <v>2327</v>
      </c>
      <c r="S614" s="4">
        <v>44837</v>
      </c>
    </row>
    <row r="615" spans="1:19" ht="12.5" x14ac:dyDescent="0.25">
      <c r="A615" s="14" t="str">
        <f>HYPERLINK("https://gerandofalcoes.my.salesforce.com/0014P00003YSp8AQAT", "0014P00003YSp8AQAT")</f>
        <v>0014P00003YSp8AQAT</v>
      </c>
      <c r="B615" s="2" t="s">
        <v>1943</v>
      </c>
      <c r="C615" s="2" t="s">
        <v>423</v>
      </c>
      <c r="D615" s="2" t="s">
        <v>2</v>
      </c>
      <c r="E615" s="2">
        <v>31</v>
      </c>
      <c r="F615" s="2">
        <v>15</v>
      </c>
      <c r="G615" s="2">
        <v>2</v>
      </c>
      <c r="H615" s="2">
        <v>50000</v>
      </c>
      <c r="I615" s="2">
        <v>200</v>
      </c>
      <c r="J615" s="2" t="s">
        <v>1671</v>
      </c>
      <c r="K615" s="2">
        <v>55</v>
      </c>
      <c r="L615" s="2">
        <v>15</v>
      </c>
      <c r="M615" s="2">
        <v>12</v>
      </c>
      <c r="N615" s="2">
        <v>6</v>
      </c>
      <c r="O615" s="2">
        <v>10</v>
      </c>
      <c r="P615" s="2">
        <v>12</v>
      </c>
      <c r="Q615" s="2" t="s">
        <v>1944</v>
      </c>
      <c r="R615" s="2" t="s">
        <v>1945</v>
      </c>
      <c r="S615" s="4">
        <v>44837</v>
      </c>
    </row>
    <row r="616" spans="1:19" ht="12.5" x14ac:dyDescent="0.25">
      <c r="A616" s="14" t="str">
        <f>HYPERLINK("https://gerandofalcoes.my.salesforce.com/0014P00003YSp8BQAT", "0014P00003YSp8BQAT")</f>
        <v>0014P00003YSp8BQAT</v>
      </c>
      <c r="B616" s="2" t="s">
        <v>2813</v>
      </c>
      <c r="C616" s="2" t="s">
        <v>423</v>
      </c>
      <c r="D616" s="2" t="s">
        <v>2</v>
      </c>
      <c r="E616" s="2">
        <v>24</v>
      </c>
      <c r="F616" s="2">
        <v>0</v>
      </c>
      <c r="G616" s="2">
        <v>0</v>
      </c>
      <c r="H616" s="2">
        <v>0</v>
      </c>
      <c r="I616" s="2">
        <v>239</v>
      </c>
      <c r="J616" s="2" t="s">
        <v>1779</v>
      </c>
      <c r="K616" s="2">
        <v>22</v>
      </c>
      <c r="L616" s="2">
        <v>10</v>
      </c>
      <c r="M616" s="2">
        <v>0</v>
      </c>
      <c r="N616" s="2">
        <v>0</v>
      </c>
      <c r="O616" s="2">
        <v>0</v>
      </c>
      <c r="P616" s="2">
        <v>12</v>
      </c>
      <c r="Q616" s="2" t="s">
        <v>2814</v>
      </c>
      <c r="R616" s="2" t="s">
        <v>2815</v>
      </c>
      <c r="S616" s="4">
        <v>44837</v>
      </c>
    </row>
    <row r="617" spans="1:19" ht="12.5" x14ac:dyDescent="0.25">
      <c r="A617" s="14" t="str">
        <f>HYPERLINK("https://gerandofalcoes.my.salesforce.com/0014P00003YSp8CQAT", "0014P00003YSp8CQAT")</f>
        <v>0014P00003YSp8CQAT</v>
      </c>
      <c r="B617" s="2" t="s">
        <v>2139</v>
      </c>
      <c r="C617" s="2" t="s">
        <v>423</v>
      </c>
      <c r="D617" s="2" t="s">
        <v>2</v>
      </c>
      <c r="E617" s="2">
        <v>34</v>
      </c>
      <c r="F617" s="2">
        <v>11</v>
      </c>
      <c r="G617" s="2">
        <v>4</v>
      </c>
      <c r="H617" s="2">
        <v>309270</v>
      </c>
      <c r="I617" s="2">
        <v>200</v>
      </c>
      <c r="J617" s="2" t="s">
        <v>1650</v>
      </c>
      <c r="K617" s="2">
        <v>69</v>
      </c>
      <c r="L617" s="2">
        <v>15</v>
      </c>
      <c r="M617" s="2">
        <v>12</v>
      </c>
      <c r="N617" s="2">
        <v>10</v>
      </c>
      <c r="O617" s="2">
        <v>20</v>
      </c>
      <c r="P617" s="2">
        <v>12</v>
      </c>
      <c r="Q617" s="2" t="s">
        <v>2140</v>
      </c>
      <c r="R617" s="2" t="s">
        <v>2140</v>
      </c>
      <c r="S617" s="4">
        <v>44837</v>
      </c>
    </row>
    <row r="618" spans="1:19" ht="12.5" x14ac:dyDescent="0.25">
      <c r="A618" s="14" t="str">
        <f>HYPERLINK("https://gerandofalcoes.my.salesforce.com/0014P00003YSp8EQAT", "0014P00003YSp8EQAT")</f>
        <v>0014P00003YSp8EQAT</v>
      </c>
      <c r="B618" s="2" t="s">
        <v>2407</v>
      </c>
      <c r="C618" s="2" t="s">
        <v>423</v>
      </c>
      <c r="D618" s="2" t="s">
        <v>2</v>
      </c>
      <c r="E618" s="2">
        <v>25</v>
      </c>
      <c r="F618" s="2">
        <v>0</v>
      </c>
      <c r="G618" s="2">
        <v>2</v>
      </c>
      <c r="H618" s="2">
        <v>6300</v>
      </c>
      <c r="I618" s="2">
        <v>250</v>
      </c>
      <c r="J618" s="2" t="s">
        <v>1779</v>
      </c>
      <c r="K618" s="2">
        <v>38</v>
      </c>
      <c r="L618" s="2">
        <v>15</v>
      </c>
      <c r="M618" s="2">
        <v>0</v>
      </c>
      <c r="N618" s="2">
        <v>6</v>
      </c>
      <c r="O618" s="2">
        <v>5</v>
      </c>
      <c r="P618" s="2">
        <v>12</v>
      </c>
      <c r="Q618" s="2" t="s">
        <v>2408</v>
      </c>
      <c r="R618" s="2" t="s">
        <v>2409</v>
      </c>
      <c r="S618" s="4">
        <v>44837</v>
      </c>
    </row>
    <row r="619" spans="1:19" ht="12.5" x14ac:dyDescent="0.25">
      <c r="A619" s="14" t="str">
        <f>HYPERLINK("https://gerandofalcoes.my.salesforce.com/0014P00003YSp8FQAT", "0014P00003YSp8FQAT")</f>
        <v>0014P00003YSp8FQAT</v>
      </c>
      <c r="B619" s="2" t="s">
        <v>2178</v>
      </c>
      <c r="C619" s="2" t="s">
        <v>1800</v>
      </c>
      <c r="D619" s="2" t="s">
        <v>2</v>
      </c>
      <c r="E619" s="2">
        <v>33</v>
      </c>
      <c r="F619" s="2">
        <v>10</v>
      </c>
      <c r="G619" s="2">
        <v>0</v>
      </c>
      <c r="H619" s="2">
        <v>0</v>
      </c>
      <c r="I619" s="2">
        <v>60</v>
      </c>
      <c r="J619" s="2" t="s">
        <v>1779</v>
      </c>
      <c r="K619" s="2">
        <v>30</v>
      </c>
      <c r="L619" s="2">
        <v>15</v>
      </c>
      <c r="M619" s="2">
        <v>10</v>
      </c>
      <c r="N619" s="2">
        <v>0</v>
      </c>
      <c r="O619" s="2">
        <v>0</v>
      </c>
      <c r="P619" s="2">
        <v>5</v>
      </c>
      <c r="Q619" s="2" t="s">
        <v>2179</v>
      </c>
      <c r="R619" s="2" t="s">
        <v>2179</v>
      </c>
      <c r="S619" s="4">
        <v>44837</v>
      </c>
    </row>
    <row r="620" spans="1:19" ht="12.5" x14ac:dyDescent="0.25">
      <c r="A620" s="14" t="str">
        <f>HYPERLINK("https://gerandofalcoes.my.salesforce.com/0014P00003YSp8GQAT", "0014P00003YSp8GQAT")</f>
        <v>0014P00003YSp8GQAT</v>
      </c>
      <c r="B620" s="2" t="s">
        <v>2214</v>
      </c>
      <c r="C620" s="2" t="s">
        <v>1800</v>
      </c>
      <c r="D620" s="2" t="s">
        <v>2</v>
      </c>
      <c r="E620" s="2">
        <v>32</v>
      </c>
      <c r="F620" s="2">
        <v>1</v>
      </c>
      <c r="G620" s="2">
        <v>2</v>
      </c>
      <c r="H620" s="2">
        <v>0</v>
      </c>
      <c r="I620" s="2">
        <v>600</v>
      </c>
      <c r="J620" s="2" t="s">
        <v>1671</v>
      </c>
      <c r="K620" s="2">
        <v>46</v>
      </c>
      <c r="L620" s="2">
        <v>15</v>
      </c>
      <c r="M620" s="2">
        <v>5</v>
      </c>
      <c r="N620" s="2">
        <v>6</v>
      </c>
      <c r="O620" s="2">
        <v>0</v>
      </c>
      <c r="P620" s="2">
        <v>20</v>
      </c>
      <c r="Q620" s="2" t="s">
        <v>2215</v>
      </c>
      <c r="R620" s="2" t="s">
        <v>2216</v>
      </c>
      <c r="S620" s="4">
        <v>44837</v>
      </c>
    </row>
    <row r="621" spans="1:19" ht="12.5" x14ac:dyDescent="0.25">
      <c r="A621" s="14" t="str">
        <f>HYPERLINK("https://gerandofalcoes.my.salesforce.com/0014P00003YSp8HQAT", "0014P00003YSp8HQAT")</f>
        <v>0014P00003YSp8HQAT</v>
      </c>
      <c r="B621" s="2" t="s">
        <v>2359</v>
      </c>
      <c r="C621" s="2" t="s">
        <v>423</v>
      </c>
      <c r="D621" s="2" t="s">
        <v>2</v>
      </c>
      <c r="E621" s="2">
        <v>28</v>
      </c>
      <c r="F621" s="2">
        <v>2</v>
      </c>
      <c r="G621" s="2">
        <v>1</v>
      </c>
      <c r="H621" s="2">
        <v>35000</v>
      </c>
      <c r="I621" s="2">
        <v>729</v>
      </c>
      <c r="J621" s="2" t="s">
        <v>1671</v>
      </c>
      <c r="K621" s="2">
        <v>54</v>
      </c>
      <c r="L621" s="2">
        <v>15</v>
      </c>
      <c r="M621" s="2">
        <v>5</v>
      </c>
      <c r="N621" s="2">
        <v>4</v>
      </c>
      <c r="O621" s="2">
        <v>10</v>
      </c>
      <c r="P621" s="2">
        <v>20</v>
      </c>
      <c r="Q621" s="2" t="s">
        <v>2360</v>
      </c>
      <c r="R621" s="2" t="s">
        <v>2361</v>
      </c>
      <c r="S621" s="4">
        <v>44837</v>
      </c>
    </row>
    <row r="622" spans="1:19" ht="12.5" x14ac:dyDescent="0.25">
      <c r="A622" s="14" t="str">
        <f>HYPERLINK("https://gerandofalcoes.my.salesforce.com/0014P00003YSp8IQAT", "0014P00003YSp8IQAT")</f>
        <v>0014P00003YSp8IQAT</v>
      </c>
      <c r="B622" s="2" t="s">
        <v>2335</v>
      </c>
      <c r="C622" s="2" t="s">
        <v>423</v>
      </c>
      <c r="D622" s="2" t="s">
        <v>2</v>
      </c>
      <c r="E622" s="2">
        <v>27.89</v>
      </c>
      <c r="F622" s="2">
        <v>0</v>
      </c>
      <c r="G622" s="2">
        <v>3</v>
      </c>
      <c r="H622" s="2">
        <v>9000000</v>
      </c>
      <c r="I622" s="2">
        <v>250</v>
      </c>
      <c r="J622" s="2" t="s">
        <v>1671</v>
      </c>
      <c r="K622" s="2">
        <v>60</v>
      </c>
      <c r="L622" s="2">
        <v>15</v>
      </c>
      <c r="M622" s="2">
        <v>0</v>
      </c>
      <c r="N622" s="2">
        <v>8</v>
      </c>
      <c r="O622" s="2">
        <v>25</v>
      </c>
      <c r="P622" s="2">
        <v>12</v>
      </c>
      <c r="Q622" s="2" t="s">
        <v>2336</v>
      </c>
      <c r="R622" s="2" t="s">
        <v>2337</v>
      </c>
      <c r="S622" s="4">
        <v>44837</v>
      </c>
    </row>
    <row r="623" spans="1:19" ht="12.5" x14ac:dyDescent="0.25">
      <c r="A623" s="14" t="str">
        <f>HYPERLINK("https://gerandofalcoes.my.salesforce.com/0014P00003YSp80QAD", "0014P00003YSp80QAD")</f>
        <v>0014P00003YSp80QAD</v>
      </c>
      <c r="B623" s="2" t="s">
        <v>2709</v>
      </c>
      <c r="C623" s="2" t="s">
        <v>423</v>
      </c>
      <c r="D623" s="2" t="s">
        <v>2</v>
      </c>
      <c r="E623" s="2">
        <v>15.15</v>
      </c>
      <c r="F623" s="2">
        <v>1</v>
      </c>
      <c r="G623" s="2">
        <v>4</v>
      </c>
      <c r="H623" s="2">
        <v>17400</v>
      </c>
      <c r="I623" s="2">
        <v>87</v>
      </c>
      <c r="J623" s="2" t="s">
        <v>1671</v>
      </c>
      <c r="K623" s="2">
        <v>40</v>
      </c>
      <c r="L623" s="2">
        <v>10</v>
      </c>
      <c r="M623" s="2">
        <v>5</v>
      </c>
      <c r="N623" s="2">
        <v>10</v>
      </c>
      <c r="O623" s="2">
        <v>5</v>
      </c>
      <c r="P623" s="2">
        <v>10</v>
      </c>
      <c r="Q623" s="2" t="s">
        <v>2710</v>
      </c>
      <c r="R623" s="2" t="s">
        <v>2710</v>
      </c>
      <c r="S623" s="4">
        <v>44837</v>
      </c>
    </row>
    <row r="624" spans="1:19" ht="12.5" x14ac:dyDescent="0.25">
      <c r="A624" s="14" t="str">
        <f>HYPERLINK("https://gerandofalcoes.my.salesforce.com/0014P00003YSp8JQAT", "0014P00003YSp8JQAT")</f>
        <v>0014P00003YSp8JQAT</v>
      </c>
      <c r="B624" s="2" t="s">
        <v>2393</v>
      </c>
      <c r="C624" s="2" t="s">
        <v>423</v>
      </c>
      <c r="D624" s="2" t="s">
        <v>2</v>
      </c>
      <c r="E624" s="2">
        <v>33</v>
      </c>
      <c r="F624" s="2">
        <v>9</v>
      </c>
      <c r="G624" s="2">
        <v>2</v>
      </c>
      <c r="H624" s="2">
        <v>85000000</v>
      </c>
      <c r="I624" s="2">
        <v>309</v>
      </c>
      <c r="J624" s="2" t="s">
        <v>1650</v>
      </c>
      <c r="K624" s="2">
        <v>71</v>
      </c>
      <c r="L624" s="2">
        <v>15</v>
      </c>
      <c r="M624" s="2">
        <v>10</v>
      </c>
      <c r="N624" s="2">
        <v>6</v>
      </c>
      <c r="O624" s="2">
        <v>25</v>
      </c>
      <c r="P624" s="2">
        <v>15</v>
      </c>
      <c r="Q624" s="2" t="s">
        <v>2394</v>
      </c>
      <c r="R624" s="2" t="s">
        <v>2394</v>
      </c>
      <c r="S624" s="4">
        <v>44837</v>
      </c>
    </row>
    <row r="625" spans="1:19" ht="12.5" x14ac:dyDescent="0.25">
      <c r="A625" s="14" t="str">
        <f>HYPERLINK("https://gerandofalcoes.my.salesforce.com/0014P00003YSp8KQAT", "0014P00003YSp8KQAT")</f>
        <v>0014P00003YSp8KQAT</v>
      </c>
      <c r="B625" s="2" t="s">
        <v>2167</v>
      </c>
      <c r="C625" s="2" t="s">
        <v>1800</v>
      </c>
      <c r="D625" s="2" t="s">
        <v>2</v>
      </c>
      <c r="E625" s="2">
        <v>33</v>
      </c>
      <c r="F625" s="2">
        <v>2</v>
      </c>
      <c r="G625" s="2">
        <v>4</v>
      </c>
      <c r="H625" s="2">
        <v>400000</v>
      </c>
      <c r="I625" s="2">
        <v>250</v>
      </c>
      <c r="J625" s="2" t="s">
        <v>1671</v>
      </c>
      <c r="K625" s="2">
        <v>62</v>
      </c>
      <c r="L625" s="2">
        <v>15</v>
      </c>
      <c r="M625" s="2">
        <v>5</v>
      </c>
      <c r="N625" s="2">
        <v>10</v>
      </c>
      <c r="O625" s="2">
        <v>20</v>
      </c>
      <c r="P625" s="2">
        <v>12</v>
      </c>
      <c r="Q625" s="2" t="s">
        <v>2168</v>
      </c>
      <c r="R625" s="2" t="s">
        <v>2168</v>
      </c>
      <c r="S625" s="4">
        <v>44837</v>
      </c>
    </row>
    <row r="626" spans="1:19" ht="12.5" x14ac:dyDescent="0.25">
      <c r="A626" s="14" t="str">
        <f>HYPERLINK("https://gerandofalcoes.my.salesforce.com/0014P00003YSp8LQAT", "0014P00003YSp8LQAT")</f>
        <v>0014P00003YSp8LQAT</v>
      </c>
      <c r="B626" s="2" t="s">
        <v>2907</v>
      </c>
      <c r="C626" s="2" t="s">
        <v>423</v>
      </c>
      <c r="D626" s="2" t="s">
        <v>2</v>
      </c>
      <c r="E626" s="2">
        <v>24</v>
      </c>
      <c r="F626" s="2">
        <v>0</v>
      </c>
      <c r="G626" s="2">
        <v>0</v>
      </c>
      <c r="H626" s="2">
        <v>0</v>
      </c>
      <c r="I626" s="2">
        <v>200</v>
      </c>
      <c r="J626" s="2" t="s">
        <v>1779</v>
      </c>
      <c r="K626" s="2">
        <v>22</v>
      </c>
      <c r="L626" s="2">
        <v>10</v>
      </c>
      <c r="M626" s="2">
        <v>0</v>
      </c>
      <c r="N626" s="2">
        <v>0</v>
      </c>
      <c r="O626" s="2">
        <v>0</v>
      </c>
      <c r="P626" s="2">
        <v>12</v>
      </c>
      <c r="Q626" s="2" t="s">
        <v>2908</v>
      </c>
      <c r="R626" s="2" t="s">
        <v>2908</v>
      </c>
      <c r="S626" s="4">
        <v>44837</v>
      </c>
    </row>
    <row r="627" spans="1:19" ht="12.5" x14ac:dyDescent="0.25">
      <c r="A627" s="14" t="str">
        <f>HYPERLINK("https://gerandofalcoes.my.salesforce.com/0014P00003YSp8MQAT", "0014P00003YSp8MQAT")</f>
        <v>0014P00003YSp8MQAT</v>
      </c>
      <c r="B627" s="2" t="s">
        <v>1761</v>
      </c>
      <c r="C627" s="2" t="s">
        <v>423</v>
      </c>
      <c r="D627" s="2" t="s">
        <v>2</v>
      </c>
      <c r="E627" s="2">
        <v>35</v>
      </c>
      <c r="F627" s="2">
        <v>15</v>
      </c>
      <c r="G627" s="2">
        <v>3</v>
      </c>
      <c r="H627" s="2">
        <v>359</v>
      </c>
      <c r="I627" s="2">
        <v>173</v>
      </c>
      <c r="J627" s="2" t="s">
        <v>1671</v>
      </c>
      <c r="K627" s="2">
        <v>52</v>
      </c>
      <c r="L627" s="2">
        <v>15</v>
      </c>
      <c r="M627" s="2">
        <v>12</v>
      </c>
      <c r="N627" s="2">
        <v>8</v>
      </c>
      <c r="O627" s="2">
        <v>5</v>
      </c>
      <c r="P627" s="2">
        <v>12</v>
      </c>
      <c r="Q627" s="2" t="s">
        <v>1762</v>
      </c>
      <c r="R627" s="2" t="s">
        <v>1763</v>
      </c>
      <c r="S627" s="4">
        <v>44837</v>
      </c>
    </row>
    <row r="628" spans="1:19" ht="12.5" x14ac:dyDescent="0.25">
      <c r="A628" s="14" t="str">
        <f>HYPERLINK("https://gerandofalcoes.my.salesforce.com/0014P00003YSp8NQAT", "0014P00003YSp8NQAT")</f>
        <v>0014P00003YSp8NQAT</v>
      </c>
      <c r="B628" s="2" t="s">
        <v>2292</v>
      </c>
      <c r="C628" s="2" t="s">
        <v>1800</v>
      </c>
      <c r="D628" s="2" t="s">
        <v>2</v>
      </c>
      <c r="E628" s="2">
        <v>29</v>
      </c>
      <c r="F628" s="2">
        <v>3</v>
      </c>
      <c r="G628" s="2">
        <v>2</v>
      </c>
      <c r="H628" s="2">
        <v>13121</v>
      </c>
      <c r="I628" s="2">
        <v>800</v>
      </c>
      <c r="J628" s="2" t="s">
        <v>1671</v>
      </c>
      <c r="K628" s="2">
        <v>51</v>
      </c>
      <c r="L628" s="2">
        <v>15</v>
      </c>
      <c r="M628" s="2">
        <v>5</v>
      </c>
      <c r="N628" s="2">
        <v>6</v>
      </c>
      <c r="O628" s="2">
        <v>5</v>
      </c>
      <c r="P628" s="2">
        <v>20</v>
      </c>
      <c r="Q628" s="2" t="s">
        <v>2293</v>
      </c>
      <c r="R628" s="2" t="s">
        <v>2294</v>
      </c>
      <c r="S628" s="4">
        <v>44837</v>
      </c>
    </row>
    <row r="629" spans="1:19" ht="12.5" x14ac:dyDescent="0.25">
      <c r="A629" s="14" t="str">
        <f>HYPERLINK("https://gerandofalcoes.my.salesforce.com/0014P00003YSp8OQAT", "0014P00003YSp8OQAT")</f>
        <v>0014P00003YSp8OQAT</v>
      </c>
      <c r="B629" s="2" t="s">
        <v>1952</v>
      </c>
      <c r="C629" s="2" t="s">
        <v>1800</v>
      </c>
      <c r="D629" s="2" t="s">
        <v>2</v>
      </c>
      <c r="E629" s="2">
        <v>41</v>
      </c>
      <c r="F629" s="2">
        <v>1</v>
      </c>
      <c r="G629" s="2">
        <v>3</v>
      </c>
      <c r="H629" s="2">
        <v>25000</v>
      </c>
      <c r="I629" s="2">
        <v>90</v>
      </c>
      <c r="J629" s="2" t="s">
        <v>1671</v>
      </c>
      <c r="K629" s="2">
        <v>48</v>
      </c>
      <c r="L629" s="2">
        <v>15</v>
      </c>
      <c r="M629" s="2">
        <v>5</v>
      </c>
      <c r="N629" s="2">
        <v>8</v>
      </c>
      <c r="O629" s="2">
        <v>10</v>
      </c>
      <c r="P629" s="2">
        <v>10</v>
      </c>
      <c r="Q629" s="2" t="s">
        <v>1953</v>
      </c>
      <c r="R629" s="2" t="s">
        <v>1953</v>
      </c>
      <c r="S629" s="4">
        <v>44837</v>
      </c>
    </row>
    <row r="630" spans="1:19" ht="12.5" x14ac:dyDescent="0.25">
      <c r="A630" s="14" t="str">
        <f>HYPERLINK("https://gerandofalcoes.my.salesforce.com/0014P00003YSp8PQAT", "0014P00003YSp8PQAT")</f>
        <v>0014P00003YSp8PQAT</v>
      </c>
      <c r="B630" s="2" t="s">
        <v>2832</v>
      </c>
      <c r="C630" s="2" t="s">
        <v>423</v>
      </c>
      <c r="D630" s="2" t="s">
        <v>2</v>
      </c>
      <c r="E630" s="2">
        <v>24</v>
      </c>
      <c r="F630" s="2">
        <v>0</v>
      </c>
      <c r="G630" s="2">
        <v>1</v>
      </c>
      <c r="H630" s="2">
        <v>4546832</v>
      </c>
      <c r="I630" s="2">
        <v>0</v>
      </c>
      <c r="J630" s="2" t="s">
        <v>1779</v>
      </c>
      <c r="K630" s="2">
        <v>39</v>
      </c>
      <c r="L630" s="2">
        <v>10</v>
      </c>
      <c r="M630" s="2">
        <v>0</v>
      </c>
      <c r="N630" s="2">
        <v>4</v>
      </c>
      <c r="O630" s="2">
        <v>25</v>
      </c>
      <c r="P630" s="2">
        <v>0</v>
      </c>
      <c r="Q630" s="2" t="s">
        <v>2833</v>
      </c>
      <c r="R630" s="2" t="s">
        <v>2834</v>
      </c>
      <c r="S630" s="4">
        <v>44837</v>
      </c>
    </row>
    <row r="631" spans="1:19" ht="12.5" x14ac:dyDescent="0.25">
      <c r="A631" s="14" t="str">
        <f>HYPERLINK("https://gerandofalcoes.my.salesforce.com/0014P00003YSp8QQAT", "0014P00003YSp8QQAT")</f>
        <v>0014P00003YSp8QQAT</v>
      </c>
      <c r="B631" s="2" t="s">
        <v>1890</v>
      </c>
      <c r="C631" s="2" t="s">
        <v>423</v>
      </c>
      <c r="D631" s="2" t="s">
        <v>2</v>
      </c>
      <c r="E631" s="2">
        <v>43.85</v>
      </c>
      <c r="F631" s="2">
        <v>7</v>
      </c>
      <c r="G631" s="2">
        <v>150</v>
      </c>
      <c r="H631" s="2">
        <v>337433</v>
      </c>
      <c r="I631" s="2">
        <v>80</v>
      </c>
      <c r="J631" s="2" t="s">
        <v>1650</v>
      </c>
      <c r="K631" s="2">
        <v>65</v>
      </c>
      <c r="L631" s="2">
        <v>15</v>
      </c>
      <c r="M631" s="2">
        <v>10</v>
      </c>
      <c r="N631" s="2">
        <v>10</v>
      </c>
      <c r="O631" s="2">
        <v>20</v>
      </c>
      <c r="P631" s="2">
        <v>10</v>
      </c>
      <c r="Q631" s="2" t="s">
        <v>1891</v>
      </c>
      <c r="R631" s="2" t="s">
        <v>1891</v>
      </c>
      <c r="S631" s="4">
        <v>44837</v>
      </c>
    </row>
    <row r="632" spans="1:19" ht="12.5" x14ac:dyDescent="0.25">
      <c r="A632" s="14" t="str">
        <f>HYPERLINK("https://gerandofalcoes.my.salesforce.com/0014P00003YSp8RQAT", "0014P00003YSp8RQAT")</f>
        <v>0014P00003YSp8RQAT</v>
      </c>
      <c r="B632" s="2" t="s">
        <v>1989</v>
      </c>
      <c r="C632" s="2" t="s">
        <v>1800</v>
      </c>
      <c r="D632" s="2" t="s">
        <v>2</v>
      </c>
      <c r="E632" s="2">
        <v>39</v>
      </c>
      <c r="F632" s="2">
        <v>1</v>
      </c>
      <c r="G632" s="2">
        <v>2</v>
      </c>
      <c r="H632" s="2">
        <v>11000</v>
      </c>
      <c r="I632" s="2">
        <v>200</v>
      </c>
      <c r="J632" s="2" t="s">
        <v>1671</v>
      </c>
      <c r="K632" s="2">
        <v>43</v>
      </c>
      <c r="L632" s="2">
        <v>15</v>
      </c>
      <c r="M632" s="2">
        <v>5</v>
      </c>
      <c r="N632" s="2">
        <v>6</v>
      </c>
      <c r="O632" s="2">
        <v>5</v>
      </c>
      <c r="P632" s="2">
        <v>12</v>
      </c>
      <c r="Q632" s="2" t="s">
        <v>1990</v>
      </c>
      <c r="R632" s="2" t="s">
        <v>1991</v>
      </c>
      <c r="S632" s="4">
        <v>44837</v>
      </c>
    </row>
    <row r="633" spans="1:19" ht="12.5" x14ac:dyDescent="0.25">
      <c r="A633" s="14" t="str">
        <f>HYPERLINK("https://gerandofalcoes.my.salesforce.com/0014P00003YSp8SQAT", "0014P00003YSp8SQAT")</f>
        <v>0014P00003YSp8SQAT</v>
      </c>
      <c r="B633" s="2" t="s">
        <v>2476</v>
      </c>
      <c r="C633" s="2" t="s">
        <v>423</v>
      </c>
      <c r="D633" s="2" t="s">
        <v>2</v>
      </c>
      <c r="E633" s="2">
        <v>22</v>
      </c>
      <c r="F633" s="2">
        <v>0</v>
      </c>
      <c r="G633" s="2">
        <v>2</v>
      </c>
      <c r="H633" s="2">
        <v>150000</v>
      </c>
      <c r="I633" s="2">
        <v>382</v>
      </c>
      <c r="J633" s="2" t="s">
        <v>1671</v>
      </c>
      <c r="K633" s="2">
        <v>46</v>
      </c>
      <c r="L633" s="2">
        <v>10</v>
      </c>
      <c r="M633" s="2">
        <v>0</v>
      </c>
      <c r="N633" s="2">
        <v>6</v>
      </c>
      <c r="O633" s="2">
        <v>15</v>
      </c>
      <c r="P633" s="2">
        <v>15</v>
      </c>
      <c r="Q633" s="2" t="s">
        <v>2477</v>
      </c>
      <c r="R633" s="2" t="s">
        <v>2477</v>
      </c>
      <c r="S633" s="4">
        <v>44837</v>
      </c>
    </row>
    <row r="634" spans="1:19" ht="12.5" x14ac:dyDescent="0.25">
      <c r="A634" s="14" t="str">
        <f>HYPERLINK("https://gerandofalcoes.my.salesforce.com/0014P00003YSp8UQAT", "0014P00003YSp8UQAT")</f>
        <v>0014P00003YSp8UQAT</v>
      </c>
      <c r="B634" s="2" t="s">
        <v>2319</v>
      </c>
      <c r="C634" s="2" t="s">
        <v>423</v>
      </c>
      <c r="D634" s="2" t="s">
        <v>2</v>
      </c>
      <c r="E634" s="2">
        <v>28</v>
      </c>
      <c r="F634" s="2">
        <v>0</v>
      </c>
      <c r="G634" s="2">
        <v>3</v>
      </c>
      <c r="H634" s="2">
        <v>9994</v>
      </c>
      <c r="I634" s="2">
        <v>110</v>
      </c>
      <c r="J634" s="2" t="s">
        <v>1779</v>
      </c>
      <c r="K634" s="2">
        <v>38</v>
      </c>
      <c r="L634" s="2">
        <v>15</v>
      </c>
      <c r="M634" s="2">
        <v>0</v>
      </c>
      <c r="N634" s="2">
        <v>8</v>
      </c>
      <c r="O634" s="2">
        <v>5</v>
      </c>
      <c r="P634" s="2">
        <v>10</v>
      </c>
      <c r="Q634" s="2" t="s">
        <v>2321</v>
      </c>
      <c r="R634" s="2" t="s">
        <v>2321</v>
      </c>
      <c r="S634" s="4">
        <v>44837</v>
      </c>
    </row>
    <row r="635" spans="1:19" ht="12.5" x14ac:dyDescent="0.25">
      <c r="A635" s="14" t="str">
        <f>HYPERLINK("https://gerandofalcoes.my.salesforce.com/0014P00003YSp8VQAT", "0014P00003YSp8VQAT")</f>
        <v>0014P00003YSp8VQAT</v>
      </c>
      <c r="B635" s="2" t="s">
        <v>2865</v>
      </c>
      <c r="C635" s="2" t="s">
        <v>1800</v>
      </c>
      <c r="D635" s="2" t="s">
        <v>2</v>
      </c>
      <c r="E635" s="2">
        <v>10</v>
      </c>
      <c r="F635" s="2">
        <v>0</v>
      </c>
      <c r="G635" s="2">
        <v>0</v>
      </c>
      <c r="H635" s="2">
        <v>0</v>
      </c>
      <c r="I635" s="2">
        <v>0</v>
      </c>
      <c r="J635" s="2" t="s">
        <v>1779</v>
      </c>
      <c r="K635" s="2">
        <v>10</v>
      </c>
      <c r="L635" s="2">
        <v>10</v>
      </c>
      <c r="M635" s="2">
        <v>0</v>
      </c>
      <c r="N635" s="2">
        <v>0</v>
      </c>
      <c r="O635" s="2">
        <v>0</v>
      </c>
      <c r="P635" s="2">
        <v>0</v>
      </c>
      <c r="Q635" s="2" t="s">
        <v>2866</v>
      </c>
      <c r="R635" s="2" t="s">
        <v>2867</v>
      </c>
      <c r="S635" s="4">
        <v>44837</v>
      </c>
    </row>
    <row r="636" spans="1:19" ht="12.5" x14ac:dyDescent="0.25">
      <c r="A636" s="14" t="str">
        <f>HYPERLINK("https://gerandofalcoes.my.salesforce.com/0014P00003YSp8XQAT", "0014P00003YSp8XQAT")</f>
        <v>0014P00003YSp8XQAT</v>
      </c>
      <c r="B636" s="2" t="s">
        <v>2526</v>
      </c>
      <c r="C636" s="2" t="s">
        <v>423</v>
      </c>
      <c r="D636" s="2" t="s">
        <v>2</v>
      </c>
      <c r="E636" s="2">
        <v>21</v>
      </c>
      <c r="F636" s="2">
        <v>0</v>
      </c>
      <c r="G636" s="2">
        <v>1</v>
      </c>
      <c r="H636" s="2">
        <v>250</v>
      </c>
      <c r="I636" s="2">
        <v>50</v>
      </c>
      <c r="J636" s="2" t="s">
        <v>1779</v>
      </c>
      <c r="K636" s="2">
        <v>24</v>
      </c>
      <c r="L636" s="2">
        <v>10</v>
      </c>
      <c r="M636" s="2">
        <v>0</v>
      </c>
      <c r="N636" s="2">
        <v>4</v>
      </c>
      <c r="O636" s="2">
        <v>5</v>
      </c>
      <c r="P636" s="2">
        <v>5</v>
      </c>
      <c r="Q636" s="2" t="s">
        <v>2527</v>
      </c>
      <c r="R636" s="2" t="s">
        <v>2528</v>
      </c>
      <c r="S636" s="4">
        <v>44837</v>
      </c>
    </row>
    <row r="637" spans="1:19" ht="12.5" x14ac:dyDescent="0.25">
      <c r="A637" s="14" t="str">
        <f>HYPERLINK("https://gerandofalcoes.my.salesforce.com/0014P00003YSp8YQAT", "0014P00003YSp8YQAT")</f>
        <v>0014P00003YSp8YQAT</v>
      </c>
      <c r="B637" s="2" t="s">
        <v>1921</v>
      </c>
      <c r="C637" s="2" t="s">
        <v>423</v>
      </c>
      <c r="D637" s="2" t="s">
        <v>2</v>
      </c>
      <c r="E637" s="2">
        <v>45</v>
      </c>
      <c r="F637" s="2">
        <v>9</v>
      </c>
      <c r="G637" s="2">
        <v>3</v>
      </c>
      <c r="H637" s="2">
        <v>97000</v>
      </c>
      <c r="I637" s="2">
        <v>100</v>
      </c>
      <c r="J637" s="2" t="s">
        <v>1671</v>
      </c>
      <c r="K637" s="2">
        <v>53</v>
      </c>
      <c r="L637" s="2">
        <v>15</v>
      </c>
      <c r="M637" s="2">
        <v>10</v>
      </c>
      <c r="N637" s="2">
        <v>8</v>
      </c>
      <c r="O637" s="2">
        <v>10</v>
      </c>
      <c r="P637" s="2">
        <v>10</v>
      </c>
      <c r="Q637" s="2" t="s">
        <v>1922</v>
      </c>
      <c r="R637" s="2" t="s">
        <v>1923</v>
      </c>
      <c r="S637" s="4">
        <v>44837</v>
      </c>
    </row>
    <row r="638" spans="1:19" ht="12.5" x14ac:dyDescent="0.25">
      <c r="A638" s="14" t="str">
        <f>HYPERLINK("https://gerandofalcoes.my.salesforce.com/0014P00003YSp8aQAD", "0014P00003YSp8aQAD")</f>
        <v>0014P00003YSp8aQAD</v>
      </c>
      <c r="B638" s="2" t="s">
        <v>2447</v>
      </c>
      <c r="C638" s="2" t="s">
        <v>423</v>
      </c>
      <c r="D638" s="2" t="s">
        <v>2</v>
      </c>
      <c r="E638" s="2">
        <v>24</v>
      </c>
      <c r="F638" s="2">
        <v>0</v>
      </c>
      <c r="G638" s="2">
        <v>2</v>
      </c>
      <c r="H638" s="2">
        <v>40000</v>
      </c>
      <c r="I638" s="2">
        <v>200</v>
      </c>
      <c r="J638" s="2" t="s">
        <v>1779</v>
      </c>
      <c r="K638" s="2">
        <v>38</v>
      </c>
      <c r="L638" s="2">
        <v>10</v>
      </c>
      <c r="M638" s="2">
        <v>0</v>
      </c>
      <c r="N638" s="2">
        <v>6</v>
      </c>
      <c r="O638" s="2">
        <v>10</v>
      </c>
      <c r="P638" s="2">
        <v>12</v>
      </c>
      <c r="Q638" s="2" t="s">
        <v>2448</v>
      </c>
      <c r="R638" s="2" t="s">
        <v>2449</v>
      </c>
      <c r="S638" s="4">
        <v>44837</v>
      </c>
    </row>
    <row r="639" spans="1:19" ht="12.5" x14ac:dyDescent="0.25">
      <c r="A639" s="14" t="str">
        <f>HYPERLINK("https://gerandofalcoes.my.salesforce.com/0014P00003YSp8bQAD", "0014P00003YSp8bQAD")</f>
        <v>0014P00003YSp8bQAD</v>
      </c>
      <c r="B639" s="2" t="s">
        <v>2481</v>
      </c>
      <c r="C639" s="2" t="s">
        <v>423</v>
      </c>
      <c r="D639" s="2" t="s">
        <v>2</v>
      </c>
      <c r="E639" s="2">
        <v>22</v>
      </c>
      <c r="F639" s="2">
        <v>4</v>
      </c>
      <c r="G639" s="2">
        <v>2</v>
      </c>
      <c r="H639" s="2">
        <v>80000</v>
      </c>
      <c r="I639" s="2">
        <v>100</v>
      </c>
      <c r="J639" s="2" t="s">
        <v>1671</v>
      </c>
      <c r="K639" s="2">
        <v>41</v>
      </c>
      <c r="L639" s="2">
        <v>10</v>
      </c>
      <c r="M639" s="2">
        <v>5</v>
      </c>
      <c r="N639" s="2">
        <v>6</v>
      </c>
      <c r="O639" s="2">
        <v>10</v>
      </c>
      <c r="P639" s="2">
        <v>10</v>
      </c>
      <c r="Q639" s="2" t="s">
        <v>2482</v>
      </c>
      <c r="R639" s="2" t="s">
        <v>2483</v>
      </c>
      <c r="S639" s="4">
        <v>44837</v>
      </c>
    </row>
    <row r="640" spans="1:19" ht="12.5" x14ac:dyDescent="0.25">
      <c r="A640" s="14" t="str">
        <f>HYPERLINK("https://gerandofalcoes.my.salesforce.com/0014P00003YSp8cQAD", "0014P00003YSp8cQAD")</f>
        <v>0014P00003YSp8cQAD</v>
      </c>
      <c r="B640" s="2" t="s">
        <v>1768</v>
      </c>
      <c r="C640" s="2" t="s">
        <v>423</v>
      </c>
      <c r="D640" s="2" t="s">
        <v>2</v>
      </c>
      <c r="E640" s="2">
        <v>35</v>
      </c>
      <c r="F640" s="2">
        <v>8</v>
      </c>
      <c r="G640" s="2">
        <v>1</v>
      </c>
      <c r="H640" s="2">
        <v>2200000</v>
      </c>
      <c r="I640" s="2">
        <v>300</v>
      </c>
      <c r="J640" s="2" t="s">
        <v>1650</v>
      </c>
      <c r="K640" s="2">
        <v>69</v>
      </c>
      <c r="L640" s="2">
        <v>15</v>
      </c>
      <c r="M640" s="2">
        <v>10</v>
      </c>
      <c r="N640" s="2">
        <v>4</v>
      </c>
      <c r="O640" s="2">
        <v>25</v>
      </c>
      <c r="P640" s="2">
        <v>15</v>
      </c>
      <c r="Q640" s="2" t="s">
        <v>1769</v>
      </c>
      <c r="R640" s="2" t="s">
        <v>1769</v>
      </c>
      <c r="S640" s="4">
        <v>44837</v>
      </c>
    </row>
    <row r="641" spans="1:19" ht="12.5" x14ac:dyDescent="0.25">
      <c r="A641" s="14" t="str">
        <f>HYPERLINK("https://gerandofalcoes.my.salesforce.com/0014P00003YSp8dQAD", "0014P00003YSp8dQAD")</f>
        <v>0014P00003YSp8dQAD</v>
      </c>
      <c r="B641" s="2" t="s">
        <v>2925</v>
      </c>
      <c r="C641" s="2" t="s">
        <v>423</v>
      </c>
      <c r="D641" s="2" t="s">
        <v>2</v>
      </c>
      <c r="E641" s="2">
        <v>7</v>
      </c>
      <c r="F641" s="2">
        <v>3</v>
      </c>
      <c r="G641" s="2">
        <v>2</v>
      </c>
      <c r="H641" s="2">
        <v>0</v>
      </c>
      <c r="I641" s="2">
        <v>150</v>
      </c>
      <c r="J641" s="2" t="s">
        <v>1779</v>
      </c>
      <c r="K641" s="2">
        <v>33</v>
      </c>
      <c r="L641" s="2">
        <v>10</v>
      </c>
      <c r="M641" s="2">
        <v>5</v>
      </c>
      <c r="N641" s="2">
        <v>6</v>
      </c>
      <c r="O641" s="2">
        <v>0</v>
      </c>
      <c r="P641" s="2">
        <v>12</v>
      </c>
      <c r="Q641" s="2" t="s">
        <v>2926</v>
      </c>
      <c r="R641" s="2" t="s">
        <v>2926</v>
      </c>
      <c r="S641" s="4">
        <v>44837</v>
      </c>
    </row>
    <row r="642" spans="1:19" ht="12.5" x14ac:dyDescent="0.25">
      <c r="A642" s="14" t="str">
        <f>HYPERLINK("https://gerandofalcoes.my.salesforce.com/0014P00003Ck8NjQAJ", "0014P00003Ck8NjQAJ")</f>
        <v>0014P00003Ck8NjQAJ</v>
      </c>
      <c r="B642" s="2" t="s">
        <v>1734</v>
      </c>
      <c r="C642" s="2" t="s">
        <v>423</v>
      </c>
      <c r="D642" s="2" t="s">
        <v>2</v>
      </c>
      <c r="E642" s="2">
        <v>32</v>
      </c>
      <c r="F642" s="2">
        <v>30</v>
      </c>
      <c r="G642" s="2">
        <v>4</v>
      </c>
      <c r="H642" s="2">
        <v>168000</v>
      </c>
      <c r="I642" s="2">
        <v>200</v>
      </c>
      <c r="J642" s="2" t="s">
        <v>1671</v>
      </c>
      <c r="K642" s="2">
        <v>64</v>
      </c>
      <c r="L642" s="2">
        <v>15</v>
      </c>
      <c r="M642" s="2">
        <v>12</v>
      </c>
      <c r="N642" s="2">
        <v>10</v>
      </c>
      <c r="O642" s="2">
        <v>15</v>
      </c>
      <c r="P642" s="2">
        <v>12</v>
      </c>
      <c r="Q642" s="2" t="s">
        <v>1735</v>
      </c>
      <c r="R642" s="2" t="s">
        <v>1735</v>
      </c>
      <c r="S642" s="4">
        <v>44837</v>
      </c>
    </row>
    <row r="643" spans="1:19" ht="12.5" x14ac:dyDescent="0.25">
      <c r="A643" s="14" t="str">
        <f>HYPERLINK("https://gerandofalcoes.my.salesforce.com/0014P00003I7WH2QAN", "0014P00003I7WH2QAN")</f>
        <v>0014P00003I7WH2QAN</v>
      </c>
      <c r="B643" s="2" t="s">
        <v>1748</v>
      </c>
      <c r="C643" s="2" t="s">
        <v>423</v>
      </c>
      <c r="D643" s="2" t="s">
        <v>2</v>
      </c>
      <c r="E643" s="2">
        <v>75</v>
      </c>
      <c r="F643" s="2">
        <v>5</v>
      </c>
      <c r="G643" s="2">
        <v>3</v>
      </c>
      <c r="H643" s="2">
        <v>300000</v>
      </c>
      <c r="I643" s="2">
        <v>216</v>
      </c>
      <c r="J643" s="2" t="s">
        <v>1650</v>
      </c>
      <c r="K643" s="2">
        <v>70</v>
      </c>
      <c r="L643" s="2">
        <v>25</v>
      </c>
      <c r="M643" s="2">
        <v>5</v>
      </c>
      <c r="N643" s="2">
        <v>8</v>
      </c>
      <c r="O643" s="2">
        <v>20</v>
      </c>
      <c r="P643" s="2">
        <v>12</v>
      </c>
      <c r="Q643" s="2" t="s">
        <v>1749</v>
      </c>
      <c r="R643" s="2" t="s">
        <v>906</v>
      </c>
      <c r="S643" s="4">
        <v>44837</v>
      </c>
    </row>
    <row r="644" spans="1:19" ht="12.5" x14ac:dyDescent="0.25">
      <c r="A644" s="14" t="str">
        <f>HYPERLINK("https://gerandofalcoes.my.salesforce.com/0014P00003AN2FfQAL", "0014P00003AN2FfQAL")</f>
        <v>0014P00003AN2FfQAL</v>
      </c>
      <c r="B644" s="2" t="s">
        <v>105</v>
      </c>
      <c r="C644" s="2" t="s">
        <v>423</v>
      </c>
      <c r="D644" s="2" t="s">
        <v>2</v>
      </c>
      <c r="E644" s="2">
        <v>20</v>
      </c>
      <c r="F644" s="2">
        <v>0</v>
      </c>
      <c r="G644" s="2">
        <v>1</v>
      </c>
      <c r="H644" s="2">
        <v>10000</v>
      </c>
      <c r="I644" s="2">
        <v>120</v>
      </c>
      <c r="J644" s="2" t="s">
        <v>1779</v>
      </c>
      <c r="K644" s="2">
        <v>29</v>
      </c>
      <c r="L644" s="2">
        <v>10</v>
      </c>
      <c r="M644" s="2">
        <v>0</v>
      </c>
      <c r="N644" s="2">
        <v>4</v>
      </c>
      <c r="O644" s="2">
        <v>5</v>
      </c>
      <c r="P644" s="2">
        <v>10</v>
      </c>
      <c r="Q644" s="2" t="s">
        <v>106</v>
      </c>
      <c r="R644" s="2" t="s">
        <v>7161</v>
      </c>
      <c r="S644" s="4">
        <v>44837</v>
      </c>
    </row>
    <row r="645" spans="1:19" ht="12.5" x14ac:dyDescent="0.25">
      <c r="A645" s="14" t="str">
        <f>HYPERLINK("https://gerandofalcoes.my.salesforce.com/0014P00003AN2FgQAL", "0014P00003AN2FgQAL")</f>
        <v>0014P00003AN2FgQAL</v>
      </c>
      <c r="B645" s="2" t="s">
        <v>109</v>
      </c>
      <c r="C645" s="2" t="s">
        <v>1800</v>
      </c>
      <c r="D645" s="2" t="s">
        <v>2</v>
      </c>
      <c r="E645" s="2">
        <v>36</v>
      </c>
      <c r="F645" s="2">
        <v>2</v>
      </c>
      <c r="G645" s="2">
        <v>7</v>
      </c>
      <c r="H645" s="2">
        <v>290735</v>
      </c>
      <c r="I645" s="2">
        <v>750</v>
      </c>
      <c r="J645" s="2" t="s">
        <v>1650</v>
      </c>
      <c r="K645" s="2">
        <v>65</v>
      </c>
      <c r="L645" s="2">
        <v>15</v>
      </c>
      <c r="M645" s="2">
        <v>5</v>
      </c>
      <c r="N645" s="2">
        <v>10</v>
      </c>
      <c r="O645" s="2">
        <v>15</v>
      </c>
      <c r="P645" s="2">
        <v>20</v>
      </c>
      <c r="Q645" s="2" t="s">
        <v>110</v>
      </c>
      <c r="R645" s="2" t="s">
        <v>110</v>
      </c>
      <c r="S645" s="4">
        <v>44837</v>
      </c>
    </row>
    <row r="646" spans="1:19" ht="12.5" x14ac:dyDescent="0.25">
      <c r="A646" s="14" t="str">
        <f>HYPERLINK("https://gerandofalcoes.my.salesforce.com/0014P00003AN2FhQAL", "0014P00003AN2FhQAL")</f>
        <v>0014P00003AN2FhQAL</v>
      </c>
      <c r="B646" s="2" t="s">
        <v>1889</v>
      </c>
      <c r="C646" s="2" t="s">
        <v>423</v>
      </c>
      <c r="D646" s="2" t="s">
        <v>2</v>
      </c>
      <c r="E646" s="2">
        <v>55</v>
      </c>
      <c r="F646" s="2">
        <v>3</v>
      </c>
      <c r="G646" s="2">
        <v>2</v>
      </c>
      <c r="H646" s="2">
        <v>472000</v>
      </c>
      <c r="I646" s="2">
        <v>381</v>
      </c>
      <c r="J646" s="2" t="s">
        <v>1650</v>
      </c>
      <c r="K646" s="2">
        <v>66</v>
      </c>
      <c r="L646" s="2">
        <v>20</v>
      </c>
      <c r="M646" s="2">
        <v>5</v>
      </c>
      <c r="N646" s="2">
        <v>6</v>
      </c>
      <c r="O646" s="2">
        <v>20</v>
      </c>
      <c r="P646" s="2">
        <v>15</v>
      </c>
      <c r="Q646" s="2" t="s">
        <v>715</v>
      </c>
      <c r="R646" s="2" t="s">
        <v>715</v>
      </c>
      <c r="S646" s="4">
        <v>44837</v>
      </c>
    </row>
    <row r="647" spans="1:19" ht="12.5" x14ac:dyDescent="0.25">
      <c r="A647" s="14" t="str">
        <f>HYPERLINK("https://gerandofalcoes.my.salesforce.com/0014P00003AN2FiQAL", "0014P00003AN2FiQAL")</f>
        <v>0014P00003AN2FiQAL</v>
      </c>
      <c r="B647" s="2" t="s">
        <v>2541</v>
      </c>
      <c r="C647" s="2" t="s">
        <v>423</v>
      </c>
      <c r="D647" s="2" t="s">
        <v>2</v>
      </c>
      <c r="E647" s="2">
        <v>40</v>
      </c>
      <c r="F647" s="2">
        <v>2</v>
      </c>
      <c r="G647" s="2">
        <v>3</v>
      </c>
      <c r="H647" s="2">
        <v>230600</v>
      </c>
      <c r="I647" s="2">
        <v>170</v>
      </c>
      <c r="J647" s="2" t="s">
        <v>1671</v>
      </c>
      <c r="K647" s="2">
        <v>55</v>
      </c>
      <c r="L647" s="2">
        <v>15</v>
      </c>
      <c r="M647" s="2">
        <v>5</v>
      </c>
      <c r="N647" s="2">
        <v>8</v>
      </c>
      <c r="O647" s="2">
        <v>15</v>
      </c>
      <c r="P647" s="2">
        <v>12</v>
      </c>
      <c r="Q647" s="2" t="s">
        <v>2542</v>
      </c>
      <c r="R647" s="2" t="s">
        <v>2542</v>
      </c>
      <c r="S647" s="4">
        <v>44837</v>
      </c>
    </row>
    <row r="648" spans="1:19" ht="12.5" x14ac:dyDescent="0.25">
      <c r="A648" s="14" t="str">
        <f>HYPERLINK("https://gerandofalcoes.my.salesforce.com/0014P00003AN2FjQAL", "0014P00003AN2FjQAL")</f>
        <v>0014P00003AN2FjQAL</v>
      </c>
      <c r="B648" s="2" t="s">
        <v>1679</v>
      </c>
      <c r="C648" s="2" t="s">
        <v>423</v>
      </c>
      <c r="D648" s="2" t="s">
        <v>27</v>
      </c>
      <c r="E648" s="2">
        <v>89</v>
      </c>
      <c r="F648" s="2">
        <v>5</v>
      </c>
      <c r="G648" s="2">
        <v>4</v>
      </c>
      <c r="H648" s="2">
        <v>49628.39</v>
      </c>
      <c r="I648" s="2">
        <v>79</v>
      </c>
      <c r="J648" s="2" t="s">
        <v>1671</v>
      </c>
      <c r="K648" s="2">
        <v>55</v>
      </c>
      <c r="L648" s="2">
        <v>25</v>
      </c>
      <c r="M648" s="2">
        <v>5</v>
      </c>
      <c r="N648" s="2">
        <v>10</v>
      </c>
      <c r="O648" s="2">
        <v>10</v>
      </c>
      <c r="P648" s="2">
        <v>5</v>
      </c>
      <c r="Q648" s="2" t="s">
        <v>63</v>
      </c>
      <c r="R648" s="2" t="s">
        <v>1680</v>
      </c>
      <c r="S648" s="4">
        <v>44837</v>
      </c>
    </row>
    <row r="649" spans="1:19" ht="12.5" x14ac:dyDescent="0.25">
      <c r="A649" s="14" t="str">
        <f>HYPERLINK("https://gerandofalcoes.my.salesforce.com/0014P00003AN2FkQAL", "0014P00003AN2FkQAL")</f>
        <v>0014P00003AN2FkQAL</v>
      </c>
      <c r="B649" s="2" t="s">
        <v>1753</v>
      </c>
      <c r="C649" s="2" t="s">
        <v>423</v>
      </c>
      <c r="D649" s="2" t="s">
        <v>27</v>
      </c>
      <c r="E649" s="2">
        <v>58.76</v>
      </c>
      <c r="F649" s="2">
        <v>0</v>
      </c>
      <c r="G649" s="2">
        <v>4</v>
      </c>
      <c r="H649" s="2">
        <v>45000</v>
      </c>
      <c r="I649" s="2">
        <v>700</v>
      </c>
      <c r="J649" s="2" t="s">
        <v>1671</v>
      </c>
      <c r="K649" s="2">
        <v>60</v>
      </c>
      <c r="L649" s="2">
        <v>20</v>
      </c>
      <c r="M649" s="2">
        <v>0</v>
      </c>
      <c r="N649" s="2">
        <v>10</v>
      </c>
      <c r="O649" s="2">
        <v>10</v>
      </c>
      <c r="P649" s="2">
        <v>20</v>
      </c>
      <c r="Q649" s="2" t="s">
        <v>1754</v>
      </c>
      <c r="R649" s="2" t="s">
        <v>738</v>
      </c>
      <c r="S649" s="4">
        <v>44837</v>
      </c>
    </row>
    <row r="650" spans="1:19" ht="12.5" x14ac:dyDescent="0.25">
      <c r="A650" s="14" t="str">
        <f>HYPERLINK("https://gerandofalcoes.my.salesforce.com/0014P00003AN2FlQAL", "0014P00003AN2FlQAL")</f>
        <v>0014P00003AN2FlQAL</v>
      </c>
      <c r="B650" s="2" t="s">
        <v>1689</v>
      </c>
      <c r="C650" s="2" t="s">
        <v>423</v>
      </c>
      <c r="D650" s="2" t="s">
        <v>27</v>
      </c>
      <c r="E650" s="2">
        <v>85</v>
      </c>
      <c r="F650" s="2">
        <v>9</v>
      </c>
      <c r="G650" s="2">
        <v>5</v>
      </c>
      <c r="H650" s="2">
        <v>128126.51</v>
      </c>
      <c r="I650" s="2">
        <v>196</v>
      </c>
      <c r="J650" s="2" t="s">
        <v>1650</v>
      </c>
      <c r="K650" s="2">
        <v>72</v>
      </c>
      <c r="L650" s="2">
        <v>25</v>
      </c>
      <c r="M650" s="2">
        <v>10</v>
      </c>
      <c r="N650" s="2">
        <v>10</v>
      </c>
      <c r="O650" s="2">
        <v>15</v>
      </c>
      <c r="P650" s="2">
        <v>12</v>
      </c>
      <c r="Q650" s="2" t="s">
        <v>126</v>
      </c>
      <c r="R650" s="2" t="s">
        <v>1690</v>
      </c>
      <c r="S650" s="4">
        <v>44837</v>
      </c>
    </row>
    <row r="651" spans="1:19" ht="12.5" x14ac:dyDescent="0.25">
      <c r="A651" s="14" t="str">
        <f>HYPERLINK("https://gerandofalcoes.my.salesforce.com/0014P00003AN2FmQAL", "0014P00003AN2FmQAL")</f>
        <v>0014P00003AN2FmQAL</v>
      </c>
      <c r="B651" s="2" t="s">
        <v>1683</v>
      </c>
      <c r="C651" s="2" t="s">
        <v>1684</v>
      </c>
      <c r="D651" s="2" t="s">
        <v>27</v>
      </c>
      <c r="E651" s="2">
        <v>86</v>
      </c>
      <c r="F651" s="2">
        <v>30</v>
      </c>
      <c r="G651" s="2">
        <v>5</v>
      </c>
      <c r="H651" s="2">
        <v>969799.69</v>
      </c>
      <c r="I651" s="2">
        <v>111</v>
      </c>
      <c r="J651" s="2" t="s">
        <v>1654</v>
      </c>
      <c r="K651" s="2">
        <v>82</v>
      </c>
      <c r="L651" s="2">
        <v>25</v>
      </c>
      <c r="M651" s="2">
        <v>12</v>
      </c>
      <c r="N651" s="2">
        <v>10</v>
      </c>
      <c r="O651" s="2">
        <v>25</v>
      </c>
      <c r="P651" s="2">
        <v>10</v>
      </c>
      <c r="Q651" s="2" t="s">
        <v>127</v>
      </c>
      <c r="R651" s="2" t="s">
        <v>127</v>
      </c>
      <c r="S651" s="4">
        <v>44837</v>
      </c>
    </row>
    <row r="652" spans="1:19" ht="12.5" x14ac:dyDescent="0.25">
      <c r="A652" s="14" t="str">
        <f>HYPERLINK("https://gerandofalcoes.my.salesforce.com/0014P00003AN2FnQAL", "0014P00003AN2FnQAL")</f>
        <v>0014P00003AN2FnQAL</v>
      </c>
      <c r="B652" s="2" t="s">
        <v>128</v>
      </c>
      <c r="C652" s="2" t="s">
        <v>423</v>
      </c>
      <c r="D652" s="2" t="s">
        <v>27</v>
      </c>
      <c r="E652" s="2">
        <v>90</v>
      </c>
      <c r="F652" s="2">
        <v>22</v>
      </c>
      <c r="G652" s="2">
        <v>3</v>
      </c>
      <c r="H652" s="2">
        <v>850231.83</v>
      </c>
      <c r="I652" s="2">
        <v>323</v>
      </c>
      <c r="J652" s="2" t="s">
        <v>1654</v>
      </c>
      <c r="K652" s="2">
        <v>90</v>
      </c>
      <c r="L652" s="2">
        <v>30</v>
      </c>
      <c r="M652" s="2">
        <v>12</v>
      </c>
      <c r="N652" s="2">
        <v>8</v>
      </c>
      <c r="O652" s="2">
        <v>25</v>
      </c>
      <c r="P652" s="2">
        <v>15</v>
      </c>
      <c r="Q652" s="2" t="s">
        <v>129</v>
      </c>
      <c r="R652" s="2" t="s">
        <v>129</v>
      </c>
      <c r="S652" s="4">
        <v>44837</v>
      </c>
    </row>
    <row r="653" spans="1:19" ht="12.5" x14ac:dyDescent="0.25">
      <c r="A653" s="14" t="str">
        <f>HYPERLINK("https://gerandofalcoes.my.salesforce.com/0014P00003SGWPvQAP", "0014P00003SGWPvQAP")</f>
        <v>0014P00003SGWPvQAP</v>
      </c>
      <c r="B653" s="2" t="s">
        <v>2499</v>
      </c>
      <c r="C653" s="2" t="s">
        <v>423</v>
      </c>
      <c r="D653" s="2" t="s">
        <v>2</v>
      </c>
      <c r="E653" s="2">
        <v>21.55</v>
      </c>
      <c r="F653" s="2">
        <v>0</v>
      </c>
      <c r="G653" s="2">
        <v>1</v>
      </c>
      <c r="H653" s="2">
        <v>33000</v>
      </c>
      <c r="I653" s="2">
        <v>100</v>
      </c>
      <c r="J653" s="2" t="s">
        <v>1779</v>
      </c>
      <c r="K653" s="2">
        <v>34</v>
      </c>
      <c r="L653" s="2">
        <v>10</v>
      </c>
      <c r="M653" s="2">
        <v>0</v>
      </c>
      <c r="N653" s="2">
        <v>4</v>
      </c>
      <c r="O653" s="2">
        <v>10</v>
      </c>
      <c r="P653" s="2">
        <v>10</v>
      </c>
      <c r="Q653" s="2" t="s">
        <v>189</v>
      </c>
      <c r="R653" s="2" t="s">
        <v>189</v>
      </c>
      <c r="S653" s="4">
        <v>44837</v>
      </c>
    </row>
    <row r="654" spans="1:19" ht="12.5" x14ac:dyDescent="0.25">
      <c r="A654" s="14" t="str">
        <f>HYPERLINK("https://gerandofalcoes.my.salesforce.com/0014P00003SGWPwQAP", "0014P00003SGWPwQAP")</f>
        <v>0014P00003SGWPwQAP</v>
      </c>
      <c r="B654" s="2" t="s">
        <v>2999</v>
      </c>
      <c r="C654" s="2" t="s">
        <v>1684</v>
      </c>
      <c r="D654" s="2" t="s">
        <v>2</v>
      </c>
      <c r="E654" s="2"/>
      <c r="F654" s="2">
        <v>0</v>
      </c>
      <c r="G654" s="2">
        <v>1</v>
      </c>
      <c r="H654" s="2">
        <v>0</v>
      </c>
      <c r="I654" s="2">
        <v>0</v>
      </c>
      <c r="J654" s="2" t="s">
        <v>1779</v>
      </c>
      <c r="K654" s="2">
        <v>4</v>
      </c>
      <c r="L654" s="2">
        <v>0</v>
      </c>
      <c r="M654" s="2">
        <v>0</v>
      </c>
      <c r="N654" s="2">
        <v>4</v>
      </c>
      <c r="O654" s="2">
        <v>0</v>
      </c>
      <c r="P654" s="2">
        <v>0</v>
      </c>
      <c r="Q654" s="2" t="s">
        <v>193</v>
      </c>
      <c r="R654" s="2" t="s">
        <v>1095</v>
      </c>
      <c r="S654" s="4">
        <v>44837</v>
      </c>
    </row>
    <row r="655" spans="1:19" ht="12.5" x14ac:dyDescent="0.25">
      <c r="A655" s="14" t="str">
        <f>HYPERLINK("https://gerandofalcoes.my.salesforce.com/0014P00003SGWPxQAP", "0014P00003SGWPxQAP")</f>
        <v>0014P00003SGWPxQAP</v>
      </c>
      <c r="B655" s="2" t="s">
        <v>1739</v>
      </c>
      <c r="C655" s="2" t="s">
        <v>423</v>
      </c>
      <c r="D655" s="2" t="s">
        <v>2</v>
      </c>
      <c r="E655" s="2">
        <v>41</v>
      </c>
      <c r="F655" s="2">
        <v>4</v>
      </c>
      <c r="G655" s="2">
        <v>3</v>
      </c>
      <c r="H655" s="2">
        <v>135000</v>
      </c>
      <c r="I655" s="2">
        <v>442</v>
      </c>
      <c r="J655" s="2" t="s">
        <v>1671</v>
      </c>
      <c r="K655" s="2">
        <v>58</v>
      </c>
      <c r="L655" s="2">
        <v>15</v>
      </c>
      <c r="M655" s="2">
        <v>5</v>
      </c>
      <c r="N655" s="2">
        <v>8</v>
      </c>
      <c r="O655" s="2">
        <v>15</v>
      </c>
      <c r="P655" s="2">
        <v>15</v>
      </c>
      <c r="Q655" s="2" t="s">
        <v>1106</v>
      </c>
      <c r="R655" s="2" t="s">
        <v>1106</v>
      </c>
      <c r="S655" s="4">
        <v>44837</v>
      </c>
    </row>
    <row r="656" spans="1:19" ht="12.5" x14ac:dyDescent="0.25">
      <c r="A656" s="14" t="str">
        <f>HYPERLINK("https://gerandofalcoes.my.salesforce.com/0014P00003SGWPzQAP", "0014P00003SGWPzQAP")</f>
        <v>0014P00003SGWPzQAP</v>
      </c>
      <c r="B656" s="2" t="s">
        <v>1708</v>
      </c>
      <c r="C656" s="2" t="s">
        <v>423</v>
      </c>
      <c r="D656" s="2" t="s">
        <v>2</v>
      </c>
      <c r="E656" s="2">
        <v>94</v>
      </c>
      <c r="F656" s="2">
        <v>10</v>
      </c>
      <c r="G656" s="2">
        <v>3</v>
      </c>
      <c r="H656" s="2">
        <v>330138</v>
      </c>
      <c r="I656" s="2">
        <v>100</v>
      </c>
      <c r="J656" s="2" t="s">
        <v>1650</v>
      </c>
      <c r="K656" s="2">
        <v>78</v>
      </c>
      <c r="L656" s="2">
        <v>30</v>
      </c>
      <c r="M656" s="2">
        <v>10</v>
      </c>
      <c r="N656" s="2">
        <v>8</v>
      </c>
      <c r="O656" s="2">
        <v>20</v>
      </c>
      <c r="P656" s="2">
        <v>10</v>
      </c>
      <c r="Q656" s="2" t="s">
        <v>1709</v>
      </c>
      <c r="R656" s="2" t="s">
        <v>199</v>
      </c>
      <c r="S656" s="4">
        <v>44837</v>
      </c>
    </row>
    <row r="657" spans="1:19" ht="12.5" x14ac:dyDescent="0.25">
      <c r="A657" s="14" t="str">
        <f>HYPERLINK("https://gerandofalcoes.my.salesforce.com/0014P00003SGWQ0QAP", "0014P00003SGWQ0QAP")</f>
        <v>0014P00003SGWQ0QAP</v>
      </c>
      <c r="B657" s="2" t="s">
        <v>201</v>
      </c>
      <c r="C657" s="2" t="s">
        <v>423</v>
      </c>
      <c r="D657" s="2" t="s">
        <v>2</v>
      </c>
      <c r="E657" s="2">
        <v>39</v>
      </c>
      <c r="F657" s="2">
        <v>6</v>
      </c>
      <c r="G657" s="2">
        <v>3</v>
      </c>
      <c r="H657" s="2">
        <v>24338140</v>
      </c>
      <c r="I657" s="2">
        <v>90</v>
      </c>
      <c r="J657" s="2" t="s">
        <v>1650</v>
      </c>
      <c r="K657" s="2">
        <v>68</v>
      </c>
      <c r="L657" s="2">
        <v>15</v>
      </c>
      <c r="M657" s="2">
        <v>10</v>
      </c>
      <c r="N657" s="2">
        <v>8</v>
      </c>
      <c r="O657" s="2">
        <v>25</v>
      </c>
      <c r="P657" s="2">
        <v>10</v>
      </c>
      <c r="Q657" s="2" t="s">
        <v>202</v>
      </c>
      <c r="R657" s="2" t="s">
        <v>1077</v>
      </c>
      <c r="S657" s="4">
        <v>44837</v>
      </c>
    </row>
    <row r="658" spans="1:19" ht="12.5" x14ac:dyDescent="0.25">
      <c r="A658" s="14" t="str">
        <f>HYPERLINK("https://gerandofalcoes.my.salesforce.com/0014P00003SGWQ1QAP", "0014P00003SGWQ1QAP")</f>
        <v>0014P00003SGWQ1QAP</v>
      </c>
      <c r="B658" s="2" t="s">
        <v>205</v>
      </c>
      <c r="C658" s="2" t="s">
        <v>423</v>
      </c>
      <c r="D658" s="2" t="s">
        <v>2</v>
      </c>
      <c r="E658" s="2">
        <v>30</v>
      </c>
      <c r="F658" s="2">
        <v>6</v>
      </c>
      <c r="G658" s="2">
        <v>2</v>
      </c>
      <c r="H658" s="2">
        <v>926170</v>
      </c>
      <c r="I658" s="2">
        <v>600</v>
      </c>
      <c r="J658" s="2" t="s">
        <v>1650</v>
      </c>
      <c r="K658" s="2">
        <v>76</v>
      </c>
      <c r="L658" s="2">
        <v>15</v>
      </c>
      <c r="M658" s="2">
        <v>10</v>
      </c>
      <c r="N658" s="2">
        <v>6</v>
      </c>
      <c r="O658" s="2">
        <v>25</v>
      </c>
      <c r="P658" s="2">
        <v>20</v>
      </c>
      <c r="Q658" s="2" t="s">
        <v>206</v>
      </c>
      <c r="R658" s="2" t="s">
        <v>2090</v>
      </c>
      <c r="S658" s="4">
        <v>44837</v>
      </c>
    </row>
    <row r="659" spans="1:19" ht="12.5" x14ac:dyDescent="0.25">
      <c r="A659" s="14" t="str">
        <f>HYPERLINK("https://gerandofalcoes.my.salesforce.com/0014P00003SGWQ2QAP", "0014P00003SGWQ2QAP")</f>
        <v>0014P00003SGWQ2QAP</v>
      </c>
      <c r="B659" s="2" t="s">
        <v>194</v>
      </c>
      <c r="C659" s="2" t="s">
        <v>423</v>
      </c>
      <c r="D659" s="2" t="s">
        <v>2</v>
      </c>
      <c r="E659" s="2">
        <v>28.78</v>
      </c>
      <c r="F659" s="2">
        <v>0</v>
      </c>
      <c r="G659" s="2">
        <v>3</v>
      </c>
      <c r="H659" s="2">
        <v>0</v>
      </c>
      <c r="I659" s="2">
        <v>150</v>
      </c>
      <c r="J659" s="2" t="s">
        <v>1779</v>
      </c>
      <c r="K659" s="2">
        <v>35</v>
      </c>
      <c r="L659" s="2">
        <v>15</v>
      </c>
      <c r="M659" s="2">
        <v>0</v>
      </c>
      <c r="N659" s="2">
        <v>8</v>
      </c>
      <c r="O659" s="2">
        <v>0</v>
      </c>
      <c r="P659" s="2">
        <v>12</v>
      </c>
      <c r="Q659" s="2" t="s">
        <v>195</v>
      </c>
      <c r="R659" s="2" t="s">
        <v>1128</v>
      </c>
      <c r="S659" s="4">
        <v>44837</v>
      </c>
    </row>
    <row r="660" spans="1:19" ht="12.5" x14ac:dyDescent="0.25">
      <c r="A660" s="14" t="str">
        <f>HYPERLINK("https://gerandofalcoes.my.salesforce.com/0014P00003YSp7UQAT", "0014P00003YSp7UQAT")</f>
        <v>0014P00003YSp7UQAT</v>
      </c>
      <c r="B660" s="2" t="s">
        <v>2098</v>
      </c>
      <c r="C660" s="2" t="s">
        <v>1800</v>
      </c>
      <c r="D660" s="2" t="s">
        <v>2</v>
      </c>
      <c r="E660" s="2">
        <v>35</v>
      </c>
      <c r="F660" s="2">
        <v>3</v>
      </c>
      <c r="G660" s="2">
        <v>0</v>
      </c>
      <c r="H660" s="2">
        <v>11000</v>
      </c>
      <c r="I660" s="2">
        <v>200</v>
      </c>
      <c r="J660" s="2" t="s">
        <v>1779</v>
      </c>
      <c r="K660" s="2">
        <v>37</v>
      </c>
      <c r="L660" s="2">
        <v>15</v>
      </c>
      <c r="M660" s="2">
        <v>5</v>
      </c>
      <c r="N660" s="2">
        <v>0</v>
      </c>
      <c r="O660" s="2">
        <v>5</v>
      </c>
      <c r="P660" s="2">
        <v>12</v>
      </c>
      <c r="Q660" s="2" t="s">
        <v>2099</v>
      </c>
      <c r="R660" s="2" t="s">
        <v>2099</v>
      </c>
      <c r="S660" s="4">
        <v>44837</v>
      </c>
    </row>
    <row r="661" spans="1:19" ht="12.5" x14ac:dyDescent="0.25">
      <c r="A661" s="14" t="str">
        <f>HYPERLINK("https://gerandofalcoes.my.salesforce.com/0014P00003YSp7RQAT", "0014P00003YSp7RQAT")</f>
        <v>0014P00003YSp7RQAT</v>
      </c>
      <c r="B661" s="2" t="s">
        <v>2272</v>
      </c>
      <c r="C661" s="2" t="s">
        <v>423</v>
      </c>
      <c r="D661" s="2" t="s">
        <v>2</v>
      </c>
      <c r="E661" s="2">
        <v>30</v>
      </c>
      <c r="F661" s="2">
        <v>1</v>
      </c>
      <c r="G661" s="2">
        <v>2</v>
      </c>
      <c r="H661" s="2">
        <v>25000</v>
      </c>
      <c r="I661" s="2">
        <v>60</v>
      </c>
      <c r="J661" s="2" t="s">
        <v>1671</v>
      </c>
      <c r="K661" s="2">
        <v>41</v>
      </c>
      <c r="L661" s="2">
        <v>15</v>
      </c>
      <c r="M661" s="2">
        <v>5</v>
      </c>
      <c r="N661" s="2">
        <v>6</v>
      </c>
      <c r="O661" s="2">
        <v>10</v>
      </c>
      <c r="P661" s="2">
        <v>5</v>
      </c>
      <c r="Q661" s="2" t="s">
        <v>2273</v>
      </c>
      <c r="R661" s="2" t="s">
        <v>2274</v>
      </c>
      <c r="S661" s="4">
        <v>44837</v>
      </c>
    </row>
    <row r="662" spans="1:19" ht="12.5" x14ac:dyDescent="0.25">
      <c r="A662" s="14" t="str">
        <f>HYPERLINK("https://gerandofalcoes.my.salesforce.com/0014P00003YSp7SQAT", "0014P00003YSp7SQAT")</f>
        <v>0014P00003YSp7SQAT</v>
      </c>
      <c r="B662" s="2" t="s">
        <v>2619</v>
      </c>
      <c r="C662" s="2" t="s">
        <v>423</v>
      </c>
      <c r="D662" s="2" t="s">
        <v>2</v>
      </c>
      <c r="E662" s="2">
        <v>25</v>
      </c>
      <c r="F662" s="2">
        <v>0</v>
      </c>
      <c r="G662" s="2">
        <v>4</v>
      </c>
      <c r="H662" s="2">
        <v>39200</v>
      </c>
      <c r="I662" s="2">
        <v>1</v>
      </c>
      <c r="J662" s="2" t="s">
        <v>1671</v>
      </c>
      <c r="K662" s="2">
        <v>40</v>
      </c>
      <c r="L662" s="2">
        <v>15</v>
      </c>
      <c r="M662" s="2">
        <v>0</v>
      </c>
      <c r="N662" s="2">
        <v>10</v>
      </c>
      <c r="O662" s="2">
        <v>10</v>
      </c>
      <c r="P662" s="2">
        <v>5</v>
      </c>
      <c r="Q662" s="2" t="s">
        <v>2620</v>
      </c>
      <c r="R662" s="2" t="s">
        <v>2621</v>
      </c>
      <c r="S662" s="4">
        <v>44837</v>
      </c>
    </row>
    <row r="663" spans="1:19" ht="12.5" x14ac:dyDescent="0.25">
      <c r="A663" s="14" t="str">
        <f>HYPERLINK("https://gerandofalcoes.my.salesforce.com/0014P00003YSp7TQAT", "0014P00003YSp7TQAT")</f>
        <v>0014P00003YSp7TQAT</v>
      </c>
      <c r="B663" s="2" t="s">
        <v>2614</v>
      </c>
      <c r="C663" s="2" t="s">
        <v>1800</v>
      </c>
      <c r="D663" s="2" t="s">
        <v>2</v>
      </c>
      <c r="E663" s="2">
        <v>19</v>
      </c>
      <c r="F663" s="2">
        <v>0</v>
      </c>
      <c r="G663" s="2">
        <v>0</v>
      </c>
      <c r="H663" s="2">
        <v>0</v>
      </c>
      <c r="I663" s="2">
        <v>0</v>
      </c>
      <c r="J663" s="2" t="s">
        <v>1779</v>
      </c>
      <c r="K663" s="2">
        <v>10</v>
      </c>
      <c r="L663" s="2">
        <v>10</v>
      </c>
      <c r="M663" s="2">
        <v>0</v>
      </c>
      <c r="N663" s="2">
        <v>0</v>
      </c>
      <c r="O663" s="2">
        <v>0</v>
      </c>
      <c r="P663" s="2">
        <v>0</v>
      </c>
      <c r="Q663" s="2" t="s">
        <v>2615</v>
      </c>
      <c r="R663" s="2" t="s">
        <v>2615</v>
      </c>
      <c r="S663" s="4">
        <v>44837</v>
      </c>
    </row>
    <row r="664" spans="1:19" ht="12.5" x14ac:dyDescent="0.25">
      <c r="A664" s="14" t="str">
        <f>HYPERLINK("https://gerandofalcoes.my.salesforce.com/0014P00003YSp7VQAT", "0014P00003YSp7VQAT")</f>
        <v>0014P00003YSp7VQAT</v>
      </c>
      <c r="B664" s="2" t="s">
        <v>2546</v>
      </c>
      <c r="C664" s="2" t="s">
        <v>423</v>
      </c>
      <c r="D664" s="2" t="s">
        <v>2</v>
      </c>
      <c r="E664" s="2">
        <v>20.14</v>
      </c>
      <c r="F664" s="2">
        <v>0</v>
      </c>
      <c r="G664" s="2">
        <v>2</v>
      </c>
      <c r="H664" s="2">
        <v>12700</v>
      </c>
      <c r="I664" s="2">
        <v>50</v>
      </c>
      <c r="J664" s="2" t="s">
        <v>1779</v>
      </c>
      <c r="K664" s="2">
        <v>26</v>
      </c>
      <c r="L664" s="2">
        <v>10</v>
      </c>
      <c r="M664" s="2">
        <v>0</v>
      </c>
      <c r="N664" s="2">
        <v>6</v>
      </c>
      <c r="O664" s="2">
        <v>5</v>
      </c>
      <c r="P664" s="2">
        <v>5</v>
      </c>
      <c r="Q664" s="2" t="s">
        <v>2547</v>
      </c>
      <c r="R664" s="2" t="s">
        <v>2548</v>
      </c>
      <c r="S664" s="4">
        <v>44837</v>
      </c>
    </row>
    <row r="665" spans="1:19" ht="12.5" x14ac:dyDescent="0.25">
      <c r="A665" s="14" t="str">
        <f>HYPERLINK("https://gerandofalcoes.my.salesforce.com/0014P00003YSp7XQAT", "0014P00003YSp7XQAT")</f>
        <v>0014P00003YSp7XQAT</v>
      </c>
      <c r="B665" s="2" t="s">
        <v>2511</v>
      </c>
      <c r="C665" s="2" t="s">
        <v>423</v>
      </c>
      <c r="D665" s="2" t="s">
        <v>2</v>
      </c>
      <c r="E665" s="2">
        <v>21</v>
      </c>
      <c r="F665" s="2">
        <v>0</v>
      </c>
      <c r="G665" s="2">
        <v>3</v>
      </c>
      <c r="H665" s="2">
        <v>8200</v>
      </c>
      <c r="I665" s="2">
        <v>109</v>
      </c>
      <c r="J665" s="2" t="s">
        <v>1779</v>
      </c>
      <c r="K665" s="2">
        <v>33</v>
      </c>
      <c r="L665" s="2">
        <v>10</v>
      </c>
      <c r="M665" s="2">
        <v>0</v>
      </c>
      <c r="N665" s="2">
        <v>8</v>
      </c>
      <c r="O665" s="2">
        <v>5</v>
      </c>
      <c r="P665" s="2">
        <v>10</v>
      </c>
      <c r="Q665" s="2" t="s">
        <v>2512</v>
      </c>
      <c r="R665" s="2" t="s">
        <v>2513</v>
      </c>
      <c r="S665" s="4">
        <v>44837</v>
      </c>
    </row>
    <row r="666" spans="1:19" ht="12.5" x14ac:dyDescent="0.25">
      <c r="A666" s="14" t="str">
        <f>HYPERLINK("https://gerandofalcoes.my.salesforce.com/0014P00003YSp7YQAT", "0014P00003YSp7YQAT")</f>
        <v>0014P00003YSp7YQAT</v>
      </c>
      <c r="B666" s="2" t="s">
        <v>2001</v>
      </c>
      <c r="C666" s="2" t="s">
        <v>1684</v>
      </c>
      <c r="D666" s="2" t="s">
        <v>2</v>
      </c>
      <c r="E666" s="2">
        <v>39</v>
      </c>
      <c r="F666" s="2">
        <v>1</v>
      </c>
      <c r="G666" s="2">
        <v>0</v>
      </c>
      <c r="H666" s="2">
        <v>0</v>
      </c>
      <c r="I666" s="2">
        <v>0</v>
      </c>
      <c r="J666" s="2" t="s">
        <v>1779</v>
      </c>
      <c r="K666" s="2">
        <v>20</v>
      </c>
      <c r="L666" s="2">
        <v>15</v>
      </c>
      <c r="M666" s="2">
        <v>5</v>
      </c>
      <c r="N666" s="2">
        <v>0</v>
      </c>
      <c r="O666" s="2">
        <v>0</v>
      </c>
      <c r="P666" s="2">
        <v>0</v>
      </c>
      <c r="Q666" s="2" t="s">
        <v>2002</v>
      </c>
      <c r="R666" s="2" t="s">
        <v>2003</v>
      </c>
      <c r="S666" s="4">
        <v>44837</v>
      </c>
    </row>
    <row r="667" spans="1:19" ht="12.5" x14ac:dyDescent="0.25">
      <c r="A667" s="14" t="str">
        <f>HYPERLINK("https://gerandofalcoes.my.salesforce.com/0014X00002VKCq2QAH", "0014X00002VKCq2QAH")</f>
        <v>0014X00002VKCq2QAH</v>
      </c>
      <c r="B667" s="2" t="s">
        <v>2390</v>
      </c>
      <c r="C667" s="2" t="s">
        <v>423</v>
      </c>
      <c r="D667" s="2" t="s">
        <v>2</v>
      </c>
      <c r="E667" s="2">
        <v>25.27</v>
      </c>
      <c r="F667" s="2">
        <v>0</v>
      </c>
      <c r="G667" s="2">
        <v>0</v>
      </c>
      <c r="H667" s="2">
        <v>0</v>
      </c>
      <c r="I667" s="2">
        <v>312</v>
      </c>
      <c r="J667" s="2" t="s">
        <v>1779</v>
      </c>
      <c r="K667" s="2">
        <v>30</v>
      </c>
      <c r="L667" s="2">
        <v>15</v>
      </c>
      <c r="M667" s="2">
        <v>0</v>
      </c>
      <c r="N667" s="2">
        <v>0</v>
      </c>
      <c r="O667" s="2">
        <v>0</v>
      </c>
      <c r="P667" s="2">
        <v>15</v>
      </c>
      <c r="Q667" s="2" t="s">
        <v>2391</v>
      </c>
      <c r="R667" s="2" t="s">
        <v>2392</v>
      </c>
      <c r="S667" s="4">
        <v>44837</v>
      </c>
    </row>
    <row r="668" spans="1:19" ht="12.5" x14ac:dyDescent="0.25">
      <c r="A668" s="14" t="str">
        <f>HYPERLINK("https://gerandofalcoes.my.salesforce.com/0014X00002VKCsGQAX", "0014X00002VKCsGQAX")</f>
        <v>0014X00002VKCsGQAX</v>
      </c>
      <c r="B668" s="2" t="s">
        <v>2657</v>
      </c>
      <c r="C668" s="2" t="s">
        <v>423</v>
      </c>
      <c r="D668" s="2" t="s">
        <v>2</v>
      </c>
      <c r="E668" s="2">
        <v>17</v>
      </c>
      <c r="F668" s="2">
        <v>0</v>
      </c>
      <c r="G668" s="2">
        <v>2</v>
      </c>
      <c r="H668" s="2">
        <v>50</v>
      </c>
      <c r="I668" s="2">
        <v>100</v>
      </c>
      <c r="J668" s="2" t="s">
        <v>1779</v>
      </c>
      <c r="K668" s="2">
        <v>31</v>
      </c>
      <c r="L668" s="2">
        <v>10</v>
      </c>
      <c r="M668" s="2">
        <v>0</v>
      </c>
      <c r="N668" s="2">
        <v>6</v>
      </c>
      <c r="O668" s="2">
        <v>5</v>
      </c>
      <c r="P668" s="2">
        <v>10</v>
      </c>
      <c r="Q668" s="2" t="s">
        <v>2658</v>
      </c>
      <c r="R668" s="2" t="s">
        <v>2659</v>
      </c>
      <c r="S668" s="4">
        <v>44837</v>
      </c>
    </row>
    <row r="669" spans="1:19" ht="12.5" x14ac:dyDescent="0.25">
      <c r="A669" s="14" t="str">
        <f>HYPERLINK("https://gerandofalcoes.my.salesforce.com/0014X00002VKCuhQAH", "0014X00002VKCuhQAH")</f>
        <v>0014X00002VKCuhQAH</v>
      </c>
      <c r="B669" s="2" t="s">
        <v>2423</v>
      </c>
      <c r="C669" s="2" t="s">
        <v>1800</v>
      </c>
      <c r="D669" s="2" t="s">
        <v>2</v>
      </c>
      <c r="E669" s="2">
        <v>25</v>
      </c>
      <c r="F669" s="2">
        <v>0</v>
      </c>
      <c r="G669" s="2">
        <v>3</v>
      </c>
      <c r="H669" s="2">
        <v>12000</v>
      </c>
      <c r="I669" s="2">
        <v>0</v>
      </c>
      <c r="J669" s="2" t="s">
        <v>1779</v>
      </c>
      <c r="K669" s="2">
        <v>28</v>
      </c>
      <c r="L669" s="2">
        <v>15</v>
      </c>
      <c r="M669" s="2">
        <v>0</v>
      </c>
      <c r="N669" s="2">
        <v>8</v>
      </c>
      <c r="O669" s="2">
        <v>5</v>
      </c>
      <c r="P669" s="2">
        <v>0</v>
      </c>
      <c r="Q669" s="2" t="s">
        <v>2424</v>
      </c>
      <c r="R669" s="2" t="s">
        <v>2424</v>
      </c>
      <c r="S669" s="4">
        <v>44837</v>
      </c>
    </row>
    <row r="670" spans="1:19" ht="12.5" x14ac:dyDescent="0.25">
      <c r="A670" s="14" t="str">
        <f>HYPERLINK("https://gerandofalcoes.my.salesforce.com/0014X00002VKCp6QAH", "0014X00002VKCp6QAH")</f>
        <v>0014X00002VKCp6QAH</v>
      </c>
      <c r="B670" s="2" t="s">
        <v>2256</v>
      </c>
      <c r="C670" s="2" t="s">
        <v>423</v>
      </c>
      <c r="D670" s="2" t="s">
        <v>2</v>
      </c>
      <c r="E670" s="2">
        <v>30.75</v>
      </c>
      <c r="F670" s="2">
        <v>0</v>
      </c>
      <c r="G670" s="2">
        <v>1</v>
      </c>
      <c r="H670" s="2">
        <v>155845</v>
      </c>
      <c r="I670" s="2">
        <v>50</v>
      </c>
      <c r="J670" s="2" t="s">
        <v>1779</v>
      </c>
      <c r="K670" s="2">
        <v>39</v>
      </c>
      <c r="L670" s="2">
        <v>15</v>
      </c>
      <c r="M670" s="2">
        <v>0</v>
      </c>
      <c r="N670" s="2">
        <v>4</v>
      </c>
      <c r="O670" s="2">
        <v>15</v>
      </c>
      <c r="P670" s="2">
        <v>5</v>
      </c>
      <c r="Q670" s="2" t="s">
        <v>2257</v>
      </c>
      <c r="R670" s="2" t="s">
        <v>2258</v>
      </c>
      <c r="S670" s="4">
        <v>44837</v>
      </c>
    </row>
    <row r="671" spans="1:19" ht="12.5" x14ac:dyDescent="0.25">
      <c r="A671" s="14" t="str">
        <f>HYPERLINK("https://gerandofalcoes.my.salesforce.com/0014X00002VKCuLQAX", "0014X00002VKCuLQAX")</f>
        <v>0014X00002VKCuLQAX</v>
      </c>
      <c r="B671" s="2" t="s">
        <v>2950</v>
      </c>
      <c r="C671" s="2" t="s">
        <v>423</v>
      </c>
      <c r="D671" s="2" t="s">
        <v>2</v>
      </c>
      <c r="E671" s="2">
        <v>24</v>
      </c>
      <c r="F671" s="2">
        <v>0</v>
      </c>
      <c r="G671" s="2">
        <v>2</v>
      </c>
      <c r="H671" s="2">
        <v>5000</v>
      </c>
      <c r="I671" s="2">
        <v>130</v>
      </c>
      <c r="J671" s="2" t="s">
        <v>1779</v>
      </c>
      <c r="K671" s="2">
        <v>31</v>
      </c>
      <c r="L671" s="2">
        <v>10</v>
      </c>
      <c r="M671" s="2">
        <v>0</v>
      </c>
      <c r="N671" s="2">
        <v>6</v>
      </c>
      <c r="O671" s="2">
        <v>5</v>
      </c>
      <c r="P671" s="2">
        <v>10</v>
      </c>
      <c r="Q671" s="2" t="s">
        <v>2951</v>
      </c>
      <c r="R671" s="2" t="s">
        <v>2951</v>
      </c>
      <c r="S671" s="4">
        <v>44837</v>
      </c>
    </row>
    <row r="672" spans="1:19" ht="12.5" x14ac:dyDescent="0.25">
      <c r="A672" s="14" t="str">
        <f>HYPERLINK("https://gerandofalcoes.my.salesforce.com/0014X00002VKCpFQAX", "0014X00002VKCpFQAX")</f>
        <v>0014X00002VKCpFQAX</v>
      </c>
      <c r="B672" s="2" t="s">
        <v>2757</v>
      </c>
      <c r="C672" s="2" t="s">
        <v>423</v>
      </c>
      <c r="D672" s="2" t="s">
        <v>2</v>
      </c>
      <c r="E672" s="2">
        <v>14</v>
      </c>
      <c r="F672" s="2">
        <v>0</v>
      </c>
      <c r="G672" s="2">
        <v>2</v>
      </c>
      <c r="H672" s="2">
        <v>5000</v>
      </c>
      <c r="I672" s="2">
        <v>30</v>
      </c>
      <c r="J672" s="2" t="s">
        <v>1779</v>
      </c>
      <c r="K672" s="2">
        <v>26</v>
      </c>
      <c r="L672" s="2">
        <v>10</v>
      </c>
      <c r="M672" s="2">
        <v>0</v>
      </c>
      <c r="N672" s="2">
        <v>6</v>
      </c>
      <c r="O672" s="2">
        <v>5</v>
      </c>
      <c r="P672" s="2">
        <v>5</v>
      </c>
      <c r="Q672" s="2" t="s">
        <v>2758</v>
      </c>
      <c r="R672" s="2" t="s">
        <v>2758</v>
      </c>
      <c r="S672" s="4">
        <v>44837</v>
      </c>
    </row>
    <row r="673" spans="1:19" ht="12.5" x14ac:dyDescent="0.25">
      <c r="A673" s="14" t="str">
        <f>HYPERLINK("https://gerandofalcoes.my.salesforce.com/0014X00002VKCt0QAH", "0014X00002VKCt0QAH")</f>
        <v>0014X00002VKCt0QAH</v>
      </c>
      <c r="B673" s="2" t="s">
        <v>1975</v>
      </c>
      <c r="C673" s="2" t="s">
        <v>423</v>
      </c>
      <c r="D673" s="2" t="s">
        <v>2</v>
      </c>
      <c r="E673" s="2">
        <v>53</v>
      </c>
      <c r="F673" s="2">
        <v>0</v>
      </c>
      <c r="G673" s="2">
        <v>4</v>
      </c>
      <c r="H673" s="2">
        <v>124243</v>
      </c>
      <c r="I673" s="2">
        <v>50</v>
      </c>
      <c r="J673" s="2" t="s">
        <v>1671</v>
      </c>
      <c r="K673" s="2">
        <v>50</v>
      </c>
      <c r="L673" s="2">
        <v>20</v>
      </c>
      <c r="M673" s="2">
        <v>0</v>
      </c>
      <c r="N673" s="2">
        <v>10</v>
      </c>
      <c r="O673" s="2">
        <v>15</v>
      </c>
      <c r="P673" s="2">
        <v>5</v>
      </c>
      <c r="Q673" s="2" t="s">
        <v>1976</v>
      </c>
      <c r="R673" s="2" t="s">
        <v>1976</v>
      </c>
      <c r="S673" s="4">
        <v>44837</v>
      </c>
    </row>
    <row r="674" spans="1:19" ht="12.5" x14ac:dyDescent="0.25">
      <c r="A674" s="14" t="str">
        <f>HYPERLINK("https://gerandofalcoes.my.salesforce.com/0014X00002VKCv4QAH", "0014X00002VKCv4QAH")</f>
        <v>0014X00002VKCv4QAH</v>
      </c>
      <c r="B674" s="2" t="s">
        <v>1788</v>
      </c>
      <c r="C674" s="2" t="s">
        <v>423</v>
      </c>
      <c r="D674" s="2" t="s">
        <v>2</v>
      </c>
      <c r="E674" s="2">
        <v>56</v>
      </c>
      <c r="F674" s="2">
        <v>1</v>
      </c>
      <c r="G674" s="2">
        <v>2</v>
      </c>
      <c r="H674" s="2">
        <v>63500</v>
      </c>
      <c r="I674" s="2">
        <v>74</v>
      </c>
      <c r="J674" s="2" t="s">
        <v>1671</v>
      </c>
      <c r="K674" s="2">
        <v>46</v>
      </c>
      <c r="L674" s="2">
        <v>20</v>
      </c>
      <c r="M674" s="2">
        <v>5</v>
      </c>
      <c r="N674" s="2">
        <v>6</v>
      </c>
      <c r="O674" s="2">
        <v>10</v>
      </c>
      <c r="P674" s="2">
        <v>5</v>
      </c>
      <c r="Q674" s="2" t="s">
        <v>1789</v>
      </c>
      <c r="R674" s="2" t="s">
        <v>1790</v>
      </c>
      <c r="S674" s="4">
        <v>44837</v>
      </c>
    </row>
    <row r="675" spans="1:19" ht="12.5" x14ac:dyDescent="0.25">
      <c r="A675" s="14" t="str">
        <f>HYPERLINK("https://gerandofalcoes.my.salesforce.com/0014X00002VKCpzQAH", "0014X00002VKCpzQAH")</f>
        <v>0014X00002VKCpzQAH</v>
      </c>
      <c r="B675" s="2" t="s">
        <v>2346</v>
      </c>
      <c r="C675" s="2" t="s">
        <v>423</v>
      </c>
      <c r="D675" s="2" t="s">
        <v>2</v>
      </c>
      <c r="E675" s="2">
        <v>27.04</v>
      </c>
      <c r="F675" s="2">
        <v>0</v>
      </c>
      <c r="G675" s="2">
        <v>2</v>
      </c>
      <c r="H675" s="2">
        <v>38315</v>
      </c>
      <c r="I675" s="2">
        <v>120</v>
      </c>
      <c r="J675" s="2" t="s">
        <v>1671</v>
      </c>
      <c r="K675" s="2">
        <v>41</v>
      </c>
      <c r="L675" s="2">
        <v>15</v>
      </c>
      <c r="M675" s="2">
        <v>0</v>
      </c>
      <c r="N675" s="2">
        <v>6</v>
      </c>
      <c r="O675" s="2">
        <v>10</v>
      </c>
      <c r="P675" s="2">
        <v>10</v>
      </c>
      <c r="Q675" s="2" t="s">
        <v>2347</v>
      </c>
      <c r="R675" s="2" t="s">
        <v>2348</v>
      </c>
      <c r="S675" s="4">
        <v>44837</v>
      </c>
    </row>
    <row r="676" spans="1:19" ht="12.5" x14ac:dyDescent="0.25">
      <c r="A676" s="14" t="str">
        <f>HYPERLINK("https://gerandofalcoes.my.salesforce.com/0014X00002VKCtuQAH", "0014X00002VKCtuQAH")</f>
        <v>0014X00002VKCtuQAH</v>
      </c>
      <c r="B676" s="2" t="s">
        <v>2768</v>
      </c>
      <c r="C676" s="2" t="s">
        <v>423</v>
      </c>
      <c r="D676" s="2" t="s">
        <v>2</v>
      </c>
      <c r="E676" s="2">
        <v>38</v>
      </c>
      <c r="F676" s="2">
        <v>0</v>
      </c>
      <c r="G676" s="2">
        <v>2</v>
      </c>
      <c r="H676" s="2">
        <v>254344</v>
      </c>
      <c r="I676" s="2">
        <v>0</v>
      </c>
      <c r="J676" s="2" t="s">
        <v>1779</v>
      </c>
      <c r="K676" s="2">
        <v>36</v>
      </c>
      <c r="L676" s="2">
        <v>15</v>
      </c>
      <c r="M676" s="2">
        <v>0</v>
      </c>
      <c r="N676" s="2">
        <v>6</v>
      </c>
      <c r="O676" s="2">
        <v>15</v>
      </c>
      <c r="P676" s="2">
        <v>0</v>
      </c>
      <c r="Q676" s="2" t="s">
        <v>2769</v>
      </c>
      <c r="R676" s="2" t="s">
        <v>2770</v>
      </c>
      <c r="S676" s="4">
        <v>44837</v>
      </c>
    </row>
    <row r="677" spans="1:19" ht="12.5" x14ac:dyDescent="0.25">
      <c r="A677" s="14" t="str">
        <f>HYPERLINK("https://gerandofalcoes.my.salesforce.com/0014X00002VKCr8QAH", "0014X00002VKCr8QAH")</f>
        <v>0014X00002VKCr8QAH</v>
      </c>
      <c r="B677" s="2" t="s">
        <v>2830</v>
      </c>
      <c r="C677" s="2" t="s">
        <v>423</v>
      </c>
      <c r="D677" s="2" t="s">
        <v>2</v>
      </c>
      <c r="E677" s="2">
        <v>60</v>
      </c>
      <c r="F677" s="2">
        <v>9</v>
      </c>
      <c r="G677" s="2">
        <v>3</v>
      </c>
      <c r="H677" s="2">
        <v>56000000</v>
      </c>
      <c r="I677" s="2">
        <v>0</v>
      </c>
      <c r="J677" s="2" t="s">
        <v>1671</v>
      </c>
      <c r="K677" s="2">
        <v>63</v>
      </c>
      <c r="L677" s="2">
        <v>20</v>
      </c>
      <c r="M677" s="2">
        <v>10</v>
      </c>
      <c r="N677" s="2">
        <v>8</v>
      </c>
      <c r="O677" s="2">
        <v>25</v>
      </c>
      <c r="P677" s="2">
        <v>0</v>
      </c>
      <c r="Q677" s="2" t="s">
        <v>2831</v>
      </c>
      <c r="R677" s="2" t="s">
        <v>2831</v>
      </c>
      <c r="S677" s="4">
        <v>44837</v>
      </c>
    </row>
    <row r="678" spans="1:19" ht="12.5" x14ac:dyDescent="0.25">
      <c r="A678" s="14" t="str">
        <f>HYPERLINK("https://gerandofalcoes.my.salesforce.com/0014X00002VKCr4QAH", "0014X00002VKCr4QAH")</f>
        <v>0014X00002VKCr4QAH</v>
      </c>
      <c r="B678" s="2" t="s">
        <v>2026</v>
      </c>
      <c r="C678" s="2" t="s">
        <v>423</v>
      </c>
      <c r="D678" s="2" t="s">
        <v>2</v>
      </c>
      <c r="E678" s="2">
        <v>47</v>
      </c>
      <c r="F678" s="2">
        <v>12</v>
      </c>
      <c r="G678" s="2">
        <v>5</v>
      </c>
      <c r="H678" s="2">
        <v>414092</v>
      </c>
      <c r="I678" s="2">
        <v>327</v>
      </c>
      <c r="J678" s="2" t="s">
        <v>1650</v>
      </c>
      <c r="K678" s="2">
        <v>72</v>
      </c>
      <c r="L678" s="2">
        <v>15</v>
      </c>
      <c r="M678" s="2">
        <v>12</v>
      </c>
      <c r="N678" s="2">
        <v>10</v>
      </c>
      <c r="O678" s="2">
        <v>20</v>
      </c>
      <c r="P678" s="2">
        <v>15</v>
      </c>
      <c r="Q678" s="2" t="s">
        <v>2027</v>
      </c>
      <c r="R678" s="2" t="s">
        <v>2027</v>
      </c>
      <c r="S678" s="4">
        <v>44837</v>
      </c>
    </row>
    <row r="679" spans="1:19" ht="12.5" x14ac:dyDescent="0.25">
      <c r="A679" s="14" t="str">
        <f>HYPERLINK("https://gerandofalcoes.my.salesforce.com/0014X00002VKCrlQAH", "0014X00002VKCrlQAH")</f>
        <v>0014X00002VKCrlQAH</v>
      </c>
      <c r="B679" s="2" t="s">
        <v>1850</v>
      </c>
      <c r="C679" s="2" t="s">
        <v>423</v>
      </c>
      <c r="D679" s="2" t="s">
        <v>2</v>
      </c>
      <c r="E679" s="2">
        <v>48</v>
      </c>
      <c r="F679" s="2">
        <v>0</v>
      </c>
      <c r="G679" s="2">
        <v>2</v>
      </c>
      <c r="H679" s="2">
        <v>30000</v>
      </c>
      <c r="I679" s="2">
        <v>30</v>
      </c>
      <c r="J679" s="2" t="s">
        <v>1779</v>
      </c>
      <c r="K679" s="2">
        <v>36</v>
      </c>
      <c r="L679" s="2">
        <v>15</v>
      </c>
      <c r="M679" s="2">
        <v>0</v>
      </c>
      <c r="N679" s="2">
        <v>6</v>
      </c>
      <c r="O679" s="2">
        <v>10</v>
      </c>
      <c r="P679" s="2">
        <v>5</v>
      </c>
      <c r="Q679" s="2" t="s">
        <v>1851</v>
      </c>
      <c r="R679" s="2" t="s">
        <v>1851</v>
      </c>
      <c r="S679" s="4">
        <v>44837</v>
      </c>
    </row>
    <row r="680" spans="1:19" ht="12.5" x14ac:dyDescent="0.25">
      <c r="A680" s="14" t="str">
        <f>HYPERLINK("https://gerandofalcoes.my.salesforce.com/0014X00002VKCpbQAH", "0014X00002VKCpbQAH")</f>
        <v>0014X00002VKCpbQAH</v>
      </c>
      <c r="B680" s="2" t="s">
        <v>1913</v>
      </c>
      <c r="C680" s="2" t="s">
        <v>423</v>
      </c>
      <c r="D680" s="2" t="s">
        <v>2</v>
      </c>
      <c r="E680" s="2">
        <v>43</v>
      </c>
      <c r="F680" s="2">
        <v>20</v>
      </c>
      <c r="G680" s="2">
        <v>3</v>
      </c>
      <c r="H680" s="2">
        <v>2000</v>
      </c>
      <c r="I680" s="2">
        <v>25</v>
      </c>
      <c r="J680" s="2" t="s">
        <v>1671</v>
      </c>
      <c r="K680" s="2">
        <v>45</v>
      </c>
      <c r="L680" s="2">
        <v>15</v>
      </c>
      <c r="M680" s="2">
        <v>12</v>
      </c>
      <c r="N680" s="2">
        <v>8</v>
      </c>
      <c r="O680" s="2">
        <v>5</v>
      </c>
      <c r="P680" s="2">
        <v>5</v>
      </c>
      <c r="Q680" s="2" t="s">
        <v>1914</v>
      </c>
      <c r="R680" s="2" t="s">
        <v>1914</v>
      </c>
      <c r="S680" s="4">
        <v>44837</v>
      </c>
    </row>
    <row r="681" spans="1:19" ht="12.5" x14ac:dyDescent="0.25">
      <c r="A681" s="14" t="str">
        <f>HYPERLINK("https://gerandofalcoes.my.salesforce.com/0014X00002VKCpYQAX", "0014X00002VKCpYQAX")</f>
        <v>0014X00002VKCpYQAX</v>
      </c>
      <c r="B681" s="2" t="s">
        <v>2328</v>
      </c>
      <c r="C681" s="2" t="s">
        <v>423</v>
      </c>
      <c r="D681" s="2" t="s">
        <v>2</v>
      </c>
      <c r="E681" s="2">
        <v>28</v>
      </c>
      <c r="F681" s="2">
        <v>0</v>
      </c>
      <c r="G681" s="2">
        <v>5</v>
      </c>
      <c r="H681" s="2">
        <v>4000</v>
      </c>
      <c r="I681" s="2">
        <v>30</v>
      </c>
      <c r="J681" s="2" t="s">
        <v>1779</v>
      </c>
      <c r="K681" s="2">
        <v>35</v>
      </c>
      <c r="L681" s="2">
        <v>15</v>
      </c>
      <c r="M681" s="2">
        <v>0</v>
      </c>
      <c r="N681" s="2">
        <v>10</v>
      </c>
      <c r="O681" s="2">
        <v>5</v>
      </c>
      <c r="P681" s="2">
        <v>5</v>
      </c>
      <c r="Q681" s="2" t="s">
        <v>2329</v>
      </c>
      <c r="R681" s="2" t="s">
        <v>2329</v>
      </c>
      <c r="S681" s="4">
        <v>44837</v>
      </c>
    </row>
    <row r="682" spans="1:19" ht="12.5" x14ac:dyDescent="0.25">
      <c r="A682" s="14" t="str">
        <f>HYPERLINK("https://gerandofalcoes.my.salesforce.com/0014X00002VKCuwQAH", "0014X00002VKCuwQAH")</f>
        <v>0014X00002VKCuwQAH</v>
      </c>
      <c r="B682" s="2" t="s">
        <v>2378</v>
      </c>
      <c r="C682" s="2" t="s">
        <v>1800</v>
      </c>
      <c r="D682" s="2" t="s">
        <v>2</v>
      </c>
      <c r="E682" s="2">
        <v>26</v>
      </c>
      <c r="F682" s="2">
        <v>0</v>
      </c>
      <c r="G682" s="2">
        <v>2</v>
      </c>
      <c r="H682" s="2">
        <v>50000</v>
      </c>
      <c r="I682" s="2">
        <v>0</v>
      </c>
      <c r="J682" s="2" t="s">
        <v>1779</v>
      </c>
      <c r="K682" s="2">
        <v>31</v>
      </c>
      <c r="L682" s="2">
        <v>15</v>
      </c>
      <c r="M682" s="2">
        <v>0</v>
      </c>
      <c r="N682" s="2">
        <v>6</v>
      </c>
      <c r="O682" s="2">
        <v>10</v>
      </c>
      <c r="P682" s="2">
        <v>0</v>
      </c>
      <c r="Q682" s="2" t="s">
        <v>2379</v>
      </c>
      <c r="R682" s="2" t="s">
        <v>2380</v>
      </c>
      <c r="S682" s="4">
        <v>44837</v>
      </c>
    </row>
    <row r="683" spans="1:19" ht="12.5" x14ac:dyDescent="0.25">
      <c r="A683" s="14" t="str">
        <f>HYPERLINK("https://gerandofalcoes.my.salesforce.com/0014X00002VKCugQAH", "0014X00002VKCugQAH")</f>
        <v>0014X00002VKCugQAH</v>
      </c>
      <c r="B683" s="2" t="s">
        <v>2935</v>
      </c>
      <c r="C683" s="2" t="s">
        <v>1800</v>
      </c>
      <c r="D683" s="2" t="s">
        <v>2</v>
      </c>
      <c r="E683" s="2">
        <v>6</v>
      </c>
      <c r="F683" s="2">
        <v>0</v>
      </c>
      <c r="G683" s="2">
        <v>2</v>
      </c>
      <c r="H683" s="2">
        <v>3000</v>
      </c>
      <c r="I683" s="2">
        <v>0</v>
      </c>
      <c r="J683" s="2" t="s">
        <v>1779</v>
      </c>
      <c r="K683" s="2">
        <v>21</v>
      </c>
      <c r="L683" s="2">
        <v>10</v>
      </c>
      <c r="M683" s="2">
        <v>0</v>
      </c>
      <c r="N683" s="2">
        <v>6</v>
      </c>
      <c r="O683" s="2">
        <v>5</v>
      </c>
      <c r="P683" s="2">
        <v>0</v>
      </c>
      <c r="Q683" s="2" t="s">
        <v>2936</v>
      </c>
      <c r="R683" s="2" t="s">
        <v>2937</v>
      </c>
      <c r="S683" s="4">
        <v>44837</v>
      </c>
    </row>
    <row r="684" spans="1:19" ht="12.5" x14ac:dyDescent="0.25">
      <c r="A684" s="14" t="str">
        <f>HYPERLINK("https://gerandofalcoes.my.salesforce.com/0014X00002VKCtDQAX", "0014X00002VKCtDQAX")</f>
        <v>0014X00002VKCtDQAX</v>
      </c>
      <c r="B684" s="2" t="s">
        <v>2955</v>
      </c>
      <c r="C684" s="2" t="s">
        <v>423</v>
      </c>
      <c r="D684" s="2" t="s">
        <v>2</v>
      </c>
      <c r="E684" s="2">
        <v>13</v>
      </c>
      <c r="F684" s="2">
        <v>5</v>
      </c>
      <c r="G684" s="2">
        <v>0</v>
      </c>
      <c r="H684" s="2">
        <v>0</v>
      </c>
      <c r="I684" s="2">
        <v>50</v>
      </c>
      <c r="J684" s="2" t="s">
        <v>1779</v>
      </c>
      <c r="K684" s="2">
        <v>20</v>
      </c>
      <c r="L684" s="2">
        <v>10</v>
      </c>
      <c r="M684" s="2">
        <v>5</v>
      </c>
      <c r="N684" s="2">
        <v>0</v>
      </c>
      <c r="O684" s="2">
        <v>0</v>
      </c>
      <c r="P684" s="2">
        <v>5</v>
      </c>
      <c r="Q684" s="2" t="s">
        <v>2956</v>
      </c>
      <c r="R684" s="2" t="s">
        <v>2957</v>
      </c>
      <c r="S684" s="4">
        <v>44837</v>
      </c>
    </row>
    <row r="685" spans="1:19" ht="12.5" x14ac:dyDescent="0.25">
      <c r="A685" s="14" t="str">
        <f>HYPERLINK("https://gerandofalcoes.my.salesforce.com/0014X00002VKCuVQAX", "0014X00002VKCuVQAX")</f>
        <v>0014X00002VKCuVQAX</v>
      </c>
      <c r="B685" s="2" t="s">
        <v>2675</v>
      </c>
      <c r="C685" s="2" t="s">
        <v>1800</v>
      </c>
      <c r="D685" s="2" t="s">
        <v>2</v>
      </c>
      <c r="E685" s="2">
        <v>17</v>
      </c>
      <c r="F685" s="2">
        <v>0</v>
      </c>
      <c r="G685" s="2">
        <v>2</v>
      </c>
      <c r="H685" s="2">
        <v>12000</v>
      </c>
      <c r="I685" s="2">
        <v>0</v>
      </c>
      <c r="J685" s="2" t="s">
        <v>1779</v>
      </c>
      <c r="K685" s="2">
        <v>21</v>
      </c>
      <c r="L685" s="2">
        <v>10</v>
      </c>
      <c r="M685" s="2">
        <v>0</v>
      </c>
      <c r="N685" s="2">
        <v>6</v>
      </c>
      <c r="O685" s="2">
        <v>5</v>
      </c>
      <c r="P685" s="2">
        <v>0</v>
      </c>
      <c r="Q685" s="2" t="s">
        <v>2676</v>
      </c>
      <c r="R685" s="2" t="s">
        <v>2676</v>
      </c>
      <c r="S685" s="4">
        <v>44837</v>
      </c>
    </row>
    <row r="686" spans="1:19" ht="12.5" x14ac:dyDescent="0.25">
      <c r="A686" s="14" t="str">
        <f>HYPERLINK("https://gerandofalcoes.my.salesforce.com/0014X00002VKCsoQAH", "0014X00002VKCsoQAH")</f>
        <v>0014X00002VKCsoQAH</v>
      </c>
      <c r="B686" s="2" t="s">
        <v>1885</v>
      </c>
      <c r="C686" s="2" t="s">
        <v>1800</v>
      </c>
      <c r="D686" s="2" t="s">
        <v>2</v>
      </c>
      <c r="E686" s="2">
        <v>44</v>
      </c>
      <c r="F686" s="2">
        <v>0</v>
      </c>
      <c r="G686" s="2">
        <v>5</v>
      </c>
      <c r="H686" s="2">
        <v>35000</v>
      </c>
      <c r="I686" s="2">
        <v>240</v>
      </c>
      <c r="J686" s="2" t="s">
        <v>1671</v>
      </c>
      <c r="K686" s="2">
        <v>47</v>
      </c>
      <c r="L686" s="2">
        <v>15</v>
      </c>
      <c r="M686" s="2">
        <v>0</v>
      </c>
      <c r="N686" s="2">
        <v>10</v>
      </c>
      <c r="O686" s="2">
        <v>10</v>
      </c>
      <c r="P686" s="2">
        <v>12</v>
      </c>
      <c r="Q686" s="2" t="s">
        <v>1886</v>
      </c>
      <c r="R686" s="2" t="s">
        <v>1886</v>
      </c>
      <c r="S686" s="4">
        <v>44837</v>
      </c>
    </row>
    <row r="687" spans="1:19" ht="12.5" x14ac:dyDescent="0.25">
      <c r="A687" s="14" t="str">
        <f>HYPERLINK("https://gerandofalcoes.my.salesforce.com/0014X00002VKCqzQAH", "0014X00002VKCqzQAH")</f>
        <v>0014X00002VKCqzQAH</v>
      </c>
      <c r="B687" s="2" t="s">
        <v>2490</v>
      </c>
      <c r="C687" s="2" t="s">
        <v>1800</v>
      </c>
      <c r="D687" s="2" t="s">
        <v>2</v>
      </c>
      <c r="E687" s="2">
        <v>22</v>
      </c>
      <c r="F687" s="2">
        <v>0</v>
      </c>
      <c r="G687" s="2">
        <v>3</v>
      </c>
      <c r="H687" s="2">
        <v>3000</v>
      </c>
      <c r="I687" s="2">
        <v>0</v>
      </c>
      <c r="J687" s="2" t="s">
        <v>1779</v>
      </c>
      <c r="K687" s="2">
        <v>23</v>
      </c>
      <c r="L687" s="2">
        <v>10</v>
      </c>
      <c r="M687" s="2">
        <v>0</v>
      </c>
      <c r="N687" s="2">
        <v>8</v>
      </c>
      <c r="O687" s="2">
        <v>5</v>
      </c>
      <c r="P687" s="2">
        <v>0</v>
      </c>
      <c r="Q687" s="2" t="s">
        <v>2491</v>
      </c>
      <c r="R687" s="2" t="s">
        <v>2491</v>
      </c>
      <c r="S687" s="4">
        <v>44837</v>
      </c>
    </row>
    <row r="688" spans="1:19" ht="12.5" x14ac:dyDescent="0.25">
      <c r="A688" s="14" t="str">
        <f>HYPERLINK("https://gerandofalcoes.my.salesforce.com/0014X00002VKCtAQAX", "0014X00002VKCtAQAX")</f>
        <v>0014X00002VKCtAQAX</v>
      </c>
      <c r="B688" s="2" t="s">
        <v>2267</v>
      </c>
      <c r="C688" s="2" t="s">
        <v>1800</v>
      </c>
      <c r="D688" s="2" t="s">
        <v>2</v>
      </c>
      <c r="E688" s="2">
        <v>30</v>
      </c>
      <c r="F688" s="2">
        <v>0</v>
      </c>
      <c r="G688" s="2">
        <v>3</v>
      </c>
      <c r="H688" s="2">
        <v>12000</v>
      </c>
      <c r="I688" s="2">
        <v>140</v>
      </c>
      <c r="J688" s="2" t="s">
        <v>1779</v>
      </c>
      <c r="K688" s="2">
        <v>38</v>
      </c>
      <c r="L688" s="2">
        <v>15</v>
      </c>
      <c r="M688" s="2">
        <v>0</v>
      </c>
      <c r="N688" s="2">
        <v>8</v>
      </c>
      <c r="O688" s="2">
        <v>5</v>
      </c>
      <c r="P688" s="2">
        <v>10</v>
      </c>
      <c r="Q688" s="2" t="s">
        <v>2268</v>
      </c>
      <c r="R688" s="2" t="s">
        <v>2269</v>
      </c>
      <c r="S688" s="4">
        <v>44837</v>
      </c>
    </row>
    <row r="689" spans="1:19" ht="12.5" x14ac:dyDescent="0.25">
      <c r="A689" s="14" t="str">
        <f>HYPERLINK("https://gerandofalcoes.my.salesforce.com/0014P00003YSp8eQAD", "0014P00003YSp8eQAD")</f>
        <v>0014P00003YSp8eQAD</v>
      </c>
      <c r="B689" s="2" t="s">
        <v>2309</v>
      </c>
      <c r="C689" s="2" t="s">
        <v>1800</v>
      </c>
      <c r="D689" s="2" t="s">
        <v>2</v>
      </c>
      <c r="E689" s="2">
        <v>29</v>
      </c>
      <c r="F689" s="2">
        <v>0</v>
      </c>
      <c r="G689" s="2">
        <v>3</v>
      </c>
      <c r="H689" s="2">
        <v>350000</v>
      </c>
      <c r="I689" s="2">
        <v>0</v>
      </c>
      <c r="J689" s="2" t="s">
        <v>1671</v>
      </c>
      <c r="K689" s="2">
        <v>43</v>
      </c>
      <c r="L689" s="2">
        <v>15</v>
      </c>
      <c r="M689" s="2">
        <v>0</v>
      </c>
      <c r="N689" s="2">
        <v>8</v>
      </c>
      <c r="O689" s="2">
        <v>20</v>
      </c>
      <c r="P689" s="2">
        <v>0</v>
      </c>
      <c r="Q689" s="2" t="s">
        <v>2310</v>
      </c>
      <c r="R689" s="2" t="s">
        <v>2311</v>
      </c>
      <c r="S689" s="4">
        <v>44837</v>
      </c>
    </row>
    <row r="690" spans="1:19" ht="12.5" x14ac:dyDescent="0.25">
      <c r="A690" s="14" t="str">
        <f>HYPERLINK("https://gerandofalcoes.my.salesforce.com/0014P00003YSp8fQAD", "0014P00003YSp8fQAD")</f>
        <v>0014P00003YSp8fQAD</v>
      </c>
      <c r="B690" s="2" t="s">
        <v>1713</v>
      </c>
      <c r="C690" s="2" t="s">
        <v>423</v>
      </c>
      <c r="D690" s="2" t="s">
        <v>2</v>
      </c>
      <c r="E690" s="2">
        <v>38</v>
      </c>
      <c r="F690" s="2">
        <v>7</v>
      </c>
      <c r="G690" s="2">
        <v>5</v>
      </c>
      <c r="H690" s="2">
        <v>19685789</v>
      </c>
      <c r="I690" s="2">
        <v>215</v>
      </c>
      <c r="J690" s="2" t="s">
        <v>1650</v>
      </c>
      <c r="K690" s="2">
        <v>72</v>
      </c>
      <c r="L690" s="2">
        <v>15</v>
      </c>
      <c r="M690" s="2">
        <v>10</v>
      </c>
      <c r="N690" s="2">
        <v>10</v>
      </c>
      <c r="O690" s="2">
        <v>25</v>
      </c>
      <c r="P690" s="2">
        <v>12</v>
      </c>
      <c r="Q690" s="2" t="s">
        <v>1714</v>
      </c>
      <c r="R690" s="2" t="s">
        <v>1715</v>
      </c>
      <c r="S690" s="4">
        <v>44837</v>
      </c>
    </row>
    <row r="691" spans="1:19" ht="12.5" x14ac:dyDescent="0.25">
      <c r="A691" s="14" t="str">
        <f>HYPERLINK("https://gerandofalcoes.my.salesforce.com/0014P00003YSp8gQAD", "0014P00003YSp8gQAD")</f>
        <v>0014P00003YSp8gQAD</v>
      </c>
      <c r="B691" s="2" t="s">
        <v>2635</v>
      </c>
      <c r="C691" s="2" t="s">
        <v>1800</v>
      </c>
      <c r="D691" s="2" t="s">
        <v>2</v>
      </c>
      <c r="E691" s="2">
        <v>18</v>
      </c>
      <c r="F691" s="2">
        <v>4</v>
      </c>
      <c r="G691" s="2">
        <v>2</v>
      </c>
      <c r="H691" s="2">
        <v>2000</v>
      </c>
      <c r="I691" s="2">
        <v>70</v>
      </c>
      <c r="J691" s="2" t="s">
        <v>1779</v>
      </c>
      <c r="K691" s="2">
        <v>31</v>
      </c>
      <c r="L691" s="2">
        <v>10</v>
      </c>
      <c r="M691" s="2">
        <v>5</v>
      </c>
      <c r="N691" s="2">
        <v>6</v>
      </c>
      <c r="O691" s="2">
        <v>5</v>
      </c>
      <c r="P691" s="2">
        <v>5</v>
      </c>
      <c r="Q691" s="2" t="s">
        <v>2636</v>
      </c>
      <c r="R691" s="2" t="s">
        <v>2636</v>
      </c>
      <c r="S691" s="4">
        <v>44837</v>
      </c>
    </row>
    <row r="692" spans="1:19" ht="12.5" x14ac:dyDescent="0.25">
      <c r="A692" s="14" t="str">
        <f>HYPERLINK("https://gerandofalcoes.my.salesforce.com/0014P00003YSp8hQAD", "0014P00003YSp8hQAD")</f>
        <v>0014P00003YSp8hQAD</v>
      </c>
      <c r="B692" s="2" t="s">
        <v>2842</v>
      </c>
      <c r="C692" s="2" t="s">
        <v>423</v>
      </c>
      <c r="D692" s="2" t="s">
        <v>2</v>
      </c>
      <c r="E692" s="2">
        <v>11</v>
      </c>
      <c r="F692" s="2">
        <v>10</v>
      </c>
      <c r="G692" s="2">
        <v>2</v>
      </c>
      <c r="H692" s="2">
        <v>90000</v>
      </c>
      <c r="I692" s="2">
        <v>0</v>
      </c>
      <c r="J692" s="2" t="s">
        <v>1779</v>
      </c>
      <c r="K692" s="2">
        <v>36</v>
      </c>
      <c r="L692" s="2">
        <v>10</v>
      </c>
      <c r="M692" s="2">
        <v>10</v>
      </c>
      <c r="N692" s="2">
        <v>6</v>
      </c>
      <c r="O692" s="2">
        <v>10</v>
      </c>
      <c r="P692" s="2">
        <v>0</v>
      </c>
      <c r="Q692" s="2" t="s">
        <v>2843</v>
      </c>
      <c r="R692" s="2" t="s">
        <v>2843</v>
      </c>
      <c r="S692" s="4">
        <v>44837</v>
      </c>
    </row>
    <row r="693" spans="1:19" ht="12.5" x14ac:dyDescent="0.25">
      <c r="A693" s="14" t="str">
        <f>HYPERLINK("https://gerandofalcoes.my.salesforce.com/0014P00003YSp8iQAD", "0014P00003YSp8iQAD")</f>
        <v>0014P00003YSp8iQAD</v>
      </c>
      <c r="B693" s="2" t="s">
        <v>1770</v>
      </c>
      <c r="C693" s="2" t="s">
        <v>423</v>
      </c>
      <c r="D693" s="2" t="s">
        <v>2</v>
      </c>
      <c r="E693" s="2">
        <v>41</v>
      </c>
      <c r="F693" s="2">
        <v>5</v>
      </c>
      <c r="G693" s="2">
        <v>5</v>
      </c>
      <c r="H693" s="2">
        <v>1386827</v>
      </c>
      <c r="I693" s="2">
        <v>40</v>
      </c>
      <c r="J693" s="2" t="s">
        <v>1671</v>
      </c>
      <c r="K693" s="2">
        <v>60</v>
      </c>
      <c r="L693" s="2">
        <v>15</v>
      </c>
      <c r="M693" s="2">
        <v>5</v>
      </c>
      <c r="N693" s="2">
        <v>10</v>
      </c>
      <c r="O693" s="2">
        <v>25</v>
      </c>
      <c r="P693" s="2">
        <v>5</v>
      </c>
      <c r="Q693" s="2" t="s">
        <v>1771</v>
      </c>
      <c r="R693" s="2" t="s">
        <v>1772</v>
      </c>
      <c r="S693" s="4">
        <v>44837</v>
      </c>
    </row>
    <row r="694" spans="1:19" ht="12.5" x14ac:dyDescent="0.25">
      <c r="A694" s="14" t="str">
        <f>HYPERLINK("https://gerandofalcoes.my.salesforce.com/0014P00003YSp8kQAD", "0014P00003YSp8kQAD")</f>
        <v>0014P00003YSp8kQAD</v>
      </c>
      <c r="B694" s="2" t="s">
        <v>2295</v>
      </c>
      <c r="C694" s="2" t="s">
        <v>1800</v>
      </c>
      <c r="D694" s="2" t="s">
        <v>2</v>
      </c>
      <c r="E694" s="2">
        <v>29</v>
      </c>
      <c r="F694" s="2">
        <v>2</v>
      </c>
      <c r="G694" s="2">
        <v>2</v>
      </c>
      <c r="H694" s="2">
        <v>12000</v>
      </c>
      <c r="I694" s="2">
        <v>300</v>
      </c>
      <c r="J694" s="2" t="s">
        <v>1671</v>
      </c>
      <c r="K694" s="2">
        <v>46</v>
      </c>
      <c r="L694" s="2">
        <v>15</v>
      </c>
      <c r="M694" s="2">
        <v>5</v>
      </c>
      <c r="N694" s="2">
        <v>6</v>
      </c>
      <c r="O694" s="2">
        <v>5</v>
      </c>
      <c r="P694" s="2">
        <v>15</v>
      </c>
      <c r="Q694" s="2" t="s">
        <v>2296</v>
      </c>
      <c r="R694" s="2" t="s">
        <v>2297</v>
      </c>
      <c r="S694" s="4">
        <v>44837</v>
      </c>
    </row>
    <row r="695" spans="1:19" ht="12.5" x14ac:dyDescent="0.25">
      <c r="A695" s="14" t="str">
        <f>HYPERLINK("https://gerandofalcoes.my.salesforce.com/0014P00003YSp8lQAD", "0014P00003YSp8lQAD")</f>
        <v>0014P00003YSp8lQAD</v>
      </c>
      <c r="B695" s="2" t="s">
        <v>2775</v>
      </c>
      <c r="C695" s="2" t="s">
        <v>423</v>
      </c>
      <c r="D695" s="2" t="s">
        <v>2</v>
      </c>
      <c r="E695" s="2">
        <v>33</v>
      </c>
      <c r="F695" s="2">
        <v>0</v>
      </c>
      <c r="G695" s="2">
        <v>5</v>
      </c>
      <c r="H695" s="2">
        <v>111840</v>
      </c>
      <c r="I695" s="2">
        <v>30</v>
      </c>
      <c r="J695" s="2" t="s">
        <v>1671</v>
      </c>
      <c r="K695" s="2">
        <v>45</v>
      </c>
      <c r="L695" s="2">
        <v>15</v>
      </c>
      <c r="M695" s="2">
        <v>0</v>
      </c>
      <c r="N695" s="2">
        <v>10</v>
      </c>
      <c r="O695" s="2">
        <v>15</v>
      </c>
      <c r="P695" s="2">
        <v>5</v>
      </c>
      <c r="Q695" s="2" t="s">
        <v>2776</v>
      </c>
      <c r="R695" s="2" t="s">
        <v>2776</v>
      </c>
      <c r="S695" s="4">
        <v>44837</v>
      </c>
    </row>
    <row r="696" spans="1:19" ht="12.5" x14ac:dyDescent="0.25">
      <c r="A696" s="14" t="str">
        <f>HYPERLINK("https://gerandofalcoes.my.salesforce.com/0014P00003YSp8mQAD", "0014P00003YSp8mQAD")</f>
        <v>0014P00003YSp8mQAD</v>
      </c>
      <c r="B696" s="2" t="s">
        <v>2599</v>
      </c>
      <c r="C696" s="2" t="s">
        <v>1800</v>
      </c>
      <c r="D696" s="2" t="s">
        <v>2</v>
      </c>
      <c r="E696" s="2">
        <v>19</v>
      </c>
      <c r="F696" s="2">
        <v>11</v>
      </c>
      <c r="G696" s="2">
        <v>4</v>
      </c>
      <c r="H696" s="2">
        <v>700</v>
      </c>
      <c r="I696" s="2">
        <v>160</v>
      </c>
      <c r="J696" s="2" t="s">
        <v>1671</v>
      </c>
      <c r="K696" s="2">
        <v>49</v>
      </c>
      <c r="L696" s="2">
        <v>10</v>
      </c>
      <c r="M696" s="2">
        <v>12</v>
      </c>
      <c r="N696" s="2">
        <v>10</v>
      </c>
      <c r="O696" s="2">
        <v>5</v>
      </c>
      <c r="P696" s="2">
        <v>12</v>
      </c>
      <c r="Q696" s="2" t="s">
        <v>2600</v>
      </c>
      <c r="R696" s="2" t="s">
        <v>2600</v>
      </c>
      <c r="S696" s="4">
        <v>44837</v>
      </c>
    </row>
    <row r="697" spans="1:19" ht="12.5" x14ac:dyDescent="0.25">
      <c r="A697" s="14" t="str">
        <f>HYPERLINK("https://gerandofalcoes.my.salesforce.com/0014P00003YSp8nQAD", "0014P00003YSp8nQAD")</f>
        <v>0014P00003YSp8nQAD</v>
      </c>
      <c r="B697" s="2" t="s">
        <v>2028</v>
      </c>
      <c r="C697" s="2" t="s">
        <v>423</v>
      </c>
      <c r="D697" s="2" t="s">
        <v>2</v>
      </c>
      <c r="E697" s="2">
        <v>37.01</v>
      </c>
      <c r="F697" s="2">
        <v>6</v>
      </c>
      <c r="G697" s="2">
        <v>2</v>
      </c>
      <c r="H697" s="2">
        <v>7307750</v>
      </c>
      <c r="I697" s="2">
        <v>55</v>
      </c>
      <c r="J697" s="2" t="s">
        <v>1671</v>
      </c>
      <c r="K697" s="2">
        <v>61</v>
      </c>
      <c r="L697" s="2">
        <v>15</v>
      </c>
      <c r="M697" s="2">
        <v>10</v>
      </c>
      <c r="N697" s="2">
        <v>6</v>
      </c>
      <c r="O697" s="2">
        <v>25</v>
      </c>
      <c r="P697" s="2">
        <v>5</v>
      </c>
      <c r="Q697" s="2" t="s">
        <v>2029</v>
      </c>
      <c r="R697" s="2" t="s">
        <v>2030</v>
      </c>
      <c r="S697" s="4">
        <v>44837</v>
      </c>
    </row>
    <row r="698" spans="1:19" ht="12.5" x14ac:dyDescent="0.25">
      <c r="A698" s="14" t="str">
        <f>HYPERLINK("https://gerandofalcoes.my.salesforce.com/0014P00003YSp8pQAD", "0014P00003YSp8pQAD")</f>
        <v>0014P00003YSp8pQAD</v>
      </c>
      <c r="B698" s="2" t="s">
        <v>2644</v>
      </c>
      <c r="C698" s="2" t="s">
        <v>423</v>
      </c>
      <c r="D698" s="2" t="s">
        <v>2</v>
      </c>
      <c r="E698" s="2">
        <v>18</v>
      </c>
      <c r="F698" s="2">
        <v>0</v>
      </c>
      <c r="G698" s="2">
        <v>2</v>
      </c>
      <c r="H698" s="2">
        <v>3000</v>
      </c>
      <c r="I698" s="2">
        <v>0</v>
      </c>
      <c r="J698" s="2" t="s">
        <v>1779</v>
      </c>
      <c r="K698" s="2">
        <v>21</v>
      </c>
      <c r="L698" s="2">
        <v>10</v>
      </c>
      <c r="M698" s="2">
        <v>0</v>
      </c>
      <c r="N698" s="2">
        <v>6</v>
      </c>
      <c r="O698" s="2">
        <v>5</v>
      </c>
      <c r="P698" s="2">
        <v>0</v>
      </c>
      <c r="Q698" s="2" t="s">
        <v>2645</v>
      </c>
      <c r="R698" s="2" t="s">
        <v>2646</v>
      </c>
      <c r="S698" s="4">
        <v>44837</v>
      </c>
    </row>
    <row r="699" spans="1:19" ht="12.5" x14ac:dyDescent="0.25">
      <c r="A699" s="14" t="str">
        <f>HYPERLINK("https://gerandofalcoes.my.salesforce.com/0014P00003YSp8qQAD", "0014P00003YSp8qQAD")</f>
        <v>0014P00003YSp8qQAD</v>
      </c>
      <c r="B699" s="2" t="s">
        <v>2890</v>
      </c>
      <c r="C699" s="2" t="s">
        <v>423</v>
      </c>
      <c r="D699" s="2" t="s">
        <v>2</v>
      </c>
      <c r="E699" s="2">
        <v>33</v>
      </c>
      <c r="F699" s="2">
        <v>0</v>
      </c>
      <c r="G699" s="2">
        <v>1</v>
      </c>
      <c r="H699" s="2">
        <v>1500</v>
      </c>
      <c r="I699" s="2">
        <v>80</v>
      </c>
      <c r="J699" s="2" t="s">
        <v>1779</v>
      </c>
      <c r="K699" s="2">
        <v>34</v>
      </c>
      <c r="L699" s="2">
        <v>15</v>
      </c>
      <c r="M699" s="2">
        <v>0</v>
      </c>
      <c r="N699" s="2">
        <v>4</v>
      </c>
      <c r="O699" s="2">
        <v>5</v>
      </c>
      <c r="P699" s="2">
        <v>10</v>
      </c>
      <c r="Q699" s="2" t="s">
        <v>2891</v>
      </c>
      <c r="R699" s="2" t="s">
        <v>2892</v>
      </c>
      <c r="S699" s="4">
        <v>44837</v>
      </c>
    </row>
    <row r="700" spans="1:19" ht="12.5" x14ac:dyDescent="0.25">
      <c r="A700" s="14" t="str">
        <f>HYPERLINK("https://gerandofalcoes.my.salesforce.com/0014P00003YSp8rQAD", "0014P00003YSp8rQAD")</f>
        <v>0014P00003YSp8rQAD</v>
      </c>
      <c r="B700" s="2" t="s">
        <v>2365</v>
      </c>
      <c r="C700" s="2" t="s">
        <v>423</v>
      </c>
      <c r="D700" s="2" t="s">
        <v>2</v>
      </c>
      <c r="E700" s="2">
        <v>36</v>
      </c>
      <c r="F700" s="2">
        <v>2</v>
      </c>
      <c r="G700" s="2">
        <v>3</v>
      </c>
      <c r="H700" s="2">
        <v>60000</v>
      </c>
      <c r="I700" s="2">
        <v>120</v>
      </c>
      <c r="J700" s="2" t="s">
        <v>1671</v>
      </c>
      <c r="K700" s="2">
        <v>48</v>
      </c>
      <c r="L700" s="2">
        <v>15</v>
      </c>
      <c r="M700" s="2">
        <v>5</v>
      </c>
      <c r="N700" s="2">
        <v>8</v>
      </c>
      <c r="O700" s="2">
        <v>10</v>
      </c>
      <c r="P700" s="2">
        <v>10</v>
      </c>
      <c r="Q700" s="2" t="s">
        <v>2366</v>
      </c>
      <c r="R700" s="2" t="s">
        <v>2367</v>
      </c>
      <c r="S700" s="4">
        <v>44837</v>
      </c>
    </row>
    <row r="701" spans="1:19" ht="12.5" x14ac:dyDescent="0.25">
      <c r="A701" s="14" t="str">
        <f>HYPERLINK("https://gerandofalcoes.my.salesforce.com/0014P00003YSp8tQAD", "0014P00003YSp8tQAD")</f>
        <v>0014P00003YSp8tQAD</v>
      </c>
      <c r="B701" s="2" t="s">
        <v>2622</v>
      </c>
      <c r="C701" s="2" t="s">
        <v>423</v>
      </c>
      <c r="D701" s="2" t="s">
        <v>2</v>
      </c>
      <c r="E701" s="2">
        <v>18.18</v>
      </c>
      <c r="F701" s="2">
        <v>0</v>
      </c>
      <c r="G701" s="2">
        <v>1</v>
      </c>
      <c r="H701" s="2">
        <v>420000</v>
      </c>
      <c r="I701" s="2">
        <v>0</v>
      </c>
      <c r="J701" s="2" t="s">
        <v>1779</v>
      </c>
      <c r="K701" s="2">
        <v>34</v>
      </c>
      <c r="L701" s="2">
        <v>10</v>
      </c>
      <c r="M701" s="2">
        <v>0</v>
      </c>
      <c r="N701" s="2">
        <v>4</v>
      </c>
      <c r="O701" s="2">
        <v>20</v>
      </c>
      <c r="P701" s="2">
        <v>0</v>
      </c>
      <c r="Q701" s="2" t="s">
        <v>2623</v>
      </c>
      <c r="R701" s="2" t="s">
        <v>2624</v>
      </c>
      <c r="S701" s="4">
        <v>44837</v>
      </c>
    </row>
    <row r="702" spans="1:19" ht="12.5" x14ac:dyDescent="0.25">
      <c r="A702" s="14" t="str">
        <f>HYPERLINK("https://gerandofalcoes.my.salesforce.com/0014P00003YSp8uQAD", "0014P00003YSp8uQAD")</f>
        <v>0014P00003YSp8uQAD</v>
      </c>
      <c r="B702" s="2" t="s">
        <v>2161</v>
      </c>
      <c r="C702" s="2" t="s">
        <v>1800</v>
      </c>
      <c r="D702" s="2" t="s">
        <v>2</v>
      </c>
      <c r="E702" s="2">
        <v>33</v>
      </c>
      <c r="F702" s="2">
        <v>38</v>
      </c>
      <c r="G702" s="2">
        <v>3</v>
      </c>
      <c r="H702" s="2">
        <v>1726721</v>
      </c>
      <c r="I702" s="2">
        <v>1200</v>
      </c>
      <c r="J702" s="2" t="s">
        <v>1654</v>
      </c>
      <c r="K702" s="2">
        <v>83</v>
      </c>
      <c r="L702" s="2">
        <v>15</v>
      </c>
      <c r="M702" s="2">
        <v>15</v>
      </c>
      <c r="N702" s="2">
        <v>8</v>
      </c>
      <c r="O702" s="2">
        <v>25</v>
      </c>
      <c r="P702" s="2">
        <v>20</v>
      </c>
      <c r="Q702" s="2" t="s">
        <v>2162</v>
      </c>
      <c r="R702" s="2" t="s">
        <v>2163</v>
      </c>
      <c r="S702" s="4">
        <v>44837</v>
      </c>
    </row>
    <row r="703" spans="1:19" ht="12.5" x14ac:dyDescent="0.25">
      <c r="A703" s="14" t="str">
        <f>HYPERLINK("https://gerandofalcoes.my.salesforce.com/0014X00002VKCsBQAX", "0014X00002VKCsBQAX")</f>
        <v>0014X00002VKCsBQAX</v>
      </c>
      <c r="B703" s="2" t="s">
        <v>2740</v>
      </c>
      <c r="C703" s="2" t="s">
        <v>423</v>
      </c>
      <c r="D703" s="2" t="s">
        <v>2</v>
      </c>
      <c r="E703" s="2">
        <v>14.54</v>
      </c>
      <c r="F703" s="2">
        <v>1</v>
      </c>
      <c r="G703" s="2">
        <v>1</v>
      </c>
      <c r="H703" s="2">
        <v>68583</v>
      </c>
      <c r="I703" s="2">
        <v>120</v>
      </c>
      <c r="J703" s="2" t="s">
        <v>1779</v>
      </c>
      <c r="K703" s="2">
        <v>39</v>
      </c>
      <c r="L703" s="2">
        <v>10</v>
      </c>
      <c r="M703" s="2">
        <v>5</v>
      </c>
      <c r="N703" s="2">
        <v>4</v>
      </c>
      <c r="O703" s="2">
        <v>10</v>
      </c>
      <c r="P703" s="2">
        <v>10</v>
      </c>
      <c r="Q703" s="2" t="s">
        <v>2741</v>
      </c>
      <c r="R703" s="2" t="s">
        <v>2742</v>
      </c>
      <c r="S703" s="4">
        <v>44837</v>
      </c>
    </row>
    <row r="704" spans="1:19" ht="12.5" x14ac:dyDescent="0.25">
      <c r="A704" s="14" t="str">
        <f>HYPERLINK("https://gerandofalcoes.my.salesforce.com/0014X00002VKCslQAH", "0014X00002VKCslQAH")</f>
        <v>0014X00002VKCslQAH</v>
      </c>
      <c r="B704" s="2" t="s">
        <v>2667</v>
      </c>
      <c r="C704" s="2" t="s">
        <v>1800</v>
      </c>
      <c r="D704" s="2" t="s">
        <v>2</v>
      </c>
      <c r="E704" s="2">
        <v>17</v>
      </c>
      <c r="F704" s="2">
        <v>0</v>
      </c>
      <c r="G704" s="2">
        <v>2</v>
      </c>
      <c r="H704" s="2">
        <v>18000</v>
      </c>
      <c r="I704" s="2">
        <v>10</v>
      </c>
      <c r="J704" s="2" t="s">
        <v>1779</v>
      </c>
      <c r="K704" s="2">
        <v>26</v>
      </c>
      <c r="L704" s="2">
        <v>10</v>
      </c>
      <c r="M704" s="2">
        <v>0</v>
      </c>
      <c r="N704" s="2">
        <v>6</v>
      </c>
      <c r="O704" s="2">
        <v>5</v>
      </c>
      <c r="P704" s="2">
        <v>5</v>
      </c>
      <c r="Q704" s="2" t="s">
        <v>2668</v>
      </c>
      <c r="R704" s="2" t="s">
        <v>2669</v>
      </c>
      <c r="S704" s="4">
        <v>44837</v>
      </c>
    </row>
    <row r="705" spans="1:19" ht="12.5" x14ac:dyDescent="0.25">
      <c r="A705" s="14" t="str">
        <f>HYPERLINK("https://gerandofalcoes.my.salesforce.com/0014P00003YSp8vQAD", "0014P00003YSp8vQAD")</f>
        <v>0014P00003YSp8vQAD</v>
      </c>
      <c r="B705" s="2" t="s">
        <v>2019</v>
      </c>
      <c r="C705" s="2" t="s">
        <v>1800</v>
      </c>
      <c r="D705" s="2" t="s">
        <v>2</v>
      </c>
      <c r="E705" s="2">
        <v>38</v>
      </c>
      <c r="F705" s="2">
        <v>2</v>
      </c>
      <c r="G705" s="2">
        <v>2</v>
      </c>
      <c r="H705" s="2">
        <v>5000</v>
      </c>
      <c r="I705" s="2">
        <v>0</v>
      </c>
      <c r="J705" s="2" t="s">
        <v>1779</v>
      </c>
      <c r="K705" s="2">
        <v>31</v>
      </c>
      <c r="L705" s="2">
        <v>15</v>
      </c>
      <c r="M705" s="2">
        <v>5</v>
      </c>
      <c r="N705" s="2">
        <v>6</v>
      </c>
      <c r="O705" s="2">
        <v>5</v>
      </c>
      <c r="P705" s="2">
        <v>0</v>
      </c>
      <c r="Q705" s="2" t="s">
        <v>2020</v>
      </c>
      <c r="R705" s="2" t="s">
        <v>2021</v>
      </c>
      <c r="S705" s="4">
        <v>44837</v>
      </c>
    </row>
    <row r="706" spans="1:19" ht="12.5" x14ac:dyDescent="0.25">
      <c r="A706" s="14" t="str">
        <f>HYPERLINK("https://gerandofalcoes.my.salesforce.com/0014P00003YSp8wQAD", "0014P00003YSp8wQAD")</f>
        <v>0014P00003YSp8wQAD</v>
      </c>
      <c r="B706" s="2" t="s">
        <v>2686</v>
      </c>
      <c r="C706" s="2" t="s">
        <v>423</v>
      </c>
      <c r="D706" s="2" t="s">
        <v>2</v>
      </c>
      <c r="E706" s="2">
        <v>16</v>
      </c>
      <c r="F706" s="2">
        <v>8</v>
      </c>
      <c r="G706" s="2">
        <v>2</v>
      </c>
      <c r="H706" s="2">
        <v>55000</v>
      </c>
      <c r="I706" s="2">
        <v>3000</v>
      </c>
      <c r="J706" s="2" t="s">
        <v>1671</v>
      </c>
      <c r="K706" s="2">
        <v>56</v>
      </c>
      <c r="L706" s="2">
        <v>10</v>
      </c>
      <c r="M706" s="2">
        <v>10</v>
      </c>
      <c r="N706" s="2">
        <v>6</v>
      </c>
      <c r="O706" s="2">
        <v>10</v>
      </c>
      <c r="P706" s="2">
        <v>20</v>
      </c>
      <c r="Q706" s="2" t="s">
        <v>2687</v>
      </c>
      <c r="R706" s="2" t="s">
        <v>2688</v>
      </c>
      <c r="S706" s="4">
        <v>44837</v>
      </c>
    </row>
    <row r="707" spans="1:19" ht="12.5" x14ac:dyDescent="0.25">
      <c r="A707" s="14" t="str">
        <f>HYPERLINK("https://gerandofalcoes.my.salesforce.com/0014P00003YSp8yQAD", "0014P00003YSp8yQAD")</f>
        <v>0014P00003YSp8yQAD</v>
      </c>
      <c r="B707" s="2" t="s">
        <v>2536</v>
      </c>
      <c r="C707" s="2" t="s">
        <v>1800</v>
      </c>
      <c r="D707" s="2" t="s">
        <v>2</v>
      </c>
      <c r="E707" s="2">
        <v>21</v>
      </c>
      <c r="F707" s="2">
        <v>2</v>
      </c>
      <c r="G707" s="2">
        <v>2</v>
      </c>
      <c r="H707" s="2">
        <v>0</v>
      </c>
      <c r="I707" s="2">
        <v>0</v>
      </c>
      <c r="J707" s="2" t="s">
        <v>1779</v>
      </c>
      <c r="K707" s="2">
        <v>21</v>
      </c>
      <c r="L707" s="2">
        <v>10</v>
      </c>
      <c r="M707" s="2">
        <v>5</v>
      </c>
      <c r="N707" s="2">
        <v>6</v>
      </c>
      <c r="O707" s="2">
        <v>0</v>
      </c>
      <c r="P707" s="2">
        <v>0</v>
      </c>
      <c r="Q707" s="2" t="s">
        <v>2537</v>
      </c>
      <c r="R707" s="2" t="s">
        <v>2538</v>
      </c>
      <c r="S707" s="4">
        <v>44837</v>
      </c>
    </row>
    <row r="708" spans="1:19" ht="12.5" x14ac:dyDescent="0.25">
      <c r="A708" s="14" t="str">
        <f>HYPERLINK("https://gerandofalcoes.my.salesforce.com/0014P00003YSp8zQAD", "0014P00003YSp8zQAD")</f>
        <v>0014P00003YSp8zQAD</v>
      </c>
      <c r="B708" s="2" t="s">
        <v>2087</v>
      </c>
      <c r="C708" s="2" t="s">
        <v>423</v>
      </c>
      <c r="D708" s="2" t="s">
        <v>2</v>
      </c>
      <c r="E708" s="2">
        <v>29</v>
      </c>
      <c r="F708" s="2">
        <v>10</v>
      </c>
      <c r="G708" s="2">
        <v>2</v>
      </c>
      <c r="H708" s="2">
        <v>600000</v>
      </c>
      <c r="I708" s="2">
        <v>115</v>
      </c>
      <c r="J708" s="2" t="s">
        <v>1671</v>
      </c>
      <c r="K708" s="2">
        <v>61</v>
      </c>
      <c r="L708" s="2">
        <v>15</v>
      </c>
      <c r="M708" s="2">
        <v>10</v>
      </c>
      <c r="N708" s="2">
        <v>6</v>
      </c>
      <c r="O708" s="2">
        <v>20</v>
      </c>
      <c r="P708" s="2">
        <v>10</v>
      </c>
      <c r="Q708" s="2" t="s">
        <v>2088</v>
      </c>
      <c r="R708" s="2" t="s">
        <v>2089</v>
      </c>
      <c r="S708" s="4">
        <v>44837</v>
      </c>
    </row>
    <row r="709" spans="1:19" ht="12.5" x14ac:dyDescent="0.25">
      <c r="A709" s="14" t="str">
        <f>HYPERLINK("https://gerandofalcoes.my.salesforce.com/0014P00003YSp90QAD", "0014P00003YSp90QAD")</f>
        <v>0014P00003YSp90QAD</v>
      </c>
      <c r="B709" s="2" t="s">
        <v>2175</v>
      </c>
      <c r="C709" s="2" t="s">
        <v>1800</v>
      </c>
      <c r="D709" s="2" t="s">
        <v>2</v>
      </c>
      <c r="E709" s="2">
        <v>33</v>
      </c>
      <c r="F709" s="2">
        <v>41</v>
      </c>
      <c r="G709" s="2">
        <v>4</v>
      </c>
      <c r="H709" s="2">
        <v>0</v>
      </c>
      <c r="I709" s="2">
        <v>98</v>
      </c>
      <c r="J709" s="2" t="s">
        <v>1671</v>
      </c>
      <c r="K709" s="2">
        <v>50</v>
      </c>
      <c r="L709" s="2">
        <v>15</v>
      </c>
      <c r="M709" s="2">
        <v>15</v>
      </c>
      <c r="N709" s="2">
        <v>10</v>
      </c>
      <c r="O709" s="2">
        <v>0</v>
      </c>
      <c r="P709" s="2">
        <v>10</v>
      </c>
      <c r="Q709" s="2" t="s">
        <v>2176</v>
      </c>
      <c r="R709" s="2" t="s">
        <v>2177</v>
      </c>
      <c r="S709" s="4">
        <v>44837</v>
      </c>
    </row>
    <row r="710" spans="1:19" ht="12.5" x14ac:dyDescent="0.25">
      <c r="A710" s="14" t="str">
        <f>HYPERLINK("https://gerandofalcoes.my.salesforce.com/0014P00003YSp91QAD", "0014P00003YSp91QAD")</f>
        <v>0014P00003YSp91QAD</v>
      </c>
      <c r="B710" s="2" t="s">
        <v>2697</v>
      </c>
      <c r="C710" s="2" t="s">
        <v>423</v>
      </c>
      <c r="D710" s="2" t="s">
        <v>2</v>
      </c>
      <c r="E710" s="2">
        <v>19</v>
      </c>
      <c r="F710" s="2">
        <v>8</v>
      </c>
      <c r="G710" s="2">
        <v>1</v>
      </c>
      <c r="H710" s="2">
        <v>24000</v>
      </c>
      <c r="I710" s="2">
        <v>200</v>
      </c>
      <c r="J710" s="2" t="s">
        <v>1671</v>
      </c>
      <c r="K710" s="2">
        <v>41</v>
      </c>
      <c r="L710" s="2">
        <v>10</v>
      </c>
      <c r="M710" s="2">
        <v>10</v>
      </c>
      <c r="N710" s="2">
        <v>4</v>
      </c>
      <c r="O710" s="2">
        <v>5</v>
      </c>
      <c r="P710" s="2">
        <v>12</v>
      </c>
      <c r="Q710" s="2" t="s">
        <v>2698</v>
      </c>
      <c r="R710" s="2" t="s">
        <v>2699</v>
      </c>
      <c r="S710" s="4">
        <v>44837</v>
      </c>
    </row>
    <row r="711" spans="1:19" ht="12.5" x14ac:dyDescent="0.25">
      <c r="A711" s="14" t="str">
        <f>HYPERLINK("https://gerandofalcoes.my.salesforce.com/0014P00003YSp92QAD", "0014P00003YSp92QAD")</f>
        <v>0014P00003YSp92QAD</v>
      </c>
      <c r="B711" s="2" t="s">
        <v>1892</v>
      </c>
      <c r="C711" s="2" t="s">
        <v>423</v>
      </c>
      <c r="D711" s="2" t="s">
        <v>2</v>
      </c>
      <c r="E711" s="2">
        <v>37</v>
      </c>
      <c r="F711" s="2">
        <v>2</v>
      </c>
      <c r="G711" s="2">
        <v>3</v>
      </c>
      <c r="H711" s="2">
        <v>109472</v>
      </c>
      <c r="I711" s="2">
        <v>40</v>
      </c>
      <c r="J711" s="2" t="s">
        <v>1671</v>
      </c>
      <c r="K711" s="2">
        <v>48</v>
      </c>
      <c r="L711" s="2">
        <v>15</v>
      </c>
      <c r="M711" s="2">
        <v>5</v>
      </c>
      <c r="N711" s="2">
        <v>8</v>
      </c>
      <c r="O711" s="2">
        <v>15</v>
      </c>
      <c r="P711" s="2">
        <v>5</v>
      </c>
      <c r="Q711" s="2" t="s">
        <v>1893</v>
      </c>
      <c r="R711" s="2" t="s">
        <v>1894</v>
      </c>
      <c r="S711" s="4">
        <v>44837</v>
      </c>
    </row>
    <row r="712" spans="1:19" ht="12.5" x14ac:dyDescent="0.25">
      <c r="A712" s="14" t="str">
        <f>HYPERLINK("https://gerandofalcoes.my.salesforce.com/0014X00002VKCv8QAH", "0014X00002VKCv8QAH")</f>
        <v>0014X00002VKCv8QAH</v>
      </c>
      <c r="B712" s="2" t="s">
        <v>2343</v>
      </c>
      <c r="C712" s="2" t="s">
        <v>423</v>
      </c>
      <c r="D712" s="2" t="s">
        <v>2</v>
      </c>
      <c r="E712" s="2">
        <v>19</v>
      </c>
      <c r="F712" s="2">
        <v>0</v>
      </c>
      <c r="G712" s="2">
        <v>0</v>
      </c>
      <c r="H712" s="2">
        <v>0</v>
      </c>
      <c r="I712" s="2">
        <v>400</v>
      </c>
      <c r="J712" s="2" t="s">
        <v>1779</v>
      </c>
      <c r="K712" s="2">
        <v>25</v>
      </c>
      <c r="L712" s="2">
        <v>10</v>
      </c>
      <c r="M712" s="2">
        <v>0</v>
      </c>
      <c r="N712" s="2">
        <v>0</v>
      </c>
      <c r="O712" s="2">
        <v>0</v>
      </c>
      <c r="P712" s="2">
        <v>15</v>
      </c>
      <c r="Q712" s="2" t="s">
        <v>2344</v>
      </c>
      <c r="R712" s="2" t="s">
        <v>2345</v>
      </c>
      <c r="S712" s="4">
        <v>44837</v>
      </c>
    </row>
    <row r="713" spans="1:19" ht="12.5" x14ac:dyDescent="0.25">
      <c r="A713" s="14" t="str">
        <f>HYPERLINK("https://gerandofalcoes.my.salesforce.com/0014X00002VKCp4QAH", "0014X00002VKCp4QAH")</f>
        <v>0014X00002VKCp4QAH</v>
      </c>
      <c r="B713" s="2" t="s">
        <v>2518</v>
      </c>
      <c r="C713" s="2" t="s">
        <v>1800</v>
      </c>
      <c r="D713" s="2" t="s">
        <v>2</v>
      </c>
      <c r="E713" s="2">
        <v>21</v>
      </c>
      <c r="F713" s="2">
        <v>0</v>
      </c>
      <c r="G713" s="2">
        <v>2</v>
      </c>
      <c r="H713" s="2">
        <v>0</v>
      </c>
      <c r="I713" s="2">
        <v>70</v>
      </c>
      <c r="J713" s="2" t="s">
        <v>1779</v>
      </c>
      <c r="K713" s="2">
        <v>21</v>
      </c>
      <c r="L713" s="2">
        <v>10</v>
      </c>
      <c r="M713" s="2">
        <v>0</v>
      </c>
      <c r="N713" s="2">
        <v>6</v>
      </c>
      <c r="O713" s="2">
        <v>0</v>
      </c>
      <c r="P713" s="2">
        <v>5</v>
      </c>
      <c r="Q713" s="2" t="s">
        <v>2519</v>
      </c>
      <c r="R713" s="2" t="s">
        <v>2520</v>
      </c>
      <c r="S713" s="4">
        <v>44837</v>
      </c>
    </row>
    <row r="714" spans="1:19" ht="12.5" x14ac:dyDescent="0.25">
      <c r="A714" s="14" t="str">
        <f>HYPERLINK("https://gerandofalcoes.my.salesforce.com/0014X00002VKCucQAH", "0014X00002VKCucQAH")</f>
        <v>0014X00002VKCucQAH</v>
      </c>
      <c r="B714" s="2" t="s">
        <v>2944</v>
      </c>
      <c r="C714" s="2" t="s">
        <v>423</v>
      </c>
      <c r="D714" s="2" t="s">
        <v>2</v>
      </c>
      <c r="E714" s="2">
        <v>30</v>
      </c>
      <c r="F714" s="2">
        <v>0</v>
      </c>
      <c r="G714" s="2">
        <v>1</v>
      </c>
      <c r="H714" s="2">
        <v>300</v>
      </c>
      <c r="I714" s="2">
        <v>0</v>
      </c>
      <c r="J714" s="2" t="s">
        <v>1779</v>
      </c>
      <c r="K714" s="2">
        <v>24</v>
      </c>
      <c r="L714" s="2">
        <v>15</v>
      </c>
      <c r="M714" s="2">
        <v>0</v>
      </c>
      <c r="N714" s="2">
        <v>4</v>
      </c>
      <c r="O714" s="2">
        <v>5</v>
      </c>
      <c r="P714" s="2">
        <v>0</v>
      </c>
      <c r="Q714" s="2" t="s">
        <v>2945</v>
      </c>
      <c r="R714" s="2" t="s">
        <v>2946</v>
      </c>
      <c r="S714" s="4">
        <v>44837</v>
      </c>
    </row>
    <row r="715" spans="1:19" ht="12.5" x14ac:dyDescent="0.25">
      <c r="A715" s="14" t="str">
        <f>HYPERLINK("https://gerandofalcoes.my.salesforce.com/0014X00002VKCpQQAX", "0014X00002VKCpQQAX")</f>
        <v>0014X00002VKCpQQAX</v>
      </c>
      <c r="B715" s="2" t="s">
        <v>2004</v>
      </c>
      <c r="C715" s="2" t="s">
        <v>423</v>
      </c>
      <c r="D715" s="2" t="s">
        <v>2</v>
      </c>
      <c r="E715" s="2">
        <v>38.72</v>
      </c>
      <c r="F715" s="2">
        <v>0</v>
      </c>
      <c r="G715" s="2">
        <v>5</v>
      </c>
      <c r="H715" s="2">
        <v>90250</v>
      </c>
      <c r="I715" s="2">
        <v>125</v>
      </c>
      <c r="J715" s="2" t="s">
        <v>1671</v>
      </c>
      <c r="K715" s="2">
        <v>45</v>
      </c>
      <c r="L715" s="2">
        <v>15</v>
      </c>
      <c r="M715" s="2">
        <v>0</v>
      </c>
      <c r="N715" s="2">
        <v>10</v>
      </c>
      <c r="O715" s="2">
        <v>10</v>
      </c>
      <c r="P715" s="2">
        <v>10</v>
      </c>
      <c r="Q715" s="2" t="s">
        <v>2005</v>
      </c>
      <c r="R715" s="2" t="s">
        <v>2006</v>
      </c>
      <c r="S715" s="4">
        <v>44837</v>
      </c>
    </row>
    <row r="716" spans="1:19" ht="12.5" x14ac:dyDescent="0.25">
      <c r="A716" s="14" t="str">
        <f>HYPERLINK("https://gerandofalcoes.my.salesforce.com/0014P00003YSp94QAD", "0014P00003YSp94QAD")</f>
        <v>0014P00003YSp94QAD</v>
      </c>
      <c r="B716" s="2" t="s">
        <v>2131</v>
      </c>
      <c r="C716" s="2" t="s">
        <v>1800</v>
      </c>
      <c r="D716" s="2" t="s">
        <v>2</v>
      </c>
      <c r="E716" s="2">
        <v>34</v>
      </c>
      <c r="F716" s="2">
        <v>0</v>
      </c>
      <c r="G716" s="2">
        <v>2</v>
      </c>
      <c r="H716" s="2">
        <v>25000</v>
      </c>
      <c r="I716" s="2">
        <v>600</v>
      </c>
      <c r="J716" s="2" t="s">
        <v>1671</v>
      </c>
      <c r="K716" s="2">
        <v>51</v>
      </c>
      <c r="L716" s="2">
        <v>15</v>
      </c>
      <c r="M716" s="2">
        <v>0</v>
      </c>
      <c r="N716" s="2">
        <v>6</v>
      </c>
      <c r="O716" s="2">
        <v>10</v>
      </c>
      <c r="P716" s="2">
        <v>20</v>
      </c>
      <c r="Q716" s="2" t="s">
        <v>2132</v>
      </c>
      <c r="R716" s="2" t="s">
        <v>2132</v>
      </c>
      <c r="S716" s="4">
        <v>44837</v>
      </c>
    </row>
    <row r="717" spans="1:19" ht="12.5" x14ac:dyDescent="0.25">
      <c r="A717" s="14" t="str">
        <f>HYPERLINK("https://gerandofalcoes.my.salesforce.com/0014P00003YSp95QAD", "0014P00003YSp95QAD")</f>
        <v>0014P00003YSp95QAD</v>
      </c>
      <c r="B717" s="2" t="s">
        <v>1861</v>
      </c>
      <c r="C717" s="2" t="s">
        <v>423</v>
      </c>
      <c r="D717" s="2" t="s">
        <v>2</v>
      </c>
      <c r="E717" s="2">
        <v>36</v>
      </c>
      <c r="F717" s="2">
        <v>8</v>
      </c>
      <c r="G717" s="2">
        <v>3</v>
      </c>
      <c r="H717" s="2">
        <v>60127</v>
      </c>
      <c r="I717" s="2">
        <v>841</v>
      </c>
      <c r="J717" s="2" t="s">
        <v>1671</v>
      </c>
      <c r="K717" s="2">
        <v>63</v>
      </c>
      <c r="L717" s="2">
        <v>15</v>
      </c>
      <c r="M717" s="2">
        <v>10</v>
      </c>
      <c r="N717" s="2">
        <v>8</v>
      </c>
      <c r="O717" s="2">
        <v>10</v>
      </c>
      <c r="P717" s="2">
        <v>20</v>
      </c>
      <c r="Q717" s="2" t="s">
        <v>1862</v>
      </c>
      <c r="R717" s="2" t="s">
        <v>1863</v>
      </c>
      <c r="S717" s="4">
        <v>44837</v>
      </c>
    </row>
    <row r="718" spans="1:19" ht="12.5" x14ac:dyDescent="0.25">
      <c r="A718" s="14" t="str">
        <f>HYPERLINK("https://gerandofalcoes.my.salesforce.com/0014P00003YSp97QAD", "0014P00003YSp97QAD")</f>
        <v>0014P00003YSp97QAD</v>
      </c>
      <c r="B718" s="2" t="s">
        <v>2013</v>
      </c>
      <c r="C718" s="2" t="s">
        <v>1800</v>
      </c>
      <c r="D718" s="2" t="s">
        <v>2</v>
      </c>
      <c r="E718" s="2">
        <v>38</v>
      </c>
      <c r="F718" s="2">
        <v>5</v>
      </c>
      <c r="G718" s="2">
        <v>3</v>
      </c>
      <c r="H718" s="2">
        <v>900000</v>
      </c>
      <c r="I718" s="2">
        <v>450</v>
      </c>
      <c r="J718" s="2" t="s">
        <v>1650</v>
      </c>
      <c r="K718" s="2">
        <v>73</v>
      </c>
      <c r="L718" s="2">
        <v>15</v>
      </c>
      <c r="M718" s="2">
        <v>5</v>
      </c>
      <c r="N718" s="2">
        <v>8</v>
      </c>
      <c r="O718" s="2">
        <v>25</v>
      </c>
      <c r="P718" s="2">
        <v>20</v>
      </c>
      <c r="Q718" s="2" t="s">
        <v>2014</v>
      </c>
      <c r="R718" s="2" t="s">
        <v>2015</v>
      </c>
      <c r="S718" s="4">
        <v>44837</v>
      </c>
    </row>
    <row r="719" spans="1:19" ht="12.5" x14ac:dyDescent="0.25">
      <c r="A719" s="14" t="str">
        <f>HYPERLINK("https://gerandofalcoes.my.salesforce.com/0014P00003YSp98QAD", "0014P00003YSp98QAD")</f>
        <v>0014P00003YSp98QAD</v>
      </c>
      <c r="B719" s="2" t="s">
        <v>2010</v>
      </c>
      <c r="C719" s="2" t="s">
        <v>423</v>
      </c>
      <c r="D719" s="2" t="s">
        <v>2</v>
      </c>
      <c r="E719" s="2">
        <v>38</v>
      </c>
      <c r="F719" s="2">
        <v>5</v>
      </c>
      <c r="G719" s="2">
        <v>2</v>
      </c>
      <c r="H719" s="2">
        <v>15000</v>
      </c>
      <c r="I719" s="2">
        <v>500</v>
      </c>
      <c r="J719" s="2" t="s">
        <v>1671</v>
      </c>
      <c r="K719" s="2">
        <v>51</v>
      </c>
      <c r="L719" s="2">
        <v>15</v>
      </c>
      <c r="M719" s="2">
        <v>5</v>
      </c>
      <c r="N719" s="2">
        <v>6</v>
      </c>
      <c r="O719" s="2">
        <v>5</v>
      </c>
      <c r="P719" s="2">
        <v>20</v>
      </c>
      <c r="Q719" s="2" t="s">
        <v>2011</v>
      </c>
      <c r="R719" s="2" t="s">
        <v>2012</v>
      </c>
      <c r="S719" s="4">
        <v>44837</v>
      </c>
    </row>
    <row r="720" spans="1:19" ht="12.5" x14ac:dyDescent="0.25">
      <c r="A720" s="14" t="str">
        <f>HYPERLINK("https://gerandofalcoes.my.salesforce.com/0014P00003YSp99QAD", "0014P00003YSp99QAD")</f>
        <v>0014P00003YSp99QAD</v>
      </c>
      <c r="B720" s="2" t="s">
        <v>1695</v>
      </c>
      <c r="C720" s="2" t="s">
        <v>423</v>
      </c>
      <c r="D720" s="2" t="s">
        <v>2</v>
      </c>
      <c r="E720" s="2">
        <v>41</v>
      </c>
      <c r="F720" s="2">
        <v>0</v>
      </c>
      <c r="G720" s="2">
        <v>5</v>
      </c>
      <c r="H720" s="2">
        <v>68450</v>
      </c>
      <c r="I720" s="2">
        <v>204</v>
      </c>
      <c r="J720" s="2" t="s">
        <v>1671</v>
      </c>
      <c r="K720" s="2">
        <v>47</v>
      </c>
      <c r="L720" s="2">
        <v>15</v>
      </c>
      <c r="M720" s="2">
        <v>0</v>
      </c>
      <c r="N720" s="2">
        <v>10</v>
      </c>
      <c r="O720" s="2">
        <v>10</v>
      </c>
      <c r="P720" s="2">
        <v>12</v>
      </c>
      <c r="Q720" s="2" t="s">
        <v>1696</v>
      </c>
      <c r="R720" s="2" t="s">
        <v>1697</v>
      </c>
      <c r="S720" s="4">
        <v>44837</v>
      </c>
    </row>
    <row r="721" spans="1:19" ht="12.5" x14ac:dyDescent="0.25">
      <c r="A721" s="14" t="str">
        <f>HYPERLINK("https://gerandofalcoes.my.salesforce.com/0014P00003YSp9AQAT", "0014P00003YSp9AQAT")</f>
        <v>0014P00003YSp9AQAT</v>
      </c>
      <c r="B721" s="2" t="s">
        <v>1957</v>
      </c>
      <c r="C721" s="2" t="s">
        <v>423</v>
      </c>
      <c r="D721" s="2" t="s">
        <v>2</v>
      </c>
      <c r="E721" s="2">
        <v>40.99</v>
      </c>
      <c r="F721" s="2">
        <v>0</v>
      </c>
      <c r="G721" s="2">
        <v>4</v>
      </c>
      <c r="H721" s="2">
        <v>45453</v>
      </c>
      <c r="I721" s="2">
        <v>355</v>
      </c>
      <c r="J721" s="2" t="s">
        <v>1671</v>
      </c>
      <c r="K721" s="2">
        <v>50</v>
      </c>
      <c r="L721" s="2">
        <v>15</v>
      </c>
      <c r="M721" s="2">
        <v>0</v>
      </c>
      <c r="N721" s="2">
        <v>10</v>
      </c>
      <c r="O721" s="2">
        <v>10</v>
      </c>
      <c r="P721" s="2">
        <v>15</v>
      </c>
      <c r="Q721" s="2" t="s">
        <v>1958</v>
      </c>
      <c r="R721" s="2" t="s">
        <v>1958</v>
      </c>
      <c r="S721" s="4">
        <v>44837</v>
      </c>
    </row>
    <row r="722" spans="1:19" ht="12.5" x14ac:dyDescent="0.25">
      <c r="A722" s="14" t="str">
        <f>HYPERLINK("https://gerandofalcoes.my.salesforce.com/0014P00003YSp9BQAT", "0014P00003YSp9BQAT")</f>
        <v>0014P00003YSp9BQAT</v>
      </c>
      <c r="B722" s="2" t="s">
        <v>2839</v>
      </c>
      <c r="C722" s="2" t="s">
        <v>1800</v>
      </c>
      <c r="D722" s="2" t="s">
        <v>2</v>
      </c>
      <c r="E722" s="2">
        <v>11</v>
      </c>
      <c r="F722" s="2">
        <v>24</v>
      </c>
      <c r="G722" s="2">
        <v>4</v>
      </c>
      <c r="H722" s="2">
        <v>200</v>
      </c>
      <c r="I722" s="2">
        <v>112</v>
      </c>
      <c r="J722" s="2" t="s">
        <v>1671</v>
      </c>
      <c r="K722" s="2">
        <v>47</v>
      </c>
      <c r="L722" s="2">
        <v>10</v>
      </c>
      <c r="M722" s="2">
        <v>12</v>
      </c>
      <c r="N722" s="2">
        <v>10</v>
      </c>
      <c r="O722" s="2">
        <v>5</v>
      </c>
      <c r="P722" s="2">
        <v>10</v>
      </c>
      <c r="Q722" s="2" t="s">
        <v>2840</v>
      </c>
      <c r="R722" s="2" t="s">
        <v>2841</v>
      </c>
      <c r="S722" s="4">
        <v>44837</v>
      </c>
    </row>
    <row r="723" spans="1:19" ht="12.5" x14ac:dyDescent="0.25">
      <c r="A723" s="14" t="str">
        <f>HYPERLINK("https://gerandofalcoes.my.salesforce.com/0014P00003YSp9CQAT", "0014P00003YSp9CQAT")</f>
        <v>0014P00003YSp9CQAT</v>
      </c>
      <c r="B723" s="2" t="s">
        <v>2103</v>
      </c>
      <c r="C723" s="2" t="s">
        <v>1800</v>
      </c>
      <c r="D723" s="2" t="s">
        <v>2</v>
      </c>
      <c r="E723" s="2">
        <v>35</v>
      </c>
      <c r="F723" s="2">
        <v>1</v>
      </c>
      <c r="G723" s="2">
        <v>2</v>
      </c>
      <c r="H723" s="2">
        <v>120000</v>
      </c>
      <c r="I723" s="2">
        <v>100</v>
      </c>
      <c r="J723" s="2" t="s">
        <v>1671</v>
      </c>
      <c r="K723" s="2">
        <v>51</v>
      </c>
      <c r="L723" s="2">
        <v>15</v>
      </c>
      <c r="M723" s="2">
        <v>5</v>
      </c>
      <c r="N723" s="2">
        <v>6</v>
      </c>
      <c r="O723" s="2">
        <v>15</v>
      </c>
      <c r="P723" s="2">
        <v>10</v>
      </c>
      <c r="Q723" s="2" t="s">
        <v>2104</v>
      </c>
      <c r="R723" s="2" t="s">
        <v>2105</v>
      </c>
      <c r="S723" s="4">
        <v>44837</v>
      </c>
    </row>
    <row r="724" spans="1:19" ht="12.5" x14ac:dyDescent="0.25">
      <c r="A724" s="14" t="str">
        <f>HYPERLINK("https://gerandofalcoes.my.salesforce.com/0014P00003YSp9DQAT", "0014P00003YSp9DQAT")</f>
        <v>0014P00003YSp9DQAT</v>
      </c>
      <c r="B724" s="2" t="s">
        <v>2539</v>
      </c>
      <c r="C724" s="2" t="s">
        <v>1684</v>
      </c>
      <c r="D724" s="2" t="s">
        <v>2</v>
      </c>
      <c r="E724" s="2">
        <v>21</v>
      </c>
      <c r="F724" s="2">
        <v>1</v>
      </c>
      <c r="G724" s="2">
        <v>0</v>
      </c>
      <c r="H724" s="2">
        <v>0</v>
      </c>
      <c r="I724" s="2">
        <v>0</v>
      </c>
      <c r="J724" s="2" t="s">
        <v>1779</v>
      </c>
      <c r="K724" s="2">
        <v>15</v>
      </c>
      <c r="L724" s="2">
        <v>10</v>
      </c>
      <c r="M724" s="2">
        <v>5</v>
      </c>
      <c r="N724" s="2">
        <v>0</v>
      </c>
      <c r="O724" s="2">
        <v>0</v>
      </c>
      <c r="P724" s="2">
        <v>0</v>
      </c>
      <c r="Q724" s="2" t="s">
        <v>2540</v>
      </c>
      <c r="R724" s="2" t="s">
        <v>2540</v>
      </c>
      <c r="S724" s="4">
        <v>44837</v>
      </c>
    </row>
    <row r="725" spans="1:19" ht="12.5" x14ac:dyDescent="0.25">
      <c r="A725" s="14" t="str">
        <f>HYPERLINK("https://gerandofalcoes.my.salesforce.com/0014P00003YSp9EQAT", "0014P00003YSp9EQAT")</f>
        <v>0014P00003YSp9EQAT</v>
      </c>
      <c r="B725" s="2" t="s">
        <v>2279</v>
      </c>
      <c r="C725" s="2" t="s">
        <v>423</v>
      </c>
      <c r="D725" s="2" t="s">
        <v>2</v>
      </c>
      <c r="E725" s="2">
        <v>29.85</v>
      </c>
      <c r="F725" s="2">
        <v>2</v>
      </c>
      <c r="G725" s="2">
        <v>0</v>
      </c>
      <c r="H725" s="2">
        <v>0</v>
      </c>
      <c r="I725" s="2">
        <v>30</v>
      </c>
      <c r="J725" s="2" t="s">
        <v>1779</v>
      </c>
      <c r="K725" s="2">
        <v>25</v>
      </c>
      <c r="L725" s="2">
        <v>15</v>
      </c>
      <c r="M725" s="2">
        <v>5</v>
      </c>
      <c r="N725" s="2">
        <v>0</v>
      </c>
      <c r="O725" s="2">
        <v>0</v>
      </c>
      <c r="P725" s="2">
        <v>5</v>
      </c>
      <c r="Q725" s="2" t="s">
        <v>2280</v>
      </c>
      <c r="R725" s="2" t="s">
        <v>2281</v>
      </c>
      <c r="S725" s="4">
        <v>44837</v>
      </c>
    </row>
    <row r="726" spans="1:19" ht="12.5" x14ac:dyDescent="0.25">
      <c r="A726" s="14" t="str">
        <f>HYPERLINK("https://gerandofalcoes.my.salesforce.com/0014P00003YSp9FQAT", "0014P00003YSp9FQAT")</f>
        <v>0014P00003YSp9FQAT</v>
      </c>
      <c r="B726" s="2" t="s">
        <v>1972</v>
      </c>
      <c r="C726" s="2" t="s">
        <v>423</v>
      </c>
      <c r="D726" s="2" t="s">
        <v>2</v>
      </c>
      <c r="E726" s="2">
        <v>43</v>
      </c>
      <c r="F726" s="2">
        <v>7</v>
      </c>
      <c r="G726" s="2">
        <v>1</v>
      </c>
      <c r="H726" s="2">
        <v>43800</v>
      </c>
      <c r="I726" s="2">
        <v>60</v>
      </c>
      <c r="J726" s="2" t="s">
        <v>1671</v>
      </c>
      <c r="K726" s="2">
        <v>44</v>
      </c>
      <c r="L726" s="2">
        <v>15</v>
      </c>
      <c r="M726" s="2">
        <v>10</v>
      </c>
      <c r="N726" s="2">
        <v>4</v>
      </c>
      <c r="O726" s="2">
        <v>10</v>
      </c>
      <c r="P726" s="2">
        <v>5</v>
      </c>
      <c r="Q726" s="2" t="s">
        <v>1973</v>
      </c>
      <c r="R726" s="2" t="s">
        <v>1974</v>
      </c>
      <c r="S726" s="4">
        <v>44837</v>
      </c>
    </row>
    <row r="727" spans="1:19" ht="12.5" x14ac:dyDescent="0.25">
      <c r="A727" s="14" t="str">
        <f>HYPERLINK("https://gerandofalcoes.my.salesforce.com/0014P00003YSp9HQAT", "0014P00003YSp9HQAT")</f>
        <v>0014P00003YSp9HQAT</v>
      </c>
      <c r="B727" s="2" t="s">
        <v>2147</v>
      </c>
      <c r="C727" s="2" t="s">
        <v>423</v>
      </c>
      <c r="D727" s="2" t="s">
        <v>2</v>
      </c>
      <c r="E727" s="2">
        <v>36.79</v>
      </c>
      <c r="F727" s="2">
        <v>0</v>
      </c>
      <c r="G727" s="2">
        <v>2</v>
      </c>
      <c r="H727" s="2">
        <v>6435</v>
      </c>
      <c r="I727" s="2">
        <v>0</v>
      </c>
      <c r="J727" s="2" t="s">
        <v>1779</v>
      </c>
      <c r="K727" s="2">
        <v>26</v>
      </c>
      <c r="L727" s="2">
        <v>15</v>
      </c>
      <c r="M727" s="2">
        <v>0</v>
      </c>
      <c r="N727" s="2">
        <v>6</v>
      </c>
      <c r="O727" s="2">
        <v>5</v>
      </c>
      <c r="P727" s="2">
        <v>0</v>
      </c>
      <c r="Q727" s="2" t="s">
        <v>2148</v>
      </c>
      <c r="R727" s="2" t="s">
        <v>2149</v>
      </c>
      <c r="S727" s="4">
        <v>44837</v>
      </c>
    </row>
    <row r="728" spans="1:19" ht="12.5" x14ac:dyDescent="0.25">
      <c r="A728" s="14" t="str">
        <f>HYPERLINK("https://gerandofalcoes.my.salesforce.com/0014P00003YSp9IQAT", "0014P00003YSp9IQAT")</f>
        <v>0014P00003YSp9IQAT</v>
      </c>
      <c r="B728" s="2" t="s">
        <v>2425</v>
      </c>
      <c r="C728" s="2" t="s">
        <v>1684</v>
      </c>
      <c r="D728" s="2" t="s">
        <v>2</v>
      </c>
      <c r="E728" s="2">
        <v>25</v>
      </c>
      <c r="F728" s="2">
        <v>0</v>
      </c>
      <c r="G728" s="2">
        <v>0</v>
      </c>
      <c r="H728" s="2">
        <v>0</v>
      </c>
      <c r="I728" s="2">
        <v>0</v>
      </c>
      <c r="J728" s="2" t="s">
        <v>1779</v>
      </c>
      <c r="K728" s="2">
        <v>15</v>
      </c>
      <c r="L728" s="2">
        <v>15</v>
      </c>
      <c r="M728" s="2">
        <v>0</v>
      </c>
      <c r="N728" s="2">
        <v>0</v>
      </c>
      <c r="O728" s="2">
        <v>0</v>
      </c>
      <c r="P728" s="2">
        <v>0</v>
      </c>
      <c r="Q728" s="2" t="s">
        <v>2426</v>
      </c>
      <c r="R728" s="2" t="s">
        <v>2427</v>
      </c>
      <c r="S728" s="4">
        <v>44837</v>
      </c>
    </row>
    <row r="729" spans="1:19" ht="12.5" x14ac:dyDescent="0.25">
      <c r="A729" s="14" t="str">
        <f>HYPERLINK("https://gerandofalcoes.my.salesforce.com/0014P00003YSp9JQAT", "0014P00003YSp9JQAT")</f>
        <v>0014P00003YSp9JQAT</v>
      </c>
      <c r="B729" s="2" t="s">
        <v>2046</v>
      </c>
      <c r="C729" s="2" t="s">
        <v>423</v>
      </c>
      <c r="D729" s="2" t="s">
        <v>2</v>
      </c>
      <c r="E729" s="2">
        <v>37</v>
      </c>
      <c r="F729" s="2">
        <v>4</v>
      </c>
      <c r="G729" s="2">
        <v>4</v>
      </c>
      <c r="H729" s="2">
        <v>125000</v>
      </c>
      <c r="I729" s="2">
        <v>60</v>
      </c>
      <c r="J729" s="2" t="s">
        <v>1671</v>
      </c>
      <c r="K729" s="2">
        <v>50</v>
      </c>
      <c r="L729" s="2">
        <v>15</v>
      </c>
      <c r="M729" s="2">
        <v>5</v>
      </c>
      <c r="N729" s="2">
        <v>10</v>
      </c>
      <c r="O729" s="2">
        <v>15</v>
      </c>
      <c r="P729" s="2">
        <v>5</v>
      </c>
      <c r="Q729" s="2" t="s">
        <v>2047</v>
      </c>
      <c r="R729" s="2" t="s">
        <v>2048</v>
      </c>
      <c r="S729" s="4">
        <v>44837</v>
      </c>
    </row>
    <row r="730" spans="1:19" ht="12.5" x14ac:dyDescent="0.25">
      <c r="A730" s="14" t="str">
        <f>HYPERLINK("https://gerandofalcoes.my.salesforce.com/0014P00003YSp9LQAT", "0014P00003YSp9LQAT")</f>
        <v>0014P00003YSp9LQAT</v>
      </c>
      <c r="B730" s="2" t="s">
        <v>1908</v>
      </c>
      <c r="C730" s="2" t="s">
        <v>423</v>
      </c>
      <c r="D730" s="2" t="s">
        <v>2</v>
      </c>
      <c r="E730" s="2">
        <v>43</v>
      </c>
      <c r="F730" s="2">
        <v>16</v>
      </c>
      <c r="G730" s="2">
        <v>6</v>
      </c>
      <c r="H730" s="2">
        <v>153000</v>
      </c>
      <c r="I730" s="2">
        <v>593</v>
      </c>
      <c r="J730" s="2" t="s">
        <v>1650</v>
      </c>
      <c r="K730" s="2">
        <v>72</v>
      </c>
      <c r="L730" s="2">
        <v>15</v>
      </c>
      <c r="M730" s="2">
        <v>12</v>
      </c>
      <c r="N730" s="2">
        <v>10</v>
      </c>
      <c r="O730" s="2">
        <v>15</v>
      </c>
      <c r="P730" s="2">
        <v>20</v>
      </c>
      <c r="Q730" s="2" t="s">
        <v>1909</v>
      </c>
      <c r="R730" s="2" t="s">
        <v>1909</v>
      </c>
      <c r="S730" s="4">
        <v>44837</v>
      </c>
    </row>
    <row r="731" spans="1:19" ht="12.5" x14ac:dyDescent="0.25">
      <c r="A731" s="14" t="str">
        <f>HYPERLINK("https://gerandofalcoes.my.salesforce.com/0014P00003YSp9MQAT", "0014P00003YSp9MQAT")</f>
        <v>0014P00003YSp9MQAT</v>
      </c>
      <c r="B731" s="2" t="s">
        <v>1887</v>
      </c>
      <c r="C731" s="2" t="s">
        <v>1800</v>
      </c>
      <c r="D731" s="2" t="s">
        <v>2</v>
      </c>
      <c r="E731" s="2">
        <v>44</v>
      </c>
      <c r="F731" s="2">
        <v>2</v>
      </c>
      <c r="G731" s="2">
        <v>2</v>
      </c>
      <c r="H731" s="2">
        <v>9000</v>
      </c>
      <c r="I731" s="2">
        <v>30</v>
      </c>
      <c r="J731" s="2" t="s">
        <v>1779</v>
      </c>
      <c r="K731" s="2">
        <v>36</v>
      </c>
      <c r="L731" s="2">
        <v>15</v>
      </c>
      <c r="M731" s="2">
        <v>5</v>
      </c>
      <c r="N731" s="2">
        <v>6</v>
      </c>
      <c r="O731" s="2">
        <v>5</v>
      </c>
      <c r="P731" s="2">
        <v>5</v>
      </c>
      <c r="Q731" s="2" t="s">
        <v>1888</v>
      </c>
      <c r="R731" s="2" t="s">
        <v>1888</v>
      </c>
      <c r="S731" s="4">
        <v>44837</v>
      </c>
    </row>
    <row r="732" spans="1:19" ht="12.5" x14ac:dyDescent="0.25">
      <c r="A732" s="14" t="str">
        <f>HYPERLINK("https://gerandofalcoes.my.salesforce.com/0014P00003YSp9NQAT", "0014P00003YSp9NQAT")</f>
        <v>0014P00003YSp9NQAT</v>
      </c>
      <c r="B732" s="2" t="s">
        <v>2275</v>
      </c>
      <c r="C732" s="2" t="s">
        <v>423</v>
      </c>
      <c r="D732" s="2" t="s">
        <v>2</v>
      </c>
      <c r="E732" s="2">
        <v>30</v>
      </c>
      <c r="F732" s="2">
        <v>0</v>
      </c>
      <c r="G732" s="2">
        <v>2</v>
      </c>
      <c r="H732" s="2">
        <v>11000</v>
      </c>
      <c r="I732" s="2">
        <v>20</v>
      </c>
      <c r="J732" s="2" t="s">
        <v>1779</v>
      </c>
      <c r="K732" s="2">
        <v>31</v>
      </c>
      <c r="L732" s="2">
        <v>15</v>
      </c>
      <c r="M732" s="2">
        <v>0</v>
      </c>
      <c r="N732" s="2">
        <v>6</v>
      </c>
      <c r="O732" s="2">
        <v>5</v>
      </c>
      <c r="P732" s="2">
        <v>5</v>
      </c>
      <c r="Q732" s="2" t="s">
        <v>2276</v>
      </c>
      <c r="R732" s="2" t="s">
        <v>2276</v>
      </c>
      <c r="S732" s="4">
        <v>44837</v>
      </c>
    </row>
    <row r="733" spans="1:19" ht="12.5" x14ac:dyDescent="0.25">
      <c r="A733" s="14" t="str">
        <f>HYPERLINK("https://gerandofalcoes.my.salesforce.com/0014P00003YSp9OQAT", "0014P00003YSp9OQAT")</f>
        <v>0014P00003YSp9OQAT</v>
      </c>
      <c r="B733" s="2" t="s">
        <v>2593</v>
      </c>
      <c r="C733" s="2" t="s">
        <v>1800</v>
      </c>
      <c r="D733" s="2" t="s">
        <v>2</v>
      </c>
      <c r="E733" s="2">
        <v>19</v>
      </c>
      <c r="F733" s="2">
        <v>0</v>
      </c>
      <c r="G733" s="2">
        <v>8</v>
      </c>
      <c r="H733" s="2">
        <v>15000</v>
      </c>
      <c r="I733" s="2">
        <v>958</v>
      </c>
      <c r="J733" s="2" t="s">
        <v>1671</v>
      </c>
      <c r="K733" s="2">
        <v>45</v>
      </c>
      <c r="L733" s="2">
        <v>10</v>
      </c>
      <c r="M733" s="2">
        <v>0</v>
      </c>
      <c r="N733" s="2">
        <v>10</v>
      </c>
      <c r="O733" s="2">
        <v>5</v>
      </c>
      <c r="P733" s="2">
        <v>20</v>
      </c>
      <c r="Q733" s="2" t="s">
        <v>2594</v>
      </c>
      <c r="R733" s="2" t="s">
        <v>2595</v>
      </c>
      <c r="S733" s="4">
        <v>44837</v>
      </c>
    </row>
    <row r="734" spans="1:19" ht="12.5" x14ac:dyDescent="0.25">
      <c r="A734" s="14" t="str">
        <f>HYPERLINK("https://gerandofalcoes.my.salesforce.com/0014P00003YSpA0QAL", "0014P00003YSpA0QAL")</f>
        <v>0014P00003YSpA0QAL</v>
      </c>
      <c r="B734" s="2" t="s">
        <v>2734</v>
      </c>
      <c r="C734" s="2" t="s">
        <v>423</v>
      </c>
      <c r="D734" s="2" t="s">
        <v>2</v>
      </c>
      <c r="E734" s="2">
        <v>8</v>
      </c>
      <c r="F734" s="2">
        <v>10</v>
      </c>
      <c r="G734" s="2">
        <v>0</v>
      </c>
      <c r="H734" s="2">
        <v>0</v>
      </c>
      <c r="I734" s="2">
        <v>52</v>
      </c>
      <c r="J734" s="2" t="s">
        <v>1779</v>
      </c>
      <c r="K734" s="2">
        <v>25</v>
      </c>
      <c r="L734" s="2">
        <v>10</v>
      </c>
      <c r="M734" s="2">
        <v>10</v>
      </c>
      <c r="N734" s="2">
        <v>0</v>
      </c>
      <c r="O734" s="2">
        <v>0</v>
      </c>
      <c r="P734" s="2">
        <v>5</v>
      </c>
      <c r="Q734" s="2" t="s">
        <v>2735</v>
      </c>
      <c r="R734" s="2" t="s">
        <v>2736</v>
      </c>
      <c r="S734" s="4">
        <v>44837</v>
      </c>
    </row>
    <row r="735" spans="1:19" ht="12.5" x14ac:dyDescent="0.25">
      <c r="A735" s="14" t="str">
        <f>HYPERLINK("https://gerandofalcoes.my.salesforce.com/0014P00003YSpA1QAL", "0014P00003YSpA1QAL")</f>
        <v>0014P00003YSpA1QAL</v>
      </c>
      <c r="B735" s="2" t="s">
        <v>2238</v>
      </c>
      <c r="C735" s="2" t="s">
        <v>1800</v>
      </c>
      <c r="D735" s="2" t="s">
        <v>2</v>
      </c>
      <c r="E735" s="2">
        <v>31</v>
      </c>
      <c r="F735" s="2">
        <v>0</v>
      </c>
      <c r="G735" s="2">
        <v>2</v>
      </c>
      <c r="H735" s="2">
        <v>50000</v>
      </c>
      <c r="I735" s="2">
        <v>41</v>
      </c>
      <c r="J735" s="2" t="s">
        <v>1779</v>
      </c>
      <c r="K735" s="2">
        <v>36</v>
      </c>
      <c r="L735" s="2">
        <v>15</v>
      </c>
      <c r="M735" s="2">
        <v>0</v>
      </c>
      <c r="N735" s="2">
        <v>6</v>
      </c>
      <c r="O735" s="2">
        <v>10</v>
      </c>
      <c r="P735" s="2">
        <v>5</v>
      </c>
      <c r="Q735" s="2" t="s">
        <v>2239</v>
      </c>
      <c r="R735" s="2" t="s">
        <v>2239</v>
      </c>
      <c r="S735" s="4">
        <v>44837</v>
      </c>
    </row>
    <row r="736" spans="1:19" ht="12.5" x14ac:dyDescent="0.25">
      <c r="A736" s="14" t="str">
        <f>HYPERLINK("https://gerandofalcoes.my.salesforce.com/0014P00003YSpA2QAL", "0014P00003YSpA2QAL")</f>
        <v>0014P00003YSpA2QAL</v>
      </c>
      <c r="B736" s="2" t="s">
        <v>2469</v>
      </c>
      <c r="C736" s="2" t="s">
        <v>423</v>
      </c>
      <c r="D736" s="2" t="s">
        <v>2</v>
      </c>
      <c r="E736" s="2">
        <v>23</v>
      </c>
      <c r="F736" s="2">
        <v>0</v>
      </c>
      <c r="G736" s="2">
        <v>2</v>
      </c>
      <c r="H736" s="2">
        <v>12000</v>
      </c>
      <c r="I736" s="2">
        <v>0</v>
      </c>
      <c r="J736" s="2" t="s">
        <v>1779</v>
      </c>
      <c r="K736" s="2">
        <v>21</v>
      </c>
      <c r="L736" s="2">
        <v>10</v>
      </c>
      <c r="M736" s="2">
        <v>0</v>
      </c>
      <c r="N736" s="2">
        <v>6</v>
      </c>
      <c r="O736" s="2">
        <v>5</v>
      </c>
      <c r="P736" s="2">
        <v>0</v>
      </c>
      <c r="Q736" s="2" t="s">
        <v>2470</v>
      </c>
      <c r="R736" s="2" t="s">
        <v>2471</v>
      </c>
      <c r="S736" s="4">
        <v>44837</v>
      </c>
    </row>
    <row r="737" spans="1:19" ht="12.5" x14ac:dyDescent="0.25">
      <c r="A737" s="14" t="str">
        <f>HYPERLINK("https://gerandofalcoes.my.salesforce.com/0014P00003YSpA3QAL", "0014P00003YSpA3QAL")</f>
        <v>0014P00003YSpA3QAL</v>
      </c>
      <c r="B737" s="2" t="s">
        <v>1910</v>
      </c>
      <c r="C737" s="2" t="s">
        <v>1800</v>
      </c>
      <c r="D737" s="2" t="s">
        <v>2</v>
      </c>
      <c r="E737" s="2">
        <v>43</v>
      </c>
      <c r="F737" s="2">
        <v>10</v>
      </c>
      <c r="G737" s="2">
        <v>2</v>
      </c>
      <c r="H737" s="2">
        <v>15000</v>
      </c>
      <c r="I737" s="2">
        <v>100</v>
      </c>
      <c r="J737" s="2" t="s">
        <v>1671</v>
      </c>
      <c r="K737" s="2">
        <v>46</v>
      </c>
      <c r="L737" s="2">
        <v>15</v>
      </c>
      <c r="M737" s="2">
        <v>10</v>
      </c>
      <c r="N737" s="2">
        <v>6</v>
      </c>
      <c r="O737" s="2">
        <v>5</v>
      </c>
      <c r="P737" s="2">
        <v>10</v>
      </c>
      <c r="Q737" s="2" t="s">
        <v>1911</v>
      </c>
      <c r="R737" s="2" t="s">
        <v>1912</v>
      </c>
      <c r="S737" s="4">
        <v>44837</v>
      </c>
    </row>
    <row r="738" spans="1:19" ht="12.5" x14ac:dyDescent="0.25">
      <c r="A738" s="14" t="str">
        <f>HYPERLINK("https://gerandofalcoes.my.salesforce.com/0014P00003YSpA5QAL", "0014P00003YSpA5QAL")</f>
        <v>0014P00003YSpA5QAL</v>
      </c>
      <c r="B738" s="2" t="s">
        <v>1983</v>
      </c>
      <c r="C738" s="2" t="s">
        <v>423</v>
      </c>
      <c r="D738" s="2" t="s">
        <v>2</v>
      </c>
      <c r="E738" s="2">
        <v>39</v>
      </c>
      <c r="F738" s="2">
        <v>2</v>
      </c>
      <c r="G738" s="2">
        <v>5</v>
      </c>
      <c r="H738" s="2">
        <v>90000</v>
      </c>
      <c r="I738" s="2">
        <v>350</v>
      </c>
      <c r="J738" s="2" t="s">
        <v>1671</v>
      </c>
      <c r="K738" s="2">
        <v>55</v>
      </c>
      <c r="L738" s="2">
        <v>15</v>
      </c>
      <c r="M738" s="2">
        <v>5</v>
      </c>
      <c r="N738" s="2">
        <v>10</v>
      </c>
      <c r="O738" s="2">
        <v>10</v>
      </c>
      <c r="P738" s="2">
        <v>15</v>
      </c>
      <c r="Q738" s="2" t="s">
        <v>1984</v>
      </c>
      <c r="R738" s="2" t="s">
        <v>1985</v>
      </c>
      <c r="S738" s="4">
        <v>44837</v>
      </c>
    </row>
    <row r="739" spans="1:19" ht="12.5" x14ac:dyDescent="0.25">
      <c r="A739" s="14" t="str">
        <f>HYPERLINK("https://gerandofalcoes.my.salesforce.com/0014P00003YSpA7QAL", "0014P00003YSpA7QAL")</f>
        <v>0014P00003YSpA7QAL</v>
      </c>
      <c r="B739" s="2" t="s">
        <v>2818</v>
      </c>
      <c r="C739" s="2" t="s">
        <v>423</v>
      </c>
      <c r="D739" s="2" t="s">
        <v>2</v>
      </c>
      <c r="E739" s="2">
        <v>12.03</v>
      </c>
      <c r="F739" s="2">
        <v>1</v>
      </c>
      <c r="G739" s="2">
        <v>1</v>
      </c>
      <c r="H739" s="2">
        <v>200000</v>
      </c>
      <c r="I739" s="2">
        <v>120</v>
      </c>
      <c r="J739" s="2" t="s">
        <v>1671</v>
      </c>
      <c r="K739" s="2">
        <v>44</v>
      </c>
      <c r="L739" s="2">
        <v>10</v>
      </c>
      <c r="M739" s="2">
        <v>5</v>
      </c>
      <c r="N739" s="2">
        <v>4</v>
      </c>
      <c r="O739" s="2">
        <v>15</v>
      </c>
      <c r="P739" s="2">
        <v>10</v>
      </c>
      <c r="Q739" s="2" t="s">
        <v>2819</v>
      </c>
      <c r="R739" s="2" t="s">
        <v>2819</v>
      </c>
      <c r="S739" s="4">
        <v>44837</v>
      </c>
    </row>
    <row r="740" spans="1:19" ht="12.5" x14ac:dyDescent="0.25">
      <c r="A740" s="14" t="str">
        <f>HYPERLINK("https://gerandofalcoes.my.salesforce.com/0014P00003YSpA8QAL", "0014P00003YSpA8QAL")</f>
        <v>0014P00003YSpA8QAL</v>
      </c>
      <c r="B740" s="2" t="s">
        <v>2647</v>
      </c>
      <c r="C740" s="2" t="s">
        <v>1800</v>
      </c>
      <c r="D740" s="2" t="s">
        <v>2</v>
      </c>
      <c r="E740" s="2">
        <v>18</v>
      </c>
      <c r="F740" s="2">
        <v>0</v>
      </c>
      <c r="G740" s="2">
        <v>2</v>
      </c>
      <c r="H740" s="2">
        <v>0</v>
      </c>
      <c r="I740" s="2">
        <v>0</v>
      </c>
      <c r="J740" s="2" t="s">
        <v>1779</v>
      </c>
      <c r="K740" s="2">
        <v>16</v>
      </c>
      <c r="L740" s="2">
        <v>10</v>
      </c>
      <c r="M740" s="2">
        <v>0</v>
      </c>
      <c r="N740" s="2">
        <v>6</v>
      </c>
      <c r="O740" s="2">
        <v>0</v>
      </c>
      <c r="P740" s="2">
        <v>0</v>
      </c>
      <c r="Q740" s="2" t="s">
        <v>2648</v>
      </c>
      <c r="R740" s="2" t="s">
        <v>2648</v>
      </c>
      <c r="S740" s="4">
        <v>44837</v>
      </c>
    </row>
    <row r="741" spans="1:19" ht="12.5" x14ac:dyDescent="0.25">
      <c r="A741" s="14" t="str">
        <f>HYPERLINK("https://gerandofalcoes.my.salesforce.com/0014P00003YSp9xQAD", "0014P00003YSp9xQAD")</f>
        <v>0014P00003YSp9xQAD</v>
      </c>
      <c r="B741" s="2" t="s">
        <v>2330</v>
      </c>
      <c r="C741" s="2" t="s">
        <v>1800</v>
      </c>
      <c r="D741" s="2" t="s">
        <v>2</v>
      </c>
      <c r="E741" s="2">
        <v>28</v>
      </c>
      <c r="F741" s="2">
        <v>0</v>
      </c>
      <c r="G741" s="2">
        <v>2</v>
      </c>
      <c r="H741" s="2">
        <v>120000</v>
      </c>
      <c r="I741" s="2">
        <v>29</v>
      </c>
      <c r="J741" s="2" t="s">
        <v>1671</v>
      </c>
      <c r="K741" s="2">
        <v>41</v>
      </c>
      <c r="L741" s="2">
        <v>15</v>
      </c>
      <c r="M741" s="2">
        <v>0</v>
      </c>
      <c r="N741" s="2">
        <v>6</v>
      </c>
      <c r="O741" s="2">
        <v>15</v>
      </c>
      <c r="P741" s="2">
        <v>5</v>
      </c>
      <c r="Q741" s="2" t="s">
        <v>2331</v>
      </c>
      <c r="R741" s="2" t="s">
        <v>2331</v>
      </c>
      <c r="S741" s="4">
        <v>44837</v>
      </c>
    </row>
    <row r="742" spans="1:19" ht="12.5" x14ac:dyDescent="0.25">
      <c r="A742" s="14" t="str">
        <f>HYPERLINK("https://gerandofalcoes.my.salesforce.com/0014P00003YSpA9QAL", "0014P00003YSpA9QAL")</f>
        <v>0014P00003YSpA9QAL</v>
      </c>
      <c r="B742" s="2" t="s">
        <v>1835</v>
      </c>
      <c r="C742" s="2" t="s">
        <v>423</v>
      </c>
      <c r="D742" s="2" t="s">
        <v>2</v>
      </c>
      <c r="E742" s="2">
        <v>31</v>
      </c>
      <c r="F742" s="2">
        <v>0</v>
      </c>
      <c r="G742" s="2">
        <v>2</v>
      </c>
      <c r="H742" s="2">
        <v>21270</v>
      </c>
      <c r="I742" s="2">
        <v>25</v>
      </c>
      <c r="J742" s="2" t="s">
        <v>1779</v>
      </c>
      <c r="K742" s="2">
        <v>31</v>
      </c>
      <c r="L742" s="2">
        <v>15</v>
      </c>
      <c r="M742" s="2">
        <v>0</v>
      </c>
      <c r="N742" s="2">
        <v>6</v>
      </c>
      <c r="O742" s="2">
        <v>5</v>
      </c>
      <c r="P742" s="2">
        <v>5</v>
      </c>
      <c r="Q742" s="2" t="s">
        <v>1836</v>
      </c>
      <c r="R742" s="2" t="s">
        <v>7152</v>
      </c>
      <c r="S742" s="4">
        <v>44837</v>
      </c>
    </row>
    <row r="743" spans="1:19" ht="12.5" x14ac:dyDescent="0.25">
      <c r="A743" s="14" t="str">
        <f>HYPERLINK("https://gerandofalcoes.my.salesforce.com/0014P00003YSpAAQA1", "0014P00003YSpAAQA1")</f>
        <v>0014P00003YSpAAQA1</v>
      </c>
      <c r="B743" s="2" t="s">
        <v>2428</v>
      </c>
      <c r="C743" s="2" t="s">
        <v>1684</v>
      </c>
      <c r="D743" s="2" t="s">
        <v>2</v>
      </c>
      <c r="E743" s="2">
        <v>25</v>
      </c>
      <c r="F743" s="2">
        <v>0</v>
      </c>
      <c r="G743" s="2">
        <v>0</v>
      </c>
      <c r="H743" s="2">
        <v>0</v>
      </c>
      <c r="I743" s="2">
        <v>0</v>
      </c>
      <c r="J743" s="2" t="s">
        <v>1779</v>
      </c>
      <c r="K743" s="2">
        <v>15</v>
      </c>
      <c r="L743" s="2">
        <v>15</v>
      </c>
      <c r="M743" s="2">
        <v>0</v>
      </c>
      <c r="N743" s="2">
        <v>0</v>
      </c>
      <c r="O743" s="2">
        <v>0</v>
      </c>
      <c r="P743" s="2">
        <v>0</v>
      </c>
      <c r="Q743" s="2" t="s">
        <v>2429</v>
      </c>
      <c r="R743" s="2" t="s">
        <v>2430</v>
      </c>
      <c r="S743" s="4">
        <v>44837</v>
      </c>
    </row>
    <row r="744" spans="1:19" ht="12.5" x14ac:dyDescent="0.25">
      <c r="A744" s="14" t="str">
        <f>HYPERLINK("https://gerandofalcoes.my.salesforce.com/0014P00003YSp9yQAD", "0014P00003YSp9yQAD")</f>
        <v>0014P00003YSp9yQAD</v>
      </c>
      <c r="B744" s="2" t="s">
        <v>2007</v>
      </c>
      <c r="C744" s="2" t="s">
        <v>1800</v>
      </c>
      <c r="D744" s="2" t="s">
        <v>2</v>
      </c>
      <c r="E744" s="2">
        <v>38</v>
      </c>
      <c r="F744" s="2">
        <v>63</v>
      </c>
      <c r="G744" s="2">
        <v>3</v>
      </c>
      <c r="H744" s="2">
        <v>750106</v>
      </c>
      <c r="I744" s="2">
        <v>900</v>
      </c>
      <c r="J744" s="2" t="s">
        <v>1650</v>
      </c>
      <c r="K744" s="2">
        <v>78</v>
      </c>
      <c r="L744" s="2">
        <v>15</v>
      </c>
      <c r="M744" s="2">
        <v>15</v>
      </c>
      <c r="N744" s="2">
        <v>8</v>
      </c>
      <c r="O744" s="2">
        <v>20</v>
      </c>
      <c r="P744" s="2">
        <v>20</v>
      </c>
      <c r="Q744" s="2" t="s">
        <v>2008</v>
      </c>
      <c r="R744" s="2" t="s">
        <v>2009</v>
      </c>
      <c r="S744" s="4">
        <v>44837</v>
      </c>
    </row>
    <row r="745" spans="1:19" ht="12.5" x14ac:dyDescent="0.25">
      <c r="A745" s="14" t="str">
        <f>HYPERLINK("https://gerandofalcoes.my.salesforce.com/0014P00003YSp9zQAD", "0014P00003YSp9zQAD")</f>
        <v>0014P00003YSp9zQAD</v>
      </c>
      <c r="B745" s="2" t="s">
        <v>1776</v>
      </c>
      <c r="C745" s="2" t="s">
        <v>423</v>
      </c>
      <c r="D745" s="2" t="s">
        <v>2</v>
      </c>
      <c r="E745" s="2">
        <v>34</v>
      </c>
      <c r="F745" s="2">
        <v>0</v>
      </c>
      <c r="G745" s="2">
        <v>12</v>
      </c>
      <c r="H745" s="2">
        <v>17000000</v>
      </c>
      <c r="I745" s="2">
        <v>750</v>
      </c>
      <c r="J745" s="2" t="s">
        <v>1650</v>
      </c>
      <c r="K745" s="2">
        <v>70</v>
      </c>
      <c r="L745" s="2">
        <v>15</v>
      </c>
      <c r="M745" s="2">
        <v>0</v>
      </c>
      <c r="N745" s="2">
        <v>10</v>
      </c>
      <c r="O745" s="2">
        <v>25</v>
      </c>
      <c r="P745" s="2">
        <v>20</v>
      </c>
      <c r="Q745" s="2" t="s">
        <v>1777</v>
      </c>
      <c r="R745" s="2" t="s">
        <v>1777</v>
      </c>
      <c r="S745" s="4">
        <v>44837</v>
      </c>
    </row>
    <row r="746" spans="1:19" ht="12.5" x14ac:dyDescent="0.25">
      <c r="A746" s="14" t="str">
        <f>HYPERLINK("https://gerandofalcoes.my.salesforce.com/0014P00003YSpACQA1", "0014P00003YSpACQA1")</f>
        <v>0014P00003YSpACQA1</v>
      </c>
      <c r="B746" s="2" t="s">
        <v>2601</v>
      </c>
      <c r="C746" s="2" t="s">
        <v>1800</v>
      </c>
      <c r="D746" s="2" t="s">
        <v>2</v>
      </c>
      <c r="E746" s="2">
        <v>19</v>
      </c>
      <c r="F746" s="2">
        <v>2</v>
      </c>
      <c r="G746" s="2">
        <v>2</v>
      </c>
      <c r="H746" s="2">
        <v>0</v>
      </c>
      <c r="I746" s="2">
        <v>120</v>
      </c>
      <c r="J746" s="2" t="s">
        <v>1779</v>
      </c>
      <c r="K746" s="2">
        <v>31</v>
      </c>
      <c r="L746" s="2">
        <v>10</v>
      </c>
      <c r="M746" s="2">
        <v>5</v>
      </c>
      <c r="N746" s="2">
        <v>6</v>
      </c>
      <c r="O746" s="2">
        <v>0</v>
      </c>
      <c r="P746" s="2">
        <v>10</v>
      </c>
      <c r="Q746" s="2" t="s">
        <v>2602</v>
      </c>
      <c r="R746" s="2" t="s">
        <v>2602</v>
      </c>
      <c r="S746" s="4">
        <v>44837</v>
      </c>
    </row>
    <row r="747" spans="1:19" ht="12.5" x14ac:dyDescent="0.25">
      <c r="A747" s="14" t="str">
        <f>HYPERLINK("https://gerandofalcoes.my.salesforce.com/0014P00003YSpADQA1", "0014P00003YSpADQA1")</f>
        <v>0014P00003YSpADQA1</v>
      </c>
      <c r="B747" s="2" t="s">
        <v>1736</v>
      </c>
      <c r="C747" s="2" t="s">
        <v>423</v>
      </c>
      <c r="D747" s="2" t="s">
        <v>2</v>
      </c>
      <c r="E747" s="2">
        <v>41</v>
      </c>
      <c r="F747" s="2">
        <v>10</v>
      </c>
      <c r="G747" s="2">
        <v>7</v>
      </c>
      <c r="H747" s="2">
        <v>595384</v>
      </c>
      <c r="I747" s="2">
        <v>246</v>
      </c>
      <c r="J747" s="2" t="s">
        <v>1650</v>
      </c>
      <c r="K747" s="2">
        <v>67</v>
      </c>
      <c r="L747" s="2">
        <v>15</v>
      </c>
      <c r="M747" s="2">
        <v>10</v>
      </c>
      <c r="N747" s="2">
        <v>10</v>
      </c>
      <c r="O747" s="2">
        <v>20</v>
      </c>
      <c r="P747" s="2">
        <v>12</v>
      </c>
      <c r="Q747" s="2" t="s">
        <v>1737</v>
      </c>
      <c r="R747" s="2" t="s">
        <v>1737</v>
      </c>
      <c r="S747" s="4">
        <v>44837</v>
      </c>
    </row>
    <row r="748" spans="1:19" ht="12.5" x14ac:dyDescent="0.25">
      <c r="A748" s="14" t="str">
        <f>HYPERLINK("https://gerandofalcoes.my.salesforce.com/0014P00003YSpAEQA1", "0014P00003YSpAEQA1")</f>
        <v>0014P00003YSpAEQA1</v>
      </c>
      <c r="B748" s="2" t="s">
        <v>2962</v>
      </c>
      <c r="C748" s="2" t="s">
        <v>423</v>
      </c>
      <c r="D748" s="2" t="s">
        <v>2</v>
      </c>
      <c r="E748" s="2">
        <v>17</v>
      </c>
      <c r="F748" s="2">
        <v>0</v>
      </c>
      <c r="G748" s="2">
        <v>0</v>
      </c>
      <c r="H748" s="2">
        <v>0</v>
      </c>
      <c r="I748" s="2">
        <v>300</v>
      </c>
      <c r="J748" s="2" t="s">
        <v>1779</v>
      </c>
      <c r="K748" s="2">
        <v>25</v>
      </c>
      <c r="L748" s="2">
        <v>10</v>
      </c>
      <c r="M748" s="2">
        <v>0</v>
      </c>
      <c r="N748" s="2">
        <v>0</v>
      </c>
      <c r="O748" s="2">
        <v>0</v>
      </c>
      <c r="P748" s="2">
        <v>15</v>
      </c>
      <c r="Q748" s="2" t="s">
        <v>2963</v>
      </c>
      <c r="R748" s="2" t="s">
        <v>2964</v>
      </c>
      <c r="S748" s="4">
        <v>44837</v>
      </c>
    </row>
    <row r="749" spans="1:19" ht="12.5" x14ac:dyDescent="0.25">
      <c r="A749" s="14" t="str">
        <f>HYPERLINK("https://gerandofalcoes.my.salesforce.com/0014P00003YSpAFQA1", "0014P00003YSpAFQA1")</f>
        <v>0014P00003YSpAFQA1</v>
      </c>
      <c r="B749" s="2" t="s">
        <v>2191</v>
      </c>
      <c r="C749" s="2" t="s">
        <v>1684</v>
      </c>
      <c r="D749" s="2" t="s">
        <v>2</v>
      </c>
      <c r="E749" s="2">
        <v>33</v>
      </c>
      <c r="F749" s="2">
        <v>3</v>
      </c>
      <c r="G749" s="2">
        <v>0</v>
      </c>
      <c r="H749" s="2">
        <v>0</v>
      </c>
      <c r="I749" s="2">
        <v>0</v>
      </c>
      <c r="J749" s="2" t="s">
        <v>1779</v>
      </c>
      <c r="K749" s="2">
        <v>20</v>
      </c>
      <c r="L749" s="2">
        <v>15</v>
      </c>
      <c r="M749" s="2">
        <v>5</v>
      </c>
      <c r="N749" s="2">
        <v>0</v>
      </c>
      <c r="O749" s="2">
        <v>0</v>
      </c>
      <c r="P749" s="2">
        <v>0</v>
      </c>
      <c r="Q749" s="2" t="s">
        <v>2192</v>
      </c>
      <c r="R749" s="2" t="s">
        <v>2193</v>
      </c>
      <c r="S749" s="4">
        <v>44837</v>
      </c>
    </row>
    <row r="750" spans="1:19" ht="12.5" x14ac:dyDescent="0.25">
      <c r="A750" s="14" t="str">
        <f>HYPERLINK("https://gerandofalcoes.my.salesforce.com/0014P00003YSpAGQA1", "0014P00003YSpAGQA1")</f>
        <v>0014P00003YSpAGQA1</v>
      </c>
      <c r="B750" s="2" t="s">
        <v>2850</v>
      </c>
      <c r="C750" s="2" t="s">
        <v>423</v>
      </c>
      <c r="D750" s="2" t="s">
        <v>2</v>
      </c>
      <c r="E750" s="2">
        <v>20</v>
      </c>
      <c r="F750" s="2">
        <v>0</v>
      </c>
      <c r="G750" s="2">
        <v>2</v>
      </c>
      <c r="H750" s="2">
        <v>3156570</v>
      </c>
      <c r="I750" s="2">
        <v>120</v>
      </c>
      <c r="J750" s="2" t="s">
        <v>1671</v>
      </c>
      <c r="K750" s="2">
        <v>51</v>
      </c>
      <c r="L750" s="2">
        <v>10</v>
      </c>
      <c r="M750" s="2">
        <v>0</v>
      </c>
      <c r="N750" s="2">
        <v>6</v>
      </c>
      <c r="O750" s="2">
        <v>25</v>
      </c>
      <c r="P750" s="2">
        <v>10</v>
      </c>
      <c r="Q750" s="2" t="s">
        <v>2851</v>
      </c>
      <c r="R750" s="2" t="s">
        <v>2852</v>
      </c>
      <c r="S750" s="4">
        <v>44837</v>
      </c>
    </row>
    <row r="751" spans="1:19" ht="12.5" x14ac:dyDescent="0.25">
      <c r="A751" s="14" t="str">
        <f>HYPERLINK("https://gerandofalcoes.my.salesforce.com/0014P00003YSpAHQA1", "0014P00003YSpAHQA1")</f>
        <v>0014P00003YSpAHQA1</v>
      </c>
      <c r="B751" s="2" t="s">
        <v>1881</v>
      </c>
      <c r="C751" s="2" t="s">
        <v>423</v>
      </c>
      <c r="D751" s="2" t="s">
        <v>2</v>
      </c>
      <c r="E751" s="2">
        <v>44.09</v>
      </c>
      <c r="F751" s="2">
        <v>34</v>
      </c>
      <c r="G751" s="2">
        <v>3</v>
      </c>
      <c r="H751" s="2">
        <v>109250786</v>
      </c>
      <c r="I751" s="2">
        <v>15</v>
      </c>
      <c r="J751" s="2" t="s">
        <v>1650</v>
      </c>
      <c r="K751" s="2">
        <v>68</v>
      </c>
      <c r="L751" s="2">
        <v>15</v>
      </c>
      <c r="M751" s="2">
        <v>15</v>
      </c>
      <c r="N751" s="2">
        <v>8</v>
      </c>
      <c r="O751" s="2">
        <v>25</v>
      </c>
      <c r="P751" s="2">
        <v>5</v>
      </c>
      <c r="Q751" s="2" t="s">
        <v>1882</v>
      </c>
      <c r="R751" s="2" t="s">
        <v>1882</v>
      </c>
      <c r="S751" s="4">
        <v>44837</v>
      </c>
    </row>
    <row r="752" spans="1:19" ht="12.5" x14ac:dyDescent="0.25">
      <c r="A752" s="14" t="str">
        <f>HYPERLINK("https://gerandofalcoes.my.salesforce.com/0014P00003YSpAIQA1", "0014P00003YSpAIQA1")</f>
        <v>0014P00003YSpAIQA1</v>
      </c>
      <c r="B752" s="2" t="s">
        <v>1810</v>
      </c>
      <c r="C752" s="2" t="s">
        <v>423</v>
      </c>
      <c r="D752" s="2" t="s">
        <v>2</v>
      </c>
      <c r="E752" s="2">
        <v>52.5</v>
      </c>
      <c r="F752" s="2">
        <v>0</v>
      </c>
      <c r="G752" s="2">
        <v>3</v>
      </c>
      <c r="H752" s="2">
        <v>17707602</v>
      </c>
      <c r="I752" s="2">
        <v>0</v>
      </c>
      <c r="J752" s="2" t="s">
        <v>1671</v>
      </c>
      <c r="K752" s="2">
        <v>53</v>
      </c>
      <c r="L752" s="2">
        <v>20</v>
      </c>
      <c r="M752" s="2">
        <v>0</v>
      </c>
      <c r="N752" s="2">
        <v>8</v>
      </c>
      <c r="O752" s="2">
        <v>25</v>
      </c>
      <c r="P752" s="2">
        <v>0</v>
      </c>
      <c r="Q752" s="2" t="s">
        <v>1811</v>
      </c>
      <c r="R752" s="2" t="s">
        <v>1812</v>
      </c>
      <c r="S752" s="4">
        <v>44837</v>
      </c>
    </row>
    <row r="753" spans="1:19" ht="12.5" x14ac:dyDescent="0.25">
      <c r="A753" s="14" t="str">
        <f>HYPERLINK("https://gerandofalcoes.my.salesforce.com/0014X00002VKCp5QAH", "0014X00002VKCp5QAH")</f>
        <v>0014X00002VKCp5QAH</v>
      </c>
      <c r="B753" s="2" t="s">
        <v>2289</v>
      </c>
      <c r="C753" s="2" t="s">
        <v>423</v>
      </c>
      <c r="D753" s="2" t="s">
        <v>2</v>
      </c>
      <c r="E753" s="2">
        <v>29</v>
      </c>
      <c r="F753" s="2">
        <v>0</v>
      </c>
      <c r="G753" s="2">
        <v>8</v>
      </c>
      <c r="H753" s="2">
        <v>52000</v>
      </c>
      <c r="I753" s="2">
        <v>2500</v>
      </c>
      <c r="J753" s="2" t="s">
        <v>1671</v>
      </c>
      <c r="K753" s="2">
        <v>55</v>
      </c>
      <c r="L753" s="2">
        <v>15</v>
      </c>
      <c r="M753" s="2">
        <v>0</v>
      </c>
      <c r="N753" s="2">
        <v>10</v>
      </c>
      <c r="O753" s="2">
        <v>10</v>
      </c>
      <c r="P753" s="2">
        <v>20</v>
      </c>
      <c r="Q753" s="2" t="s">
        <v>2290</v>
      </c>
      <c r="R753" s="2" t="s">
        <v>2291</v>
      </c>
      <c r="S753" s="4">
        <v>44837</v>
      </c>
    </row>
    <row r="754" spans="1:19" ht="12.5" x14ac:dyDescent="0.25">
      <c r="A754" s="14" t="str">
        <f>HYPERLINK("https://gerandofalcoes.my.salesforce.com/0014X00002VKCqlQAH", "0014X00002VKCqlQAH")</f>
        <v>0014X00002VKCqlQAH</v>
      </c>
      <c r="B754" s="2" t="s">
        <v>1741</v>
      </c>
      <c r="C754" s="2" t="s">
        <v>423</v>
      </c>
      <c r="D754" s="2" t="s">
        <v>2</v>
      </c>
      <c r="E754" s="2">
        <v>71</v>
      </c>
      <c r="F754" s="2">
        <v>5</v>
      </c>
      <c r="G754" s="2">
        <v>3</v>
      </c>
      <c r="H754" s="2">
        <v>300000</v>
      </c>
      <c r="I754" s="2">
        <v>83</v>
      </c>
      <c r="J754" s="2" t="s">
        <v>1671</v>
      </c>
      <c r="K754" s="2">
        <v>63</v>
      </c>
      <c r="L754" s="2">
        <v>20</v>
      </c>
      <c r="M754" s="2">
        <v>5</v>
      </c>
      <c r="N754" s="2">
        <v>8</v>
      </c>
      <c r="O754" s="2">
        <v>20</v>
      </c>
      <c r="P754" s="2">
        <v>10</v>
      </c>
      <c r="Q754" s="2" t="s">
        <v>1742</v>
      </c>
      <c r="R754" s="2" t="s">
        <v>1743</v>
      </c>
      <c r="S754" s="4">
        <v>44837</v>
      </c>
    </row>
    <row r="755" spans="1:19" ht="12.5" x14ac:dyDescent="0.25">
      <c r="A755" s="14" t="str">
        <f>HYPERLINK("https://gerandofalcoes.my.salesforce.com/0014X00002VKCqaQAH", "0014X00002VKCqaQAH")</f>
        <v>0014X00002VKCqaQAH</v>
      </c>
      <c r="B755" s="2" t="s">
        <v>2277</v>
      </c>
      <c r="C755" s="2" t="s">
        <v>1800</v>
      </c>
      <c r="D755" s="2" t="s">
        <v>2</v>
      </c>
      <c r="E755" s="2">
        <v>30</v>
      </c>
      <c r="F755" s="2">
        <v>0</v>
      </c>
      <c r="G755" s="2">
        <v>2</v>
      </c>
      <c r="H755" s="2">
        <v>0</v>
      </c>
      <c r="I755" s="2">
        <v>10</v>
      </c>
      <c r="J755" s="2" t="s">
        <v>1779</v>
      </c>
      <c r="K755" s="2">
        <v>26</v>
      </c>
      <c r="L755" s="2">
        <v>15</v>
      </c>
      <c r="M755" s="2">
        <v>0</v>
      </c>
      <c r="N755" s="2">
        <v>6</v>
      </c>
      <c r="O755" s="2">
        <v>0</v>
      </c>
      <c r="P755" s="2">
        <v>5</v>
      </c>
      <c r="Q755" s="2" t="s">
        <v>2278</v>
      </c>
      <c r="R755" s="2" t="s">
        <v>2278</v>
      </c>
      <c r="S755" s="4">
        <v>44837</v>
      </c>
    </row>
    <row r="756" spans="1:19" ht="12.5" x14ac:dyDescent="0.25">
      <c r="A756" s="14" t="str">
        <f>HYPERLINK("https://gerandofalcoes.my.salesforce.com/0014X00002VKCqvQAH", "0014X00002VKCqvQAH")</f>
        <v>0014X00002VKCqvQAH</v>
      </c>
      <c r="B756" s="2" t="s">
        <v>2261</v>
      </c>
      <c r="C756" s="2" t="s">
        <v>1800</v>
      </c>
      <c r="D756" s="2" t="s">
        <v>2</v>
      </c>
      <c r="E756" s="2">
        <v>30</v>
      </c>
      <c r="F756" s="2">
        <v>0</v>
      </c>
      <c r="G756" s="2">
        <v>3</v>
      </c>
      <c r="H756" s="2">
        <v>10000</v>
      </c>
      <c r="I756" s="2">
        <v>300</v>
      </c>
      <c r="J756" s="2" t="s">
        <v>1671</v>
      </c>
      <c r="K756" s="2">
        <v>43</v>
      </c>
      <c r="L756" s="2">
        <v>15</v>
      </c>
      <c r="M756" s="2">
        <v>0</v>
      </c>
      <c r="N756" s="2">
        <v>8</v>
      </c>
      <c r="O756" s="2">
        <v>5</v>
      </c>
      <c r="P756" s="2">
        <v>15</v>
      </c>
      <c r="Q756" s="2" t="s">
        <v>2262</v>
      </c>
      <c r="R756" s="2" t="s">
        <v>2263</v>
      </c>
      <c r="S756" s="4">
        <v>44837</v>
      </c>
    </row>
    <row r="757" spans="1:19" ht="12.5" x14ac:dyDescent="0.25">
      <c r="A757" s="14" t="str">
        <f>HYPERLINK("https://gerandofalcoes.my.salesforce.com/0014X00002VKCtpQAH", "0014X00002VKCtpQAH")</f>
        <v>0014X00002VKCtpQAH</v>
      </c>
      <c r="B757" s="2" t="s">
        <v>2616</v>
      </c>
      <c r="C757" s="2" t="s">
        <v>423</v>
      </c>
      <c r="D757" s="2" t="s">
        <v>2</v>
      </c>
      <c r="E757" s="2">
        <v>19</v>
      </c>
      <c r="F757" s="2">
        <v>0</v>
      </c>
      <c r="G757" s="2">
        <v>2</v>
      </c>
      <c r="H757" s="2">
        <v>0</v>
      </c>
      <c r="I757" s="2">
        <v>0</v>
      </c>
      <c r="J757" s="2" t="s">
        <v>1779</v>
      </c>
      <c r="K757" s="2">
        <v>16</v>
      </c>
      <c r="L757" s="2">
        <v>10</v>
      </c>
      <c r="M757" s="2">
        <v>0</v>
      </c>
      <c r="N757" s="2">
        <v>6</v>
      </c>
      <c r="O757" s="2">
        <v>0</v>
      </c>
      <c r="P757" s="2">
        <v>0</v>
      </c>
      <c r="Q757" s="2" t="s">
        <v>2617</v>
      </c>
      <c r="R757" s="2" t="s">
        <v>2618</v>
      </c>
      <c r="S757" s="4">
        <v>44837</v>
      </c>
    </row>
    <row r="758" spans="1:19" ht="12.5" x14ac:dyDescent="0.25">
      <c r="A758" s="14" t="str">
        <f>HYPERLINK("https://gerandofalcoes.my.salesforce.com/0014X00002VKCpkQAH", "0014X00002VKCpkQAH")</f>
        <v>0014X00002VKCpkQAH</v>
      </c>
      <c r="B758" s="2" t="s">
        <v>2096</v>
      </c>
      <c r="C758" s="2" t="s">
        <v>423</v>
      </c>
      <c r="D758" s="2" t="s">
        <v>2</v>
      </c>
      <c r="E758" s="2">
        <v>35</v>
      </c>
      <c r="F758" s="2">
        <v>15</v>
      </c>
      <c r="G758" s="2">
        <v>4</v>
      </c>
      <c r="H758" s="2">
        <v>78000</v>
      </c>
      <c r="I758" s="2">
        <v>240</v>
      </c>
      <c r="J758" s="2" t="s">
        <v>1671</v>
      </c>
      <c r="K758" s="2">
        <v>59</v>
      </c>
      <c r="L758" s="2">
        <v>15</v>
      </c>
      <c r="M758" s="2">
        <v>12</v>
      </c>
      <c r="N758" s="2">
        <v>10</v>
      </c>
      <c r="O758" s="2">
        <v>10</v>
      </c>
      <c r="P758" s="2">
        <v>12</v>
      </c>
      <c r="Q758" s="2" t="s">
        <v>2097</v>
      </c>
      <c r="R758" s="2" t="s">
        <v>2097</v>
      </c>
      <c r="S758" s="4">
        <v>44837</v>
      </c>
    </row>
    <row r="759" spans="1:19" ht="12.5" x14ac:dyDescent="0.25">
      <c r="A759" s="14" t="str">
        <f>HYPERLINK("https://gerandofalcoes.my.salesforce.com/0014X00002VKCs5QAH", "0014X00002VKCs5QAH")</f>
        <v>0014X00002VKCs5QAH</v>
      </c>
      <c r="B759" s="2" t="s">
        <v>2588</v>
      </c>
      <c r="C759" s="2" t="s">
        <v>423</v>
      </c>
      <c r="D759" s="2" t="s">
        <v>2</v>
      </c>
      <c r="E759" s="2">
        <v>42</v>
      </c>
      <c r="F759" s="2">
        <v>0</v>
      </c>
      <c r="G759" s="2">
        <v>3</v>
      </c>
      <c r="H759" s="2">
        <v>140000</v>
      </c>
      <c r="I759" s="2">
        <v>0</v>
      </c>
      <c r="J759" s="2" t="s">
        <v>1779</v>
      </c>
      <c r="K759" s="2">
        <v>38</v>
      </c>
      <c r="L759" s="2">
        <v>15</v>
      </c>
      <c r="M759" s="2">
        <v>0</v>
      </c>
      <c r="N759" s="2">
        <v>8</v>
      </c>
      <c r="O759" s="2">
        <v>15</v>
      </c>
      <c r="P759" s="2">
        <v>0</v>
      </c>
      <c r="Q759" s="2" t="s">
        <v>2589</v>
      </c>
      <c r="R759" s="2" t="s">
        <v>2590</v>
      </c>
      <c r="S759" s="4">
        <v>44837</v>
      </c>
    </row>
    <row r="760" spans="1:19" ht="12.5" x14ac:dyDescent="0.25">
      <c r="A760" s="14" t="str">
        <f>HYPERLINK("https://gerandofalcoes.my.salesforce.com/0014X00002VKCqjQAH", "0014X00002VKCqjQAH")</f>
        <v>0014X00002VKCqjQAH</v>
      </c>
      <c r="B760" s="2" t="s">
        <v>2683</v>
      </c>
      <c r="C760" s="2" t="s">
        <v>423</v>
      </c>
      <c r="D760" s="2" t="s">
        <v>2</v>
      </c>
      <c r="E760" s="2">
        <v>23</v>
      </c>
      <c r="F760" s="2">
        <v>0</v>
      </c>
      <c r="G760" s="2">
        <v>3</v>
      </c>
      <c r="H760" s="2">
        <v>8000</v>
      </c>
      <c r="I760" s="2">
        <v>200</v>
      </c>
      <c r="J760" s="2" t="s">
        <v>1779</v>
      </c>
      <c r="K760" s="2">
        <v>35</v>
      </c>
      <c r="L760" s="2">
        <v>10</v>
      </c>
      <c r="M760" s="2">
        <v>0</v>
      </c>
      <c r="N760" s="2">
        <v>8</v>
      </c>
      <c r="O760" s="2">
        <v>5</v>
      </c>
      <c r="P760" s="2">
        <v>12</v>
      </c>
      <c r="Q760" s="2" t="s">
        <v>2684</v>
      </c>
      <c r="R760" s="2" t="s">
        <v>2685</v>
      </c>
      <c r="S760" s="4">
        <v>44837</v>
      </c>
    </row>
    <row r="761" spans="1:19" ht="12.5" x14ac:dyDescent="0.25">
      <c r="A761" s="14" t="str">
        <f>HYPERLINK("https://gerandofalcoes.my.salesforce.com/0014X00002VKCqoQAH", "0014X00002VKCqoQAH")</f>
        <v>0014X00002VKCqoQAH</v>
      </c>
      <c r="B761" s="2" t="s">
        <v>2076</v>
      </c>
      <c r="C761" s="2" t="s">
        <v>1800</v>
      </c>
      <c r="D761" s="2" t="s">
        <v>2</v>
      </c>
      <c r="E761" s="2">
        <v>36</v>
      </c>
      <c r="F761" s="2">
        <v>1</v>
      </c>
      <c r="G761" s="2">
        <v>7</v>
      </c>
      <c r="H761" s="2">
        <v>13800</v>
      </c>
      <c r="I761" s="2">
        <v>100</v>
      </c>
      <c r="J761" s="2" t="s">
        <v>1671</v>
      </c>
      <c r="K761" s="2">
        <v>45</v>
      </c>
      <c r="L761" s="2">
        <v>15</v>
      </c>
      <c r="M761" s="2">
        <v>5</v>
      </c>
      <c r="N761" s="2">
        <v>10</v>
      </c>
      <c r="O761" s="2">
        <v>5</v>
      </c>
      <c r="P761" s="2">
        <v>10</v>
      </c>
      <c r="Q761" s="2" t="s">
        <v>2077</v>
      </c>
      <c r="R761" s="2" t="s">
        <v>2077</v>
      </c>
      <c r="S761" s="4">
        <v>44837</v>
      </c>
    </row>
    <row r="762" spans="1:19" ht="12.5" x14ac:dyDescent="0.25">
      <c r="A762" s="14" t="str">
        <f>HYPERLINK("https://gerandofalcoes.my.salesforce.com/0014X00002VKCujQAH", "0014X00002VKCujQAH")</f>
        <v>0014X00002VKCujQAH</v>
      </c>
      <c r="B762" s="2" t="s">
        <v>1838</v>
      </c>
      <c r="C762" s="2" t="s">
        <v>423</v>
      </c>
      <c r="D762" s="2" t="s">
        <v>2</v>
      </c>
      <c r="E762" s="2">
        <v>74</v>
      </c>
      <c r="F762" s="2">
        <v>4</v>
      </c>
      <c r="G762" s="2">
        <v>1</v>
      </c>
      <c r="H762" s="2">
        <v>679520</v>
      </c>
      <c r="I762" s="2">
        <v>100</v>
      </c>
      <c r="J762" s="2" t="s">
        <v>1671</v>
      </c>
      <c r="K762" s="2">
        <v>59</v>
      </c>
      <c r="L762" s="2">
        <v>20</v>
      </c>
      <c r="M762" s="2">
        <v>5</v>
      </c>
      <c r="N762" s="2">
        <v>4</v>
      </c>
      <c r="O762" s="2">
        <v>20</v>
      </c>
      <c r="P762" s="2">
        <v>10</v>
      </c>
      <c r="Q762" s="2" t="s">
        <v>1839</v>
      </c>
      <c r="R762" s="2" t="s">
        <v>1840</v>
      </c>
      <c r="S762" s="4">
        <v>44837</v>
      </c>
    </row>
    <row r="763" spans="1:19" ht="12.5" x14ac:dyDescent="0.25">
      <c r="A763" s="14" t="str">
        <f>HYPERLINK("https://gerandofalcoes.my.salesforce.com/0014X00002VKCqOQAX", "0014X00002VKCqOQAX")</f>
        <v>0014X00002VKCqOQAX</v>
      </c>
      <c r="B763" s="2" t="s">
        <v>2521</v>
      </c>
      <c r="C763" s="2" t="s">
        <v>423</v>
      </c>
      <c r="D763" s="2" t="s">
        <v>2</v>
      </c>
      <c r="E763" s="2">
        <v>21</v>
      </c>
      <c r="F763" s="2">
        <v>2</v>
      </c>
      <c r="G763" s="2">
        <v>2</v>
      </c>
      <c r="H763" s="2">
        <v>0</v>
      </c>
      <c r="I763" s="2">
        <v>70</v>
      </c>
      <c r="J763" s="2" t="s">
        <v>1779</v>
      </c>
      <c r="K763" s="2">
        <v>26</v>
      </c>
      <c r="L763" s="2">
        <v>10</v>
      </c>
      <c r="M763" s="2">
        <v>5</v>
      </c>
      <c r="N763" s="2">
        <v>6</v>
      </c>
      <c r="O763" s="2">
        <v>0</v>
      </c>
      <c r="P763" s="2">
        <v>5</v>
      </c>
      <c r="Q763" s="2" t="s">
        <v>2522</v>
      </c>
      <c r="R763" s="2" t="s">
        <v>2522</v>
      </c>
      <c r="S763" s="4">
        <v>44837</v>
      </c>
    </row>
    <row r="764" spans="1:19" ht="12.5" x14ac:dyDescent="0.25">
      <c r="A764" s="14" t="str">
        <f>HYPERLINK("https://gerandofalcoes.my.salesforce.com/0014P00003Ck7X8QAJ", "0014P00003Ck7X8QAJ")</f>
        <v>0014P00003Ck7X8QAJ</v>
      </c>
      <c r="B764" s="2" t="s">
        <v>2809</v>
      </c>
      <c r="C764" s="2" t="s">
        <v>423</v>
      </c>
      <c r="D764" s="2" t="s">
        <v>2</v>
      </c>
      <c r="E764" s="2">
        <v>11</v>
      </c>
      <c r="F764" s="2">
        <v>0</v>
      </c>
      <c r="G764" s="2">
        <v>0</v>
      </c>
      <c r="H764" s="2">
        <v>12550</v>
      </c>
      <c r="I764" s="2">
        <v>50</v>
      </c>
      <c r="J764" s="2" t="s">
        <v>1779</v>
      </c>
      <c r="K764" s="2">
        <v>20</v>
      </c>
      <c r="L764" s="2">
        <v>10</v>
      </c>
      <c r="M764" s="2">
        <v>0</v>
      </c>
      <c r="N764" s="2">
        <v>0</v>
      </c>
      <c r="O764" s="2">
        <v>5</v>
      </c>
      <c r="P764" s="2">
        <v>5</v>
      </c>
      <c r="Q764" s="2" t="s">
        <v>891</v>
      </c>
      <c r="R764" s="2" t="s">
        <v>891</v>
      </c>
      <c r="S764" s="4">
        <v>44837</v>
      </c>
    </row>
    <row r="765" spans="1:19" ht="12.5" x14ac:dyDescent="0.25">
      <c r="A765" s="14" t="str">
        <f>HYPERLINK("https://gerandofalcoes.my.salesforce.com/0014X00002VKCuiQAH", "0014X00002VKCuiQAH")</f>
        <v>0014X00002VKCuiQAH</v>
      </c>
      <c r="B765" s="2" t="s">
        <v>1902</v>
      </c>
      <c r="C765" s="2" t="s">
        <v>423</v>
      </c>
      <c r="D765" s="2" t="s">
        <v>2</v>
      </c>
      <c r="E765" s="2">
        <v>51</v>
      </c>
      <c r="F765" s="2">
        <v>17</v>
      </c>
      <c r="G765" s="2">
        <v>7</v>
      </c>
      <c r="H765" s="2">
        <v>359673</v>
      </c>
      <c r="I765" s="2">
        <v>32</v>
      </c>
      <c r="J765" s="2" t="s">
        <v>1650</v>
      </c>
      <c r="K765" s="2">
        <v>67</v>
      </c>
      <c r="L765" s="2">
        <v>20</v>
      </c>
      <c r="M765" s="2">
        <v>12</v>
      </c>
      <c r="N765" s="2">
        <v>10</v>
      </c>
      <c r="O765" s="2">
        <v>20</v>
      </c>
      <c r="P765" s="2">
        <v>5</v>
      </c>
      <c r="Q765" s="2" t="s">
        <v>1903</v>
      </c>
      <c r="R765" s="2" t="s">
        <v>1904</v>
      </c>
      <c r="S765" s="4">
        <v>44837</v>
      </c>
    </row>
    <row r="766" spans="1:19" ht="12.5" x14ac:dyDescent="0.25">
      <c r="A766" s="14" t="str">
        <f>HYPERLINK("https://gerandofalcoes.my.salesforce.com/0014X00002VKCqJQAX", "0014X00002VKCqJQAX")</f>
        <v>0014X00002VKCqJQAX</v>
      </c>
      <c r="B766" s="2" t="s">
        <v>2868</v>
      </c>
      <c r="C766" s="2" t="s">
        <v>423</v>
      </c>
      <c r="D766" s="2" t="s">
        <v>2</v>
      </c>
      <c r="E766" s="2">
        <v>27</v>
      </c>
      <c r="F766" s="2">
        <v>0</v>
      </c>
      <c r="G766" s="2">
        <v>1</v>
      </c>
      <c r="H766" s="2">
        <v>16278</v>
      </c>
      <c r="I766" s="2">
        <v>100</v>
      </c>
      <c r="J766" s="2" t="s">
        <v>1779</v>
      </c>
      <c r="K766" s="2">
        <v>34</v>
      </c>
      <c r="L766" s="2">
        <v>15</v>
      </c>
      <c r="M766" s="2">
        <v>0</v>
      </c>
      <c r="N766" s="2">
        <v>4</v>
      </c>
      <c r="O766" s="2">
        <v>5</v>
      </c>
      <c r="P766" s="2">
        <v>10</v>
      </c>
      <c r="Q766" s="2" t="s">
        <v>2869</v>
      </c>
      <c r="R766" s="2" t="s">
        <v>2870</v>
      </c>
      <c r="S766" s="4">
        <v>44837</v>
      </c>
    </row>
    <row r="767" spans="1:19" ht="12.5" x14ac:dyDescent="0.25">
      <c r="A767" s="14" t="str">
        <f>HYPERLINK("https://gerandofalcoes.my.salesforce.com/0014X00002VKCu7QAH", "0014X00002VKCu7QAH")</f>
        <v>0014X00002VKCu7QAH</v>
      </c>
      <c r="B767" s="2" t="s">
        <v>2777</v>
      </c>
      <c r="C767" s="2" t="s">
        <v>423</v>
      </c>
      <c r="D767" s="2" t="s">
        <v>2</v>
      </c>
      <c r="E767" s="2">
        <v>20</v>
      </c>
      <c r="F767" s="2">
        <v>4</v>
      </c>
      <c r="G767" s="2">
        <v>2</v>
      </c>
      <c r="H767" s="2">
        <v>64700000</v>
      </c>
      <c r="I767" s="2">
        <v>210</v>
      </c>
      <c r="J767" s="2" t="s">
        <v>1671</v>
      </c>
      <c r="K767" s="2">
        <v>58</v>
      </c>
      <c r="L767" s="2">
        <v>10</v>
      </c>
      <c r="M767" s="2">
        <v>5</v>
      </c>
      <c r="N767" s="2">
        <v>6</v>
      </c>
      <c r="O767" s="2">
        <v>25</v>
      </c>
      <c r="P767" s="2">
        <v>12</v>
      </c>
      <c r="Q767" s="2" t="s">
        <v>2778</v>
      </c>
      <c r="R767" s="2" t="s">
        <v>2779</v>
      </c>
      <c r="S767" s="4">
        <v>44837</v>
      </c>
    </row>
    <row r="768" spans="1:19" ht="12.5" x14ac:dyDescent="0.25">
      <c r="A768" s="14" t="str">
        <f>HYPERLINK("https://gerandofalcoes.my.salesforce.com/0014X00002VKCs0QAH", "0014X00002VKCs0QAH")</f>
        <v>0014X00002VKCs0QAH</v>
      </c>
      <c r="B768" s="2" t="s">
        <v>1918</v>
      </c>
      <c r="C768" s="2" t="s">
        <v>423</v>
      </c>
      <c r="D768" s="2" t="s">
        <v>2</v>
      </c>
      <c r="E768" s="2">
        <v>42.91</v>
      </c>
      <c r="F768" s="2">
        <v>0</v>
      </c>
      <c r="G768" s="2">
        <v>2</v>
      </c>
      <c r="H768" s="2">
        <v>500000</v>
      </c>
      <c r="I768" s="2">
        <v>130</v>
      </c>
      <c r="J768" s="2" t="s">
        <v>1671</v>
      </c>
      <c r="K768" s="2">
        <v>51</v>
      </c>
      <c r="L768" s="2">
        <v>15</v>
      </c>
      <c r="M768" s="2">
        <v>0</v>
      </c>
      <c r="N768" s="2">
        <v>6</v>
      </c>
      <c r="O768" s="2">
        <v>20</v>
      </c>
      <c r="P768" s="2">
        <v>10</v>
      </c>
      <c r="Q768" s="2" t="s">
        <v>1919</v>
      </c>
      <c r="R768" s="2" t="s">
        <v>1920</v>
      </c>
      <c r="S768" s="4">
        <v>44837</v>
      </c>
    </row>
    <row r="769" spans="1:19" ht="12.5" x14ac:dyDescent="0.25">
      <c r="A769" s="14" t="str">
        <f>HYPERLINK("https://gerandofalcoes.my.salesforce.com/0014X00002VKCq8QAH", "0014X00002VKCq8QAH")</f>
        <v>0014X00002VKCq8QAH</v>
      </c>
      <c r="B769" s="2" t="s">
        <v>2721</v>
      </c>
      <c r="C769" s="2" t="s">
        <v>1800</v>
      </c>
      <c r="D769" s="2" t="s">
        <v>2</v>
      </c>
      <c r="E769" s="2">
        <v>15</v>
      </c>
      <c r="F769" s="2">
        <v>0</v>
      </c>
      <c r="G769" s="2">
        <v>3</v>
      </c>
      <c r="H769" s="2">
        <v>7000</v>
      </c>
      <c r="I769" s="2">
        <v>70</v>
      </c>
      <c r="J769" s="2" t="s">
        <v>1779</v>
      </c>
      <c r="K769" s="2">
        <v>28</v>
      </c>
      <c r="L769" s="2">
        <v>10</v>
      </c>
      <c r="M769" s="2">
        <v>0</v>
      </c>
      <c r="N769" s="2">
        <v>8</v>
      </c>
      <c r="O769" s="2">
        <v>5</v>
      </c>
      <c r="P769" s="2">
        <v>5</v>
      </c>
      <c r="Q769" s="2" t="s">
        <v>2722</v>
      </c>
      <c r="R769" s="2" t="s">
        <v>2723</v>
      </c>
      <c r="S769" s="4">
        <v>44837</v>
      </c>
    </row>
    <row r="770" spans="1:19" ht="12.5" x14ac:dyDescent="0.25">
      <c r="A770" s="14" t="str">
        <f>HYPERLINK("https://gerandofalcoes.my.salesforce.com/0014X00002VKCpuQAH", "0014X00002VKCpuQAH")</f>
        <v>0014X00002VKCpuQAH</v>
      </c>
      <c r="B770" s="2" t="s">
        <v>2387</v>
      </c>
      <c r="C770" s="2" t="s">
        <v>423</v>
      </c>
      <c r="D770" s="2" t="s">
        <v>2</v>
      </c>
      <c r="E770" s="2">
        <v>36</v>
      </c>
      <c r="F770" s="2">
        <v>0</v>
      </c>
      <c r="G770" s="2">
        <v>2</v>
      </c>
      <c r="H770" s="2">
        <v>40000</v>
      </c>
      <c r="I770" s="2">
        <v>50</v>
      </c>
      <c r="J770" s="2" t="s">
        <v>1779</v>
      </c>
      <c r="K770" s="2">
        <v>36</v>
      </c>
      <c r="L770" s="2">
        <v>15</v>
      </c>
      <c r="M770" s="2">
        <v>0</v>
      </c>
      <c r="N770" s="2">
        <v>6</v>
      </c>
      <c r="O770" s="2">
        <v>10</v>
      </c>
      <c r="P770" s="2">
        <v>5</v>
      </c>
      <c r="Q770" s="2" t="s">
        <v>2388</v>
      </c>
      <c r="R770" s="2" t="s">
        <v>2389</v>
      </c>
      <c r="S770" s="4">
        <v>44837</v>
      </c>
    </row>
    <row r="771" spans="1:19" ht="12.5" x14ac:dyDescent="0.25">
      <c r="A771" s="14" t="str">
        <f>HYPERLINK("https://gerandofalcoes.my.salesforce.com/0014X00002VKCp1QAH", "0014X00002VKCp1QAH")</f>
        <v>0014X00002VKCp1QAH</v>
      </c>
      <c r="B771" s="2" t="s">
        <v>2223</v>
      </c>
      <c r="C771" s="2" t="s">
        <v>423</v>
      </c>
      <c r="D771" s="2" t="s">
        <v>2</v>
      </c>
      <c r="E771" s="2">
        <v>32</v>
      </c>
      <c r="F771" s="2">
        <v>5</v>
      </c>
      <c r="G771" s="2">
        <v>9</v>
      </c>
      <c r="H771" s="2">
        <v>12000</v>
      </c>
      <c r="I771" s="2">
        <v>60</v>
      </c>
      <c r="J771" s="2" t="s">
        <v>1671</v>
      </c>
      <c r="K771" s="2">
        <v>40</v>
      </c>
      <c r="L771" s="2">
        <v>15</v>
      </c>
      <c r="M771" s="2">
        <v>5</v>
      </c>
      <c r="N771" s="2">
        <v>10</v>
      </c>
      <c r="O771" s="2">
        <v>5</v>
      </c>
      <c r="P771" s="2">
        <v>5</v>
      </c>
      <c r="Q771" s="2" t="s">
        <v>2224</v>
      </c>
      <c r="R771" s="2" t="s">
        <v>2224</v>
      </c>
      <c r="S771" s="4">
        <v>44837</v>
      </c>
    </row>
    <row r="772" spans="1:19" ht="12.5" x14ac:dyDescent="0.25">
      <c r="A772" s="14" t="str">
        <f>HYPERLINK("https://gerandofalcoes.my.salesforce.com/0014X00002VKCtzQAH", "0014X00002VKCtzQAH")</f>
        <v>0014X00002VKCtzQAH</v>
      </c>
      <c r="B772" s="2" t="s">
        <v>2557</v>
      </c>
      <c r="C772" s="2" t="s">
        <v>423</v>
      </c>
      <c r="D772" s="2" t="s">
        <v>2</v>
      </c>
      <c r="E772" s="2">
        <v>20</v>
      </c>
      <c r="F772" s="2">
        <v>0</v>
      </c>
      <c r="G772" s="2">
        <v>2</v>
      </c>
      <c r="H772" s="2">
        <v>55000</v>
      </c>
      <c r="I772" s="2">
        <v>50</v>
      </c>
      <c r="J772" s="2" t="s">
        <v>1779</v>
      </c>
      <c r="K772" s="2">
        <v>31</v>
      </c>
      <c r="L772" s="2">
        <v>10</v>
      </c>
      <c r="M772" s="2">
        <v>0</v>
      </c>
      <c r="N772" s="2">
        <v>6</v>
      </c>
      <c r="O772" s="2">
        <v>10</v>
      </c>
      <c r="P772" s="2">
        <v>5</v>
      </c>
      <c r="Q772" s="2" t="s">
        <v>2558</v>
      </c>
      <c r="R772" s="2" t="s">
        <v>2558</v>
      </c>
      <c r="S772" s="4">
        <v>44837</v>
      </c>
    </row>
    <row r="773" spans="1:19" ht="12.5" x14ac:dyDescent="0.25">
      <c r="A773" s="14" t="str">
        <f>HYPERLINK("https://gerandofalcoes.my.salesforce.com/0014X00002VKCoyQAH", "0014X00002VKCoyQAH")</f>
        <v>0014X00002VKCoyQAH</v>
      </c>
      <c r="B773" s="2" t="s">
        <v>1935</v>
      </c>
      <c r="C773" s="2" t="s">
        <v>423</v>
      </c>
      <c r="D773" s="2" t="s">
        <v>2</v>
      </c>
      <c r="E773" s="2">
        <v>45</v>
      </c>
      <c r="F773" s="2">
        <v>1</v>
      </c>
      <c r="G773" s="2">
        <v>3</v>
      </c>
      <c r="H773" s="2">
        <v>360000</v>
      </c>
      <c r="I773" s="2">
        <v>105</v>
      </c>
      <c r="J773" s="2" t="s">
        <v>1671</v>
      </c>
      <c r="K773" s="2">
        <v>58</v>
      </c>
      <c r="L773" s="2">
        <v>15</v>
      </c>
      <c r="M773" s="2">
        <v>5</v>
      </c>
      <c r="N773" s="2">
        <v>8</v>
      </c>
      <c r="O773" s="2">
        <v>20</v>
      </c>
      <c r="P773" s="2">
        <v>10</v>
      </c>
      <c r="Q773" s="2" t="s">
        <v>1936</v>
      </c>
      <c r="R773" s="2" t="s">
        <v>1937</v>
      </c>
      <c r="S773" s="4">
        <v>44837</v>
      </c>
    </row>
    <row r="774" spans="1:19" ht="12.5" x14ac:dyDescent="0.25">
      <c r="A774" s="14" t="str">
        <f>HYPERLINK("https://gerandofalcoes.my.salesforce.com/0014X00002VKCs4QAH", "0014X00002VKCs4QAH")</f>
        <v>0014X00002VKCs4QAH</v>
      </c>
      <c r="B774" s="2" t="s">
        <v>2487</v>
      </c>
      <c r="C774" s="2" t="s">
        <v>1800</v>
      </c>
      <c r="D774" s="2" t="s">
        <v>2</v>
      </c>
      <c r="E774" s="2">
        <v>22</v>
      </c>
      <c r="F774" s="2">
        <v>0</v>
      </c>
      <c r="G774" s="2">
        <v>2</v>
      </c>
      <c r="H774" s="2">
        <v>0</v>
      </c>
      <c r="I774" s="2">
        <v>10</v>
      </c>
      <c r="J774" s="2" t="s">
        <v>1779</v>
      </c>
      <c r="K774" s="2">
        <v>21</v>
      </c>
      <c r="L774" s="2">
        <v>10</v>
      </c>
      <c r="M774" s="2">
        <v>0</v>
      </c>
      <c r="N774" s="2">
        <v>6</v>
      </c>
      <c r="O774" s="2">
        <v>0</v>
      </c>
      <c r="P774" s="2">
        <v>5</v>
      </c>
      <c r="Q774" s="2" t="s">
        <v>2488</v>
      </c>
      <c r="R774" s="2" t="s">
        <v>2489</v>
      </c>
      <c r="S774" s="4">
        <v>44837</v>
      </c>
    </row>
    <row r="775" spans="1:19" ht="12.5" x14ac:dyDescent="0.25">
      <c r="A775" s="14" t="str">
        <f>HYPERLINK("https://gerandofalcoes.my.salesforce.com/0014X00002VKCpEQAX", "0014X00002VKCpEQAX")</f>
        <v>0014X00002VKCpEQAX</v>
      </c>
      <c r="B775" s="2" t="s">
        <v>2404</v>
      </c>
      <c r="C775" s="2" t="s">
        <v>423</v>
      </c>
      <c r="D775" s="2" t="s">
        <v>2</v>
      </c>
      <c r="E775" s="2">
        <v>25</v>
      </c>
      <c r="F775" s="2">
        <v>11</v>
      </c>
      <c r="G775" s="2">
        <v>2</v>
      </c>
      <c r="H775" s="2">
        <v>40000</v>
      </c>
      <c r="I775" s="2">
        <v>276</v>
      </c>
      <c r="J775" s="2" t="s">
        <v>1671</v>
      </c>
      <c r="K775" s="2">
        <v>55</v>
      </c>
      <c r="L775" s="2">
        <v>15</v>
      </c>
      <c r="M775" s="2">
        <v>12</v>
      </c>
      <c r="N775" s="2">
        <v>6</v>
      </c>
      <c r="O775" s="2">
        <v>10</v>
      </c>
      <c r="P775" s="2">
        <v>12</v>
      </c>
      <c r="Q775" s="2" t="s">
        <v>2405</v>
      </c>
      <c r="R775" s="2" t="s">
        <v>2406</v>
      </c>
      <c r="S775" s="4">
        <v>44837</v>
      </c>
    </row>
    <row r="776" spans="1:19" ht="12.5" x14ac:dyDescent="0.25">
      <c r="A776" s="14" t="str">
        <f>HYPERLINK("https://gerandofalcoes.my.salesforce.com/0014X00002VKCrKQAX", "0014X00002VKCrKQAX")</f>
        <v>0014X00002VKCrKQAX</v>
      </c>
      <c r="B776" s="2" t="s">
        <v>2562</v>
      </c>
      <c r="C776" s="2" t="s">
        <v>1800</v>
      </c>
      <c r="D776" s="2" t="s">
        <v>2</v>
      </c>
      <c r="E776" s="2">
        <v>20</v>
      </c>
      <c r="F776" s="2">
        <v>7</v>
      </c>
      <c r="G776" s="2">
        <v>5</v>
      </c>
      <c r="H776" s="2">
        <v>2000</v>
      </c>
      <c r="I776" s="2">
        <v>20</v>
      </c>
      <c r="J776" s="2" t="s">
        <v>1671</v>
      </c>
      <c r="K776" s="2">
        <v>40</v>
      </c>
      <c r="L776" s="2">
        <v>10</v>
      </c>
      <c r="M776" s="2">
        <v>10</v>
      </c>
      <c r="N776" s="2">
        <v>10</v>
      </c>
      <c r="O776" s="2">
        <v>5</v>
      </c>
      <c r="P776" s="2">
        <v>5</v>
      </c>
      <c r="Q776" s="2" t="s">
        <v>2563</v>
      </c>
      <c r="R776" s="2" t="s">
        <v>2564</v>
      </c>
      <c r="S776" s="4">
        <v>44837</v>
      </c>
    </row>
    <row r="777" spans="1:19" ht="12.5" x14ac:dyDescent="0.25">
      <c r="A777" s="14" t="str">
        <f>HYPERLINK("https://gerandofalcoes.my.salesforce.com/0014X00002VKCt6QAH", "0014X00002VKCt6QAH")</f>
        <v>0014X00002VKCt6QAH</v>
      </c>
      <c r="B777" s="2" t="s">
        <v>2531</v>
      </c>
      <c r="C777" s="2" t="s">
        <v>1800</v>
      </c>
      <c r="D777" s="2" t="s">
        <v>2</v>
      </c>
      <c r="E777" s="2">
        <v>21</v>
      </c>
      <c r="F777" s="2">
        <v>15</v>
      </c>
      <c r="G777" s="2">
        <v>3</v>
      </c>
      <c r="H777" s="2">
        <v>4500</v>
      </c>
      <c r="I777" s="2">
        <v>10</v>
      </c>
      <c r="J777" s="2" t="s">
        <v>1671</v>
      </c>
      <c r="K777" s="2">
        <v>40</v>
      </c>
      <c r="L777" s="2">
        <v>10</v>
      </c>
      <c r="M777" s="2">
        <v>12</v>
      </c>
      <c r="N777" s="2">
        <v>8</v>
      </c>
      <c r="O777" s="2">
        <v>5</v>
      </c>
      <c r="P777" s="2">
        <v>5</v>
      </c>
      <c r="Q777" s="2" t="s">
        <v>2532</v>
      </c>
      <c r="R777" s="2" t="s">
        <v>2533</v>
      </c>
      <c r="S777" s="4">
        <v>44837</v>
      </c>
    </row>
    <row r="778" spans="1:19" ht="12.5" x14ac:dyDescent="0.25">
      <c r="A778" s="14" t="str">
        <f>HYPERLINK("https://gerandofalcoes.my.salesforce.com/0014X00002VKCq6QAH", "0014X00002VKCq6QAH")</f>
        <v>0014X00002VKCq6QAH</v>
      </c>
      <c r="B778" s="2" t="s">
        <v>1773</v>
      </c>
      <c r="C778" s="2" t="s">
        <v>423</v>
      </c>
      <c r="D778" s="2" t="s">
        <v>2</v>
      </c>
      <c r="E778" s="2">
        <v>58.49</v>
      </c>
      <c r="F778" s="2">
        <v>0</v>
      </c>
      <c r="G778" s="2">
        <v>3</v>
      </c>
      <c r="H778" s="2">
        <v>6124615</v>
      </c>
      <c r="I778" s="2">
        <v>0</v>
      </c>
      <c r="J778" s="2" t="s">
        <v>1671</v>
      </c>
      <c r="K778" s="2">
        <v>53</v>
      </c>
      <c r="L778" s="2">
        <v>20</v>
      </c>
      <c r="M778" s="2">
        <v>0</v>
      </c>
      <c r="N778" s="2">
        <v>8</v>
      </c>
      <c r="O778" s="2">
        <v>25</v>
      </c>
      <c r="P778" s="2">
        <v>0</v>
      </c>
      <c r="Q778" s="2" t="s">
        <v>1774</v>
      </c>
      <c r="R778" s="2" t="s">
        <v>1775</v>
      </c>
      <c r="S778" s="4">
        <v>44837</v>
      </c>
    </row>
    <row r="779" spans="1:19" ht="12.5" x14ac:dyDescent="0.25">
      <c r="A779" s="14" t="str">
        <f>HYPERLINK("https://gerandofalcoes.my.salesforce.com/0014X00002VKCqBQAX", "0014X00002VKCqBQAX")</f>
        <v>0014X00002VKCqBQAX</v>
      </c>
      <c r="B779" s="2" t="s">
        <v>1949</v>
      </c>
      <c r="C779" s="2" t="s">
        <v>423</v>
      </c>
      <c r="D779" s="2" t="s">
        <v>2</v>
      </c>
      <c r="E779" s="2">
        <v>41</v>
      </c>
      <c r="F779" s="2">
        <v>6</v>
      </c>
      <c r="G779" s="2">
        <v>1</v>
      </c>
      <c r="H779" s="2">
        <v>109000</v>
      </c>
      <c r="I779" s="2">
        <v>154</v>
      </c>
      <c r="J779" s="2" t="s">
        <v>1671</v>
      </c>
      <c r="K779" s="2">
        <v>56</v>
      </c>
      <c r="L779" s="2">
        <v>15</v>
      </c>
      <c r="M779" s="2">
        <v>10</v>
      </c>
      <c r="N779" s="2">
        <v>4</v>
      </c>
      <c r="O779" s="2">
        <v>15</v>
      </c>
      <c r="P779" s="2">
        <v>12</v>
      </c>
      <c r="Q779" s="2" t="s">
        <v>1950</v>
      </c>
      <c r="R779" s="2" t="s">
        <v>1951</v>
      </c>
      <c r="S779" s="4">
        <v>44837</v>
      </c>
    </row>
    <row r="780" spans="1:19" ht="12.5" x14ac:dyDescent="0.25">
      <c r="A780" s="14" t="str">
        <f>HYPERLINK("https://gerandofalcoes.my.salesforce.com/0014P00003YSpAJQA1", "0014P00003YSpAJQA1")</f>
        <v>0014P00003YSpAJQA1</v>
      </c>
      <c r="B780" s="2" t="s">
        <v>1822</v>
      </c>
      <c r="C780" s="2" t="s">
        <v>423</v>
      </c>
      <c r="D780" s="2" t="s">
        <v>2</v>
      </c>
      <c r="E780" s="2">
        <v>39</v>
      </c>
      <c r="F780" s="2">
        <v>3</v>
      </c>
      <c r="G780" s="2">
        <v>6</v>
      </c>
      <c r="H780" s="2">
        <v>1556030</v>
      </c>
      <c r="I780" s="2">
        <v>200</v>
      </c>
      <c r="J780" s="2" t="s">
        <v>1650</v>
      </c>
      <c r="K780" s="2">
        <v>67</v>
      </c>
      <c r="L780" s="2">
        <v>15</v>
      </c>
      <c r="M780" s="2">
        <v>5</v>
      </c>
      <c r="N780" s="2">
        <v>10</v>
      </c>
      <c r="O780" s="2">
        <v>25</v>
      </c>
      <c r="P780" s="2">
        <v>12</v>
      </c>
      <c r="Q780" s="2" t="s">
        <v>1823</v>
      </c>
      <c r="R780" s="2" t="s">
        <v>1823</v>
      </c>
      <c r="S780" s="4">
        <v>44837</v>
      </c>
    </row>
    <row r="781" spans="1:19" ht="12.5" x14ac:dyDescent="0.25">
      <c r="A781" s="14" t="str">
        <f>HYPERLINK("https://gerandofalcoes.my.salesforce.com/0014P00003YSpAKQA1", "0014P00003YSpAKQA1")</f>
        <v>0014P00003YSpAKQA1</v>
      </c>
      <c r="B781" s="2" t="s">
        <v>2245</v>
      </c>
      <c r="C781" s="2" t="s">
        <v>1800</v>
      </c>
      <c r="D781" s="2" t="s">
        <v>2</v>
      </c>
      <c r="E781" s="2">
        <v>31</v>
      </c>
      <c r="F781" s="2">
        <v>0</v>
      </c>
      <c r="G781" s="2">
        <v>2</v>
      </c>
      <c r="H781" s="2">
        <v>15000</v>
      </c>
      <c r="I781" s="2">
        <v>0</v>
      </c>
      <c r="J781" s="2" t="s">
        <v>1779</v>
      </c>
      <c r="K781" s="2">
        <v>26</v>
      </c>
      <c r="L781" s="2">
        <v>15</v>
      </c>
      <c r="M781" s="2">
        <v>0</v>
      </c>
      <c r="N781" s="2">
        <v>6</v>
      </c>
      <c r="O781" s="2">
        <v>5</v>
      </c>
      <c r="P781" s="2">
        <v>0</v>
      </c>
      <c r="Q781" s="2" t="s">
        <v>2246</v>
      </c>
      <c r="R781" s="2" t="s">
        <v>2246</v>
      </c>
      <c r="S781" s="4">
        <v>44837</v>
      </c>
    </row>
    <row r="782" spans="1:19" ht="12.5" x14ac:dyDescent="0.25">
      <c r="A782" s="14" t="str">
        <f>HYPERLINK("https://gerandofalcoes.my.salesforce.com/0014P00003YSpALQA1", "0014P00003YSpALQA1")</f>
        <v>0014P00003YSpALQA1</v>
      </c>
      <c r="B782" s="2" t="s">
        <v>2106</v>
      </c>
      <c r="C782" s="2" t="s">
        <v>423</v>
      </c>
      <c r="D782" s="2" t="s">
        <v>2</v>
      </c>
      <c r="E782" s="2">
        <v>35</v>
      </c>
      <c r="F782" s="2">
        <v>7</v>
      </c>
      <c r="G782" s="2">
        <v>6</v>
      </c>
      <c r="H782" s="2">
        <v>83455</v>
      </c>
      <c r="I782" s="2">
        <v>81</v>
      </c>
      <c r="J782" s="2" t="s">
        <v>1671</v>
      </c>
      <c r="K782" s="2">
        <v>55</v>
      </c>
      <c r="L782" s="2">
        <v>15</v>
      </c>
      <c r="M782" s="2">
        <v>10</v>
      </c>
      <c r="N782" s="2">
        <v>10</v>
      </c>
      <c r="O782" s="2">
        <v>10</v>
      </c>
      <c r="P782" s="2">
        <v>10</v>
      </c>
      <c r="Q782" s="2" t="s">
        <v>2107</v>
      </c>
      <c r="R782" s="2" t="s">
        <v>2108</v>
      </c>
      <c r="S782" s="4">
        <v>44837</v>
      </c>
    </row>
    <row r="783" spans="1:19" ht="12.5" x14ac:dyDescent="0.25">
      <c r="A783" s="14" t="str">
        <f>HYPERLINK("https://gerandofalcoes.my.salesforce.com/0014P00003YSpAMQA1", "0014P00003YSpAMQA1")</f>
        <v>0014P00003YSpAMQA1</v>
      </c>
      <c r="B783" s="2" t="s">
        <v>2240</v>
      </c>
      <c r="C783" s="2" t="s">
        <v>1800</v>
      </c>
      <c r="D783" s="2" t="s">
        <v>2</v>
      </c>
      <c r="E783" s="2">
        <v>31</v>
      </c>
      <c r="F783" s="2">
        <v>0</v>
      </c>
      <c r="G783" s="2">
        <v>2</v>
      </c>
      <c r="H783" s="2">
        <v>8000</v>
      </c>
      <c r="I783" s="2">
        <v>21</v>
      </c>
      <c r="J783" s="2" t="s">
        <v>1779</v>
      </c>
      <c r="K783" s="2">
        <v>31</v>
      </c>
      <c r="L783" s="2">
        <v>15</v>
      </c>
      <c r="M783" s="2">
        <v>0</v>
      </c>
      <c r="N783" s="2">
        <v>6</v>
      </c>
      <c r="O783" s="2">
        <v>5</v>
      </c>
      <c r="P783" s="2">
        <v>5</v>
      </c>
      <c r="Q783" s="2" t="s">
        <v>2241</v>
      </c>
      <c r="R783" s="2" t="s">
        <v>2242</v>
      </c>
      <c r="S783" s="4">
        <v>44837</v>
      </c>
    </row>
    <row r="784" spans="1:19" ht="12.5" x14ac:dyDescent="0.25">
      <c r="A784" s="14" t="str">
        <f>HYPERLINK("https://gerandofalcoes.my.salesforce.com/0014P00003YSpA6QAL", "0014P00003YSpA6QAL")</f>
        <v>0014P00003YSpA6QAL</v>
      </c>
      <c r="B784" s="2" t="s">
        <v>2060</v>
      </c>
      <c r="C784" s="2" t="s">
        <v>1800</v>
      </c>
      <c r="D784" s="2" t="s">
        <v>2</v>
      </c>
      <c r="E784" s="2">
        <v>37</v>
      </c>
      <c r="F784" s="2">
        <v>27</v>
      </c>
      <c r="G784" s="2">
        <v>3</v>
      </c>
      <c r="H784" s="2">
        <v>132000</v>
      </c>
      <c r="I784" s="2">
        <v>0</v>
      </c>
      <c r="J784" s="2" t="s">
        <v>1671</v>
      </c>
      <c r="K784" s="2">
        <v>50</v>
      </c>
      <c r="L784" s="2">
        <v>15</v>
      </c>
      <c r="M784" s="2">
        <v>12</v>
      </c>
      <c r="N784" s="2">
        <v>8</v>
      </c>
      <c r="O784" s="2">
        <v>15</v>
      </c>
      <c r="P784" s="2">
        <v>0</v>
      </c>
      <c r="Q784" s="2" t="s">
        <v>2061</v>
      </c>
      <c r="R784" s="2" t="s">
        <v>2061</v>
      </c>
      <c r="S784" s="4">
        <v>44837</v>
      </c>
    </row>
    <row r="785" spans="1:19" ht="12.5" x14ac:dyDescent="0.25">
      <c r="A785" s="14" t="str">
        <f>HYPERLINK("https://gerandofalcoes.my.salesforce.com/0014P00003YSpP9QAL", "0014P00003YSpP9QAL")</f>
        <v>0014P00003YSpP9QAL</v>
      </c>
      <c r="B785" s="2" t="s">
        <v>2752</v>
      </c>
      <c r="C785" s="2" t="s">
        <v>423</v>
      </c>
      <c r="D785" s="2" t="s">
        <v>2</v>
      </c>
      <c r="E785" s="2">
        <v>14</v>
      </c>
      <c r="F785" s="2">
        <v>0</v>
      </c>
      <c r="G785" s="2">
        <v>12</v>
      </c>
      <c r="H785" s="2">
        <v>13000</v>
      </c>
      <c r="I785" s="2">
        <v>208</v>
      </c>
      <c r="J785" s="2" t="s">
        <v>1779</v>
      </c>
      <c r="K785" s="2">
        <v>37</v>
      </c>
      <c r="L785" s="2">
        <v>10</v>
      </c>
      <c r="M785" s="2">
        <v>0</v>
      </c>
      <c r="N785" s="2">
        <v>10</v>
      </c>
      <c r="O785" s="2">
        <v>5</v>
      </c>
      <c r="P785" s="2">
        <v>12</v>
      </c>
      <c r="Q785" s="2" t="s">
        <v>2753</v>
      </c>
      <c r="R785" s="2" t="s">
        <v>2754</v>
      </c>
      <c r="S785" s="4">
        <v>44837</v>
      </c>
    </row>
    <row r="786" spans="1:19" ht="12.5" x14ac:dyDescent="0.25">
      <c r="A786" s="14" t="str">
        <f>HYPERLINK("https://gerandofalcoes.my.salesforce.com/0014P00003AN2GIQA1", "0014P00003AN2GIQA1")</f>
        <v>0014P00003AN2GIQA1</v>
      </c>
      <c r="B786" s="2" t="s">
        <v>1661</v>
      </c>
      <c r="C786" s="2" t="s">
        <v>423</v>
      </c>
      <c r="D786" s="2" t="s">
        <v>27</v>
      </c>
      <c r="E786" s="2">
        <v>95</v>
      </c>
      <c r="F786" s="2">
        <v>5</v>
      </c>
      <c r="G786" s="2">
        <v>3</v>
      </c>
      <c r="H786" s="2">
        <v>133580.48000000001</v>
      </c>
      <c r="I786" s="2">
        <v>82</v>
      </c>
      <c r="J786" s="2" t="s">
        <v>1650</v>
      </c>
      <c r="K786" s="2">
        <v>68</v>
      </c>
      <c r="L786" s="2">
        <v>30</v>
      </c>
      <c r="M786" s="2">
        <v>5</v>
      </c>
      <c r="N786" s="2">
        <v>8</v>
      </c>
      <c r="O786" s="2">
        <v>15</v>
      </c>
      <c r="P786" s="2">
        <v>10</v>
      </c>
      <c r="Q786" s="2" t="s">
        <v>31</v>
      </c>
      <c r="R786" s="2" t="s">
        <v>1662</v>
      </c>
      <c r="S786" s="4">
        <v>44837</v>
      </c>
    </row>
    <row r="787" spans="1:19" ht="12.5" x14ac:dyDescent="0.25">
      <c r="A787" s="14" t="str">
        <f>HYPERLINK("https://gerandofalcoes.my.salesforce.com/0014P00003AN2GJQA1", "0014P00003AN2GJQA1")</f>
        <v>0014P00003AN2GJQA1</v>
      </c>
      <c r="B787" s="2" t="s">
        <v>1720</v>
      </c>
      <c r="C787" s="2" t="s">
        <v>423</v>
      </c>
      <c r="D787" s="2" t="s">
        <v>27</v>
      </c>
      <c r="E787" s="2">
        <v>76</v>
      </c>
      <c r="F787" s="2">
        <v>10</v>
      </c>
      <c r="G787" s="2">
        <v>2</v>
      </c>
      <c r="H787" s="2">
        <v>786451.23</v>
      </c>
      <c r="I787" s="2">
        <v>99</v>
      </c>
      <c r="J787" s="2" t="s">
        <v>1650</v>
      </c>
      <c r="K787" s="2">
        <v>71</v>
      </c>
      <c r="L787" s="2">
        <v>25</v>
      </c>
      <c r="M787" s="2">
        <v>10</v>
      </c>
      <c r="N787" s="2">
        <v>6</v>
      </c>
      <c r="O787" s="2">
        <v>20</v>
      </c>
      <c r="P787" s="2">
        <v>10</v>
      </c>
      <c r="Q787" s="2" t="s">
        <v>35</v>
      </c>
      <c r="R787" s="2" t="s">
        <v>1721</v>
      </c>
      <c r="S787" s="4">
        <v>44837</v>
      </c>
    </row>
    <row r="788" spans="1:19" ht="12.5" x14ac:dyDescent="0.25">
      <c r="A788" s="14" t="str">
        <f>HYPERLINK("https://gerandofalcoes.my.salesforce.com/0014P00003AN2GKQA1", "0014P00003AN2GKQA1")</f>
        <v>0014P00003AN2GKQA1</v>
      </c>
      <c r="B788" s="2" t="s">
        <v>1687</v>
      </c>
      <c r="C788" s="2" t="s">
        <v>423</v>
      </c>
      <c r="D788" s="2" t="s">
        <v>27</v>
      </c>
      <c r="E788" s="2">
        <v>85</v>
      </c>
      <c r="F788" s="2">
        <v>22</v>
      </c>
      <c r="G788" s="2">
        <v>5</v>
      </c>
      <c r="H788" s="2">
        <v>1314918.45</v>
      </c>
      <c r="I788" s="2">
        <v>358</v>
      </c>
      <c r="J788" s="2" t="s">
        <v>1654</v>
      </c>
      <c r="K788" s="2">
        <v>87</v>
      </c>
      <c r="L788" s="2">
        <v>25</v>
      </c>
      <c r="M788" s="2">
        <v>12</v>
      </c>
      <c r="N788" s="2">
        <v>10</v>
      </c>
      <c r="O788" s="2">
        <v>25</v>
      </c>
      <c r="P788" s="2">
        <v>15</v>
      </c>
      <c r="Q788" s="2" t="s">
        <v>28</v>
      </c>
      <c r="R788" s="2" t="s">
        <v>28</v>
      </c>
      <c r="S788" s="4">
        <v>44837</v>
      </c>
    </row>
    <row r="789" spans="1:19" ht="12.5" x14ac:dyDescent="0.25">
      <c r="A789" s="14" t="str">
        <f>HYPERLINK("https://gerandofalcoes.my.salesforce.com/0014X00002VKCu2QAH", "0014X00002VKCu2QAH")</f>
        <v>0014X00002VKCu2QAH</v>
      </c>
      <c r="B789" s="2" t="s">
        <v>2810</v>
      </c>
      <c r="C789" s="2" t="s">
        <v>423</v>
      </c>
      <c r="D789" s="2" t="s">
        <v>2</v>
      </c>
      <c r="E789" s="2">
        <v>41</v>
      </c>
      <c r="F789" s="2">
        <v>0</v>
      </c>
      <c r="G789" s="2">
        <v>2</v>
      </c>
      <c r="H789" s="2">
        <v>3</v>
      </c>
      <c r="I789" s="2">
        <v>300</v>
      </c>
      <c r="J789" s="2" t="s">
        <v>1671</v>
      </c>
      <c r="K789" s="2">
        <v>41</v>
      </c>
      <c r="L789" s="2">
        <v>15</v>
      </c>
      <c r="M789" s="2">
        <v>0</v>
      </c>
      <c r="N789" s="2">
        <v>6</v>
      </c>
      <c r="O789" s="2">
        <v>5</v>
      </c>
      <c r="P789" s="2">
        <v>15</v>
      </c>
      <c r="Q789" s="2" t="s">
        <v>2811</v>
      </c>
      <c r="R789" s="2" t="s">
        <v>2812</v>
      </c>
      <c r="S789" s="4">
        <v>44837</v>
      </c>
    </row>
    <row r="790" spans="1:19" ht="12.5" x14ac:dyDescent="0.25">
      <c r="A790" s="14" t="str">
        <f>HYPERLINK("https://gerandofalcoes.my.salesforce.com/0014X00002VKCsCQAX", "0014X00002VKCsCQAX")</f>
        <v>0014X00002VKCsCQAX</v>
      </c>
      <c r="B790" s="2" t="s">
        <v>2826</v>
      </c>
      <c r="C790" s="2" t="s">
        <v>423</v>
      </c>
      <c r="D790" s="2" t="s">
        <v>2</v>
      </c>
      <c r="E790" s="2">
        <v>11.65</v>
      </c>
      <c r="F790" s="2">
        <v>0</v>
      </c>
      <c r="G790" s="2">
        <v>2</v>
      </c>
      <c r="H790" s="2">
        <v>30000</v>
      </c>
      <c r="I790" s="2">
        <v>70</v>
      </c>
      <c r="J790" s="2" t="s">
        <v>1779</v>
      </c>
      <c r="K790" s="2">
        <v>31</v>
      </c>
      <c r="L790" s="2">
        <v>10</v>
      </c>
      <c r="M790" s="2">
        <v>0</v>
      </c>
      <c r="N790" s="2">
        <v>6</v>
      </c>
      <c r="O790" s="2">
        <v>10</v>
      </c>
      <c r="P790" s="2">
        <v>5</v>
      </c>
      <c r="Q790" s="2" t="s">
        <v>2827</v>
      </c>
      <c r="R790" s="2" t="s">
        <v>2827</v>
      </c>
      <c r="S790" s="4">
        <v>44837</v>
      </c>
    </row>
    <row r="791" spans="1:19" ht="12.5" x14ac:dyDescent="0.25">
      <c r="A791" s="14" t="str">
        <f>HYPERLINK("https://gerandofalcoes.my.salesforce.com/0014X00002VKCseQAH", "0014X00002VKCseQAH")</f>
        <v>0014X00002VKCseQAH</v>
      </c>
      <c r="B791" s="2" t="s">
        <v>2516</v>
      </c>
      <c r="C791" s="2" t="s">
        <v>423</v>
      </c>
      <c r="D791" s="2" t="s">
        <v>2</v>
      </c>
      <c r="E791" s="2">
        <v>21</v>
      </c>
      <c r="F791" s="2">
        <v>0</v>
      </c>
      <c r="G791" s="2">
        <v>4</v>
      </c>
      <c r="H791" s="2">
        <v>6000</v>
      </c>
      <c r="I791" s="2">
        <v>100</v>
      </c>
      <c r="J791" s="2" t="s">
        <v>1779</v>
      </c>
      <c r="K791" s="2">
        <v>35</v>
      </c>
      <c r="L791" s="2">
        <v>10</v>
      </c>
      <c r="M791" s="2">
        <v>0</v>
      </c>
      <c r="N791" s="2">
        <v>10</v>
      </c>
      <c r="O791" s="2">
        <v>5</v>
      </c>
      <c r="P791" s="2">
        <v>10</v>
      </c>
      <c r="Q791" s="2" t="s">
        <v>2517</v>
      </c>
      <c r="R791" s="2" t="s">
        <v>2517</v>
      </c>
      <c r="S791" s="4">
        <v>44837</v>
      </c>
    </row>
    <row r="792" spans="1:19" ht="12.5" x14ac:dyDescent="0.25">
      <c r="A792" s="14" t="str">
        <f>HYPERLINK("https://gerandofalcoes.my.salesforce.com/0014X00002VKCscQAH", "0014X00002VKCscQAH")</f>
        <v>0014X00002VKCscQAH</v>
      </c>
      <c r="B792" s="2" t="s">
        <v>2771</v>
      </c>
      <c r="C792" s="2" t="s">
        <v>423</v>
      </c>
      <c r="D792" s="2" t="s">
        <v>2</v>
      </c>
      <c r="E792" s="2">
        <v>38</v>
      </c>
      <c r="F792" s="2">
        <v>6</v>
      </c>
      <c r="G792" s="2">
        <v>0</v>
      </c>
      <c r="H792" s="2">
        <v>0</v>
      </c>
      <c r="I792" s="2">
        <v>150</v>
      </c>
      <c r="J792" s="2" t="s">
        <v>1779</v>
      </c>
      <c r="K792" s="2">
        <v>37</v>
      </c>
      <c r="L792" s="2">
        <v>15</v>
      </c>
      <c r="M792" s="2">
        <v>10</v>
      </c>
      <c r="N792" s="2">
        <v>0</v>
      </c>
      <c r="O792" s="2">
        <v>0</v>
      </c>
      <c r="P792" s="2">
        <v>12</v>
      </c>
      <c r="Q792" s="2" t="s">
        <v>2772</v>
      </c>
      <c r="R792" s="2" t="s">
        <v>2773</v>
      </c>
      <c r="S792" s="4">
        <v>44837</v>
      </c>
    </row>
    <row r="793" spans="1:19" ht="12.5" x14ac:dyDescent="0.25">
      <c r="A793" s="14" t="str">
        <f>HYPERLINK("https://gerandofalcoes.my.salesforce.com/0014X00002VKCt1QAH", "0014X00002VKCt1QAH")</f>
        <v>0014X00002VKCt1QAH</v>
      </c>
      <c r="B793" s="2" t="s">
        <v>2452</v>
      </c>
      <c r="C793" s="2" t="s">
        <v>423</v>
      </c>
      <c r="D793" s="2" t="s">
        <v>2</v>
      </c>
      <c r="E793" s="2">
        <v>23.64</v>
      </c>
      <c r="F793" s="2">
        <v>0</v>
      </c>
      <c r="G793" s="2">
        <v>1</v>
      </c>
      <c r="H793" s="2">
        <v>48000</v>
      </c>
      <c r="I793" s="2">
        <v>125</v>
      </c>
      <c r="J793" s="2" t="s">
        <v>1779</v>
      </c>
      <c r="K793" s="2">
        <v>34</v>
      </c>
      <c r="L793" s="2">
        <v>10</v>
      </c>
      <c r="M793" s="2">
        <v>0</v>
      </c>
      <c r="N793" s="2">
        <v>4</v>
      </c>
      <c r="O793" s="2">
        <v>10</v>
      </c>
      <c r="P793" s="2">
        <v>10</v>
      </c>
      <c r="Q793" s="2" t="s">
        <v>2453</v>
      </c>
      <c r="R793" s="2" t="s">
        <v>2453</v>
      </c>
      <c r="S793" s="4">
        <v>44837</v>
      </c>
    </row>
    <row r="794" spans="1:19" ht="12.5" x14ac:dyDescent="0.25">
      <c r="A794" s="14" t="str">
        <f>HYPERLINK("https://gerandofalcoes.my.salesforce.com/0014X00002VKCpyQAH", "0014X00002VKCpyQAH")</f>
        <v>0014X00002VKCpyQAH</v>
      </c>
      <c r="B794" s="2" t="s">
        <v>2340</v>
      </c>
      <c r="C794" s="2" t="s">
        <v>423</v>
      </c>
      <c r="D794" s="2" t="s">
        <v>2</v>
      </c>
      <c r="E794" s="2">
        <v>27.22</v>
      </c>
      <c r="F794" s="2">
        <v>0</v>
      </c>
      <c r="G794" s="2">
        <v>3</v>
      </c>
      <c r="H794" s="2">
        <v>20030</v>
      </c>
      <c r="I794" s="2">
        <v>294</v>
      </c>
      <c r="J794" s="2" t="s">
        <v>1671</v>
      </c>
      <c r="K794" s="2">
        <v>40</v>
      </c>
      <c r="L794" s="2">
        <v>15</v>
      </c>
      <c r="M794" s="2">
        <v>0</v>
      </c>
      <c r="N794" s="2">
        <v>8</v>
      </c>
      <c r="O794" s="2">
        <v>5</v>
      </c>
      <c r="P794" s="2">
        <v>12</v>
      </c>
      <c r="Q794" s="2" t="s">
        <v>2341</v>
      </c>
      <c r="R794" s="2" t="s">
        <v>2342</v>
      </c>
      <c r="S794" s="4">
        <v>44837</v>
      </c>
    </row>
    <row r="795" spans="1:19" ht="12.5" x14ac:dyDescent="0.25">
      <c r="A795" s="14" t="str">
        <f>HYPERLINK("https://gerandofalcoes.my.salesforce.com/0014X00002VKCstQAH", "0014X00002VKCstQAH")</f>
        <v>0014X00002VKCstQAH</v>
      </c>
      <c r="B795" s="2" t="s">
        <v>2259</v>
      </c>
      <c r="C795" s="2" t="s">
        <v>423</v>
      </c>
      <c r="D795" s="2" t="s">
        <v>2</v>
      </c>
      <c r="E795" s="2">
        <v>27</v>
      </c>
      <c r="F795" s="2">
        <v>2</v>
      </c>
      <c r="G795" s="2">
        <v>1</v>
      </c>
      <c r="H795" s="2">
        <v>5000</v>
      </c>
      <c r="I795" s="2">
        <v>50</v>
      </c>
      <c r="J795" s="2" t="s">
        <v>1779</v>
      </c>
      <c r="K795" s="2">
        <v>34</v>
      </c>
      <c r="L795" s="2">
        <v>15</v>
      </c>
      <c r="M795" s="2">
        <v>5</v>
      </c>
      <c r="N795" s="2">
        <v>4</v>
      </c>
      <c r="O795" s="2">
        <v>5</v>
      </c>
      <c r="P795" s="2">
        <v>5</v>
      </c>
      <c r="Q795" s="2" t="s">
        <v>2260</v>
      </c>
      <c r="R795" s="2" t="s">
        <v>2260</v>
      </c>
      <c r="S795" s="4">
        <v>44837</v>
      </c>
    </row>
    <row r="796" spans="1:19" ht="12.5" x14ac:dyDescent="0.25">
      <c r="A796" s="14" t="str">
        <f>HYPERLINK("https://gerandofalcoes.my.salesforce.com/0014X00002VKCuMQAX", "0014X00002VKCuMQAX")</f>
        <v>0014X00002VKCuMQAX</v>
      </c>
      <c r="B796" s="2" t="s">
        <v>2947</v>
      </c>
      <c r="C796" s="2" t="s">
        <v>423</v>
      </c>
      <c r="D796" s="2" t="s">
        <v>2</v>
      </c>
      <c r="E796" s="2">
        <v>5.54</v>
      </c>
      <c r="F796" s="2">
        <v>0</v>
      </c>
      <c r="G796" s="2">
        <v>1</v>
      </c>
      <c r="H796" s="2">
        <v>0</v>
      </c>
      <c r="I796" s="2">
        <v>420</v>
      </c>
      <c r="J796" s="2" t="s">
        <v>1779</v>
      </c>
      <c r="K796" s="2">
        <v>29</v>
      </c>
      <c r="L796" s="2">
        <v>10</v>
      </c>
      <c r="M796" s="2">
        <v>0</v>
      </c>
      <c r="N796" s="2">
        <v>4</v>
      </c>
      <c r="O796" s="2">
        <v>0</v>
      </c>
      <c r="P796" s="2">
        <v>15</v>
      </c>
      <c r="Q796" s="2" t="s">
        <v>2948</v>
      </c>
      <c r="R796" s="2" t="s">
        <v>2949</v>
      </c>
      <c r="S796" s="4">
        <v>44837</v>
      </c>
    </row>
    <row r="797" spans="1:19" ht="12.5" x14ac:dyDescent="0.25">
      <c r="A797" s="14" t="str">
        <f>HYPERLINK("https://gerandofalcoes.my.salesforce.com/0014X00002VKCqhQAH", "0014X00002VKCqhQAH")</f>
        <v>0014X00002VKCqhQAH</v>
      </c>
      <c r="B797" s="2" t="s">
        <v>2786</v>
      </c>
      <c r="C797" s="2" t="s">
        <v>423</v>
      </c>
      <c r="D797" s="2" t="s">
        <v>2</v>
      </c>
      <c r="E797" s="2">
        <v>48</v>
      </c>
      <c r="F797" s="2">
        <v>0</v>
      </c>
      <c r="G797" s="2">
        <v>0</v>
      </c>
      <c r="H797" s="2">
        <v>0</v>
      </c>
      <c r="I797" s="2">
        <v>300</v>
      </c>
      <c r="J797" s="2" t="s">
        <v>1779</v>
      </c>
      <c r="K797" s="2">
        <v>30</v>
      </c>
      <c r="L797" s="2">
        <v>15</v>
      </c>
      <c r="M797" s="2">
        <v>0</v>
      </c>
      <c r="N797" s="2">
        <v>0</v>
      </c>
      <c r="O797" s="2">
        <v>0</v>
      </c>
      <c r="P797" s="2">
        <v>15</v>
      </c>
      <c r="Q797" s="2" t="s">
        <v>2787</v>
      </c>
      <c r="R797" s="2" t="s">
        <v>2788</v>
      </c>
      <c r="S797" s="4">
        <v>44837</v>
      </c>
    </row>
    <row r="798" spans="1:19" ht="12.5" x14ac:dyDescent="0.25">
      <c r="A798" s="14" t="str">
        <f>HYPERLINK("https://gerandofalcoes.my.salesforce.com/0014X00002VKCqDQAX", "0014X00002VKCqDQAX")</f>
        <v>0014X00002VKCqDQAX</v>
      </c>
      <c r="B798" s="2" t="s">
        <v>2078</v>
      </c>
      <c r="C798" s="2" t="s">
        <v>423</v>
      </c>
      <c r="D798" s="2" t="s">
        <v>2</v>
      </c>
      <c r="E798" s="2">
        <v>36</v>
      </c>
      <c r="F798" s="2">
        <v>0</v>
      </c>
      <c r="G798" s="2">
        <v>2</v>
      </c>
      <c r="H798" s="2">
        <v>12000</v>
      </c>
      <c r="I798" s="2">
        <v>70</v>
      </c>
      <c r="J798" s="2" t="s">
        <v>1779</v>
      </c>
      <c r="K798" s="2">
        <v>31</v>
      </c>
      <c r="L798" s="2">
        <v>15</v>
      </c>
      <c r="M798" s="2">
        <v>0</v>
      </c>
      <c r="N798" s="2">
        <v>6</v>
      </c>
      <c r="O798" s="2">
        <v>5</v>
      </c>
      <c r="P798" s="2">
        <v>5</v>
      </c>
      <c r="Q798" s="2" t="s">
        <v>2079</v>
      </c>
      <c r="R798" s="2" t="s">
        <v>2080</v>
      </c>
      <c r="S798" s="4">
        <v>44837</v>
      </c>
    </row>
    <row r="799" spans="1:19" ht="12.5" x14ac:dyDescent="0.25">
      <c r="A799" s="14" t="str">
        <f>HYPERLINK("https://gerandofalcoes.my.salesforce.com/0014X00002VKCplQAH", "0014X00002VKCplQAH")</f>
        <v>0014X00002VKCplQAH</v>
      </c>
      <c r="B799" s="2" t="s">
        <v>2081</v>
      </c>
      <c r="C799" s="2" t="s">
        <v>1800</v>
      </c>
      <c r="D799" s="2" t="s">
        <v>2</v>
      </c>
      <c r="E799" s="2">
        <v>36</v>
      </c>
      <c r="F799" s="2">
        <v>20</v>
      </c>
      <c r="G799" s="2">
        <v>2</v>
      </c>
      <c r="H799" s="2">
        <v>300000</v>
      </c>
      <c r="I799" s="2">
        <v>50</v>
      </c>
      <c r="J799" s="2" t="s">
        <v>1671</v>
      </c>
      <c r="K799" s="2">
        <v>58</v>
      </c>
      <c r="L799" s="2">
        <v>15</v>
      </c>
      <c r="M799" s="2">
        <v>12</v>
      </c>
      <c r="N799" s="2">
        <v>6</v>
      </c>
      <c r="O799" s="2">
        <v>20</v>
      </c>
      <c r="P799" s="2">
        <v>5</v>
      </c>
      <c r="Q799" s="2" t="s">
        <v>2082</v>
      </c>
      <c r="R799" s="2" t="s">
        <v>2083</v>
      </c>
      <c r="S799" s="4">
        <v>44837</v>
      </c>
    </row>
    <row r="800" spans="1:19" ht="12.5" x14ac:dyDescent="0.25">
      <c r="A800" s="14" t="str">
        <f>HYPERLINK("https://gerandofalcoes.my.salesforce.com/0014X00002VKCqKQAX", "0014X00002VKCqKQAX")</f>
        <v>0014X00002VKCqKQAX</v>
      </c>
      <c r="B800" s="2" t="s">
        <v>2919</v>
      </c>
      <c r="C800" s="2" t="s">
        <v>423</v>
      </c>
      <c r="D800" s="2" t="s">
        <v>2</v>
      </c>
      <c r="E800" s="2">
        <v>21</v>
      </c>
      <c r="F800" s="2">
        <v>0</v>
      </c>
      <c r="G800" s="2">
        <v>1</v>
      </c>
      <c r="H800" s="2">
        <v>7500</v>
      </c>
      <c r="I800" s="2">
        <v>26</v>
      </c>
      <c r="J800" s="2" t="s">
        <v>1779</v>
      </c>
      <c r="K800" s="2">
        <v>24</v>
      </c>
      <c r="L800" s="2">
        <v>10</v>
      </c>
      <c r="M800" s="2">
        <v>0</v>
      </c>
      <c r="N800" s="2">
        <v>4</v>
      </c>
      <c r="O800" s="2">
        <v>5</v>
      </c>
      <c r="P800" s="2">
        <v>5</v>
      </c>
      <c r="Q800" s="2" t="s">
        <v>2920</v>
      </c>
      <c r="R800" s="2" t="s">
        <v>2921</v>
      </c>
      <c r="S800" s="4">
        <v>44837</v>
      </c>
    </row>
    <row r="801" spans="1:19" ht="12.5" x14ac:dyDescent="0.25">
      <c r="A801" s="14" t="str">
        <f>HYPERLINK("https://gerandofalcoes.my.salesforce.com/0014X00002VKCq4QAH", "0014X00002VKCq4QAH")</f>
        <v>0014X00002VKCq4QAH</v>
      </c>
      <c r="B801" s="2" t="s">
        <v>1980</v>
      </c>
      <c r="C801" s="2" t="s">
        <v>423</v>
      </c>
      <c r="D801" s="2" t="s">
        <v>2</v>
      </c>
      <c r="E801" s="2">
        <v>39</v>
      </c>
      <c r="F801" s="2">
        <v>0</v>
      </c>
      <c r="G801" s="2">
        <v>3</v>
      </c>
      <c r="H801" s="2">
        <v>30000</v>
      </c>
      <c r="I801" s="2">
        <v>700</v>
      </c>
      <c r="J801" s="2" t="s">
        <v>1671</v>
      </c>
      <c r="K801" s="2">
        <v>53</v>
      </c>
      <c r="L801" s="2">
        <v>15</v>
      </c>
      <c r="M801" s="2">
        <v>0</v>
      </c>
      <c r="N801" s="2">
        <v>8</v>
      </c>
      <c r="O801" s="2">
        <v>10</v>
      </c>
      <c r="P801" s="2">
        <v>20</v>
      </c>
      <c r="Q801" s="2" t="s">
        <v>1981</v>
      </c>
      <c r="R801" s="2" t="s">
        <v>1982</v>
      </c>
      <c r="S801" s="4">
        <v>44837</v>
      </c>
    </row>
    <row r="802" spans="1:19" ht="12.5" x14ac:dyDescent="0.25">
      <c r="A802" s="14" t="str">
        <f>HYPERLINK("https://gerandofalcoes.my.salesforce.com/0014X00002VKCpfQAH", "0014X00002VKCpfQAH")</f>
        <v>0014X00002VKCpfQAH</v>
      </c>
      <c r="B802" s="2" t="s">
        <v>1868</v>
      </c>
      <c r="C802" s="2" t="s">
        <v>423</v>
      </c>
      <c r="D802" s="2" t="s">
        <v>2</v>
      </c>
      <c r="E802" s="2">
        <v>40</v>
      </c>
      <c r="F802" s="2">
        <v>0</v>
      </c>
      <c r="G802" s="2">
        <v>3</v>
      </c>
      <c r="H802" s="2">
        <v>41307</v>
      </c>
      <c r="I802" s="2">
        <v>120</v>
      </c>
      <c r="J802" s="2" t="s">
        <v>1671</v>
      </c>
      <c r="K802" s="2">
        <v>43</v>
      </c>
      <c r="L802" s="2">
        <v>15</v>
      </c>
      <c r="M802" s="2">
        <v>0</v>
      </c>
      <c r="N802" s="2">
        <v>8</v>
      </c>
      <c r="O802" s="2">
        <v>10</v>
      </c>
      <c r="P802" s="2">
        <v>10</v>
      </c>
      <c r="Q802" s="2" t="s">
        <v>1869</v>
      </c>
      <c r="R802" s="2" t="s">
        <v>1870</v>
      </c>
      <c r="S802" s="4">
        <v>44837</v>
      </c>
    </row>
    <row r="803" spans="1:19" ht="12.5" x14ac:dyDescent="0.25">
      <c r="A803" s="14" t="str">
        <f>HYPERLINK("https://gerandofalcoes.my.salesforce.com/0014X00002VKCtKQAX", "0014X00002VKCtKQAX")</f>
        <v>0014X00002VKCtKQAX</v>
      </c>
      <c r="B803" s="2" t="s">
        <v>2828</v>
      </c>
      <c r="C803" s="2" t="s">
        <v>423</v>
      </c>
      <c r="D803" s="2" t="s">
        <v>2</v>
      </c>
      <c r="E803" s="2">
        <v>25</v>
      </c>
      <c r="F803" s="2">
        <v>8</v>
      </c>
      <c r="G803" s="2">
        <v>12</v>
      </c>
      <c r="H803" s="2">
        <v>5479</v>
      </c>
      <c r="I803" s="2">
        <v>80</v>
      </c>
      <c r="J803" s="2" t="s">
        <v>1671</v>
      </c>
      <c r="K803" s="2">
        <v>50</v>
      </c>
      <c r="L803" s="2">
        <v>15</v>
      </c>
      <c r="M803" s="2">
        <v>10</v>
      </c>
      <c r="N803" s="2">
        <v>10</v>
      </c>
      <c r="O803" s="2">
        <v>5</v>
      </c>
      <c r="P803" s="2">
        <v>10</v>
      </c>
      <c r="Q803" s="2" t="s">
        <v>2829</v>
      </c>
      <c r="R803" s="2" t="s">
        <v>2829</v>
      </c>
      <c r="S803" s="4">
        <v>44837</v>
      </c>
    </row>
    <row r="804" spans="1:19" ht="12.5" x14ac:dyDescent="0.25">
      <c r="A804" s="14" t="str">
        <f>HYPERLINK("https://gerandofalcoes.my.salesforce.com/0014X00002VKCtmQAH", "0014X00002VKCtmQAH")</f>
        <v>0014X00002VKCtmQAH</v>
      </c>
      <c r="B804" s="2" t="s">
        <v>2571</v>
      </c>
      <c r="C804" s="2" t="s">
        <v>1800</v>
      </c>
      <c r="D804" s="2" t="s">
        <v>2</v>
      </c>
      <c r="E804" s="2">
        <v>20</v>
      </c>
      <c r="F804" s="2">
        <v>0</v>
      </c>
      <c r="G804" s="2">
        <v>2</v>
      </c>
      <c r="H804" s="2">
        <v>30000</v>
      </c>
      <c r="I804" s="2">
        <v>0</v>
      </c>
      <c r="J804" s="2" t="s">
        <v>1779</v>
      </c>
      <c r="K804" s="2">
        <v>26</v>
      </c>
      <c r="L804" s="2">
        <v>10</v>
      </c>
      <c r="M804" s="2">
        <v>0</v>
      </c>
      <c r="N804" s="2">
        <v>6</v>
      </c>
      <c r="O804" s="2">
        <v>10</v>
      </c>
      <c r="P804" s="2">
        <v>0</v>
      </c>
      <c r="Q804" s="2" t="s">
        <v>2572</v>
      </c>
      <c r="R804" s="2" t="s">
        <v>2572</v>
      </c>
      <c r="S804" s="4">
        <v>44837</v>
      </c>
    </row>
    <row r="805" spans="1:19" ht="12.5" x14ac:dyDescent="0.25">
      <c r="A805" s="14" t="str">
        <f>HYPERLINK("https://gerandofalcoes.my.salesforce.com/0014X00002VKCq0QAH", "0014X00002VKCq0QAH")</f>
        <v>0014X00002VKCq0QAH</v>
      </c>
      <c r="B805" s="2" t="s">
        <v>2930</v>
      </c>
      <c r="C805" s="2" t="s">
        <v>1800</v>
      </c>
      <c r="D805" s="2" t="s">
        <v>2</v>
      </c>
      <c r="E805" s="2">
        <v>6</v>
      </c>
      <c r="F805" s="2">
        <v>2</v>
      </c>
      <c r="G805" s="2">
        <v>3</v>
      </c>
      <c r="H805" s="2">
        <v>929000</v>
      </c>
      <c r="I805" s="2">
        <v>300</v>
      </c>
      <c r="J805" s="2" t="s">
        <v>1671</v>
      </c>
      <c r="K805" s="2">
        <v>63</v>
      </c>
      <c r="L805" s="2">
        <v>10</v>
      </c>
      <c r="M805" s="2">
        <v>5</v>
      </c>
      <c r="N805" s="2">
        <v>8</v>
      </c>
      <c r="O805" s="2">
        <v>25</v>
      </c>
      <c r="P805" s="2">
        <v>15</v>
      </c>
      <c r="Q805" s="2" t="s">
        <v>2931</v>
      </c>
      <c r="R805" s="2" t="s">
        <v>2932</v>
      </c>
      <c r="S805" s="4">
        <v>44837</v>
      </c>
    </row>
    <row r="806" spans="1:19" ht="12.5" x14ac:dyDescent="0.25">
      <c r="A806" s="14" t="str">
        <f>HYPERLINK("https://gerandofalcoes.my.salesforce.com/0014X00002VKCrRQAX", "0014X00002VKCrRQAX")</f>
        <v>0014X00002VKCrRQAX</v>
      </c>
      <c r="B806" s="2" t="s">
        <v>1864</v>
      </c>
      <c r="C806" s="2" t="s">
        <v>423</v>
      </c>
      <c r="D806" s="2" t="s">
        <v>2</v>
      </c>
      <c r="E806" s="2">
        <v>43</v>
      </c>
      <c r="F806" s="2">
        <v>0</v>
      </c>
      <c r="G806" s="2">
        <v>2</v>
      </c>
      <c r="H806" s="2">
        <v>140300</v>
      </c>
      <c r="I806" s="2">
        <v>238</v>
      </c>
      <c r="J806" s="2" t="s">
        <v>1671</v>
      </c>
      <c r="K806" s="2">
        <v>48</v>
      </c>
      <c r="L806" s="2">
        <v>15</v>
      </c>
      <c r="M806" s="2">
        <v>0</v>
      </c>
      <c r="N806" s="2">
        <v>6</v>
      </c>
      <c r="O806" s="2">
        <v>15</v>
      </c>
      <c r="P806" s="2">
        <v>12</v>
      </c>
      <c r="Q806" s="2" t="s">
        <v>1865</v>
      </c>
      <c r="R806" s="2" t="s">
        <v>1866</v>
      </c>
      <c r="S806" s="4">
        <v>44837</v>
      </c>
    </row>
    <row r="807" spans="1:19" ht="12.5" x14ac:dyDescent="0.25">
      <c r="A807" s="14" t="str">
        <f>HYPERLINK("https://gerandofalcoes.my.salesforce.com/0014X00002VKCutQAH", "0014X00002VKCutQAH")</f>
        <v>0014X00002VKCutQAH</v>
      </c>
      <c r="B807" s="2" t="s">
        <v>2205</v>
      </c>
      <c r="C807" s="2" t="s">
        <v>423</v>
      </c>
      <c r="D807" s="2" t="s">
        <v>2</v>
      </c>
      <c r="E807" s="2">
        <v>45</v>
      </c>
      <c r="F807" s="2">
        <v>8</v>
      </c>
      <c r="G807" s="2">
        <v>3</v>
      </c>
      <c r="H807" s="2">
        <v>60000</v>
      </c>
      <c r="I807" s="2">
        <v>120</v>
      </c>
      <c r="J807" s="2" t="s">
        <v>1671</v>
      </c>
      <c r="K807" s="2">
        <v>53</v>
      </c>
      <c r="L807" s="2">
        <v>15</v>
      </c>
      <c r="M807" s="2">
        <v>10</v>
      </c>
      <c r="N807" s="2">
        <v>8</v>
      </c>
      <c r="O807" s="2">
        <v>10</v>
      </c>
      <c r="P807" s="2">
        <v>10</v>
      </c>
      <c r="Q807" s="2" t="s">
        <v>2206</v>
      </c>
      <c r="R807" s="2" t="s">
        <v>2207</v>
      </c>
      <c r="S807" s="4">
        <v>44837</v>
      </c>
    </row>
    <row r="808" spans="1:19" ht="12.5" x14ac:dyDescent="0.25">
      <c r="A808" s="14" t="str">
        <f>HYPERLINK("https://gerandofalcoes.my.salesforce.com/0014X00002VKCpgQAH", "0014X00002VKCpgQAH")</f>
        <v>0014X00002VKCpgQAH</v>
      </c>
      <c r="B808" s="2" t="s">
        <v>2898</v>
      </c>
      <c r="C808" s="2" t="s">
        <v>423</v>
      </c>
      <c r="D808" s="2" t="s">
        <v>2</v>
      </c>
      <c r="E808" s="2">
        <v>8.61</v>
      </c>
      <c r="F808" s="2">
        <v>1</v>
      </c>
      <c r="G808" s="2">
        <v>1</v>
      </c>
      <c r="H808" s="2">
        <v>1224</v>
      </c>
      <c r="I808" s="2">
        <v>25</v>
      </c>
      <c r="J808" s="2" t="s">
        <v>1779</v>
      </c>
      <c r="K808" s="2">
        <v>29</v>
      </c>
      <c r="L808" s="2">
        <v>10</v>
      </c>
      <c r="M808" s="2">
        <v>5</v>
      </c>
      <c r="N808" s="2">
        <v>4</v>
      </c>
      <c r="O808" s="2">
        <v>5</v>
      </c>
      <c r="P808" s="2">
        <v>5</v>
      </c>
      <c r="Q808" s="2" t="s">
        <v>2899</v>
      </c>
      <c r="R808" s="2" t="s">
        <v>2899</v>
      </c>
      <c r="S808" s="4">
        <v>44837</v>
      </c>
    </row>
    <row r="809" spans="1:19" ht="12.5" x14ac:dyDescent="0.25">
      <c r="A809" s="14" t="str">
        <f>HYPERLINK("https://gerandofalcoes.my.salesforce.com/0014X00002VKCtGQAX", "0014X00002VKCtGQAX")</f>
        <v>0014X00002VKCtGQAX</v>
      </c>
      <c r="B809" s="2" t="s">
        <v>2459</v>
      </c>
      <c r="C809" s="2" t="s">
        <v>423</v>
      </c>
      <c r="D809" s="2" t="s">
        <v>2</v>
      </c>
      <c r="E809" s="2">
        <v>23</v>
      </c>
      <c r="F809" s="2">
        <v>0</v>
      </c>
      <c r="G809" s="2">
        <v>4</v>
      </c>
      <c r="H809" s="2">
        <v>2000</v>
      </c>
      <c r="I809" s="2">
        <v>90</v>
      </c>
      <c r="J809" s="2" t="s">
        <v>1779</v>
      </c>
      <c r="K809" s="2">
        <v>35</v>
      </c>
      <c r="L809" s="2">
        <v>10</v>
      </c>
      <c r="M809" s="2">
        <v>0</v>
      </c>
      <c r="N809" s="2">
        <v>10</v>
      </c>
      <c r="O809" s="2">
        <v>5</v>
      </c>
      <c r="P809" s="2">
        <v>10</v>
      </c>
      <c r="Q809" s="2" t="s">
        <v>2460</v>
      </c>
      <c r="R809" s="2" t="s">
        <v>2461</v>
      </c>
      <c r="S809" s="4">
        <v>44837</v>
      </c>
    </row>
    <row r="810" spans="1:19" ht="12.5" x14ac:dyDescent="0.25">
      <c r="A810" s="14" t="str">
        <f>HYPERLINK("https://gerandofalcoes.my.salesforce.com/0014X00002VKCtkQAH", "0014X00002VKCtkQAH")</f>
        <v>0014X00002VKCtkQAH</v>
      </c>
      <c r="B810" s="2" t="s">
        <v>2200</v>
      </c>
      <c r="C810" s="2" t="s">
        <v>423</v>
      </c>
      <c r="D810" s="2" t="s">
        <v>2</v>
      </c>
      <c r="E810" s="2">
        <v>32.909999999999997</v>
      </c>
      <c r="F810" s="2">
        <v>14</v>
      </c>
      <c r="G810" s="2">
        <v>0</v>
      </c>
      <c r="H810" s="2">
        <v>345000</v>
      </c>
      <c r="I810" s="2">
        <v>300</v>
      </c>
      <c r="J810" s="2" t="s">
        <v>1671</v>
      </c>
      <c r="K810" s="2">
        <v>62</v>
      </c>
      <c r="L810" s="2">
        <v>15</v>
      </c>
      <c r="M810" s="2">
        <v>12</v>
      </c>
      <c r="N810" s="2">
        <v>0</v>
      </c>
      <c r="O810" s="2">
        <v>20</v>
      </c>
      <c r="P810" s="2">
        <v>15</v>
      </c>
      <c r="Q810" s="2" t="s">
        <v>2201</v>
      </c>
      <c r="R810" s="2" t="s">
        <v>2202</v>
      </c>
      <c r="S810" s="4">
        <v>44837</v>
      </c>
    </row>
    <row r="811" spans="1:19" ht="12.5" x14ac:dyDescent="0.25">
      <c r="A811" s="14" t="str">
        <f>HYPERLINK("https://gerandofalcoes.my.salesforce.com/0014X00002VKCpdQAH", "0014X00002VKCpdQAH")</f>
        <v>0014X00002VKCpdQAH</v>
      </c>
      <c r="B811" s="2" t="s">
        <v>1731</v>
      </c>
      <c r="C811" s="2" t="s">
        <v>423</v>
      </c>
      <c r="D811" s="2" t="s">
        <v>2</v>
      </c>
      <c r="E811" s="2">
        <v>71</v>
      </c>
      <c r="F811" s="2">
        <v>22</v>
      </c>
      <c r="G811" s="2">
        <v>3</v>
      </c>
      <c r="H811" s="2">
        <v>1200000</v>
      </c>
      <c r="I811" s="2">
        <v>520</v>
      </c>
      <c r="J811" s="2" t="s">
        <v>1654</v>
      </c>
      <c r="K811" s="2">
        <v>85</v>
      </c>
      <c r="L811" s="2">
        <v>20</v>
      </c>
      <c r="M811" s="2">
        <v>12</v>
      </c>
      <c r="N811" s="2">
        <v>8</v>
      </c>
      <c r="O811" s="2">
        <v>25</v>
      </c>
      <c r="P811" s="2">
        <v>20</v>
      </c>
      <c r="Q811" s="2" t="s">
        <v>1732</v>
      </c>
      <c r="R811" s="2" t="s">
        <v>1733</v>
      </c>
      <c r="S811" s="4">
        <v>44837</v>
      </c>
    </row>
    <row r="812" spans="1:19" ht="12.5" x14ac:dyDescent="0.25">
      <c r="A812" s="14" t="str">
        <f>HYPERLINK("https://gerandofalcoes.my.salesforce.com/0014X00002VKCtyQAH", "0014X00002VKCtyQAH")</f>
        <v>0014X00002VKCtyQAH</v>
      </c>
      <c r="B812" s="2" t="s">
        <v>1750</v>
      </c>
      <c r="C812" s="2" t="s">
        <v>423</v>
      </c>
      <c r="D812" s="2" t="s">
        <v>2</v>
      </c>
      <c r="E812" s="2">
        <v>63</v>
      </c>
      <c r="F812" s="2">
        <v>0</v>
      </c>
      <c r="G812" s="2">
        <v>4</v>
      </c>
      <c r="H812" s="2">
        <v>50000</v>
      </c>
      <c r="I812" s="2">
        <v>45</v>
      </c>
      <c r="J812" s="2" t="s">
        <v>1671</v>
      </c>
      <c r="K812" s="2">
        <v>45</v>
      </c>
      <c r="L812" s="2">
        <v>20</v>
      </c>
      <c r="M812" s="2">
        <v>0</v>
      </c>
      <c r="N812" s="2">
        <v>10</v>
      </c>
      <c r="O812" s="2">
        <v>10</v>
      </c>
      <c r="P812" s="2">
        <v>5</v>
      </c>
      <c r="Q812" s="2" t="s">
        <v>1751</v>
      </c>
      <c r="R812" s="2" t="s">
        <v>1752</v>
      </c>
      <c r="S812" s="4">
        <v>44837</v>
      </c>
    </row>
    <row r="813" spans="1:19" ht="12.5" x14ac:dyDescent="0.25">
      <c r="A813" s="14" t="str">
        <f>HYPERLINK("https://gerandofalcoes.my.salesforce.com/0014X00002VKCrWQAX", "0014X00002VKCrWQAX")</f>
        <v>0014X00002VKCrWQAX</v>
      </c>
      <c r="B813" s="2" t="s">
        <v>2235</v>
      </c>
      <c r="C813" s="2" t="s">
        <v>1800</v>
      </c>
      <c r="D813" s="2" t="s">
        <v>2</v>
      </c>
      <c r="E813" s="2">
        <v>31</v>
      </c>
      <c r="F813" s="2">
        <v>700</v>
      </c>
      <c r="G813" s="2">
        <v>3</v>
      </c>
      <c r="H813" s="2">
        <v>100000</v>
      </c>
      <c r="I813" s="2">
        <v>850</v>
      </c>
      <c r="J813" s="2" t="s">
        <v>1650</v>
      </c>
      <c r="K813" s="2">
        <v>73</v>
      </c>
      <c r="L813" s="2">
        <v>15</v>
      </c>
      <c r="M813" s="2">
        <v>15</v>
      </c>
      <c r="N813" s="2">
        <v>8</v>
      </c>
      <c r="O813" s="2">
        <v>15</v>
      </c>
      <c r="P813" s="2">
        <v>20</v>
      </c>
      <c r="Q813" s="2" t="s">
        <v>2236</v>
      </c>
      <c r="R813" s="2" t="s">
        <v>2237</v>
      </c>
      <c r="S813" s="4">
        <v>44837</v>
      </c>
    </row>
    <row r="814" spans="1:19" ht="12.5" x14ac:dyDescent="0.25">
      <c r="A814" s="14" t="str">
        <f>HYPERLINK("https://gerandofalcoes.my.salesforce.com/0014X00002VKCrkQAH", "0014X00002VKCrkQAH")</f>
        <v>0014X00002VKCrkQAH</v>
      </c>
      <c r="B814" s="2" t="s">
        <v>2093</v>
      </c>
      <c r="C814" s="2" t="s">
        <v>423</v>
      </c>
      <c r="D814" s="2" t="s">
        <v>2</v>
      </c>
      <c r="E814" s="2">
        <v>50</v>
      </c>
      <c r="F814" s="2">
        <v>10</v>
      </c>
      <c r="G814" s="2">
        <v>3</v>
      </c>
      <c r="H814" s="2">
        <v>7986449</v>
      </c>
      <c r="I814" s="2">
        <v>30</v>
      </c>
      <c r="J814" s="2" t="s">
        <v>1650</v>
      </c>
      <c r="K814" s="2">
        <v>68</v>
      </c>
      <c r="L814" s="2">
        <v>20</v>
      </c>
      <c r="M814" s="2">
        <v>10</v>
      </c>
      <c r="N814" s="2">
        <v>8</v>
      </c>
      <c r="O814" s="2">
        <v>25</v>
      </c>
      <c r="P814" s="2">
        <v>5</v>
      </c>
      <c r="Q814" s="2" t="s">
        <v>2094</v>
      </c>
      <c r="R814" s="2" t="s">
        <v>2095</v>
      </c>
      <c r="S814" s="4">
        <v>44837</v>
      </c>
    </row>
    <row r="815" spans="1:19" ht="12.5" x14ac:dyDescent="0.25">
      <c r="A815" s="14" t="str">
        <f>HYPERLINK("https://gerandofalcoes.my.salesforce.com/0014P00003YSp9PQAT", "0014P00003YSp9PQAT")</f>
        <v>0014P00003YSp9PQAT</v>
      </c>
      <c r="B815" s="2" t="s">
        <v>2312</v>
      </c>
      <c r="C815" s="2" t="s">
        <v>423</v>
      </c>
      <c r="D815" s="2" t="s">
        <v>2</v>
      </c>
      <c r="E815" s="2">
        <v>28.92</v>
      </c>
      <c r="F815" s="2">
        <v>1</v>
      </c>
      <c r="G815" s="2">
        <v>2</v>
      </c>
      <c r="H815" s="2">
        <v>105000</v>
      </c>
      <c r="I815" s="2">
        <v>0</v>
      </c>
      <c r="J815" s="2" t="s">
        <v>1671</v>
      </c>
      <c r="K815" s="2">
        <v>41</v>
      </c>
      <c r="L815" s="2">
        <v>15</v>
      </c>
      <c r="M815" s="2">
        <v>5</v>
      </c>
      <c r="N815" s="2">
        <v>6</v>
      </c>
      <c r="O815" s="2">
        <v>15</v>
      </c>
      <c r="P815" s="2">
        <v>0</v>
      </c>
      <c r="Q815" s="2" t="s">
        <v>2313</v>
      </c>
      <c r="R815" s="2" t="s">
        <v>2313</v>
      </c>
      <c r="S815" s="4">
        <v>44837</v>
      </c>
    </row>
    <row r="816" spans="1:19" ht="12.5" x14ac:dyDescent="0.25">
      <c r="A816" s="14" t="str">
        <f>HYPERLINK("https://gerandofalcoes.my.salesforce.com/0014P00003YSp9TQAT", "0014P00003YSp9TQAT")</f>
        <v>0014P00003YSp9TQAT</v>
      </c>
      <c r="B816" s="2" t="s">
        <v>2194</v>
      </c>
      <c r="C816" s="2" t="s">
        <v>423</v>
      </c>
      <c r="D816" s="2" t="s">
        <v>2</v>
      </c>
      <c r="E816" s="2">
        <v>33</v>
      </c>
      <c r="F816" s="2">
        <v>0</v>
      </c>
      <c r="G816" s="2">
        <v>3</v>
      </c>
      <c r="H816" s="2">
        <v>55000</v>
      </c>
      <c r="I816" s="2">
        <v>0</v>
      </c>
      <c r="J816" s="2" t="s">
        <v>1779</v>
      </c>
      <c r="K816" s="2">
        <v>33</v>
      </c>
      <c r="L816" s="2">
        <v>15</v>
      </c>
      <c r="M816" s="2">
        <v>0</v>
      </c>
      <c r="N816" s="2">
        <v>8</v>
      </c>
      <c r="O816" s="2">
        <v>10</v>
      </c>
      <c r="P816" s="2">
        <v>0</v>
      </c>
      <c r="Q816" s="2" t="s">
        <v>2195</v>
      </c>
      <c r="R816" s="2" t="s">
        <v>2196</v>
      </c>
      <c r="S816" s="4">
        <v>44837</v>
      </c>
    </row>
    <row r="817" spans="1:19" ht="12.5" x14ac:dyDescent="0.25">
      <c r="A817" s="14" t="str">
        <f>HYPERLINK("https://gerandofalcoes.my.salesforce.com/0014P00003YSp9UQAT", "0014P00003YSp9UQAT")</f>
        <v>0014P00003YSp9UQAT</v>
      </c>
      <c r="B817" s="2" t="s">
        <v>2133</v>
      </c>
      <c r="C817" s="2" t="s">
        <v>1800</v>
      </c>
      <c r="D817" s="2" t="s">
        <v>2</v>
      </c>
      <c r="E817" s="2">
        <v>34</v>
      </c>
      <c r="F817" s="2">
        <v>39</v>
      </c>
      <c r="G817" s="2">
        <v>2</v>
      </c>
      <c r="H817" s="2">
        <v>2000</v>
      </c>
      <c r="I817" s="2">
        <v>280</v>
      </c>
      <c r="J817" s="2" t="s">
        <v>1671</v>
      </c>
      <c r="K817" s="2">
        <v>53</v>
      </c>
      <c r="L817" s="2">
        <v>15</v>
      </c>
      <c r="M817" s="2">
        <v>15</v>
      </c>
      <c r="N817" s="2">
        <v>6</v>
      </c>
      <c r="O817" s="2">
        <v>5</v>
      </c>
      <c r="P817" s="2">
        <v>12</v>
      </c>
      <c r="Q817" s="2" t="s">
        <v>2134</v>
      </c>
      <c r="R817" s="2" t="s">
        <v>2135</v>
      </c>
      <c r="S817" s="4">
        <v>44837</v>
      </c>
    </row>
    <row r="818" spans="1:19" ht="12.5" x14ac:dyDescent="0.25">
      <c r="A818" s="14" t="str">
        <f>HYPERLINK("https://gerandofalcoes.my.salesforce.com/0014P00003YSp9WQAT", "0014P00003YSp9WQAT")</f>
        <v>0014P00003YSp9WQAT</v>
      </c>
      <c r="B818" s="2" t="s">
        <v>2286</v>
      </c>
      <c r="C818" s="2" t="s">
        <v>423</v>
      </c>
      <c r="D818" s="2" t="s">
        <v>2</v>
      </c>
      <c r="E818" s="2">
        <v>35</v>
      </c>
      <c r="F818" s="2">
        <v>0</v>
      </c>
      <c r="G818" s="2">
        <v>2</v>
      </c>
      <c r="H818" s="2">
        <v>0</v>
      </c>
      <c r="I818" s="2">
        <v>353</v>
      </c>
      <c r="J818" s="2" t="s">
        <v>1779</v>
      </c>
      <c r="K818" s="2">
        <v>36</v>
      </c>
      <c r="L818" s="2">
        <v>15</v>
      </c>
      <c r="M818" s="2">
        <v>0</v>
      </c>
      <c r="N818" s="2">
        <v>6</v>
      </c>
      <c r="O818" s="2">
        <v>0</v>
      </c>
      <c r="P818" s="2">
        <v>15</v>
      </c>
      <c r="Q818" s="2" t="s">
        <v>2287</v>
      </c>
      <c r="R818" s="2" t="s">
        <v>2287</v>
      </c>
      <c r="S818" s="4">
        <v>44837</v>
      </c>
    </row>
    <row r="819" spans="1:19" ht="12.5" x14ac:dyDescent="0.25">
      <c r="A819" s="14" t="str">
        <f>HYPERLINK("https://gerandofalcoes.my.salesforce.com/0014P00003YSp9XQAT", "0014P00003YSp9XQAT")</f>
        <v>0014P00003YSp9XQAT</v>
      </c>
      <c r="B819" s="2" t="s">
        <v>1833</v>
      </c>
      <c r="C819" s="2" t="s">
        <v>423</v>
      </c>
      <c r="D819" s="2" t="s">
        <v>2</v>
      </c>
      <c r="E819" s="2">
        <v>46</v>
      </c>
      <c r="F819" s="2">
        <v>53</v>
      </c>
      <c r="G819" s="2">
        <v>6</v>
      </c>
      <c r="H819" s="2">
        <v>526341644</v>
      </c>
      <c r="I819" s="2">
        <v>501</v>
      </c>
      <c r="J819" s="2" t="s">
        <v>1654</v>
      </c>
      <c r="K819" s="2">
        <v>85</v>
      </c>
      <c r="L819" s="2">
        <v>15</v>
      </c>
      <c r="M819" s="2">
        <v>15</v>
      </c>
      <c r="N819" s="2">
        <v>10</v>
      </c>
      <c r="O819" s="2">
        <v>25</v>
      </c>
      <c r="P819" s="2">
        <v>20</v>
      </c>
      <c r="Q819" s="2" t="s">
        <v>1834</v>
      </c>
      <c r="R819" s="2"/>
      <c r="S819" s="4">
        <v>44837</v>
      </c>
    </row>
    <row r="820" spans="1:19" ht="12.5" x14ac:dyDescent="0.25">
      <c r="A820" s="14" t="str">
        <f>HYPERLINK("https://gerandofalcoes.my.salesforce.com/0014P00003YSp9YQAT", "0014P00003YSp9YQAT")</f>
        <v>0014P00003YSp9YQAT</v>
      </c>
      <c r="B820" s="2" t="s">
        <v>2203</v>
      </c>
      <c r="C820" s="2" t="s">
        <v>423</v>
      </c>
      <c r="D820" s="2" t="s">
        <v>2</v>
      </c>
      <c r="E820" s="2">
        <v>32</v>
      </c>
      <c r="F820" s="2">
        <v>0</v>
      </c>
      <c r="G820" s="2">
        <v>2</v>
      </c>
      <c r="H820" s="2">
        <v>25822</v>
      </c>
      <c r="I820" s="2">
        <v>300</v>
      </c>
      <c r="J820" s="2" t="s">
        <v>1671</v>
      </c>
      <c r="K820" s="2">
        <v>46</v>
      </c>
      <c r="L820" s="2">
        <v>15</v>
      </c>
      <c r="M820" s="2">
        <v>0</v>
      </c>
      <c r="N820" s="2">
        <v>6</v>
      </c>
      <c r="O820" s="2">
        <v>10</v>
      </c>
      <c r="P820" s="2">
        <v>15</v>
      </c>
      <c r="Q820" s="2" t="s">
        <v>2204</v>
      </c>
      <c r="R820" s="2" t="s">
        <v>2204</v>
      </c>
      <c r="S820" s="4">
        <v>44837</v>
      </c>
    </row>
    <row r="821" spans="1:19" ht="12.5" x14ac:dyDescent="0.25">
      <c r="A821" s="14" t="str">
        <f>HYPERLINK("https://gerandofalcoes.my.salesforce.com/0014P00003YSp9ZQAT", "0014P00003YSp9ZQAT")</f>
        <v>0014P00003YSp9ZQAT</v>
      </c>
      <c r="B821" s="2" t="s">
        <v>2381</v>
      </c>
      <c r="C821" s="2" t="s">
        <v>1800</v>
      </c>
      <c r="D821" s="2" t="s">
        <v>2</v>
      </c>
      <c r="E821" s="2">
        <v>26</v>
      </c>
      <c r="F821" s="2">
        <v>2</v>
      </c>
      <c r="G821" s="2">
        <v>0</v>
      </c>
      <c r="H821" s="2">
        <v>0</v>
      </c>
      <c r="I821" s="2">
        <v>0</v>
      </c>
      <c r="J821" s="2" t="s">
        <v>1779</v>
      </c>
      <c r="K821" s="2">
        <v>20</v>
      </c>
      <c r="L821" s="2">
        <v>15</v>
      </c>
      <c r="M821" s="2">
        <v>5</v>
      </c>
      <c r="N821" s="2">
        <v>0</v>
      </c>
      <c r="O821" s="2">
        <v>0</v>
      </c>
      <c r="P821" s="2">
        <v>0</v>
      </c>
      <c r="Q821" s="2" t="s">
        <v>2382</v>
      </c>
      <c r="R821" s="2" t="s">
        <v>2383</v>
      </c>
      <c r="S821" s="4">
        <v>44837</v>
      </c>
    </row>
    <row r="822" spans="1:19" ht="12.5" x14ac:dyDescent="0.25">
      <c r="A822" s="14" t="str">
        <f>HYPERLINK("https://gerandofalcoes.my.salesforce.com/0014P00003YSp9aQAD", "0014P00003YSp9aQAD")</f>
        <v>0014P00003YSp9aQAD</v>
      </c>
      <c r="B822" s="2" t="s">
        <v>2249</v>
      </c>
      <c r="C822" s="2" t="s">
        <v>423</v>
      </c>
      <c r="D822" s="2" t="s">
        <v>2</v>
      </c>
      <c r="E822" s="2">
        <v>30.96</v>
      </c>
      <c r="F822" s="2">
        <v>0</v>
      </c>
      <c r="G822" s="2">
        <v>1</v>
      </c>
      <c r="H822" s="2">
        <v>2500</v>
      </c>
      <c r="I822" s="2">
        <v>50</v>
      </c>
      <c r="J822" s="2" t="s">
        <v>1779</v>
      </c>
      <c r="K822" s="2">
        <v>29</v>
      </c>
      <c r="L822" s="2">
        <v>15</v>
      </c>
      <c r="M822" s="2">
        <v>0</v>
      </c>
      <c r="N822" s="2">
        <v>4</v>
      </c>
      <c r="O822" s="2">
        <v>5</v>
      </c>
      <c r="P822" s="2">
        <v>5</v>
      </c>
      <c r="Q822" s="2" t="s">
        <v>2250</v>
      </c>
      <c r="R822" s="2" t="s">
        <v>2251</v>
      </c>
      <c r="S822" s="4">
        <v>44837</v>
      </c>
    </row>
    <row r="823" spans="1:19" ht="12.5" x14ac:dyDescent="0.25">
      <c r="A823" s="14" t="str">
        <f>HYPERLINK("https://gerandofalcoes.my.salesforce.com/0014P00003YSp9bQAD", "0014P00003YSp9bQAD")</f>
        <v>0014P00003YSp9bQAD</v>
      </c>
      <c r="B823" s="2" t="s">
        <v>2016</v>
      </c>
      <c r="C823" s="2" t="s">
        <v>1800</v>
      </c>
      <c r="D823" s="2" t="s">
        <v>2</v>
      </c>
      <c r="E823" s="2">
        <v>38</v>
      </c>
      <c r="F823" s="2">
        <v>8</v>
      </c>
      <c r="G823" s="2">
        <v>3</v>
      </c>
      <c r="H823" s="2">
        <v>400216</v>
      </c>
      <c r="I823" s="2">
        <v>340</v>
      </c>
      <c r="J823" s="2" t="s">
        <v>1650</v>
      </c>
      <c r="K823" s="2">
        <v>68</v>
      </c>
      <c r="L823" s="2">
        <v>15</v>
      </c>
      <c r="M823" s="2">
        <v>10</v>
      </c>
      <c r="N823" s="2">
        <v>8</v>
      </c>
      <c r="O823" s="2">
        <v>20</v>
      </c>
      <c r="P823" s="2">
        <v>15</v>
      </c>
      <c r="Q823" s="2" t="s">
        <v>2017</v>
      </c>
      <c r="R823" s="2" t="s">
        <v>2018</v>
      </c>
      <c r="S823" s="4">
        <v>44837</v>
      </c>
    </row>
    <row r="824" spans="1:19" ht="12.5" x14ac:dyDescent="0.25">
      <c r="A824" s="14" t="str">
        <f>HYPERLINK("https://gerandofalcoes.my.salesforce.com/0014P00003YSp9cQAD", "0014P00003YSp9cQAD")</f>
        <v>0014P00003YSp9cQAD</v>
      </c>
      <c r="B824" s="2" t="s">
        <v>2603</v>
      </c>
      <c r="C824" s="2" t="s">
        <v>1800</v>
      </c>
      <c r="D824" s="2" t="s">
        <v>2</v>
      </c>
      <c r="E824" s="2">
        <v>19</v>
      </c>
      <c r="F824" s="2">
        <v>2</v>
      </c>
      <c r="G824" s="2">
        <v>4</v>
      </c>
      <c r="H824" s="2">
        <v>2000</v>
      </c>
      <c r="I824" s="2">
        <v>60</v>
      </c>
      <c r="J824" s="2" t="s">
        <v>1779</v>
      </c>
      <c r="K824" s="2">
        <v>35</v>
      </c>
      <c r="L824" s="2">
        <v>10</v>
      </c>
      <c r="M824" s="2">
        <v>5</v>
      </c>
      <c r="N824" s="2">
        <v>10</v>
      </c>
      <c r="O824" s="2">
        <v>5</v>
      </c>
      <c r="P824" s="2">
        <v>5</v>
      </c>
      <c r="Q824" s="2" t="s">
        <v>2604</v>
      </c>
      <c r="R824" s="2" t="s">
        <v>2605</v>
      </c>
      <c r="S824" s="4">
        <v>44837</v>
      </c>
    </row>
    <row r="825" spans="1:19" ht="12.5" x14ac:dyDescent="0.25">
      <c r="A825" s="14" t="str">
        <f>HYPERLINK("https://gerandofalcoes.my.salesforce.com/0014P00003YSp9dQAD", "0014P00003YSp9dQAD")</f>
        <v>0014P00003YSp9dQAD</v>
      </c>
      <c r="B825" s="2" t="s">
        <v>2691</v>
      </c>
      <c r="C825" s="2" t="s">
        <v>1800</v>
      </c>
      <c r="D825" s="2" t="s">
        <v>2</v>
      </c>
      <c r="E825" s="2">
        <v>16</v>
      </c>
      <c r="F825" s="2">
        <v>0</v>
      </c>
      <c r="G825" s="2">
        <v>2</v>
      </c>
      <c r="H825" s="2">
        <v>10000</v>
      </c>
      <c r="I825" s="2">
        <v>0</v>
      </c>
      <c r="J825" s="2" t="s">
        <v>1779</v>
      </c>
      <c r="K825" s="2">
        <v>21</v>
      </c>
      <c r="L825" s="2">
        <v>10</v>
      </c>
      <c r="M825" s="2">
        <v>0</v>
      </c>
      <c r="N825" s="2">
        <v>6</v>
      </c>
      <c r="O825" s="2">
        <v>5</v>
      </c>
      <c r="P825" s="2">
        <v>0</v>
      </c>
      <c r="Q825" s="2" t="s">
        <v>2692</v>
      </c>
      <c r="R825" s="2" t="s">
        <v>2693</v>
      </c>
      <c r="S825" s="4">
        <v>44837</v>
      </c>
    </row>
    <row r="826" spans="1:19" ht="12.5" x14ac:dyDescent="0.25">
      <c r="A826" s="14" t="str">
        <f>HYPERLINK("https://gerandofalcoes.my.salesforce.com/0014P00003YSp9eQAD", "0014P00003YSp9eQAD")</f>
        <v>0014P00003YSp9eQAD</v>
      </c>
      <c r="B826" s="2" t="s">
        <v>2084</v>
      </c>
      <c r="C826" s="2" t="s">
        <v>1800</v>
      </c>
      <c r="D826" s="2" t="s">
        <v>2</v>
      </c>
      <c r="E826" s="2">
        <v>36</v>
      </c>
      <c r="F826" s="2">
        <v>4</v>
      </c>
      <c r="G826" s="2">
        <v>4</v>
      </c>
      <c r="H826" s="2">
        <v>270000</v>
      </c>
      <c r="I826" s="2">
        <v>0</v>
      </c>
      <c r="J826" s="2" t="s">
        <v>1671</v>
      </c>
      <c r="K826" s="2">
        <v>45</v>
      </c>
      <c r="L826" s="2">
        <v>15</v>
      </c>
      <c r="M826" s="2">
        <v>5</v>
      </c>
      <c r="N826" s="2">
        <v>10</v>
      </c>
      <c r="O826" s="2">
        <v>15</v>
      </c>
      <c r="P826" s="2">
        <v>0</v>
      </c>
      <c r="Q826" s="2" t="s">
        <v>2085</v>
      </c>
      <c r="R826" s="2" t="s">
        <v>2086</v>
      </c>
      <c r="S826" s="4">
        <v>44837</v>
      </c>
    </row>
    <row r="827" spans="1:19" ht="12.5" x14ac:dyDescent="0.25">
      <c r="A827" s="14" t="str">
        <f>HYPERLINK("https://gerandofalcoes.my.salesforce.com/0014P00003YSp9RQAT", "0014P00003YSp9RQAT")</f>
        <v>0014P00003YSp9RQAT</v>
      </c>
      <c r="B827" s="2" t="s">
        <v>2208</v>
      </c>
      <c r="C827" s="2" t="s">
        <v>1800</v>
      </c>
      <c r="D827" s="2" t="s">
        <v>2</v>
      </c>
      <c r="E827" s="2">
        <v>32</v>
      </c>
      <c r="F827" s="2">
        <v>0</v>
      </c>
      <c r="G827" s="2">
        <v>4</v>
      </c>
      <c r="H827" s="2">
        <v>45000</v>
      </c>
      <c r="I827" s="2">
        <v>1700</v>
      </c>
      <c r="J827" s="2" t="s">
        <v>1671</v>
      </c>
      <c r="K827" s="2">
        <v>55</v>
      </c>
      <c r="L827" s="2">
        <v>15</v>
      </c>
      <c r="M827" s="2">
        <v>0</v>
      </c>
      <c r="N827" s="2">
        <v>10</v>
      </c>
      <c r="O827" s="2">
        <v>10</v>
      </c>
      <c r="P827" s="2">
        <v>20</v>
      </c>
      <c r="Q827" s="2" t="s">
        <v>2209</v>
      </c>
      <c r="R827" s="2" t="s">
        <v>2210</v>
      </c>
      <c r="S827" s="4">
        <v>44837</v>
      </c>
    </row>
    <row r="828" spans="1:19" ht="12.5" x14ac:dyDescent="0.25">
      <c r="A828" s="14" t="str">
        <f>HYPERLINK("https://gerandofalcoes.my.salesforce.com/0014P00003YSp9SQAT", "0014P00003YSp9SQAT")</f>
        <v>0014P00003YSp9SQAT</v>
      </c>
      <c r="B828" s="2" t="s">
        <v>1844</v>
      </c>
      <c r="C828" s="2" t="s">
        <v>423</v>
      </c>
      <c r="D828" s="2" t="s">
        <v>2</v>
      </c>
      <c r="E828" s="2">
        <v>20</v>
      </c>
      <c r="F828" s="2">
        <v>3</v>
      </c>
      <c r="G828" s="2">
        <v>4</v>
      </c>
      <c r="H828" s="2">
        <v>2855703</v>
      </c>
      <c r="I828" s="2">
        <v>150</v>
      </c>
      <c r="J828" s="2" t="s">
        <v>1671</v>
      </c>
      <c r="K828" s="2">
        <v>62</v>
      </c>
      <c r="L828" s="2">
        <v>10</v>
      </c>
      <c r="M828" s="2">
        <v>5</v>
      </c>
      <c r="N828" s="2">
        <v>10</v>
      </c>
      <c r="O828" s="2">
        <v>25</v>
      </c>
      <c r="P828" s="2">
        <v>12</v>
      </c>
      <c r="Q828" s="2" t="s">
        <v>1845</v>
      </c>
      <c r="R828" s="2" t="s">
        <v>1846</v>
      </c>
      <c r="S828" s="4">
        <v>44837</v>
      </c>
    </row>
    <row r="829" spans="1:19" ht="12.5" x14ac:dyDescent="0.25">
      <c r="A829" s="14" t="str">
        <f>HYPERLINK("https://gerandofalcoes.my.salesforce.com/0014P00003YSp9fQAD", "0014P00003YSp9fQAD")</f>
        <v>0014P00003YSp9fQAD</v>
      </c>
      <c r="B829" s="2" t="s">
        <v>2436</v>
      </c>
      <c r="C829" s="2" t="s">
        <v>423</v>
      </c>
      <c r="D829" s="2" t="s">
        <v>2</v>
      </c>
      <c r="E829" s="2">
        <v>24.24</v>
      </c>
      <c r="F829" s="2">
        <v>0</v>
      </c>
      <c r="G829" s="2">
        <v>0</v>
      </c>
      <c r="H829" s="2">
        <v>0</v>
      </c>
      <c r="I829" s="2">
        <v>114</v>
      </c>
      <c r="J829" s="2" t="s">
        <v>1779</v>
      </c>
      <c r="K829" s="2">
        <v>20</v>
      </c>
      <c r="L829" s="2">
        <v>10</v>
      </c>
      <c r="M829" s="2">
        <v>0</v>
      </c>
      <c r="N829" s="2">
        <v>0</v>
      </c>
      <c r="O829" s="2">
        <v>0</v>
      </c>
      <c r="P829" s="2">
        <v>10</v>
      </c>
      <c r="Q829" s="2" t="s">
        <v>2437</v>
      </c>
      <c r="R829" s="2" t="s">
        <v>2437</v>
      </c>
      <c r="S829" s="4">
        <v>44837</v>
      </c>
    </row>
    <row r="830" spans="1:19" ht="12.5" x14ac:dyDescent="0.25">
      <c r="A830" s="14" t="str">
        <f>HYPERLINK("https://gerandofalcoes.my.salesforce.com/0014P00003YSp9gQAD", "0014P00003YSp9gQAD")</f>
        <v>0014P00003YSp9gQAD</v>
      </c>
      <c r="B830" s="2" t="s">
        <v>2559</v>
      </c>
      <c r="C830" s="2" t="s">
        <v>1800</v>
      </c>
      <c r="D830" s="2" t="s">
        <v>2</v>
      </c>
      <c r="E830" s="2">
        <v>20</v>
      </c>
      <c r="F830" s="2">
        <v>5</v>
      </c>
      <c r="G830" s="2">
        <v>2</v>
      </c>
      <c r="H830" s="2">
        <v>2000</v>
      </c>
      <c r="I830" s="2">
        <v>50</v>
      </c>
      <c r="J830" s="2" t="s">
        <v>1779</v>
      </c>
      <c r="K830" s="2">
        <v>31</v>
      </c>
      <c r="L830" s="2">
        <v>10</v>
      </c>
      <c r="M830" s="2">
        <v>5</v>
      </c>
      <c r="N830" s="2">
        <v>6</v>
      </c>
      <c r="O830" s="2">
        <v>5</v>
      </c>
      <c r="P830" s="2">
        <v>5</v>
      </c>
      <c r="Q830" s="2" t="s">
        <v>2560</v>
      </c>
      <c r="R830" s="2" t="s">
        <v>2561</v>
      </c>
      <c r="S830" s="4">
        <v>44837</v>
      </c>
    </row>
    <row r="831" spans="1:19" ht="12.5" x14ac:dyDescent="0.25">
      <c r="A831" s="14" t="str">
        <f>HYPERLINK("https://gerandofalcoes.my.salesforce.com/0014P00003YSp9hQAD", "0014P00003YSp9hQAD")</f>
        <v>0014P00003YSp9hQAD</v>
      </c>
      <c r="B831" s="2" t="s">
        <v>2433</v>
      </c>
      <c r="C831" s="2" t="s">
        <v>423</v>
      </c>
      <c r="D831" s="2" t="s">
        <v>2</v>
      </c>
      <c r="E831" s="2">
        <v>15</v>
      </c>
      <c r="F831" s="2">
        <v>15</v>
      </c>
      <c r="G831" s="2">
        <v>5</v>
      </c>
      <c r="H831" s="2">
        <v>3886816</v>
      </c>
      <c r="I831" s="2">
        <v>100</v>
      </c>
      <c r="J831" s="2" t="s">
        <v>1650</v>
      </c>
      <c r="K831" s="2">
        <v>67</v>
      </c>
      <c r="L831" s="2">
        <v>10</v>
      </c>
      <c r="M831" s="2">
        <v>12</v>
      </c>
      <c r="N831" s="2">
        <v>10</v>
      </c>
      <c r="O831" s="2">
        <v>25</v>
      </c>
      <c r="P831" s="2">
        <v>10</v>
      </c>
      <c r="Q831" s="2" t="s">
        <v>2434</v>
      </c>
      <c r="R831" s="2" t="s">
        <v>2435</v>
      </c>
      <c r="S831" s="4">
        <v>44837</v>
      </c>
    </row>
    <row r="832" spans="1:19" ht="12.5" x14ac:dyDescent="0.25">
      <c r="A832" s="14" t="str">
        <f>HYPERLINK("https://gerandofalcoes.my.salesforce.com/0014P00003YSp9iQAD", "0014P00003YSp9iQAD")</f>
        <v>0014P00003YSp9iQAD</v>
      </c>
      <c r="B832" s="2" t="s">
        <v>2253</v>
      </c>
      <c r="C832" s="2" t="s">
        <v>423</v>
      </c>
      <c r="D832" s="2" t="s">
        <v>2</v>
      </c>
      <c r="E832" s="2">
        <v>36</v>
      </c>
      <c r="F832" s="2">
        <v>0</v>
      </c>
      <c r="G832" s="2">
        <v>3</v>
      </c>
      <c r="H832" s="2">
        <v>27240</v>
      </c>
      <c r="I832" s="2">
        <v>0</v>
      </c>
      <c r="J832" s="2" t="s">
        <v>1779</v>
      </c>
      <c r="K832" s="2">
        <v>33</v>
      </c>
      <c r="L832" s="2">
        <v>15</v>
      </c>
      <c r="M832" s="2">
        <v>0</v>
      </c>
      <c r="N832" s="2">
        <v>8</v>
      </c>
      <c r="O832" s="2">
        <v>10</v>
      </c>
      <c r="P832" s="2">
        <v>0</v>
      </c>
      <c r="Q832" s="2" t="s">
        <v>2254</v>
      </c>
      <c r="R832" s="2" t="s">
        <v>2255</v>
      </c>
      <c r="S832" s="4">
        <v>44837</v>
      </c>
    </row>
    <row r="833" spans="1:19" ht="12.5" x14ac:dyDescent="0.25">
      <c r="A833" s="14" t="str">
        <f>HYPERLINK("https://gerandofalcoes.my.salesforce.com/0014P00003YSp9jQAD", "0014P00003YSp9jQAD")</f>
        <v>0014P00003YSp9jQAD</v>
      </c>
      <c r="B833" s="2" t="s">
        <v>2270</v>
      </c>
      <c r="C833" s="2" t="s">
        <v>423</v>
      </c>
      <c r="D833" s="2" t="s">
        <v>2</v>
      </c>
      <c r="E833" s="2">
        <v>30</v>
      </c>
      <c r="F833" s="2">
        <v>1</v>
      </c>
      <c r="G833" s="2">
        <v>1</v>
      </c>
      <c r="H833" s="2">
        <v>6000</v>
      </c>
      <c r="I833" s="2">
        <v>110</v>
      </c>
      <c r="J833" s="2" t="s">
        <v>1779</v>
      </c>
      <c r="K833" s="2">
        <v>39</v>
      </c>
      <c r="L833" s="2">
        <v>15</v>
      </c>
      <c r="M833" s="2">
        <v>5</v>
      </c>
      <c r="N833" s="2">
        <v>4</v>
      </c>
      <c r="O833" s="2">
        <v>5</v>
      </c>
      <c r="P833" s="2">
        <v>10</v>
      </c>
      <c r="Q833" s="2" t="s">
        <v>2271</v>
      </c>
      <c r="R833" s="2" t="s">
        <v>2271</v>
      </c>
      <c r="S833" s="4">
        <v>44837</v>
      </c>
    </row>
    <row r="834" spans="1:19" ht="12.5" x14ac:dyDescent="0.25">
      <c r="A834" s="14" t="str">
        <f>HYPERLINK("https://gerandofalcoes.my.salesforce.com/0014P00003YSp9kQAD", "0014P00003YSp9kQAD")</f>
        <v>0014P00003YSp9kQAD</v>
      </c>
      <c r="B834" s="2" t="s">
        <v>1852</v>
      </c>
      <c r="C834" s="2" t="s">
        <v>423</v>
      </c>
      <c r="D834" s="2" t="s">
        <v>2</v>
      </c>
      <c r="E834" s="2">
        <v>29</v>
      </c>
      <c r="F834" s="2">
        <v>8</v>
      </c>
      <c r="G834" s="2">
        <v>3</v>
      </c>
      <c r="H834" s="2">
        <v>668446</v>
      </c>
      <c r="I834" s="2">
        <v>851</v>
      </c>
      <c r="J834" s="2" t="s">
        <v>1650</v>
      </c>
      <c r="K834" s="2">
        <v>73</v>
      </c>
      <c r="L834" s="2">
        <v>15</v>
      </c>
      <c r="M834" s="2">
        <v>10</v>
      </c>
      <c r="N834" s="2">
        <v>8</v>
      </c>
      <c r="O834" s="2">
        <v>20</v>
      </c>
      <c r="P834" s="2">
        <v>20</v>
      </c>
      <c r="Q834" s="2" t="s">
        <v>1853</v>
      </c>
      <c r="R834" s="2" t="s">
        <v>1854</v>
      </c>
      <c r="S834" s="4">
        <v>44837</v>
      </c>
    </row>
    <row r="835" spans="1:19" ht="12.5" x14ac:dyDescent="0.25">
      <c r="A835" s="14" t="str">
        <f>HYPERLINK("https://gerandofalcoes.my.salesforce.com/0014P00003YSp9lQAD", "0014P00003YSp9lQAD")</f>
        <v>0014P00003YSp9lQAD</v>
      </c>
      <c r="B835" s="2" t="s">
        <v>2573</v>
      </c>
      <c r="C835" s="2" t="s">
        <v>423</v>
      </c>
      <c r="D835" s="2" t="s">
        <v>2</v>
      </c>
      <c r="E835" s="2">
        <v>20</v>
      </c>
      <c r="F835" s="2">
        <v>8</v>
      </c>
      <c r="G835" s="2">
        <v>2</v>
      </c>
      <c r="H835" s="2">
        <v>12000</v>
      </c>
      <c r="I835" s="2">
        <v>0</v>
      </c>
      <c r="J835" s="2" t="s">
        <v>1779</v>
      </c>
      <c r="K835" s="2">
        <v>31</v>
      </c>
      <c r="L835" s="2">
        <v>10</v>
      </c>
      <c r="M835" s="2">
        <v>10</v>
      </c>
      <c r="N835" s="2">
        <v>6</v>
      </c>
      <c r="O835" s="2">
        <v>5</v>
      </c>
      <c r="P835" s="2">
        <v>0</v>
      </c>
      <c r="Q835" s="2" t="s">
        <v>2574</v>
      </c>
      <c r="R835" s="2" t="s">
        <v>2575</v>
      </c>
      <c r="S835" s="4">
        <v>44837</v>
      </c>
    </row>
    <row r="836" spans="1:19" ht="12.5" x14ac:dyDescent="0.25">
      <c r="A836" s="14" t="str">
        <f>HYPERLINK("https://gerandofalcoes.my.salesforce.com/0014P00003YSp9mQAD", "0014P00003YSp9mQAD")</f>
        <v>0014P00003YSp9mQAD</v>
      </c>
      <c r="B836" s="2" t="s">
        <v>1665</v>
      </c>
      <c r="C836" s="2" t="s">
        <v>423</v>
      </c>
      <c r="D836" s="2" t="s">
        <v>27</v>
      </c>
      <c r="E836" s="2">
        <v>88.16</v>
      </c>
      <c r="F836" s="2">
        <v>15</v>
      </c>
      <c r="G836" s="2">
        <v>6</v>
      </c>
      <c r="H836" s="2">
        <v>1000000</v>
      </c>
      <c r="I836" s="2">
        <v>767</v>
      </c>
      <c r="J836" s="2" t="s">
        <v>1654</v>
      </c>
      <c r="K836" s="2">
        <v>92</v>
      </c>
      <c r="L836" s="2">
        <v>25</v>
      </c>
      <c r="M836" s="2">
        <v>12</v>
      </c>
      <c r="N836" s="2">
        <v>10</v>
      </c>
      <c r="O836" s="2">
        <v>25</v>
      </c>
      <c r="P836" s="2">
        <v>20</v>
      </c>
      <c r="Q836" s="2" t="s">
        <v>1666</v>
      </c>
      <c r="R836" s="2" t="s">
        <v>1667</v>
      </c>
      <c r="S836" s="4">
        <v>44837</v>
      </c>
    </row>
    <row r="837" spans="1:19" ht="12.5" x14ac:dyDescent="0.25">
      <c r="A837" s="14" t="str">
        <f>HYPERLINK("https://gerandofalcoes.my.salesforce.com/0014P00003YSp9qQAD", "0014P00003YSp9qQAD")</f>
        <v>0014P00003YSp9qQAD</v>
      </c>
      <c r="B837" s="2" t="s">
        <v>2792</v>
      </c>
      <c r="C837" s="2" t="s">
        <v>1800</v>
      </c>
      <c r="D837" s="2" t="s">
        <v>2</v>
      </c>
      <c r="E837" s="2">
        <v>13</v>
      </c>
      <c r="F837" s="2">
        <v>0</v>
      </c>
      <c r="G837" s="2">
        <v>4</v>
      </c>
      <c r="H837" s="2">
        <v>3000</v>
      </c>
      <c r="I837" s="2">
        <v>60</v>
      </c>
      <c r="J837" s="2" t="s">
        <v>1779</v>
      </c>
      <c r="K837" s="2">
        <v>30</v>
      </c>
      <c r="L837" s="2">
        <v>10</v>
      </c>
      <c r="M837" s="2">
        <v>0</v>
      </c>
      <c r="N837" s="2">
        <v>10</v>
      </c>
      <c r="O837" s="2">
        <v>5</v>
      </c>
      <c r="P837" s="2">
        <v>5</v>
      </c>
      <c r="Q837" s="2" t="s">
        <v>2793</v>
      </c>
      <c r="R837" s="2" t="s">
        <v>2794</v>
      </c>
      <c r="S837" s="4">
        <v>44837</v>
      </c>
    </row>
    <row r="838" spans="1:19" ht="12.5" x14ac:dyDescent="0.25">
      <c r="A838" s="14" t="str">
        <f>HYPERLINK("https://gerandofalcoes.my.salesforce.com/0014P00003YSp9rQAD", "0014P00003YSp9rQAD")</f>
        <v>0014P00003YSp9rQAD</v>
      </c>
      <c r="B838" s="2" t="s">
        <v>2070</v>
      </c>
      <c r="C838" s="2" t="s">
        <v>1800</v>
      </c>
      <c r="D838" s="2" t="s">
        <v>2</v>
      </c>
      <c r="E838" s="2">
        <v>36</v>
      </c>
      <c r="F838" s="2">
        <v>7</v>
      </c>
      <c r="G838" s="2">
        <v>3</v>
      </c>
      <c r="H838" s="2">
        <v>0</v>
      </c>
      <c r="I838" s="2">
        <v>120</v>
      </c>
      <c r="J838" s="2" t="s">
        <v>1671</v>
      </c>
      <c r="K838" s="2">
        <v>43</v>
      </c>
      <c r="L838" s="2">
        <v>15</v>
      </c>
      <c r="M838" s="2">
        <v>10</v>
      </c>
      <c r="N838" s="2">
        <v>8</v>
      </c>
      <c r="O838" s="2">
        <v>0</v>
      </c>
      <c r="P838" s="2">
        <v>10</v>
      </c>
      <c r="Q838" s="2" t="s">
        <v>2071</v>
      </c>
      <c r="R838" s="2" t="s">
        <v>2072</v>
      </c>
      <c r="S838" s="4">
        <v>44837</v>
      </c>
    </row>
    <row r="839" spans="1:19" ht="12.5" x14ac:dyDescent="0.25">
      <c r="A839" s="14" t="str">
        <f>HYPERLINK("https://gerandofalcoes.my.salesforce.com/0014P00003YSp9tQAD", "0014P00003YSp9tQAD")</f>
        <v>0014P00003YSp9tQAD</v>
      </c>
      <c r="B839" s="2" t="s">
        <v>2022</v>
      </c>
      <c r="C839" s="2" t="s">
        <v>1684</v>
      </c>
      <c r="D839" s="2" t="s">
        <v>2</v>
      </c>
      <c r="E839" s="2">
        <v>38</v>
      </c>
      <c r="F839" s="2">
        <v>0</v>
      </c>
      <c r="G839" s="2">
        <v>0</v>
      </c>
      <c r="H839" s="2">
        <v>0</v>
      </c>
      <c r="I839" s="2">
        <v>0</v>
      </c>
      <c r="J839" s="2" t="s">
        <v>1779</v>
      </c>
      <c r="K839" s="2">
        <v>15</v>
      </c>
      <c r="L839" s="2">
        <v>15</v>
      </c>
      <c r="M839" s="2">
        <v>0</v>
      </c>
      <c r="N839" s="2">
        <v>0</v>
      </c>
      <c r="O839" s="2">
        <v>0</v>
      </c>
      <c r="P839" s="2">
        <v>0</v>
      </c>
      <c r="Q839" s="2" t="s">
        <v>2023</v>
      </c>
      <c r="R839" s="2" t="s">
        <v>2024</v>
      </c>
      <c r="S839" s="4">
        <v>44837</v>
      </c>
    </row>
    <row r="840" spans="1:19" ht="12.5" x14ac:dyDescent="0.25">
      <c r="A840" s="14" t="str">
        <f>HYPERLINK("https://gerandofalcoes.my.salesforce.com/0014P00003YSp9vQAD", "0014P00003YSp9vQAD")</f>
        <v>0014P00003YSp9vQAD</v>
      </c>
      <c r="B840" s="2" t="s">
        <v>2884</v>
      </c>
      <c r="C840" s="2" t="s">
        <v>423</v>
      </c>
      <c r="D840" s="2" t="s">
        <v>2</v>
      </c>
      <c r="E840" s="2">
        <v>9</v>
      </c>
      <c r="F840" s="2">
        <v>0</v>
      </c>
      <c r="G840" s="2">
        <v>2</v>
      </c>
      <c r="H840" s="2">
        <v>11000</v>
      </c>
      <c r="I840" s="2">
        <v>759</v>
      </c>
      <c r="J840" s="2" t="s">
        <v>1671</v>
      </c>
      <c r="K840" s="2">
        <v>41</v>
      </c>
      <c r="L840" s="2">
        <v>10</v>
      </c>
      <c r="M840" s="2">
        <v>0</v>
      </c>
      <c r="N840" s="2">
        <v>6</v>
      </c>
      <c r="O840" s="2">
        <v>5</v>
      </c>
      <c r="P840" s="2">
        <v>20</v>
      </c>
      <c r="Q840" s="2" t="s">
        <v>2885</v>
      </c>
      <c r="R840" s="2" t="s">
        <v>2886</v>
      </c>
      <c r="S840" s="4">
        <v>44837</v>
      </c>
    </row>
    <row r="841" spans="1:19" ht="12.5" x14ac:dyDescent="0.25">
      <c r="A841" s="14" t="str">
        <f>HYPERLINK("https://gerandofalcoes.my.salesforce.com/0014P00003YSp9wQAD", "0014P00003YSp9wQAD")</f>
        <v>0014P00003YSp9wQAD</v>
      </c>
      <c r="B841" s="2" t="s">
        <v>2497</v>
      </c>
      <c r="C841" s="2" t="s">
        <v>423</v>
      </c>
      <c r="D841" s="2" t="s">
        <v>2</v>
      </c>
      <c r="E841" s="2">
        <v>25</v>
      </c>
      <c r="F841" s="2">
        <v>6</v>
      </c>
      <c r="G841" s="2">
        <v>2</v>
      </c>
      <c r="H841" s="2">
        <v>2600000</v>
      </c>
      <c r="I841" s="2">
        <v>200</v>
      </c>
      <c r="J841" s="2" t="s">
        <v>1650</v>
      </c>
      <c r="K841" s="2">
        <v>68</v>
      </c>
      <c r="L841" s="2">
        <v>15</v>
      </c>
      <c r="M841" s="2">
        <v>10</v>
      </c>
      <c r="N841" s="2">
        <v>6</v>
      </c>
      <c r="O841" s="2">
        <v>25</v>
      </c>
      <c r="P841" s="2">
        <v>12</v>
      </c>
      <c r="Q841" s="2" t="s">
        <v>2498</v>
      </c>
      <c r="R841" s="2" t="s">
        <v>2498</v>
      </c>
      <c r="S841" s="4">
        <v>44837</v>
      </c>
    </row>
    <row r="842" spans="1:19" ht="12.5" x14ac:dyDescent="0.25">
      <c r="A842" s="14" t="str">
        <f>HYPERLINK("https://gerandofalcoes.my.salesforce.com/0014P00003AN2GLQA1", "0014P00003AN2GLQA1")</f>
        <v>0014P00003AN2GLQA1</v>
      </c>
      <c r="B842" s="2" t="s">
        <v>1691</v>
      </c>
      <c r="C842" s="2" t="s">
        <v>423</v>
      </c>
      <c r="D842" s="2" t="s">
        <v>27</v>
      </c>
      <c r="E842" s="2">
        <v>85</v>
      </c>
      <c r="F842" s="2">
        <v>13</v>
      </c>
      <c r="G842" s="2">
        <v>4</v>
      </c>
      <c r="H842" s="2">
        <v>154904.04</v>
      </c>
      <c r="I842" s="2">
        <v>172</v>
      </c>
      <c r="J842" s="2" t="s">
        <v>1650</v>
      </c>
      <c r="K842" s="2">
        <v>74</v>
      </c>
      <c r="L842" s="2">
        <v>25</v>
      </c>
      <c r="M842" s="2">
        <v>12</v>
      </c>
      <c r="N842" s="2">
        <v>10</v>
      </c>
      <c r="O842" s="2">
        <v>15</v>
      </c>
      <c r="P842" s="2">
        <v>12</v>
      </c>
      <c r="Q842" s="2" t="s">
        <v>29</v>
      </c>
      <c r="R842" s="2" t="s">
        <v>29</v>
      </c>
      <c r="S842" s="4">
        <v>44837</v>
      </c>
    </row>
    <row r="843" spans="1:19" ht="12.5" x14ac:dyDescent="0.25">
      <c r="A843" s="14" t="str">
        <f>HYPERLINK("https://gerandofalcoes.my.salesforce.com/0014P00003AN2GMQA1", "0014P00003AN2GMQA1")</f>
        <v>0014P00003AN2GMQA1</v>
      </c>
      <c r="B843" s="2" t="s">
        <v>1730</v>
      </c>
      <c r="C843" s="2" t="s">
        <v>423</v>
      </c>
      <c r="D843" s="2" t="s">
        <v>27</v>
      </c>
      <c r="E843" s="2">
        <v>71</v>
      </c>
      <c r="F843" s="2">
        <v>7</v>
      </c>
      <c r="G843" s="2">
        <v>2</v>
      </c>
      <c r="H843" s="2">
        <v>225804.57</v>
      </c>
      <c r="I843" s="2">
        <v>93</v>
      </c>
      <c r="J843" s="2" t="s">
        <v>1671</v>
      </c>
      <c r="K843" s="2">
        <v>61</v>
      </c>
      <c r="L843" s="2">
        <v>20</v>
      </c>
      <c r="M843" s="2">
        <v>10</v>
      </c>
      <c r="N843" s="2">
        <v>6</v>
      </c>
      <c r="O843" s="2">
        <v>15</v>
      </c>
      <c r="P843" s="2">
        <v>10</v>
      </c>
      <c r="Q843" s="2" t="s">
        <v>39</v>
      </c>
      <c r="R843" s="2" t="s">
        <v>39</v>
      </c>
      <c r="S843" s="4">
        <v>44837</v>
      </c>
    </row>
    <row r="844" spans="1:19" ht="12.5" x14ac:dyDescent="0.25">
      <c r="A844" s="14" t="str">
        <f>HYPERLINK("https://gerandofalcoes.my.salesforce.com/0014P00003AN2GNQA1", "0014P00003AN2GNQA1")</f>
        <v>0014P00003AN2GNQA1</v>
      </c>
      <c r="B844" s="2" t="s">
        <v>1655</v>
      </c>
      <c r="C844" s="2" t="s">
        <v>423</v>
      </c>
      <c r="D844" s="2" t="s">
        <v>27</v>
      </c>
      <c r="E844" s="2">
        <v>96</v>
      </c>
      <c r="F844" s="2">
        <v>22</v>
      </c>
      <c r="G844" s="2">
        <v>4</v>
      </c>
      <c r="H844" s="2">
        <v>392688.36</v>
      </c>
      <c r="I844" s="2">
        <v>341</v>
      </c>
      <c r="J844" s="2" t="s">
        <v>1654</v>
      </c>
      <c r="K844" s="2">
        <v>87</v>
      </c>
      <c r="L844" s="2">
        <v>30</v>
      </c>
      <c r="M844" s="2">
        <v>12</v>
      </c>
      <c r="N844" s="2">
        <v>10</v>
      </c>
      <c r="O844" s="2">
        <v>20</v>
      </c>
      <c r="P844" s="2">
        <v>15</v>
      </c>
      <c r="Q844" s="2" t="s">
        <v>43</v>
      </c>
      <c r="R844" s="2" t="s">
        <v>43</v>
      </c>
      <c r="S844" s="4">
        <v>44837</v>
      </c>
    </row>
    <row r="845" spans="1:19" ht="12.5" x14ac:dyDescent="0.25">
      <c r="A845" s="14" t="str">
        <f>HYPERLINK("https://gerandofalcoes.my.salesforce.com/0014P00003AN2GOQA1", "0014P00003AN2GOQA1")</f>
        <v>0014P00003AN2GOQA1</v>
      </c>
      <c r="B845" s="2" t="s">
        <v>1710</v>
      </c>
      <c r="C845" s="2" t="s">
        <v>423</v>
      </c>
      <c r="D845" s="2" t="s">
        <v>27</v>
      </c>
      <c r="E845" s="2">
        <v>79</v>
      </c>
      <c r="F845" s="2">
        <v>10</v>
      </c>
      <c r="G845" s="2">
        <v>3</v>
      </c>
      <c r="H845" s="2">
        <v>230836.02</v>
      </c>
      <c r="I845" s="2">
        <v>124</v>
      </c>
      <c r="J845" s="2" t="s">
        <v>1650</v>
      </c>
      <c r="K845" s="2">
        <v>68</v>
      </c>
      <c r="L845" s="2">
        <v>25</v>
      </c>
      <c r="M845" s="2">
        <v>10</v>
      </c>
      <c r="N845" s="2">
        <v>8</v>
      </c>
      <c r="O845" s="2">
        <v>15</v>
      </c>
      <c r="P845" s="2">
        <v>10</v>
      </c>
      <c r="Q845" s="2" t="s">
        <v>46</v>
      </c>
      <c r="R845" s="2" t="s">
        <v>1711</v>
      </c>
      <c r="S845" s="4">
        <v>44837</v>
      </c>
    </row>
    <row r="846" spans="1:19" ht="12.5" x14ac:dyDescent="0.25">
      <c r="A846" s="14" t="str">
        <f>HYPERLINK("https://gerandofalcoes.my.salesforce.com/0014P00003AN2GPQA1", "0014P00003AN2GPQA1")</f>
        <v>0014P00003AN2GPQA1</v>
      </c>
      <c r="B846" s="2" t="s">
        <v>1653</v>
      </c>
      <c r="C846" s="2" t="s">
        <v>423</v>
      </c>
      <c r="D846" s="2" t="s">
        <v>27</v>
      </c>
      <c r="E846" s="2">
        <v>97</v>
      </c>
      <c r="F846" s="2">
        <v>33</v>
      </c>
      <c r="G846" s="2">
        <v>4</v>
      </c>
      <c r="H846" s="2">
        <v>1500734.93</v>
      </c>
      <c r="I846" s="2">
        <v>378</v>
      </c>
      <c r="J846" s="2" t="s">
        <v>1654</v>
      </c>
      <c r="K846" s="2">
        <v>95</v>
      </c>
      <c r="L846" s="2">
        <v>30</v>
      </c>
      <c r="M846" s="2">
        <v>15</v>
      </c>
      <c r="N846" s="2">
        <v>10</v>
      </c>
      <c r="O846" s="2">
        <v>25</v>
      </c>
      <c r="P846" s="2">
        <v>15</v>
      </c>
      <c r="Q846" s="2" t="s">
        <v>36</v>
      </c>
      <c r="R846" s="2" t="s">
        <v>553</v>
      </c>
      <c r="S846" s="4">
        <v>44837</v>
      </c>
    </row>
    <row r="847" spans="1:19" ht="12.5" x14ac:dyDescent="0.25">
      <c r="A847" s="14" t="str">
        <f>HYPERLINK("https://gerandofalcoes.my.salesforce.com/0014P00003AN2etQAD", "0014P00003AN2etQAD")</f>
        <v>0014P00003AN2etQAD</v>
      </c>
      <c r="B847" s="2" t="s">
        <v>2288</v>
      </c>
      <c r="C847" s="2" t="s">
        <v>423</v>
      </c>
      <c r="D847" s="2" t="s">
        <v>2</v>
      </c>
      <c r="E847" s="2">
        <v>85</v>
      </c>
      <c r="F847" s="2">
        <v>10</v>
      </c>
      <c r="G847" s="2">
        <v>4</v>
      </c>
      <c r="H847" s="2">
        <v>180000</v>
      </c>
      <c r="I847" s="2">
        <v>320</v>
      </c>
      <c r="J847" s="2" t="s">
        <v>1650</v>
      </c>
      <c r="K847" s="2">
        <v>75</v>
      </c>
      <c r="L847" s="2">
        <v>25</v>
      </c>
      <c r="M847" s="2">
        <v>10</v>
      </c>
      <c r="N847" s="2">
        <v>10</v>
      </c>
      <c r="O847" s="2">
        <v>15</v>
      </c>
      <c r="P847" s="2">
        <v>15</v>
      </c>
      <c r="Q847" s="2" t="s">
        <v>572</v>
      </c>
      <c r="R847" s="2" t="s">
        <v>572</v>
      </c>
      <c r="S847" s="4">
        <v>44837</v>
      </c>
    </row>
    <row r="848" spans="1:19" ht="12.5" x14ac:dyDescent="0.25">
      <c r="A848" s="14" t="str">
        <f>HYPERLINK("https://gerandofalcoes.my.salesforce.com/0014X00002VKCp3QAH", "0014X00002VKCp3QAH")</f>
        <v>0014X00002VKCp3QAH</v>
      </c>
      <c r="B848" s="2" t="s">
        <v>2247</v>
      </c>
      <c r="C848" s="2" t="s">
        <v>1800</v>
      </c>
      <c r="D848" s="2" t="s">
        <v>2</v>
      </c>
      <c r="E848" s="2">
        <v>31</v>
      </c>
      <c r="F848" s="2">
        <v>0</v>
      </c>
      <c r="G848" s="2">
        <v>3</v>
      </c>
      <c r="H848" s="2">
        <v>0</v>
      </c>
      <c r="I848" s="2">
        <v>0</v>
      </c>
      <c r="J848" s="2" t="s">
        <v>1779</v>
      </c>
      <c r="K848" s="2">
        <v>23</v>
      </c>
      <c r="L848" s="2">
        <v>15</v>
      </c>
      <c r="M848" s="2">
        <v>0</v>
      </c>
      <c r="N848" s="2">
        <v>8</v>
      </c>
      <c r="O848" s="2">
        <v>0</v>
      </c>
      <c r="P848" s="2">
        <v>0</v>
      </c>
      <c r="Q848" s="2" t="s">
        <v>2248</v>
      </c>
      <c r="R848" s="2" t="s">
        <v>2248</v>
      </c>
      <c r="S848" s="4">
        <v>44837</v>
      </c>
    </row>
    <row r="849" spans="1:19" ht="12.5" x14ac:dyDescent="0.25">
      <c r="A849" s="14" t="str">
        <f>HYPERLINK("https://gerandofalcoes.my.salesforce.com/0014X00002VKCsIQAX", "0014X00002VKCsIQAX")</f>
        <v>0014X00002VKCsIQAX</v>
      </c>
      <c r="B849" s="2" t="s">
        <v>2585</v>
      </c>
      <c r="C849" s="2" t="s">
        <v>423</v>
      </c>
      <c r="D849" s="2" t="s">
        <v>2</v>
      </c>
      <c r="E849" s="2">
        <v>28</v>
      </c>
      <c r="F849" s="2">
        <v>0</v>
      </c>
      <c r="G849" s="2">
        <v>890</v>
      </c>
      <c r="H849" s="2">
        <v>14400</v>
      </c>
      <c r="I849" s="2">
        <v>80</v>
      </c>
      <c r="J849" s="2" t="s">
        <v>1671</v>
      </c>
      <c r="K849" s="2">
        <v>40</v>
      </c>
      <c r="L849" s="2">
        <v>15</v>
      </c>
      <c r="M849" s="2">
        <v>0</v>
      </c>
      <c r="N849" s="2">
        <v>10</v>
      </c>
      <c r="O849" s="2">
        <v>5</v>
      </c>
      <c r="P849" s="2">
        <v>10</v>
      </c>
      <c r="Q849" s="2" t="s">
        <v>2586</v>
      </c>
      <c r="R849" s="2" t="s">
        <v>2587</v>
      </c>
      <c r="S849" s="4">
        <v>44837</v>
      </c>
    </row>
    <row r="850" spans="1:19" ht="12.5" x14ac:dyDescent="0.25">
      <c r="A850" s="14" t="str">
        <f>HYPERLINK("https://gerandofalcoes.my.salesforce.com/0014X00002VKCshQAH", "0014X00002VKCshQAH")</f>
        <v>0014X00002VKCshQAH</v>
      </c>
      <c r="B850" s="2" t="s">
        <v>2893</v>
      </c>
      <c r="C850" s="2" t="s">
        <v>423</v>
      </c>
      <c r="D850" s="2" t="s">
        <v>2</v>
      </c>
      <c r="E850" s="2">
        <v>25</v>
      </c>
      <c r="F850" s="2">
        <v>0</v>
      </c>
      <c r="G850" s="2">
        <v>2</v>
      </c>
      <c r="H850" s="2">
        <v>25000</v>
      </c>
      <c r="I850" s="2">
        <v>83</v>
      </c>
      <c r="J850" s="2" t="s">
        <v>1671</v>
      </c>
      <c r="K850" s="2">
        <v>41</v>
      </c>
      <c r="L850" s="2">
        <v>15</v>
      </c>
      <c r="M850" s="2">
        <v>0</v>
      </c>
      <c r="N850" s="2">
        <v>6</v>
      </c>
      <c r="O850" s="2">
        <v>10</v>
      </c>
      <c r="P850" s="2">
        <v>10</v>
      </c>
      <c r="Q850" s="2" t="s">
        <v>2894</v>
      </c>
      <c r="R850" s="2" t="s">
        <v>2895</v>
      </c>
      <c r="S850" s="4">
        <v>44837</v>
      </c>
    </row>
    <row r="851" spans="1:19" ht="12.5" x14ac:dyDescent="0.25">
      <c r="A851" s="14" t="str">
        <f>HYPERLINK("https://gerandofalcoes.my.salesforce.com/0014X00002VKCuEQAX", "0014X00002VKCuEQAX")</f>
        <v>0014X00002VKCuEQAX</v>
      </c>
      <c r="B851" s="2" t="s">
        <v>1977</v>
      </c>
      <c r="C851" s="2" t="s">
        <v>423</v>
      </c>
      <c r="D851" s="2" t="s">
        <v>2</v>
      </c>
      <c r="E851" s="2">
        <v>39.159999999999997</v>
      </c>
      <c r="F851" s="2">
        <v>5</v>
      </c>
      <c r="G851" s="2">
        <v>4</v>
      </c>
      <c r="H851" s="2">
        <v>120000</v>
      </c>
      <c r="I851" s="2">
        <v>5</v>
      </c>
      <c r="J851" s="2" t="s">
        <v>1671</v>
      </c>
      <c r="K851" s="2">
        <v>50</v>
      </c>
      <c r="L851" s="2">
        <v>15</v>
      </c>
      <c r="M851" s="2">
        <v>5</v>
      </c>
      <c r="N851" s="2">
        <v>10</v>
      </c>
      <c r="O851" s="2">
        <v>15</v>
      </c>
      <c r="P851" s="2">
        <v>5</v>
      </c>
      <c r="Q851" s="2" t="s">
        <v>1978</v>
      </c>
      <c r="R851" s="2" t="s">
        <v>1979</v>
      </c>
      <c r="S851" s="4">
        <v>44837</v>
      </c>
    </row>
    <row r="852" spans="1:19" ht="12.5" x14ac:dyDescent="0.25">
      <c r="A852" s="14" t="str">
        <f>HYPERLINK("https://gerandofalcoes.my.salesforce.com/0014X00002VKCsjQAH", "0014X00002VKCsjQAH")</f>
        <v>0014X00002VKCsjQAH</v>
      </c>
      <c r="B852" s="2" t="s">
        <v>2576</v>
      </c>
      <c r="C852" s="2" t="s">
        <v>423</v>
      </c>
      <c r="D852" s="2" t="s">
        <v>2</v>
      </c>
      <c r="E852" s="2">
        <v>49</v>
      </c>
      <c r="F852" s="2">
        <v>0</v>
      </c>
      <c r="G852" s="2">
        <v>1</v>
      </c>
      <c r="H852" s="2">
        <v>1251382</v>
      </c>
      <c r="I852" s="2">
        <v>0</v>
      </c>
      <c r="J852" s="2" t="s">
        <v>1779</v>
      </c>
      <c r="K852" s="2">
        <v>29</v>
      </c>
      <c r="L852" s="2">
        <v>0</v>
      </c>
      <c r="M852" s="2">
        <v>0</v>
      </c>
      <c r="N852" s="2">
        <v>4</v>
      </c>
      <c r="O852" s="2">
        <v>25</v>
      </c>
      <c r="P852" s="2">
        <v>0</v>
      </c>
      <c r="Q852" s="2" t="s">
        <v>2577</v>
      </c>
      <c r="R852" s="2" t="s">
        <v>2578</v>
      </c>
      <c r="S852" s="4">
        <v>44837</v>
      </c>
    </row>
    <row r="853" spans="1:19" ht="12.5" x14ac:dyDescent="0.25">
      <c r="A853" s="14" t="str">
        <f>HYPERLINK("https://gerandofalcoes.my.salesforce.com/0014X00002VKCsyQAH", "0014X00002VKCsyQAH")</f>
        <v>0014X00002VKCsyQAH</v>
      </c>
      <c r="B853" s="2" t="s">
        <v>1877</v>
      </c>
      <c r="C853" s="2" t="s">
        <v>423</v>
      </c>
      <c r="D853" s="2" t="s">
        <v>2</v>
      </c>
      <c r="E853" s="2">
        <v>44.41</v>
      </c>
      <c r="F853" s="2">
        <v>0</v>
      </c>
      <c r="G853" s="2">
        <v>2</v>
      </c>
      <c r="H853" s="2">
        <v>9000</v>
      </c>
      <c r="I853" s="2">
        <v>157</v>
      </c>
      <c r="J853" s="2" t="s">
        <v>1779</v>
      </c>
      <c r="K853" s="2">
        <v>38</v>
      </c>
      <c r="L853" s="2">
        <v>15</v>
      </c>
      <c r="M853" s="2">
        <v>0</v>
      </c>
      <c r="N853" s="2">
        <v>6</v>
      </c>
      <c r="O853" s="2">
        <v>5</v>
      </c>
      <c r="P853" s="2">
        <v>12</v>
      </c>
      <c r="Q853" s="2" t="s">
        <v>1878</v>
      </c>
      <c r="R853" s="2" t="s">
        <v>1878</v>
      </c>
      <c r="S853" s="4">
        <v>44837</v>
      </c>
    </row>
    <row r="854" spans="1:19" ht="12.5" x14ac:dyDescent="0.25">
      <c r="A854" s="14" t="str">
        <f>HYPERLINK("https://gerandofalcoes.my.salesforce.com/0014X00002VKCt7QAH", "0014X00002VKCt7QAH")</f>
        <v>0014X00002VKCt7QAH</v>
      </c>
      <c r="B854" s="2" t="s">
        <v>2410</v>
      </c>
      <c r="C854" s="2" t="s">
        <v>1800</v>
      </c>
      <c r="D854" s="2" t="s">
        <v>2</v>
      </c>
      <c r="E854" s="2">
        <v>25</v>
      </c>
      <c r="F854" s="2">
        <v>0</v>
      </c>
      <c r="G854" s="2">
        <v>3</v>
      </c>
      <c r="H854" s="2">
        <v>11000</v>
      </c>
      <c r="I854" s="2">
        <v>100</v>
      </c>
      <c r="J854" s="2" t="s">
        <v>1779</v>
      </c>
      <c r="K854" s="2">
        <v>38</v>
      </c>
      <c r="L854" s="2">
        <v>15</v>
      </c>
      <c r="M854" s="2">
        <v>0</v>
      </c>
      <c r="N854" s="2">
        <v>8</v>
      </c>
      <c r="O854" s="2">
        <v>5</v>
      </c>
      <c r="P854" s="2">
        <v>10</v>
      </c>
      <c r="Q854" s="2" t="s">
        <v>2411</v>
      </c>
      <c r="R854" s="2" t="s">
        <v>2412</v>
      </c>
      <c r="S854" s="4">
        <v>44837</v>
      </c>
    </row>
    <row r="855" spans="1:19" ht="12.5" x14ac:dyDescent="0.25">
      <c r="A855" s="14" t="str">
        <f>HYPERLINK("https://gerandofalcoes.my.salesforce.com/0014X00002VKCtYQAX", "0014X00002VKCtYQAX")</f>
        <v>0014X00002VKCtYQAX</v>
      </c>
      <c r="B855" s="2" t="s">
        <v>2125</v>
      </c>
      <c r="C855" s="2" t="s">
        <v>423</v>
      </c>
      <c r="D855" s="2" t="s">
        <v>2</v>
      </c>
      <c r="E855" s="2">
        <v>34.43</v>
      </c>
      <c r="F855" s="2">
        <v>3</v>
      </c>
      <c r="G855" s="2">
        <v>2</v>
      </c>
      <c r="H855" s="2">
        <v>7000</v>
      </c>
      <c r="I855" s="2">
        <v>70</v>
      </c>
      <c r="J855" s="2" t="s">
        <v>1779</v>
      </c>
      <c r="K855" s="2">
        <v>36</v>
      </c>
      <c r="L855" s="2">
        <v>15</v>
      </c>
      <c r="M855" s="2">
        <v>5</v>
      </c>
      <c r="N855" s="2">
        <v>6</v>
      </c>
      <c r="O855" s="2">
        <v>5</v>
      </c>
      <c r="P855" s="2">
        <v>5</v>
      </c>
      <c r="Q855" s="2" t="s">
        <v>2126</v>
      </c>
      <c r="R855" s="2" t="s">
        <v>2126</v>
      </c>
      <c r="S855" s="4">
        <v>44837</v>
      </c>
    </row>
    <row r="856" spans="1:19" ht="12.5" x14ac:dyDescent="0.25">
      <c r="A856" s="14" t="str">
        <f>HYPERLINK("https://gerandofalcoes.my.salesforce.com/0014X00002VKCp9QAH", "0014X00002VKCp9QAH")</f>
        <v>0014X00002VKCp9QAH</v>
      </c>
      <c r="B856" s="2" t="s">
        <v>2384</v>
      </c>
      <c r="C856" s="2" t="s">
        <v>423</v>
      </c>
      <c r="D856" s="2" t="s">
        <v>2</v>
      </c>
      <c r="E856" s="2">
        <v>26</v>
      </c>
      <c r="F856" s="2">
        <v>17</v>
      </c>
      <c r="G856" s="2">
        <v>5</v>
      </c>
      <c r="H856" s="2">
        <v>0</v>
      </c>
      <c r="I856" s="2">
        <v>0</v>
      </c>
      <c r="J856" s="2" t="s">
        <v>1779</v>
      </c>
      <c r="K856" s="2">
        <v>37</v>
      </c>
      <c r="L856" s="2">
        <v>15</v>
      </c>
      <c r="M856" s="2">
        <v>12</v>
      </c>
      <c r="N856" s="2">
        <v>10</v>
      </c>
      <c r="O856" s="2">
        <v>0</v>
      </c>
      <c r="P856" s="2">
        <v>0</v>
      </c>
      <c r="Q856" s="2" t="s">
        <v>2385</v>
      </c>
      <c r="R856" s="2" t="s">
        <v>2386</v>
      </c>
      <c r="S856" s="4">
        <v>44837</v>
      </c>
    </row>
    <row r="857" spans="1:19" ht="12.5" x14ac:dyDescent="0.25">
      <c r="A857" s="14" t="str">
        <f>HYPERLINK("https://gerandofalcoes.my.salesforce.com/0014X00002VKCqCQAX", "0014X00002VKCqCQAX")</f>
        <v>0014X00002VKCqCQAX</v>
      </c>
      <c r="B857" s="2" t="s">
        <v>2853</v>
      </c>
      <c r="C857" s="2" t="s">
        <v>423</v>
      </c>
      <c r="D857" s="2" t="s">
        <v>2</v>
      </c>
      <c r="E857" s="2">
        <v>18</v>
      </c>
      <c r="F857" s="2">
        <v>0</v>
      </c>
      <c r="G857" s="2">
        <v>0</v>
      </c>
      <c r="H857" s="2">
        <v>63000</v>
      </c>
      <c r="I857" s="2">
        <v>49</v>
      </c>
      <c r="J857" s="2" t="s">
        <v>1779</v>
      </c>
      <c r="K857" s="2">
        <v>25</v>
      </c>
      <c r="L857" s="2">
        <v>10</v>
      </c>
      <c r="M857" s="2">
        <v>0</v>
      </c>
      <c r="N857" s="2">
        <v>0</v>
      </c>
      <c r="O857" s="2">
        <v>10</v>
      </c>
      <c r="P857" s="2">
        <v>5</v>
      </c>
      <c r="Q857" s="2" t="s">
        <v>2854</v>
      </c>
      <c r="R857" s="2" t="s">
        <v>2855</v>
      </c>
      <c r="S857" s="4">
        <v>44837</v>
      </c>
    </row>
    <row r="858" spans="1:19" ht="12.5" x14ac:dyDescent="0.25">
      <c r="A858" s="14" t="str">
        <f>HYPERLINK("https://gerandofalcoes.my.salesforce.com/0014X00002VKCqAQAX", "0014X00002VKCqAQAX")</f>
        <v>0014X00002VKCqAQAX</v>
      </c>
      <c r="B858" s="2" t="s">
        <v>2912</v>
      </c>
      <c r="C858" s="2" t="s">
        <v>423</v>
      </c>
      <c r="D858" s="2" t="s">
        <v>2</v>
      </c>
      <c r="E858" s="2">
        <v>30</v>
      </c>
      <c r="F858" s="2">
        <v>7</v>
      </c>
      <c r="G858" s="2">
        <v>1</v>
      </c>
      <c r="H858" s="2">
        <v>78000</v>
      </c>
      <c r="I858" s="2">
        <v>250</v>
      </c>
      <c r="J858" s="2" t="s">
        <v>1671</v>
      </c>
      <c r="K858" s="2">
        <v>51</v>
      </c>
      <c r="L858" s="2">
        <v>15</v>
      </c>
      <c r="M858" s="2">
        <v>10</v>
      </c>
      <c r="N858" s="2">
        <v>4</v>
      </c>
      <c r="O858" s="2">
        <v>10</v>
      </c>
      <c r="P858" s="2">
        <v>12</v>
      </c>
      <c r="Q858" s="2" t="s">
        <v>2913</v>
      </c>
      <c r="R858" s="2" t="s">
        <v>2913</v>
      </c>
      <c r="S858" s="4">
        <v>44837</v>
      </c>
    </row>
    <row r="859" spans="1:19" ht="12.5" x14ac:dyDescent="0.25">
      <c r="A859" s="14" t="str">
        <f>HYPERLINK("https://gerandofalcoes.my.salesforce.com/0014X00002VKCsEQAX", "0014X00002VKCsEQAX")</f>
        <v>0014X00002VKCsEQAX</v>
      </c>
      <c r="B859" s="2" t="s">
        <v>2051</v>
      </c>
      <c r="C859" s="2" t="s">
        <v>1800</v>
      </c>
      <c r="D859" s="2" t="s">
        <v>2</v>
      </c>
      <c r="E859" s="2">
        <v>37</v>
      </c>
      <c r="F859" s="2">
        <v>2</v>
      </c>
      <c r="G859" s="2">
        <v>3</v>
      </c>
      <c r="H859" s="2">
        <v>1000</v>
      </c>
      <c r="I859" s="2">
        <v>30</v>
      </c>
      <c r="J859" s="2" t="s">
        <v>1779</v>
      </c>
      <c r="K859" s="2">
        <v>38</v>
      </c>
      <c r="L859" s="2">
        <v>15</v>
      </c>
      <c r="M859" s="2">
        <v>5</v>
      </c>
      <c r="N859" s="2">
        <v>8</v>
      </c>
      <c r="O859" s="2">
        <v>5</v>
      </c>
      <c r="P859" s="2">
        <v>5</v>
      </c>
      <c r="Q859" s="2" t="s">
        <v>2052</v>
      </c>
      <c r="R859" s="2" t="s">
        <v>2053</v>
      </c>
      <c r="S859" s="4">
        <v>44837</v>
      </c>
    </row>
    <row r="860" spans="1:19" ht="12.5" x14ac:dyDescent="0.25">
      <c r="A860" s="14" t="str">
        <f>HYPERLINK("https://gerandofalcoes.my.salesforce.com/0014X00002VKCr6QAH", "0014X00002VKCr6QAH")</f>
        <v>0014X00002VKCr6QAH</v>
      </c>
      <c r="B860" s="2" t="s">
        <v>1932</v>
      </c>
      <c r="C860" s="2" t="s">
        <v>423</v>
      </c>
      <c r="D860" s="2" t="s">
        <v>2</v>
      </c>
      <c r="E860" s="2">
        <v>37</v>
      </c>
      <c r="F860" s="2">
        <v>7</v>
      </c>
      <c r="G860" s="2">
        <v>1</v>
      </c>
      <c r="H860" s="2">
        <v>720000</v>
      </c>
      <c r="I860" s="2">
        <v>200</v>
      </c>
      <c r="J860" s="2" t="s">
        <v>1671</v>
      </c>
      <c r="K860" s="2">
        <v>61</v>
      </c>
      <c r="L860" s="2">
        <v>15</v>
      </c>
      <c r="M860" s="2">
        <v>10</v>
      </c>
      <c r="N860" s="2">
        <v>4</v>
      </c>
      <c r="O860" s="2">
        <v>20</v>
      </c>
      <c r="P860" s="2">
        <v>12</v>
      </c>
      <c r="Q860" s="2" t="s">
        <v>1933</v>
      </c>
      <c r="R860" s="2" t="s">
        <v>1934</v>
      </c>
      <c r="S860" s="4">
        <v>44837</v>
      </c>
    </row>
    <row r="861" spans="1:19" ht="12.5" x14ac:dyDescent="0.25">
      <c r="A861" s="14" t="str">
        <f>HYPERLINK("https://gerandofalcoes.my.salesforce.com/0014X00002VKCphQAH", "0014X00002VKCphQAH")</f>
        <v>0014X00002VKCphQAH</v>
      </c>
      <c r="B861" s="2" t="s">
        <v>2298</v>
      </c>
      <c r="C861" s="2" t="s">
        <v>1800</v>
      </c>
      <c r="D861" s="2" t="s">
        <v>2</v>
      </c>
      <c r="E861" s="2">
        <v>29</v>
      </c>
      <c r="F861" s="2">
        <v>0</v>
      </c>
      <c r="G861" s="2">
        <v>3</v>
      </c>
      <c r="H861" s="2">
        <v>30000</v>
      </c>
      <c r="I861" s="2">
        <v>150</v>
      </c>
      <c r="J861" s="2" t="s">
        <v>1671</v>
      </c>
      <c r="K861" s="2">
        <v>45</v>
      </c>
      <c r="L861" s="2">
        <v>15</v>
      </c>
      <c r="M861" s="2">
        <v>0</v>
      </c>
      <c r="N861" s="2">
        <v>8</v>
      </c>
      <c r="O861" s="2">
        <v>10</v>
      </c>
      <c r="P861" s="2">
        <v>12</v>
      </c>
      <c r="Q861" s="2" t="s">
        <v>2299</v>
      </c>
      <c r="R861" s="2" t="s">
        <v>2300</v>
      </c>
      <c r="S861" s="4">
        <v>44837</v>
      </c>
    </row>
    <row r="862" spans="1:19" ht="12.5" x14ac:dyDescent="0.25">
      <c r="A862" s="14" t="str">
        <f>HYPERLINK("https://gerandofalcoes.my.salesforce.com/0014X00002VKCp8QAH", "0014X00002VKCp8QAH")</f>
        <v>0014X00002VKCp8QAH</v>
      </c>
      <c r="B862" s="2" t="s">
        <v>1819</v>
      </c>
      <c r="C862" s="2" t="s">
        <v>423</v>
      </c>
      <c r="D862" s="2" t="s">
        <v>2</v>
      </c>
      <c r="E862" s="2">
        <v>55</v>
      </c>
      <c r="F862" s="2">
        <v>2</v>
      </c>
      <c r="G862" s="2">
        <v>2</v>
      </c>
      <c r="H862" s="2">
        <v>63000</v>
      </c>
      <c r="I862" s="2">
        <v>100</v>
      </c>
      <c r="J862" s="2" t="s">
        <v>1671</v>
      </c>
      <c r="K862" s="2">
        <v>51</v>
      </c>
      <c r="L862" s="2">
        <v>20</v>
      </c>
      <c r="M862" s="2">
        <v>5</v>
      </c>
      <c r="N862" s="2">
        <v>6</v>
      </c>
      <c r="O862" s="2">
        <v>10</v>
      </c>
      <c r="P862" s="2">
        <v>10</v>
      </c>
      <c r="Q862" s="2" t="s">
        <v>1820</v>
      </c>
      <c r="R862" s="2" t="s">
        <v>1821</v>
      </c>
      <c r="S862" s="4">
        <v>44837</v>
      </c>
    </row>
    <row r="863" spans="1:19" ht="12.5" x14ac:dyDescent="0.25">
      <c r="A863" s="14" t="str">
        <f>HYPERLINK("https://gerandofalcoes.my.salesforce.com/0014X00002VKCszQAH", "0014X00002VKCszQAH")</f>
        <v>0014X00002VKCszQAH</v>
      </c>
      <c r="B863" s="2" t="s">
        <v>2473</v>
      </c>
      <c r="C863" s="2" t="s">
        <v>423</v>
      </c>
      <c r="D863" s="2" t="s">
        <v>2</v>
      </c>
      <c r="E863" s="2">
        <v>22.35</v>
      </c>
      <c r="F863" s="2">
        <v>0</v>
      </c>
      <c r="G863" s="2">
        <v>3</v>
      </c>
      <c r="H863" s="2">
        <v>116114</v>
      </c>
      <c r="I863" s="2">
        <v>35</v>
      </c>
      <c r="J863" s="2" t="s">
        <v>1779</v>
      </c>
      <c r="K863" s="2">
        <v>38</v>
      </c>
      <c r="L863" s="2">
        <v>10</v>
      </c>
      <c r="M863" s="2">
        <v>0</v>
      </c>
      <c r="N863" s="2">
        <v>8</v>
      </c>
      <c r="O863" s="2">
        <v>15</v>
      </c>
      <c r="P863" s="2">
        <v>5</v>
      </c>
      <c r="Q863" s="2" t="s">
        <v>2474</v>
      </c>
      <c r="R863" s="2" t="s">
        <v>2475</v>
      </c>
      <c r="S863" s="4">
        <v>44837</v>
      </c>
    </row>
    <row r="864" spans="1:19" ht="12.5" x14ac:dyDescent="0.25">
      <c r="A864" s="14" t="str">
        <f>HYPERLINK("https://gerandofalcoes.my.salesforce.com/0014X00002VKCpBQAX", "0014X00002VKCpBQAX")</f>
        <v>0014X00002VKCpBQAX</v>
      </c>
      <c r="B864" s="2" t="s">
        <v>2504</v>
      </c>
      <c r="C864" s="2" t="s">
        <v>423</v>
      </c>
      <c r="D864" s="2" t="s">
        <v>2</v>
      </c>
      <c r="E864" s="2">
        <v>24</v>
      </c>
      <c r="F864" s="2">
        <v>0</v>
      </c>
      <c r="G864" s="2">
        <v>3</v>
      </c>
      <c r="H864" s="2">
        <v>128350</v>
      </c>
      <c r="I864" s="2">
        <v>160</v>
      </c>
      <c r="J864" s="2" t="s">
        <v>1671</v>
      </c>
      <c r="K864" s="2">
        <v>45</v>
      </c>
      <c r="L864" s="2">
        <v>10</v>
      </c>
      <c r="M864" s="2">
        <v>0</v>
      </c>
      <c r="N864" s="2">
        <v>8</v>
      </c>
      <c r="O864" s="2">
        <v>15</v>
      </c>
      <c r="P864" s="2">
        <v>12</v>
      </c>
      <c r="Q864" s="2" t="s">
        <v>2505</v>
      </c>
      <c r="R864" s="2" t="s">
        <v>2505</v>
      </c>
      <c r="S864" s="4">
        <v>44837</v>
      </c>
    </row>
    <row r="865" spans="1:19" ht="12.5" x14ac:dyDescent="0.25">
      <c r="A865" s="14" t="str">
        <f>HYPERLINK("https://gerandofalcoes.my.salesforce.com/0014X00002VKCtrQAH", "0014X00002VKCtrQAH")</f>
        <v>0014X00002VKCtrQAH</v>
      </c>
      <c r="B865" s="2" t="s">
        <v>1969</v>
      </c>
      <c r="C865" s="2" t="s">
        <v>1800</v>
      </c>
      <c r="D865" s="2" t="s">
        <v>2</v>
      </c>
      <c r="E865" s="2">
        <v>40</v>
      </c>
      <c r="F865" s="2">
        <v>0</v>
      </c>
      <c r="G865" s="2">
        <v>2</v>
      </c>
      <c r="H865" s="2">
        <v>0</v>
      </c>
      <c r="I865" s="2">
        <v>0</v>
      </c>
      <c r="J865" s="2" t="s">
        <v>1779</v>
      </c>
      <c r="K865" s="2">
        <v>21</v>
      </c>
      <c r="L865" s="2">
        <v>15</v>
      </c>
      <c r="M865" s="2">
        <v>0</v>
      </c>
      <c r="N865" s="2">
        <v>6</v>
      </c>
      <c r="O865" s="2">
        <v>0</v>
      </c>
      <c r="P865" s="2">
        <v>0</v>
      </c>
      <c r="Q865" s="2" t="s">
        <v>1970</v>
      </c>
      <c r="R865" s="2" t="s">
        <v>1971</v>
      </c>
      <c r="S865" s="4">
        <v>44837</v>
      </c>
    </row>
    <row r="866" spans="1:19" ht="12.5" x14ac:dyDescent="0.25">
      <c r="A866" s="14" t="str">
        <f>HYPERLINK("https://gerandofalcoes.my.salesforce.com/0014X00002VKCuHQAX", "0014X00002VKCuHQAX")</f>
        <v>0014X00002VKCuHQAX</v>
      </c>
      <c r="B866" s="2" t="s">
        <v>2606</v>
      </c>
      <c r="C866" s="2" t="s">
        <v>423</v>
      </c>
      <c r="D866" s="2" t="s">
        <v>2</v>
      </c>
      <c r="E866" s="2">
        <v>19</v>
      </c>
      <c r="F866" s="2">
        <v>0</v>
      </c>
      <c r="G866" s="2">
        <v>2</v>
      </c>
      <c r="H866" s="2">
        <v>25500</v>
      </c>
      <c r="I866" s="2">
        <v>30</v>
      </c>
      <c r="J866" s="2" t="s">
        <v>1779</v>
      </c>
      <c r="K866" s="2">
        <v>31</v>
      </c>
      <c r="L866" s="2">
        <v>10</v>
      </c>
      <c r="M866" s="2">
        <v>0</v>
      </c>
      <c r="N866" s="2">
        <v>6</v>
      </c>
      <c r="O866" s="2">
        <v>10</v>
      </c>
      <c r="P866" s="2">
        <v>5</v>
      </c>
      <c r="Q866" s="2" t="s">
        <v>2607</v>
      </c>
      <c r="R866" s="2" t="s">
        <v>2608</v>
      </c>
      <c r="S866" s="4">
        <v>44837</v>
      </c>
    </row>
    <row r="867" spans="1:19" ht="12.5" x14ac:dyDescent="0.25">
      <c r="A867" s="14" t="str">
        <f>HYPERLINK("https://gerandofalcoes.my.salesforce.com/0014X00002VKCqbQAH", "0014X00002VKCqbQAH")</f>
        <v>0014X00002VKCqbQAH</v>
      </c>
      <c r="B867" s="2" t="s">
        <v>2040</v>
      </c>
      <c r="C867" s="2" t="s">
        <v>423</v>
      </c>
      <c r="D867" s="2" t="s">
        <v>2</v>
      </c>
      <c r="E867" s="2">
        <v>37</v>
      </c>
      <c r="F867" s="2">
        <v>0</v>
      </c>
      <c r="G867" s="2">
        <v>3</v>
      </c>
      <c r="H867" s="2">
        <v>70000</v>
      </c>
      <c r="I867" s="2">
        <v>100</v>
      </c>
      <c r="J867" s="2" t="s">
        <v>1671</v>
      </c>
      <c r="K867" s="2">
        <v>43</v>
      </c>
      <c r="L867" s="2">
        <v>15</v>
      </c>
      <c r="M867" s="2">
        <v>0</v>
      </c>
      <c r="N867" s="2">
        <v>8</v>
      </c>
      <c r="O867" s="2">
        <v>10</v>
      </c>
      <c r="P867" s="2">
        <v>10</v>
      </c>
      <c r="Q867" s="2" t="s">
        <v>2041</v>
      </c>
      <c r="R867" s="2" t="s">
        <v>2042</v>
      </c>
      <c r="S867" s="4">
        <v>44837</v>
      </c>
    </row>
    <row r="868" spans="1:19" ht="12.5" x14ac:dyDescent="0.25">
      <c r="A868" s="14" t="str">
        <f>HYPERLINK("https://gerandofalcoes.my.salesforce.com/0014X00002VKCsnQAH", "0014X00002VKCsnQAH")</f>
        <v>0014X00002VKCsnQAH</v>
      </c>
      <c r="B868" s="2" t="s">
        <v>1899</v>
      </c>
      <c r="C868" s="2" t="s">
        <v>423</v>
      </c>
      <c r="D868" s="2" t="s">
        <v>2</v>
      </c>
      <c r="E868" s="2">
        <v>55</v>
      </c>
      <c r="F868" s="2">
        <v>7</v>
      </c>
      <c r="G868" s="2">
        <v>6</v>
      </c>
      <c r="H868" s="2">
        <v>130175</v>
      </c>
      <c r="I868" s="2">
        <v>120</v>
      </c>
      <c r="J868" s="2" t="s">
        <v>1650</v>
      </c>
      <c r="K868" s="2">
        <v>65</v>
      </c>
      <c r="L868" s="2">
        <v>20</v>
      </c>
      <c r="M868" s="2">
        <v>10</v>
      </c>
      <c r="N868" s="2">
        <v>10</v>
      </c>
      <c r="O868" s="2">
        <v>15</v>
      </c>
      <c r="P868" s="2">
        <v>10</v>
      </c>
      <c r="Q868" s="2" t="s">
        <v>1900</v>
      </c>
      <c r="R868" s="2" t="s">
        <v>1901</v>
      </c>
      <c r="S868" s="4">
        <v>44837</v>
      </c>
    </row>
    <row r="869" spans="1:19" ht="12.5" x14ac:dyDescent="0.25">
      <c r="A869" s="14" t="str">
        <f>HYPERLINK("https://gerandofalcoes.my.salesforce.com/0014X00002VKCqSQAX", "0014X00002VKCqSQAX")</f>
        <v>0014X00002VKCqSQAX</v>
      </c>
      <c r="B869" s="2" t="s">
        <v>2197</v>
      </c>
      <c r="C869" s="2" t="s">
        <v>1800</v>
      </c>
      <c r="D869" s="2" t="s">
        <v>2</v>
      </c>
      <c r="E869" s="2">
        <v>33</v>
      </c>
      <c r="F869" s="2">
        <v>0</v>
      </c>
      <c r="G869" s="2">
        <v>3</v>
      </c>
      <c r="H869" s="2">
        <v>2160</v>
      </c>
      <c r="I869" s="2">
        <v>0</v>
      </c>
      <c r="J869" s="2" t="s">
        <v>1779</v>
      </c>
      <c r="K869" s="2">
        <v>28</v>
      </c>
      <c r="L869" s="2">
        <v>15</v>
      </c>
      <c r="M869" s="2">
        <v>0</v>
      </c>
      <c r="N869" s="2">
        <v>8</v>
      </c>
      <c r="O869" s="2">
        <v>5</v>
      </c>
      <c r="P869" s="2">
        <v>0</v>
      </c>
      <c r="Q869" s="2" t="s">
        <v>2198</v>
      </c>
      <c r="R869" s="2" t="s">
        <v>2199</v>
      </c>
      <c r="S869" s="4">
        <v>44837</v>
      </c>
    </row>
    <row r="870" spans="1:19" ht="12.5" x14ac:dyDescent="0.25">
      <c r="A870" s="14" t="str">
        <f>HYPERLINK("https://gerandofalcoes.my.salesforce.com/0014X00002VKCubQAH", "0014X00002VKCubQAH")</f>
        <v>0014X00002VKCubQAH</v>
      </c>
      <c r="B870" s="2" t="s">
        <v>2062</v>
      </c>
      <c r="C870" s="2" t="s">
        <v>423</v>
      </c>
      <c r="D870" s="2" t="s">
        <v>2</v>
      </c>
      <c r="E870" s="2">
        <v>37</v>
      </c>
      <c r="F870" s="2">
        <v>3</v>
      </c>
      <c r="G870" s="2">
        <v>3</v>
      </c>
      <c r="H870" s="2">
        <v>3000</v>
      </c>
      <c r="I870" s="2">
        <v>0</v>
      </c>
      <c r="J870" s="2" t="s">
        <v>1779</v>
      </c>
      <c r="K870" s="2">
        <v>33</v>
      </c>
      <c r="L870" s="2">
        <v>15</v>
      </c>
      <c r="M870" s="2">
        <v>5</v>
      </c>
      <c r="N870" s="2">
        <v>8</v>
      </c>
      <c r="O870" s="2">
        <v>5</v>
      </c>
      <c r="P870" s="2">
        <v>0</v>
      </c>
      <c r="Q870" s="2" t="s">
        <v>2063</v>
      </c>
      <c r="R870" s="2" t="s">
        <v>2064</v>
      </c>
      <c r="S870" s="4">
        <v>44837</v>
      </c>
    </row>
    <row r="871" spans="1:19" ht="12.5" x14ac:dyDescent="0.25">
      <c r="A871" s="14" t="str">
        <f>HYPERLINK("https://gerandofalcoes.my.salesforce.com/0014X00002VKCsOQAX", "0014X00002VKCsOQAX")</f>
        <v>0014X00002VKCsOQAX</v>
      </c>
      <c r="B871" s="2" t="s">
        <v>1858</v>
      </c>
      <c r="C871" s="2" t="s">
        <v>423</v>
      </c>
      <c r="D871" s="2" t="s">
        <v>2</v>
      </c>
      <c r="E871" s="2">
        <v>46</v>
      </c>
      <c r="F871" s="2">
        <v>0</v>
      </c>
      <c r="G871" s="2">
        <v>3</v>
      </c>
      <c r="H871" s="2">
        <v>10000</v>
      </c>
      <c r="I871" s="2">
        <v>110</v>
      </c>
      <c r="J871" s="2" t="s">
        <v>1779</v>
      </c>
      <c r="K871" s="2">
        <v>38</v>
      </c>
      <c r="L871" s="2">
        <v>15</v>
      </c>
      <c r="M871" s="2">
        <v>0</v>
      </c>
      <c r="N871" s="2">
        <v>8</v>
      </c>
      <c r="O871" s="2">
        <v>5</v>
      </c>
      <c r="P871" s="2">
        <v>10</v>
      </c>
      <c r="Q871" s="2" t="s">
        <v>1859</v>
      </c>
      <c r="R871" s="2" t="s">
        <v>1860</v>
      </c>
      <c r="S871" s="4">
        <v>44837</v>
      </c>
    </row>
    <row r="872" spans="1:19" ht="12.5" x14ac:dyDescent="0.25">
      <c r="A872" s="14" t="str">
        <f>HYPERLINK("https://gerandofalcoes.my.salesforce.com/0014X00002VKCuuQAH", "0014X00002VKCuuQAH")</f>
        <v>0014X00002VKCuuQAH</v>
      </c>
      <c r="B872" s="2" t="s">
        <v>2933</v>
      </c>
      <c r="C872" s="2" t="s">
        <v>423</v>
      </c>
      <c r="D872" s="2" t="s">
        <v>2</v>
      </c>
      <c r="E872" s="2">
        <v>6</v>
      </c>
      <c r="F872" s="2">
        <v>5</v>
      </c>
      <c r="G872" s="2">
        <v>5</v>
      </c>
      <c r="H872" s="2">
        <v>0</v>
      </c>
      <c r="I872" s="2">
        <v>220</v>
      </c>
      <c r="J872" s="2" t="s">
        <v>1779</v>
      </c>
      <c r="K872" s="2">
        <v>37</v>
      </c>
      <c r="L872" s="2">
        <v>10</v>
      </c>
      <c r="M872" s="2">
        <v>5</v>
      </c>
      <c r="N872" s="2">
        <v>10</v>
      </c>
      <c r="O872" s="2">
        <v>0</v>
      </c>
      <c r="P872" s="2">
        <v>12</v>
      </c>
      <c r="Q872" s="2" t="s">
        <v>2934</v>
      </c>
      <c r="R872" s="2" t="s">
        <v>2934</v>
      </c>
      <c r="S872" s="4">
        <v>44837</v>
      </c>
    </row>
    <row r="873" spans="1:19" ht="12.5" x14ac:dyDescent="0.25">
      <c r="A873" s="14" t="str">
        <f>HYPERLINK("https://gerandofalcoes.my.salesforce.com/0014X00002VKCv6QAH", "0014X00002VKCv6QAH")</f>
        <v>0014X00002VKCv6QAH</v>
      </c>
      <c r="B873" s="2" t="s">
        <v>2941</v>
      </c>
      <c r="C873" s="2" t="s">
        <v>423</v>
      </c>
      <c r="D873" s="2" t="s">
        <v>2</v>
      </c>
      <c r="E873" s="2">
        <v>29</v>
      </c>
      <c r="F873" s="2">
        <v>0</v>
      </c>
      <c r="G873" s="2">
        <v>0</v>
      </c>
      <c r="H873" s="2">
        <v>0</v>
      </c>
      <c r="I873" s="2">
        <v>44</v>
      </c>
      <c r="J873" s="2" t="s">
        <v>1779</v>
      </c>
      <c r="K873" s="2">
        <v>20</v>
      </c>
      <c r="L873" s="2">
        <v>15</v>
      </c>
      <c r="M873" s="2">
        <v>0</v>
      </c>
      <c r="N873" s="2">
        <v>0</v>
      </c>
      <c r="O873" s="2">
        <v>0</v>
      </c>
      <c r="P873" s="2">
        <v>5</v>
      </c>
      <c r="Q873" s="2" t="s">
        <v>2942</v>
      </c>
      <c r="R873" s="2" t="s">
        <v>2943</v>
      </c>
      <c r="S873" s="4">
        <v>44837</v>
      </c>
    </row>
    <row r="874" spans="1:19" ht="12.5" x14ac:dyDescent="0.25">
      <c r="A874" s="14" t="str">
        <f>HYPERLINK("https://gerandofalcoes.my.salesforce.com/0014P00003AN2h4QAD", "0014P00003AN2h4QAD")</f>
        <v>0014P00003AN2h4QAD</v>
      </c>
      <c r="B874" s="2" t="s">
        <v>1698</v>
      </c>
      <c r="C874" s="2" t="s">
        <v>423</v>
      </c>
      <c r="D874" s="2" t="s">
        <v>2</v>
      </c>
      <c r="E874" s="2">
        <v>84.3</v>
      </c>
      <c r="F874" s="2">
        <v>10</v>
      </c>
      <c r="G874" s="2">
        <v>5</v>
      </c>
      <c r="H874" s="2">
        <v>450000</v>
      </c>
      <c r="I874" s="2">
        <v>106</v>
      </c>
      <c r="J874" s="2" t="s">
        <v>1650</v>
      </c>
      <c r="K874" s="2">
        <v>75</v>
      </c>
      <c r="L874" s="2">
        <v>25</v>
      </c>
      <c r="M874" s="2">
        <v>10</v>
      </c>
      <c r="N874" s="2">
        <v>10</v>
      </c>
      <c r="O874" s="2">
        <v>20</v>
      </c>
      <c r="P874" s="2">
        <v>10</v>
      </c>
      <c r="Q874" s="2" t="s">
        <v>595</v>
      </c>
      <c r="R874" s="2" t="s">
        <v>595</v>
      </c>
      <c r="S874" s="4">
        <v>44837</v>
      </c>
    </row>
    <row r="875" spans="1:19" ht="12.5" x14ac:dyDescent="0.25">
      <c r="A875" s="14" t="str">
        <f>HYPERLINK("https://gerandofalcoes.my.salesforce.com/0014P00003AN2h5QAD", "0014P00003AN2h5QAD")</f>
        <v>0014P00003AN2h5QAD</v>
      </c>
      <c r="B875" s="2" t="s">
        <v>1660</v>
      </c>
      <c r="C875" s="2" t="s">
        <v>423</v>
      </c>
      <c r="D875" s="2" t="s">
        <v>27</v>
      </c>
      <c r="E875" s="2">
        <v>95</v>
      </c>
      <c r="F875" s="2">
        <v>25</v>
      </c>
      <c r="G875" s="2">
        <v>3</v>
      </c>
      <c r="H875" s="2">
        <v>1106859.57</v>
      </c>
      <c r="I875" s="2">
        <v>164</v>
      </c>
      <c r="J875" s="2" t="s">
        <v>1654</v>
      </c>
      <c r="K875" s="2">
        <v>87</v>
      </c>
      <c r="L875" s="2">
        <v>30</v>
      </c>
      <c r="M875" s="2">
        <v>12</v>
      </c>
      <c r="N875" s="2">
        <v>8</v>
      </c>
      <c r="O875" s="2">
        <v>25</v>
      </c>
      <c r="P875" s="2">
        <v>12</v>
      </c>
      <c r="Q875" s="2" t="s">
        <v>54</v>
      </c>
      <c r="R875" s="2" t="s">
        <v>54</v>
      </c>
      <c r="S875" s="4">
        <v>44837</v>
      </c>
    </row>
    <row r="876" spans="1:19" ht="12.5" x14ac:dyDescent="0.25">
      <c r="A876" s="14" t="str">
        <f>HYPERLINK("https://gerandofalcoes.my.salesforce.com/0014P00003AN2h6QAD", "0014P00003AN2h6QAD")</f>
        <v>0014P00003AN2h6QAD</v>
      </c>
      <c r="B876" s="2" t="s">
        <v>1649</v>
      </c>
      <c r="C876" s="2" t="s">
        <v>423</v>
      </c>
      <c r="D876" s="2" t="s">
        <v>27</v>
      </c>
      <c r="E876" s="2">
        <v>98</v>
      </c>
      <c r="F876" s="2">
        <v>13</v>
      </c>
      <c r="G876" s="2">
        <v>3</v>
      </c>
      <c r="H876" s="2">
        <v>245092.99</v>
      </c>
      <c r="I876" s="2">
        <v>182</v>
      </c>
      <c r="J876" s="2" t="s">
        <v>1650</v>
      </c>
      <c r="K876" s="2">
        <v>77</v>
      </c>
      <c r="L876" s="2">
        <v>30</v>
      </c>
      <c r="M876" s="2">
        <v>12</v>
      </c>
      <c r="N876" s="2">
        <v>8</v>
      </c>
      <c r="O876" s="2">
        <v>15</v>
      </c>
      <c r="P876" s="2">
        <v>12</v>
      </c>
      <c r="Q876" s="2" t="s">
        <v>1651</v>
      </c>
      <c r="R876" s="2" t="s">
        <v>1652</v>
      </c>
      <c r="S876" s="4">
        <v>44837</v>
      </c>
    </row>
    <row r="877" spans="1:19" ht="12.5" x14ac:dyDescent="0.25">
      <c r="A877" s="14" t="str">
        <f>HYPERLINK("https://gerandofalcoes.my.salesforce.com/0014P00003AN2h7QAD", "0014P00003AN2h7QAD")</f>
        <v>0014P00003AN2h7QAD</v>
      </c>
      <c r="B877" s="2" t="s">
        <v>2988</v>
      </c>
      <c r="C877" s="2" t="s">
        <v>1684</v>
      </c>
      <c r="D877" s="2" t="s">
        <v>2</v>
      </c>
      <c r="E877" s="2"/>
      <c r="F877" s="2">
        <v>0</v>
      </c>
      <c r="G877" s="2">
        <v>0</v>
      </c>
      <c r="H877" s="2">
        <v>0</v>
      </c>
      <c r="I877" s="2">
        <v>130</v>
      </c>
      <c r="J877" s="2" t="s">
        <v>1779</v>
      </c>
      <c r="K877" s="2">
        <v>10</v>
      </c>
      <c r="L877" s="2">
        <v>0</v>
      </c>
      <c r="M877" s="2">
        <v>0</v>
      </c>
      <c r="N877" s="2">
        <v>0</v>
      </c>
      <c r="O877" s="2">
        <v>0</v>
      </c>
      <c r="P877" s="2">
        <v>10</v>
      </c>
      <c r="Q877" s="2" t="s">
        <v>2989</v>
      </c>
      <c r="R877" s="2" t="s">
        <v>602</v>
      </c>
      <c r="S877" s="4">
        <v>44837</v>
      </c>
    </row>
    <row r="878" spans="1:19" ht="12.5" x14ac:dyDescent="0.25">
      <c r="A878" s="14" t="str">
        <f>HYPERLINK("https://gerandofalcoes.my.salesforce.com/0014P00003AN6yVQAT", "0014P00003AN6yVQAT")</f>
        <v>0014P00003AN6yVQAT</v>
      </c>
      <c r="B878" s="2" t="s">
        <v>1798</v>
      </c>
      <c r="C878" s="2" t="s">
        <v>423</v>
      </c>
      <c r="D878" s="2" t="s">
        <v>2</v>
      </c>
      <c r="E878" s="2">
        <v>68</v>
      </c>
      <c r="F878" s="2">
        <v>0</v>
      </c>
      <c r="G878" s="2">
        <v>2</v>
      </c>
      <c r="H878" s="2">
        <v>9586512</v>
      </c>
      <c r="I878" s="2">
        <v>151</v>
      </c>
      <c r="J878" s="2" t="s">
        <v>1671</v>
      </c>
      <c r="K878" s="2">
        <v>63</v>
      </c>
      <c r="L878" s="2">
        <v>20</v>
      </c>
      <c r="M878" s="2">
        <v>0</v>
      </c>
      <c r="N878" s="2">
        <v>6</v>
      </c>
      <c r="O878" s="2">
        <v>25</v>
      </c>
      <c r="P878" s="2">
        <v>12</v>
      </c>
      <c r="Q878" s="2" t="s">
        <v>560</v>
      </c>
      <c r="R878" s="2" t="s">
        <v>560</v>
      </c>
      <c r="S878" s="4">
        <v>44837</v>
      </c>
    </row>
    <row r="879" spans="1:19" ht="12.5" x14ac:dyDescent="0.25">
      <c r="A879" s="14" t="str">
        <f>HYPERLINK("https://gerandofalcoes.my.salesforce.com/0014P00003AN72DQAT", "0014P00003AN72DQAT")</f>
        <v>0014P00003AN72DQAT</v>
      </c>
      <c r="B879" s="2" t="s">
        <v>1722</v>
      </c>
      <c r="C879" s="2" t="s">
        <v>423</v>
      </c>
      <c r="D879" s="2" t="s">
        <v>2</v>
      </c>
      <c r="E879" s="2">
        <v>74</v>
      </c>
      <c r="F879" s="2">
        <v>35</v>
      </c>
      <c r="G879" s="2">
        <v>5</v>
      </c>
      <c r="H879" s="2">
        <v>1000000</v>
      </c>
      <c r="I879" s="2">
        <v>506</v>
      </c>
      <c r="J879" s="2" t="s">
        <v>1654</v>
      </c>
      <c r="K879" s="2">
        <v>90</v>
      </c>
      <c r="L879" s="2">
        <v>20</v>
      </c>
      <c r="M879" s="2">
        <v>15</v>
      </c>
      <c r="N879" s="2">
        <v>10</v>
      </c>
      <c r="O879" s="2">
        <v>25</v>
      </c>
      <c r="P879" s="2">
        <v>20</v>
      </c>
      <c r="Q879" s="2" t="s">
        <v>565</v>
      </c>
      <c r="R879" s="2" t="s">
        <v>565</v>
      </c>
      <c r="S879" s="4">
        <v>44837</v>
      </c>
    </row>
    <row r="880" spans="1:19" ht="12.5" x14ac:dyDescent="0.25">
      <c r="A880" s="14" t="str">
        <f>HYPERLINK("https://gerandofalcoes.my.salesforce.com/0014P00003AN76yQAD", "0014P00003AN76yQAD")</f>
        <v>0014P00003AN76yQAD</v>
      </c>
      <c r="B880" s="2" t="s">
        <v>49</v>
      </c>
      <c r="C880" s="2" t="s">
        <v>423</v>
      </c>
      <c r="D880" s="2" t="s">
        <v>27</v>
      </c>
      <c r="E880" s="2">
        <v>68.069999999999993</v>
      </c>
      <c r="F880" s="2">
        <v>6</v>
      </c>
      <c r="G880" s="2">
        <v>2</v>
      </c>
      <c r="H880" s="2">
        <v>80000</v>
      </c>
      <c r="I880" s="2">
        <v>80</v>
      </c>
      <c r="J880" s="2" t="s">
        <v>1671</v>
      </c>
      <c r="K880" s="2">
        <v>56</v>
      </c>
      <c r="L880" s="2">
        <v>20</v>
      </c>
      <c r="M880" s="2">
        <v>10</v>
      </c>
      <c r="N880" s="2">
        <v>6</v>
      </c>
      <c r="O880" s="2">
        <v>10</v>
      </c>
      <c r="P880" s="2">
        <v>10</v>
      </c>
      <c r="Q880" s="2" t="s">
        <v>1716</v>
      </c>
      <c r="R880" s="2" t="s">
        <v>1716</v>
      </c>
      <c r="S880" s="4">
        <v>44837</v>
      </c>
    </row>
    <row r="881" spans="1:19" ht="12.5" x14ac:dyDescent="0.25">
      <c r="A881" s="14" t="str">
        <f>HYPERLINK("https://gerandofalcoes.my.salesforce.com/0014P00003ERUfsQAH", "0014P00003ERUfsQAH")</f>
        <v>0014P00003ERUfsQAH</v>
      </c>
      <c r="B881" s="2" t="s">
        <v>1668</v>
      </c>
      <c r="C881" s="2" t="s">
        <v>423</v>
      </c>
      <c r="D881" s="2" t="s">
        <v>27</v>
      </c>
      <c r="E881" s="2">
        <v>91</v>
      </c>
      <c r="F881" s="2">
        <v>30</v>
      </c>
      <c r="G881" s="2">
        <v>4</v>
      </c>
      <c r="H881" s="2">
        <v>155230.70000000001</v>
      </c>
      <c r="I881" s="2">
        <v>782</v>
      </c>
      <c r="J881" s="2" t="s">
        <v>1654</v>
      </c>
      <c r="K881" s="2">
        <v>87</v>
      </c>
      <c r="L881" s="2">
        <v>30</v>
      </c>
      <c r="M881" s="2">
        <v>12</v>
      </c>
      <c r="N881" s="2">
        <v>10</v>
      </c>
      <c r="O881" s="2">
        <v>15</v>
      </c>
      <c r="P881" s="2">
        <v>20</v>
      </c>
      <c r="Q881" s="2" t="s">
        <v>73</v>
      </c>
      <c r="R881" s="2" t="s">
        <v>73</v>
      </c>
      <c r="S881" s="4">
        <v>44837</v>
      </c>
    </row>
    <row r="882" spans="1:19" ht="12.5" x14ac:dyDescent="0.25">
      <c r="A882" s="14" t="str">
        <f>HYPERLINK("https://gerandofalcoes.my.salesforce.com/0014P00003ERakHQAT", "0014P00003ERakHQAT")</f>
        <v>0014P00003ERakHQAT</v>
      </c>
      <c r="B882" s="2" t="s">
        <v>2983</v>
      </c>
      <c r="C882" s="2" t="s">
        <v>1684</v>
      </c>
      <c r="D882" s="2" t="s">
        <v>2</v>
      </c>
      <c r="E882" s="2"/>
      <c r="F882" s="2">
        <v>0</v>
      </c>
      <c r="G882" s="2">
        <v>0</v>
      </c>
      <c r="H882" s="2">
        <v>0</v>
      </c>
      <c r="I882" s="2">
        <v>300</v>
      </c>
      <c r="J882" s="2" t="s">
        <v>1779</v>
      </c>
      <c r="K882" s="2">
        <v>15</v>
      </c>
      <c r="L882" s="2">
        <v>0</v>
      </c>
      <c r="M882" s="2">
        <v>0</v>
      </c>
      <c r="N882" s="2">
        <v>0</v>
      </c>
      <c r="O882" s="2">
        <v>0</v>
      </c>
      <c r="P882" s="2">
        <v>15</v>
      </c>
      <c r="Q882" s="2" t="s">
        <v>2984</v>
      </c>
      <c r="R882" s="2" t="s">
        <v>2984</v>
      </c>
      <c r="S882" s="4">
        <v>44837</v>
      </c>
    </row>
    <row r="883" spans="1:19" ht="12.5" x14ac:dyDescent="0.25">
      <c r="A883" s="14" t="str">
        <f>HYPERLINK("https://gerandofalcoes.my.salesforce.com/0014P00003ERavoQAD", "0014P00003ERavoQAD")</f>
        <v>0014P00003ERavoQAD</v>
      </c>
      <c r="B883" s="2" t="s">
        <v>77</v>
      </c>
      <c r="C883" s="2" t="s">
        <v>423</v>
      </c>
      <c r="D883" s="2" t="s">
        <v>27</v>
      </c>
      <c r="E883" s="2">
        <v>86</v>
      </c>
      <c r="F883" s="2">
        <v>5</v>
      </c>
      <c r="G883" s="2">
        <v>4</v>
      </c>
      <c r="H883" s="2">
        <v>275378.40000000002</v>
      </c>
      <c r="I883" s="2">
        <v>184</v>
      </c>
      <c r="J883" s="2" t="s">
        <v>1650</v>
      </c>
      <c r="K883" s="2">
        <v>67</v>
      </c>
      <c r="L883" s="2">
        <v>25</v>
      </c>
      <c r="M883" s="2">
        <v>5</v>
      </c>
      <c r="N883" s="2">
        <v>10</v>
      </c>
      <c r="O883" s="2">
        <v>15</v>
      </c>
      <c r="P883" s="2">
        <v>12</v>
      </c>
      <c r="Q883" s="2" t="s">
        <v>78</v>
      </c>
      <c r="R883" s="2" t="s">
        <v>78</v>
      </c>
      <c r="S883" s="4">
        <v>44837</v>
      </c>
    </row>
    <row r="884" spans="1:19" ht="12.5" x14ac:dyDescent="0.25">
      <c r="A884" s="14" t="str">
        <f>HYPERLINK("https://gerandofalcoes.my.salesforce.com/0014P00003MjNTIQA3", "0014P00003MjNTIQA3")</f>
        <v>0014P00003MjNTIQA3</v>
      </c>
      <c r="B884" s="2" t="s">
        <v>2976</v>
      </c>
      <c r="C884" s="2" t="s">
        <v>423</v>
      </c>
      <c r="D884" s="2" t="s">
        <v>66</v>
      </c>
      <c r="E884" s="2">
        <v>0</v>
      </c>
      <c r="F884" s="2">
        <v>10</v>
      </c>
      <c r="G884" s="2">
        <v>0</v>
      </c>
      <c r="H884" s="2">
        <v>0</v>
      </c>
      <c r="I884" s="2">
        <v>0</v>
      </c>
      <c r="J884" s="2" t="s">
        <v>1779</v>
      </c>
      <c r="K884" s="2">
        <v>10</v>
      </c>
      <c r="L884" s="2">
        <v>0</v>
      </c>
      <c r="M884" s="2">
        <v>10</v>
      </c>
      <c r="N884" s="2">
        <v>0</v>
      </c>
      <c r="O884" s="2">
        <v>0</v>
      </c>
      <c r="P884" s="2">
        <v>0</v>
      </c>
      <c r="Q884" s="2" t="s">
        <v>862</v>
      </c>
      <c r="R884" s="2" t="s">
        <v>862</v>
      </c>
      <c r="S884" s="4">
        <v>44837</v>
      </c>
    </row>
    <row r="885" spans="1:19" ht="12.5" x14ac:dyDescent="0.25">
      <c r="A885" s="14" t="str">
        <f>HYPERLINK("https://gerandofalcoes.my.salesforce.com/0014P00003MjOsqQAF", "0014P00003MjOsqQAF")</f>
        <v>0014P00003MjOsqQAF</v>
      </c>
      <c r="B885" s="2" t="s">
        <v>2977</v>
      </c>
      <c r="C885" s="2" t="s">
        <v>1684</v>
      </c>
      <c r="D885" s="2" t="s">
        <v>66</v>
      </c>
      <c r="E885" s="2">
        <v>0</v>
      </c>
      <c r="F885" s="2">
        <v>6</v>
      </c>
      <c r="G885" s="2">
        <v>1</v>
      </c>
      <c r="H885" s="2">
        <v>0</v>
      </c>
      <c r="I885" s="2">
        <v>0</v>
      </c>
      <c r="J885" s="2" t="s">
        <v>1779</v>
      </c>
      <c r="K885" s="2">
        <v>14</v>
      </c>
      <c r="L885" s="2">
        <v>0</v>
      </c>
      <c r="M885" s="2">
        <v>10</v>
      </c>
      <c r="N885" s="2">
        <v>4</v>
      </c>
      <c r="O885" s="2">
        <v>0</v>
      </c>
      <c r="P885" s="2">
        <v>0</v>
      </c>
      <c r="Q885" s="2" t="s">
        <v>71</v>
      </c>
      <c r="R885" s="2" t="s">
        <v>870</v>
      </c>
      <c r="S885" s="4">
        <v>44837</v>
      </c>
    </row>
    <row r="886" spans="1:19" ht="12.5" x14ac:dyDescent="0.25">
      <c r="A886" s="14" t="str">
        <f>HYPERLINK("https://gerandofalcoes.my.salesforce.com/0014P00003MjR9oQAF", "0014P00003MjR9oQAF")</f>
        <v>0014P00003MjR9oQAF</v>
      </c>
      <c r="B886" s="2" t="s">
        <v>2978</v>
      </c>
      <c r="C886" s="2" t="s">
        <v>423</v>
      </c>
      <c r="D886" s="2" t="s">
        <v>66</v>
      </c>
      <c r="E886" s="2">
        <v>0</v>
      </c>
      <c r="F886" s="2">
        <v>23</v>
      </c>
      <c r="G886" s="2">
        <v>1</v>
      </c>
      <c r="H886" s="2">
        <v>0</v>
      </c>
      <c r="I886" s="2">
        <v>0</v>
      </c>
      <c r="J886" s="2" t="s">
        <v>1779</v>
      </c>
      <c r="K886" s="2">
        <v>16</v>
      </c>
      <c r="L886" s="2">
        <v>0</v>
      </c>
      <c r="M886" s="2">
        <v>12</v>
      </c>
      <c r="N886" s="2">
        <v>4</v>
      </c>
      <c r="O886" s="2">
        <v>0</v>
      </c>
      <c r="P886" s="2">
        <v>0</v>
      </c>
      <c r="Q886" s="2" t="s">
        <v>67</v>
      </c>
      <c r="R886" s="2" t="s">
        <v>2979</v>
      </c>
      <c r="S886" s="4">
        <v>44837</v>
      </c>
    </row>
    <row r="887" spans="1:19" ht="12.5" x14ac:dyDescent="0.25">
      <c r="A887" s="14" t="str">
        <f>HYPERLINK("https://gerandofalcoes.my.salesforce.com/0014X00002YgggQQAR", "0014X00002YgggQQAR")</f>
        <v>0014X00002YgggQQAR</v>
      </c>
      <c r="B887" s="2" t="s">
        <v>3111</v>
      </c>
      <c r="C887" s="2" t="s">
        <v>423</v>
      </c>
      <c r="D887" s="2" t="s">
        <v>2</v>
      </c>
      <c r="E887" s="2"/>
      <c r="F887" s="2">
        <v>2</v>
      </c>
      <c r="G887" s="2">
        <v>2</v>
      </c>
      <c r="H887" s="2">
        <v>55000</v>
      </c>
      <c r="I887" s="2">
        <v>20</v>
      </c>
      <c r="J887" s="2"/>
      <c r="K887" s="2">
        <v>26</v>
      </c>
      <c r="L887" s="2">
        <v>0</v>
      </c>
      <c r="M887" s="2">
        <v>5</v>
      </c>
      <c r="N887" s="2">
        <v>6</v>
      </c>
      <c r="O887" s="2">
        <v>10</v>
      </c>
      <c r="P887" s="2">
        <v>5</v>
      </c>
      <c r="Q887" s="2" t="s">
        <v>3112</v>
      </c>
      <c r="R887" s="2" t="s">
        <v>3113</v>
      </c>
      <c r="S887" s="4">
        <v>44949</v>
      </c>
    </row>
    <row r="888" spans="1:19" ht="12.5" x14ac:dyDescent="0.25">
      <c r="A888" s="14" t="str">
        <f>HYPERLINK("https://gerandofalcoes.my.salesforce.com/0014X00002Yggr1QAB", "0014X00002Yggr1QAB")</f>
        <v>0014X00002Yggr1QAB</v>
      </c>
      <c r="B888" s="2" t="s">
        <v>3002</v>
      </c>
      <c r="C888" s="2" t="s">
        <v>423</v>
      </c>
      <c r="D888" s="2" t="s">
        <v>2</v>
      </c>
      <c r="E888" s="2"/>
      <c r="F888" s="2">
        <v>24</v>
      </c>
      <c r="G888" s="2">
        <v>5</v>
      </c>
      <c r="H888" s="2">
        <v>35000</v>
      </c>
      <c r="I888" s="2">
        <v>85</v>
      </c>
      <c r="J888" s="2"/>
      <c r="K888" s="2">
        <v>42</v>
      </c>
      <c r="L888" s="2">
        <v>0</v>
      </c>
      <c r="M888" s="2">
        <v>12</v>
      </c>
      <c r="N888" s="2">
        <v>10</v>
      </c>
      <c r="O888" s="2">
        <v>10</v>
      </c>
      <c r="P888" s="2">
        <v>10</v>
      </c>
      <c r="Q888" s="2" t="s">
        <v>3003</v>
      </c>
      <c r="R888" s="2" t="s">
        <v>3004</v>
      </c>
      <c r="S888" s="4">
        <v>44944</v>
      </c>
    </row>
    <row r="889" spans="1:19" ht="12.5" x14ac:dyDescent="0.25">
      <c r="A889" s="14" t="str">
        <f>HYPERLINK("https://gerandofalcoes.my.salesforce.com/0014X00002YggkqQAB", "0014X00002YggkqQAB")</f>
        <v>0014X00002YggkqQAB</v>
      </c>
      <c r="B889" s="2" t="s">
        <v>3035</v>
      </c>
      <c r="C889" s="2" t="s">
        <v>423</v>
      </c>
      <c r="D889" s="2" t="s">
        <v>2</v>
      </c>
      <c r="E889" s="2"/>
      <c r="F889" s="2">
        <v>0</v>
      </c>
      <c r="G889" s="2">
        <v>3</v>
      </c>
      <c r="H889" s="2">
        <v>11000</v>
      </c>
      <c r="I889" s="2">
        <v>530</v>
      </c>
      <c r="J889" s="2"/>
      <c r="K889" s="2">
        <v>33</v>
      </c>
      <c r="L889" s="2">
        <v>0</v>
      </c>
      <c r="M889" s="2">
        <v>0</v>
      </c>
      <c r="N889" s="2">
        <v>8</v>
      </c>
      <c r="O889" s="2">
        <v>5</v>
      </c>
      <c r="P889" s="2">
        <v>20</v>
      </c>
      <c r="Q889" s="2" t="s">
        <v>3036</v>
      </c>
      <c r="R889" s="2" t="s">
        <v>3037</v>
      </c>
      <c r="S889" s="4">
        <v>44945</v>
      </c>
    </row>
    <row r="890" spans="1:19" ht="12.5" x14ac:dyDescent="0.25">
      <c r="A890" s="14" t="str">
        <f>HYPERLINK("https://gerandofalcoes.my.salesforce.com/0014X00002VKCqEQAX", "0014X00002VKCqEQAX")</f>
        <v>0014X00002VKCqEQAX</v>
      </c>
      <c r="B890" s="2" t="s">
        <v>2349</v>
      </c>
      <c r="C890" s="2" t="s">
        <v>1800</v>
      </c>
      <c r="D890" s="2" t="s">
        <v>2</v>
      </c>
      <c r="E890" s="2">
        <v>27</v>
      </c>
      <c r="F890" s="2">
        <v>0</v>
      </c>
      <c r="G890" s="2">
        <v>6</v>
      </c>
      <c r="H890" s="2">
        <v>18500</v>
      </c>
      <c r="I890" s="2">
        <v>116</v>
      </c>
      <c r="J890" s="2" t="s">
        <v>1671</v>
      </c>
      <c r="K890" s="2">
        <v>40</v>
      </c>
      <c r="L890" s="2">
        <v>15</v>
      </c>
      <c r="M890" s="2">
        <v>0</v>
      </c>
      <c r="N890" s="2">
        <v>10</v>
      </c>
      <c r="O890" s="2">
        <v>5</v>
      </c>
      <c r="P890" s="2">
        <v>10</v>
      </c>
      <c r="Q890" s="2" t="s">
        <v>2350</v>
      </c>
      <c r="R890" s="2" t="s">
        <v>2351</v>
      </c>
      <c r="S890" s="4">
        <v>44837</v>
      </c>
    </row>
    <row r="891" spans="1:19" ht="12.5" x14ac:dyDescent="0.25">
      <c r="A891" s="14" t="str">
        <f>HYPERLINK("https://gerandofalcoes.my.salesforce.com/0014X00002YggpOQAR", "0014X00002YggpOQAR")</f>
        <v>0014X00002YggpOQAR</v>
      </c>
      <c r="B891" s="2" t="s">
        <v>3053</v>
      </c>
      <c r="C891" s="2" t="s">
        <v>423</v>
      </c>
      <c r="D891" s="2" t="s">
        <v>2</v>
      </c>
      <c r="E891" s="2"/>
      <c r="F891" s="2">
        <v>34</v>
      </c>
      <c r="G891" s="2">
        <v>2</v>
      </c>
      <c r="H891" s="2">
        <v>343</v>
      </c>
      <c r="I891" s="2">
        <v>64</v>
      </c>
      <c r="J891" s="2"/>
      <c r="K891" s="2">
        <v>31</v>
      </c>
      <c r="L891" s="2">
        <v>0</v>
      </c>
      <c r="M891" s="2">
        <v>15</v>
      </c>
      <c r="N891" s="2">
        <v>6</v>
      </c>
      <c r="O891" s="2">
        <v>5</v>
      </c>
      <c r="P891" s="2">
        <v>5</v>
      </c>
      <c r="Q891" s="2" t="s">
        <v>3054</v>
      </c>
      <c r="R891" s="2" t="s">
        <v>3055</v>
      </c>
      <c r="S891" s="4">
        <v>44946</v>
      </c>
    </row>
    <row r="892" spans="1:19" ht="12.5" x14ac:dyDescent="0.25">
      <c r="A892" s="14" t="str">
        <f>HYPERLINK("https://gerandofalcoes.my.salesforce.com/0014X00002YggkiQAB", "0014X00002YggkiQAB")</f>
        <v>0014X00002YggkiQAB</v>
      </c>
      <c r="B892" s="2" t="s">
        <v>3067</v>
      </c>
      <c r="C892" s="2" t="s">
        <v>423</v>
      </c>
      <c r="D892" s="2" t="s">
        <v>2</v>
      </c>
      <c r="E892" s="2"/>
      <c r="F892" s="2">
        <v>0</v>
      </c>
      <c r="G892" s="2">
        <v>2</v>
      </c>
      <c r="H892" s="2">
        <v>0</v>
      </c>
      <c r="I892" s="2">
        <v>80</v>
      </c>
      <c r="J892" s="2"/>
      <c r="K892" s="2">
        <v>16</v>
      </c>
      <c r="L892" s="2">
        <v>0</v>
      </c>
      <c r="M892" s="2">
        <v>0</v>
      </c>
      <c r="N892" s="2">
        <v>6</v>
      </c>
      <c r="O892" s="2">
        <v>0</v>
      </c>
      <c r="P892" s="2">
        <v>10</v>
      </c>
      <c r="Q892" s="2" t="s">
        <v>3068</v>
      </c>
      <c r="R892" s="2" t="s">
        <v>3068</v>
      </c>
      <c r="S892" s="4">
        <v>44946</v>
      </c>
    </row>
    <row r="893" spans="1:19" ht="12.5" x14ac:dyDescent="0.25">
      <c r="A893" s="14" t="str">
        <f>HYPERLINK("https://gerandofalcoes.my.salesforce.com/0014X00002YggltQAB", "0014X00002YggltQAB")</f>
        <v>0014X00002YggltQAB</v>
      </c>
      <c r="B893" s="2" t="s">
        <v>3142</v>
      </c>
      <c r="C893" s="2" t="s">
        <v>423</v>
      </c>
      <c r="D893" s="2" t="s">
        <v>2</v>
      </c>
      <c r="E893" s="2"/>
      <c r="F893" s="2">
        <v>0</v>
      </c>
      <c r="G893" s="2">
        <v>5</v>
      </c>
      <c r="H893" s="2">
        <v>3000</v>
      </c>
      <c r="I893" s="2">
        <v>10</v>
      </c>
      <c r="J893" s="2"/>
      <c r="K893" s="2">
        <v>20</v>
      </c>
      <c r="L893" s="2">
        <v>0</v>
      </c>
      <c r="M893" s="2">
        <v>0</v>
      </c>
      <c r="N893" s="2">
        <v>10</v>
      </c>
      <c r="O893" s="2">
        <v>5</v>
      </c>
      <c r="P893" s="2">
        <v>5</v>
      </c>
      <c r="Q893" s="2" t="s">
        <v>3143</v>
      </c>
      <c r="R893" s="2" t="s">
        <v>3143</v>
      </c>
      <c r="S893" s="4">
        <v>44949</v>
      </c>
    </row>
    <row r="894" spans="1:19" ht="12.5" x14ac:dyDescent="0.25">
      <c r="A894" s="14" t="str">
        <f>HYPERLINK("https://gerandofalcoes.my.salesforce.com/0014X00002YggntQAB", "0014X00002YggntQAB")</f>
        <v>0014X00002YggntQAB</v>
      </c>
      <c r="B894" s="2" t="s">
        <v>3109</v>
      </c>
      <c r="C894" s="2" t="s">
        <v>423</v>
      </c>
      <c r="D894" s="2" t="s">
        <v>2</v>
      </c>
      <c r="E894" s="2"/>
      <c r="F894" s="2">
        <v>0</v>
      </c>
      <c r="G894" s="2">
        <v>2</v>
      </c>
      <c r="H894" s="2">
        <v>40000</v>
      </c>
      <c r="I894" s="2">
        <v>0</v>
      </c>
      <c r="J894" s="2"/>
      <c r="K894" s="2">
        <v>16</v>
      </c>
      <c r="L894" s="2">
        <v>0</v>
      </c>
      <c r="M894" s="2">
        <v>0</v>
      </c>
      <c r="N894" s="2">
        <v>6</v>
      </c>
      <c r="O894" s="2">
        <v>10</v>
      </c>
      <c r="P894" s="2">
        <v>0</v>
      </c>
      <c r="Q894" s="2" t="s">
        <v>3110</v>
      </c>
      <c r="R894" s="2" t="s">
        <v>3110</v>
      </c>
      <c r="S894" s="4">
        <v>44948</v>
      </c>
    </row>
    <row r="895" spans="1:19" ht="12.5" x14ac:dyDescent="0.25">
      <c r="A895" s="14" t="str">
        <f>HYPERLINK("https://gerandofalcoes.my.salesforce.com/0014X00002YggooQAB", "0014X00002YggooQAB")</f>
        <v>0014X00002YggooQAB</v>
      </c>
      <c r="B895" s="2" t="s">
        <v>3047</v>
      </c>
      <c r="C895" s="2" t="s">
        <v>423</v>
      </c>
      <c r="D895" s="2" t="s">
        <v>2</v>
      </c>
      <c r="E895" s="2"/>
      <c r="F895" s="2">
        <v>1</v>
      </c>
      <c r="G895" s="2">
        <v>3</v>
      </c>
      <c r="H895" s="2">
        <v>19000</v>
      </c>
      <c r="I895" s="2">
        <v>30</v>
      </c>
      <c r="J895" s="2"/>
      <c r="K895" s="2">
        <v>23</v>
      </c>
      <c r="L895" s="2">
        <v>0</v>
      </c>
      <c r="M895" s="2">
        <v>5</v>
      </c>
      <c r="N895" s="2">
        <v>8</v>
      </c>
      <c r="O895" s="2">
        <v>5</v>
      </c>
      <c r="P895" s="2">
        <v>5</v>
      </c>
      <c r="Q895" s="2" t="s">
        <v>3048</v>
      </c>
      <c r="R895" s="2" t="s">
        <v>3049</v>
      </c>
      <c r="S895" s="4">
        <v>44946</v>
      </c>
    </row>
    <row r="896" spans="1:19" ht="12.5" x14ac:dyDescent="0.25">
      <c r="A896" s="14" t="str">
        <f>HYPERLINK("https://gerandofalcoes.my.salesforce.com/0014X00002YggpbQAB", "0014X00002YggpbQAB")</f>
        <v>0014X00002YggpbQAB</v>
      </c>
      <c r="B896" s="2" t="s">
        <v>3038</v>
      </c>
      <c r="C896" s="2" t="s">
        <v>423</v>
      </c>
      <c r="D896" s="2" t="s">
        <v>2</v>
      </c>
      <c r="E896" s="2"/>
      <c r="F896" s="2">
        <v>10</v>
      </c>
      <c r="G896" s="2">
        <v>2</v>
      </c>
      <c r="H896" s="2">
        <v>15000</v>
      </c>
      <c r="I896" s="2">
        <v>240</v>
      </c>
      <c r="J896" s="2"/>
      <c r="K896" s="2">
        <v>33</v>
      </c>
      <c r="L896" s="2">
        <v>0</v>
      </c>
      <c r="M896" s="2">
        <v>10</v>
      </c>
      <c r="N896" s="2">
        <v>6</v>
      </c>
      <c r="O896" s="2">
        <v>5</v>
      </c>
      <c r="P896" s="2">
        <v>12</v>
      </c>
      <c r="Q896" s="2" t="s">
        <v>3039</v>
      </c>
      <c r="R896" s="2" t="s">
        <v>3039</v>
      </c>
      <c r="S896" s="4">
        <v>44945</v>
      </c>
    </row>
    <row r="897" spans="1:19" ht="12.5" x14ac:dyDescent="0.25">
      <c r="A897" s="14" t="str">
        <f>HYPERLINK("https://gerandofalcoes.my.salesforce.com/0014X00002YggmlQAB", "0014X00002YggmlQAB")</f>
        <v>0014X00002YggmlQAB</v>
      </c>
      <c r="B897" s="2" t="s">
        <v>3078</v>
      </c>
      <c r="C897" s="2" t="s">
        <v>423</v>
      </c>
      <c r="D897" s="2" t="s">
        <v>2</v>
      </c>
      <c r="E897" s="2"/>
      <c r="F897" s="2">
        <v>1</v>
      </c>
      <c r="G897" s="2">
        <v>2</v>
      </c>
      <c r="H897" s="2">
        <v>30000</v>
      </c>
      <c r="I897" s="2">
        <v>90</v>
      </c>
      <c r="J897" s="2"/>
      <c r="K897" s="2">
        <v>31</v>
      </c>
      <c r="L897" s="2">
        <v>0</v>
      </c>
      <c r="M897" s="2">
        <v>5</v>
      </c>
      <c r="N897" s="2">
        <v>6</v>
      </c>
      <c r="O897" s="2">
        <v>10</v>
      </c>
      <c r="P897" s="2">
        <v>10</v>
      </c>
      <c r="Q897" s="2" t="s">
        <v>3079</v>
      </c>
      <c r="R897" s="2" t="s">
        <v>3080</v>
      </c>
      <c r="S897" s="4">
        <v>44946</v>
      </c>
    </row>
    <row r="898" spans="1:19" ht="12.5" x14ac:dyDescent="0.25">
      <c r="A898" s="14" t="str">
        <f>HYPERLINK("https://gerandofalcoes.my.salesforce.com/0014X00002YggmBQAR", "0014X00002YggmBQAR")</f>
        <v>0014X00002YggmBQAR</v>
      </c>
      <c r="B898" s="2" t="s">
        <v>3125</v>
      </c>
      <c r="C898" s="2" t="s">
        <v>423</v>
      </c>
      <c r="D898" s="2" t="s">
        <v>2</v>
      </c>
      <c r="E898" s="2"/>
      <c r="F898" s="2">
        <v>5</v>
      </c>
      <c r="G898" s="2">
        <v>8</v>
      </c>
      <c r="H898" s="2">
        <v>35000</v>
      </c>
      <c r="I898" s="2">
        <v>120</v>
      </c>
      <c r="J898" s="2"/>
      <c r="K898" s="2">
        <v>35</v>
      </c>
      <c r="L898" s="2">
        <v>0</v>
      </c>
      <c r="M898" s="2">
        <v>5</v>
      </c>
      <c r="N898" s="2">
        <v>10</v>
      </c>
      <c r="O898" s="2">
        <v>10</v>
      </c>
      <c r="P898" s="2">
        <v>10</v>
      </c>
      <c r="Q898" s="2" t="s">
        <v>3126</v>
      </c>
      <c r="R898" s="2" t="s">
        <v>3127</v>
      </c>
      <c r="S898" s="4">
        <v>44949</v>
      </c>
    </row>
    <row r="899" spans="1:19" ht="12.5" x14ac:dyDescent="0.25">
      <c r="A899" s="14" t="str">
        <f>HYPERLINK("https://gerandofalcoes.my.salesforce.com/0014X00002YgghgQAB", "0014X00002YgghgQAB")</f>
        <v>0014X00002YgghgQAB</v>
      </c>
      <c r="B899" s="2" t="s">
        <v>3093</v>
      </c>
      <c r="C899" s="2" t="s">
        <v>423</v>
      </c>
      <c r="D899" s="2" t="s">
        <v>2</v>
      </c>
      <c r="E899" s="2"/>
      <c r="F899" s="2">
        <v>0</v>
      </c>
      <c r="G899" s="2">
        <v>10</v>
      </c>
      <c r="H899" s="2">
        <v>5000</v>
      </c>
      <c r="I899" s="2">
        <v>132</v>
      </c>
      <c r="J899" s="2"/>
      <c r="K899" s="2">
        <v>25</v>
      </c>
      <c r="L899" s="2">
        <v>0</v>
      </c>
      <c r="M899" s="2">
        <v>0</v>
      </c>
      <c r="N899" s="2">
        <v>10</v>
      </c>
      <c r="O899" s="2">
        <v>5</v>
      </c>
      <c r="P899" s="2">
        <v>10</v>
      </c>
      <c r="Q899" s="2" t="s">
        <v>3094</v>
      </c>
      <c r="R899" s="2" t="s">
        <v>3095</v>
      </c>
      <c r="S899" s="4">
        <v>44947</v>
      </c>
    </row>
    <row r="900" spans="1:19" ht="12.5" x14ac:dyDescent="0.25">
      <c r="A900" s="14" t="str">
        <f>HYPERLINK("https://gerandofalcoes.my.salesforce.com/0014X00002YggjvQAB", "0014X00002YggjvQAB")</f>
        <v>0014X00002YggjvQAB</v>
      </c>
      <c r="B900" s="2" t="s">
        <v>3365</v>
      </c>
      <c r="C900" s="2" t="s">
        <v>423</v>
      </c>
      <c r="D900" s="2" t="s">
        <v>2</v>
      </c>
      <c r="E900" s="2"/>
      <c r="F900" s="2">
        <v>6</v>
      </c>
      <c r="G900" s="2">
        <v>2</v>
      </c>
      <c r="H900" s="2">
        <v>13000</v>
      </c>
      <c r="I900" s="2">
        <v>60</v>
      </c>
      <c r="J900" s="2"/>
      <c r="K900" s="2">
        <v>26</v>
      </c>
      <c r="L900" s="2">
        <v>0</v>
      </c>
      <c r="M900" s="2">
        <v>10</v>
      </c>
      <c r="N900" s="2">
        <v>6</v>
      </c>
      <c r="O900" s="2">
        <v>5</v>
      </c>
      <c r="P900" s="2">
        <v>5</v>
      </c>
      <c r="Q900" s="2" t="s">
        <v>3366</v>
      </c>
      <c r="R900" s="2" t="s">
        <v>3366</v>
      </c>
      <c r="S900" s="4">
        <v>44953</v>
      </c>
    </row>
    <row r="901" spans="1:19" ht="12.5" x14ac:dyDescent="0.25">
      <c r="A901" s="14" t="str">
        <f>HYPERLINK("https://gerandofalcoes.my.salesforce.com/0014X00002YggpCQAR", "0014X00002YggpCQAR")</f>
        <v>0014X00002YggpCQAR</v>
      </c>
      <c r="B901" s="2" t="s">
        <v>3120</v>
      </c>
      <c r="C901" s="2" t="s">
        <v>423</v>
      </c>
      <c r="D901" s="2" t="s">
        <v>2</v>
      </c>
      <c r="E901" s="2"/>
      <c r="F901" s="2">
        <v>0</v>
      </c>
      <c r="G901" s="2">
        <v>10</v>
      </c>
      <c r="H901" s="2">
        <v>1100</v>
      </c>
      <c r="I901" s="2">
        <v>0</v>
      </c>
      <c r="J901" s="2"/>
      <c r="K901" s="2">
        <v>15</v>
      </c>
      <c r="L901" s="2">
        <v>0</v>
      </c>
      <c r="M901" s="2">
        <v>0</v>
      </c>
      <c r="N901" s="2">
        <v>10</v>
      </c>
      <c r="O901" s="2">
        <v>5</v>
      </c>
      <c r="P901" s="2">
        <v>0</v>
      </c>
      <c r="Q901" s="2" t="s">
        <v>3121</v>
      </c>
      <c r="R901" s="2" t="s">
        <v>3121</v>
      </c>
      <c r="S901" s="4">
        <v>44949</v>
      </c>
    </row>
    <row r="902" spans="1:19" ht="12.5" x14ac:dyDescent="0.25">
      <c r="A902" s="14" t="str">
        <f>HYPERLINK("https://gerandofalcoes.my.salesforce.com/0014X00002Yggj9QAB", "0014X00002Yggj9QAB")</f>
        <v>0014X00002Yggj9QAB</v>
      </c>
      <c r="B902" s="2" t="s">
        <v>3090</v>
      </c>
      <c r="C902" s="2" t="s">
        <v>423</v>
      </c>
      <c r="D902" s="2" t="s">
        <v>2</v>
      </c>
      <c r="E902" s="2"/>
      <c r="F902" s="2">
        <v>30</v>
      </c>
      <c r="G902" s="2">
        <v>3</v>
      </c>
      <c r="H902" s="2">
        <v>1200000</v>
      </c>
      <c r="I902" s="2">
        <v>0</v>
      </c>
      <c r="J902" s="2"/>
      <c r="K902" s="2">
        <v>45</v>
      </c>
      <c r="L902" s="2">
        <v>0</v>
      </c>
      <c r="M902" s="2">
        <v>12</v>
      </c>
      <c r="N902" s="2">
        <v>8</v>
      </c>
      <c r="O902" s="2">
        <v>25</v>
      </c>
      <c r="P902" s="2">
        <v>0</v>
      </c>
      <c r="Q902" s="2" t="s">
        <v>3091</v>
      </c>
      <c r="R902" s="2" t="s">
        <v>3092</v>
      </c>
      <c r="S902" s="4">
        <v>44946</v>
      </c>
    </row>
    <row r="903" spans="1:19" ht="12.5" x14ac:dyDescent="0.25">
      <c r="A903" s="14" t="str">
        <f>HYPERLINK("https://gerandofalcoes.my.salesforce.com/0014X00002YgglqQAB", "0014X00002YgglqQAB")</f>
        <v>0014X00002YgglqQAB</v>
      </c>
      <c r="B903" s="2" t="s">
        <v>3062</v>
      </c>
      <c r="C903" s="2" t="s">
        <v>423</v>
      </c>
      <c r="D903" s="2" t="s">
        <v>2</v>
      </c>
      <c r="E903" s="2"/>
      <c r="F903" s="2">
        <v>0</v>
      </c>
      <c r="G903" s="2">
        <v>3</v>
      </c>
      <c r="H903" s="2">
        <v>200</v>
      </c>
      <c r="I903" s="2">
        <v>0</v>
      </c>
      <c r="J903" s="2"/>
      <c r="K903" s="2">
        <v>13</v>
      </c>
      <c r="L903" s="2">
        <v>0</v>
      </c>
      <c r="M903" s="2">
        <v>0</v>
      </c>
      <c r="N903" s="2">
        <v>8</v>
      </c>
      <c r="O903" s="2">
        <v>5</v>
      </c>
      <c r="P903" s="2">
        <v>0</v>
      </c>
      <c r="Q903" s="2" t="s">
        <v>3063</v>
      </c>
      <c r="R903" s="2" t="s">
        <v>3064</v>
      </c>
      <c r="S903" s="4">
        <v>44946</v>
      </c>
    </row>
    <row r="904" spans="1:19" ht="12.5" x14ac:dyDescent="0.25">
      <c r="A904" s="14" t="str">
        <f>HYPERLINK("https://gerandofalcoes.my.salesforce.com/0014X00002VKCp2QAH", "0014X00002VKCp2QAH")</f>
        <v>0014X00002VKCp2QAH</v>
      </c>
      <c r="B904" s="2" t="s">
        <v>3828</v>
      </c>
      <c r="C904" s="2" t="s">
        <v>423</v>
      </c>
      <c r="D904" s="2" t="s">
        <v>2</v>
      </c>
      <c r="E904" s="2">
        <v>19</v>
      </c>
      <c r="F904" s="2">
        <v>10</v>
      </c>
      <c r="G904" s="2">
        <v>1</v>
      </c>
      <c r="H904" s="2">
        <v>3300000</v>
      </c>
      <c r="I904" s="2">
        <v>0</v>
      </c>
      <c r="J904" s="2" t="s">
        <v>1671</v>
      </c>
      <c r="K904" s="2">
        <v>49</v>
      </c>
      <c r="L904" s="2">
        <v>10</v>
      </c>
      <c r="M904" s="2">
        <v>10</v>
      </c>
      <c r="N904" s="2">
        <v>4</v>
      </c>
      <c r="O904" s="2">
        <v>25</v>
      </c>
      <c r="P904" s="2">
        <v>0</v>
      </c>
      <c r="Q904" s="2" t="s">
        <v>2917</v>
      </c>
      <c r="R904" s="2" t="s">
        <v>2917</v>
      </c>
      <c r="S904" s="4">
        <v>45015</v>
      </c>
    </row>
    <row r="905" spans="1:19" ht="12.5" x14ac:dyDescent="0.25">
      <c r="A905" s="14" t="str">
        <f>HYPERLINK("https://gerandofalcoes.my.salesforce.com/0014X00002VKCtZQAX", "0014X00002VKCtZQAX")</f>
        <v>0014X00002VKCtZQAX</v>
      </c>
      <c r="B905" s="2" t="s">
        <v>3833</v>
      </c>
      <c r="C905" s="2" t="s">
        <v>423</v>
      </c>
      <c r="D905" s="2" t="s">
        <v>2</v>
      </c>
      <c r="E905" s="2">
        <v>10</v>
      </c>
      <c r="F905" s="2">
        <v>0</v>
      </c>
      <c r="G905" s="2">
        <v>0</v>
      </c>
      <c r="H905" s="2">
        <v>200000000</v>
      </c>
      <c r="I905" s="2">
        <v>150</v>
      </c>
      <c r="J905" s="2" t="s">
        <v>1671</v>
      </c>
      <c r="K905" s="2">
        <v>47</v>
      </c>
      <c r="L905" s="2">
        <v>10</v>
      </c>
      <c r="M905" s="2">
        <v>0</v>
      </c>
      <c r="N905" s="2">
        <v>0</v>
      </c>
      <c r="O905" s="2">
        <v>25</v>
      </c>
      <c r="P905" s="2">
        <v>12</v>
      </c>
      <c r="Q905" s="2" t="s">
        <v>3834</v>
      </c>
      <c r="R905" s="2" t="s">
        <v>3834</v>
      </c>
      <c r="S905" s="4">
        <v>45015</v>
      </c>
    </row>
    <row r="906" spans="1:19" ht="12.5" x14ac:dyDescent="0.25">
      <c r="A906" s="14" t="str">
        <f>HYPERLINK("https://gerandofalcoes.my.salesforce.com/0014X00002YggqdQAB", "0014X00002YggqdQAB")</f>
        <v>0014X00002YggqdQAB</v>
      </c>
      <c r="B906" s="2" t="s">
        <v>3117</v>
      </c>
      <c r="C906" s="2" t="s">
        <v>423</v>
      </c>
      <c r="D906" s="2" t="s">
        <v>2</v>
      </c>
      <c r="E906" s="2"/>
      <c r="F906" s="2">
        <v>1</v>
      </c>
      <c r="G906" s="2">
        <v>3</v>
      </c>
      <c r="H906" s="2">
        <v>1000</v>
      </c>
      <c r="I906" s="2">
        <v>0</v>
      </c>
      <c r="J906" s="2"/>
      <c r="K906" s="2">
        <v>18</v>
      </c>
      <c r="L906" s="2">
        <v>0</v>
      </c>
      <c r="M906" s="2">
        <v>5</v>
      </c>
      <c r="N906" s="2">
        <v>8</v>
      </c>
      <c r="O906" s="2">
        <v>5</v>
      </c>
      <c r="P906" s="2">
        <v>0</v>
      </c>
      <c r="Q906" s="2" t="s">
        <v>3118</v>
      </c>
      <c r="R906" s="2" t="s">
        <v>3119</v>
      </c>
      <c r="S906" s="4">
        <v>44949</v>
      </c>
    </row>
    <row r="907" spans="1:19" ht="12.5" x14ac:dyDescent="0.25">
      <c r="A907" s="14" t="str">
        <f>HYPERLINK("https://gerandofalcoes.my.salesforce.com/0014X00002YggojQAB", "0014X00002YggojQAB")</f>
        <v>0014X00002YggojQAB</v>
      </c>
      <c r="B907" s="2" t="s">
        <v>3136</v>
      </c>
      <c r="C907" s="2" t="s">
        <v>423</v>
      </c>
      <c r="D907" s="2" t="s">
        <v>2</v>
      </c>
      <c r="E907" s="2"/>
      <c r="F907" s="2">
        <v>0</v>
      </c>
      <c r="G907" s="2">
        <v>4</v>
      </c>
      <c r="H907" s="2">
        <v>0</v>
      </c>
      <c r="I907" s="2">
        <v>44</v>
      </c>
      <c r="J907" s="2"/>
      <c r="K907" s="2">
        <v>15</v>
      </c>
      <c r="L907" s="2">
        <v>0</v>
      </c>
      <c r="M907" s="2">
        <v>0</v>
      </c>
      <c r="N907" s="2">
        <v>10</v>
      </c>
      <c r="O907" s="2">
        <v>0</v>
      </c>
      <c r="P907" s="2">
        <v>5</v>
      </c>
      <c r="Q907" s="2" t="s">
        <v>3137</v>
      </c>
      <c r="R907" s="2" t="s">
        <v>3138</v>
      </c>
      <c r="S907" s="4">
        <v>44949</v>
      </c>
    </row>
    <row r="908" spans="1:19" ht="12.5" x14ac:dyDescent="0.25">
      <c r="A908" s="14" t="str">
        <f>HYPERLINK("https://gerandofalcoes.my.salesforce.com/0014X00002YggleQAB", "0014X00002YggleQAB")</f>
        <v>0014X00002YggleQAB</v>
      </c>
      <c r="B908" s="2" t="s">
        <v>3083</v>
      </c>
      <c r="C908" s="2" t="s">
        <v>423</v>
      </c>
      <c r="D908" s="2" t="s">
        <v>2</v>
      </c>
      <c r="E908" s="2"/>
      <c r="F908" s="2">
        <v>0</v>
      </c>
      <c r="G908" s="2">
        <v>2</v>
      </c>
      <c r="H908" s="2">
        <v>50000</v>
      </c>
      <c r="I908" s="2">
        <v>50</v>
      </c>
      <c r="J908" s="2"/>
      <c r="K908" s="2">
        <v>21</v>
      </c>
      <c r="L908" s="2">
        <v>0</v>
      </c>
      <c r="M908" s="2">
        <v>0</v>
      </c>
      <c r="N908" s="2">
        <v>6</v>
      </c>
      <c r="O908" s="2">
        <v>10</v>
      </c>
      <c r="P908" s="2">
        <v>5</v>
      </c>
      <c r="Q908" s="2" t="s">
        <v>3084</v>
      </c>
      <c r="R908" s="2" t="s">
        <v>3084</v>
      </c>
      <c r="S908" s="4">
        <v>44946</v>
      </c>
    </row>
    <row r="909" spans="1:19" ht="12.5" x14ac:dyDescent="0.25">
      <c r="A909" s="14" t="str">
        <f>HYPERLINK("https://gerandofalcoes.my.salesforce.com/0014X00002YggkDQAR", "0014X00002YggkDQAR")</f>
        <v>0014X00002YggkDQAR</v>
      </c>
      <c r="B909" s="2" t="s">
        <v>3023</v>
      </c>
      <c r="C909" s="2" t="s">
        <v>423</v>
      </c>
      <c r="D909" s="2" t="s">
        <v>2</v>
      </c>
      <c r="E909" s="2"/>
      <c r="F909" s="2">
        <v>0</v>
      </c>
      <c r="G909" s="2">
        <v>4</v>
      </c>
      <c r="H909" s="2">
        <v>78654</v>
      </c>
      <c r="I909" s="2">
        <v>0</v>
      </c>
      <c r="J909" s="2"/>
      <c r="K909" s="2">
        <v>20</v>
      </c>
      <c r="L909" s="2">
        <v>0</v>
      </c>
      <c r="M909" s="2">
        <v>0</v>
      </c>
      <c r="N909" s="2">
        <v>10</v>
      </c>
      <c r="O909" s="2">
        <v>10</v>
      </c>
      <c r="P909" s="2">
        <v>0</v>
      </c>
      <c r="Q909" s="2" t="s">
        <v>3024</v>
      </c>
      <c r="R909" s="2" t="s">
        <v>3025</v>
      </c>
      <c r="S909" s="4">
        <v>44945</v>
      </c>
    </row>
    <row r="910" spans="1:19" ht="12.5" x14ac:dyDescent="0.25">
      <c r="A910" s="14" t="str">
        <f>HYPERLINK("https://gerandofalcoes.my.salesforce.com/0014X00002YggoVQAR", "0014X00002YggoVQAR")</f>
        <v>0014X00002YggoVQAR</v>
      </c>
      <c r="B910" s="2" t="s">
        <v>3101</v>
      </c>
      <c r="C910" s="2" t="s">
        <v>423</v>
      </c>
      <c r="D910" s="2" t="s">
        <v>2</v>
      </c>
      <c r="E910" s="2"/>
      <c r="F910" s="2">
        <v>0</v>
      </c>
      <c r="G910" s="2">
        <v>4</v>
      </c>
      <c r="H910" s="2">
        <v>300</v>
      </c>
      <c r="I910" s="2">
        <v>30</v>
      </c>
      <c r="J910" s="2"/>
      <c r="K910" s="2">
        <v>20</v>
      </c>
      <c r="L910" s="2">
        <v>0</v>
      </c>
      <c r="M910" s="2">
        <v>0</v>
      </c>
      <c r="N910" s="2">
        <v>10</v>
      </c>
      <c r="O910" s="2">
        <v>5</v>
      </c>
      <c r="P910" s="2">
        <v>5</v>
      </c>
      <c r="Q910" s="2" t="s">
        <v>3102</v>
      </c>
      <c r="R910" s="2" t="s">
        <v>3102</v>
      </c>
      <c r="S910" s="4">
        <v>44948</v>
      </c>
    </row>
    <row r="911" spans="1:19" ht="12.5" x14ac:dyDescent="0.25">
      <c r="A911" s="14" t="str">
        <f>HYPERLINK("https://gerandofalcoes.my.salesforce.com/0014X00002YggjeQAB", "0014X00002YggjeQAB")</f>
        <v>0014X00002YggjeQAB</v>
      </c>
      <c r="B911" s="2" t="s">
        <v>3098</v>
      </c>
      <c r="C911" s="2" t="s">
        <v>423</v>
      </c>
      <c r="D911" s="2" t="s">
        <v>2</v>
      </c>
      <c r="E911" s="2"/>
      <c r="F911" s="2">
        <v>5</v>
      </c>
      <c r="G911" s="2">
        <v>3</v>
      </c>
      <c r="H911" s="2">
        <v>26000</v>
      </c>
      <c r="I911" s="2">
        <v>150</v>
      </c>
      <c r="J911" s="2"/>
      <c r="K911" s="2">
        <v>35</v>
      </c>
      <c r="L911" s="2">
        <v>0</v>
      </c>
      <c r="M911" s="2">
        <v>5</v>
      </c>
      <c r="N911" s="2">
        <v>8</v>
      </c>
      <c r="O911" s="2">
        <v>10</v>
      </c>
      <c r="P911" s="2">
        <v>12</v>
      </c>
      <c r="Q911" s="2" t="s">
        <v>3099</v>
      </c>
      <c r="R911" s="2" t="s">
        <v>3100</v>
      </c>
      <c r="S911" s="4">
        <v>44948</v>
      </c>
    </row>
    <row r="912" spans="1:19" ht="12.5" x14ac:dyDescent="0.25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4"/>
    </row>
    <row r="913" spans="2:19" ht="12.5" x14ac:dyDescent="0.25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4"/>
    </row>
  </sheetData>
  <pageMargins left="0.511811024" right="0.511811024" top="0.78740157499999996" bottom="0.78740157499999996" header="0.31496062000000002" footer="0.31496062000000002"/>
  <pageSetup paperSize="9" orientation="portrait" verticalDpi="597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B0"/>
    <outlinePr summaryBelow="0" summaryRight="0"/>
  </sheetPr>
  <dimension ref="A1:Z913"/>
  <sheetViews>
    <sheetView workbookViewId="0">
      <pane ySplit="2" topLeftCell="A3" activePane="bottomLeft" state="frozen"/>
      <selection pane="bottomLeft" activeCell="B4" sqref="B4"/>
    </sheetView>
  </sheetViews>
  <sheetFormatPr defaultColWidth="12.6328125" defaultRowHeight="15.75" customHeight="1" x14ac:dyDescent="0.25"/>
  <cols>
    <col min="1" max="1" width="20.08984375" customWidth="1"/>
    <col min="2" max="2" width="37.6328125" customWidth="1"/>
    <col min="3" max="3" width="13.08984375" customWidth="1"/>
    <col min="4" max="4" width="16.08984375" customWidth="1"/>
    <col min="5" max="5" width="14.08984375" customWidth="1"/>
    <col min="6" max="6" width="17.08984375" customWidth="1"/>
    <col min="7" max="8" width="19.08984375" customWidth="1"/>
    <col min="9" max="9" width="14.08984375" customWidth="1"/>
    <col min="10" max="10" width="16.36328125" customWidth="1"/>
    <col min="11" max="11" width="11.08984375" customWidth="1"/>
    <col min="12" max="12" width="18.08984375" customWidth="1"/>
    <col min="13" max="13" width="21.08984375" customWidth="1"/>
    <col min="14" max="15" width="23.08984375" customWidth="1"/>
    <col min="16" max="16" width="18.08984375" customWidth="1"/>
    <col min="17" max="18" width="37.6328125" customWidth="1"/>
    <col min="19" max="19" width="30.08984375" customWidth="1"/>
  </cols>
  <sheetData>
    <row r="1" spans="1:26" ht="33.75" customHeight="1" x14ac:dyDescent="0.25">
      <c r="A1" s="17" t="s">
        <v>7169</v>
      </c>
      <c r="B1" s="17" t="s">
        <v>1632</v>
      </c>
      <c r="C1" s="17" t="s">
        <v>1632</v>
      </c>
      <c r="D1" s="17" t="s">
        <v>1632</v>
      </c>
      <c r="E1" s="17" t="s">
        <v>1632</v>
      </c>
      <c r="F1" s="17" t="s">
        <v>1632</v>
      </c>
      <c r="G1" s="17" t="s">
        <v>1632</v>
      </c>
      <c r="H1" s="17" t="s">
        <v>1632</v>
      </c>
      <c r="I1" s="17" t="s">
        <v>1632</v>
      </c>
      <c r="J1" s="17" t="s">
        <v>1632</v>
      </c>
      <c r="K1" s="17" t="s">
        <v>1632</v>
      </c>
      <c r="L1" s="17" t="s">
        <v>1632</v>
      </c>
      <c r="M1" s="17" t="s">
        <v>1632</v>
      </c>
      <c r="N1" s="17" t="s">
        <v>1632</v>
      </c>
      <c r="O1" s="17" t="s">
        <v>1632</v>
      </c>
      <c r="P1" s="17" t="s">
        <v>1632</v>
      </c>
      <c r="Q1" s="17" t="s">
        <v>1632</v>
      </c>
      <c r="R1" s="17" t="s">
        <v>1632</v>
      </c>
      <c r="S1" s="17" t="s">
        <v>1632</v>
      </c>
      <c r="T1" s="17"/>
      <c r="U1" s="17"/>
      <c r="V1" s="17"/>
      <c r="W1" s="17"/>
      <c r="X1" s="17"/>
      <c r="Y1" s="17"/>
      <c r="Z1" s="17"/>
    </row>
    <row r="2" spans="1:26" ht="22.5" customHeight="1" x14ac:dyDescent="0.25">
      <c r="A2" s="15" t="s">
        <v>1633</v>
      </c>
      <c r="B2" s="15" t="s">
        <v>1634</v>
      </c>
      <c r="C2" s="15" t="s">
        <v>1635</v>
      </c>
      <c r="D2" s="15" t="s">
        <v>0</v>
      </c>
      <c r="E2" s="15" t="s">
        <v>1636</v>
      </c>
      <c r="F2" s="15" t="s">
        <v>1637</v>
      </c>
      <c r="G2" s="15" t="s">
        <v>1638</v>
      </c>
      <c r="H2" s="15" t="s">
        <v>1639</v>
      </c>
      <c r="I2" s="15" t="s">
        <v>1640</v>
      </c>
      <c r="J2" s="15" t="s">
        <v>1625</v>
      </c>
      <c r="K2" s="15" t="s">
        <v>1641</v>
      </c>
      <c r="L2" s="15" t="s">
        <v>1642</v>
      </c>
      <c r="M2" s="15" t="s">
        <v>1643</v>
      </c>
      <c r="N2" s="15" t="s">
        <v>1644</v>
      </c>
      <c r="O2" s="15" t="s">
        <v>1645</v>
      </c>
      <c r="P2" s="15" t="s">
        <v>1646</v>
      </c>
      <c r="Q2" s="15" t="s">
        <v>1647</v>
      </c>
      <c r="R2" s="15" t="s">
        <v>387</v>
      </c>
      <c r="S2" s="15" t="s">
        <v>1648</v>
      </c>
      <c r="T2" s="16"/>
      <c r="U2" s="16"/>
      <c r="V2" s="16"/>
      <c r="W2" s="16"/>
      <c r="X2" s="16"/>
      <c r="Y2" s="16"/>
      <c r="Z2" s="16"/>
    </row>
    <row r="3" spans="1:26" ht="12.5" x14ac:dyDescent="0.25">
      <c r="A3" s="14" t="str">
        <f>HYPERLINK("https://gerandofalcoes.my.salesforce.com/0014X00002YgglYQAR", "0014X00002YgglYQAR")</f>
        <v>0014X00002YgglYQAR</v>
      </c>
      <c r="B3" s="2" t="s">
        <v>3154</v>
      </c>
      <c r="C3" s="2" t="s">
        <v>423</v>
      </c>
      <c r="D3" s="2" t="s">
        <v>2</v>
      </c>
      <c r="E3" s="2"/>
      <c r="F3" s="2">
        <v>0</v>
      </c>
      <c r="G3" s="2">
        <v>2</v>
      </c>
      <c r="H3" s="2">
        <v>5000</v>
      </c>
      <c r="I3" s="2">
        <v>30</v>
      </c>
      <c r="J3" s="2"/>
      <c r="K3" s="2">
        <v>16</v>
      </c>
      <c r="L3" s="2">
        <v>0</v>
      </c>
      <c r="M3" s="2">
        <v>0</v>
      </c>
      <c r="N3" s="2">
        <v>6</v>
      </c>
      <c r="O3" s="2">
        <v>5</v>
      </c>
      <c r="P3" s="2">
        <v>5</v>
      </c>
      <c r="Q3" s="2" t="s">
        <v>3155</v>
      </c>
      <c r="R3" s="2" t="s">
        <v>3156</v>
      </c>
      <c r="S3" s="4">
        <v>44950</v>
      </c>
    </row>
    <row r="4" spans="1:26" ht="12.5" x14ac:dyDescent="0.25">
      <c r="A4" s="14" t="str">
        <f>HYPERLINK("https://gerandofalcoes.my.salesforce.com/0014X00002YgglpQAB", "0014X00002YgglpQAB")</f>
        <v>0014X00002YgglpQAB</v>
      </c>
      <c r="B4" s="2" t="s">
        <v>3360</v>
      </c>
      <c r="C4" s="2" t="s">
        <v>423</v>
      </c>
      <c r="D4" s="2" t="s">
        <v>2</v>
      </c>
      <c r="E4" s="2"/>
      <c r="F4" s="2">
        <v>24</v>
      </c>
      <c r="G4" s="2">
        <v>8</v>
      </c>
      <c r="H4" s="2">
        <v>12828162</v>
      </c>
      <c r="I4" s="2">
        <v>60</v>
      </c>
      <c r="J4" s="2"/>
      <c r="K4" s="2">
        <v>52</v>
      </c>
      <c r="L4" s="2">
        <v>0</v>
      </c>
      <c r="M4" s="2">
        <v>12</v>
      </c>
      <c r="N4" s="2">
        <v>10</v>
      </c>
      <c r="O4" s="2">
        <v>25</v>
      </c>
      <c r="P4" s="2">
        <v>5</v>
      </c>
      <c r="Q4" s="2" t="s">
        <v>3361</v>
      </c>
      <c r="R4" s="2" t="s">
        <v>3362</v>
      </c>
      <c r="S4" s="4">
        <v>44953</v>
      </c>
    </row>
    <row r="5" spans="1:26" ht="12.5" x14ac:dyDescent="0.25">
      <c r="A5" s="14" t="str">
        <f>HYPERLINK("https://gerandofalcoes.my.salesforce.com/0014X00002YggmKQAR", "0014X00002YggmKQAR")</f>
        <v>0014X00002YggmKQAR</v>
      </c>
      <c r="B5" s="2" t="s">
        <v>3043</v>
      </c>
      <c r="C5" s="2" t="s">
        <v>423</v>
      </c>
      <c r="D5" s="2" t="s">
        <v>2</v>
      </c>
      <c r="E5" s="2"/>
      <c r="F5" s="2">
        <v>0</v>
      </c>
      <c r="G5" s="2">
        <v>2</v>
      </c>
      <c r="H5" s="2">
        <v>10000</v>
      </c>
      <c r="I5" s="2">
        <v>0</v>
      </c>
      <c r="J5" s="2"/>
      <c r="K5" s="2">
        <v>11</v>
      </c>
      <c r="L5" s="2">
        <v>0</v>
      </c>
      <c r="M5" s="2">
        <v>0</v>
      </c>
      <c r="N5" s="2">
        <v>6</v>
      </c>
      <c r="O5" s="2">
        <v>5</v>
      </c>
      <c r="P5" s="2">
        <v>0</v>
      </c>
      <c r="Q5" s="2" t="s">
        <v>3044</v>
      </c>
      <c r="R5" s="2" t="s">
        <v>3044</v>
      </c>
      <c r="S5" s="4">
        <v>44945</v>
      </c>
    </row>
    <row r="6" spans="1:26" ht="12.5" x14ac:dyDescent="0.25">
      <c r="A6" s="14" t="str">
        <f>HYPERLINK("https://gerandofalcoes.my.salesforce.com/0014X00002YggjdQAB", "0014X00002YggjdQAB")</f>
        <v>0014X00002YggjdQAB</v>
      </c>
      <c r="B6" s="2" t="s">
        <v>3085</v>
      </c>
      <c r="C6" s="2" t="s">
        <v>423</v>
      </c>
      <c r="D6" s="2" t="s">
        <v>2</v>
      </c>
      <c r="E6" s="2"/>
      <c r="F6" s="2">
        <v>3</v>
      </c>
      <c r="G6" s="2">
        <v>2</v>
      </c>
      <c r="H6" s="2">
        <v>1000</v>
      </c>
      <c r="I6" s="2">
        <v>30</v>
      </c>
      <c r="J6" s="2"/>
      <c r="K6" s="2">
        <v>21</v>
      </c>
      <c r="L6" s="2">
        <v>0</v>
      </c>
      <c r="M6" s="2">
        <v>5</v>
      </c>
      <c r="N6" s="2">
        <v>6</v>
      </c>
      <c r="O6" s="2">
        <v>5</v>
      </c>
      <c r="P6" s="2">
        <v>5</v>
      </c>
      <c r="Q6" s="2" t="s">
        <v>3086</v>
      </c>
      <c r="R6" s="2" t="s">
        <v>3086</v>
      </c>
      <c r="S6" s="4">
        <v>44946</v>
      </c>
    </row>
    <row r="7" spans="1:26" ht="12.5" x14ac:dyDescent="0.25">
      <c r="A7" s="14" t="str">
        <f>HYPERLINK("https://gerandofalcoes.my.salesforce.com/0014X00002YgggRQAR", "0014X00002YgggRQAR")</f>
        <v>0014X00002YgggRQAR</v>
      </c>
      <c r="B7" s="2" t="s">
        <v>3738</v>
      </c>
      <c r="C7" s="2" t="s">
        <v>423</v>
      </c>
      <c r="D7" s="2" t="s">
        <v>2</v>
      </c>
      <c r="E7" s="2"/>
      <c r="F7" s="2">
        <v>200</v>
      </c>
      <c r="G7" s="2">
        <v>5</v>
      </c>
      <c r="H7" s="2">
        <v>1000</v>
      </c>
      <c r="I7" s="2">
        <v>100</v>
      </c>
      <c r="J7" s="2"/>
      <c r="K7" s="2">
        <v>40</v>
      </c>
      <c r="L7" s="2">
        <v>0</v>
      </c>
      <c r="M7" s="2">
        <v>15</v>
      </c>
      <c r="N7" s="2">
        <v>10</v>
      </c>
      <c r="O7" s="2">
        <v>5</v>
      </c>
      <c r="P7" s="2">
        <v>10</v>
      </c>
      <c r="Q7" s="2" t="s">
        <v>3739</v>
      </c>
      <c r="R7" s="2" t="s">
        <v>3739</v>
      </c>
      <c r="S7" s="4">
        <v>44967</v>
      </c>
    </row>
    <row r="8" spans="1:26" ht="12.5" x14ac:dyDescent="0.25">
      <c r="A8" s="14" t="str">
        <f>HYPERLINK("https://gerandofalcoes.my.salesforce.com/0014X00002YggkfQAB", "0014X00002YggkfQAB")</f>
        <v>0014X00002YggkfQAB</v>
      </c>
      <c r="B8" s="2" t="s">
        <v>3006</v>
      </c>
      <c r="C8" s="2" t="s">
        <v>423</v>
      </c>
      <c r="D8" s="2" t="s">
        <v>2</v>
      </c>
      <c r="E8" s="2"/>
      <c r="F8" s="2">
        <v>8</v>
      </c>
      <c r="G8" s="2">
        <v>2</v>
      </c>
      <c r="H8" s="2">
        <v>700</v>
      </c>
      <c r="I8" s="2">
        <v>400</v>
      </c>
      <c r="J8" s="2"/>
      <c r="K8" s="2">
        <v>36</v>
      </c>
      <c r="L8" s="2">
        <v>0</v>
      </c>
      <c r="M8" s="2">
        <v>10</v>
      </c>
      <c r="N8" s="2">
        <v>6</v>
      </c>
      <c r="O8" s="2">
        <v>5</v>
      </c>
      <c r="P8" s="2">
        <v>15</v>
      </c>
      <c r="Q8" s="2" t="s">
        <v>3007</v>
      </c>
      <c r="R8" s="2" t="s">
        <v>3007</v>
      </c>
      <c r="S8" s="4">
        <v>44944</v>
      </c>
    </row>
    <row r="9" spans="1:26" ht="12.5" x14ac:dyDescent="0.25">
      <c r="A9" s="14" t="str">
        <f>HYPERLINK("https://gerandofalcoes.my.salesforce.com/0014X00002YggibQAB", "0014X00002YggibQAB")</f>
        <v>0014X00002YggibQAB</v>
      </c>
      <c r="B9" s="2" t="s">
        <v>3026</v>
      </c>
      <c r="C9" s="2" t="s">
        <v>423</v>
      </c>
      <c r="D9" s="2" t="s">
        <v>2</v>
      </c>
      <c r="E9" s="2"/>
      <c r="F9" s="2">
        <v>0</v>
      </c>
      <c r="G9" s="2">
        <v>6</v>
      </c>
      <c r="H9" s="2">
        <v>8000</v>
      </c>
      <c r="I9" s="2">
        <v>16</v>
      </c>
      <c r="J9" s="2"/>
      <c r="K9" s="2">
        <v>20</v>
      </c>
      <c r="L9" s="2">
        <v>0</v>
      </c>
      <c r="M9" s="2">
        <v>0</v>
      </c>
      <c r="N9" s="2">
        <v>10</v>
      </c>
      <c r="O9" s="2">
        <v>5</v>
      </c>
      <c r="P9" s="2">
        <v>5</v>
      </c>
      <c r="Q9" s="2" t="s">
        <v>3027</v>
      </c>
      <c r="R9" s="2" t="s">
        <v>3027</v>
      </c>
      <c r="S9" s="4">
        <v>44945</v>
      </c>
    </row>
    <row r="10" spans="1:26" ht="12.5" x14ac:dyDescent="0.25">
      <c r="A10" s="14" t="str">
        <f>HYPERLINK("https://gerandofalcoes.my.salesforce.com/0014X00002YggpnQAB", "0014X00002YggpnQAB")</f>
        <v>0014X00002YggpnQAB</v>
      </c>
      <c r="B10" s="2" t="s">
        <v>3128</v>
      </c>
      <c r="C10" s="2" t="s">
        <v>423</v>
      </c>
      <c r="D10" s="2" t="s">
        <v>2</v>
      </c>
      <c r="E10" s="2"/>
      <c r="F10" s="2">
        <v>0</v>
      </c>
      <c r="G10" s="2">
        <v>2</v>
      </c>
      <c r="H10" s="2">
        <v>2000</v>
      </c>
      <c r="I10" s="2">
        <v>90</v>
      </c>
      <c r="J10" s="2"/>
      <c r="K10" s="2">
        <v>21</v>
      </c>
      <c r="L10" s="2">
        <v>0</v>
      </c>
      <c r="M10" s="2">
        <v>0</v>
      </c>
      <c r="N10" s="2">
        <v>6</v>
      </c>
      <c r="O10" s="2">
        <v>5</v>
      </c>
      <c r="P10" s="2">
        <v>10</v>
      </c>
      <c r="Q10" s="2" t="s">
        <v>3129</v>
      </c>
      <c r="R10" s="2" t="s">
        <v>3129</v>
      </c>
      <c r="S10" s="4">
        <v>44949</v>
      </c>
    </row>
    <row r="11" spans="1:26" ht="12.5" x14ac:dyDescent="0.25">
      <c r="A11" s="14" t="str">
        <f>HYPERLINK("https://gerandofalcoes.my.salesforce.com/0014X00002Yggp5QAB", "0014X00002Yggp5QAB")</f>
        <v>0014X00002Yggp5QAB</v>
      </c>
      <c r="B11" s="2" t="s">
        <v>3050</v>
      </c>
      <c r="C11" s="2" t="s">
        <v>423</v>
      </c>
      <c r="D11" s="2" t="s">
        <v>2</v>
      </c>
      <c r="E11" s="2"/>
      <c r="F11" s="2">
        <v>0</v>
      </c>
      <c r="G11" s="2">
        <v>2</v>
      </c>
      <c r="H11" s="2">
        <v>0</v>
      </c>
      <c r="I11" s="2">
        <v>0</v>
      </c>
      <c r="J11" s="2"/>
      <c r="K11" s="2">
        <v>6</v>
      </c>
      <c r="L11" s="2">
        <v>0</v>
      </c>
      <c r="M11" s="2">
        <v>0</v>
      </c>
      <c r="N11" s="2">
        <v>6</v>
      </c>
      <c r="O11" s="2">
        <v>0</v>
      </c>
      <c r="P11" s="2">
        <v>0</v>
      </c>
      <c r="Q11" s="2" t="s">
        <v>3051</v>
      </c>
      <c r="R11" s="2" t="s">
        <v>3052</v>
      </c>
      <c r="S11" s="4">
        <v>44946</v>
      </c>
    </row>
    <row r="12" spans="1:26" ht="12.5" x14ac:dyDescent="0.25">
      <c r="A12" s="14" t="str">
        <f>HYPERLINK("https://gerandofalcoes.my.salesforce.com/0014X00002YgggwQAB", "0014X00002YgggwQAB")</f>
        <v>0014X00002YgggwQAB</v>
      </c>
      <c r="B12" s="2" t="s">
        <v>3106</v>
      </c>
      <c r="C12" s="2" t="s">
        <v>423</v>
      </c>
      <c r="D12" s="2" t="s">
        <v>2</v>
      </c>
      <c r="E12" s="2"/>
      <c r="F12" s="2">
        <v>0</v>
      </c>
      <c r="G12" s="2">
        <v>3</v>
      </c>
      <c r="H12" s="2">
        <v>1000</v>
      </c>
      <c r="I12" s="2">
        <v>0</v>
      </c>
      <c r="J12" s="2"/>
      <c r="K12" s="2">
        <v>13</v>
      </c>
      <c r="L12" s="2">
        <v>0</v>
      </c>
      <c r="M12" s="2">
        <v>0</v>
      </c>
      <c r="N12" s="2">
        <v>8</v>
      </c>
      <c r="O12" s="2">
        <v>5</v>
      </c>
      <c r="P12" s="2">
        <v>0</v>
      </c>
      <c r="Q12" s="2" t="s">
        <v>3107</v>
      </c>
      <c r="R12" s="2" t="s">
        <v>3108</v>
      </c>
      <c r="S12" s="4">
        <v>44948</v>
      </c>
    </row>
    <row r="13" spans="1:26" ht="12.5" x14ac:dyDescent="0.25">
      <c r="A13" s="14" t="str">
        <f>HYPERLINK("https://gerandofalcoes.my.salesforce.com/0014X00002YgghdQAB", "0014X00002YgghdQAB")</f>
        <v>0014X00002YgghdQAB</v>
      </c>
      <c r="B13" s="2" t="s">
        <v>3163</v>
      </c>
      <c r="C13" s="2" t="s">
        <v>423</v>
      </c>
      <c r="D13" s="2" t="s">
        <v>2</v>
      </c>
      <c r="E13" s="2"/>
      <c r="F13" s="2">
        <v>0</v>
      </c>
      <c r="G13" s="2">
        <v>4</v>
      </c>
      <c r="H13" s="2">
        <v>2000</v>
      </c>
      <c r="I13" s="2">
        <v>300</v>
      </c>
      <c r="J13" s="2"/>
      <c r="K13" s="2">
        <v>30</v>
      </c>
      <c r="L13" s="2">
        <v>0</v>
      </c>
      <c r="M13" s="2">
        <v>0</v>
      </c>
      <c r="N13" s="2">
        <v>10</v>
      </c>
      <c r="O13" s="2">
        <v>5</v>
      </c>
      <c r="P13" s="2">
        <v>15</v>
      </c>
      <c r="Q13" s="2" t="s">
        <v>3164</v>
      </c>
      <c r="R13" s="2" t="s">
        <v>3165</v>
      </c>
      <c r="S13" s="4">
        <v>44950</v>
      </c>
    </row>
    <row r="14" spans="1:26" ht="12.5" x14ac:dyDescent="0.25">
      <c r="A14" s="14" t="str">
        <f>HYPERLINK("https://gerandofalcoes.my.salesforce.com/0014X00002YggpMQAR", "0014X00002YggpMQAR")</f>
        <v>0014X00002YggpMQAR</v>
      </c>
      <c r="B14" s="2" t="s">
        <v>3261</v>
      </c>
      <c r="C14" s="2" t="s">
        <v>423</v>
      </c>
      <c r="D14" s="2" t="s">
        <v>2</v>
      </c>
      <c r="E14" s="2"/>
      <c r="F14" s="2">
        <v>0</v>
      </c>
      <c r="G14" s="2">
        <v>5</v>
      </c>
      <c r="H14" s="2">
        <v>2000</v>
      </c>
      <c r="I14" s="2">
        <v>15</v>
      </c>
      <c r="J14" s="2"/>
      <c r="K14" s="2">
        <v>20</v>
      </c>
      <c r="L14" s="2">
        <v>0</v>
      </c>
      <c r="M14" s="2">
        <v>0</v>
      </c>
      <c r="N14" s="2">
        <v>10</v>
      </c>
      <c r="O14" s="2">
        <v>5</v>
      </c>
      <c r="P14" s="2">
        <v>5</v>
      </c>
      <c r="Q14" s="2" t="s">
        <v>3262</v>
      </c>
      <c r="R14" s="2" t="s">
        <v>3262</v>
      </c>
      <c r="S14" s="4">
        <v>44952</v>
      </c>
    </row>
    <row r="15" spans="1:26" ht="12.5" x14ac:dyDescent="0.25">
      <c r="A15" s="14" t="str">
        <f>HYPERLINK("https://gerandofalcoes.my.salesforce.com/0014X00002YggoAQAR", "0014X00002YggoAQAR")</f>
        <v>0014X00002YggoAQAR</v>
      </c>
      <c r="B15" s="2" t="s">
        <v>3377</v>
      </c>
      <c r="C15" s="2" t="s">
        <v>423</v>
      </c>
      <c r="D15" s="2" t="s">
        <v>2</v>
      </c>
      <c r="E15" s="2"/>
      <c r="F15" s="2">
        <v>0</v>
      </c>
      <c r="G15" s="2">
        <v>310</v>
      </c>
      <c r="H15" s="2">
        <v>3000</v>
      </c>
      <c r="I15" s="2">
        <v>0</v>
      </c>
      <c r="J15" s="2"/>
      <c r="K15" s="2">
        <v>15</v>
      </c>
      <c r="L15" s="2">
        <v>0</v>
      </c>
      <c r="M15" s="2">
        <v>0</v>
      </c>
      <c r="N15" s="2">
        <v>10</v>
      </c>
      <c r="O15" s="2">
        <v>5</v>
      </c>
      <c r="P15" s="2">
        <v>0</v>
      </c>
      <c r="Q15" s="2" t="s">
        <v>3378</v>
      </c>
      <c r="R15" s="2" t="s">
        <v>3378</v>
      </c>
      <c r="S15" s="4">
        <v>44953</v>
      </c>
    </row>
    <row r="16" spans="1:26" ht="12.5" x14ac:dyDescent="0.25">
      <c r="A16" s="14" t="str">
        <f>HYPERLINK("https://gerandofalcoes.my.salesforce.com/0014X00002Yggj6QAB", "0014X00002Yggj6QAB")</f>
        <v>0014X00002Yggj6QAB</v>
      </c>
      <c r="B16" s="2" t="s">
        <v>3535</v>
      </c>
      <c r="C16" s="2" t="s">
        <v>423</v>
      </c>
      <c r="D16" s="2" t="s">
        <v>2</v>
      </c>
      <c r="E16" s="2"/>
      <c r="F16" s="2">
        <v>1</v>
      </c>
      <c r="G16" s="2">
        <v>2</v>
      </c>
      <c r="H16" s="2">
        <v>4000</v>
      </c>
      <c r="I16" s="2">
        <v>50</v>
      </c>
      <c r="J16" s="2"/>
      <c r="K16" s="2">
        <v>21</v>
      </c>
      <c r="L16" s="2">
        <v>0</v>
      </c>
      <c r="M16" s="2">
        <v>5</v>
      </c>
      <c r="N16" s="2">
        <v>6</v>
      </c>
      <c r="O16" s="2">
        <v>5</v>
      </c>
      <c r="P16" s="2">
        <v>5</v>
      </c>
      <c r="Q16" s="2" t="s">
        <v>3536</v>
      </c>
      <c r="R16" s="2" t="s">
        <v>3536</v>
      </c>
      <c r="S16" s="4">
        <v>44959</v>
      </c>
    </row>
    <row r="17" spans="1:19" ht="12.5" x14ac:dyDescent="0.25">
      <c r="A17" s="14" t="str">
        <f>HYPERLINK("https://gerandofalcoes.my.salesforce.com/0014X00002YggmUQAR", "0014X00002YggmUQAR")</f>
        <v>0014X00002YggmUQAR</v>
      </c>
      <c r="B17" s="2" t="s">
        <v>3160</v>
      </c>
      <c r="C17" s="2" t="s">
        <v>423</v>
      </c>
      <c r="D17" s="2" t="s">
        <v>2</v>
      </c>
      <c r="E17" s="2"/>
      <c r="F17" s="2">
        <v>2</v>
      </c>
      <c r="G17" s="2">
        <v>2</v>
      </c>
      <c r="H17" s="2">
        <v>24750</v>
      </c>
      <c r="I17" s="2">
        <v>190</v>
      </c>
      <c r="J17" s="2"/>
      <c r="K17" s="2">
        <v>28</v>
      </c>
      <c r="L17" s="2">
        <v>0</v>
      </c>
      <c r="M17" s="2">
        <v>5</v>
      </c>
      <c r="N17" s="2">
        <v>6</v>
      </c>
      <c r="O17" s="2">
        <v>5</v>
      </c>
      <c r="P17" s="2">
        <v>12</v>
      </c>
      <c r="Q17" s="2" t="s">
        <v>3161</v>
      </c>
      <c r="R17" s="2" t="s">
        <v>3162</v>
      </c>
      <c r="S17" s="4">
        <v>44950</v>
      </c>
    </row>
    <row r="18" spans="1:19" ht="12.5" x14ac:dyDescent="0.25">
      <c r="A18" s="14" t="str">
        <f>HYPERLINK("https://gerandofalcoes.my.salesforce.com/0014X00002YgbktQAB", "0014X00002YgbktQAB")</f>
        <v>0014X00002YgbktQAB</v>
      </c>
      <c r="B18" s="2" t="s">
        <v>3787</v>
      </c>
      <c r="C18" s="2" t="s">
        <v>423</v>
      </c>
      <c r="D18" s="2" t="s">
        <v>2</v>
      </c>
      <c r="E18" s="2"/>
      <c r="F18" s="2">
        <v>0</v>
      </c>
      <c r="G18" s="2">
        <v>0</v>
      </c>
      <c r="H18" s="2">
        <v>0</v>
      </c>
      <c r="I18" s="2">
        <v>0</v>
      </c>
      <c r="J18" s="2"/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 t="s">
        <v>3788</v>
      </c>
      <c r="R18" s="2" t="s">
        <v>3788</v>
      </c>
      <c r="S18" s="4">
        <v>44968</v>
      </c>
    </row>
    <row r="19" spans="1:19" ht="12.5" x14ac:dyDescent="0.25">
      <c r="A19" s="14" t="str">
        <f>HYPERLINK("https://gerandofalcoes.my.salesforce.com/0014X00002YggnjQAB", "0014X00002YggnjQAB")</f>
        <v>0014X00002YggnjQAB</v>
      </c>
      <c r="B19" s="2" t="s">
        <v>3346</v>
      </c>
      <c r="C19" s="2" t="s">
        <v>423</v>
      </c>
      <c r="D19" s="2" t="s">
        <v>2</v>
      </c>
      <c r="E19" s="2"/>
      <c r="F19" s="2">
        <v>9</v>
      </c>
      <c r="G19" s="2">
        <v>3</v>
      </c>
      <c r="H19" s="2">
        <v>2500</v>
      </c>
      <c r="I19" s="2">
        <v>120</v>
      </c>
      <c r="J19" s="2"/>
      <c r="K19" s="2">
        <v>33</v>
      </c>
      <c r="L19" s="2">
        <v>0</v>
      </c>
      <c r="M19" s="2">
        <v>10</v>
      </c>
      <c r="N19" s="2">
        <v>8</v>
      </c>
      <c r="O19" s="2">
        <v>5</v>
      </c>
      <c r="P19" s="2">
        <v>10</v>
      </c>
      <c r="Q19" s="2" t="s">
        <v>3347</v>
      </c>
      <c r="R19" s="2" t="s">
        <v>3348</v>
      </c>
      <c r="S19" s="4">
        <v>44953</v>
      </c>
    </row>
    <row r="20" spans="1:19" ht="12.5" x14ac:dyDescent="0.25">
      <c r="A20" s="14" t="str">
        <f>HYPERLINK("https://gerandofalcoes.my.salesforce.com/0014X00002YgggEQAR", "0014X00002YgggEQAR")</f>
        <v>0014X00002YgggEQAR</v>
      </c>
      <c r="B20" s="2" t="s">
        <v>3008</v>
      </c>
      <c r="C20" s="2" t="s">
        <v>423</v>
      </c>
      <c r="D20" s="2" t="s">
        <v>2</v>
      </c>
      <c r="E20" s="2"/>
      <c r="F20" s="2">
        <v>112</v>
      </c>
      <c r="G20" s="2">
        <v>3</v>
      </c>
      <c r="H20" s="2">
        <v>6</v>
      </c>
      <c r="I20" s="2">
        <v>50</v>
      </c>
      <c r="J20" s="2"/>
      <c r="K20" s="2">
        <v>33</v>
      </c>
      <c r="L20" s="2">
        <v>0</v>
      </c>
      <c r="M20" s="2">
        <v>15</v>
      </c>
      <c r="N20" s="2">
        <v>8</v>
      </c>
      <c r="O20" s="2">
        <v>5</v>
      </c>
      <c r="P20" s="2">
        <v>5</v>
      </c>
      <c r="Q20" s="2" t="s">
        <v>3009</v>
      </c>
      <c r="R20" s="2" t="s">
        <v>3010</v>
      </c>
      <c r="S20" s="4">
        <v>44944</v>
      </c>
    </row>
    <row r="21" spans="1:19" ht="12.5" x14ac:dyDescent="0.25">
      <c r="A21" s="14" t="str">
        <f>HYPERLINK("https://gerandofalcoes.my.salesforce.com/0014X00002YggmgQAB", "0014X00002YggmgQAB")</f>
        <v>0014X00002YggmgQAB</v>
      </c>
      <c r="B21" s="2" t="s">
        <v>3005</v>
      </c>
      <c r="C21" s="2" t="s">
        <v>423</v>
      </c>
      <c r="D21" s="2" t="s">
        <v>2</v>
      </c>
      <c r="E21" s="2"/>
      <c r="F21" s="2">
        <v>0</v>
      </c>
      <c r="G21" s="2">
        <v>4</v>
      </c>
      <c r="H21" s="2">
        <v>600</v>
      </c>
      <c r="I21" s="2">
        <v>150</v>
      </c>
      <c r="J21" s="2"/>
      <c r="K21" s="2">
        <v>27</v>
      </c>
      <c r="L21" s="2">
        <v>0</v>
      </c>
      <c r="M21" s="2">
        <v>0</v>
      </c>
      <c r="N21" s="2">
        <v>10</v>
      </c>
      <c r="O21" s="2">
        <v>5</v>
      </c>
      <c r="P21" s="2">
        <v>12</v>
      </c>
      <c r="Q21" s="2" t="s">
        <v>2987</v>
      </c>
      <c r="R21" s="2" t="s">
        <v>2987</v>
      </c>
      <c r="S21" s="4">
        <v>44944</v>
      </c>
    </row>
    <row r="22" spans="1:19" ht="12.5" x14ac:dyDescent="0.25">
      <c r="A22" s="14" t="str">
        <f>HYPERLINK("https://gerandofalcoes.my.salesforce.com/0014X00002YggiuQAB", "0014X00002YggiuQAB")</f>
        <v>0014X00002YggiuQAB</v>
      </c>
      <c r="B22" s="2" t="s">
        <v>3031</v>
      </c>
      <c r="C22" s="2" t="s">
        <v>423</v>
      </c>
      <c r="D22" s="2" t="s">
        <v>2</v>
      </c>
      <c r="E22" s="2"/>
      <c r="F22" s="2">
        <v>0</v>
      </c>
      <c r="G22" s="2">
        <v>2</v>
      </c>
      <c r="H22" s="2">
        <v>7000</v>
      </c>
      <c r="I22" s="2">
        <v>100</v>
      </c>
      <c r="J22" s="2"/>
      <c r="K22" s="2">
        <v>21</v>
      </c>
      <c r="L22" s="2">
        <v>0</v>
      </c>
      <c r="M22" s="2">
        <v>0</v>
      </c>
      <c r="N22" s="2">
        <v>6</v>
      </c>
      <c r="O22" s="2">
        <v>5</v>
      </c>
      <c r="P22" s="2">
        <v>10</v>
      </c>
      <c r="Q22" s="2" t="s">
        <v>3032</v>
      </c>
      <c r="R22" s="2" t="s">
        <v>3032</v>
      </c>
      <c r="S22" s="4">
        <v>44945</v>
      </c>
    </row>
    <row r="23" spans="1:19" ht="12.5" x14ac:dyDescent="0.25">
      <c r="A23" s="14" t="str">
        <f>HYPERLINK("https://gerandofalcoes.my.salesforce.com/0014X00002YggiXQAR", "0014X00002YggiXQAR")</f>
        <v>0014X00002YggiXQAR</v>
      </c>
      <c r="B23" s="2" t="s">
        <v>3114</v>
      </c>
      <c r="C23" s="2" t="s">
        <v>423</v>
      </c>
      <c r="D23" s="2" t="s">
        <v>2</v>
      </c>
      <c r="E23" s="2"/>
      <c r="F23" s="2">
        <v>1</v>
      </c>
      <c r="G23" s="2">
        <v>3</v>
      </c>
      <c r="H23" s="2">
        <v>24000</v>
      </c>
      <c r="I23" s="2">
        <v>64</v>
      </c>
      <c r="J23" s="2"/>
      <c r="K23" s="2">
        <v>23</v>
      </c>
      <c r="L23" s="2">
        <v>0</v>
      </c>
      <c r="M23" s="2">
        <v>5</v>
      </c>
      <c r="N23" s="2">
        <v>8</v>
      </c>
      <c r="O23" s="2">
        <v>5</v>
      </c>
      <c r="P23" s="2">
        <v>5</v>
      </c>
      <c r="Q23" s="2" t="s">
        <v>3115</v>
      </c>
      <c r="R23" s="2" t="s">
        <v>3116</v>
      </c>
      <c r="S23" s="4">
        <v>44949</v>
      </c>
    </row>
    <row r="24" spans="1:19" ht="12.5" x14ac:dyDescent="0.25">
      <c r="A24" s="14" t="str">
        <f>HYPERLINK("https://gerandofalcoes.my.salesforce.com/0014X00002Yggo3QAB", "0014X00002Yggo3QAB")</f>
        <v>0014X00002Yggo3QAB</v>
      </c>
      <c r="B24" s="2" t="s">
        <v>3103</v>
      </c>
      <c r="C24" s="2" t="s">
        <v>423</v>
      </c>
      <c r="D24" s="2" t="s">
        <v>2</v>
      </c>
      <c r="E24" s="2"/>
      <c r="F24" s="2">
        <v>0</v>
      </c>
      <c r="G24" s="2">
        <v>2</v>
      </c>
      <c r="H24" s="2">
        <v>10000</v>
      </c>
      <c r="I24" s="2">
        <v>0</v>
      </c>
      <c r="J24" s="2"/>
      <c r="K24" s="2">
        <v>11</v>
      </c>
      <c r="L24" s="2">
        <v>0</v>
      </c>
      <c r="M24" s="2">
        <v>0</v>
      </c>
      <c r="N24" s="2">
        <v>6</v>
      </c>
      <c r="O24" s="2">
        <v>5</v>
      </c>
      <c r="P24" s="2">
        <v>0</v>
      </c>
      <c r="Q24" s="2" t="s">
        <v>3104</v>
      </c>
      <c r="R24" s="2" t="s">
        <v>3105</v>
      </c>
      <c r="S24" s="4">
        <v>44948</v>
      </c>
    </row>
    <row r="25" spans="1:19" ht="12.5" x14ac:dyDescent="0.25">
      <c r="A25" s="14" t="str">
        <f>HYPERLINK("https://gerandofalcoes.my.salesforce.com/0014X00002YggmXQAR", "0014X00002YggmXQAR")</f>
        <v>0014X00002YggmXQAR</v>
      </c>
      <c r="B25" s="2" t="s">
        <v>3056</v>
      </c>
      <c r="C25" s="2" t="s">
        <v>423</v>
      </c>
      <c r="D25" s="2" t="s">
        <v>2</v>
      </c>
      <c r="E25" s="2"/>
      <c r="F25" s="2">
        <v>0</v>
      </c>
      <c r="G25" s="2">
        <v>2</v>
      </c>
      <c r="H25" s="2">
        <v>1000</v>
      </c>
      <c r="I25" s="2">
        <v>73</v>
      </c>
      <c r="J25" s="2"/>
      <c r="K25" s="2">
        <v>16</v>
      </c>
      <c r="L25" s="2">
        <v>0</v>
      </c>
      <c r="M25" s="2">
        <v>0</v>
      </c>
      <c r="N25" s="2">
        <v>6</v>
      </c>
      <c r="O25" s="2">
        <v>5</v>
      </c>
      <c r="P25" s="2">
        <v>5</v>
      </c>
      <c r="Q25" s="2" t="s">
        <v>3057</v>
      </c>
      <c r="R25" s="2" t="s">
        <v>3058</v>
      </c>
      <c r="S25" s="4">
        <v>44946</v>
      </c>
    </row>
    <row r="26" spans="1:19" ht="12.5" x14ac:dyDescent="0.25">
      <c r="A26" s="14" t="str">
        <f>HYPERLINK("https://gerandofalcoes.my.salesforce.com/0014X00002YggpVQAR", "0014X00002YggpVQAR")</f>
        <v>0014X00002YggpVQAR</v>
      </c>
      <c r="B26" s="2" t="s">
        <v>3072</v>
      </c>
      <c r="C26" s="2" t="s">
        <v>423</v>
      </c>
      <c r="D26" s="2" t="s">
        <v>2</v>
      </c>
      <c r="E26" s="2"/>
      <c r="F26" s="2">
        <v>0</v>
      </c>
      <c r="G26" s="2">
        <v>2</v>
      </c>
      <c r="H26" s="2">
        <v>13000</v>
      </c>
      <c r="I26" s="2">
        <v>190</v>
      </c>
      <c r="J26" s="2"/>
      <c r="K26" s="2">
        <v>23</v>
      </c>
      <c r="L26" s="2">
        <v>0</v>
      </c>
      <c r="M26" s="2">
        <v>0</v>
      </c>
      <c r="N26" s="2">
        <v>6</v>
      </c>
      <c r="O26" s="2">
        <v>5</v>
      </c>
      <c r="P26" s="2">
        <v>12</v>
      </c>
      <c r="Q26" s="2" t="s">
        <v>3073</v>
      </c>
      <c r="R26" s="2" t="s">
        <v>3074</v>
      </c>
      <c r="S26" s="4">
        <v>44946</v>
      </c>
    </row>
    <row r="27" spans="1:19" ht="12.5" x14ac:dyDescent="0.25">
      <c r="A27" s="14" t="str">
        <f>HYPERLINK("https://gerandofalcoes.my.salesforce.com/0014X00002YggqMQAR", "0014X00002YggqMQAR")</f>
        <v>0014X00002YggqMQAR</v>
      </c>
      <c r="B27" s="2" t="s">
        <v>3045</v>
      </c>
      <c r="C27" s="2" t="s">
        <v>423</v>
      </c>
      <c r="D27" s="2" t="s">
        <v>2</v>
      </c>
      <c r="E27" s="2"/>
      <c r="F27" s="2">
        <v>0</v>
      </c>
      <c r="G27" s="2">
        <v>2</v>
      </c>
      <c r="H27" s="2">
        <v>0</v>
      </c>
      <c r="I27" s="2">
        <v>0</v>
      </c>
      <c r="J27" s="2"/>
      <c r="K27" s="2">
        <v>6</v>
      </c>
      <c r="L27" s="2">
        <v>0</v>
      </c>
      <c r="M27" s="2">
        <v>0</v>
      </c>
      <c r="N27" s="2">
        <v>6</v>
      </c>
      <c r="O27" s="2">
        <v>0</v>
      </c>
      <c r="P27" s="2">
        <v>0</v>
      </c>
      <c r="Q27" s="2" t="s">
        <v>3046</v>
      </c>
      <c r="R27" s="2" t="s">
        <v>3046</v>
      </c>
      <c r="S27" s="4">
        <v>44945</v>
      </c>
    </row>
    <row r="28" spans="1:19" ht="12.5" x14ac:dyDescent="0.25">
      <c r="A28" s="14" t="str">
        <f>HYPERLINK("https://gerandofalcoes.my.salesforce.com/0014X00002Yggh6QAB", "0014X00002Yggh6QAB")</f>
        <v>0014X00002Yggh6QAB</v>
      </c>
      <c r="B28" s="2" t="s">
        <v>3122</v>
      </c>
      <c r="C28" s="2" t="s">
        <v>423</v>
      </c>
      <c r="D28" s="2" t="s">
        <v>2</v>
      </c>
      <c r="E28" s="2"/>
      <c r="F28" s="2">
        <v>6</v>
      </c>
      <c r="G28" s="2">
        <v>2</v>
      </c>
      <c r="H28" s="2">
        <v>481000</v>
      </c>
      <c r="I28" s="2">
        <v>200</v>
      </c>
      <c r="J28" s="2"/>
      <c r="K28" s="2">
        <v>48</v>
      </c>
      <c r="L28" s="2">
        <v>0</v>
      </c>
      <c r="M28" s="2">
        <v>10</v>
      </c>
      <c r="N28" s="2">
        <v>6</v>
      </c>
      <c r="O28" s="2">
        <v>20</v>
      </c>
      <c r="P28" s="2">
        <v>12</v>
      </c>
      <c r="Q28" s="2" t="s">
        <v>3123</v>
      </c>
      <c r="R28" s="2" t="s">
        <v>3124</v>
      </c>
      <c r="S28" s="4">
        <v>44949</v>
      </c>
    </row>
    <row r="29" spans="1:19" ht="12.5" x14ac:dyDescent="0.25">
      <c r="A29" s="14" t="str">
        <f>HYPERLINK("https://gerandofalcoes.my.salesforce.com/0014X00002YggopQAB", "0014X00002YggopQAB")</f>
        <v>0014X00002YggopQAB</v>
      </c>
      <c r="B29" s="2" t="s">
        <v>3614</v>
      </c>
      <c r="C29" s="2" t="s">
        <v>423</v>
      </c>
      <c r="D29" s="2" t="s">
        <v>2</v>
      </c>
      <c r="E29" s="2"/>
      <c r="F29" s="2">
        <v>10</v>
      </c>
      <c r="G29" s="2">
        <v>2</v>
      </c>
      <c r="H29" s="2">
        <v>900</v>
      </c>
      <c r="I29" s="2">
        <v>20</v>
      </c>
      <c r="J29" s="2"/>
      <c r="K29" s="2">
        <v>26</v>
      </c>
      <c r="L29" s="2">
        <v>0</v>
      </c>
      <c r="M29" s="2">
        <v>10</v>
      </c>
      <c r="N29" s="2">
        <v>6</v>
      </c>
      <c r="O29" s="2">
        <v>5</v>
      </c>
      <c r="P29" s="2">
        <v>5</v>
      </c>
      <c r="Q29" s="2" t="s">
        <v>3615</v>
      </c>
      <c r="R29" s="2" t="s">
        <v>3616</v>
      </c>
      <c r="S29" s="4">
        <v>44963</v>
      </c>
    </row>
    <row r="30" spans="1:19" ht="12.5" x14ac:dyDescent="0.25">
      <c r="A30" s="14" t="str">
        <f>HYPERLINK("https://gerandofalcoes.my.salesforce.com/0014X00002YgghzQAB", "0014X00002YgghzQAB")</f>
        <v>0014X00002YgghzQAB</v>
      </c>
      <c r="B30" s="2" t="s">
        <v>3139</v>
      </c>
      <c r="C30" s="2" t="s">
        <v>423</v>
      </c>
      <c r="D30" s="2" t="s">
        <v>2</v>
      </c>
      <c r="E30" s="2"/>
      <c r="F30" s="2">
        <v>1</v>
      </c>
      <c r="G30" s="2">
        <v>4</v>
      </c>
      <c r="H30" s="2">
        <v>2500</v>
      </c>
      <c r="I30" s="2">
        <v>25</v>
      </c>
      <c r="J30" s="2"/>
      <c r="K30" s="2">
        <v>25</v>
      </c>
      <c r="L30" s="2">
        <v>0</v>
      </c>
      <c r="M30" s="2">
        <v>5</v>
      </c>
      <c r="N30" s="2">
        <v>10</v>
      </c>
      <c r="O30" s="2">
        <v>5</v>
      </c>
      <c r="P30" s="2">
        <v>5</v>
      </c>
      <c r="Q30" s="2" t="s">
        <v>3140</v>
      </c>
      <c r="R30" s="2" t="s">
        <v>3141</v>
      </c>
      <c r="S30" s="4">
        <v>44949</v>
      </c>
    </row>
    <row r="31" spans="1:19" ht="12.5" x14ac:dyDescent="0.25">
      <c r="A31" s="14" t="str">
        <f>HYPERLINK("https://gerandofalcoes.my.salesforce.com/0014P00003YSp7jQAD", "0014P00003YSp7jQAD")</f>
        <v>0014P00003YSp7jQAD</v>
      </c>
      <c r="B31" s="2" t="s">
        <v>3000</v>
      </c>
      <c r="C31" s="2" t="s">
        <v>1684</v>
      </c>
      <c r="D31" s="2" t="s">
        <v>2</v>
      </c>
      <c r="E31" s="2">
        <v>41</v>
      </c>
      <c r="F31" s="2">
        <v>12</v>
      </c>
      <c r="G31" s="2">
        <v>3</v>
      </c>
      <c r="H31" s="2">
        <v>200000</v>
      </c>
      <c r="I31" s="2">
        <v>0</v>
      </c>
      <c r="J31" s="2" t="s">
        <v>1671</v>
      </c>
      <c r="K31" s="2">
        <v>50</v>
      </c>
      <c r="L31" s="2">
        <v>15</v>
      </c>
      <c r="M31" s="2">
        <v>12</v>
      </c>
      <c r="N31" s="2">
        <v>8</v>
      </c>
      <c r="O31" s="2">
        <v>15</v>
      </c>
      <c r="P31" s="2">
        <v>0</v>
      </c>
      <c r="Q31" s="2" t="s">
        <v>3001</v>
      </c>
      <c r="R31" s="2"/>
      <c r="S31" s="4">
        <v>44911</v>
      </c>
    </row>
    <row r="32" spans="1:19" ht="12.5" x14ac:dyDescent="0.25">
      <c r="A32" s="14" t="str">
        <f>HYPERLINK("https://gerandofalcoes.my.salesforce.com/0014X00002YggjJQAR", "0014X00002YggjJQAR")</f>
        <v>0014X00002YggjJQAR</v>
      </c>
      <c r="B32" s="2" t="s">
        <v>3011</v>
      </c>
      <c r="C32" s="2" t="s">
        <v>423</v>
      </c>
      <c r="D32" s="2" t="s">
        <v>2</v>
      </c>
      <c r="E32" s="2"/>
      <c r="F32" s="2">
        <v>24</v>
      </c>
      <c r="G32" s="2">
        <v>4</v>
      </c>
      <c r="H32" s="2">
        <v>89800000</v>
      </c>
      <c r="I32" s="2">
        <v>250</v>
      </c>
      <c r="J32" s="2"/>
      <c r="K32" s="2">
        <v>59</v>
      </c>
      <c r="L32" s="2">
        <v>0</v>
      </c>
      <c r="M32" s="2">
        <v>12</v>
      </c>
      <c r="N32" s="2">
        <v>10</v>
      </c>
      <c r="O32" s="2">
        <v>25</v>
      </c>
      <c r="P32" s="2">
        <v>12</v>
      </c>
      <c r="Q32" s="2" t="s">
        <v>3012</v>
      </c>
      <c r="R32" s="2" t="s">
        <v>3012</v>
      </c>
      <c r="S32" s="4">
        <v>44945</v>
      </c>
    </row>
    <row r="33" spans="1:19" ht="12.5" x14ac:dyDescent="0.25">
      <c r="A33" s="14" t="str">
        <f>HYPERLINK("https://gerandofalcoes.my.salesforce.com/0014X00002YggqSQAR", "0014X00002YggqSQAR")</f>
        <v>0014X00002YggqSQAR</v>
      </c>
      <c r="B33" s="2" t="s">
        <v>3021</v>
      </c>
      <c r="C33" s="2" t="s">
        <v>423</v>
      </c>
      <c r="D33" s="2" t="s">
        <v>2</v>
      </c>
      <c r="E33" s="2"/>
      <c r="F33" s="2">
        <v>0</v>
      </c>
      <c r="G33" s="2">
        <v>3</v>
      </c>
      <c r="H33" s="2">
        <v>7000</v>
      </c>
      <c r="I33" s="2">
        <v>100</v>
      </c>
      <c r="J33" s="2"/>
      <c r="K33" s="2">
        <v>23</v>
      </c>
      <c r="L33" s="2">
        <v>0</v>
      </c>
      <c r="M33" s="2">
        <v>0</v>
      </c>
      <c r="N33" s="2">
        <v>8</v>
      </c>
      <c r="O33" s="2">
        <v>5</v>
      </c>
      <c r="P33" s="2">
        <v>10</v>
      </c>
      <c r="Q33" s="2" t="s">
        <v>3022</v>
      </c>
      <c r="R33" s="2" t="s">
        <v>3022</v>
      </c>
      <c r="S33" s="4">
        <v>44945</v>
      </c>
    </row>
    <row r="34" spans="1:19" ht="12.5" x14ac:dyDescent="0.25">
      <c r="A34" s="14" t="str">
        <f>HYPERLINK("https://gerandofalcoes.my.salesforce.com/0014X00002Yggi8QAB", "0014X00002Yggi8QAB")</f>
        <v>0014X00002Yggi8QAB</v>
      </c>
      <c r="B34" s="2" t="s">
        <v>3081</v>
      </c>
      <c r="C34" s="2" t="s">
        <v>423</v>
      </c>
      <c r="D34" s="2" t="s">
        <v>2</v>
      </c>
      <c r="E34" s="2"/>
      <c r="F34" s="2">
        <v>0</v>
      </c>
      <c r="G34" s="2">
        <v>2</v>
      </c>
      <c r="H34" s="2">
        <v>50</v>
      </c>
      <c r="I34" s="2">
        <v>50</v>
      </c>
      <c r="J34" s="2"/>
      <c r="K34" s="2">
        <v>16</v>
      </c>
      <c r="L34" s="2">
        <v>0</v>
      </c>
      <c r="M34" s="2">
        <v>0</v>
      </c>
      <c r="N34" s="2">
        <v>6</v>
      </c>
      <c r="O34" s="2">
        <v>5</v>
      </c>
      <c r="P34" s="2">
        <v>5</v>
      </c>
      <c r="Q34" s="2" t="s">
        <v>3082</v>
      </c>
      <c r="R34" s="2" t="s">
        <v>3082</v>
      </c>
      <c r="S34" s="4">
        <v>44946</v>
      </c>
    </row>
    <row r="35" spans="1:19" ht="12.5" x14ac:dyDescent="0.25">
      <c r="A35" s="14" t="str">
        <f>HYPERLINK("https://gerandofalcoes.my.salesforce.com/0014X00002YgglFQAR", "0014X00002YgglFQAR")</f>
        <v>0014X00002YgglFQAR</v>
      </c>
      <c r="B35" s="2" t="s">
        <v>3087</v>
      </c>
      <c r="C35" s="2" t="s">
        <v>423</v>
      </c>
      <c r="D35" s="2" t="s">
        <v>2</v>
      </c>
      <c r="E35" s="2"/>
      <c r="F35" s="2">
        <v>0</v>
      </c>
      <c r="G35" s="2">
        <v>5</v>
      </c>
      <c r="H35" s="2">
        <v>0</v>
      </c>
      <c r="I35" s="2">
        <v>0</v>
      </c>
      <c r="J35" s="2"/>
      <c r="K35" s="2">
        <v>10</v>
      </c>
      <c r="L35" s="2">
        <v>0</v>
      </c>
      <c r="M35" s="2">
        <v>0</v>
      </c>
      <c r="N35" s="2">
        <v>10</v>
      </c>
      <c r="O35" s="2">
        <v>0</v>
      </c>
      <c r="P35" s="2">
        <v>0</v>
      </c>
      <c r="Q35" s="2" t="s">
        <v>3088</v>
      </c>
      <c r="R35" s="2" t="s">
        <v>3089</v>
      </c>
      <c r="S35" s="4">
        <v>44946</v>
      </c>
    </row>
    <row r="36" spans="1:19" ht="12.5" x14ac:dyDescent="0.25">
      <c r="A36" s="14" t="str">
        <f>HYPERLINK("https://gerandofalcoes.my.salesforce.com/0014X00002YggmGQAR", "0014X00002YggmGQAR")</f>
        <v>0014X00002YggmGQAR</v>
      </c>
      <c r="B36" s="2" t="s">
        <v>3130</v>
      </c>
      <c r="C36" s="2" t="s">
        <v>423</v>
      </c>
      <c r="D36" s="2" t="s">
        <v>2</v>
      </c>
      <c r="E36" s="2"/>
      <c r="F36" s="2">
        <v>10</v>
      </c>
      <c r="G36" s="2">
        <v>2</v>
      </c>
      <c r="H36" s="2">
        <v>3000</v>
      </c>
      <c r="I36" s="2">
        <v>60</v>
      </c>
      <c r="J36" s="2"/>
      <c r="K36" s="2">
        <v>26</v>
      </c>
      <c r="L36" s="2">
        <v>0</v>
      </c>
      <c r="M36" s="2">
        <v>10</v>
      </c>
      <c r="N36" s="2">
        <v>6</v>
      </c>
      <c r="O36" s="2">
        <v>5</v>
      </c>
      <c r="P36" s="2">
        <v>5</v>
      </c>
      <c r="Q36" s="2" t="s">
        <v>3131</v>
      </c>
      <c r="R36" s="2" t="s">
        <v>3132</v>
      </c>
      <c r="S36" s="4">
        <v>44949</v>
      </c>
    </row>
    <row r="37" spans="1:19" ht="12.5" x14ac:dyDescent="0.25">
      <c r="A37" s="14" t="str">
        <f>HYPERLINK("https://gerandofalcoes.my.salesforce.com/0014X00002YggglQAB", "0014X00002YggglQAB")</f>
        <v>0014X00002YggglQAB</v>
      </c>
      <c r="B37" s="2" t="s">
        <v>7154</v>
      </c>
      <c r="C37" s="2" t="s">
        <v>423</v>
      </c>
      <c r="D37" s="2" t="s">
        <v>2</v>
      </c>
      <c r="E37" s="2"/>
      <c r="F37" s="2">
        <v>0</v>
      </c>
      <c r="G37" s="2">
        <v>2</v>
      </c>
      <c r="H37" s="2">
        <v>15000</v>
      </c>
      <c r="I37" s="2">
        <v>0</v>
      </c>
      <c r="J37" s="2"/>
      <c r="K37" s="2">
        <v>11</v>
      </c>
      <c r="L37" s="2">
        <v>0</v>
      </c>
      <c r="M37" s="2">
        <v>0</v>
      </c>
      <c r="N37" s="2">
        <v>6</v>
      </c>
      <c r="O37" s="2">
        <v>5</v>
      </c>
      <c r="P37" s="2">
        <v>0</v>
      </c>
      <c r="Q37" s="2" t="s">
        <v>7155</v>
      </c>
      <c r="R37" s="2" t="s">
        <v>3145</v>
      </c>
      <c r="S37" s="4">
        <v>44949</v>
      </c>
    </row>
    <row r="38" spans="1:19" ht="12.5" x14ac:dyDescent="0.25">
      <c r="A38" s="14" t="str">
        <f>HYPERLINK("https://gerandofalcoes.my.salesforce.com/0014X00002YgghKQAR", "0014X00002YgghKQAR")</f>
        <v>0014X00002YgghKQAR</v>
      </c>
      <c r="B38" s="2" t="s">
        <v>3065</v>
      </c>
      <c r="C38" s="2" t="s">
        <v>423</v>
      </c>
      <c r="D38" s="2" t="s">
        <v>2</v>
      </c>
      <c r="E38" s="2"/>
      <c r="F38" s="2">
        <v>0</v>
      </c>
      <c r="G38" s="2">
        <v>5</v>
      </c>
      <c r="H38" s="2">
        <v>500</v>
      </c>
      <c r="I38" s="2">
        <v>0</v>
      </c>
      <c r="J38" s="2"/>
      <c r="K38" s="2">
        <v>15</v>
      </c>
      <c r="L38" s="2">
        <v>0</v>
      </c>
      <c r="M38" s="2">
        <v>0</v>
      </c>
      <c r="N38" s="2">
        <v>10</v>
      </c>
      <c r="O38" s="2">
        <v>5</v>
      </c>
      <c r="P38" s="2">
        <v>0</v>
      </c>
      <c r="Q38" s="2" t="s">
        <v>3066</v>
      </c>
      <c r="R38" s="2" t="s">
        <v>3066</v>
      </c>
      <c r="S38" s="4">
        <v>44946</v>
      </c>
    </row>
    <row r="39" spans="1:19" ht="12.5" x14ac:dyDescent="0.25">
      <c r="A39" s="14" t="str">
        <f>HYPERLINK("https://gerandofalcoes.my.salesforce.com/0014X00002YgbknQAB", "0014X00002YgbknQAB")</f>
        <v>0014X00002YgbknQAB</v>
      </c>
      <c r="B39" s="2" t="s">
        <v>3096</v>
      </c>
      <c r="C39" s="2" t="s">
        <v>423</v>
      </c>
      <c r="D39" s="2" t="s">
        <v>2</v>
      </c>
      <c r="E39" s="2"/>
      <c r="F39" s="2">
        <v>0</v>
      </c>
      <c r="G39" s="2">
        <v>0</v>
      </c>
      <c r="H39" s="2">
        <v>0</v>
      </c>
      <c r="I39" s="2">
        <v>0</v>
      </c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 t="s">
        <v>3097</v>
      </c>
      <c r="R39" s="2" t="s">
        <v>3097</v>
      </c>
      <c r="S39" s="4">
        <v>44947</v>
      </c>
    </row>
    <row r="40" spans="1:19" ht="12.5" x14ac:dyDescent="0.25">
      <c r="A40" s="14" t="str">
        <f>HYPERLINK("https://gerandofalcoes.my.salesforce.com/0014X00002YggimQAB", "0014X00002YggimQAB")</f>
        <v>0014X00002YggimQAB</v>
      </c>
      <c r="B40" s="2" t="s">
        <v>7170</v>
      </c>
      <c r="C40" s="2" t="s">
        <v>423</v>
      </c>
      <c r="D40" s="2" t="s">
        <v>2</v>
      </c>
      <c r="E40" s="2"/>
      <c r="F40" s="2">
        <v>0</v>
      </c>
      <c r="G40" s="2">
        <v>2</v>
      </c>
      <c r="H40" s="2">
        <v>200</v>
      </c>
      <c r="I40" s="2">
        <v>0</v>
      </c>
      <c r="J40" s="2"/>
      <c r="K40" s="2">
        <v>11</v>
      </c>
      <c r="L40" s="2">
        <v>0</v>
      </c>
      <c r="M40" s="2">
        <v>0</v>
      </c>
      <c r="N40" s="2">
        <v>6</v>
      </c>
      <c r="O40" s="2">
        <v>5</v>
      </c>
      <c r="P40" s="2">
        <v>0</v>
      </c>
      <c r="Q40" s="2" t="s">
        <v>3147</v>
      </c>
      <c r="R40" s="2" t="s">
        <v>3148</v>
      </c>
      <c r="S40" s="4">
        <v>44949</v>
      </c>
    </row>
    <row r="41" spans="1:19" ht="12.5" x14ac:dyDescent="0.25">
      <c r="A41" s="14" t="str">
        <f>HYPERLINK("https://gerandofalcoes.my.salesforce.com/0014X00002YggoKQAR", "0014X00002YggoKQAR")</f>
        <v>0014X00002YggoKQAR</v>
      </c>
      <c r="B41" s="2" t="s">
        <v>3019</v>
      </c>
      <c r="C41" s="2" t="s">
        <v>423</v>
      </c>
      <c r="D41" s="2" t="s">
        <v>2</v>
      </c>
      <c r="E41" s="2"/>
      <c r="F41" s="2">
        <v>1</v>
      </c>
      <c r="G41" s="2">
        <v>2</v>
      </c>
      <c r="H41" s="2">
        <v>7000</v>
      </c>
      <c r="I41" s="2">
        <v>0</v>
      </c>
      <c r="J41" s="2"/>
      <c r="K41" s="2">
        <v>16</v>
      </c>
      <c r="L41" s="2">
        <v>0</v>
      </c>
      <c r="M41" s="2">
        <v>5</v>
      </c>
      <c r="N41" s="2">
        <v>6</v>
      </c>
      <c r="O41" s="2">
        <v>5</v>
      </c>
      <c r="P41" s="2">
        <v>0</v>
      </c>
      <c r="Q41" s="2" t="s">
        <v>3020</v>
      </c>
      <c r="R41" s="2" t="s">
        <v>3020</v>
      </c>
      <c r="S41" s="4">
        <v>44945</v>
      </c>
    </row>
    <row r="42" spans="1:19" ht="12.5" x14ac:dyDescent="0.25">
      <c r="A42" s="14" t="str">
        <f>HYPERLINK("https://gerandofalcoes.my.salesforce.com/0014X00002YggjpQAB", "0014X00002YggjpQAB")</f>
        <v>0014X00002YggjpQAB</v>
      </c>
      <c r="B42" s="2" t="s">
        <v>3800</v>
      </c>
      <c r="C42" s="2" t="s">
        <v>423</v>
      </c>
      <c r="D42" s="2" t="s">
        <v>2</v>
      </c>
      <c r="E42" s="2"/>
      <c r="F42" s="2">
        <v>4</v>
      </c>
      <c r="G42" s="2">
        <v>5</v>
      </c>
      <c r="H42" s="2">
        <v>8500</v>
      </c>
      <c r="I42" s="2">
        <v>7</v>
      </c>
      <c r="J42" s="2"/>
      <c r="K42" s="2">
        <v>25</v>
      </c>
      <c r="L42" s="2">
        <v>0</v>
      </c>
      <c r="M42" s="2">
        <v>5</v>
      </c>
      <c r="N42" s="2">
        <v>10</v>
      </c>
      <c r="O42" s="2">
        <v>5</v>
      </c>
      <c r="P42" s="2">
        <v>5</v>
      </c>
      <c r="Q42" s="2" t="s">
        <v>3801</v>
      </c>
      <c r="R42" s="2" t="s">
        <v>3801</v>
      </c>
      <c r="S42" s="4">
        <v>44970</v>
      </c>
    </row>
    <row r="43" spans="1:19" ht="12.5" x14ac:dyDescent="0.25">
      <c r="A43" s="14" t="str">
        <f>HYPERLINK("https://gerandofalcoes.my.salesforce.com/0014X00002YggmSQAR", "0014X00002YggmSQAR")</f>
        <v>0014X00002YggmSQAR</v>
      </c>
      <c r="B43" s="2" t="s">
        <v>3059</v>
      </c>
      <c r="C43" s="2" t="s">
        <v>423</v>
      </c>
      <c r="D43" s="2" t="s">
        <v>2</v>
      </c>
      <c r="E43" s="2"/>
      <c r="F43" s="2">
        <v>4</v>
      </c>
      <c r="G43" s="2">
        <v>5</v>
      </c>
      <c r="H43" s="2">
        <v>12000</v>
      </c>
      <c r="I43" s="2">
        <v>0</v>
      </c>
      <c r="J43" s="2"/>
      <c r="K43" s="2">
        <v>20</v>
      </c>
      <c r="L43" s="2">
        <v>0</v>
      </c>
      <c r="M43" s="2">
        <v>5</v>
      </c>
      <c r="N43" s="2">
        <v>10</v>
      </c>
      <c r="O43" s="2">
        <v>5</v>
      </c>
      <c r="P43" s="2">
        <v>0</v>
      </c>
      <c r="Q43" s="2" t="s">
        <v>3060</v>
      </c>
      <c r="R43" s="2" t="s">
        <v>3061</v>
      </c>
      <c r="S43" s="4">
        <v>44946</v>
      </c>
    </row>
    <row r="44" spans="1:19" ht="12.5" x14ac:dyDescent="0.25">
      <c r="A44" s="14" t="str">
        <f>HYPERLINK("https://gerandofalcoes.my.salesforce.com/0014X00002YggmHQAR", "0014X00002YggmHQAR")</f>
        <v>0014X00002YggmHQAR</v>
      </c>
      <c r="B44" s="2" t="s">
        <v>3016</v>
      </c>
      <c r="C44" s="2" t="s">
        <v>423</v>
      </c>
      <c r="D44" s="2" t="s">
        <v>2</v>
      </c>
      <c r="E44" s="2"/>
      <c r="F44" s="2">
        <v>0</v>
      </c>
      <c r="G44" s="2">
        <v>5</v>
      </c>
      <c r="H44" s="2">
        <v>280524</v>
      </c>
      <c r="I44" s="2">
        <v>100</v>
      </c>
      <c r="J44" s="2"/>
      <c r="K44" s="2">
        <v>35</v>
      </c>
      <c r="L44" s="2">
        <v>0</v>
      </c>
      <c r="M44" s="2">
        <v>0</v>
      </c>
      <c r="N44" s="2">
        <v>10</v>
      </c>
      <c r="O44" s="2">
        <v>15</v>
      </c>
      <c r="P44" s="2">
        <v>10</v>
      </c>
      <c r="Q44" s="2" t="s">
        <v>3017</v>
      </c>
      <c r="R44" s="2" t="s">
        <v>3018</v>
      </c>
      <c r="S44" s="4">
        <v>44945</v>
      </c>
    </row>
    <row r="45" spans="1:19" ht="12.5" x14ac:dyDescent="0.25">
      <c r="A45" s="14" t="str">
        <f>HYPERLINK("https://gerandofalcoes.my.salesforce.com/0014X00002YggjKQAR", "0014X00002YggjKQAR")</f>
        <v>0014X00002YggjKQAR</v>
      </c>
      <c r="B45" s="2" t="s">
        <v>3133</v>
      </c>
      <c r="C45" s="2" t="s">
        <v>423</v>
      </c>
      <c r="D45" s="2" t="s">
        <v>2</v>
      </c>
      <c r="E45" s="2"/>
      <c r="F45" s="2">
        <v>4</v>
      </c>
      <c r="G45" s="2">
        <v>3</v>
      </c>
      <c r="H45" s="2">
        <v>18000</v>
      </c>
      <c r="I45" s="2">
        <v>50</v>
      </c>
      <c r="J45" s="2"/>
      <c r="K45" s="2">
        <v>23</v>
      </c>
      <c r="L45" s="2">
        <v>0</v>
      </c>
      <c r="M45" s="2">
        <v>5</v>
      </c>
      <c r="N45" s="2">
        <v>8</v>
      </c>
      <c r="O45" s="2">
        <v>5</v>
      </c>
      <c r="P45" s="2">
        <v>5</v>
      </c>
      <c r="Q45" s="2" t="s">
        <v>3134</v>
      </c>
      <c r="R45" s="2" t="s">
        <v>3135</v>
      </c>
      <c r="S45" s="4">
        <v>44949</v>
      </c>
    </row>
    <row r="46" spans="1:19" ht="12.5" x14ac:dyDescent="0.25">
      <c r="A46" s="14" t="str">
        <f>HYPERLINK("https://gerandofalcoes.my.salesforce.com/0014X00002YggnDQAR", "0014X00002YggnDQAR")</f>
        <v>0014X00002YggnDQAR</v>
      </c>
      <c r="B46" s="2" t="s">
        <v>3334</v>
      </c>
      <c r="C46" s="2" t="s">
        <v>423</v>
      </c>
      <c r="D46" s="2" t="s">
        <v>2</v>
      </c>
      <c r="E46" s="2"/>
      <c r="F46" s="2">
        <v>0</v>
      </c>
      <c r="G46" s="2">
        <v>3</v>
      </c>
      <c r="H46" s="2">
        <v>5000</v>
      </c>
      <c r="I46" s="2">
        <v>2000</v>
      </c>
      <c r="J46" s="2"/>
      <c r="K46" s="2">
        <v>33</v>
      </c>
      <c r="L46" s="2">
        <v>0</v>
      </c>
      <c r="M46" s="2">
        <v>0</v>
      </c>
      <c r="N46" s="2">
        <v>8</v>
      </c>
      <c r="O46" s="2">
        <v>5</v>
      </c>
      <c r="P46" s="2">
        <v>20</v>
      </c>
      <c r="Q46" s="2" t="s">
        <v>3335</v>
      </c>
      <c r="R46" s="2" t="s">
        <v>3336</v>
      </c>
      <c r="S46" s="4">
        <v>44953</v>
      </c>
    </row>
    <row r="47" spans="1:19" ht="12.5" x14ac:dyDescent="0.25">
      <c r="A47" s="14" t="str">
        <f>HYPERLINK("https://gerandofalcoes.my.salesforce.com/0014X00002YggnIQAR", "0014X00002YggnIQAR")</f>
        <v>0014X00002YggnIQAR</v>
      </c>
      <c r="B47" s="2" t="s">
        <v>3789</v>
      </c>
      <c r="C47" s="2" t="s">
        <v>423</v>
      </c>
      <c r="D47" s="2" t="s">
        <v>2</v>
      </c>
      <c r="E47" s="2"/>
      <c r="F47" s="2">
        <v>0</v>
      </c>
      <c r="G47" s="2">
        <v>2</v>
      </c>
      <c r="H47" s="2">
        <v>1000</v>
      </c>
      <c r="I47" s="2">
        <v>20</v>
      </c>
      <c r="J47" s="2"/>
      <c r="K47" s="2">
        <v>16</v>
      </c>
      <c r="L47" s="2">
        <v>0</v>
      </c>
      <c r="M47" s="2">
        <v>0</v>
      </c>
      <c r="N47" s="2">
        <v>6</v>
      </c>
      <c r="O47" s="2">
        <v>5</v>
      </c>
      <c r="P47" s="2">
        <v>5</v>
      </c>
      <c r="Q47" s="2" t="s">
        <v>3790</v>
      </c>
      <c r="R47" s="2" t="s">
        <v>3791</v>
      </c>
      <c r="S47" s="4">
        <v>44968</v>
      </c>
    </row>
    <row r="48" spans="1:19" ht="12.5" x14ac:dyDescent="0.25">
      <c r="A48" s="14" t="str">
        <f>HYPERLINK("https://gerandofalcoes.my.salesforce.com/0014X00002YgbkdQAB", "0014X00002YgbkdQAB")</f>
        <v>0014X00002YgbkdQAB</v>
      </c>
      <c r="B48" s="2" t="s">
        <v>3157</v>
      </c>
      <c r="C48" s="2" t="s">
        <v>423</v>
      </c>
      <c r="D48" s="2" t="s">
        <v>2</v>
      </c>
      <c r="E48" s="2"/>
      <c r="F48" s="2">
        <v>0</v>
      </c>
      <c r="G48" s="2">
        <v>0</v>
      </c>
      <c r="H48" s="2">
        <v>0</v>
      </c>
      <c r="I48" s="2">
        <v>0</v>
      </c>
      <c r="J48" s="2"/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 t="s">
        <v>3158</v>
      </c>
      <c r="R48" s="2" t="s">
        <v>3159</v>
      </c>
      <c r="S48" s="4">
        <v>44950</v>
      </c>
    </row>
    <row r="49" spans="1:19" ht="12.5" x14ac:dyDescent="0.25">
      <c r="A49" s="14" t="str">
        <f>HYPERLINK("https://gerandofalcoes.my.salesforce.com/0014X00002YggquQAB", "0014X00002YggquQAB")</f>
        <v>0014X00002YggquQAB</v>
      </c>
      <c r="B49" s="2" t="s">
        <v>3171</v>
      </c>
      <c r="C49" s="2" t="s">
        <v>423</v>
      </c>
      <c r="D49" s="2" t="s">
        <v>2</v>
      </c>
      <c r="E49" s="2"/>
      <c r="F49" s="2">
        <v>4</v>
      </c>
      <c r="G49" s="2">
        <v>11</v>
      </c>
      <c r="H49" s="2">
        <v>0</v>
      </c>
      <c r="I49" s="2">
        <v>0</v>
      </c>
      <c r="J49" s="2"/>
      <c r="K49" s="2">
        <v>15</v>
      </c>
      <c r="L49" s="2">
        <v>0</v>
      </c>
      <c r="M49" s="2">
        <v>5</v>
      </c>
      <c r="N49" s="2">
        <v>10</v>
      </c>
      <c r="O49" s="2">
        <v>0</v>
      </c>
      <c r="P49" s="2">
        <v>0</v>
      </c>
      <c r="Q49" s="2" t="s">
        <v>3172</v>
      </c>
      <c r="R49" s="2" t="s">
        <v>3172</v>
      </c>
      <c r="S49" s="4">
        <v>44950</v>
      </c>
    </row>
    <row r="50" spans="1:19" ht="12.5" x14ac:dyDescent="0.25">
      <c r="A50" s="14" t="str">
        <f>HYPERLINK("https://gerandofalcoes.my.salesforce.com/0014X00002YggprQAB", "0014X00002YggprQAB")</f>
        <v>0014X00002YggprQAB</v>
      </c>
      <c r="B50" s="2" t="s">
        <v>3168</v>
      </c>
      <c r="C50" s="2" t="s">
        <v>423</v>
      </c>
      <c r="D50" s="2" t="s">
        <v>2</v>
      </c>
      <c r="E50" s="2"/>
      <c r="F50" s="2">
        <v>0</v>
      </c>
      <c r="G50" s="2">
        <v>2</v>
      </c>
      <c r="H50" s="2">
        <v>300</v>
      </c>
      <c r="I50" s="2">
        <v>60</v>
      </c>
      <c r="J50" s="2"/>
      <c r="K50" s="2">
        <v>16</v>
      </c>
      <c r="L50" s="2">
        <v>0</v>
      </c>
      <c r="M50" s="2">
        <v>0</v>
      </c>
      <c r="N50" s="2">
        <v>6</v>
      </c>
      <c r="O50" s="2">
        <v>5</v>
      </c>
      <c r="P50" s="2">
        <v>5</v>
      </c>
      <c r="Q50" s="2" t="s">
        <v>3169</v>
      </c>
      <c r="R50" s="2" t="s">
        <v>3170</v>
      </c>
      <c r="S50" s="4">
        <v>44950</v>
      </c>
    </row>
    <row r="51" spans="1:19" ht="12.5" x14ac:dyDescent="0.25">
      <c r="A51" s="14" t="str">
        <f>HYPERLINK("https://gerandofalcoes.my.salesforce.com/0014X00002Yggi2QAB", "0014X00002Yggi2QAB")</f>
        <v>0014X00002Yggi2QAB</v>
      </c>
      <c r="B51" s="2" t="s">
        <v>3152</v>
      </c>
      <c r="C51" s="2" t="s">
        <v>423</v>
      </c>
      <c r="D51" s="2" t="s">
        <v>2</v>
      </c>
      <c r="E51" s="2"/>
      <c r="F51" s="2">
        <v>0</v>
      </c>
      <c r="G51" s="2">
        <v>2</v>
      </c>
      <c r="H51" s="2">
        <v>1200</v>
      </c>
      <c r="I51" s="2">
        <v>320</v>
      </c>
      <c r="J51" s="2"/>
      <c r="K51" s="2">
        <v>26</v>
      </c>
      <c r="L51" s="2">
        <v>0</v>
      </c>
      <c r="M51" s="2">
        <v>0</v>
      </c>
      <c r="N51" s="2">
        <v>6</v>
      </c>
      <c r="O51" s="2">
        <v>5</v>
      </c>
      <c r="P51" s="2">
        <v>15</v>
      </c>
      <c r="Q51" s="2" t="s">
        <v>3153</v>
      </c>
      <c r="R51" s="2" t="s">
        <v>3153</v>
      </c>
      <c r="S51" s="4">
        <v>44950</v>
      </c>
    </row>
    <row r="52" spans="1:19" ht="12.5" x14ac:dyDescent="0.25">
      <c r="A52" s="14" t="str">
        <f>HYPERLINK("https://gerandofalcoes.my.salesforce.com/0014X00002YggnfQAB", "0014X00002YggnfQAB")</f>
        <v>0014X00002YggnfQAB</v>
      </c>
      <c r="B52" s="2" t="s">
        <v>3166</v>
      </c>
      <c r="C52" s="2" t="s">
        <v>423</v>
      </c>
      <c r="D52" s="2" t="s">
        <v>2</v>
      </c>
      <c r="E52" s="2"/>
      <c r="F52" s="2">
        <v>1</v>
      </c>
      <c r="G52" s="2">
        <v>4</v>
      </c>
      <c r="H52" s="2">
        <v>4000</v>
      </c>
      <c r="I52" s="2">
        <v>90</v>
      </c>
      <c r="J52" s="2"/>
      <c r="K52" s="2">
        <v>30</v>
      </c>
      <c r="L52" s="2">
        <v>0</v>
      </c>
      <c r="M52" s="2">
        <v>5</v>
      </c>
      <c r="N52" s="2">
        <v>10</v>
      </c>
      <c r="O52" s="2">
        <v>5</v>
      </c>
      <c r="P52" s="2">
        <v>10</v>
      </c>
      <c r="Q52" s="2" t="s">
        <v>3167</v>
      </c>
      <c r="R52" s="2" t="s">
        <v>3167</v>
      </c>
      <c r="S52" s="4">
        <v>44950</v>
      </c>
    </row>
    <row r="53" spans="1:19" ht="12.5" x14ac:dyDescent="0.25">
      <c r="A53" s="14" t="str">
        <f>HYPERLINK("https://gerandofalcoes.my.salesforce.com/0014X00002YggiVQAR", "0014X00002YggiVQAR")</f>
        <v>0014X00002YggiVQAR</v>
      </c>
      <c r="B53" s="2" t="s">
        <v>3182</v>
      </c>
      <c r="C53" s="2" t="s">
        <v>423</v>
      </c>
      <c r="D53" s="2" t="s">
        <v>2</v>
      </c>
      <c r="E53" s="2"/>
      <c r="F53" s="2">
        <v>10</v>
      </c>
      <c r="G53" s="2">
        <v>2</v>
      </c>
      <c r="H53" s="2">
        <v>8000</v>
      </c>
      <c r="I53" s="2">
        <v>40</v>
      </c>
      <c r="J53" s="2"/>
      <c r="K53" s="2">
        <v>26</v>
      </c>
      <c r="L53" s="2">
        <v>0</v>
      </c>
      <c r="M53" s="2">
        <v>10</v>
      </c>
      <c r="N53" s="2">
        <v>6</v>
      </c>
      <c r="O53" s="2">
        <v>5</v>
      </c>
      <c r="P53" s="2">
        <v>5</v>
      </c>
      <c r="Q53" s="2" t="s">
        <v>3183</v>
      </c>
      <c r="R53" s="2" t="s">
        <v>3184</v>
      </c>
      <c r="S53" s="4">
        <v>44951</v>
      </c>
    </row>
    <row r="54" spans="1:19" ht="12.5" x14ac:dyDescent="0.25">
      <c r="A54" s="14" t="str">
        <f>HYPERLINK("https://gerandofalcoes.my.salesforce.com/0014X00002YggoXQAR", "0014X00002YggoXQAR")</f>
        <v>0014X00002YggoXQAR</v>
      </c>
      <c r="B54" s="2" t="s">
        <v>3195</v>
      </c>
      <c r="C54" s="2" t="s">
        <v>423</v>
      </c>
      <c r="D54" s="2" t="s">
        <v>2</v>
      </c>
      <c r="E54" s="2"/>
      <c r="F54" s="2">
        <v>10</v>
      </c>
      <c r="G54" s="2">
        <v>2</v>
      </c>
      <c r="H54" s="2">
        <v>8000</v>
      </c>
      <c r="I54" s="2">
        <v>60</v>
      </c>
      <c r="J54" s="2"/>
      <c r="K54" s="2">
        <v>26</v>
      </c>
      <c r="L54" s="2">
        <v>0</v>
      </c>
      <c r="M54" s="2">
        <v>10</v>
      </c>
      <c r="N54" s="2">
        <v>6</v>
      </c>
      <c r="O54" s="2">
        <v>5</v>
      </c>
      <c r="P54" s="2">
        <v>5</v>
      </c>
      <c r="Q54" s="2" t="s">
        <v>3196</v>
      </c>
      <c r="R54" s="2" t="s">
        <v>3197</v>
      </c>
      <c r="S54" s="4">
        <v>44951</v>
      </c>
    </row>
    <row r="55" spans="1:19" ht="12.5" x14ac:dyDescent="0.25">
      <c r="A55" s="14" t="str">
        <f>HYPERLINK("https://gerandofalcoes.my.salesforce.com/0014X00002YggmRQAR", "0014X00002YggmRQAR")</f>
        <v>0014X00002YggmRQAR</v>
      </c>
      <c r="B55" s="2" t="s">
        <v>3198</v>
      </c>
      <c r="C55" s="2" t="s">
        <v>423</v>
      </c>
      <c r="D55" s="2" t="s">
        <v>2</v>
      </c>
      <c r="E55" s="2"/>
      <c r="F55" s="2">
        <v>0</v>
      </c>
      <c r="G55" s="2">
        <v>2</v>
      </c>
      <c r="H55" s="2">
        <v>5000</v>
      </c>
      <c r="I55" s="2">
        <v>20</v>
      </c>
      <c r="J55" s="2"/>
      <c r="K55" s="2">
        <v>16</v>
      </c>
      <c r="L55" s="2">
        <v>0</v>
      </c>
      <c r="M55" s="2">
        <v>0</v>
      </c>
      <c r="N55" s="2">
        <v>6</v>
      </c>
      <c r="O55" s="2">
        <v>5</v>
      </c>
      <c r="P55" s="2">
        <v>5</v>
      </c>
      <c r="Q55" s="2" t="s">
        <v>3199</v>
      </c>
      <c r="R55" s="2" t="s">
        <v>3199</v>
      </c>
      <c r="S55" s="4">
        <v>44951</v>
      </c>
    </row>
    <row r="56" spans="1:19" ht="12.5" x14ac:dyDescent="0.25">
      <c r="A56" s="14" t="str">
        <f>HYPERLINK("https://gerandofalcoes.my.salesforce.com/0014X00002YggnzQAB", "0014X00002YggnzQAB")</f>
        <v>0014X00002YggnzQAB</v>
      </c>
      <c r="B56" s="2" t="s">
        <v>3228</v>
      </c>
      <c r="C56" s="2" t="s">
        <v>423</v>
      </c>
      <c r="D56" s="2" t="s">
        <v>2</v>
      </c>
      <c r="E56" s="2"/>
      <c r="F56" s="2">
        <v>3</v>
      </c>
      <c r="G56" s="2">
        <v>3</v>
      </c>
      <c r="H56" s="2">
        <v>19000</v>
      </c>
      <c r="I56" s="2">
        <v>25</v>
      </c>
      <c r="J56" s="2"/>
      <c r="K56" s="2">
        <v>23</v>
      </c>
      <c r="L56" s="2">
        <v>0</v>
      </c>
      <c r="M56" s="2">
        <v>5</v>
      </c>
      <c r="N56" s="2">
        <v>8</v>
      </c>
      <c r="O56" s="2">
        <v>5</v>
      </c>
      <c r="P56" s="2">
        <v>5</v>
      </c>
      <c r="Q56" s="2" t="s">
        <v>3229</v>
      </c>
      <c r="R56" s="2" t="s">
        <v>3229</v>
      </c>
      <c r="S56" s="4">
        <v>44951</v>
      </c>
    </row>
    <row r="57" spans="1:19" ht="12.5" x14ac:dyDescent="0.25">
      <c r="A57" s="14" t="str">
        <f>HYPERLINK("https://gerandofalcoes.my.salesforce.com/0014X00002YggpQQAR", "0014X00002YggpQQAR")</f>
        <v>0014X00002YggpQQAR</v>
      </c>
      <c r="B57" s="2" t="s">
        <v>3202</v>
      </c>
      <c r="C57" s="2" t="s">
        <v>423</v>
      </c>
      <c r="D57" s="2" t="s">
        <v>2</v>
      </c>
      <c r="E57" s="2"/>
      <c r="F57" s="2">
        <v>1</v>
      </c>
      <c r="G57" s="2">
        <v>3</v>
      </c>
      <c r="H57" s="2">
        <v>3000</v>
      </c>
      <c r="I57" s="2">
        <v>50</v>
      </c>
      <c r="J57" s="2"/>
      <c r="K57" s="2">
        <v>23</v>
      </c>
      <c r="L57" s="2">
        <v>0</v>
      </c>
      <c r="M57" s="2">
        <v>5</v>
      </c>
      <c r="N57" s="2">
        <v>8</v>
      </c>
      <c r="O57" s="2">
        <v>5</v>
      </c>
      <c r="P57" s="2">
        <v>5</v>
      </c>
      <c r="Q57" s="2" t="s">
        <v>3203</v>
      </c>
      <c r="R57" s="2" t="s">
        <v>3203</v>
      </c>
      <c r="S57" s="4">
        <v>44951</v>
      </c>
    </row>
    <row r="58" spans="1:19" ht="12.5" x14ac:dyDescent="0.25">
      <c r="A58" s="14" t="str">
        <f>HYPERLINK("https://gerandofalcoes.my.salesforce.com/0014X00002YgglMQAR", "0014X00002YgglMQAR")</f>
        <v>0014X00002YgglMQAR</v>
      </c>
      <c r="B58" s="2" t="s">
        <v>3188</v>
      </c>
      <c r="C58" s="2" t="s">
        <v>423</v>
      </c>
      <c r="D58" s="2" t="s">
        <v>2</v>
      </c>
      <c r="E58" s="2"/>
      <c r="F58" s="2">
        <v>1</v>
      </c>
      <c r="G58" s="2">
        <v>2</v>
      </c>
      <c r="H58" s="2">
        <v>12000</v>
      </c>
      <c r="I58" s="2">
        <v>3</v>
      </c>
      <c r="J58" s="2"/>
      <c r="K58" s="2">
        <v>21</v>
      </c>
      <c r="L58" s="2">
        <v>0</v>
      </c>
      <c r="M58" s="2">
        <v>5</v>
      </c>
      <c r="N58" s="2">
        <v>6</v>
      </c>
      <c r="O58" s="2">
        <v>5</v>
      </c>
      <c r="P58" s="2">
        <v>5</v>
      </c>
      <c r="Q58" s="2" t="s">
        <v>3189</v>
      </c>
      <c r="R58" s="2" t="s">
        <v>3190</v>
      </c>
      <c r="S58" s="4">
        <v>44951</v>
      </c>
    </row>
    <row r="59" spans="1:19" ht="12.5" x14ac:dyDescent="0.25">
      <c r="A59" s="14" t="str">
        <f>HYPERLINK("https://gerandofalcoes.my.salesforce.com/0014X00002YggjZQAR", "0014X00002YggjZQAR")</f>
        <v>0014X00002YggjZQAR</v>
      </c>
      <c r="B59" s="2" t="s">
        <v>3281</v>
      </c>
      <c r="C59" s="2" t="s">
        <v>423</v>
      </c>
      <c r="D59" s="2" t="s">
        <v>2</v>
      </c>
      <c r="E59" s="2"/>
      <c r="F59" s="2">
        <v>0</v>
      </c>
      <c r="G59" s="2">
        <v>3</v>
      </c>
      <c r="H59" s="2">
        <v>9000</v>
      </c>
      <c r="I59" s="2">
        <v>75</v>
      </c>
      <c r="J59" s="2"/>
      <c r="K59" s="2">
        <v>18</v>
      </c>
      <c r="L59" s="2">
        <v>0</v>
      </c>
      <c r="M59" s="2">
        <v>0</v>
      </c>
      <c r="N59" s="2">
        <v>8</v>
      </c>
      <c r="O59" s="2">
        <v>5</v>
      </c>
      <c r="P59" s="2">
        <v>5</v>
      </c>
      <c r="Q59" s="2" t="s">
        <v>3282</v>
      </c>
      <c r="R59" s="2" t="s">
        <v>3282</v>
      </c>
      <c r="S59" s="4">
        <v>44952</v>
      </c>
    </row>
    <row r="60" spans="1:19" ht="12.5" x14ac:dyDescent="0.25">
      <c r="A60" s="14" t="str">
        <f>HYPERLINK("https://gerandofalcoes.my.salesforce.com/0014X00002YggjoQAB", "0014X00002YggjoQAB")</f>
        <v>0014X00002YggjoQAB</v>
      </c>
      <c r="B60" s="2" t="s">
        <v>3283</v>
      </c>
      <c r="C60" s="2" t="s">
        <v>423</v>
      </c>
      <c r="D60" s="2" t="s">
        <v>2</v>
      </c>
      <c r="E60" s="2"/>
      <c r="F60" s="2">
        <v>3</v>
      </c>
      <c r="G60" s="2">
        <v>2</v>
      </c>
      <c r="H60" s="2">
        <v>280000</v>
      </c>
      <c r="I60" s="2">
        <v>50</v>
      </c>
      <c r="J60" s="2"/>
      <c r="K60" s="2">
        <v>31</v>
      </c>
      <c r="L60" s="2">
        <v>0</v>
      </c>
      <c r="M60" s="2">
        <v>5</v>
      </c>
      <c r="N60" s="2">
        <v>6</v>
      </c>
      <c r="O60" s="2">
        <v>15</v>
      </c>
      <c r="P60" s="2">
        <v>5</v>
      </c>
      <c r="Q60" s="2" t="s">
        <v>3284</v>
      </c>
      <c r="R60" s="2" t="s">
        <v>3285</v>
      </c>
      <c r="S60" s="4">
        <v>44952</v>
      </c>
    </row>
    <row r="61" spans="1:19" ht="12.5" x14ac:dyDescent="0.25">
      <c r="A61" s="14" t="str">
        <f>HYPERLINK("https://gerandofalcoes.my.salesforce.com/0014X00002YggiiQAB", "0014X00002YggiiQAB")</f>
        <v>0014X00002YggiiQAB</v>
      </c>
      <c r="B61" s="2" t="s">
        <v>3265</v>
      </c>
      <c r="C61" s="2" t="s">
        <v>423</v>
      </c>
      <c r="D61" s="2" t="s">
        <v>2</v>
      </c>
      <c r="E61" s="2"/>
      <c r="F61" s="2">
        <v>0</v>
      </c>
      <c r="G61" s="2">
        <v>2</v>
      </c>
      <c r="H61" s="2">
        <v>1500</v>
      </c>
      <c r="I61" s="2">
        <v>30</v>
      </c>
      <c r="J61" s="2"/>
      <c r="K61" s="2">
        <v>16</v>
      </c>
      <c r="L61" s="2">
        <v>0</v>
      </c>
      <c r="M61" s="2">
        <v>0</v>
      </c>
      <c r="N61" s="2">
        <v>6</v>
      </c>
      <c r="O61" s="2">
        <v>5</v>
      </c>
      <c r="P61" s="2">
        <v>5</v>
      </c>
      <c r="Q61" s="2" t="s">
        <v>3267</v>
      </c>
      <c r="R61" s="2" t="s">
        <v>3267</v>
      </c>
      <c r="S61" s="4">
        <v>44952</v>
      </c>
    </row>
    <row r="62" spans="1:19" ht="12.5" x14ac:dyDescent="0.25">
      <c r="A62" s="14" t="str">
        <f>HYPERLINK("https://gerandofalcoes.my.salesforce.com/0014X00002YggivQAB", "0014X00002YggivQAB")</f>
        <v>0014X00002YggivQAB</v>
      </c>
      <c r="B62" s="2" t="s">
        <v>3931</v>
      </c>
      <c r="C62" s="2" t="s">
        <v>423</v>
      </c>
      <c r="D62" s="2" t="s">
        <v>2</v>
      </c>
      <c r="E62" s="2"/>
      <c r="F62" s="2">
        <v>4</v>
      </c>
      <c r="G62" s="2">
        <v>6</v>
      </c>
      <c r="H62" s="2">
        <v>20</v>
      </c>
      <c r="I62" s="2">
        <v>200</v>
      </c>
      <c r="J62" s="2"/>
      <c r="K62" s="2">
        <v>32</v>
      </c>
      <c r="L62" s="2">
        <v>0</v>
      </c>
      <c r="M62" s="2">
        <v>5</v>
      </c>
      <c r="N62" s="2">
        <v>10</v>
      </c>
      <c r="O62" s="2">
        <v>5</v>
      </c>
      <c r="P62" s="2">
        <v>12</v>
      </c>
      <c r="Q62" s="2" t="s">
        <v>3932</v>
      </c>
      <c r="R62" s="2" t="s">
        <v>3932</v>
      </c>
      <c r="S62" s="4">
        <v>44952</v>
      </c>
    </row>
    <row r="63" spans="1:19" ht="12.5" x14ac:dyDescent="0.25">
      <c r="A63" s="14" t="str">
        <f>HYPERLINK("https://gerandofalcoes.my.salesforce.com/0014X00002YgggtQAB", "0014X00002YgggtQAB")</f>
        <v>0014X00002YgggtQAB</v>
      </c>
      <c r="B63" s="2" t="s">
        <v>3275</v>
      </c>
      <c r="C63" s="2" t="s">
        <v>423</v>
      </c>
      <c r="D63" s="2" t="s">
        <v>2</v>
      </c>
      <c r="E63" s="2"/>
      <c r="F63" s="2">
        <v>6</v>
      </c>
      <c r="G63" s="2">
        <v>4</v>
      </c>
      <c r="H63" s="2">
        <v>142000</v>
      </c>
      <c r="I63" s="2">
        <v>120</v>
      </c>
      <c r="J63" s="2"/>
      <c r="K63" s="2">
        <v>45</v>
      </c>
      <c r="L63" s="2">
        <v>0</v>
      </c>
      <c r="M63" s="2">
        <v>10</v>
      </c>
      <c r="N63" s="2">
        <v>10</v>
      </c>
      <c r="O63" s="2">
        <v>15</v>
      </c>
      <c r="P63" s="2">
        <v>10</v>
      </c>
      <c r="Q63" s="2" t="s">
        <v>3276</v>
      </c>
      <c r="R63" s="2" t="s">
        <v>3277</v>
      </c>
      <c r="S63" s="4">
        <v>44952</v>
      </c>
    </row>
    <row r="64" spans="1:19" ht="12.5" x14ac:dyDescent="0.25">
      <c r="A64" s="14" t="str">
        <f>HYPERLINK("https://gerandofalcoes.my.salesforce.com/0014X00002YggkaQAB", "0014X00002YggkaQAB")</f>
        <v>0014X00002YggkaQAB</v>
      </c>
      <c r="B64" s="2" t="s">
        <v>3253</v>
      </c>
      <c r="C64" s="2" t="s">
        <v>423</v>
      </c>
      <c r="D64" s="2" t="s">
        <v>2</v>
      </c>
      <c r="E64" s="2"/>
      <c r="F64" s="2">
        <v>0</v>
      </c>
      <c r="G64" s="2">
        <v>2</v>
      </c>
      <c r="H64" s="2">
        <v>0</v>
      </c>
      <c r="I64" s="2">
        <v>40</v>
      </c>
      <c r="J64" s="2"/>
      <c r="K64" s="2">
        <v>11</v>
      </c>
      <c r="L64" s="2">
        <v>0</v>
      </c>
      <c r="M64" s="2">
        <v>0</v>
      </c>
      <c r="N64" s="2">
        <v>6</v>
      </c>
      <c r="O64" s="2">
        <v>0</v>
      </c>
      <c r="P64" s="2">
        <v>5</v>
      </c>
      <c r="Q64" s="2" t="s">
        <v>3254</v>
      </c>
      <c r="R64" s="2" t="s">
        <v>3254</v>
      </c>
      <c r="S64" s="4">
        <v>44952</v>
      </c>
    </row>
    <row r="65" spans="1:19" ht="12.5" x14ac:dyDescent="0.25">
      <c r="A65" s="14" t="str">
        <f>HYPERLINK("https://gerandofalcoes.my.salesforce.com/0014X00002YggjIQAR", "0014X00002YggjIQAR")</f>
        <v>0014X00002YggjIQAR</v>
      </c>
      <c r="B65" s="2" t="s">
        <v>3272</v>
      </c>
      <c r="C65" s="2" t="s">
        <v>423</v>
      </c>
      <c r="D65" s="2" t="s">
        <v>2</v>
      </c>
      <c r="E65" s="2"/>
      <c r="F65" s="2">
        <v>3</v>
      </c>
      <c r="G65" s="2">
        <v>2</v>
      </c>
      <c r="H65" s="2">
        <v>2000</v>
      </c>
      <c r="I65" s="2">
        <v>125</v>
      </c>
      <c r="J65" s="2"/>
      <c r="K65" s="2">
        <v>26</v>
      </c>
      <c r="L65" s="2">
        <v>0</v>
      </c>
      <c r="M65" s="2">
        <v>5</v>
      </c>
      <c r="N65" s="2">
        <v>6</v>
      </c>
      <c r="O65" s="2">
        <v>5</v>
      </c>
      <c r="P65" s="2">
        <v>10</v>
      </c>
      <c r="Q65" s="2" t="s">
        <v>3273</v>
      </c>
      <c r="R65" s="2" t="s">
        <v>3274</v>
      </c>
      <c r="S65" s="4">
        <v>44952</v>
      </c>
    </row>
    <row r="66" spans="1:19" ht="12.5" x14ac:dyDescent="0.25">
      <c r="A66" s="14" t="str">
        <f>HYPERLINK("https://gerandofalcoes.my.salesforce.com/0014X00002YggoMQAR", "0014X00002YggoMQAR")</f>
        <v>0014X00002YggoMQAR</v>
      </c>
      <c r="B66" s="2" t="s">
        <v>3299</v>
      </c>
      <c r="C66" s="2" t="s">
        <v>423</v>
      </c>
      <c r="D66" s="2" t="s">
        <v>2</v>
      </c>
      <c r="E66" s="2"/>
      <c r="F66" s="2">
        <v>6</v>
      </c>
      <c r="G66" s="2">
        <v>3</v>
      </c>
      <c r="H66" s="2">
        <v>250000</v>
      </c>
      <c r="I66" s="2">
        <v>550</v>
      </c>
      <c r="J66" s="2"/>
      <c r="K66" s="2">
        <v>53</v>
      </c>
      <c r="L66" s="2">
        <v>0</v>
      </c>
      <c r="M66" s="2">
        <v>10</v>
      </c>
      <c r="N66" s="2">
        <v>8</v>
      </c>
      <c r="O66" s="2">
        <v>15</v>
      </c>
      <c r="P66" s="2">
        <v>20</v>
      </c>
      <c r="Q66" s="2" t="s">
        <v>3300</v>
      </c>
      <c r="R66" s="2" t="s">
        <v>3301</v>
      </c>
      <c r="S66" s="4">
        <v>44953</v>
      </c>
    </row>
    <row r="67" spans="1:19" ht="12.5" x14ac:dyDescent="0.25">
      <c r="A67" s="14" t="str">
        <f>HYPERLINK("https://gerandofalcoes.my.salesforce.com/0014X00002YggiEQAR", "0014X00002YggiEQAR")</f>
        <v>0014X00002YggiEQAR</v>
      </c>
      <c r="B67" s="2" t="s">
        <v>3241</v>
      </c>
      <c r="C67" s="2" t="s">
        <v>423</v>
      </c>
      <c r="D67" s="2" t="s">
        <v>2</v>
      </c>
      <c r="E67" s="2"/>
      <c r="F67" s="2">
        <v>23</v>
      </c>
      <c r="G67" s="2">
        <v>4</v>
      </c>
      <c r="H67" s="2">
        <v>750000</v>
      </c>
      <c r="I67" s="2">
        <v>0</v>
      </c>
      <c r="J67" s="2"/>
      <c r="K67" s="2">
        <v>42</v>
      </c>
      <c r="L67" s="2">
        <v>0</v>
      </c>
      <c r="M67" s="2">
        <v>12</v>
      </c>
      <c r="N67" s="2">
        <v>10</v>
      </c>
      <c r="O67" s="2">
        <v>20</v>
      </c>
      <c r="P67" s="2">
        <v>0</v>
      </c>
      <c r="Q67" s="2" t="s">
        <v>3242</v>
      </c>
      <c r="R67" s="2" t="s">
        <v>3243</v>
      </c>
      <c r="S67" s="4">
        <v>44952</v>
      </c>
    </row>
    <row r="68" spans="1:19" ht="12.5" x14ac:dyDescent="0.25">
      <c r="A68" s="14" t="str">
        <f>HYPERLINK("https://gerandofalcoes.my.salesforce.com/0014X00002YgghXQAR", "0014X00002YgghXQAR")</f>
        <v>0014X00002YgghXQAR</v>
      </c>
      <c r="B68" s="2" t="s">
        <v>3258</v>
      </c>
      <c r="C68" s="2" t="s">
        <v>423</v>
      </c>
      <c r="D68" s="2" t="s">
        <v>2</v>
      </c>
      <c r="E68" s="2"/>
      <c r="F68" s="2">
        <v>20</v>
      </c>
      <c r="G68" s="2">
        <v>4</v>
      </c>
      <c r="H68" s="2">
        <v>5000</v>
      </c>
      <c r="I68" s="2">
        <v>75</v>
      </c>
      <c r="J68" s="2"/>
      <c r="K68" s="2">
        <v>32</v>
      </c>
      <c r="L68" s="2">
        <v>0</v>
      </c>
      <c r="M68" s="2">
        <v>12</v>
      </c>
      <c r="N68" s="2">
        <v>10</v>
      </c>
      <c r="O68" s="2">
        <v>5</v>
      </c>
      <c r="P68" s="2">
        <v>5</v>
      </c>
      <c r="Q68" s="2" t="s">
        <v>3259</v>
      </c>
      <c r="R68" s="2" t="s">
        <v>3260</v>
      </c>
      <c r="S68" s="4">
        <v>44952</v>
      </c>
    </row>
    <row r="69" spans="1:19" ht="12.5" x14ac:dyDescent="0.25">
      <c r="A69" s="14" t="str">
        <f>HYPERLINK("https://gerandofalcoes.my.salesforce.com/0014X00002YggqwQAB", "0014X00002YggqwQAB")</f>
        <v>0014X00002YggqwQAB</v>
      </c>
      <c r="B69" s="2" t="s">
        <v>3319</v>
      </c>
      <c r="C69" s="2" t="s">
        <v>423</v>
      </c>
      <c r="D69" s="2" t="s">
        <v>2</v>
      </c>
      <c r="E69" s="2"/>
      <c r="F69" s="2">
        <v>4</v>
      </c>
      <c r="G69" s="2">
        <v>2</v>
      </c>
      <c r="H69" s="2">
        <v>6082</v>
      </c>
      <c r="I69" s="2">
        <v>50</v>
      </c>
      <c r="J69" s="2"/>
      <c r="K69" s="2">
        <v>21</v>
      </c>
      <c r="L69" s="2">
        <v>0</v>
      </c>
      <c r="M69" s="2">
        <v>5</v>
      </c>
      <c r="N69" s="2">
        <v>6</v>
      </c>
      <c r="O69" s="2">
        <v>5</v>
      </c>
      <c r="P69" s="2">
        <v>5</v>
      </c>
      <c r="Q69" s="2" t="s">
        <v>3320</v>
      </c>
      <c r="R69" s="2" t="s">
        <v>3321</v>
      </c>
      <c r="S69" s="4">
        <v>44953</v>
      </c>
    </row>
    <row r="70" spans="1:19" ht="12.5" x14ac:dyDescent="0.25">
      <c r="A70" s="14" t="str">
        <f>HYPERLINK("https://gerandofalcoes.my.salesforce.com/0014X00002Yggj3QAB", "0014X00002Yggj3QAB")</f>
        <v>0014X00002Yggj3QAB</v>
      </c>
      <c r="B70" s="2" t="s">
        <v>3357</v>
      </c>
      <c r="C70" s="2" t="s">
        <v>423</v>
      </c>
      <c r="D70" s="2" t="s">
        <v>2</v>
      </c>
      <c r="E70" s="2"/>
      <c r="F70" s="2">
        <v>0</v>
      </c>
      <c r="G70" s="2">
        <v>5</v>
      </c>
      <c r="H70" s="2">
        <v>1000</v>
      </c>
      <c r="I70" s="2">
        <v>80</v>
      </c>
      <c r="J70" s="2"/>
      <c r="K70" s="2">
        <v>25</v>
      </c>
      <c r="L70" s="2">
        <v>0</v>
      </c>
      <c r="M70" s="2">
        <v>0</v>
      </c>
      <c r="N70" s="2">
        <v>10</v>
      </c>
      <c r="O70" s="2">
        <v>5</v>
      </c>
      <c r="P70" s="2">
        <v>10</v>
      </c>
      <c r="Q70" s="2" t="s">
        <v>3358</v>
      </c>
      <c r="R70" s="2" t="s">
        <v>3359</v>
      </c>
      <c r="S70" s="4">
        <v>44953</v>
      </c>
    </row>
    <row r="71" spans="1:19" ht="12.5" x14ac:dyDescent="0.25">
      <c r="A71" s="14" t="str">
        <f>HYPERLINK("https://gerandofalcoes.my.salesforce.com/0014X00002YgghEQAR", "0014X00002YgghEQAR")</f>
        <v>0014X00002YgghEQAR</v>
      </c>
      <c r="B71" s="2" t="s">
        <v>3314</v>
      </c>
      <c r="C71" s="2" t="s">
        <v>423</v>
      </c>
      <c r="D71" s="2" t="s">
        <v>2</v>
      </c>
      <c r="E71" s="2"/>
      <c r="F71" s="2">
        <v>22</v>
      </c>
      <c r="G71" s="2">
        <v>5</v>
      </c>
      <c r="H71" s="2">
        <v>100000</v>
      </c>
      <c r="I71" s="2">
        <v>150</v>
      </c>
      <c r="J71" s="2"/>
      <c r="K71" s="2">
        <v>49</v>
      </c>
      <c r="L71" s="2">
        <v>0</v>
      </c>
      <c r="M71" s="2">
        <v>12</v>
      </c>
      <c r="N71" s="2">
        <v>10</v>
      </c>
      <c r="O71" s="2">
        <v>15</v>
      </c>
      <c r="P71" s="2">
        <v>12</v>
      </c>
      <c r="Q71" s="2" t="s">
        <v>3315</v>
      </c>
      <c r="R71" s="2" t="s">
        <v>3315</v>
      </c>
      <c r="S71" s="4">
        <v>44953</v>
      </c>
    </row>
    <row r="72" spans="1:19" ht="12.5" x14ac:dyDescent="0.25">
      <c r="A72" s="14" t="str">
        <f>HYPERLINK("https://gerandofalcoes.my.salesforce.com/0014X00002YgbkTQAR", "0014X00002YgbkTQAR")</f>
        <v>0014X00002YgbkTQAR</v>
      </c>
      <c r="B72" s="2" t="s">
        <v>3337</v>
      </c>
      <c r="C72" s="2" t="s">
        <v>423</v>
      </c>
      <c r="D72" s="2" t="s">
        <v>2</v>
      </c>
      <c r="E72" s="2"/>
      <c r="F72" s="2">
        <v>0</v>
      </c>
      <c r="G72" s="2">
        <v>0</v>
      </c>
      <c r="H72" s="2">
        <v>0</v>
      </c>
      <c r="I72" s="2">
        <v>0</v>
      </c>
      <c r="J72" s="2"/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 t="s">
        <v>3338</v>
      </c>
      <c r="R72" s="2" t="s">
        <v>3339</v>
      </c>
      <c r="S72" s="4">
        <v>44953</v>
      </c>
    </row>
    <row r="73" spans="1:19" ht="12.5" x14ac:dyDescent="0.25">
      <c r="A73" s="14" t="str">
        <f>HYPERLINK("https://gerandofalcoes.my.salesforce.com/0014X00002YggoaQAB", "0014X00002YggoaQAB")</f>
        <v>0014X00002YggoaQAB</v>
      </c>
      <c r="B73" s="2" t="s">
        <v>3340</v>
      </c>
      <c r="C73" s="2" t="s">
        <v>423</v>
      </c>
      <c r="D73" s="2" t="s">
        <v>2</v>
      </c>
      <c r="E73" s="2"/>
      <c r="F73" s="2">
        <v>10</v>
      </c>
      <c r="G73" s="2">
        <v>4</v>
      </c>
      <c r="H73" s="2">
        <v>581000</v>
      </c>
      <c r="I73" s="2">
        <v>323</v>
      </c>
      <c r="J73" s="2"/>
      <c r="K73" s="2">
        <v>55</v>
      </c>
      <c r="L73" s="2">
        <v>0</v>
      </c>
      <c r="M73" s="2">
        <v>10</v>
      </c>
      <c r="N73" s="2">
        <v>10</v>
      </c>
      <c r="O73" s="2">
        <v>20</v>
      </c>
      <c r="P73" s="2">
        <v>15</v>
      </c>
      <c r="Q73" s="2" t="s">
        <v>3341</v>
      </c>
      <c r="R73" s="2" t="s">
        <v>3342</v>
      </c>
      <c r="S73" s="4">
        <v>44953</v>
      </c>
    </row>
    <row r="74" spans="1:19" ht="12.5" x14ac:dyDescent="0.25">
      <c r="A74" s="14" t="str">
        <f>HYPERLINK("https://gerandofalcoes.my.salesforce.com/0014X00002YggqKQAR", "0014X00002YggqKQAR")</f>
        <v>0014X00002YggqKQAR</v>
      </c>
      <c r="B74" s="2" t="s">
        <v>3372</v>
      </c>
      <c r="C74" s="2" t="s">
        <v>423</v>
      </c>
      <c r="D74" s="2" t="s">
        <v>2</v>
      </c>
      <c r="E74" s="2"/>
      <c r="F74" s="2">
        <v>0</v>
      </c>
      <c r="G74" s="2">
        <v>4</v>
      </c>
      <c r="H74" s="2">
        <v>11000</v>
      </c>
      <c r="I74" s="2">
        <v>10</v>
      </c>
      <c r="J74" s="2"/>
      <c r="K74" s="2">
        <v>20</v>
      </c>
      <c r="L74" s="2">
        <v>0</v>
      </c>
      <c r="M74" s="2">
        <v>0</v>
      </c>
      <c r="N74" s="2">
        <v>10</v>
      </c>
      <c r="O74" s="2">
        <v>5</v>
      </c>
      <c r="P74" s="2">
        <v>5</v>
      </c>
      <c r="Q74" s="2" t="s">
        <v>3373</v>
      </c>
      <c r="R74" s="2" t="s">
        <v>3374</v>
      </c>
      <c r="S74" s="4">
        <v>44953</v>
      </c>
    </row>
    <row r="75" spans="1:19" ht="12.5" x14ac:dyDescent="0.25">
      <c r="A75" s="14" t="str">
        <f>HYPERLINK("https://gerandofalcoes.my.salesforce.com/0014X00002YggoDQAR", "0014X00002YggoDQAR")</f>
        <v>0014X00002YggoDQAR</v>
      </c>
      <c r="B75" s="2" t="s">
        <v>3662</v>
      </c>
      <c r="C75" s="2" t="s">
        <v>423</v>
      </c>
      <c r="D75" s="2" t="s">
        <v>2</v>
      </c>
      <c r="E75" s="2">
        <v>0</v>
      </c>
      <c r="F75" s="2">
        <v>0</v>
      </c>
      <c r="G75" s="2">
        <v>2</v>
      </c>
      <c r="H75" s="2">
        <v>0</v>
      </c>
      <c r="I75" s="2">
        <v>20</v>
      </c>
      <c r="J75" s="2" t="s">
        <v>1779</v>
      </c>
      <c r="K75" s="2">
        <v>11</v>
      </c>
      <c r="L75" s="2">
        <v>0</v>
      </c>
      <c r="M75" s="2">
        <v>0</v>
      </c>
      <c r="N75" s="2">
        <v>6</v>
      </c>
      <c r="O75" s="2">
        <v>0</v>
      </c>
      <c r="P75" s="2">
        <v>5</v>
      </c>
      <c r="Q75" s="2" t="s">
        <v>3663</v>
      </c>
      <c r="R75" s="2" t="s">
        <v>3664</v>
      </c>
      <c r="S75" s="4">
        <v>44964</v>
      </c>
    </row>
    <row r="76" spans="1:19" ht="12.5" x14ac:dyDescent="0.25">
      <c r="A76" s="14" t="str">
        <f>HYPERLINK("https://gerandofalcoes.my.salesforce.com/0014X00002YggjqQAB", "0014X00002YggjqQAB")</f>
        <v>0014X00002YggjqQAB</v>
      </c>
      <c r="B76" s="2" t="s">
        <v>3617</v>
      </c>
      <c r="C76" s="2" t="s">
        <v>423</v>
      </c>
      <c r="D76" s="2" t="s">
        <v>2</v>
      </c>
      <c r="E76" s="2"/>
      <c r="F76" s="2">
        <v>2</v>
      </c>
      <c r="G76" s="2">
        <v>7</v>
      </c>
      <c r="H76" s="2">
        <v>100000</v>
      </c>
      <c r="I76" s="2">
        <v>120</v>
      </c>
      <c r="J76" s="2"/>
      <c r="K76" s="2">
        <v>40</v>
      </c>
      <c r="L76" s="2">
        <v>0</v>
      </c>
      <c r="M76" s="2">
        <v>5</v>
      </c>
      <c r="N76" s="2">
        <v>10</v>
      </c>
      <c r="O76" s="2">
        <v>15</v>
      </c>
      <c r="P76" s="2">
        <v>10</v>
      </c>
      <c r="Q76" s="2" t="s">
        <v>3618</v>
      </c>
      <c r="R76" s="2" t="s">
        <v>3619</v>
      </c>
      <c r="S76" s="4">
        <v>44963</v>
      </c>
    </row>
    <row r="77" spans="1:19" ht="12.5" x14ac:dyDescent="0.25">
      <c r="A77" s="14" t="str">
        <f>HYPERLINK("https://gerandofalcoes.my.salesforce.com/0014X00002YggiwQAB", "0014X00002YggiwQAB")</f>
        <v>0014X00002YggiwQAB</v>
      </c>
      <c r="B77" s="2" t="s">
        <v>3452</v>
      </c>
      <c r="C77" s="2" t="s">
        <v>423</v>
      </c>
      <c r="D77" s="2" t="s">
        <v>2</v>
      </c>
      <c r="E77" s="2"/>
      <c r="F77" s="2">
        <v>22</v>
      </c>
      <c r="G77" s="2">
        <v>5</v>
      </c>
      <c r="H77" s="2">
        <v>14400</v>
      </c>
      <c r="I77" s="2">
        <v>60</v>
      </c>
      <c r="J77" s="2"/>
      <c r="K77" s="2">
        <v>32</v>
      </c>
      <c r="L77" s="2">
        <v>0</v>
      </c>
      <c r="M77" s="2">
        <v>12</v>
      </c>
      <c r="N77" s="2">
        <v>10</v>
      </c>
      <c r="O77" s="2">
        <v>5</v>
      </c>
      <c r="P77" s="2">
        <v>5</v>
      </c>
      <c r="Q77" s="2" t="s">
        <v>3453</v>
      </c>
      <c r="R77" s="2" t="s">
        <v>3454</v>
      </c>
      <c r="S77" s="4">
        <v>44958</v>
      </c>
    </row>
    <row r="78" spans="1:19" ht="12.5" x14ac:dyDescent="0.25">
      <c r="A78" s="14" t="str">
        <f>HYPERLINK("https://gerandofalcoes.my.salesforce.com/0014X00002YggoRQAR", "0014X00002YggoRQAR")</f>
        <v>0014X00002YggoRQAR</v>
      </c>
      <c r="B78" s="2" t="s">
        <v>3510</v>
      </c>
      <c r="C78" s="2" t="s">
        <v>423</v>
      </c>
      <c r="D78" s="2" t="s">
        <v>2</v>
      </c>
      <c r="E78" s="2"/>
      <c r="F78" s="2">
        <v>0</v>
      </c>
      <c r="G78" s="2">
        <v>2</v>
      </c>
      <c r="H78" s="2">
        <v>0</v>
      </c>
      <c r="I78" s="2">
        <v>0</v>
      </c>
      <c r="J78" s="2"/>
      <c r="K78" s="2">
        <v>6</v>
      </c>
      <c r="L78" s="2">
        <v>0</v>
      </c>
      <c r="M78" s="2">
        <v>0</v>
      </c>
      <c r="N78" s="2">
        <v>6</v>
      </c>
      <c r="O78" s="2">
        <v>0</v>
      </c>
      <c r="P78" s="2">
        <v>0</v>
      </c>
      <c r="Q78" s="2" t="s">
        <v>3511</v>
      </c>
      <c r="R78" s="2" t="s">
        <v>3511</v>
      </c>
      <c r="S78" s="4">
        <v>44958</v>
      </c>
    </row>
    <row r="79" spans="1:19" ht="12.5" x14ac:dyDescent="0.25">
      <c r="A79" s="14" t="str">
        <f>HYPERLINK("https://gerandofalcoes.my.salesforce.com/0014X00002YgglLQAR", "0014X00002YgglLQAR")</f>
        <v>0014X00002YgglLQAR</v>
      </c>
      <c r="B79" s="2" t="s">
        <v>3547</v>
      </c>
      <c r="C79" s="2" t="s">
        <v>423</v>
      </c>
      <c r="D79" s="2" t="s">
        <v>2</v>
      </c>
      <c r="E79" s="2"/>
      <c r="F79" s="2">
        <v>7</v>
      </c>
      <c r="G79" s="2">
        <v>2</v>
      </c>
      <c r="H79" s="2">
        <v>1800</v>
      </c>
      <c r="I79" s="2">
        <v>48</v>
      </c>
      <c r="J79" s="2"/>
      <c r="K79" s="2">
        <v>26</v>
      </c>
      <c r="L79" s="2">
        <v>0</v>
      </c>
      <c r="M79" s="2">
        <v>10</v>
      </c>
      <c r="N79" s="2">
        <v>6</v>
      </c>
      <c r="O79" s="2">
        <v>5</v>
      </c>
      <c r="P79" s="2">
        <v>5</v>
      </c>
      <c r="Q79" s="2" t="s">
        <v>3548</v>
      </c>
      <c r="R79" s="2" t="s">
        <v>3548</v>
      </c>
      <c r="S79" s="4">
        <v>44959</v>
      </c>
    </row>
    <row r="80" spans="1:19" ht="12.5" x14ac:dyDescent="0.25">
      <c r="A80" s="14" t="str">
        <f>HYPERLINK("https://gerandofalcoes.my.salesforce.com/0014X00002YgbkQQAR", "0014X00002YgbkQQAR")</f>
        <v>0014X00002YgbkQQAR</v>
      </c>
      <c r="B80" s="2" t="s">
        <v>3542</v>
      </c>
      <c r="C80" s="2" t="s">
        <v>423</v>
      </c>
      <c r="D80" s="2" t="s">
        <v>2</v>
      </c>
      <c r="E80" s="2"/>
      <c r="F80" s="2">
        <v>0</v>
      </c>
      <c r="G80" s="2">
        <v>0</v>
      </c>
      <c r="H80" s="2">
        <v>0</v>
      </c>
      <c r="I80" s="2">
        <v>0</v>
      </c>
      <c r="J80" s="2"/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 t="s">
        <v>3543</v>
      </c>
      <c r="R80" s="2" t="s">
        <v>3544</v>
      </c>
      <c r="S80" s="4">
        <v>44959</v>
      </c>
    </row>
    <row r="81" spans="1:19" ht="12.5" x14ac:dyDescent="0.25">
      <c r="A81" s="14" t="str">
        <f>HYPERLINK("https://gerandofalcoes.my.salesforce.com/0014X00002YggkTQAR", "0014X00002YggkTQAR")</f>
        <v>0014X00002YggkTQAR</v>
      </c>
      <c r="B81" s="2" t="s">
        <v>3777</v>
      </c>
      <c r="C81" s="2" t="s">
        <v>423</v>
      </c>
      <c r="D81" s="2" t="s">
        <v>2</v>
      </c>
      <c r="E81" s="2"/>
      <c r="F81" s="2">
        <v>1</v>
      </c>
      <c r="G81" s="2">
        <v>4</v>
      </c>
      <c r="H81" s="2">
        <v>7134525</v>
      </c>
      <c r="I81" s="2">
        <v>20</v>
      </c>
      <c r="J81" s="2"/>
      <c r="K81" s="2">
        <v>45</v>
      </c>
      <c r="L81" s="2">
        <v>0</v>
      </c>
      <c r="M81" s="2">
        <v>5</v>
      </c>
      <c r="N81" s="2">
        <v>10</v>
      </c>
      <c r="O81" s="2">
        <v>25</v>
      </c>
      <c r="P81" s="2">
        <v>5</v>
      </c>
      <c r="Q81" s="2" t="s">
        <v>3778</v>
      </c>
      <c r="R81" s="2" t="s">
        <v>3778</v>
      </c>
      <c r="S81" s="4">
        <v>44968</v>
      </c>
    </row>
    <row r="82" spans="1:19" ht="12.5" x14ac:dyDescent="0.25">
      <c r="A82" s="14" t="str">
        <f>HYPERLINK("https://gerandofalcoes.my.salesforce.com/0014X00002YggiSQAR", "0014X00002YggiSQAR")</f>
        <v>0014X00002YggiSQAR</v>
      </c>
      <c r="B82" s="2" t="s">
        <v>3075</v>
      </c>
      <c r="C82" s="2" t="s">
        <v>423</v>
      </c>
      <c r="D82" s="2" t="s">
        <v>2</v>
      </c>
      <c r="E82" s="2"/>
      <c r="F82" s="2">
        <v>0</v>
      </c>
      <c r="G82" s="2">
        <v>3</v>
      </c>
      <c r="H82" s="2">
        <v>10000</v>
      </c>
      <c r="I82" s="2">
        <v>100</v>
      </c>
      <c r="J82" s="2"/>
      <c r="K82" s="2">
        <v>23</v>
      </c>
      <c r="L82" s="2">
        <v>0</v>
      </c>
      <c r="M82" s="2">
        <v>0</v>
      </c>
      <c r="N82" s="2">
        <v>8</v>
      </c>
      <c r="O82" s="2">
        <v>5</v>
      </c>
      <c r="P82" s="2">
        <v>10</v>
      </c>
      <c r="Q82" s="2" t="s">
        <v>3076</v>
      </c>
      <c r="R82" s="2" t="s">
        <v>3077</v>
      </c>
      <c r="S82" s="4">
        <v>44946</v>
      </c>
    </row>
    <row r="83" spans="1:19" ht="12.5" x14ac:dyDescent="0.25">
      <c r="A83" s="14" t="str">
        <f>HYPERLINK("https://gerandofalcoes.my.salesforce.com/0014X00002YgghTQAR", "0014X00002YgghTQAR")</f>
        <v>0014X00002YgghTQAR</v>
      </c>
      <c r="B83" s="2" t="s">
        <v>3792</v>
      </c>
      <c r="C83" s="2" t="s">
        <v>423</v>
      </c>
      <c r="D83" s="2" t="s">
        <v>2</v>
      </c>
      <c r="E83" s="2"/>
      <c r="F83" s="2">
        <v>2</v>
      </c>
      <c r="G83" s="2">
        <v>2</v>
      </c>
      <c r="H83" s="2">
        <v>4500</v>
      </c>
      <c r="I83" s="2">
        <v>77</v>
      </c>
      <c r="J83" s="2"/>
      <c r="K83" s="2">
        <v>21</v>
      </c>
      <c r="L83" s="2">
        <v>0</v>
      </c>
      <c r="M83" s="2">
        <v>5</v>
      </c>
      <c r="N83" s="2">
        <v>6</v>
      </c>
      <c r="O83" s="2">
        <v>5</v>
      </c>
      <c r="P83" s="2">
        <v>5</v>
      </c>
      <c r="Q83" s="2" t="s">
        <v>3793</v>
      </c>
      <c r="R83" s="2" t="s">
        <v>3793</v>
      </c>
      <c r="S83" s="4">
        <v>44968</v>
      </c>
    </row>
    <row r="84" spans="1:19" ht="12.5" x14ac:dyDescent="0.25">
      <c r="A84" s="14" t="str">
        <f>HYPERLINK("https://gerandofalcoes.my.salesforce.com/0014X00002YggiQQAR", "0014X00002YggiQQAR")</f>
        <v>0014X00002YggiQQAR</v>
      </c>
      <c r="B84" s="2" t="s">
        <v>3149</v>
      </c>
      <c r="C84" s="2" t="s">
        <v>423</v>
      </c>
      <c r="D84" s="2" t="s">
        <v>2</v>
      </c>
      <c r="E84" s="2"/>
      <c r="F84" s="2">
        <v>30</v>
      </c>
      <c r="G84" s="2">
        <v>5</v>
      </c>
      <c r="H84" s="2">
        <v>190000</v>
      </c>
      <c r="I84" s="2">
        <v>178</v>
      </c>
      <c r="J84" s="2"/>
      <c r="K84" s="2">
        <v>49</v>
      </c>
      <c r="L84" s="2">
        <v>0</v>
      </c>
      <c r="M84" s="2">
        <v>12</v>
      </c>
      <c r="N84" s="2">
        <v>10</v>
      </c>
      <c r="O84" s="2">
        <v>15</v>
      </c>
      <c r="P84" s="2">
        <v>12</v>
      </c>
      <c r="Q84" s="2" t="s">
        <v>3150</v>
      </c>
      <c r="R84" s="2" t="s">
        <v>3151</v>
      </c>
      <c r="S84" s="4">
        <v>44950</v>
      </c>
    </row>
    <row r="85" spans="1:19" ht="12.5" x14ac:dyDescent="0.25">
      <c r="A85" s="14" t="str">
        <f>HYPERLINK("https://gerandofalcoes.my.salesforce.com/0014X00002YgbkmQAB", "0014X00002YgbkmQAB")</f>
        <v>0014X00002YgbkmQAB</v>
      </c>
      <c r="B85" s="2" t="s">
        <v>3796</v>
      </c>
      <c r="C85" s="2" t="s">
        <v>423</v>
      </c>
      <c r="D85" s="2" t="s">
        <v>2</v>
      </c>
      <c r="E85" s="2"/>
      <c r="F85" s="2">
        <v>0</v>
      </c>
      <c r="G85" s="2">
        <v>0</v>
      </c>
      <c r="H85" s="2">
        <v>0</v>
      </c>
      <c r="I85" s="2">
        <v>0</v>
      </c>
      <c r="J85" s="2"/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 t="s">
        <v>3797</v>
      </c>
      <c r="R85" s="2" t="s">
        <v>3797</v>
      </c>
      <c r="S85" s="4">
        <v>44968</v>
      </c>
    </row>
    <row r="86" spans="1:19" ht="12.5" x14ac:dyDescent="0.25">
      <c r="A86" s="14" t="str">
        <f>HYPERLINK("https://gerandofalcoes.my.salesforce.com/0014X00002YggirQAB", "0014X00002YggirQAB")</f>
        <v>0014X00002YggirQAB</v>
      </c>
      <c r="B86" s="2" t="s">
        <v>3213</v>
      </c>
      <c r="C86" s="2" t="s">
        <v>423</v>
      </c>
      <c r="D86" s="2" t="s">
        <v>2</v>
      </c>
      <c r="E86" s="2"/>
      <c r="F86" s="2">
        <v>0</v>
      </c>
      <c r="G86" s="2">
        <v>2</v>
      </c>
      <c r="H86" s="2">
        <v>5000</v>
      </c>
      <c r="I86" s="2">
        <v>100</v>
      </c>
      <c r="J86" s="2"/>
      <c r="K86" s="2">
        <v>21</v>
      </c>
      <c r="L86" s="2">
        <v>0</v>
      </c>
      <c r="M86" s="2">
        <v>0</v>
      </c>
      <c r="N86" s="2">
        <v>6</v>
      </c>
      <c r="O86" s="2">
        <v>5</v>
      </c>
      <c r="P86" s="2">
        <v>10</v>
      </c>
      <c r="Q86" s="2" t="s">
        <v>3214</v>
      </c>
      <c r="R86" s="2" t="s">
        <v>3214</v>
      </c>
      <c r="S86" s="4">
        <v>44951</v>
      </c>
    </row>
    <row r="87" spans="1:19" ht="12.5" x14ac:dyDescent="0.25">
      <c r="A87" s="14" t="str">
        <f>HYPERLINK("https://gerandofalcoes.my.salesforce.com/0014X00002YggnQQAR", "0014X00002YggnQQAR")</f>
        <v>0014X00002YggnQQAR</v>
      </c>
      <c r="B87" s="2" t="s">
        <v>3210</v>
      </c>
      <c r="C87" s="2" t="s">
        <v>423</v>
      </c>
      <c r="D87" s="2" t="s">
        <v>2</v>
      </c>
      <c r="E87" s="2"/>
      <c r="F87" s="2">
        <v>12</v>
      </c>
      <c r="G87" s="2">
        <v>5</v>
      </c>
      <c r="H87" s="2">
        <v>226000</v>
      </c>
      <c r="I87" s="2">
        <v>323</v>
      </c>
      <c r="J87" s="2"/>
      <c r="K87" s="2">
        <v>52</v>
      </c>
      <c r="L87" s="2">
        <v>0</v>
      </c>
      <c r="M87" s="2">
        <v>12</v>
      </c>
      <c r="N87" s="2">
        <v>10</v>
      </c>
      <c r="O87" s="2">
        <v>15</v>
      </c>
      <c r="P87" s="2">
        <v>15</v>
      </c>
      <c r="Q87" s="2" t="s">
        <v>3211</v>
      </c>
      <c r="R87" s="2" t="s">
        <v>3212</v>
      </c>
      <c r="S87" s="4">
        <v>44951</v>
      </c>
    </row>
    <row r="88" spans="1:19" ht="12.5" x14ac:dyDescent="0.25">
      <c r="A88" s="14" t="str">
        <f>HYPERLINK("https://gerandofalcoes.my.salesforce.com/0014X00002YgglxQAB", "0014X00002YgglxQAB")</f>
        <v>0014X00002YgglxQAB</v>
      </c>
      <c r="B88" s="2" t="s">
        <v>3222</v>
      </c>
      <c r="C88" s="2" t="s">
        <v>423</v>
      </c>
      <c r="D88" s="2" t="s">
        <v>2</v>
      </c>
      <c r="E88" s="2"/>
      <c r="F88" s="2">
        <v>0</v>
      </c>
      <c r="G88" s="2">
        <v>2</v>
      </c>
      <c r="H88" s="2">
        <v>2500</v>
      </c>
      <c r="I88" s="2">
        <v>40</v>
      </c>
      <c r="J88" s="2"/>
      <c r="K88" s="2">
        <v>16</v>
      </c>
      <c r="L88" s="2">
        <v>0</v>
      </c>
      <c r="M88" s="2">
        <v>0</v>
      </c>
      <c r="N88" s="2">
        <v>6</v>
      </c>
      <c r="O88" s="2">
        <v>5</v>
      </c>
      <c r="P88" s="2">
        <v>5</v>
      </c>
      <c r="Q88" s="2" t="s">
        <v>3223</v>
      </c>
      <c r="R88" s="2" t="s">
        <v>3224</v>
      </c>
      <c r="S88" s="4">
        <v>44951</v>
      </c>
    </row>
    <row r="89" spans="1:19" ht="12.5" x14ac:dyDescent="0.25">
      <c r="A89" s="14" t="str">
        <f>HYPERLINK("https://gerandofalcoes.my.salesforce.com/0014X00002Yggl7QAB", "0014X00002Yggl7QAB")</f>
        <v>0014X00002Yggl7QAB</v>
      </c>
      <c r="B89" s="2" t="s">
        <v>3204</v>
      </c>
      <c r="C89" s="2" t="s">
        <v>423</v>
      </c>
      <c r="D89" s="2" t="s">
        <v>2</v>
      </c>
      <c r="E89" s="2"/>
      <c r="F89" s="2">
        <v>0</v>
      </c>
      <c r="G89" s="2">
        <v>4</v>
      </c>
      <c r="H89" s="2">
        <v>20000</v>
      </c>
      <c r="I89" s="2">
        <v>2000</v>
      </c>
      <c r="J89" s="2"/>
      <c r="K89" s="2">
        <v>35</v>
      </c>
      <c r="L89" s="2">
        <v>0</v>
      </c>
      <c r="M89" s="2">
        <v>0</v>
      </c>
      <c r="N89" s="2">
        <v>10</v>
      </c>
      <c r="O89" s="2">
        <v>5</v>
      </c>
      <c r="P89" s="2">
        <v>20</v>
      </c>
      <c r="Q89" s="2" t="s">
        <v>3205</v>
      </c>
      <c r="R89" s="2" t="s">
        <v>3206</v>
      </c>
      <c r="S89" s="4">
        <v>44951</v>
      </c>
    </row>
    <row r="90" spans="1:19" ht="12.5" x14ac:dyDescent="0.25">
      <c r="A90" s="14" t="str">
        <f>HYPERLINK("https://gerandofalcoes.my.salesforce.com/0014X00002YggolQAB", "0014X00002YggolQAB")</f>
        <v>0014X00002YggolQAB</v>
      </c>
      <c r="B90" s="2" t="s">
        <v>3215</v>
      </c>
      <c r="C90" s="2" t="s">
        <v>423</v>
      </c>
      <c r="D90" s="2" t="s">
        <v>2</v>
      </c>
      <c r="E90" s="2"/>
      <c r="F90" s="2">
        <v>0</v>
      </c>
      <c r="G90" s="2">
        <v>2</v>
      </c>
      <c r="H90" s="2">
        <v>0</v>
      </c>
      <c r="I90" s="2">
        <v>100</v>
      </c>
      <c r="J90" s="2"/>
      <c r="K90" s="2">
        <v>16</v>
      </c>
      <c r="L90" s="2">
        <v>0</v>
      </c>
      <c r="M90" s="2">
        <v>0</v>
      </c>
      <c r="N90" s="2">
        <v>6</v>
      </c>
      <c r="O90" s="2">
        <v>0</v>
      </c>
      <c r="P90" s="2">
        <v>10</v>
      </c>
      <c r="Q90" s="2" t="s">
        <v>3216</v>
      </c>
      <c r="R90" s="2" t="s">
        <v>3217</v>
      </c>
      <c r="S90" s="4">
        <v>44951</v>
      </c>
    </row>
    <row r="91" spans="1:19" ht="12.5" x14ac:dyDescent="0.25">
      <c r="A91" s="14" t="str">
        <f>HYPERLINK("https://gerandofalcoes.my.salesforce.com/0014X00002YgghFQAR", "0014X00002YgghFQAR")</f>
        <v>0014X00002YgghFQAR</v>
      </c>
      <c r="B91" s="2" t="s">
        <v>3247</v>
      </c>
      <c r="C91" s="2" t="s">
        <v>423</v>
      </c>
      <c r="D91" s="2" t="s">
        <v>2</v>
      </c>
      <c r="E91" s="2"/>
      <c r="F91" s="2">
        <v>0</v>
      </c>
      <c r="G91" s="2">
        <v>2</v>
      </c>
      <c r="H91" s="2">
        <v>5000</v>
      </c>
      <c r="I91" s="2">
        <v>27</v>
      </c>
      <c r="J91" s="2"/>
      <c r="K91" s="2">
        <v>16</v>
      </c>
      <c r="L91" s="2">
        <v>0</v>
      </c>
      <c r="M91" s="2">
        <v>0</v>
      </c>
      <c r="N91" s="2">
        <v>6</v>
      </c>
      <c r="O91" s="2">
        <v>5</v>
      </c>
      <c r="P91" s="2">
        <v>5</v>
      </c>
      <c r="Q91" s="2" t="s">
        <v>3248</v>
      </c>
      <c r="R91" s="2" t="s">
        <v>3249</v>
      </c>
      <c r="S91" s="4">
        <v>44952</v>
      </c>
    </row>
    <row r="92" spans="1:19" ht="12.5" x14ac:dyDescent="0.25">
      <c r="A92" s="14" t="str">
        <f>HYPERLINK("https://gerandofalcoes.my.salesforce.com/0014X00002YggqZQAR", "0014X00002YggqZQAR")</f>
        <v>0014X00002YggqZQAR</v>
      </c>
      <c r="B92" s="2" t="s">
        <v>3289</v>
      </c>
      <c r="C92" s="2" t="s">
        <v>423</v>
      </c>
      <c r="D92" s="2" t="s">
        <v>2</v>
      </c>
      <c r="E92" s="2"/>
      <c r="F92" s="2">
        <v>5</v>
      </c>
      <c r="G92" s="2">
        <v>3</v>
      </c>
      <c r="H92" s="2">
        <v>1000</v>
      </c>
      <c r="I92" s="2">
        <v>23</v>
      </c>
      <c r="J92" s="2"/>
      <c r="K92" s="2">
        <v>23</v>
      </c>
      <c r="L92" s="2">
        <v>0</v>
      </c>
      <c r="M92" s="2">
        <v>5</v>
      </c>
      <c r="N92" s="2">
        <v>8</v>
      </c>
      <c r="O92" s="2">
        <v>5</v>
      </c>
      <c r="P92" s="2">
        <v>5</v>
      </c>
      <c r="Q92" s="2" t="s">
        <v>3290</v>
      </c>
      <c r="R92" s="2" t="s">
        <v>3290</v>
      </c>
      <c r="S92" s="4">
        <v>44952</v>
      </c>
    </row>
    <row r="93" spans="1:19" ht="12.5" x14ac:dyDescent="0.25">
      <c r="A93" s="14" t="str">
        <f>HYPERLINK("https://gerandofalcoes.my.salesforce.com/0014X00002YgghhQAB", "0014X00002YgghhQAB")</f>
        <v>0014X00002YgghhQAB</v>
      </c>
      <c r="B93" s="2" t="s">
        <v>3286</v>
      </c>
      <c r="C93" s="2" t="s">
        <v>423</v>
      </c>
      <c r="D93" s="2" t="s">
        <v>2</v>
      </c>
      <c r="E93" s="2"/>
      <c r="F93" s="2">
        <v>1</v>
      </c>
      <c r="G93" s="2">
        <v>2</v>
      </c>
      <c r="H93" s="2">
        <v>0</v>
      </c>
      <c r="I93" s="2">
        <v>46</v>
      </c>
      <c r="J93" s="2"/>
      <c r="K93" s="2">
        <v>16</v>
      </c>
      <c r="L93" s="2">
        <v>0</v>
      </c>
      <c r="M93" s="2">
        <v>5</v>
      </c>
      <c r="N93" s="2">
        <v>6</v>
      </c>
      <c r="O93" s="2">
        <v>0</v>
      </c>
      <c r="P93" s="2">
        <v>5</v>
      </c>
      <c r="Q93" s="2" t="s">
        <v>3287</v>
      </c>
      <c r="R93" s="2" t="s">
        <v>3288</v>
      </c>
      <c r="S93" s="4">
        <v>44952</v>
      </c>
    </row>
    <row r="94" spans="1:19" ht="12.5" x14ac:dyDescent="0.25">
      <c r="A94" s="14" t="str">
        <f>HYPERLINK("https://gerandofalcoes.my.salesforce.com/0014X00002YggkAQAR", "0014X00002YggkAQAR")</f>
        <v>0014X00002YggkAQAR</v>
      </c>
      <c r="B94" s="2" t="s">
        <v>3255</v>
      </c>
      <c r="C94" s="2" t="s">
        <v>423</v>
      </c>
      <c r="D94" s="2" t="s">
        <v>2</v>
      </c>
      <c r="E94" s="2"/>
      <c r="F94" s="2">
        <v>12</v>
      </c>
      <c r="G94" s="2">
        <v>2</v>
      </c>
      <c r="H94" s="2">
        <v>4000</v>
      </c>
      <c r="I94" s="2">
        <v>0</v>
      </c>
      <c r="J94" s="2"/>
      <c r="K94" s="2">
        <v>23</v>
      </c>
      <c r="L94" s="2">
        <v>0</v>
      </c>
      <c r="M94" s="2">
        <v>12</v>
      </c>
      <c r="N94" s="2">
        <v>6</v>
      </c>
      <c r="O94" s="2">
        <v>5</v>
      </c>
      <c r="P94" s="2">
        <v>0</v>
      </c>
      <c r="Q94" s="2" t="s">
        <v>3256</v>
      </c>
      <c r="R94" s="2" t="s">
        <v>3257</v>
      </c>
      <c r="S94" s="4">
        <v>44952</v>
      </c>
    </row>
    <row r="95" spans="1:19" ht="12.5" x14ac:dyDescent="0.25">
      <c r="A95" s="14" t="str">
        <f>HYPERLINK("https://gerandofalcoes.my.salesforce.com/0014X00002YggnkQAB", "0014X00002YggnkQAB")</f>
        <v>0014X00002YggnkQAB</v>
      </c>
      <c r="B95" s="2" t="s">
        <v>3263</v>
      </c>
      <c r="C95" s="2" t="s">
        <v>423</v>
      </c>
      <c r="D95" s="2" t="s">
        <v>2</v>
      </c>
      <c r="E95" s="2"/>
      <c r="F95" s="2">
        <v>0</v>
      </c>
      <c r="G95" s="2">
        <v>2</v>
      </c>
      <c r="H95" s="2">
        <v>0</v>
      </c>
      <c r="I95" s="2">
        <v>120</v>
      </c>
      <c r="J95" s="2"/>
      <c r="K95" s="2">
        <v>16</v>
      </c>
      <c r="L95" s="2">
        <v>0</v>
      </c>
      <c r="M95" s="2">
        <v>0</v>
      </c>
      <c r="N95" s="2">
        <v>6</v>
      </c>
      <c r="O95" s="2">
        <v>0</v>
      </c>
      <c r="P95" s="2">
        <v>10</v>
      </c>
      <c r="Q95" s="2" t="s">
        <v>3264</v>
      </c>
      <c r="R95" s="2" t="s">
        <v>3264</v>
      </c>
      <c r="S95" s="4">
        <v>44952</v>
      </c>
    </row>
    <row r="96" spans="1:19" ht="12.5" x14ac:dyDescent="0.25">
      <c r="A96" s="14" t="str">
        <f>HYPERLINK("https://gerandofalcoes.my.salesforce.com/0014X00002YgghNQAR", "0014X00002YgghNQAR")</f>
        <v>0014X00002YgghNQAR</v>
      </c>
      <c r="B96" s="2" t="s">
        <v>3268</v>
      </c>
      <c r="C96" s="2" t="s">
        <v>423</v>
      </c>
      <c r="D96" s="2" t="s">
        <v>2</v>
      </c>
      <c r="E96" s="2"/>
      <c r="F96" s="2">
        <v>0</v>
      </c>
      <c r="G96" s="2">
        <v>5</v>
      </c>
      <c r="H96" s="2">
        <v>150</v>
      </c>
      <c r="I96" s="2">
        <v>350</v>
      </c>
      <c r="J96" s="2"/>
      <c r="K96" s="2">
        <v>30</v>
      </c>
      <c r="L96" s="2">
        <v>0</v>
      </c>
      <c r="M96" s="2">
        <v>0</v>
      </c>
      <c r="N96" s="2">
        <v>10</v>
      </c>
      <c r="O96" s="2">
        <v>5</v>
      </c>
      <c r="P96" s="2">
        <v>15</v>
      </c>
      <c r="Q96" s="2" t="s">
        <v>3269</v>
      </c>
      <c r="R96" s="2" t="s">
        <v>3269</v>
      </c>
      <c r="S96" s="4">
        <v>44952</v>
      </c>
    </row>
    <row r="97" spans="1:19" ht="12.5" x14ac:dyDescent="0.25">
      <c r="A97" s="14" t="str">
        <f>HYPERLINK("https://gerandofalcoes.my.salesforce.com/0014X00002YggpmQAB", "0014X00002YggpmQAB")</f>
        <v>0014X00002YggpmQAB</v>
      </c>
      <c r="B97" s="2" t="s">
        <v>3244</v>
      </c>
      <c r="C97" s="2" t="s">
        <v>423</v>
      </c>
      <c r="D97" s="2" t="s">
        <v>2</v>
      </c>
      <c r="E97" s="2"/>
      <c r="F97" s="2">
        <v>0</v>
      </c>
      <c r="G97" s="2">
        <v>3</v>
      </c>
      <c r="H97" s="2">
        <v>20000</v>
      </c>
      <c r="I97" s="2">
        <v>190</v>
      </c>
      <c r="J97" s="2"/>
      <c r="K97" s="2">
        <v>25</v>
      </c>
      <c r="L97" s="2">
        <v>0</v>
      </c>
      <c r="M97" s="2">
        <v>0</v>
      </c>
      <c r="N97" s="2">
        <v>8</v>
      </c>
      <c r="O97" s="2">
        <v>5</v>
      </c>
      <c r="P97" s="2">
        <v>12</v>
      </c>
      <c r="Q97" s="2" t="s">
        <v>3245</v>
      </c>
      <c r="R97" s="2" t="s">
        <v>3246</v>
      </c>
      <c r="S97" s="4">
        <v>44952</v>
      </c>
    </row>
    <row r="98" spans="1:19" ht="12.5" x14ac:dyDescent="0.25">
      <c r="A98" s="14" t="str">
        <f>HYPERLINK("https://gerandofalcoes.my.salesforce.com/0014X00002Yggo7QAB", "0014X00002Yggo7QAB")</f>
        <v>0014X00002Yggo7QAB</v>
      </c>
      <c r="B98" s="2" t="s">
        <v>3270</v>
      </c>
      <c r="C98" s="2" t="s">
        <v>423</v>
      </c>
      <c r="D98" s="2" t="s">
        <v>2</v>
      </c>
      <c r="E98" s="2"/>
      <c r="F98" s="2">
        <v>0</v>
      </c>
      <c r="G98" s="2">
        <v>2</v>
      </c>
      <c r="H98" s="2">
        <v>9000</v>
      </c>
      <c r="I98" s="2">
        <v>300</v>
      </c>
      <c r="J98" s="2"/>
      <c r="K98" s="2">
        <v>26</v>
      </c>
      <c r="L98" s="2">
        <v>0</v>
      </c>
      <c r="M98" s="2">
        <v>0</v>
      </c>
      <c r="N98" s="2">
        <v>6</v>
      </c>
      <c r="O98" s="2">
        <v>5</v>
      </c>
      <c r="P98" s="2">
        <v>15</v>
      </c>
      <c r="Q98" s="2" t="s">
        <v>3271</v>
      </c>
      <c r="R98" s="2" t="s">
        <v>3271</v>
      </c>
      <c r="S98" s="4">
        <v>44952</v>
      </c>
    </row>
    <row r="99" spans="1:19" ht="12.5" x14ac:dyDescent="0.25">
      <c r="A99" s="14" t="str">
        <f>HYPERLINK("https://gerandofalcoes.my.salesforce.com/0014X00002YggmJQAR", "0014X00002YggmJQAR")</f>
        <v>0014X00002YggmJQAR</v>
      </c>
      <c r="B99" s="2" t="s">
        <v>3343</v>
      </c>
      <c r="C99" s="2" t="s">
        <v>423</v>
      </c>
      <c r="D99" s="2" t="s">
        <v>2</v>
      </c>
      <c r="E99" s="2"/>
      <c r="F99" s="2">
        <v>0</v>
      </c>
      <c r="G99" s="2">
        <v>2</v>
      </c>
      <c r="H99" s="2">
        <v>15000</v>
      </c>
      <c r="I99" s="2">
        <v>130</v>
      </c>
      <c r="J99" s="2"/>
      <c r="K99" s="2">
        <v>21</v>
      </c>
      <c r="L99" s="2">
        <v>0</v>
      </c>
      <c r="M99" s="2">
        <v>0</v>
      </c>
      <c r="N99" s="2">
        <v>6</v>
      </c>
      <c r="O99" s="2">
        <v>5</v>
      </c>
      <c r="P99" s="2">
        <v>10</v>
      </c>
      <c r="Q99" s="2" t="s">
        <v>3344</v>
      </c>
      <c r="R99" s="2" t="s">
        <v>3345</v>
      </c>
      <c r="S99" s="4">
        <v>44953</v>
      </c>
    </row>
    <row r="100" spans="1:19" ht="12.5" x14ac:dyDescent="0.25">
      <c r="A100" s="14" t="str">
        <f>HYPERLINK("https://gerandofalcoes.my.salesforce.com/0014X00002Yggq6QAB", "0014X00002Yggq6QAB")</f>
        <v>0014X00002Yggq6QAB</v>
      </c>
      <c r="B100" s="2" t="s">
        <v>3328</v>
      </c>
      <c r="C100" s="2" t="s">
        <v>423</v>
      </c>
      <c r="D100" s="2" t="s">
        <v>2</v>
      </c>
      <c r="E100" s="2"/>
      <c r="F100" s="2">
        <v>0</v>
      </c>
      <c r="G100" s="2">
        <v>3</v>
      </c>
      <c r="H100" s="2">
        <v>3500</v>
      </c>
      <c r="I100" s="2">
        <v>30</v>
      </c>
      <c r="J100" s="2"/>
      <c r="K100" s="2">
        <v>18</v>
      </c>
      <c r="L100" s="2">
        <v>0</v>
      </c>
      <c r="M100" s="2">
        <v>0</v>
      </c>
      <c r="N100" s="2">
        <v>8</v>
      </c>
      <c r="O100" s="2">
        <v>5</v>
      </c>
      <c r="P100" s="2">
        <v>5</v>
      </c>
      <c r="Q100" s="2" t="s">
        <v>3329</v>
      </c>
      <c r="R100" s="2" t="s">
        <v>3330</v>
      </c>
      <c r="S100" s="4">
        <v>44953</v>
      </c>
    </row>
    <row r="101" spans="1:19" ht="12.5" x14ac:dyDescent="0.25">
      <c r="A101" s="14" t="str">
        <f>HYPERLINK("https://gerandofalcoes.my.salesforce.com/0014X00002Yggk6QAB", "0014X00002Yggk6QAB")</f>
        <v>0014X00002Yggk6QAB</v>
      </c>
      <c r="B101" s="2" t="s">
        <v>3370</v>
      </c>
      <c r="C101" s="2" t="s">
        <v>423</v>
      </c>
      <c r="D101" s="2" t="s">
        <v>2</v>
      </c>
      <c r="E101" s="2"/>
      <c r="F101" s="2">
        <v>0</v>
      </c>
      <c r="G101" s="2">
        <v>2</v>
      </c>
      <c r="H101" s="2">
        <v>1000</v>
      </c>
      <c r="I101" s="2">
        <v>20</v>
      </c>
      <c r="J101" s="2"/>
      <c r="K101" s="2">
        <v>16</v>
      </c>
      <c r="L101" s="2">
        <v>0</v>
      </c>
      <c r="M101" s="2">
        <v>0</v>
      </c>
      <c r="N101" s="2">
        <v>6</v>
      </c>
      <c r="O101" s="2">
        <v>5</v>
      </c>
      <c r="P101" s="2">
        <v>5</v>
      </c>
      <c r="Q101" s="2" t="s">
        <v>3371</v>
      </c>
      <c r="R101" s="2" t="s">
        <v>3371</v>
      </c>
      <c r="S101" s="4">
        <v>44953</v>
      </c>
    </row>
    <row r="102" spans="1:19" ht="12.5" x14ac:dyDescent="0.25">
      <c r="A102" s="14" t="str">
        <f>HYPERLINK("https://gerandofalcoes.my.salesforce.com/0014X00002YggguQAB", "0014X00002YggguQAB")</f>
        <v>0014X00002YggguQAB</v>
      </c>
      <c r="B102" s="2" t="s">
        <v>3367</v>
      </c>
      <c r="C102" s="2" t="s">
        <v>423</v>
      </c>
      <c r="D102" s="2" t="s">
        <v>2</v>
      </c>
      <c r="E102" s="2"/>
      <c r="F102" s="2">
        <v>5</v>
      </c>
      <c r="G102" s="2">
        <v>80</v>
      </c>
      <c r="H102" s="2">
        <v>15000</v>
      </c>
      <c r="I102" s="2">
        <v>30</v>
      </c>
      <c r="J102" s="2"/>
      <c r="K102" s="2">
        <v>25</v>
      </c>
      <c r="L102" s="2">
        <v>0</v>
      </c>
      <c r="M102" s="2">
        <v>5</v>
      </c>
      <c r="N102" s="2">
        <v>10</v>
      </c>
      <c r="O102" s="2">
        <v>5</v>
      </c>
      <c r="P102" s="2">
        <v>5</v>
      </c>
      <c r="Q102" s="2" t="s">
        <v>3368</v>
      </c>
      <c r="R102" s="2" t="s">
        <v>3369</v>
      </c>
      <c r="S102" s="4">
        <v>44953</v>
      </c>
    </row>
    <row r="103" spans="1:19" ht="12.5" x14ac:dyDescent="0.25">
      <c r="A103" s="14" t="str">
        <f>HYPERLINK("https://gerandofalcoes.my.salesforce.com/0014X00002YggiBQAR", "0014X00002YggiBQAR")</f>
        <v>0014X00002YggiBQAR</v>
      </c>
      <c r="B103" s="2" t="s">
        <v>3322</v>
      </c>
      <c r="C103" s="2" t="s">
        <v>423</v>
      </c>
      <c r="D103" s="2" t="s">
        <v>2</v>
      </c>
      <c r="E103" s="2"/>
      <c r="F103" s="2">
        <v>123</v>
      </c>
      <c r="G103" s="2">
        <v>5</v>
      </c>
      <c r="H103" s="2">
        <v>20000</v>
      </c>
      <c r="I103" s="2">
        <v>100</v>
      </c>
      <c r="J103" s="2"/>
      <c r="K103" s="2">
        <v>40</v>
      </c>
      <c r="L103" s="2">
        <v>0</v>
      </c>
      <c r="M103" s="2">
        <v>15</v>
      </c>
      <c r="N103" s="2">
        <v>10</v>
      </c>
      <c r="O103" s="2">
        <v>5</v>
      </c>
      <c r="P103" s="2">
        <v>10</v>
      </c>
      <c r="Q103" s="2" t="s">
        <v>3323</v>
      </c>
      <c r="R103" s="2" t="s">
        <v>3324</v>
      </c>
      <c r="S103" s="4">
        <v>44953</v>
      </c>
    </row>
    <row r="104" spans="1:19" ht="12.5" x14ac:dyDescent="0.25">
      <c r="A104" s="14" t="str">
        <f>HYPERLINK("https://gerandofalcoes.my.salesforce.com/0014X00002YgbkgQAB", "0014X00002YgbkgQAB")</f>
        <v>0014X00002YgbkgQAB</v>
      </c>
      <c r="B104" s="2" t="s">
        <v>3517</v>
      </c>
      <c r="C104" s="2" t="s">
        <v>423</v>
      </c>
      <c r="D104" s="2" t="s">
        <v>2</v>
      </c>
      <c r="E104" s="2"/>
      <c r="F104" s="2">
        <v>0</v>
      </c>
      <c r="G104" s="2">
        <v>0</v>
      </c>
      <c r="H104" s="2">
        <v>0</v>
      </c>
      <c r="I104" s="2">
        <v>0</v>
      </c>
      <c r="J104" s="2"/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 t="s">
        <v>3518</v>
      </c>
      <c r="R104" s="2" t="s">
        <v>3518</v>
      </c>
      <c r="S104" s="4">
        <v>44958</v>
      </c>
    </row>
    <row r="105" spans="1:19" ht="12.5" x14ac:dyDescent="0.25">
      <c r="A105" s="14" t="str">
        <f>HYPERLINK("https://gerandofalcoes.my.salesforce.com/0014X00002Yggh4QAB", "0014X00002Yggh4QAB")</f>
        <v>0014X00002Yggh4QAB</v>
      </c>
      <c r="B105" s="2" t="s">
        <v>3505</v>
      </c>
      <c r="C105" s="2" t="s">
        <v>423</v>
      </c>
      <c r="D105" s="2" t="s">
        <v>2</v>
      </c>
      <c r="E105" s="2"/>
      <c r="F105" s="2">
        <v>0</v>
      </c>
      <c r="G105" s="2">
        <v>2</v>
      </c>
      <c r="H105" s="2">
        <v>45000</v>
      </c>
      <c r="I105" s="2">
        <v>20</v>
      </c>
      <c r="J105" s="2"/>
      <c r="K105" s="2">
        <v>21</v>
      </c>
      <c r="L105" s="2">
        <v>0</v>
      </c>
      <c r="M105" s="2">
        <v>0</v>
      </c>
      <c r="N105" s="2">
        <v>6</v>
      </c>
      <c r="O105" s="2">
        <v>10</v>
      </c>
      <c r="P105" s="2">
        <v>5</v>
      </c>
      <c r="Q105" s="2" t="s">
        <v>3506</v>
      </c>
      <c r="R105" s="2" t="s">
        <v>3507</v>
      </c>
      <c r="S105" s="4">
        <v>44958</v>
      </c>
    </row>
    <row r="106" spans="1:19" ht="12.5" x14ac:dyDescent="0.25">
      <c r="A106" s="14" t="str">
        <f>HYPERLINK("https://gerandofalcoes.my.salesforce.com/0014X00002YggnNQAR", "0014X00002YggnNQAR")</f>
        <v>0014X00002YggnNQAR</v>
      </c>
      <c r="B106" s="2" t="s">
        <v>3403</v>
      </c>
      <c r="C106" s="2" t="s">
        <v>423</v>
      </c>
      <c r="D106" s="2" t="s">
        <v>2</v>
      </c>
      <c r="E106" s="2"/>
      <c r="F106" s="2">
        <v>5</v>
      </c>
      <c r="G106" s="2">
        <v>2</v>
      </c>
      <c r="H106" s="2">
        <v>5400</v>
      </c>
      <c r="I106" s="2">
        <v>0</v>
      </c>
      <c r="J106" s="2"/>
      <c r="K106" s="2">
        <v>16</v>
      </c>
      <c r="L106" s="2">
        <v>0</v>
      </c>
      <c r="M106" s="2">
        <v>5</v>
      </c>
      <c r="N106" s="2">
        <v>6</v>
      </c>
      <c r="O106" s="2">
        <v>5</v>
      </c>
      <c r="P106" s="2">
        <v>0</v>
      </c>
      <c r="Q106" s="2" t="s">
        <v>3404</v>
      </c>
      <c r="R106" s="2" t="s">
        <v>3404</v>
      </c>
      <c r="S106" s="4">
        <v>44958</v>
      </c>
    </row>
    <row r="107" spans="1:19" ht="12.5" x14ac:dyDescent="0.25">
      <c r="A107" s="14" t="str">
        <f>HYPERLINK("https://gerandofalcoes.my.salesforce.com/0014X00002YggnCQAR", "0014X00002YggnCQAR")</f>
        <v>0014X00002YggnCQAR</v>
      </c>
      <c r="B107" s="2" t="s">
        <v>3427</v>
      </c>
      <c r="C107" s="2" t="s">
        <v>423</v>
      </c>
      <c r="D107" s="2" t="s">
        <v>2</v>
      </c>
      <c r="E107" s="2"/>
      <c r="F107" s="2">
        <v>10</v>
      </c>
      <c r="G107" s="2">
        <v>6</v>
      </c>
      <c r="H107" s="2">
        <v>11000</v>
      </c>
      <c r="I107" s="2">
        <v>30</v>
      </c>
      <c r="J107" s="2"/>
      <c r="K107" s="2">
        <v>30</v>
      </c>
      <c r="L107" s="2">
        <v>0</v>
      </c>
      <c r="M107" s="2">
        <v>10</v>
      </c>
      <c r="N107" s="2">
        <v>10</v>
      </c>
      <c r="O107" s="2">
        <v>5</v>
      </c>
      <c r="P107" s="2">
        <v>5</v>
      </c>
      <c r="Q107" s="2" t="s">
        <v>3428</v>
      </c>
      <c r="R107" s="2" t="s">
        <v>3428</v>
      </c>
      <c r="S107" s="4">
        <v>44958</v>
      </c>
    </row>
    <row r="108" spans="1:19" ht="12.5" x14ac:dyDescent="0.25">
      <c r="A108" s="14" t="str">
        <f>HYPERLINK("https://gerandofalcoes.my.salesforce.com/0014X00002YggqaQAB", "0014X00002YggqaQAB")</f>
        <v>0014X00002YggqaQAB</v>
      </c>
      <c r="B108" s="2" t="s">
        <v>3424</v>
      </c>
      <c r="C108" s="2" t="s">
        <v>423</v>
      </c>
      <c r="D108" s="2" t="s">
        <v>2</v>
      </c>
      <c r="E108" s="2"/>
      <c r="F108" s="2">
        <v>0</v>
      </c>
      <c r="G108" s="2">
        <v>2</v>
      </c>
      <c r="H108" s="2">
        <v>2000</v>
      </c>
      <c r="I108" s="2">
        <v>400</v>
      </c>
      <c r="J108" s="2"/>
      <c r="K108" s="2">
        <v>26</v>
      </c>
      <c r="L108" s="2">
        <v>0</v>
      </c>
      <c r="M108" s="2">
        <v>0</v>
      </c>
      <c r="N108" s="2">
        <v>6</v>
      </c>
      <c r="O108" s="2">
        <v>5</v>
      </c>
      <c r="P108" s="2">
        <v>15</v>
      </c>
      <c r="Q108" s="2" t="s">
        <v>3425</v>
      </c>
      <c r="R108" s="2" t="s">
        <v>3426</v>
      </c>
      <c r="S108" s="4">
        <v>44958</v>
      </c>
    </row>
    <row r="109" spans="1:19" ht="12.5" x14ac:dyDescent="0.25">
      <c r="A109" s="14" t="str">
        <f>HYPERLINK("https://gerandofalcoes.my.salesforce.com/0014X00002YggqLQAR", "0014X00002YggqLQAR")</f>
        <v>0014X00002YggqLQAR</v>
      </c>
      <c r="B109" s="2" t="s">
        <v>3500</v>
      </c>
      <c r="C109" s="2" t="s">
        <v>423</v>
      </c>
      <c r="D109" s="2" t="s">
        <v>2</v>
      </c>
      <c r="E109" s="2"/>
      <c r="F109" s="2">
        <v>0</v>
      </c>
      <c r="G109" s="2">
        <v>2</v>
      </c>
      <c r="H109" s="2">
        <v>400</v>
      </c>
      <c r="I109" s="2">
        <v>30</v>
      </c>
      <c r="J109" s="2"/>
      <c r="K109" s="2">
        <v>16</v>
      </c>
      <c r="L109" s="2">
        <v>0</v>
      </c>
      <c r="M109" s="2">
        <v>0</v>
      </c>
      <c r="N109" s="2">
        <v>6</v>
      </c>
      <c r="O109" s="2">
        <v>5</v>
      </c>
      <c r="P109" s="2">
        <v>5</v>
      </c>
      <c r="Q109" s="2" t="s">
        <v>3501</v>
      </c>
      <c r="R109" s="2" t="s">
        <v>3502</v>
      </c>
      <c r="S109" s="4">
        <v>44958</v>
      </c>
    </row>
    <row r="110" spans="1:19" ht="12.5" x14ac:dyDescent="0.25">
      <c r="A110" s="14" t="str">
        <f>HYPERLINK("https://gerandofalcoes.my.salesforce.com/0014X00002Yggi1QAB", "0014X00002Yggi1QAB")</f>
        <v>0014X00002Yggi1QAB</v>
      </c>
      <c r="B110" s="2" t="s">
        <v>3444</v>
      </c>
      <c r="C110" s="2" t="s">
        <v>423</v>
      </c>
      <c r="D110" s="2" t="s">
        <v>2</v>
      </c>
      <c r="E110" s="2"/>
      <c r="F110" s="2">
        <v>0</v>
      </c>
      <c r="G110" s="2">
        <v>2</v>
      </c>
      <c r="H110" s="2">
        <v>500</v>
      </c>
      <c r="I110" s="2">
        <v>0</v>
      </c>
      <c r="J110" s="2"/>
      <c r="K110" s="2">
        <v>11</v>
      </c>
      <c r="L110" s="2">
        <v>0</v>
      </c>
      <c r="M110" s="2">
        <v>0</v>
      </c>
      <c r="N110" s="2">
        <v>6</v>
      </c>
      <c r="O110" s="2">
        <v>5</v>
      </c>
      <c r="P110" s="2">
        <v>0</v>
      </c>
      <c r="Q110" s="2" t="s">
        <v>3445</v>
      </c>
      <c r="R110" s="2" t="s">
        <v>3446</v>
      </c>
      <c r="S110" s="4">
        <v>44958</v>
      </c>
    </row>
    <row r="111" spans="1:19" ht="12.5" x14ac:dyDescent="0.25">
      <c r="A111" s="14" t="str">
        <f>HYPERLINK("https://gerandofalcoes.my.salesforce.com/0014X00002YggiHQAR", "0014X00002YggiHQAR")</f>
        <v>0014X00002YggiHQAR</v>
      </c>
      <c r="B111" s="2" t="s">
        <v>3410</v>
      </c>
      <c r="C111" s="2" t="s">
        <v>423</v>
      </c>
      <c r="D111" s="2" t="s">
        <v>2</v>
      </c>
      <c r="E111" s="2"/>
      <c r="F111" s="2">
        <v>3</v>
      </c>
      <c r="G111" s="2">
        <v>2</v>
      </c>
      <c r="H111" s="2">
        <v>198540</v>
      </c>
      <c r="I111" s="2">
        <v>30</v>
      </c>
      <c r="J111" s="2"/>
      <c r="K111" s="2">
        <v>31</v>
      </c>
      <c r="L111" s="2">
        <v>0</v>
      </c>
      <c r="M111" s="2">
        <v>5</v>
      </c>
      <c r="N111" s="2">
        <v>6</v>
      </c>
      <c r="O111" s="2">
        <v>15</v>
      </c>
      <c r="P111" s="2">
        <v>5</v>
      </c>
      <c r="Q111" s="2" t="s">
        <v>3411</v>
      </c>
      <c r="R111" s="2" t="s">
        <v>3412</v>
      </c>
      <c r="S111" s="4">
        <v>44958</v>
      </c>
    </row>
    <row r="112" spans="1:19" ht="12.5" x14ac:dyDescent="0.25">
      <c r="A112" s="14" t="str">
        <f>HYPERLINK("https://gerandofalcoes.my.salesforce.com/0014X00002YgghYQAR", "0014X00002YgghYQAR")</f>
        <v>0014X00002YgghYQAR</v>
      </c>
      <c r="B112" s="2" t="s">
        <v>3545</v>
      </c>
      <c r="C112" s="2" t="s">
        <v>423</v>
      </c>
      <c r="D112" s="2" t="s">
        <v>2</v>
      </c>
      <c r="E112" s="2"/>
      <c r="F112" s="2">
        <v>10</v>
      </c>
      <c r="G112" s="2">
        <v>3</v>
      </c>
      <c r="H112" s="2">
        <v>5000</v>
      </c>
      <c r="I112" s="2">
        <v>0</v>
      </c>
      <c r="J112" s="2"/>
      <c r="K112" s="2">
        <v>23</v>
      </c>
      <c r="L112" s="2">
        <v>0</v>
      </c>
      <c r="M112" s="2">
        <v>10</v>
      </c>
      <c r="N112" s="2">
        <v>8</v>
      </c>
      <c r="O112" s="2">
        <v>5</v>
      </c>
      <c r="P112" s="2">
        <v>0</v>
      </c>
      <c r="Q112" s="2" t="s">
        <v>3546</v>
      </c>
      <c r="R112" s="2" t="s">
        <v>3546</v>
      </c>
      <c r="S112" s="4">
        <v>44959</v>
      </c>
    </row>
    <row r="113" spans="1:19" ht="12.5" x14ac:dyDescent="0.25">
      <c r="A113" s="14" t="str">
        <f>HYPERLINK("https://gerandofalcoes.my.salesforce.com/0014X00002Yggl2QAB", "0014X00002Yggl2QAB")</f>
        <v>0014X00002Yggl2QAB</v>
      </c>
      <c r="B113" s="2" t="s">
        <v>3540</v>
      </c>
      <c r="C113" s="2" t="s">
        <v>423</v>
      </c>
      <c r="D113" s="2" t="s">
        <v>2</v>
      </c>
      <c r="E113" s="2"/>
      <c r="F113" s="2">
        <v>0</v>
      </c>
      <c r="G113" s="2">
        <v>2</v>
      </c>
      <c r="H113" s="2">
        <v>0</v>
      </c>
      <c r="I113" s="2">
        <v>0</v>
      </c>
      <c r="J113" s="2"/>
      <c r="K113" s="2">
        <v>6</v>
      </c>
      <c r="L113" s="2">
        <v>0</v>
      </c>
      <c r="M113" s="2">
        <v>0</v>
      </c>
      <c r="N113" s="2">
        <v>6</v>
      </c>
      <c r="O113" s="2">
        <v>0</v>
      </c>
      <c r="P113" s="2">
        <v>0</v>
      </c>
      <c r="Q113" s="2" t="s">
        <v>7171</v>
      </c>
      <c r="R113" s="2" t="s">
        <v>7172</v>
      </c>
      <c r="S113" s="4">
        <v>44959</v>
      </c>
    </row>
    <row r="114" spans="1:19" ht="12.5" x14ac:dyDescent="0.25">
      <c r="A114" s="14" t="str">
        <f>HYPERLINK("https://gerandofalcoes.my.salesforce.com/0014X00002YggmwQAB", "0014X00002YggmwQAB")</f>
        <v>0014X00002YggmwQAB</v>
      </c>
      <c r="B114" s="2" t="s">
        <v>3532</v>
      </c>
      <c r="C114" s="2" t="s">
        <v>423</v>
      </c>
      <c r="D114" s="2" t="s">
        <v>2</v>
      </c>
      <c r="E114" s="2"/>
      <c r="F114" s="2">
        <v>0</v>
      </c>
      <c r="G114" s="2">
        <v>3</v>
      </c>
      <c r="H114" s="2">
        <v>320618</v>
      </c>
      <c r="I114" s="2">
        <v>200</v>
      </c>
      <c r="J114" s="2"/>
      <c r="K114" s="2">
        <v>40</v>
      </c>
      <c r="L114" s="2">
        <v>0</v>
      </c>
      <c r="M114" s="2">
        <v>0</v>
      </c>
      <c r="N114" s="2">
        <v>8</v>
      </c>
      <c r="O114" s="2">
        <v>20</v>
      </c>
      <c r="P114" s="2">
        <v>12</v>
      </c>
      <c r="Q114" s="2" t="s">
        <v>3533</v>
      </c>
      <c r="R114" s="2" t="s">
        <v>3534</v>
      </c>
      <c r="S114" s="4">
        <v>44959</v>
      </c>
    </row>
    <row r="115" spans="1:19" ht="12.5" x14ac:dyDescent="0.25">
      <c r="A115" s="14" t="str">
        <f>HYPERLINK("https://gerandofalcoes.my.salesforce.com/0014X00002Yggo6QAB", "0014X00002Yggo6QAB")</f>
        <v>0014X00002Yggo6QAB</v>
      </c>
      <c r="B115" s="2" t="s">
        <v>3560</v>
      </c>
      <c r="C115" s="2" t="s">
        <v>423</v>
      </c>
      <c r="D115" s="2" t="s">
        <v>2</v>
      </c>
      <c r="E115" s="2"/>
      <c r="F115" s="2">
        <v>2</v>
      </c>
      <c r="G115" s="2">
        <v>4</v>
      </c>
      <c r="H115" s="2">
        <v>38000</v>
      </c>
      <c r="I115" s="2">
        <v>30</v>
      </c>
      <c r="J115" s="2"/>
      <c r="K115" s="2">
        <v>30</v>
      </c>
      <c r="L115" s="2">
        <v>0</v>
      </c>
      <c r="M115" s="2">
        <v>5</v>
      </c>
      <c r="N115" s="2">
        <v>10</v>
      </c>
      <c r="O115" s="2">
        <v>10</v>
      </c>
      <c r="P115" s="2">
        <v>5</v>
      </c>
      <c r="Q115" s="2" t="s">
        <v>3561</v>
      </c>
      <c r="R115" s="2" t="s">
        <v>3562</v>
      </c>
      <c r="S115" s="4">
        <v>44960</v>
      </c>
    </row>
    <row r="116" spans="1:19" ht="12.5" x14ac:dyDescent="0.25">
      <c r="A116" s="14" t="str">
        <f>HYPERLINK("https://gerandofalcoes.my.salesforce.com/0014X00002YgghDQAR", "0014X00002YgghDQAR")</f>
        <v>0014X00002YgghDQAR</v>
      </c>
      <c r="B116" s="2" t="s">
        <v>3681</v>
      </c>
      <c r="C116" s="2" t="s">
        <v>423</v>
      </c>
      <c r="D116" s="2" t="s">
        <v>2</v>
      </c>
      <c r="E116" s="2"/>
      <c r="F116" s="2">
        <v>0</v>
      </c>
      <c r="G116" s="2">
        <v>4</v>
      </c>
      <c r="H116" s="2">
        <v>3000</v>
      </c>
      <c r="I116" s="2">
        <v>30</v>
      </c>
      <c r="J116" s="2"/>
      <c r="K116" s="2">
        <v>20</v>
      </c>
      <c r="L116" s="2">
        <v>0</v>
      </c>
      <c r="M116" s="2">
        <v>0</v>
      </c>
      <c r="N116" s="2">
        <v>10</v>
      </c>
      <c r="O116" s="2">
        <v>5</v>
      </c>
      <c r="P116" s="2">
        <v>5</v>
      </c>
      <c r="Q116" s="2" t="s">
        <v>3682</v>
      </c>
      <c r="R116" s="2" t="s">
        <v>3682</v>
      </c>
      <c r="S116" s="4">
        <v>44964</v>
      </c>
    </row>
    <row r="117" spans="1:19" ht="12.5" x14ac:dyDescent="0.25">
      <c r="A117" s="14" t="str">
        <f>HYPERLINK("https://gerandofalcoes.my.salesforce.com/0014X00002Yggj5QAB", "0014X00002Yggj5QAB")</f>
        <v>0014X00002Yggj5QAB</v>
      </c>
      <c r="B117" s="2" t="s">
        <v>3714</v>
      </c>
      <c r="C117" s="2" t="s">
        <v>423</v>
      </c>
      <c r="D117" s="2" t="s">
        <v>2</v>
      </c>
      <c r="E117" s="2"/>
      <c r="F117" s="2">
        <v>0</v>
      </c>
      <c r="G117" s="2">
        <v>2</v>
      </c>
      <c r="H117" s="2">
        <v>3000</v>
      </c>
      <c r="I117" s="2">
        <v>0</v>
      </c>
      <c r="J117" s="2"/>
      <c r="K117" s="2">
        <v>11</v>
      </c>
      <c r="L117" s="2">
        <v>0</v>
      </c>
      <c r="M117" s="2">
        <v>0</v>
      </c>
      <c r="N117" s="2">
        <v>6</v>
      </c>
      <c r="O117" s="2">
        <v>5</v>
      </c>
      <c r="P117" s="2">
        <v>0</v>
      </c>
      <c r="Q117" s="2" t="s">
        <v>3715</v>
      </c>
      <c r="R117" s="2" t="s">
        <v>3715</v>
      </c>
      <c r="S117" s="4">
        <v>44967</v>
      </c>
    </row>
    <row r="118" spans="1:19" ht="12.5" x14ac:dyDescent="0.25">
      <c r="A118" s="14" t="str">
        <f>HYPERLINK("https://gerandofalcoes.my.salesforce.com/0014X00002YggkFQAR", "0014X00002YggkFQAR")</f>
        <v>0014X00002YggkFQAR</v>
      </c>
      <c r="B118" s="2" t="s">
        <v>3716</v>
      </c>
      <c r="C118" s="2" t="s">
        <v>423</v>
      </c>
      <c r="D118" s="2" t="s">
        <v>2</v>
      </c>
      <c r="E118" s="2"/>
      <c r="F118" s="2">
        <v>0</v>
      </c>
      <c r="G118" s="2">
        <v>5</v>
      </c>
      <c r="H118" s="2">
        <v>8000</v>
      </c>
      <c r="I118" s="2">
        <v>50</v>
      </c>
      <c r="J118" s="2"/>
      <c r="K118" s="2">
        <v>20</v>
      </c>
      <c r="L118" s="2">
        <v>0</v>
      </c>
      <c r="M118" s="2">
        <v>0</v>
      </c>
      <c r="N118" s="2">
        <v>10</v>
      </c>
      <c r="O118" s="2">
        <v>5</v>
      </c>
      <c r="P118" s="2">
        <v>5</v>
      </c>
      <c r="Q118" s="2" t="s">
        <v>3717</v>
      </c>
      <c r="R118" s="2" t="s">
        <v>3718</v>
      </c>
      <c r="S118" s="4">
        <v>44967</v>
      </c>
    </row>
    <row r="119" spans="1:19" ht="12.5" x14ac:dyDescent="0.25">
      <c r="A119" s="14" t="str">
        <f>HYPERLINK("https://gerandofalcoes.my.salesforce.com/0014X00002YggpjQAB", "0014X00002YggpjQAB")</f>
        <v>0014X00002YggpjQAB</v>
      </c>
      <c r="B119" s="2" t="s">
        <v>3703</v>
      </c>
      <c r="C119" s="2" t="s">
        <v>423</v>
      </c>
      <c r="D119" s="2" t="s">
        <v>2</v>
      </c>
      <c r="E119" s="2"/>
      <c r="F119" s="2">
        <v>0</v>
      </c>
      <c r="G119" s="2">
        <v>3</v>
      </c>
      <c r="H119" s="2">
        <v>2000</v>
      </c>
      <c r="I119" s="2">
        <v>0</v>
      </c>
      <c r="J119" s="2"/>
      <c r="K119" s="2">
        <v>13</v>
      </c>
      <c r="L119" s="2">
        <v>0</v>
      </c>
      <c r="M119" s="2">
        <v>0</v>
      </c>
      <c r="N119" s="2">
        <v>8</v>
      </c>
      <c r="O119" s="2">
        <v>5</v>
      </c>
      <c r="P119" s="2">
        <v>0</v>
      </c>
      <c r="Q119" s="2" t="s">
        <v>3704</v>
      </c>
      <c r="R119" s="2" t="s">
        <v>3704</v>
      </c>
      <c r="S119" s="4">
        <v>44967</v>
      </c>
    </row>
    <row r="120" spans="1:19" ht="12.5" x14ac:dyDescent="0.25">
      <c r="A120" s="14" t="str">
        <f>HYPERLINK("https://gerandofalcoes.my.salesforce.com/0014X00002YggonQAB", "0014X00002YggonQAB")</f>
        <v>0014X00002YggonQAB</v>
      </c>
      <c r="B120" s="2" t="s">
        <v>3705</v>
      </c>
      <c r="C120" s="2" t="s">
        <v>423</v>
      </c>
      <c r="D120" s="2" t="s">
        <v>2</v>
      </c>
      <c r="E120" s="2"/>
      <c r="F120" s="2">
        <v>0</v>
      </c>
      <c r="G120" s="2">
        <v>2</v>
      </c>
      <c r="H120" s="2">
        <v>0</v>
      </c>
      <c r="I120" s="2">
        <v>10</v>
      </c>
      <c r="J120" s="2"/>
      <c r="K120" s="2">
        <v>11</v>
      </c>
      <c r="L120" s="2">
        <v>0</v>
      </c>
      <c r="M120" s="2">
        <v>0</v>
      </c>
      <c r="N120" s="2">
        <v>6</v>
      </c>
      <c r="O120" s="2">
        <v>0</v>
      </c>
      <c r="P120" s="2">
        <v>5</v>
      </c>
      <c r="Q120" s="2" t="s">
        <v>3706</v>
      </c>
      <c r="R120" s="2" t="s">
        <v>3706</v>
      </c>
      <c r="S120" s="4">
        <v>44967</v>
      </c>
    </row>
    <row r="121" spans="1:19" ht="12.5" x14ac:dyDescent="0.25">
      <c r="A121" s="14" t="str">
        <f>HYPERLINK("https://gerandofalcoes.my.salesforce.com/0014X00002YgglkQAB", "0014X00002YgglkQAB")</f>
        <v>0014X00002YgglkQAB</v>
      </c>
      <c r="B121" s="2" t="s">
        <v>3711</v>
      </c>
      <c r="C121" s="2" t="s">
        <v>423</v>
      </c>
      <c r="D121" s="2" t="s">
        <v>2</v>
      </c>
      <c r="E121" s="2"/>
      <c r="F121" s="2">
        <v>2</v>
      </c>
      <c r="G121" s="2">
        <v>4</v>
      </c>
      <c r="H121" s="2">
        <v>95000</v>
      </c>
      <c r="I121" s="2">
        <v>15</v>
      </c>
      <c r="J121" s="2"/>
      <c r="K121" s="2">
        <v>30</v>
      </c>
      <c r="L121" s="2">
        <v>0</v>
      </c>
      <c r="M121" s="2">
        <v>5</v>
      </c>
      <c r="N121" s="2">
        <v>10</v>
      </c>
      <c r="O121" s="2">
        <v>10</v>
      </c>
      <c r="P121" s="2">
        <v>5</v>
      </c>
      <c r="Q121" s="2" t="s">
        <v>3712</v>
      </c>
      <c r="R121" s="2" t="s">
        <v>3713</v>
      </c>
      <c r="S121" s="4">
        <v>44967</v>
      </c>
    </row>
    <row r="122" spans="1:19" ht="12.5" x14ac:dyDescent="0.25">
      <c r="A122" s="14" t="str">
        <f>HYPERLINK("https://gerandofalcoes.my.salesforce.com/0014X00002YggqbQAB", "0014X00002YggqbQAB")</f>
        <v>0014X00002YggqbQAB</v>
      </c>
      <c r="B122" s="2" t="s">
        <v>3735</v>
      </c>
      <c r="C122" s="2" t="s">
        <v>423</v>
      </c>
      <c r="D122" s="2" t="s">
        <v>2</v>
      </c>
      <c r="E122" s="2"/>
      <c r="F122" s="2">
        <v>4</v>
      </c>
      <c r="G122" s="2">
        <v>4</v>
      </c>
      <c r="H122" s="2">
        <v>300</v>
      </c>
      <c r="I122" s="2">
        <v>130</v>
      </c>
      <c r="J122" s="2"/>
      <c r="K122" s="2">
        <v>30</v>
      </c>
      <c r="L122" s="2">
        <v>0</v>
      </c>
      <c r="M122" s="2">
        <v>5</v>
      </c>
      <c r="N122" s="2">
        <v>10</v>
      </c>
      <c r="O122" s="2">
        <v>5</v>
      </c>
      <c r="P122" s="2">
        <v>10</v>
      </c>
      <c r="Q122" s="2" t="s">
        <v>3736</v>
      </c>
      <c r="R122" s="2" t="s">
        <v>3737</v>
      </c>
      <c r="S122" s="4">
        <v>44967</v>
      </c>
    </row>
    <row r="123" spans="1:19" ht="12.5" x14ac:dyDescent="0.25">
      <c r="A123" s="14" t="str">
        <f>HYPERLINK("https://gerandofalcoes.my.salesforce.com/0014X00002VKCqyQAH", "0014X00002VKCqyQAH")</f>
        <v>0014X00002VKCqyQAH</v>
      </c>
      <c r="B123" s="2" t="s">
        <v>3807</v>
      </c>
      <c r="C123" s="2" t="s">
        <v>423</v>
      </c>
      <c r="D123" s="2" t="s">
        <v>2</v>
      </c>
      <c r="E123" s="2">
        <v>40</v>
      </c>
      <c r="F123" s="2">
        <v>20</v>
      </c>
      <c r="G123" s="2">
        <v>3</v>
      </c>
      <c r="H123" s="2">
        <v>5000</v>
      </c>
      <c r="I123" s="2">
        <v>200</v>
      </c>
      <c r="J123" s="2" t="s">
        <v>1671</v>
      </c>
      <c r="K123" s="2">
        <v>52</v>
      </c>
      <c r="L123" s="2">
        <v>15</v>
      </c>
      <c r="M123" s="2">
        <v>12</v>
      </c>
      <c r="N123" s="2">
        <v>8</v>
      </c>
      <c r="O123" s="2">
        <v>5</v>
      </c>
      <c r="P123" s="2">
        <v>12</v>
      </c>
      <c r="Q123" s="2" t="s">
        <v>3808</v>
      </c>
      <c r="R123" s="2" t="s">
        <v>3809</v>
      </c>
      <c r="S123" s="4">
        <v>44986</v>
      </c>
    </row>
    <row r="124" spans="1:19" ht="12.5" x14ac:dyDescent="0.25">
      <c r="A124" s="14" t="str">
        <f>HYPERLINK("https://gerandofalcoes.my.salesforce.com/0014X00002YggiyQAB", "0014X00002YggiyQAB")</f>
        <v>0014X00002YggiyQAB</v>
      </c>
      <c r="B124" s="2" t="s">
        <v>3815</v>
      </c>
      <c r="C124" s="2" t="s">
        <v>423</v>
      </c>
      <c r="D124" s="2" t="s">
        <v>2</v>
      </c>
      <c r="E124" s="2"/>
      <c r="F124" s="2">
        <v>1</v>
      </c>
      <c r="G124" s="2">
        <v>3</v>
      </c>
      <c r="H124" s="2">
        <v>29000</v>
      </c>
      <c r="I124" s="2">
        <v>120</v>
      </c>
      <c r="J124" s="2"/>
      <c r="K124" s="2">
        <v>33</v>
      </c>
      <c r="L124" s="2">
        <v>0</v>
      </c>
      <c r="M124" s="2">
        <v>5</v>
      </c>
      <c r="N124" s="2">
        <v>8</v>
      </c>
      <c r="O124" s="2">
        <v>10</v>
      </c>
      <c r="P124" s="2">
        <v>10</v>
      </c>
      <c r="Q124" s="2" t="s">
        <v>3816</v>
      </c>
      <c r="R124" s="2" t="s">
        <v>3817</v>
      </c>
      <c r="S124" s="4">
        <v>44992</v>
      </c>
    </row>
    <row r="125" spans="1:19" ht="12.5" x14ac:dyDescent="0.25">
      <c r="A125" s="14" t="str">
        <f>HYPERLINK("https://gerandofalcoes.my.salesforce.com/0014X00002YggnOQAR", "0014X00002YggnOQAR")</f>
        <v>0014X00002YggnOQAR</v>
      </c>
      <c r="B125" s="2" t="s">
        <v>3316</v>
      </c>
      <c r="C125" s="2" t="s">
        <v>423</v>
      </c>
      <c r="D125" s="2" t="s">
        <v>2</v>
      </c>
      <c r="E125" s="2"/>
      <c r="F125" s="2">
        <v>0</v>
      </c>
      <c r="G125" s="2">
        <v>2</v>
      </c>
      <c r="H125" s="2">
        <v>0</v>
      </c>
      <c r="I125" s="2">
        <v>128</v>
      </c>
      <c r="J125" s="2"/>
      <c r="K125" s="2">
        <v>16</v>
      </c>
      <c r="L125" s="2">
        <v>0</v>
      </c>
      <c r="M125" s="2">
        <v>0</v>
      </c>
      <c r="N125" s="2">
        <v>6</v>
      </c>
      <c r="O125" s="2">
        <v>0</v>
      </c>
      <c r="P125" s="2">
        <v>10</v>
      </c>
      <c r="Q125" s="2" t="s">
        <v>3317</v>
      </c>
      <c r="R125" s="2" t="s">
        <v>3318</v>
      </c>
      <c r="S125" s="4">
        <v>44953</v>
      </c>
    </row>
    <row r="126" spans="1:19" ht="12.5" x14ac:dyDescent="0.25">
      <c r="A126" s="14" t="str">
        <f>HYPERLINK("https://gerandofalcoes.my.salesforce.com/0014X00002Yggl5QAB", "0014X00002Yggl5QAB")</f>
        <v>0014X00002Yggl5QAB</v>
      </c>
      <c r="B126" s="2" t="s">
        <v>3484</v>
      </c>
      <c r="C126" s="2" t="s">
        <v>423</v>
      </c>
      <c r="D126" s="2" t="s">
        <v>2</v>
      </c>
      <c r="E126" s="2"/>
      <c r="F126" s="2">
        <v>4</v>
      </c>
      <c r="G126" s="2">
        <v>4</v>
      </c>
      <c r="H126" s="2">
        <v>700</v>
      </c>
      <c r="I126" s="2">
        <v>120</v>
      </c>
      <c r="J126" s="2"/>
      <c r="K126" s="2">
        <v>30</v>
      </c>
      <c r="L126" s="2">
        <v>0</v>
      </c>
      <c r="M126" s="2">
        <v>5</v>
      </c>
      <c r="N126" s="2">
        <v>10</v>
      </c>
      <c r="O126" s="2">
        <v>5</v>
      </c>
      <c r="P126" s="2">
        <v>10</v>
      </c>
      <c r="Q126" s="2" t="s">
        <v>3485</v>
      </c>
      <c r="R126" s="2" t="s">
        <v>3485</v>
      </c>
      <c r="S126" s="4">
        <v>44958</v>
      </c>
    </row>
    <row r="127" spans="1:19" ht="12.5" x14ac:dyDescent="0.25">
      <c r="A127" s="14" t="str">
        <f>HYPERLINK("https://gerandofalcoes.my.salesforce.com/0014X00002Yggh2QAB", "0014X00002Yggh2QAB")</f>
        <v>0014X00002Yggh2QAB</v>
      </c>
      <c r="B127" s="2" t="s">
        <v>3449</v>
      </c>
      <c r="C127" s="2" t="s">
        <v>423</v>
      </c>
      <c r="D127" s="2" t="s">
        <v>2</v>
      </c>
      <c r="E127" s="2"/>
      <c r="F127" s="2">
        <v>0</v>
      </c>
      <c r="G127" s="2">
        <v>2</v>
      </c>
      <c r="H127" s="2">
        <v>500</v>
      </c>
      <c r="I127" s="2">
        <v>50</v>
      </c>
      <c r="J127" s="2"/>
      <c r="K127" s="2">
        <v>16</v>
      </c>
      <c r="L127" s="2">
        <v>0</v>
      </c>
      <c r="M127" s="2">
        <v>0</v>
      </c>
      <c r="N127" s="2">
        <v>6</v>
      </c>
      <c r="O127" s="2">
        <v>5</v>
      </c>
      <c r="P127" s="2">
        <v>5</v>
      </c>
      <c r="Q127" s="2" t="s">
        <v>3450</v>
      </c>
      <c r="R127" s="2" t="s">
        <v>3451</v>
      </c>
      <c r="S127" s="4">
        <v>44958</v>
      </c>
    </row>
    <row r="128" spans="1:19" ht="12.5" x14ac:dyDescent="0.25">
      <c r="A128" s="14" t="str">
        <f>HYPERLINK("https://gerandofalcoes.my.salesforce.com/0014X00002YggkwQAB", "0014X00002YggkwQAB")</f>
        <v>0014X00002YggkwQAB</v>
      </c>
      <c r="B128" s="2" t="s">
        <v>3440</v>
      </c>
      <c r="C128" s="2" t="s">
        <v>423</v>
      </c>
      <c r="D128" s="2" t="s">
        <v>2</v>
      </c>
      <c r="E128" s="2"/>
      <c r="F128" s="2">
        <v>0</v>
      </c>
      <c r="G128" s="2">
        <v>2</v>
      </c>
      <c r="H128" s="2">
        <v>100</v>
      </c>
      <c r="I128" s="2">
        <v>30</v>
      </c>
      <c r="J128" s="2"/>
      <c r="K128" s="2">
        <v>16</v>
      </c>
      <c r="L128" s="2">
        <v>0</v>
      </c>
      <c r="M128" s="2">
        <v>0</v>
      </c>
      <c r="N128" s="2">
        <v>6</v>
      </c>
      <c r="O128" s="2">
        <v>5</v>
      </c>
      <c r="P128" s="2">
        <v>5</v>
      </c>
      <c r="Q128" s="2" t="s">
        <v>3441</v>
      </c>
      <c r="R128" s="2" t="s">
        <v>3441</v>
      </c>
      <c r="S128" s="4">
        <v>44958</v>
      </c>
    </row>
    <row r="129" spans="1:19" ht="12.5" x14ac:dyDescent="0.25">
      <c r="A129" s="14" t="str">
        <f>HYPERLINK("https://gerandofalcoes.my.salesforce.com/0014X00002YggnRQAR", "0014X00002YggnRQAR")</f>
        <v>0014X00002YggnRQAR</v>
      </c>
      <c r="B129" s="2" t="s">
        <v>3392</v>
      </c>
      <c r="C129" s="2" t="s">
        <v>423</v>
      </c>
      <c r="D129" s="2" t="s">
        <v>2</v>
      </c>
      <c r="E129" s="2"/>
      <c r="F129" s="2">
        <v>4</v>
      </c>
      <c r="G129" s="2">
        <v>4</v>
      </c>
      <c r="H129" s="2">
        <v>10000</v>
      </c>
      <c r="I129" s="2">
        <v>400</v>
      </c>
      <c r="J129" s="2"/>
      <c r="K129" s="2">
        <v>35</v>
      </c>
      <c r="L129" s="2">
        <v>0</v>
      </c>
      <c r="M129" s="2">
        <v>5</v>
      </c>
      <c r="N129" s="2">
        <v>10</v>
      </c>
      <c r="O129" s="2">
        <v>5</v>
      </c>
      <c r="P129" s="2">
        <v>15</v>
      </c>
      <c r="Q129" s="2" t="s">
        <v>3393</v>
      </c>
      <c r="R129" s="2" t="s">
        <v>3394</v>
      </c>
      <c r="S129" s="4">
        <v>44958</v>
      </c>
    </row>
    <row r="130" spans="1:19" ht="12.5" x14ac:dyDescent="0.25">
      <c r="A130" s="14" t="str">
        <f>HYPERLINK("https://gerandofalcoes.my.salesforce.com/0014X00002YgbkPQAR", "0014X00002YgbkPQAR")</f>
        <v>0014X00002YgbkPQAR</v>
      </c>
      <c r="B130" s="2" t="s">
        <v>3515</v>
      </c>
      <c r="C130" s="2" t="s">
        <v>423</v>
      </c>
      <c r="D130" s="2" t="s">
        <v>2</v>
      </c>
      <c r="E130" s="2"/>
      <c r="F130" s="2">
        <v>0</v>
      </c>
      <c r="G130" s="2">
        <v>0</v>
      </c>
      <c r="H130" s="2">
        <v>0</v>
      </c>
      <c r="I130" s="2">
        <v>0</v>
      </c>
      <c r="J130" s="2"/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 t="s">
        <v>3516</v>
      </c>
      <c r="R130" s="2" t="s">
        <v>3516</v>
      </c>
      <c r="S130" s="4">
        <v>44958</v>
      </c>
    </row>
    <row r="131" spans="1:19" ht="12.5" x14ac:dyDescent="0.25">
      <c r="A131" s="14" t="str">
        <f>HYPERLINK("https://gerandofalcoes.my.salesforce.com/0014X00002YgggLQAR", "0014X00002YgggLQAR")</f>
        <v>0014X00002YgggLQAR</v>
      </c>
      <c r="B131" s="2" t="s">
        <v>3486</v>
      </c>
      <c r="C131" s="2" t="s">
        <v>423</v>
      </c>
      <c r="D131" s="2" t="s">
        <v>2</v>
      </c>
      <c r="E131" s="2"/>
      <c r="F131" s="2">
        <v>10</v>
      </c>
      <c r="G131" s="2">
        <v>4</v>
      </c>
      <c r="H131" s="2">
        <v>208</v>
      </c>
      <c r="I131" s="2">
        <v>108</v>
      </c>
      <c r="J131" s="2"/>
      <c r="K131" s="2">
        <v>35</v>
      </c>
      <c r="L131" s="2">
        <v>0</v>
      </c>
      <c r="M131" s="2">
        <v>10</v>
      </c>
      <c r="N131" s="2">
        <v>10</v>
      </c>
      <c r="O131" s="2">
        <v>5</v>
      </c>
      <c r="P131" s="2">
        <v>10</v>
      </c>
      <c r="Q131" s="2" t="s">
        <v>3487</v>
      </c>
      <c r="R131" s="2" t="s">
        <v>3488</v>
      </c>
      <c r="S131" s="4">
        <v>44958</v>
      </c>
    </row>
    <row r="132" spans="1:19" ht="12.5" x14ac:dyDescent="0.25">
      <c r="A132" s="14" t="str">
        <f>HYPERLINK("https://gerandofalcoes.my.salesforce.com/0014X00002YggiDQAR", "0014X00002YggiDQAR")</f>
        <v>0014X00002YggiDQAR</v>
      </c>
      <c r="B132" s="2" t="s">
        <v>3400</v>
      </c>
      <c r="C132" s="2" t="s">
        <v>423</v>
      </c>
      <c r="D132" s="2" t="s">
        <v>2</v>
      </c>
      <c r="E132" s="2"/>
      <c r="F132" s="2">
        <v>3</v>
      </c>
      <c r="G132" s="2">
        <v>6</v>
      </c>
      <c r="H132" s="2">
        <v>315738</v>
      </c>
      <c r="I132" s="2">
        <v>8</v>
      </c>
      <c r="J132" s="2"/>
      <c r="K132" s="2">
        <v>40</v>
      </c>
      <c r="L132" s="2">
        <v>0</v>
      </c>
      <c r="M132" s="2">
        <v>5</v>
      </c>
      <c r="N132" s="2">
        <v>10</v>
      </c>
      <c r="O132" s="2">
        <v>20</v>
      </c>
      <c r="P132" s="2">
        <v>5</v>
      </c>
      <c r="Q132" s="2" t="s">
        <v>3401</v>
      </c>
      <c r="R132" s="2" t="s">
        <v>3402</v>
      </c>
      <c r="S132" s="4">
        <v>44958</v>
      </c>
    </row>
    <row r="133" spans="1:19" ht="12.5" x14ac:dyDescent="0.25">
      <c r="A133" s="14" t="str">
        <f>HYPERLINK("https://gerandofalcoes.my.salesforce.com/0014X00002YgglwQAB", "0014X00002YgglwQAB")</f>
        <v>0014X00002YgglwQAB</v>
      </c>
      <c r="B133" s="2" t="s">
        <v>3416</v>
      </c>
      <c r="C133" s="2" t="s">
        <v>423</v>
      </c>
      <c r="D133" s="2" t="s">
        <v>2</v>
      </c>
      <c r="E133" s="2"/>
      <c r="F133" s="2">
        <v>6</v>
      </c>
      <c r="G133" s="2">
        <v>6</v>
      </c>
      <c r="H133" s="2">
        <v>60000</v>
      </c>
      <c r="I133" s="2">
        <v>30</v>
      </c>
      <c r="J133" s="2"/>
      <c r="K133" s="2">
        <v>35</v>
      </c>
      <c r="L133" s="2">
        <v>0</v>
      </c>
      <c r="M133" s="2">
        <v>10</v>
      </c>
      <c r="N133" s="2">
        <v>10</v>
      </c>
      <c r="O133" s="2">
        <v>10</v>
      </c>
      <c r="P133" s="2">
        <v>5</v>
      </c>
      <c r="Q133" s="2" t="s">
        <v>3417</v>
      </c>
      <c r="R133" s="2" t="s">
        <v>3418</v>
      </c>
      <c r="S133" s="4">
        <v>44958</v>
      </c>
    </row>
    <row r="134" spans="1:19" ht="12.5" x14ac:dyDescent="0.25">
      <c r="A134" s="14" t="str">
        <f>HYPERLINK("https://gerandofalcoes.my.salesforce.com/0014X00002YggnyQAB", "0014X00002YggnyQAB")</f>
        <v>0014X00002YggnyQAB</v>
      </c>
      <c r="B134" s="2" t="s">
        <v>3519</v>
      </c>
      <c r="C134" s="2" t="s">
        <v>423</v>
      </c>
      <c r="D134" s="2" t="s">
        <v>2</v>
      </c>
      <c r="E134" s="2"/>
      <c r="F134" s="2">
        <v>25</v>
      </c>
      <c r="G134" s="2">
        <v>3</v>
      </c>
      <c r="H134" s="2">
        <v>49000</v>
      </c>
      <c r="I134" s="2">
        <v>0</v>
      </c>
      <c r="J134" s="2"/>
      <c r="K134" s="2">
        <v>30</v>
      </c>
      <c r="L134" s="2">
        <v>0</v>
      </c>
      <c r="M134" s="2">
        <v>12</v>
      </c>
      <c r="N134" s="2">
        <v>8</v>
      </c>
      <c r="O134" s="2">
        <v>10</v>
      </c>
      <c r="P134" s="2">
        <v>0</v>
      </c>
      <c r="Q134" s="2" t="s">
        <v>3520</v>
      </c>
      <c r="R134" s="2" t="s">
        <v>3521</v>
      </c>
      <c r="S134" s="4">
        <v>44958</v>
      </c>
    </row>
    <row r="135" spans="1:19" ht="12.5" x14ac:dyDescent="0.25">
      <c r="A135" s="14" t="str">
        <f>HYPERLINK("https://gerandofalcoes.my.salesforce.com/0014X00002YggjLQAR", "0014X00002YggjLQAR")</f>
        <v>0014X00002YggjLQAR</v>
      </c>
      <c r="B135" s="2" t="s">
        <v>3489</v>
      </c>
      <c r="C135" s="2" t="s">
        <v>423</v>
      </c>
      <c r="D135" s="2" t="s">
        <v>2</v>
      </c>
      <c r="E135" s="2"/>
      <c r="F135" s="2">
        <v>0</v>
      </c>
      <c r="G135" s="2">
        <v>2</v>
      </c>
      <c r="H135" s="2">
        <v>1000</v>
      </c>
      <c r="I135" s="2">
        <v>70</v>
      </c>
      <c r="J135" s="2"/>
      <c r="K135" s="2">
        <v>16</v>
      </c>
      <c r="L135" s="2">
        <v>0</v>
      </c>
      <c r="M135" s="2">
        <v>0</v>
      </c>
      <c r="N135" s="2">
        <v>6</v>
      </c>
      <c r="O135" s="2">
        <v>5</v>
      </c>
      <c r="P135" s="2">
        <v>5</v>
      </c>
      <c r="Q135" s="2" t="s">
        <v>3490</v>
      </c>
      <c r="R135" s="2" t="s">
        <v>3491</v>
      </c>
      <c r="S135" s="4">
        <v>44958</v>
      </c>
    </row>
    <row r="136" spans="1:19" ht="12.5" x14ac:dyDescent="0.25">
      <c r="A136" s="14" t="str">
        <f>HYPERLINK("https://gerandofalcoes.my.salesforce.com/0014X00002YggnnQAB", "0014X00002YggnnQAB")</f>
        <v>0014X00002YggnnQAB</v>
      </c>
      <c r="B136" s="2" t="s">
        <v>3405</v>
      </c>
      <c r="C136" s="2" t="s">
        <v>423</v>
      </c>
      <c r="D136" s="2" t="s">
        <v>2</v>
      </c>
      <c r="E136" s="2"/>
      <c r="F136" s="2">
        <v>0</v>
      </c>
      <c r="G136" s="2">
        <v>3</v>
      </c>
      <c r="H136" s="2">
        <v>135000</v>
      </c>
      <c r="I136" s="2">
        <v>50</v>
      </c>
      <c r="J136" s="2"/>
      <c r="K136" s="2">
        <v>28</v>
      </c>
      <c r="L136" s="2">
        <v>0</v>
      </c>
      <c r="M136" s="2">
        <v>0</v>
      </c>
      <c r="N136" s="2">
        <v>8</v>
      </c>
      <c r="O136" s="2">
        <v>15</v>
      </c>
      <c r="P136" s="2">
        <v>5</v>
      </c>
      <c r="Q136" s="2" t="s">
        <v>3406</v>
      </c>
      <c r="R136" s="2" t="s">
        <v>3407</v>
      </c>
      <c r="S136" s="4">
        <v>44958</v>
      </c>
    </row>
    <row r="137" spans="1:19" ht="12.5" x14ac:dyDescent="0.25">
      <c r="A137" s="14" t="str">
        <f>HYPERLINK("https://gerandofalcoes.my.salesforce.com/0014X00002Yggh5QAB", "0014X00002Yggh5QAB")</f>
        <v>0014X00002Yggh5QAB</v>
      </c>
      <c r="B137" s="2" t="s">
        <v>3397</v>
      </c>
      <c r="C137" s="2" t="s">
        <v>423</v>
      </c>
      <c r="D137" s="2" t="s">
        <v>2</v>
      </c>
      <c r="E137" s="2"/>
      <c r="F137" s="2">
        <v>0</v>
      </c>
      <c r="G137" s="2">
        <v>2</v>
      </c>
      <c r="H137" s="2">
        <v>300000</v>
      </c>
      <c r="I137" s="2">
        <v>500</v>
      </c>
      <c r="J137" s="2" t="s">
        <v>1671</v>
      </c>
      <c r="K137" s="2">
        <v>46</v>
      </c>
      <c r="L137" s="2">
        <v>0</v>
      </c>
      <c r="M137" s="2">
        <v>0</v>
      </c>
      <c r="N137" s="2">
        <v>6</v>
      </c>
      <c r="O137" s="2">
        <v>20</v>
      </c>
      <c r="P137" s="2">
        <v>20</v>
      </c>
      <c r="Q137" s="2" t="s">
        <v>3398</v>
      </c>
      <c r="R137" s="2" t="s">
        <v>3399</v>
      </c>
      <c r="S137" s="4">
        <v>44958</v>
      </c>
    </row>
    <row r="138" spans="1:19" ht="12.5" x14ac:dyDescent="0.25">
      <c r="A138" s="14" t="str">
        <f>HYPERLINK("https://gerandofalcoes.my.salesforce.com/0014X00002YgghlQAB", "0014X00002YgghlQAB")</f>
        <v>0014X00002YgghlQAB</v>
      </c>
      <c r="B138" s="2" t="s">
        <v>3458</v>
      </c>
      <c r="C138" s="2" t="s">
        <v>423</v>
      </c>
      <c r="D138" s="2" t="s">
        <v>2</v>
      </c>
      <c r="E138" s="2"/>
      <c r="F138" s="2">
        <v>4</v>
      </c>
      <c r="G138" s="2">
        <v>5</v>
      </c>
      <c r="H138" s="2">
        <v>4000</v>
      </c>
      <c r="I138" s="2">
        <v>0</v>
      </c>
      <c r="J138" s="2"/>
      <c r="K138" s="2">
        <v>20</v>
      </c>
      <c r="L138" s="2">
        <v>0</v>
      </c>
      <c r="M138" s="2">
        <v>5</v>
      </c>
      <c r="N138" s="2">
        <v>10</v>
      </c>
      <c r="O138" s="2">
        <v>5</v>
      </c>
      <c r="P138" s="2">
        <v>0</v>
      </c>
      <c r="Q138" s="2" t="s">
        <v>3459</v>
      </c>
      <c r="R138" s="2" t="s">
        <v>3460</v>
      </c>
      <c r="S138" s="4">
        <v>44958</v>
      </c>
    </row>
    <row r="139" spans="1:19" ht="12.5" x14ac:dyDescent="0.25">
      <c r="A139" s="14" t="str">
        <f>HYPERLINK("https://gerandofalcoes.my.salesforce.com/0014X00002Yggp4QAB", "0014X00002Yggp4QAB")</f>
        <v>0014X00002Yggp4QAB</v>
      </c>
      <c r="B139" s="2" t="s">
        <v>3447</v>
      </c>
      <c r="C139" s="2" t="s">
        <v>423</v>
      </c>
      <c r="D139" s="2" t="s">
        <v>2</v>
      </c>
      <c r="E139" s="2"/>
      <c r="F139" s="2">
        <v>0</v>
      </c>
      <c r="G139" s="2">
        <v>5</v>
      </c>
      <c r="H139" s="2">
        <v>2000</v>
      </c>
      <c r="I139" s="2">
        <v>150</v>
      </c>
      <c r="J139" s="2"/>
      <c r="K139" s="2">
        <v>27</v>
      </c>
      <c r="L139" s="2">
        <v>0</v>
      </c>
      <c r="M139" s="2">
        <v>0</v>
      </c>
      <c r="N139" s="2">
        <v>10</v>
      </c>
      <c r="O139" s="2">
        <v>5</v>
      </c>
      <c r="P139" s="2">
        <v>12</v>
      </c>
      <c r="Q139" s="2" t="s">
        <v>3448</v>
      </c>
      <c r="R139" s="2" t="s">
        <v>3448</v>
      </c>
      <c r="S139" s="4">
        <v>44958</v>
      </c>
    </row>
    <row r="140" spans="1:19" ht="12.5" x14ac:dyDescent="0.25">
      <c r="A140" s="14" t="str">
        <f>HYPERLINK("https://gerandofalcoes.my.salesforce.com/0014X00002YgghnQAB", "0014X00002YgghnQAB")</f>
        <v>0014X00002YgghnQAB</v>
      </c>
      <c r="B140" s="2" t="s">
        <v>3470</v>
      </c>
      <c r="C140" s="2" t="s">
        <v>423</v>
      </c>
      <c r="D140" s="2" t="s">
        <v>2</v>
      </c>
      <c r="E140" s="2"/>
      <c r="F140" s="2">
        <v>20</v>
      </c>
      <c r="G140" s="2">
        <v>3</v>
      </c>
      <c r="H140" s="2">
        <v>263610</v>
      </c>
      <c r="I140" s="2">
        <v>180</v>
      </c>
      <c r="J140" s="2"/>
      <c r="K140" s="2">
        <v>47</v>
      </c>
      <c r="L140" s="2">
        <v>0</v>
      </c>
      <c r="M140" s="2">
        <v>12</v>
      </c>
      <c r="N140" s="2">
        <v>8</v>
      </c>
      <c r="O140" s="2">
        <v>15</v>
      </c>
      <c r="P140" s="2">
        <v>12</v>
      </c>
      <c r="Q140" s="2" t="s">
        <v>3471</v>
      </c>
      <c r="R140" s="2" t="s">
        <v>3472</v>
      </c>
      <c r="S140" s="4">
        <v>44958</v>
      </c>
    </row>
    <row r="141" spans="1:19" ht="12.5" x14ac:dyDescent="0.25">
      <c r="A141" s="14" t="str">
        <f>HYPERLINK("https://gerandofalcoes.my.salesforce.com/0014X00002YggjDQAR", "0014X00002YggjDQAR")</f>
        <v>0014X00002YggjDQAR</v>
      </c>
      <c r="B141" s="2" t="s">
        <v>3419</v>
      </c>
      <c r="C141" s="2" t="s">
        <v>423</v>
      </c>
      <c r="D141" s="2" t="s">
        <v>2</v>
      </c>
      <c r="E141" s="2"/>
      <c r="F141" s="2">
        <v>6</v>
      </c>
      <c r="G141" s="2">
        <v>4</v>
      </c>
      <c r="H141" s="2">
        <v>2000</v>
      </c>
      <c r="I141" s="2">
        <v>60</v>
      </c>
      <c r="J141" s="2"/>
      <c r="K141" s="2">
        <v>30</v>
      </c>
      <c r="L141" s="2">
        <v>0</v>
      </c>
      <c r="M141" s="2">
        <v>10</v>
      </c>
      <c r="N141" s="2">
        <v>10</v>
      </c>
      <c r="O141" s="2">
        <v>5</v>
      </c>
      <c r="P141" s="2">
        <v>5</v>
      </c>
      <c r="Q141" s="2" t="s">
        <v>3420</v>
      </c>
      <c r="R141" s="2" t="s">
        <v>3420</v>
      </c>
      <c r="S141" s="4">
        <v>44958</v>
      </c>
    </row>
    <row r="142" spans="1:19" ht="12.5" x14ac:dyDescent="0.25">
      <c r="A142" s="14" t="str">
        <f>HYPERLINK("https://gerandofalcoes.my.salesforce.com/0014X00002YgggdQAB", "0014X00002YgggdQAB")</f>
        <v>0014X00002YgggdQAB</v>
      </c>
      <c r="B142" s="2" t="s">
        <v>3492</v>
      </c>
      <c r="C142" s="2" t="s">
        <v>423</v>
      </c>
      <c r="D142" s="2" t="s">
        <v>2</v>
      </c>
      <c r="E142" s="2"/>
      <c r="F142" s="2">
        <v>0</v>
      </c>
      <c r="G142" s="2">
        <v>2</v>
      </c>
      <c r="H142" s="2">
        <v>6000</v>
      </c>
      <c r="I142" s="2">
        <v>52</v>
      </c>
      <c r="J142" s="2"/>
      <c r="K142" s="2">
        <v>16</v>
      </c>
      <c r="L142" s="2">
        <v>0</v>
      </c>
      <c r="M142" s="2">
        <v>0</v>
      </c>
      <c r="N142" s="2">
        <v>6</v>
      </c>
      <c r="O142" s="2">
        <v>5</v>
      </c>
      <c r="P142" s="2">
        <v>5</v>
      </c>
      <c r="Q142" s="2" t="s">
        <v>3493</v>
      </c>
      <c r="R142" s="2" t="s">
        <v>3493</v>
      </c>
      <c r="S142" s="4">
        <v>44958</v>
      </c>
    </row>
    <row r="143" spans="1:19" ht="12.5" x14ac:dyDescent="0.25">
      <c r="A143" s="14" t="str">
        <f>HYPERLINK("https://gerandofalcoes.my.salesforce.com/0014X00002YggmhQAB", "0014X00002YggmhQAB")</f>
        <v>0014X00002YggmhQAB</v>
      </c>
      <c r="B143" s="2" t="s">
        <v>3442</v>
      </c>
      <c r="C143" s="2" t="s">
        <v>423</v>
      </c>
      <c r="D143" s="2" t="s">
        <v>2</v>
      </c>
      <c r="E143" s="2"/>
      <c r="F143" s="2">
        <v>0</v>
      </c>
      <c r="G143" s="2">
        <v>3</v>
      </c>
      <c r="H143" s="2">
        <v>100000</v>
      </c>
      <c r="I143" s="2">
        <v>200</v>
      </c>
      <c r="J143" s="2"/>
      <c r="K143" s="2">
        <v>35</v>
      </c>
      <c r="L143" s="2">
        <v>0</v>
      </c>
      <c r="M143" s="2">
        <v>0</v>
      </c>
      <c r="N143" s="2">
        <v>8</v>
      </c>
      <c r="O143" s="2">
        <v>15</v>
      </c>
      <c r="P143" s="2">
        <v>12</v>
      </c>
      <c r="Q143" s="2" t="s">
        <v>3443</v>
      </c>
      <c r="R143" s="2" t="s">
        <v>3443</v>
      </c>
      <c r="S143" s="4">
        <v>44958</v>
      </c>
    </row>
    <row r="144" spans="1:19" ht="12.5" x14ac:dyDescent="0.25">
      <c r="A144" s="14" t="str">
        <f>HYPERLINK("https://gerandofalcoes.my.salesforce.com/0014X00002YgggjQAB", "0014X00002YgggjQAB")</f>
        <v>0014X00002YgggjQAB</v>
      </c>
      <c r="B144" s="2" t="s">
        <v>3481</v>
      </c>
      <c r="C144" s="2" t="s">
        <v>423</v>
      </c>
      <c r="D144" s="2" t="s">
        <v>2</v>
      </c>
      <c r="E144" s="2"/>
      <c r="F144" s="2">
        <v>0</v>
      </c>
      <c r="G144" s="2">
        <v>2</v>
      </c>
      <c r="H144" s="2">
        <v>200000</v>
      </c>
      <c r="I144" s="2">
        <v>198</v>
      </c>
      <c r="J144" s="2"/>
      <c r="K144" s="2">
        <v>33</v>
      </c>
      <c r="L144" s="2">
        <v>0</v>
      </c>
      <c r="M144" s="2">
        <v>0</v>
      </c>
      <c r="N144" s="2">
        <v>6</v>
      </c>
      <c r="O144" s="2">
        <v>15</v>
      </c>
      <c r="P144" s="2">
        <v>12</v>
      </c>
      <c r="Q144" s="2" t="s">
        <v>3482</v>
      </c>
      <c r="R144" s="2" t="s">
        <v>3483</v>
      </c>
      <c r="S144" s="4">
        <v>44958</v>
      </c>
    </row>
    <row r="145" spans="1:19" ht="12.5" x14ac:dyDescent="0.25">
      <c r="A145" s="14" t="str">
        <f>HYPERLINK("https://gerandofalcoes.my.salesforce.com/0014X00002YgggqQAB", "0014X00002YgggqQAB")</f>
        <v>0014X00002YgggqQAB</v>
      </c>
      <c r="B145" s="2" t="s">
        <v>3522</v>
      </c>
      <c r="C145" s="2" t="s">
        <v>423</v>
      </c>
      <c r="D145" s="2" t="s">
        <v>2</v>
      </c>
      <c r="E145" s="2"/>
      <c r="F145" s="2">
        <v>0</v>
      </c>
      <c r="G145" s="2">
        <v>3</v>
      </c>
      <c r="H145" s="2">
        <v>30000</v>
      </c>
      <c r="I145" s="2">
        <v>0</v>
      </c>
      <c r="J145" s="2"/>
      <c r="K145" s="2">
        <v>18</v>
      </c>
      <c r="L145" s="2">
        <v>0</v>
      </c>
      <c r="M145" s="2">
        <v>0</v>
      </c>
      <c r="N145" s="2">
        <v>8</v>
      </c>
      <c r="O145" s="2">
        <v>10</v>
      </c>
      <c r="P145" s="2">
        <v>0</v>
      </c>
      <c r="Q145" s="2" t="s">
        <v>3523</v>
      </c>
      <c r="R145" s="2" t="s">
        <v>3523</v>
      </c>
      <c r="S145" s="4">
        <v>44958</v>
      </c>
    </row>
    <row r="146" spans="1:19" ht="12.5" x14ac:dyDescent="0.25">
      <c r="A146" s="14" t="str">
        <f>HYPERLINK("https://gerandofalcoes.my.salesforce.com/0014X00002bCk8nQAC", "0014X00002bCk8nQAC")</f>
        <v>0014X00002bCk8nQAC</v>
      </c>
      <c r="B146" s="2" t="s">
        <v>3479</v>
      </c>
      <c r="C146" s="2" t="s">
        <v>423</v>
      </c>
      <c r="D146" s="2" t="s">
        <v>2</v>
      </c>
      <c r="E146" s="2"/>
      <c r="F146" s="2">
        <v>0</v>
      </c>
      <c r="G146" s="2">
        <v>2</v>
      </c>
      <c r="H146" s="2">
        <v>5000</v>
      </c>
      <c r="I146" s="2">
        <v>200</v>
      </c>
      <c r="J146" s="2"/>
      <c r="K146" s="2">
        <v>23</v>
      </c>
      <c r="L146" s="2">
        <v>0</v>
      </c>
      <c r="M146" s="2">
        <v>0</v>
      </c>
      <c r="N146" s="2">
        <v>6</v>
      </c>
      <c r="O146" s="2">
        <v>5</v>
      </c>
      <c r="P146" s="2">
        <v>12</v>
      </c>
      <c r="Q146" s="2" t="s">
        <v>3480</v>
      </c>
      <c r="R146" s="2" t="s">
        <v>3480</v>
      </c>
      <c r="S146" s="4">
        <v>44958</v>
      </c>
    </row>
    <row r="147" spans="1:19" ht="12.5" x14ac:dyDescent="0.25">
      <c r="A147" s="14" t="str">
        <f>HYPERLINK("https://gerandofalcoes.my.salesforce.com/0014X00002YggocQAB", "0014X00002YggocQAB")</f>
        <v>0014X00002YggocQAB</v>
      </c>
      <c r="B147" s="2" t="s">
        <v>3432</v>
      </c>
      <c r="C147" s="2" t="s">
        <v>423</v>
      </c>
      <c r="D147" s="2" t="s">
        <v>2</v>
      </c>
      <c r="E147" s="2"/>
      <c r="F147" s="2">
        <v>0</v>
      </c>
      <c r="G147" s="2">
        <v>3</v>
      </c>
      <c r="H147" s="2">
        <v>5000</v>
      </c>
      <c r="I147" s="2">
        <v>150</v>
      </c>
      <c r="J147" s="2"/>
      <c r="K147" s="2">
        <v>25</v>
      </c>
      <c r="L147" s="2">
        <v>0</v>
      </c>
      <c r="M147" s="2">
        <v>0</v>
      </c>
      <c r="N147" s="2">
        <v>8</v>
      </c>
      <c r="O147" s="2">
        <v>5</v>
      </c>
      <c r="P147" s="2">
        <v>12</v>
      </c>
      <c r="Q147" s="2" t="s">
        <v>3433</v>
      </c>
      <c r="R147" s="2" t="s">
        <v>3434</v>
      </c>
      <c r="S147" s="4">
        <v>44958</v>
      </c>
    </row>
    <row r="148" spans="1:19" ht="12.5" x14ac:dyDescent="0.25">
      <c r="A148" s="14" t="str">
        <f>HYPERLINK("https://gerandofalcoes.my.salesforce.com/0014X00002YggqqQAB", "0014X00002YggqqQAB")</f>
        <v>0014X00002YggqqQAB</v>
      </c>
      <c r="B148" s="2" t="s">
        <v>3503</v>
      </c>
      <c r="C148" s="2" t="s">
        <v>423</v>
      </c>
      <c r="D148" s="2" t="s">
        <v>2</v>
      </c>
      <c r="E148" s="2"/>
      <c r="F148" s="2">
        <v>1</v>
      </c>
      <c r="G148" s="2">
        <v>2</v>
      </c>
      <c r="H148" s="2">
        <v>5000</v>
      </c>
      <c r="I148" s="2">
        <v>25</v>
      </c>
      <c r="J148" s="2"/>
      <c r="K148" s="2">
        <v>21</v>
      </c>
      <c r="L148" s="2">
        <v>0</v>
      </c>
      <c r="M148" s="2">
        <v>5</v>
      </c>
      <c r="N148" s="2">
        <v>6</v>
      </c>
      <c r="O148" s="2">
        <v>5</v>
      </c>
      <c r="P148" s="2">
        <v>5</v>
      </c>
      <c r="Q148" s="2" t="s">
        <v>3504</v>
      </c>
      <c r="R148" s="2" t="s">
        <v>3504</v>
      </c>
      <c r="S148" s="4">
        <v>44958</v>
      </c>
    </row>
    <row r="149" spans="1:19" ht="12.5" x14ac:dyDescent="0.25">
      <c r="A149" s="14" t="str">
        <f>HYPERLINK("https://gerandofalcoes.my.salesforce.com/0014X00002YggqvQAB", "0014X00002YggqvQAB")</f>
        <v>0014X00002YggqvQAB</v>
      </c>
      <c r="B149" s="2" t="s">
        <v>3435</v>
      </c>
      <c r="C149" s="2" t="s">
        <v>423</v>
      </c>
      <c r="D149" s="2" t="s">
        <v>2</v>
      </c>
      <c r="E149" s="2"/>
      <c r="F149" s="2">
        <v>0</v>
      </c>
      <c r="G149" s="2">
        <v>3</v>
      </c>
      <c r="H149" s="2">
        <v>24000</v>
      </c>
      <c r="I149" s="2">
        <v>0</v>
      </c>
      <c r="J149" s="2"/>
      <c r="K149" s="2">
        <v>13</v>
      </c>
      <c r="L149" s="2">
        <v>0</v>
      </c>
      <c r="M149" s="2">
        <v>0</v>
      </c>
      <c r="N149" s="2">
        <v>8</v>
      </c>
      <c r="O149" s="2">
        <v>5</v>
      </c>
      <c r="P149" s="2">
        <v>0</v>
      </c>
      <c r="Q149" s="2" t="s">
        <v>3436</v>
      </c>
      <c r="R149" s="2" t="s">
        <v>3437</v>
      </c>
      <c r="S149" s="4">
        <v>44958</v>
      </c>
    </row>
    <row r="150" spans="1:19" ht="12.5" x14ac:dyDescent="0.25">
      <c r="A150" s="14" t="str">
        <f>HYPERLINK("https://gerandofalcoes.my.salesforce.com/0014X00002YgggWQAR", "0014X00002YgggWQAR")</f>
        <v>0014X00002YgggWQAR</v>
      </c>
      <c r="B150" s="2" t="s">
        <v>3476</v>
      </c>
      <c r="C150" s="2" t="s">
        <v>423</v>
      </c>
      <c r="D150" s="2" t="s">
        <v>2</v>
      </c>
      <c r="E150" s="2"/>
      <c r="F150" s="2">
        <v>0</v>
      </c>
      <c r="G150" s="2">
        <v>2</v>
      </c>
      <c r="H150" s="2">
        <v>0</v>
      </c>
      <c r="I150" s="2">
        <v>250</v>
      </c>
      <c r="J150" s="2"/>
      <c r="K150" s="2">
        <v>18</v>
      </c>
      <c r="L150" s="2">
        <v>0</v>
      </c>
      <c r="M150" s="2">
        <v>0</v>
      </c>
      <c r="N150" s="2">
        <v>6</v>
      </c>
      <c r="O150" s="2">
        <v>0</v>
      </c>
      <c r="P150" s="2">
        <v>12</v>
      </c>
      <c r="Q150" s="2" t="s">
        <v>3477</v>
      </c>
      <c r="R150" s="2" t="s">
        <v>3478</v>
      </c>
      <c r="S150" s="4">
        <v>44958</v>
      </c>
    </row>
    <row r="151" spans="1:19" ht="12.5" x14ac:dyDescent="0.25">
      <c r="A151" s="14" t="str">
        <f>HYPERLINK("https://gerandofalcoes.my.salesforce.com/0014X00002YggmkQAB", "0014X00002YggmkQAB")</f>
        <v>0014X00002YggmkQAB</v>
      </c>
      <c r="B151" s="2" t="s">
        <v>3408</v>
      </c>
      <c r="C151" s="2" t="s">
        <v>423</v>
      </c>
      <c r="D151" s="2" t="s">
        <v>2</v>
      </c>
      <c r="E151" s="2"/>
      <c r="F151" s="2">
        <v>8</v>
      </c>
      <c r="G151" s="2">
        <v>6</v>
      </c>
      <c r="H151" s="2">
        <v>30000</v>
      </c>
      <c r="I151" s="2">
        <v>80</v>
      </c>
      <c r="J151" s="2"/>
      <c r="K151" s="2">
        <v>40</v>
      </c>
      <c r="L151" s="2">
        <v>0</v>
      </c>
      <c r="M151" s="2">
        <v>10</v>
      </c>
      <c r="N151" s="2">
        <v>10</v>
      </c>
      <c r="O151" s="2">
        <v>10</v>
      </c>
      <c r="P151" s="2">
        <v>10</v>
      </c>
      <c r="Q151" s="2" t="s">
        <v>3409</v>
      </c>
      <c r="R151" s="2" t="s">
        <v>3409</v>
      </c>
      <c r="S151" s="4">
        <v>44958</v>
      </c>
    </row>
    <row r="152" spans="1:19" ht="12.5" x14ac:dyDescent="0.25">
      <c r="A152" s="14" t="str">
        <f>HYPERLINK("https://gerandofalcoes.my.salesforce.com/0014X00002YgghyQAB", "0014X00002YgghyQAB")</f>
        <v>0014X00002YgghyQAB</v>
      </c>
      <c r="B152" s="2" t="s">
        <v>3421</v>
      </c>
      <c r="C152" s="2" t="s">
        <v>423</v>
      </c>
      <c r="D152" s="2" t="s">
        <v>2</v>
      </c>
      <c r="E152" s="2"/>
      <c r="F152" s="2">
        <v>3</v>
      </c>
      <c r="G152" s="2">
        <v>4</v>
      </c>
      <c r="H152" s="2">
        <v>50000</v>
      </c>
      <c r="I152" s="2">
        <v>100</v>
      </c>
      <c r="J152" s="2"/>
      <c r="K152" s="2">
        <v>35</v>
      </c>
      <c r="L152" s="2">
        <v>0</v>
      </c>
      <c r="M152" s="2">
        <v>5</v>
      </c>
      <c r="N152" s="2">
        <v>10</v>
      </c>
      <c r="O152" s="2">
        <v>10</v>
      </c>
      <c r="P152" s="2">
        <v>10</v>
      </c>
      <c r="Q152" s="2" t="s">
        <v>3422</v>
      </c>
      <c r="R152" s="2" t="s">
        <v>3423</v>
      </c>
      <c r="S152" s="4">
        <v>44958</v>
      </c>
    </row>
    <row r="153" spans="1:19" ht="12.5" x14ac:dyDescent="0.25">
      <c r="A153" s="14" t="str">
        <f>HYPERLINK("https://gerandofalcoes.my.salesforce.com/0014X00002YggkvQAB", "0014X00002YggkvQAB")</f>
        <v>0014X00002YggkvQAB</v>
      </c>
      <c r="B153" s="2" t="s">
        <v>3494</v>
      </c>
      <c r="C153" s="2" t="s">
        <v>423</v>
      </c>
      <c r="D153" s="2" t="s">
        <v>2</v>
      </c>
      <c r="E153" s="2"/>
      <c r="F153" s="2">
        <v>5</v>
      </c>
      <c r="G153" s="2">
        <v>2</v>
      </c>
      <c r="H153" s="2">
        <v>250</v>
      </c>
      <c r="I153" s="2">
        <v>50</v>
      </c>
      <c r="J153" s="2"/>
      <c r="K153" s="2">
        <v>21</v>
      </c>
      <c r="L153" s="2">
        <v>0</v>
      </c>
      <c r="M153" s="2">
        <v>5</v>
      </c>
      <c r="N153" s="2">
        <v>6</v>
      </c>
      <c r="O153" s="2">
        <v>5</v>
      </c>
      <c r="P153" s="2">
        <v>5</v>
      </c>
      <c r="Q153" s="2" t="s">
        <v>3495</v>
      </c>
      <c r="R153" s="2" t="s">
        <v>3496</v>
      </c>
      <c r="S153" s="4">
        <v>44958</v>
      </c>
    </row>
    <row r="154" spans="1:19" ht="12.5" x14ac:dyDescent="0.25">
      <c r="A154" s="14" t="str">
        <f>HYPERLINK("https://gerandofalcoes.my.salesforce.com/0014X00002Yggp8QAB", "0014X00002Yggp8QAB")</f>
        <v>0014X00002Yggp8QAB</v>
      </c>
      <c r="B154" s="2" t="s">
        <v>3508</v>
      </c>
      <c r="C154" s="2" t="s">
        <v>423</v>
      </c>
      <c r="D154" s="2" t="s">
        <v>2</v>
      </c>
      <c r="E154" s="2"/>
      <c r="F154" s="2">
        <v>17</v>
      </c>
      <c r="G154" s="2">
        <v>5</v>
      </c>
      <c r="H154" s="2">
        <v>75898</v>
      </c>
      <c r="I154" s="2">
        <v>15</v>
      </c>
      <c r="J154" s="2"/>
      <c r="K154" s="2">
        <v>37</v>
      </c>
      <c r="L154" s="2">
        <v>0</v>
      </c>
      <c r="M154" s="2">
        <v>12</v>
      </c>
      <c r="N154" s="2">
        <v>10</v>
      </c>
      <c r="O154" s="2">
        <v>10</v>
      </c>
      <c r="P154" s="2">
        <v>5</v>
      </c>
      <c r="Q154" s="2" t="s">
        <v>3509</v>
      </c>
      <c r="R154" s="2" t="s">
        <v>3509</v>
      </c>
      <c r="S154" s="4">
        <v>44958</v>
      </c>
    </row>
    <row r="155" spans="1:19" ht="12.5" x14ac:dyDescent="0.25">
      <c r="A155" s="14" t="str">
        <f>HYPERLINK("https://gerandofalcoes.my.salesforce.com/0014X00002YgglUQAR", "0014X00002YgglUQAR")</f>
        <v>0014X00002YgglUQAR</v>
      </c>
      <c r="B155" s="2" t="s">
        <v>3473</v>
      </c>
      <c r="C155" s="2" t="s">
        <v>423</v>
      </c>
      <c r="D155" s="2" t="s">
        <v>2</v>
      </c>
      <c r="E155" s="2"/>
      <c r="F155" s="2">
        <v>0</v>
      </c>
      <c r="G155" s="2">
        <v>2</v>
      </c>
      <c r="H155" s="2">
        <v>0</v>
      </c>
      <c r="I155" s="2">
        <v>0</v>
      </c>
      <c r="J155" s="2"/>
      <c r="K155" s="2">
        <v>6</v>
      </c>
      <c r="L155" s="2">
        <v>0</v>
      </c>
      <c r="M155" s="2">
        <v>0</v>
      </c>
      <c r="N155" s="2">
        <v>6</v>
      </c>
      <c r="O155" s="2">
        <v>0</v>
      </c>
      <c r="P155" s="2">
        <v>0</v>
      </c>
      <c r="Q155" s="2" t="s">
        <v>3474</v>
      </c>
      <c r="R155" s="2" t="s">
        <v>3475</v>
      </c>
      <c r="S155" s="4">
        <v>44958</v>
      </c>
    </row>
    <row r="156" spans="1:19" ht="12.5" x14ac:dyDescent="0.25">
      <c r="A156" s="14" t="str">
        <f>HYPERLINK("https://gerandofalcoes.my.salesforce.com/0014X00002YggluQAB", "0014X00002YggluQAB")</f>
        <v>0014X00002YggluQAB</v>
      </c>
      <c r="B156" s="2" t="s">
        <v>3524</v>
      </c>
      <c r="C156" s="2" t="s">
        <v>423</v>
      </c>
      <c r="D156" s="2" t="s">
        <v>2</v>
      </c>
      <c r="E156" s="2"/>
      <c r="F156" s="2">
        <v>0</v>
      </c>
      <c r="G156" s="2">
        <v>2</v>
      </c>
      <c r="H156" s="2">
        <v>3745000</v>
      </c>
      <c r="I156" s="2">
        <v>0</v>
      </c>
      <c r="J156" s="2"/>
      <c r="K156" s="2">
        <v>31</v>
      </c>
      <c r="L156" s="2">
        <v>0</v>
      </c>
      <c r="M156" s="2">
        <v>0</v>
      </c>
      <c r="N156" s="2">
        <v>6</v>
      </c>
      <c r="O156" s="2">
        <v>25</v>
      </c>
      <c r="P156" s="2">
        <v>0</v>
      </c>
      <c r="Q156" s="2" t="s">
        <v>3525</v>
      </c>
      <c r="R156" s="2" t="s">
        <v>3526</v>
      </c>
      <c r="S156" s="4">
        <v>44958</v>
      </c>
    </row>
    <row r="157" spans="1:19" ht="12.5" x14ac:dyDescent="0.25">
      <c r="A157" s="14" t="str">
        <f>HYPERLINK("https://gerandofalcoes.my.salesforce.com/0014X00002YggkQQAR", "0014X00002YggkQQAR")</f>
        <v>0014X00002YggkQQAR</v>
      </c>
      <c r="B157" s="2" t="s">
        <v>3461</v>
      </c>
      <c r="C157" s="2" t="s">
        <v>423</v>
      </c>
      <c r="D157" s="2" t="s">
        <v>2</v>
      </c>
      <c r="E157" s="2"/>
      <c r="F157" s="2">
        <v>5</v>
      </c>
      <c r="G157" s="2">
        <v>5</v>
      </c>
      <c r="H157" s="2">
        <v>3000</v>
      </c>
      <c r="I157" s="2">
        <v>250</v>
      </c>
      <c r="J157" s="2"/>
      <c r="K157" s="2">
        <v>32</v>
      </c>
      <c r="L157" s="2">
        <v>0</v>
      </c>
      <c r="M157" s="2">
        <v>5</v>
      </c>
      <c r="N157" s="2">
        <v>10</v>
      </c>
      <c r="O157" s="2">
        <v>5</v>
      </c>
      <c r="P157" s="2">
        <v>12</v>
      </c>
      <c r="Q157" s="2" t="s">
        <v>3462</v>
      </c>
      <c r="R157" s="2" t="s">
        <v>3463</v>
      </c>
      <c r="S157" s="4">
        <v>44958</v>
      </c>
    </row>
    <row r="158" spans="1:19" ht="12.5" x14ac:dyDescent="0.25">
      <c r="A158" s="14" t="str">
        <f>HYPERLINK("https://gerandofalcoes.my.salesforce.com/0014X00002Yggn8QAB", "0014X00002Yggn8QAB")</f>
        <v>0014X00002Yggn8QAB</v>
      </c>
      <c r="B158" s="2" t="s">
        <v>3497</v>
      </c>
      <c r="C158" s="2" t="s">
        <v>423</v>
      </c>
      <c r="D158" s="2" t="s">
        <v>2</v>
      </c>
      <c r="E158" s="2"/>
      <c r="F158" s="2">
        <v>0</v>
      </c>
      <c r="G158" s="2">
        <v>2</v>
      </c>
      <c r="H158" s="2">
        <v>0</v>
      </c>
      <c r="I158" s="2">
        <v>30</v>
      </c>
      <c r="J158" s="2"/>
      <c r="K158" s="2">
        <v>11</v>
      </c>
      <c r="L158" s="2">
        <v>0</v>
      </c>
      <c r="M158" s="2">
        <v>0</v>
      </c>
      <c r="N158" s="2">
        <v>6</v>
      </c>
      <c r="O158" s="2">
        <v>0</v>
      </c>
      <c r="P158" s="2">
        <v>5</v>
      </c>
      <c r="Q158" s="2" t="s">
        <v>3498</v>
      </c>
      <c r="R158" s="2" t="s">
        <v>3499</v>
      </c>
      <c r="S158" s="4">
        <v>44958</v>
      </c>
    </row>
    <row r="159" spans="1:19" ht="12.5" x14ac:dyDescent="0.25">
      <c r="A159" s="14" t="str">
        <f>HYPERLINK("https://gerandofalcoes.my.salesforce.com/0014X00002YggpTQAR", "0014X00002YggpTQAR")</f>
        <v>0014X00002YggpTQAR</v>
      </c>
      <c r="B159" s="2" t="s">
        <v>3438</v>
      </c>
      <c r="C159" s="2" t="s">
        <v>423</v>
      </c>
      <c r="D159" s="2" t="s">
        <v>2</v>
      </c>
      <c r="E159" s="2"/>
      <c r="F159" s="2">
        <v>0</v>
      </c>
      <c r="G159" s="2">
        <v>2</v>
      </c>
      <c r="H159" s="2">
        <v>0</v>
      </c>
      <c r="I159" s="2">
        <v>0</v>
      </c>
      <c r="J159" s="2"/>
      <c r="K159" s="2">
        <v>6</v>
      </c>
      <c r="L159" s="2">
        <v>0</v>
      </c>
      <c r="M159" s="2">
        <v>0</v>
      </c>
      <c r="N159" s="2">
        <v>6</v>
      </c>
      <c r="O159" s="2">
        <v>0</v>
      </c>
      <c r="P159" s="2">
        <v>0</v>
      </c>
      <c r="Q159" s="2" t="s">
        <v>3439</v>
      </c>
      <c r="R159" s="2" t="s">
        <v>3439</v>
      </c>
      <c r="S159" s="4">
        <v>44958</v>
      </c>
    </row>
    <row r="160" spans="1:19" ht="12.5" x14ac:dyDescent="0.25">
      <c r="A160" s="14" t="str">
        <f>HYPERLINK("https://gerandofalcoes.my.salesforce.com/0014X00002Yggm2QAB", "0014X00002Yggm2QAB")</f>
        <v>0014X00002Yggm2QAB</v>
      </c>
      <c r="B160" s="2" t="s">
        <v>3527</v>
      </c>
      <c r="C160" s="2" t="s">
        <v>423</v>
      </c>
      <c r="D160" s="2" t="s">
        <v>2</v>
      </c>
      <c r="E160" s="2"/>
      <c r="F160" s="2">
        <v>0</v>
      </c>
      <c r="G160" s="2">
        <v>2</v>
      </c>
      <c r="H160" s="2">
        <v>2000</v>
      </c>
      <c r="I160" s="2">
        <v>0</v>
      </c>
      <c r="J160" s="2"/>
      <c r="K160" s="2">
        <v>11</v>
      </c>
      <c r="L160" s="2">
        <v>0</v>
      </c>
      <c r="M160" s="2">
        <v>0</v>
      </c>
      <c r="N160" s="2">
        <v>6</v>
      </c>
      <c r="O160" s="2">
        <v>5</v>
      </c>
      <c r="P160" s="2">
        <v>0</v>
      </c>
      <c r="Q160" s="2" t="s">
        <v>3528</v>
      </c>
      <c r="R160" s="2" t="s">
        <v>3529</v>
      </c>
      <c r="S160" s="4">
        <v>44958</v>
      </c>
    </row>
    <row r="161" spans="1:19" ht="12.5" x14ac:dyDescent="0.25">
      <c r="A161" s="14" t="str">
        <f>HYPERLINK("https://gerandofalcoes.my.salesforce.com/0014X00002YggmuQAB", "0014X00002YggmuQAB")</f>
        <v>0014X00002YggmuQAB</v>
      </c>
      <c r="B161" s="2" t="s">
        <v>3464</v>
      </c>
      <c r="C161" s="2" t="s">
        <v>423</v>
      </c>
      <c r="D161" s="2" t="s">
        <v>2</v>
      </c>
      <c r="E161" s="2"/>
      <c r="F161" s="2">
        <v>0</v>
      </c>
      <c r="G161" s="2">
        <v>3</v>
      </c>
      <c r="H161" s="2">
        <v>11000</v>
      </c>
      <c r="I161" s="2">
        <v>67</v>
      </c>
      <c r="J161" s="2"/>
      <c r="K161" s="2">
        <v>18</v>
      </c>
      <c r="L161" s="2">
        <v>0</v>
      </c>
      <c r="M161" s="2">
        <v>0</v>
      </c>
      <c r="N161" s="2">
        <v>8</v>
      </c>
      <c r="O161" s="2">
        <v>5</v>
      </c>
      <c r="P161" s="2">
        <v>5</v>
      </c>
      <c r="Q161" s="2" t="s">
        <v>3465</v>
      </c>
      <c r="R161" s="2" t="s">
        <v>3466</v>
      </c>
      <c r="S161" s="4">
        <v>44958</v>
      </c>
    </row>
    <row r="162" spans="1:19" ht="12.5" x14ac:dyDescent="0.25">
      <c r="A162" s="14" t="str">
        <f>HYPERLINK("https://gerandofalcoes.my.salesforce.com/0014X00002Yggk5QAB", "0014X00002Yggk5QAB")</f>
        <v>0014X00002Yggk5QAB</v>
      </c>
      <c r="B162" s="2" t="s">
        <v>3413</v>
      </c>
      <c r="C162" s="2" t="s">
        <v>423</v>
      </c>
      <c r="D162" s="2" t="s">
        <v>2</v>
      </c>
      <c r="E162" s="2"/>
      <c r="F162" s="2">
        <v>27</v>
      </c>
      <c r="G162" s="2">
        <v>4</v>
      </c>
      <c r="H162" s="2">
        <v>30000</v>
      </c>
      <c r="I162" s="2">
        <v>25</v>
      </c>
      <c r="J162" s="2"/>
      <c r="K162" s="2">
        <v>37</v>
      </c>
      <c r="L162" s="2">
        <v>0</v>
      </c>
      <c r="M162" s="2">
        <v>12</v>
      </c>
      <c r="N162" s="2">
        <v>10</v>
      </c>
      <c r="O162" s="2">
        <v>10</v>
      </c>
      <c r="P162" s="2">
        <v>5</v>
      </c>
      <c r="Q162" s="2" t="s">
        <v>3414</v>
      </c>
      <c r="R162" s="2" t="s">
        <v>3415</v>
      </c>
      <c r="S162" s="4">
        <v>44958</v>
      </c>
    </row>
    <row r="163" spans="1:19" ht="12.5" x14ac:dyDescent="0.25">
      <c r="A163" s="14" t="str">
        <f>HYPERLINK("https://gerandofalcoes.my.salesforce.com/0014X00002Yggl1QAB", "0014X00002Yggl1QAB")</f>
        <v>0014X00002Yggl1QAB</v>
      </c>
      <c r="B163" s="2" t="s">
        <v>3530</v>
      </c>
      <c r="C163" s="2" t="s">
        <v>423</v>
      </c>
      <c r="D163" s="2" t="s">
        <v>2</v>
      </c>
      <c r="E163" s="2"/>
      <c r="F163" s="2">
        <v>0</v>
      </c>
      <c r="G163" s="2">
        <v>2</v>
      </c>
      <c r="H163" s="2">
        <v>1000</v>
      </c>
      <c r="I163" s="2">
        <v>0</v>
      </c>
      <c r="J163" s="2"/>
      <c r="K163" s="2">
        <v>11</v>
      </c>
      <c r="L163" s="2">
        <v>0</v>
      </c>
      <c r="M163" s="2">
        <v>0</v>
      </c>
      <c r="N163" s="2">
        <v>6</v>
      </c>
      <c r="O163" s="2">
        <v>5</v>
      </c>
      <c r="P163" s="2">
        <v>0</v>
      </c>
      <c r="Q163" s="2" t="s">
        <v>3531</v>
      </c>
      <c r="R163" s="2" t="s">
        <v>3531</v>
      </c>
      <c r="S163" s="4">
        <v>44958</v>
      </c>
    </row>
    <row r="164" spans="1:19" ht="12.5" x14ac:dyDescent="0.25">
      <c r="A164" s="14" t="str">
        <f>HYPERLINK("https://gerandofalcoes.my.salesforce.com/0014X00002YgbkZQAR", "0014X00002YgbkZQAR")</f>
        <v>0014X00002YgbkZQAR</v>
      </c>
      <c r="B164" s="2" t="s">
        <v>3455</v>
      </c>
      <c r="C164" s="2" t="s">
        <v>423</v>
      </c>
      <c r="D164" s="2" t="s">
        <v>2</v>
      </c>
      <c r="E164" s="2"/>
      <c r="F164" s="2">
        <v>0</v>
      </c>
      <c r="G164" s="2">
        <v>0</v>
      </c>
      <c r="H164" s="2">
        <v>0</v>
      </c>
      <c r="I164" s="2">
        <v>0</v>
      </c>
      <c r="J164" s="2"/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 t="s">
        <v>3456</v>
      </c>
      <c r="R164" s="2" t="s">
        <v>3457</v>
      </c>
      <c r="S164" s="4">
        <v>44958</v>
      </c>
    </row>
    <row r="165" spans="1:19" ht="12.5" x14ac:dyDescent="0.25">
      <c r="A165" s="14" t="str">
        <f>HYPERLINK("https://gerandofalcoes.my.salesforce.com/0014X00002YggkHQAR", "0014X00002YggkHQAR")</f>
        <v>0014X00002YggkHQAR</v>
      </c>
      <c r="B165" s="2" t="s">
        <v>3467</v>
      </c>
      <c r="C165" s="2" t="s">
        <v>423</v>
      </c>
      <c r="D165" s="2" t="s">
        <v>2</v>
      </c>
      <c r="E165" s="2"/>
      <c r="F165" s="2">
        <v>0</v>
      </c>
      <c r="G165" s="2">
        <v>5</v>
      </c>
      <c r="H165" s="2">
        <v>8000</v>
      </c>
      <c r="I165" s="2">
        <v>0</v>
      </c>
      <c r="J165" s="2"/>
      <c r="K165" s="2">
        <v>15</v>
      </c>
      <c r="L165" s="2">
        <v>0</v>
      </c>
      <c r="M165" s="2">
        <v>0</v>
      </c>
      <c r="N165" s="2">
        <v>10</v>
      </c>
      <c r="O165" s="2">
        <v>5</v>
      </c>
      <c r="P165" s="2">
        <v>0</v>
      </c>
      <c r="Q165" s="2" t="s">
        <v>3468</v>
      </c>
      <c r="R165" s="2" t="s">
        <v>3469</v>
      </c>
      <c r="S165" s="4">
        <v>44958</v>
      </c>
    </row>
    <row r="166" spans="1:19" ht="12.5" x14ac:dyDescent="0.25">
      <c r="A166" s="14" t="str">
        <f>HYPERLINK("https://gerandofalcoes.my.salesforce.com/0014X00002YggmxQAB", "0014X00002YggmxQAB")</f>
        <v>0014X00002YggmxQAB</v>
      </c>
      <c r="B166" s="2" t="s">
        <v>3429</v>
      </c>
      <c r="C166" s="2" t="s">
        <v>423</v>
      </c>
      <c r="D166" s="2" t="s">
        <v>2</v>
      </c>
      <c r="E166" s="2"/>
      <c r="F166" s="2">
        <v>0</v>
      </c>
      <c r="G166" s="2">
        <v>2</v>
      </c>
      <c r="H166" s="2">
        <v>30000</v>
      </c>
      <c r="I166" s="2">
        <v>120</v>
      </c>
      <c r="J166" s="2"/>
      <c r="K166" s="2">
        <v>26</v>
      </c>
      <c r="L166" s="2">
        <v>0</v>
      </c>
      <c r="M166" s="2">
        <v>0</v>
      </c>
      <c r="N166" s="2">
        <v>6</v>
      </c>
      <c r="O166" s="2">
        <v>10</v>
      </c>
      <c r="P166" s="2">
        <v>10</v>
      </c>
      <c r="Q166" s="2" t="s">
        <v>3430</v>
      </c>
      <c r="R166" s="2" t="s">
        <v>3431</v>
      </c>
      <c r="S166" s="4">
        <v>44958</v>
      </c>
    </row>
    <row r="167" spans="1:19" ht="12.5" x14ac:dyDescent="0.25">
      <c r="A167" s="14" t="str">
        <f>HYPERLINK("https://gerandofalcoes.my.salesforce.com/0014X00002YggqsQAB", "0014X00002YggqsQAB")</f>
        <v>0014X00002YggqsQAB</v>
      </c>
      <c r="B167" s="2" t="s">
        <v>3395</v>
      </c>
      <c r="C167" s="2" t="s">
        <v>423</v>
      </c>
      <c r="D167" s="2" t="s">
        <v>2</v>
      </c>
      <c r="E167" s="2"/>
      <c r="F167" s="2">
        <v>230</v>
      </c>
      <c r="G167" s="2">
        <v>3</v>
      </c>
      <c r="H167" s="2">
        <v>10000</v>
      </c>
      <c r="I167" s="2">
        <v>180</v>
      </c>
      <c r="J167" s="2"/>
      <c r="K167" s="2">
        <v>40</v>
      </c>
      <c r="L167" s="2">
        <v>0</v>
      </c>
      <c r="M167" s="2">
        <v>15</v>
      </c>
      <c r="N167" s="2">
        <v>8</v>
      </c>
      <c r="O167" s="2">
        <v>5</v>
      </c>
      <c r="P167" s="2">
        <v>12</v>
      </c>
      <c r="Q167" s="2" t="s">
        <v>3396</v>
      </c>
      <c r="R167" s="2" t="s">
        <v>3396</v>
      </c>
      <c r="S167" s="4">
        <v>44958</v>
      </c>
    </row>
    <row r="168" spans="1:19" ht="12.5" x14ac:dyDescent="0.25">
      <c r="A168" s="14" t="str">
        <f>HYPERLINK("https://gerandofalcoes.my.salesforce.com/0014X00002YgggHQAR", "0014X00002YgggHQAR")</f>
        <v>0014X00002YgggHQAR</v>
      </c>
      <c r="B168" s="2" t="s">
        <v>3512</v>
      </c>
      <c r="C168" s="2" t="s">
        <v>423</v>
      </c>
      <c r="D168" s="2" t="s">
        <v>2</v>
      </c>
      <c r="E168" s="2"/>
      <c r="F168" s="2">
        <v>15</v>
      </c>
      <c r="G168" s="2">
        <v>4</v>
      </c>
      <c r="H168" s="2">
        <v>23000</v>
      </c>
      <c r="I168" s="2">
        <v>0</v>
      </c>
      <c r="J168" s="2"/>
      <c r="K168" s="2">
        <v>27</v>
      </c>
      <c r="L168" s="2">
        <v>0</v>
      </c>
      <c r="M168" s="2">
        <v>12</v>
      </c>
      <c r="N168" s="2">
        <v>10</v>
      </c>
      <c r="O168" s="2">
        <v>5</v>
      </c>
      <c r="P168" s="2">
        <v>0</v>
      </c>
      <c r="Q168" s="2" t="s">
        <v>3513</v>
      </c>
      <c r="R168" s="2" t="s">
        <v>3514</v>
      </c>
      <c r="S168" s="4">
        <v>44958</v>
      </c>
    </row>
    <row r="169" spans="1:19" ht="12.5" x14ac:dyDescent="0.25">
      <c r="A169" s="14" t="str">
        <f>HYPERLINK("https://gerandofalcoes.my.salesforce.com/0014X00002Yggi3QAB", "0014X00002Yggi3QAB")</f>
        <v>0014X00002Yggi3QAB</v>
      </c>
      <c r="B169" s="2" t="s">
        <v>3558</v>
      </c>
      <c r="C169" s="2" t="s">
        <v>423</v>
      </c>
      <c r="D169" s="2" t="s">
        <v>2</v>
      </c>
      <c r="E169" s="2"/>
      <c r="F169" s="2">
        <v>0</v>
      </c>
      <c r="G169" s="2">
        <v>2</v>
      </c>
      <c r="H169" s="2">
        <v>3000</v>
      </c>
      <c r="I169" s="2">
        <v>0</v>
      </c>
      <c r="J169" s="2"/>
      <c r="K169" s="2">
        <v>11</v>
      </c>
      <c r="L169" s="2">
        <v>0</v>
      </c>
      <c r="M169" s="2">
        <v>0</v>
      </c>
      <c r="N169" s="2">
        <v>6</v>
      </c>
      <c r="O169" s="2">
        <v>5</v>
      </c>
      <c r="P169" s="2">
        <v>0</v>
      </c>
      <c r="Q169" s="2" t="s">
        <v>3559</v>
      </c>
      <c r="R169" s="2" t="s">
        <v>3559</v>
      </c>
      <c r="S169" s="4">
        <v>44959</v>
      </c>
    </row>
    <row r="170" spans="1:19" ht="12.5" x14ac:dyDescent="0.25">
      <c r="A170" s="14" t="str">
        <f>HYPERLINK("https://gerandofalcoes.my.salesforce.com/0014X00002YggqFQAR", "0014X00002YggqFQAR")</f>
        <v>0014X00002YggqFQAR</v>
      </c>
      <c r="B170" s="2" t="s">
        <v>3571</v>
      </c>
      <c r="C170" s="2" t="s">
        <v>423</v>
      </c>
      <c r="D170" s="2" t="s">
        <v>2</v>
      </c>
      <c r="E170" s="2"/>
      <c r="F170" s="2">
        <v>20</v>
      </c>
      <c r="G170" s="2">
        <v>5</v>
      </c>
      <c r="H170" s="2">
        <v>128992691</v>
      </c>
      <c r="I170" s="2">
        <v>314</v>
      </c>
      <c r="J170" s="2"/>
      <c r="K170" s="2">
        <v>62</v>
      </c>
      <c r="L170" s="2">
        <v>0</v>
      </c>
      <c r="M170" s="2">
        <v>12</v>
      </c>
      <c r="N170" s="2">
        <v>10</v>
      </c>
      <c r="O170" s="2">
        <v>25</v>
      </c>
      <c r="P170" s="2">
        <v>15</v>
      </c>
      <c r="Q170" s="2" t="s">
        <v>3572</v>
      </c>
      <c r="R170" s="2" t="s">
        <v>3573</v>
      </c>
      <c r="S170" s="4">
        <v>44960</v>
      </c>
    </row>
    <row r="171" spans="1:19" ht="12.5" x14ac:dyDescent="0.25">
      <c r="A171" s="14" t="str">
        <f>HYPERLINK("https://gerandofalcoes.my.salesforce.com/0014X00002YggqWQAR", "0014X00002YggqWQAR")</f>
        <v>0014X00002YggqWQAR</v>
      </c>
      <c r="B171" s="2" t="s">
        <v>3574</v>
      </c>
      <c r="C171" s="2" t="s">
        <v>423</v>
      </c>
      <c r="D171" s="2" t="s">
        <v>2</v>
      </c>
      <c r="E171" s="2"/>
      <c r="F171" s="2">
        <v>18</v>
      </c>
      <c r="G171" s="2">
        <v>12</v>
      </c>
      <c r="H171" s="2">
        <v>10000</v>
      </c>
      <c r="I171" s="2">
        <v>200</v>
      </c>
      <c r="J171" s="2"/>
      <c r="K171" s="2">
        <v>39</v>
      </c>
      <c r="L171" s="2">
        <v>0</v>
      </c>
      <c r="M171" s="2">
        <v>12</v>
      </c>
      <c r="N171" s="2">
        <v>10</v>
      </c>
      <c r="O171" s="2">
        <v>5</v>
      </c>
      <c r="P171" s="2">
        <v>12</v>
      </c>
      <c r="Q171" s="2" t="s">
        <v>3575</v>
      </c>
      <c r="R171" s="2" t="s">
        <v>3576</v>
      </c>
      <c r="S171" s="4">
        <v>44960</v>
      </c>
    </row>
    <row r="172" spans="1:19" ht="12.5" x14ac:dyDescent="0.25">
      <c r="A172" s="14" t="str">
        <f>HYPERLINK("https://gerandofalcoes.my.salesforce.com/0014X00002YgghaQAB", "0014X00002YgghaQAB")</f>
        <v>0014X00002YgghaQAB</v>
      </c>
      <c r="B172" s="2" t="s">
        <v>7173</v>
      </c>
      <c r="C172" s="2" t="s">
        <v>423</v>
      </c>
      <c r="D172" s="2" t="s">
        <v>2</v>
      </c>
      <c r="E172" s="2"/>
      <c r="F172" s="2">
        <v>0</v>
      </c>
      <c r="G172" s="2">
        <v>3</v>
      </c>
      <c r="H172" s="2">
        <v>11000</v>
      </c>
      <c r="I172" s="2">
        <v>100</v>
      </c>
      <c r="J172" s="2"/>
      <c r="K172" s="2">
        <v>23</v>
      </c>
      <c r="L172" s="2">
        <v>0</v>
      </c>
      <c r="M172" s="2">
        <v>0</v>
      </c>
      <c r="N172" s="2">
        <v>8</v>
      </c>
      <c r="O172" s="2">
        <v>5</v>
      </c>
      <c r="P172" s="2">
        <v>10</v>
      </c>
      <c r="Q172" s="2" t="s">
        <v>3581</v>
      </c>
      <c r="R172" s="2" t="s">
        <v>3582</v>
      </c>
      <c r="S172" s="4">
        <v>44961</v>
      </c>
    </row>
    <row r="173" spans="1:19" ht="12.5" x14ac:dyDescent="0.25">
      <c r="A173" s="14" t="str">
        <f>HYPERLINK("https://gerandofalcoes.my.salesforce.com/0014X00002YggkGQAR", "0014X00002YggkGQAR")</f>
        <v>0014X00002YggkGQAR</v>
      </c>
      <c r="B173" s="2" t="s">
        <v>3566</v>
      </c>
      <c r="C173" s="2" t="s">
        <v>423</v>
      </c>
      <c r="D173" s="2" t="s">
        <v>2</v>
      </c>
      <c r="E173" s="2"/>
      <c r="F173" s="2">
        <v>5</v>
      </c>
      <c r="G173" s="2">
        <v>3</v>
      </c>
      <c r="H173" s="2">
        <v>6000</v>
      </c>
      <c r="I173" s="2">
        <v>230</v>
      </c>
      <c r="J173" s="2"/>
      <c r="K173" s="2">
        <v>30</v>
      </c>
      <c r="L173" s="2">
        <v>0</v>
      </c>
      <c r="M173" s="2">
        <v>5</v>
      </c>
      <c r="N173" s="2">
        <v>8</v>
      </c>
      <c r="O173" s="2">
        <v>5</v>
      </c>
      <c r="P173" s="2">
        <v>12</v>
      </c>
      <c r="Q173" s="2" t="s">
        <v>3567</v>
      </c>
      <c r="R173" s="2" t="s">
        <v>3568</v>
      </c>
      <c r="S173" s="4">
        <v>44960</v>
      </c>
    </row>
    <row r="174" spans="1:19" ht="12.5" x14ac:dyDescent="0.25">
      <c r="A174" s="14" t="str">
        <f>HYPERLINK("https://gerandofalcoes.my.salesforce.com/0014X00002YggqEQAR", "0014X00002YggqEQAR")</f>
        <v>0014X00002YggqEQAR</v>
      </c>
      <c r="B174" s="2" t="s">
        <v>3577</v>
      </c>
      <c r="C174" s="2" t="s">
        <v>423</v>
      </c>
      <c r="D174" s="2" t="s">
        <v>2</v>
      </c>
      <c r="E174" s="2"/>
      <c r="F174" s="2">
        <v>16</v>
      </c>
      <c r="G174" s="2">
        <v>2</v>
      </c>
      <c r="H174" s="2">
        <v>450000</v>
      </c>
      <c r="I174" s="2">
        <v>300</v>
      </c>
      <c r="J174" s="2"/>
      <c r="K174" s="2">
        <v>53</v>
      </c>
      <c r="L174" s="2">
        <v>0</v>
      </c>
      <c r="M174" s="2">
        <v>12</v>
      </c>
      <c r="N174" s="2">
        <v>6</v>
      </c>
      <c r="O174" s="2">
        <v>20</v>
      </c>
      <c r="P174" s="2">
        <v>15</v>
      </c>
      <c r="Q174" s="2" t="s">
        <v>3578</v>
      </c>
      <c r="R174" s="2" t="s">
        <v>3579</v>
      </c>
      <c r="S174" s="4">
        <v>44961</v>
      </c>
    </row>
    <row r="175" spans="1:19" ht="12.5" x14ac:dyDescent="0.25">
      <c r="A175" s="14" t="str">
        <f>HYPERLINK("https://gerandofalcoes.my.salesforce.com/0014X00002YgggNQAR", "0014X00002YgggNQAR")</f>
        <v>0014X00002YgggNQAR</v>
      </c>
      <c r="B175" s="2" t="s">
        <v>3600</v>
      </c>
      <c r="C175" s="2" t="s">
        <v>423</v>
      </c>
      <c r="D175" s="2" t="s">
        <v>2</v>
      </c>
      <c r="E175" s="2"/>
      <c r="F175" s="2">
        <v>0</v>
      </c>
      <c r="G175" s="2">
        <v>2</v>
      </c>
      <c r="H175" s="2">
        <v>2000</v>
      </c>
      <c r="I175" s="2">
        <v>150</v>
      </c>
      <c r="J175" s="2"/>
      <c r="K175" s="2">
        <v>23</v>
      </c>
      <c r="L175" s="2">
        <v>0</v>
      </c>
      <c r="M175" s="2">
        <v>0</v>
      </c>
      <c r="N175" s="2">
        <v>6</v>
      </c>
      <c r="O175" s="2">
        <v>5</v>
      </c>
      <c r="P175" s="2">
        <v>12</v>
      </c>
      <c r="Q175" s="2" t="s">
        <v>3601</v>
      </c>
      <c r="R175" s="2" t="s">
        <v>3602</v>
      </c>
      <c r="S175" s="4">
        <v>44962</v>
      </c>
    </row>
    <row r="176" spans="1:19" ht="12.5" x14ac:dyDescent="0.25">
      <c r="A176" s="14" t="str">
        <f>HYPERLINK("https://gerandofalcoes.my.salesforce.com/0014X00002YggnZQAR", "0014X00002YggnZQAR")</f>
        <v>0014X00002YggnZQAR</v>
      </c>
      <c r="B176" s="2" t="s">
        <v>3603</v>
      </c>
      <c r="C176" s="2" t="s">
        <v>423</v>
      </c>
      <c r="D176" s="2" t="s">
        <v>2</v>
      </c>
      <c r="E176" s="2"/>
      <c r="F176" s="2">
        <v>15</v>
      </c>
      <c r="G176" s="2">
        <v>2</v>
      </c>
      <c r="H176" s="2">
        <v>0</v>
      </c>
      <c r="I176" s="2">
        <v>60</v>
      </c>
      <c r="J176" s="2"/>
      <c r="K176" s="2">
        <v>23</v>
      </c>
      <c r="L176" s="2">
        <v>0</v>
      </c>
      <c r="M176" s="2">
        <v>12</v>
      </c>
      <c r="N176" s="2">
        <v>6</v>
      </c>
      <c r="O176" s="2">
        <v>0</v>
      </c>
      <c r="P176" s="2">
        <v>5</v>
      </c>
      <c r="Q176" s="2" t="s">
        <v>3604</v>
      </c>
      <c r="R176" s="2" t="s">
        <v>3604</v>
      </c>
      <c r="S176" s="4">
        <v>44962</v>
      </c>
    </row>
    <row r="177" spans="1:19" ht="12.5" x14ac:dyDescent="0.25">
      <c r="A177" s="14" t="str">
        <f>HYPERLINK("https://gerandofalcoes.my.salesforce.com/0014X00002Yggq4QAB", "0014X00002Yggq4QAB")</f>
        <v>0014X00002Yggq4QAB</v>
      </c>
      <c r="B177" s="2" t="s">
        <v>3594</v>
      </c>
      <c r="C177" s="2" t="s">
        <v>423</v>
      </c>
      <c r="D177" s="2" t="s">
        <v>2</v>
      </c>
      <c r="E177" s="2"/>
      <c r="F177" s="2">
        <v>4</v>
      </c>
      <c r="G177" s="2">
        <v>5</v>
      </c>
      <c r="H177" s="2">
        <v>57800</v>
      </c>
      <c r="I177" s="2">
        <v>60</v>
      </c>
      <c r="J177" s="2"/>
      <c r="K177" s="2">
        <v>30</v>
      </c>
      <c r="L177" s="2">
        <v>0</v>
      </c>
      <c r="M177" s="2">
        <v>5</v>
      </c>
      <c r="N177" s="2">
        <v>10</v>
      </c>
      <c r="O177" s="2">
        <v>10</v>
      </c>
      <c r="P177" s="2">
        <v>5</v>
      </c>
      <c r="Q177" s="2" t="s">
        <v>3595</v>
      </c>
      <c r="R177" s="2" t="s">
        <v>3596</v>
      </c>
      <c r="S177" s="4">
        <v>44962</v>
      </c>
    </row>
    <row r="178" spans="1:19" ht="12.5" x14ac:dyDescent="0.25">
      <c r="A178" s="14" t="str">
        <f>HYPERLINK("https://gerandofalcoes.my.salesforce.com/0014X00002YggqpQAB", "0014X00002YggqpQAB")</f>
        <v>0014X00002YggqpQAB</v>
      </c>
      <c r="B178" s="2" t="s">
        <v>3626</v>
      </c>
      <c r="C178" s="2" t="s">
        <v>423</v>
      </c>
      <c r="D178" s="2" t="s">
        <v>2</v>
      </c>
      <c r="E178" s="2"/>
      <c r="F178" s="2">
        <v>0</v>
      </c>
      <c r="G178" s="2">
        <v>2</v>
      </c>
      <c r="H178" s="2">
        <v>146129</v>
      </c>
      <c r="I178" s="2">
        <v>250</v>
      </c>
      <c r="J178" s="2"/>
      <c r="K178" s="2">
        <v>33</v>
      </c>
      <c r="L178" s="2">
        <v>0</v>
      </c>
      <c r="M178" s="2">
        <v>0</v>
      </c>
      <c r="N178" s="2">
        <v>6</v>
      </c>
      <c r="O178" s="2">
        <v>15</v>
      </c>
      <c r="P178" s="2">
        <v>12</v>
      </c>
      <c r="Q178" s="2" t="s">
        <v>3627</v>
      </c>
      <c r="R178" s="2" t="s">
        <v>2993</v>
      </c>
      <c r="S178" s="4">
        <v>44963</v>
      </c>
    </row>
    <row r="179" spans="1:19" ht="12.5" x14ac:dyDescent="0.25">
      <c r="A179" s="14" t="str">
        <f>HYPERLINK("https://gerandofalcoes.my.salesforce.com/0014X00002YggphQAB", "0014X00002YggphQAB")</f>
        <v>0014X00002YggphQAB</v>
      </c>
      <c r="B179" s="2" t="s">
        <v>3620</v>
      </c>
      <c r="C179" s="2" t="s">
        <v>423</v>
      </c>
      <c r="D179" s="2" t="s">
        <v>2</v>
      </c>
      <c r="E179" s="2"/>
      <c r="F179" s="2">
        <v>9</v>
      </c>
      <c r="G179" s="2">
        <v>27</v>
      </c>
      <c r="H179" s="2">
        <v>15000</v>
      </c>
      <c r="I179" s="2">
        <v>20</v>
      </c>
      <c r="J179" s="2"/>
      <c r="K179" s="2">
        <v>30</v>
      </c>
      <c r="L179" s="2">
        <v>0</v>
      </c>
      <c r="M179" s="2">
        <v>10</v>
      </c>
      <c r="N179" s="2">
        <v>10</v>
      </c>
      <c r="O179" s="2">
        <v>5</v>
      </c>
      <c r="P179" s="2">
        <v>5</v>
      </c>
      <c r="Q179" s="2" t="s">
        <v>3621</v>
      </c>
      <c r="R179" s="2" t="s">
        <v>3622</v>
      </c>
      <c r="S179" s="4">
        <v>44963</v>
      </c>
    </row>
    <row r="180" spans="1:19" ht="12.5" x14ac:dyDescent="0.25">
      <c r="A180" s="14" t="str">
        <f>HYPERLINK("https://gerandofalcoes.my.salesforce.com/0014X00002YggpqQAB", "0014X00002YggpqQAB")</f>
        <v>0014X00002YggpqQAB</v>
      </c>
      <c r="B180" s="2" t="s">
        <v>3623</v>
      </c>
      <c r="C180" s="2" t="s">
        <v>423</v>
      </c>
      <c r="D180" s="2" t="s">
        <v>2</v>
      </c>
      <c r="E180" s="2"/>
      <c r="F180" s="2">
        <v>0</v>
      </c>
      <c r="G180" s="2">
        <v>4</v>
      </c>
      <c r="H180" s="2">
        <v>0</v>
      </c>
      <c r="I180" s="2">
        <v>300</v>
      </c>
      <c r="J180" s="2"/>
      <c r="K180" s="2">
        <v>25</v>
      </c>
      <c r="L180" s="2">
        <v>0</v>
      </c>
      <c r="M180" s="2">
        <v>0</v>
      </c>
      <c r="N180" s="2">
        <v>10</v>
      </c>
      <c r="O180" s="2">
        <v>0</v>
      </c>
      <c r="P180" s="2">
        <v>15</v>
      </c>
      <c r="Q180" s="2" t="s">
        <v>3624</v>
      </c>
      <c r="R180" s="2" t="s">
        <v>3625</v>
      </c>
      <c r="S180" s="4">
        <v>44963</v>
      </c>
    </row>
    <row r="181" spans="1:19" ht="12.5" x14ac:dyDescent="0.25">
      <c r="A181" s="14" t="str">
        <f>HYPERLINK("https://gerandofalcoes.my.salesforce.com/0014X00002YggkeQAB", "0014X00002YggkeQAB")</f>
        <v>0014X00002YggkeQAB</v>
      </c>
      <c r="B181" s="2" t="s">
        <v>3660</v>
      </c>
      <c r="C181" s="2" t="s">
        <v>423</v>
      </c>
      <c r="D181" s="2" t="s">
        <v>2</v>
      </c>
      <c r="E181" s="2"/>
      <c r="F181" s="2">
        <v>1</v>
      </c>
      <c r="G181" s="2">
        <v>2</v>
      </c>
      <c r="H181" s="2">
        <v>0</v>
      </c>
      <c r="I181" s="2">
        <v>80</v>
      </c>
      <c r="J181" s="2"/>
      <c r="K181" s="2">
        <v>21</v>
      </c>
      <c r="L181" s="2">
        <v>0</v>
      </c>
      <c r="M181" s="2">
        <v>5</v>
      </c>
      <c r="N181" s="2">
        <v>6</v>
      </c>
      <c r="O181" s="2">
        <v>0</v>
      </c>
      <c r="P181" s="2">
        <v>10</v>
      </c>
      <c r="Q181" s="2" t="s">
        <v>3661</v>
      </c>
      <c r="R181" s="2" t="s">
        <v>3661</v>
      </c>
      <c r="S181" s="4">
        <v>44964</v>
      </c>
    </row>
    <row r="182" spans="1:19" ht="12.5" x14ac:dyDescent="0.25">
      <c r="A182" s="14" t="str">
        <f>HYPERLINK("https://gerandofalcoes.my.salesforce.com/0014X00002YgghPQAR", "0014X00002YgghPQAR")</f>
        <v>0014X00002YgghPQAR</v>
      </c>
      <c r="B182" s="2" t="s">
        <v>3628</v>
      </c>
      <c r="C182" s="2" t="s">
        <v>423</v>
      </c>
      <c r="D182" s="2" t="s">
        <v>2</v>
      </c>
      <c r="E182" s="2"/>
      <c r="F182" s="2">
        <v>0</v>
      </c>
      <c r="G182" s="2">
        <v>2</v>
      </c>
      <c r="H182" s="2">
        <v>1100000</v>
      </c>
      <c r="I182" s="2">
        <v>70</v>
      </c>
      <c r="J182" s="2"/>
      <c r="K182" s="2">
        <v>36</v>
      </c>
      <c r="L182" s="2">
        <v>0</v>
      </c>
      <c r="M182" s="2">
        <v>0</v>
      </c>
      <c r="N182" s="2">
        <v>6</v>
      </c>
      <c r="O182" s="2">
        <v>25</v>
      </c>
      <c r="P182" s="2">
        <v>5</v>
      </c>
      <c r="Q182" s="2" t="s">
        <v>3629</v>
      </c>
      <c r="R182" s="2" t="s">
        <v>3630</v>
      </c>
      <c r="S182" s="4">
        <v>44963</v>
      </c>
    </row>
    <row r="183" spans="1:19" ht="12.5" x14ac:dyDescent="0.25">
      <c r="A183" s="14" t="str">
        <f>HYPERLINK("https://gerandofalcoes.my.salesforce.com/0014X00002YggqTQAR", "0014X00002YggqTQAR")</f>
        <v>0014X00002YggqTQAR</v>
      </c>
      <c r="B183" s="2" t="s">
        <v>3683</v>
      </c>
      <c r="C183" s="2" t="s">
        <v>423</v>
      </c>
      <c r="D183" s="2" t="s">
        <v>2</v>
      </c>
      <c r="E183" s="2"/>
      <c r="F183" s="2">
        <v>0</v>
      </c>
      <c r="G183" s="2">
        <v>3</v>
      </c>
      <c r="H183" s="2">
        <v>0</v>
      </c>
      <c r="I183" s="2">
        <v>0</v>
      </c>
      <c r="J183" s="2"/>
      <c r="K183" s="2">
        <v>8</v>
      </c>
      <c r="L183" s="2">
        <v>0</v>
      </c>
      <c r="M183" s="2">
        <v>0</v>
      </c>
      <c r="N183" s="2">
        <v>8</v>
      </c>
      <c r="O183" s="2">
        <v>0</v>
      </c>
      <c r="P183" s="2">
        <v>0</v>
      </c>
      <c r="Q183" s="2" t="s">
        <v>3684</v>
      </c>
      <c r="R183" s="2" t="s">
        <v>3685</v>
      </c>
      <c r="S183" s="4">
        <v>44964</v>
      </c>
    </row>
    <row r="184" spans="1:19" ht="12.5" x14ac:dyDescent="0.25">
      <c r="A184" s="14" t="str">
        <f>HYPERLINK("https://gerandofalcoes.my.salesforce.com/0014X00002YgghuQAB", "0014X00002YgghuQAB")</f>
        <v>0014X00002YgghuQAB</v>
      </c>
      <c r="B184" s="2" t="s">
        <v>3667</v>
      </c>
      <c r="C184" s="2" t="s">
        <v>423</v>
      </c>
      <c r="D184" s="2" t="s">
        <v>2</v>
      </c>
      <c r="E184" s="2"/>
      <c r="F184" s="2">
        <v>6</v>
      </c>
      <c r="G184" s="2">
        <v>4</v>
      </c>
      <c r="H184" s="2">
        <v>20000</v>
      </c>
      <c r="I184" s="2">
        <v>100</v>
      </c>
      <c r="J184" s="2"/>
      <c r="K184" s="2">
        <v>35</v>
      </c>
      <c r="L184" s="2">
        <v>0</v>
      </c>
      <c r="M184" s="2">
        <v>10</v>
      </c>
      <c r="N184" s="2">
        <v>10</v>
      </c>
      <c r="O184" s="2">
        <v>5</v>
      </c>
      <c r="P184" s="2">
        <v>10</v>
      </c>
      <c r="Q184" s="2" t="s">
        <v>3668</v>
      </c>
      <c r="R184" s="2" t="s">
        <v>3669</v>
      </c>
      <c r="S184" s="4">
        <v>44964</v>
      </c>
    </row>
    <row r="185" spans="1:19" ht="12.5" x14ac:dyDescent="0.25">
      <c r="A185" s="14" t="str">
        <f>HYPERLINK("https://gerandofalcoes.my.salesforce.com/0014X00002bCkLgQAK", "0014X00002bCkLgQAK")</f>
        <v>0014X00002bCkLgQAK</v>
      </c>
      <c r="B185" s="2" t="s">
        <v>3657</v>
      </c>
      <c r="C185" s="2" t="s">
        <v>423</v>
      </c>
      <c r="D185" s="2" t="s">
        <v>2</v>
      </c>
      <c r="E185" s="2"/>
      <c r="F185" s="2">
        <v>6</v>
      </c>
      <c r="G185" s="2">
        <v>7</v>
      </c>
      <c r="H185" s="2">
        <v>20000</v>
      </c>
      <c r="I185" s="2">
        <v>0</v>
      </c>
      <c r="J185" s="2"/>
      <c r="K185" s="2">
        <v>25</v>
      </c>
      <c r="L185" s="2">
        <v>0</v>
      </c>
      <c r="M185" s="2">
        <v>10</v>
      </c>
      <c r="N185" s="2">
        <v>10</v>
      </c>
      <c r="O185" s="2">
        <v>5</v>
      </c>
      <c r="P185" s="2">
        <v>0</v>
      </c>
      <c r="Q185" s="2" t="s">
        <v>3658</v>
      </c>
      <c r="R185" s="2" t="s">
        <v>3659</v>
      </c>
      <c r="S185" s="4">
        <v>44964</v>
      </c>
    </row>
    <row r="186" spans="1:19" ht="12.5" x14ac:dyDescent="0.25">
      <c r="A186" s="14" t="str">
        <f>HYPERLINK("https://gerandofalcoes.my.salesforce.com/0014X00002YggnoQAB", "0014X00002YggnoQAB")</f>
        <v>0014X00002YggnoQAB</v>
      </c>
      <c r="B186" s="2" t="s">
        <v>3644</v>
      </c>
      <c r="C186" s="2" t="s">
        <v>423</v>
      </c>
      <c r="D186" s="2" t="s">
        <v>2</v>
      </c>
      <c r="E186" s="2"/>
      <c r="F186" s="2">
        <v>11</v>
      </c>
      <c r="G186" s="2">
        <v>5</v>
      </c>
      <c r="H186" s="2">
        <v>442412</v>
      </c>
      <c r="I186" s="2">
        <v>200</v>
      </c>
      <c r="J186" s="2"/>
      <c r="K186" s="2">
        <v>54</v>
      </c>
      <c r="L186" s="2">
        <v>0</v>
      </c>
      <c r="M186" s="2">
        <v>12</v>
      </c>
      <c r="N186" s="2">
        <v>10</v>
      </c>
      <c r="O186" s="2">
        <v>20</v>
      </c>
      <c r="P186" s="2">
        <v>12</v>
      </c>
      <c r="Q186" s="2" t="s">
        <v>3645</v>
      </c>
      <c r="R186" s="2" t="s">
        <v>3646</v>
      </c>
      <c r="S186" s="4">
        <v>44964</v>
      </c>
    </row>
    <row r="187" spans="1:19" ht="12.5" x14ac:dyDescent="0.25">
      <c r="A187" s="14" t="str">
        <f>HYPERLINK("https://gerandofalcoes.my.salesforce.com/0014X00002YggowQAB", "0014X00002YggowQAB")</f>
        <v>0014X00002YggowQAB</v>
      </c>
      <c r="B187" s="2" t="s">
        <v>3750</v>
      </c>
      <c r="C187" s="2" t="s">
        <v>423</v>
      </c>
      <c r="D187" s="2" t="s">
        <v>2</v>
      </c>
      <c r="E187" s="2"/>
      <c r="F187" s="2">
        <v>0</v>
      </c>
      <c r="G187" s="2">
        <v>2</v>
      </c>
      <c r="H187" s="2">
        <v>0</v>
      </c>
      <c r="I187" s="2">
        <v>30</v>
      </c>
      <c r="J187" s="2"/>
      <c r="K187" s="2">
        <v>11</v>
      </c>
      <c r="L187" s="2">
        <v>0</v>
      </c>
      <c r="M187" s="2">
        <v>0</v>
      </c>
      <c r="N187" s="2">
        <v>6</v>
      </c>
      <c r="O187" s="2">
        <v>0</v>
      </c>
      <c r="P187" s="2">
        <v>5</v>
      </c>
      <c r="Q187" s="2" t="s">
        <v>3751</v>
      </c>
      <c r="R187" s="2" t="s">
        <v>3751</v>
      </c>
      <c r="S187" s="4">
        <v>44967</v>
      </c>
    </row>
    <row r="188" spans="1:19" ht="12.5" x14ac:dyDescent="0.25">
      <c r="A188" s="14" t="str">
        <f>HYPERLINK("https://gerandofalcoes.my.salesforce.com/0014X00002YgglcQAB", "0014X00002YgglcQAB")</f>
        <v>0014X00002YgglcQAB</v>
      </c>
      <c r="B188" s="2" t="s">
        <v>3709</v>
      </c>
      <c r="C188" s="2" t="s">
        <v>423</v>
      </c>
      <c r="D188" s="2" t="s">
        <v>2</v>
      </c>
      <c r="E188" s="2"/>
      <c r="F188" s="2">
        <v>0</v>
      </c>
      <c r="G188" s="2">
        <v>2</v>
      </c>
      <c r="H188" s="2">
        <v>60000</v>
      </c>
      <c r="I188" s="2">
        <v>0</v>
      </c>
      <c r="J188" s="2"/>
      <c r="K188" s="2">
        <v>16</v>
      </c>
      <c r="L188" s="2">
        <v>0</v>
      </c>
      <c r="M188" s="2">
        <v>0</v>
      </c>
      <c r="N188" s="2">
        <v>6</v>
      </c>
      <c r="O188" s="2">
        <v>10</v>
      </c>
      <c r="P188" s="2">
        <v>0</v>
      </c>
      <c r="Q188" s="2" t="s">
        <v>3710</v>
      </c>
      <c r="R188" s="2" t="s">
        <v>3710</v>
      </c>
      <c r="S188" s="4">
        <v>44967</v>
      </c>
    </row>
    <row r="189" spans="1:19" ht="12.5" x14ac:dyDescent="0.25">
      <c r="A189" s="14" t="str">
        <f>HYPERLINK("https://gerandofalcoes.my.salesforce.com/0014X00002YggnYQAR", "0014X00002YggnYQAR")</f>
        <v>0014X00002YggnYQAR</v>
      </c>
      <c r="B189" s="2" t="s">
        <v>3763</v>
      </c>
      <c r="C189" s="2" t="s">
        <v>423</v>
      </c>
      <c r="D189" s="2" t="s">
        <v>2</v>
      </c>
      <c r="E189" s="2"/>
      <c r="F189" s="2">
        <v>127</v>
      </c>
      <c r="G189" s="2">
        <v>4</v>
      </c>
      <c r="H189" s="2">
        <v>0</v>
      </c>
      <c r="I189" s="2">
        <v>0</v>
      </c>
      <c r="J189" s="2"/>
      <c r="K189" s="2">
        <v>25</v>
      </c>
      <c r="L189" s="2">
        <v>0</v>
      </c>
      <c r="M189" s="2">
        <v>15</v>
      </c>
      <c r="N189" s="2">
        <v>10</v>
      </c>
      <c r="O189" s="2">
        <v>0</v>
      </c>
      <c r="P189" s="2">
        <v>0</v>
      </c>
      <c r="Q189" s="2" t="s">
        <v>3764</v>
      </c>
      <c r="R189" s="2" t="s">
        <v>3764</v>
      </c>
      <c r="S189" s="4">
        <v>44967</v>
      </c>
    </row>
    <row r="190" spans="1:19" ht="12.5" x14ac:dyDescent="0.25">
      <c r="A190" s="14" t="str">
        <f>HYPERLINK("https://gerandofalcoes.my.salesforce.com/0014X00002Yggr0QAB", "0014X00002Yggr0QAB")</f>
        <v>0014X00002Yggr0QAB</v>
      </c>
      <c r="B190" s="2" t="s">
        <v>3765</v>
      </c>
      <c r="C190" s="2" t="s">
        <v>423</v>
      </c>
      <c r="D190" s="2" t="s">
        <v>2</v>
      </c>
      <c r="E190" s="2"/>
      <c r="F190" s="2">
        <v>3</v>
      </c>
      <c r="G190" s="2">
        <v>122</v>
      </c>
      <c r="H190" s="2">
        <v>10000</v>
      </c>
      <c r="I190" s="2">
        <v>0</v>
      </c>
      <c r="J190" s="2"/>
      <c r="K190" s="2">
        <v>20</v>
      </c>
      <c r="L190" s="2">
        <v>0</v>
      </c>
      <c r="M190" s="2">
        <v>5</v>
      </c>
      <c r="N190" s="2">
        <v>10</v>
      </c>
      <c r="O190" s="2">
        <v>5</v>
      </c>
      <c r="P190" s="2">
        <v>0</v>
      </c>
      <c r="Q190" s="2" t="s">
        <v>3766</v>
      </c>
      <c r="R190" s="2" t="s">
        <v>3767</v>
      </c>
      <c r="S190" s="4">
        <v>44967</v>
      </c>
    </row>
    <row r="191" spans="1:19" ht="12.5" x14ac:dyDescent="0.25">
      <c r="A191" s="14" t="str">
        <f>HYPERLINK("https://gerandofalcoes.my.salesforce.com/0014X00002YgghRQAR", "0014X00002YgghRQAR")</f>
        <v>0014X00002YgghRQAR</v>
      </c>
      <c r="B191" s="2" t="s">
        <v>3689</v>
      </c>
      <c r="C191" s="2" t="s">
        <v>423</v>
      </c>
      <c r="D191" s="2" t="s">
        <v>2</v>
      </c>
      <c r="E191" s="2"/>
      <c r="F191" s="2">
        <v>220</v>
      </c>
      <c r="G191" s="2">
        <v>9</v>
      </c>
      <c r="H191" s="2">
        <v>9000000</v>
      </c>
      <c r="I191" s="2">
        <v>1600</v>
      </c>
      <c r="J191" s="2"/>
      <c r="K191" s="2">
        <v>70</v>
      </c>
      <c r="L191" s="2">
        <v>0</v>
      </c>
      <c r="M191" s="2">
        <v>15</v>
      </c>
      <c r="N191" s="2">
        <v>10</v>
      </c>
      <c r="O191" s="2">
        <v>25</v>
      </c>
      <c r="P191" s="2">
        <v>20</v>
      </c>
      <c r="Q191" s="2" t="s">
        <v>3690</v>
      </c>
      <c r="R191" s="2" t="s">
        <v>3691</v>
      </c>
      <c r="S191" s="4">
        <v>44967</v>
      </c>
    </row>
    <row r="192" spans="1:19" ht="12.5" x14ac:dyDescent="0.25">
      <c r="A192" s="14" t="str">
        <f>HYPERLINK("https://gerandofalcoes.my.salesforce.com/0014X00002YgggkQAB", "0014X00002YgggkQAB")</f>
        <v>0014X00002YgggkQAB</v>
      </c>
      <c r="B192" s="2" t="s">
        <v>3692</v>
      </c>
      <c r="C192" s="2" t="s">
        <v>423</v>
      </c>
      <c r="D192" s="2" t="s">
        <v>2</v>
      </c>
      <c r="E192" s="2"/>
      <c r="F192" s="2">
        <v>1</v>
      </c>
      <c r="G192" s="2">
        <v>3</v>
      </c>
      <c r="H192" s="2">
        <v>51325</v>
      </c>
      <c r="I192" s="2">
        <v>600</v>
      </c>
      <c r="J192" s="2"/>
      <c r="K192" s="2">
        <v>43</v>
      </c>
      <c r="L192" s="2">
        <v>0</v>
      </c>
      <c r="M192" s="2">
        <v>5</v>
      </c>
      <c r="N192" s="2">
        <v>8</v>
      </c>
      <c r="O192" s="2">
        <v>10</v>
      </c>
      <c r="P192" s="2">
        <v>20</v>
      </c>
      <c r="Q192" s="2" t="s">
        <v>3693</v>
      </c>
      <c r="R192" s="2" t="s">
        <v>3694</v>
      </c>
      <c r="S192" s="4">
        <v>44967</v>
      </c>
    </row>
    <row r="193" spans="1:19" ht="12.5" x14ac:dyDescent="0.25">
      <c r="A193" s="14" t="str">
        <f>HYPERLINK("https://gerandofalcoes.my.salesforce.com/0014X00002YggmTQAR", "0014X00002YggmTQAR")</f>
        <v>0014X00002YggmTQAR</v>
      </c>
      <c r="B193" s="2" t="s">
        <v>3758</v>
      </c>
      <c r="C193" s="2" t="s">
        <v>423</v>
      </c>
      <c r="D193" s="2" t="s">
        <v>2</v>
      </c>
      <c r="E193" s="2"/>
      <c r="F193" s="2">
        <v>1</v>
      </c>
      <c r="G193" s="2">
        <v>2</v>
      </c>
      <c r="H193" s="2">
        <v>0</v>
      </c>
      <c r="I193" s="2">
        <v>15</v>
      </c>
      <c r="J193" s="2"/>
      <c r="K193" s="2">
        <v>16</v>
      </c>
      <c r="L193" s="2">
        <v>0</v>
      </c>
      <c r="M193" s="2">
        <v>5</v>
      </c>
      <c r="N193" s="2">
        <v>6</v>
      </c>
      <c r="O193" s="2">
        <v>0</v>
      </c>
      <c r="P193" s="2">
        <v>5</v>
      </c>
      <c r="Q193" s="2" t="s">
        <v>3759</v>
      </c>
      <c r="R193" s="2" t="s">
        <v>3759</v>
      </c>
      <c r="S193" s="4">
        <v>44967</v>
      </c>
    </row>
    <row r="194" spans="1:19" ht="12.5" x14ac:dyDescent="0.25">
      <c r="A194" s="14" t="str">
        <f>HYPERLINK("https://gerandofalcoes.my.salesforce.com/0014X00002YggpxQAB", "0014X00002YggpxQAB")</f>
        <v>0014X00002YggpxQAB</v>
      </c>
      <c r="B194" s="2" t="s">
        <v>3760</v>
      </c>
      <c r="C194" s="2" t="s">
        <v>423</v>
      </c>
      <c r="D194" s="2" t="s">
        <v>2</v>
      </c>
      <c r="E194" s="2"/>
      <c r="F194" s="2">
        <v>6</v>
      </c>
      <c r="G194" s="2">
        <v>2</v>
      </c>
      <c r="H194" s="2">
        <v>235000</v>
      </c>
      <c r="I194" s="2">
        <v>10</v>
      </c>
      <c r="J194" s="2"/>
      <c r="K194" s="2">
        <v>36</v>
      </c>
      <c r="L194" s="2">
        <v>0</v>
      </c>
      <c r="M194" s="2">
        <v>10</v>
      </c>
      <c r="N194" s="2">
        <v>6</v>
      </c>
      <c r="O194" s="2">
        <v>15</v>
      </c>
      <c r="P194" s="2">
        <v>5</v>
      </c>
      <c r="Q194" s="2" t="s">
        <v>3761</v>
      </c>
      <c r="R194" s="2" t="s">
        <v>3762</v>
      </c>
      <c r="S194" s="4">
        <v>44967</v>
      </c>
    </row>
    <row r="195" spans="1:19" ht="12.5" x14ac:dyDescent="0.25">
      <c r="A195" s="14" t="str">
        <f>HYPERLINK("https://gerandofalcoes.my.salesforce.com/0014X00002YgghxQAB", "0014X00002YgghxQAB")</f>
        <v>0014X00002YgghxQAB</v>
      </c>
      <c r="B195" s="2" t="s">
        <v>3747</v>
      </c>
      <c r="C195" s="2" t="s">
        <v>423</v>
      </c>
      <c r="D195" s="2" t="s">
        <v>2</v>
      </c>
      <c r="E195" s="2"/>
      <c r="F195" s="2">
        <v>12</v>
      </c>
      <c r="G195" s="2">
        <v>3</v>
      </c>
      <c r="H195" s="2">
        <v>3000</v>
      </c>
      <c r="I195" s="2">
        <v>59</v>
      </c>
      <c r="J195" s="2"/>
      <c r="K195" s="2">
        <v>30</v>
      </c>
      <c r="L195" s="2">
        <v>0</v>
      </c>
      <c r="M195" s="2">
        <v>12</v>
      </c>
      <c r="N195" s="2">
        <v>8</v>
      </c>
      <c r="O195" s="2">
        <v>5</v>
      </c>
      <c r="P195" s="2">
        <v>5</v>
      </c>
      <c r="Q195" s="2" t="s">
        <v>3748</v>
      </c>
      <c r="R195" s="2" t="s">
        <v>3749</v>
      </c>
      <c r="S195" s="4">
        <v>44967</v>
      </c>
    </row>
    <row r="196" spans="1:19" ht="12.5" x14ac:dyDescent="0.25">
      <c r="A196" s="14" t="str">
        <f>HYPERLINK("https://gerandofalcoes.my.salesforce.com/0014X00002YgggOQAR", "0014X00002YgggOQAR")</f>
        <v>0014X00002YgggOQAR</v>
      </c>
      <c r="B196" s="2" t="s">
        <v>3755</v>
      </c>
      <c r="C196" s="2" t="s">
        <v>423</v>
      </c>
      <c r="D196" s="2" t="s">
        <v>2</v>
      </c>
      <c r="E196" s="2"/>
      <c r="F196" s="2">
        <v>0</v>
      </c>
      <c r="G196" s="2">
        <v>2</v>
      </c>
      <c r="H196" s="2">
        <v>1000</v>
      </c>
      <c r="I196" s="2">
        <v>20</v>
      </c>
      <c r="J196" s="2"/>
      <c r="K196" s="2">
        <v>16</v>
      </c>
      <c r="L196" s="2">
        <v>0</v>
      </c>
      <c r="M196" s="2">
        <v>0</v>
      </c>
      <c r="N196" s="2">
        <v>6</v>
      </c>
      <c r="O196" s="2">
        <v>5</v>
      </c>
      <c r="P196" s="2">
        <v>5</v>
      </c>
      <c r="Q196" s="2" t="s">
        <v>3756</v>
      </c>
      <c r="R196" s="2" t="s">
        <v>3757</v>
      </c>
      <c r="S196" s="4">
        <v>44967</v>
      </c>
    </row>
    <row r="197" spans="1:19" ht="12.5" x14ac:dyDescent="0.25">
      <c r="A197" s="14" t="str">
        <f>HYPERLINK("https://gerandofalcoes.my.salesforce.com/0014X00002YggpyQAB", "0014X00002YggpyQAB")</f>
        <v>0014X00002YggpyQAB</v>
      </c>
      <c r="B197" s="2" t="s">
        <v>3740</v>
      </c>
      <c r="C197" s="2" t="s">
        <v>423</v>
      </c>
      <c r="D197" s="2" t="s">
        <v>2</v>
      </c>
      <c r="E197" s="2"/>
      <c r="F197" s="2">
        <v>3</v>
      </c>
      <c r="G197" s="2">
        <v>3</v>
      </c>
      <c r="H197" s="2">
        <v>7000</v>
      </c>
      <c r="I197" s="2">
        <v>100</v>
      </c>
      <c r="J197" s="2"/>
      <c r="K197" s="2">
        <v>28</v>
      </c>
      <c r="L197" s="2">
        <v>0</v>
      </c>
      <c r="M197" s="2">
        <v>5</v>
      </c>
      <c r="N197" s="2">
        <v>8</v>
      </c>
      <c r="O197" s="2">
        <v>5</v>
      </c>
      <c r="P197" s="2">
        <v>10</v>
      </c>
      <c r="Q197" s="2" t="s">
        <v>3741</v>
      </c>
      <c r="R197" s="2" t="s">
        <v>3742</v>
      </c>
      <c r="S197" s="4">
        <v>44967</v>
      </c>
    </row>
    <row r="198" spans="1:19" ht="12.5" x14ac:dyDescent="0.25">
      <c r="A198" s="14" t="str">
        <f>HYPERLINK("https://gerandofalcoes.my.salesforce.com/0014X00002YggnwQAB", "0014X00002YggnwQAB")</f>
        <v>0014X00002YggnwQAB</v>
      </c>
      <c r="B198" s="2" t="s">
        <v>3724</v>
      </c>
      <c r="C198" s="2" t="s">
        <v>423</v>
      </c>
      <c r="D198" s="2" t="s">
        <v>2</v>
      </c>
      <c r="E198" s="2"/>
      <c r="F198" s="2">
        <v>1</v>
      </c>
      <c r="G198" s="2">
        <v>2</v>
      </c>
      <c r="H198" s="2">
        <v>86196</v>
      </c>
      <c r="I198" s="2">
        <v>10</v>
      </c>
      <c r="J198" s="2"/>
      <c r="K198" s="2">
        <v>26</v>
      </c>
      <c r="L198" s="2">
        <v>0</v>
      </c>
      <c r="M198" s="2">
        <v>5</v>
      </c>
      <c r="N198" s="2">
        <v>6</v>
      </c>
      <c r="O198" s="2">
        <v>10</v>
      </c>
      <c r="P198" s="2">
        <v>5</v>
      </c>
      <c r="Q198" s="2" t="s">
        <v>3725</v>
      </c>
      <c r="R198" s="2" t="s">
        <v>3726</v>
      </c>
      <c r="S198" s="4">
        <v>44967</v>
      </c>
    </row>
    <row r="199" spans="1:19" ht="12.5" x14ac:dyDescent="0.25">
      <c r="A199" s="14" t="str">
        <f>HYPERLINK("https://gerandofalcoes.my.salesforce.com/0014X00002YggomQAB", "0014X00002YggomQAB")</f>
        <v>0014X00002YggomQAB</v>
      </c>
      <c r="B199" s="2" t="s">
        <v>6803</v>
      </c>
      <c r="C199" s="2" t="s">
        <v>423</v>
      </c>
      <c r="D199" s="2" t="s">
        <v>2</v>
      </c>
      <c r="E199" s="2"/>
      <c r="F199" s="2">
        <v>0</v>
      </c>
      <c r="G199" s="2">
        <v>3</v>
      </c>
      <c r="H199" s="2">
        <v>44682</v>
      </c>
      <c r="I199" s="2">
        <v>0</v>
      </c>
      <c r="J199" s="2"/>
      <c r="K199" s="2">
        <v>18</v>
      </c>
      <c r="L199" s="2">
        <v>0</v>
      </c>
      <c r="M199" s="2">
        <v>0</v>
      </c>
      <c r="N199" s="2">
        <v>8</v>
      </c>
      <c r="O199" s="2">
        <v>10</v>
      </c>
      <c r="P199" s="2">
        <v>0</v>
      </c>
      <c r="Q199" s="2" t="s">
        <v>3769</v>
      </c>
      <c r="R199" s="2" t="s">
        <v>3770</v>
      </c>
      <c r="S199" s="4">
        <v>44967</v>
      </c>
    </row>
    <row r="200" spans="1:19" ht="12.5" x14ac:dyDescent="0.25">
      <c r="A200" s="14" t="str">
        <f>HYPERLINK("https://gerandofalcoes.my.salesforce.com/0014X00002YggngQAB", "0014X00002YggngQAB")</f>
        <v>0014X00002YggngQAB</v>
      </c>
      <c r="B200" s="2" t="s">
        <v>3722</v>
      </c>
      <c r="C200" s="2" t="s">
        <v>423</v>
      </c>
      <c r="D200" s="2" t="s">
        <v>2</v>
      </c>
      <c r="E200" s="2"/>
      <c r="F200" s="2">
        <v>0</v>
      </c>
      <c r="G200" s="2">
        <v>4</v>
      </c>
      <c r="H200" s="2">
        <v>13562</v>
      </c>
      <c r="I200" s="2">
        <v>0</v>
      </c>
      <c r="J200" s="2"/>
      <c r="K200" s="2">
        <v>15</v>
      </c>
      <c r="L200" s="2">
        <v>0</v>
      </c>
      <c r="M200" s="2">
        <v>0</v>
      </c>
      <c r="N200" s="2">
        <v>10</v>
      </c>
      <c r="O200" s="2">
        <v>5</v>
      </c>
      <c r="P200" s="2">
        <v>0</v>
      </c>
      <c r="Q200" s="2" t="s">
        <v>3723</v>
      </c>
      <c r="R200" s="2" t="s">
        <v>3723</v>
      </c>
      <c r="S200" s="4">
        <v>44967</v>
      </c>
    </row>
    <row r="201" spans="1:19" ht="12.5" x14ac:dyDescent="0.25">
      <c r="A201" s="14" t="str">
        <f>HYPERLINK("https://gerandofalcoes.my.salesforce.com/0014X00002YgglaQAB", "0014X00002YgglaQAB")</f>
        <v>0014X00002YgglaQAB</v>
      </c>
      <c r="B201" s="2" t="s">
        <v>3802</v>
      </c>
      <c r="C201" s="2" t="s">
        <v>423</v>
      </c>
      <c r="D201" s="2" t="s">
        <v>2</v>
      </c>
      <c r="E201" s="2"/>
      <c r="F201" s="2">
        <v>10</v>
      </c>
      <c r="G201" s="2">
        <v>2</v>
      </c>
      <c r="H201" s="2">
        <v>6000</v>
      </c>
      <c r="I201" s="2">
        <v>25</v>
      </c>
      <c r="J201" s="2"/>
      <c r="K201" s="2">
        <v>26</v>
      </c>
      <c r="L201" s="2">
        <v>0</v>
      </c>
      <c r="M201" s="2">
        <v>10</v>
      </c>
      <c r="N201" s="2">
        <v>6</v>
      </c>
      <c r="O201" s="2">
        <v>5</v>
      </c>
      <c r="P201" s="2">
        <v>5</v>
      </c>
      <c r="Q201" s="2" t="s">
        <v>3803</v>
      </c>
      <c r="R201" s="2" t="s">
        <v>3804</v>
      </c>
      <c r="S201" s="4">
        <v>44970</v>
      </c>
    </row>
    <row r="202" spans="1:19" ht="12.5" x14ac:dyDescent="0.25">
      <c r="A202" s="14" t="str">
        <f>HYPERLINK("https://gerandofalcoes.my.salesforce.com/0014X00002YggoZQAR", "0014X00002YggoZQAR")</f>
        <v>0014X00002YggoZQAR</v>
      </c>
      <c r="B202" s="2" t="s">
        <v>3810</v>
      </c>
      <c r="C202" s="2" t="s">
        <v>423</v>
      </c>
      <c r="D202" s="2" t="s">
        <v>2</v>
      </c>
      <c r="E202" s="2"/>
      <c r="F202" s="2">
        <v>1</v>
      </c>
      <c r="G202" s="2">
        <v>2</v>
      </c>
      <c r="H202" s="2">
        <v>5000</v>
      </c>
      <c r="I202" s="2">
        <v>40</v>
      </c>
      <c r="J202" s="2"/>
      <c r="K202" s="2">
        <v>21</v>
      </c>
      <c r="L202" s="2">
        <v>0</v>
      </c>
      <c r="M202" s="2">
        <v>5</v>
      </c>
      <c r="N202" s="2">
        <v>6</v>
      </c>
      <c r="O202" s="2">
        <v>5</v>
      </c>
      <c r="P202" s="2">
        <v>5</v>
      </c>
      <c r="Q202" s="2" t="s">
        <v>3811</v>
      </c>
      <c r="R202" s="2" t="s">
        <v>3811</v>
      </c>
      <c r="S202" s="4">
        <v>44988</v>
      </c>
    </row>
    <row r="203" spans="1:19" ht="12.5" x14ac:dyDescent="0.25">
      <c r="A203" s="14" t="str">
        <f>HYPERLINK("https://gerandofalcoes.my.salesforce.com/0014X00002YggouQAB", "0014X00002YggouQAB")</f>
        <v>0014X00002YggouQAB</v>
      </c>
      <c r="B203" s="2" t="s">
        <v>3176</v>
      </c>
      <c r="C203" s="2" t="s">
        <v>423</v>
      </c>
      <c r="D203" s="2" t="s">
        <v>2</v>
      </c>
      <c r="E203" s="2"/>
      <c r="F203" s="2">
        <v>0</v>
      </c>
      <c r="G203" s="2">
        <v>2</v>
      </c>
      <c r="H203" s="2">
        <v>15000</v>
      </c>
      <c r="I203" s="2">
        <v>100</v>
      </c>
      <c r="J203" s="2"/>
      <c r="K203" s="2">
        <v>21</v>
      </c>
      <c r="L203" s="2">
        <v>0</v>
      </c>
      <c r="M203" s="2">
        <v>0</v>
      </c>
      <c r="N203" s="2">
        <v>6</v>
      </c>
      <c r="O203" s="2">
        <v>5</v>
      </c>
      <c r="P203" s="2">
        <v>10</v>
      </c>
      <c r="Q203" s="2" t="s">
        <v>3177</v>
      </c>
      <c r="R203" s="2" t="s">
        <v>3178</v>
      </c>
      <c r="S203" s="4">
        <v>44951</v>
      </c>
    </row>
    <row r="204" spans="1:19" ht="12.5" x14ac:dyDescent="0.25">
      <c r="A204" s="14" t="str">
        <f>HYPERLINK("https://gerandofalcoes.my.salesforce.com/0014X00002YggjEQAR", "0014X00002YggjEQAR")</f>
        <v>0014X00002YggjEQAR</v>
      </c>
      <c r="B204" s="2" t="s">
        <v>3235</v>
      </c>
      <c r="C204" s="2" t="s">
        <v>423</v>
      </c>
      <c r="D204" s="2" t="s">
        <v>2</v>
      </c>
      <c r="E204" s="2"/>
      <c r="F204" s="2">
        <v>5</v>
      </c>
      <c r="G204" s="2">
        <v>3</v>
      </c>
      <c r="H204" s="2">
        <v>238000</v>
      </c>
      <c r="I204" s="2">
        <v>340</v>
      </c>
      <c r="J204" s="2"/>
      <c r="K204" s="2">
        <v>43</v>
      </c>
      <c r="L204" s="2">
        <v>0</v>
      </c>
      <c r="M204" s="2">
        <v>5</v>
      </c>
      <c r="N204" s="2">
        <v>8</v>
      </c>
      <c r="O204" s="2">
        <v>15</v>
      </c>
      <c r="P204" s="2">
        <v>15</v>
      </c>
      <c r="Q204" s="2" t="s">
        <v>3236</v>
      </c>
      <c r="R204" s="2" t="s">
        <v>3237</v>
      </c>
      <c r="S204" s="4">
        <v>44952</v>
      </c>
    </row>
    <row r="205" spans="1:19" ht="12.5" x14ac:dyDescent="0.25">
      <c r="A205" s="14" t="str">
        <f>HYPERLINK("https://gerandofalcoes.my.salesforce.com/0014X00002YggisQAB", "0014X00002YggisQAB")</f>
        <v>0014X00002YggisQAB</v>
      </c>
      <c r="B205" s="2" t="s">
        <v>3537</v>
      </c>
      <c r="C205" s="2" t="s">
        <v>423</v>
      </c>
      <c r="D205" s="2" t="s">
        <v>2</v>
      </c>
      <c r="E205" s="2"/>
      <c r="F205" s="2">
        <v>0</v>
      </c>
      <c r="G205" s="2">
        <v>2</v>
      </c>
      <c r="H205" s="2">
        <v>25000</v>
      </c>
      <c r="I205" s="2">
        <v>0</v>
      </c>
      <c r="J205" s="2"/>
      <c r="K205" s="2">
        <v>16</v>
      </c>
      <c r="L205" s="2">
        <v>0</v>
      </c>
      <c r="M205" s="2">
        <v>0</v>
      </c>
      <c r="N205" s="2">
        <v>6</v>
      </c>
      <c r="O205" s="2">
        <v>10</v>
      </c>
      <c r="P205" s="2">
        <v>0</v>
      </c>
      <c r="Q205" s="2" t="s">
        <v>3538</v>
      </c>
      <c r="R205" s="2" t="s">
        <v>3539</v>
      </c>
      <c r="S205" s="4">
        <v>44959</v>
      </c>
    </row>
    <row r="206" spans="1:19" ht="12.5" x14ac:dyDescent="0.25">
      <c r="A206" s="14" t="str">
        <f>HYPERLINK("https://gerandofalcoes.my.salesforce.com/0014X00002YggkUQAR", "0014X00002YggkUQAR")</f>
        <v>0014X00002YggkUQAR</v>
      </c>
      <c r="B206" s="2" t="s">
        <v>3563</v>
      </c>
      <c r="C206" s="2" t="s">
        <v>423</v>
      </c>
      <c r="D206" s="2" t="s">
        <v>2</v>
      </c>
      <c r="E206" s="2"/>
      <c r="F206" s="2">
        <v>0</v>
      </c>
      <c r="G206" s="2">
        <v>5</v>
      </c>
      <c r="H206" s="2">
        <v>5000</v>
      </c>
      <c r="I206" s="2">
        <v>10</v>
      </c>
      <c r="J206" s="2"/>
      <c r="K206" s="2">
        <v>20</v>
      </c>
      <c r="L206" s="2">
        <v>0</v>
      </c>
      <c r="M206" s="2">
        <v>0</v>
      </c>
      <c r="N206" s="2">
        <v>10</v>
      </c>
      <c r="O206" s="2">
        <v>5</v>
      </c>
      <c r="P206" s="2">
        <v>5</v>
      </c>
      <c r="Q206" s="2" t="s">
        <v>3564</v>
      </c>
      <c r="R206" s="2" t="s">
        <v>3565</v>
      </c>
      <c r="S206" s="4">
        <v>44960</v>
      </c>
    </row>
    <row r="207" spans="1:19" ht="12.5" x14ac:dyDescent="0.25">
      <c r="A207" s="14" t="str">
        <f>HYPERLINK("https://gerandofalcoes.my.salesforce.com/0014X00002UFYFtQAP", "0014X00002UFYFtQAP")</f>
        <v>0014X00002UFYFtQAP</v>
      </c>
      <c r="B207" s="2" t="s">
        <v>3588</v>
      </c>
      <c r="C207" s="2" t="s">
        <v>1684</v>
      </c>
      <c r="D207" s="2" t="s">
        <v>2</v>
      </c>
      <c r="E207" s="2">
        <v>90</v>
      </c>
      <c r="F207" s="2">
        <v>15</v>
      </c>
      <c r="G207" s="2">
        <v>4</v>
      </c>
      <c r="H207" s="2">
        <v>600000</v>
      </c>
      <c r="I207" s="2">
        <v>5000</v>
      </c>
      <c r="J207" s="2"/>
      <c r="K207" s="2">
        <v>92</v>
      </c>
      <c r="L207" s="2">
        <v>30</v>
      </c>
      <c r="M207" s="2">
        <v>12</v>
      </c>
      <c r="N207" s="2">
        <v>10</v>
      </c>
      <c r="O207" s="2">
        <v>20</v>
      </c>
      <c r="P207" s="2">
        <v>20</v>
      </c>
      <c r="Q207" s="2" t="s">
        <v>3589</v>
      </c>
      <c r="R207" s="2" t="s">
        <v>3590</v>
      </c>
      <c r="S207" s="4">
        <v>44962</v>
      </c>
    </row>
    <row r="208" spans="1:19" ht="12.5" x14ac:dyDescent="0.25">
      <c r="A208" s="14" t="str">
        <f>HYPERLINK("https://gerandofalcoes.my.salesforce.com/0014X00002YggnEQAR", "0014X00002YggnEQAR")</f>
        <v>0014X00002YggnEQAR</v>
      </c>
      <c r="B208" s="2" t="s">
        <v>3673</v>
      </c>
      <c r="C208" s="2" t="s">
        <v>423</v>
      </c>
      <c r="D208" s="2" t="s">
        <v>2</v>
      </c>
      <c r="E208" s="2"/>
      <c r="F208" s="2">
        <v>4</v>
      </c>
      <c r="G208" s="2">
        <v>2</v>
      </c>
      <c r="H208" s="2">
        <v>10000</v>
      </c>
      <c r="I208" s="2">
        <v>60</v>
      </c>
      <c r="J208" s="2"/>
      <c r="K208" s="2">
        <v>21</v>
      </c>
      <c r="L208" s="2">
        <v>0</v>
      </c>
      <c r="M208" s="2">
        <v>5</v>
      </c>
      <c r="N208" s="2">
        <v>6</v>
      </c>
      <c r="O208" s="2">
        <v>5</v>
      </c>
      <c r="P208" s="2">
        <v>5</v>
      </c>
      <c r="Q208" s="2" t="s">
        <v>3674</v>
      </c>
      <c r="R208" s="2" t="s">
        <v>3674</v>
      </c>
      <c r="S208" s="4">
        <v>44964</v>
      </c>
    </row>
    <row r="209" spans="1:19" ht="12.5" x14ac:dyDescent="0.25">
      <c r="A209" s="14" t="str">
        <f>HYPERLINK("https://gerandofalcoes.my.salesforce.com/0014X00002YgggxQAB", "0014X00002YgggxQAB")</f>
        <v>0014X00002YgggxQAB</v>
      </c>
      <c r="B209" s="2" t="s">
        <v>3698</v>
      </c>
      <c r="C209" s="2" t="s">
        <v>423</v>
      </c>
      <c r="D209" s="2" t="s">
        <v>2</v>
      </c>
      <c r="E209" s="2"/>
      <c r="F209" s="2">
        <v>0</v>
      </c>
      <c r="G209" s="2">
        <v>2</v>
      </c>
      <c r="H209" s="2">
        <v>131802.91</v>
      </c>
      <c r="I209" s="2">
        <v>50</v>
      </c>
      <c r="J209" s="2" t="s">
        <v>1779</v>
      </c>
      <c r="K209" s="2">
        <v>26</v>
      </c>
      <c r="L209" s="2">
        <v>0</v>
      </c>
      <c r="M209" s="2">
        <v>0</v>
      </c>
      <c r="N209" s="2">
        <v>6</v>
      </c>
      <c r="O209" s="2">
        <v>15</v>
      </c>
      <c r="P209" s="2">
        <v>5</v>
      </c>
      <c r="Q209" s="2" t="s">
        <v>3699</v>
      </c>
      <c r="R209" s="2" t="s">
        <v>3700</v>
      </c>
      <c r="S209" s="4">
        <v>44967</v>
      </c>
    </row>
    <row r="210" spans="1:19" ht="12.5" x14ac:dyDescent="0.25">
      <c r="A210" s="14" t="str">
        <f>HYPERLINK("https://gerandofalcoes.my.salesforce.com/0014X00002Yjq5GQAR", "0014X00002Yjq5GQAR")</f>
        <v>0014X00002Yjq5GQAR</v>
      </c>
      <c r="B210" s="2" t="s">
        <v>3805</v>
      </c>
      <c r="C210" s="2" t="s">
        <v>423</v>
      </c>
      <c r="D210" s="2" t="s">
        <v>2</v>
      </c>
      <c r="E210" s="2">
        <v>0</v>
      </c>
      <c r="F210" s="2">
        <v>0</v>
      </c>
      <c r="G210" s="2">
        <v>1</v>
      </c>
      <c r="H210" s="2">
        <v>3000</v>
      </c>
      <c r="I210" s="2">
        <v>180</v>
      </c>
      <c r="J210" s="2" t="s">
        <v>7150</v>
      </c>
      <c r="K210" s="2">
        <v>21</v>
      </c>
      <c r="L210" s="2">
        <v>0</v>
      </c>
      <c r="M210" s="2">
        <v>0</v>
      </c>
      <c r="N210" s="2">
        <v>4</v>
      </c>
      <c r="O210" s="2">
        <v>5</v>
      </c>
      <c r="P210" s="2">
        <v>12</v>
      </c>
      <c r="Q210" s="2" t="s">
        <v>3806</v>
      </c>
      <c r="R210" s="2" t="s">
        <v>3806</v>
      </c>
      <c r="S210" s="4">
        <v>44985</v>
      </c>
    </row>
    <row r="211" spans="1:19" ht="12.5" x14ac:dyDescent="0.25">
      <c r="A211" s="14" t="str">
        <f>HYPERLINK("https://gerandofalcoes.my.salesforce.com/0014X00002YgggVQAR", "0014X00002YgggVQAR")</f>
        <v>0014X00002YgggVQAR</v>
      </c>
      <c r="B211" s="2" t="s">
        <v>3731</v>
      </c>
      <c r="C211" s="2" t="s">
        <v>423</v>
      </c>
      <c r="D211" s="2" t="s">
        <v>2</v>
      </c>
      <c r="E211" s="2"/>
      <c r="F211" s="2">
        <v>2</v>
      </c>
      <c r="G211" s="2">
        <v>2</v>
      </c>
      <c r="H211" s="2">
        <v>150000</v>
      </c>
      <c r="I211" s="2">
        <v>250</v>
      </c>
      <c r="J211" s="2"/>
      <c r="K211" s="2">
        <v>38</v>
      </c>
      <c r="L211" s="2">
        <v>0</v>
      </c>
      <c r="M211" s="2">
        <v>5</v>
      </c>
      <c r="N211" s="2">
        <v>6</v>
      </c>
      <c r="O211" s="2">
        <v>15</v>
      </c>
      <c r="P211" s="2">
        <v>12</v>
      </c>
      <c r="Q211" s="2" t="s">
        <v>3732</v>
      </c>
      <c r="R211" s="2" t="s">
        <v>3732</v>
      </c>
      <c r="S211" s="4">
        <v>44967</v>
      </c>
    </row>
    <row r="212" spans="1:19" ht="12.5" x14ac:dyDescent="0.25">
      <c r="A212" s="14" t="str">
        <f>HYPERLINK("https://gerandofalcoes.my.salesforce.com/0014X00002YggitQAB", "0014X00002YggitQAB")</f>
        <v>0014X00002YggitQAB</v>
      </c>
      <c r="B212" s="2" t="s">
        <v>3781</v>
      </c>
      <c r="C212" s="2" t="s">
        <v>423</v>
      </c>
      <c r="D212" s="2" t="s">
        <v>2</v>
      </c>
      <c r="E212" s="2"/>
      <c r="F212" s="2">
        <v>0</v>
      </c>
      <c r="G212" s="2">
        <v>2</v>
      </c>
      <c r="H212" s="2">
        <v>0</v>
      </c>
      <c r="I212" s="2">
        <v>40</v>
      </c>
      <c r="J212" s="2"/>
      <c r="K212" s="2">
        <v>11</v>
      </c>
      <c r="L212" s="2">
        <v>0</v>
      </c>
      <c r="M212" s="2">
        <v>0</v>
      </c>
      <c r="N212" s="2">
        <v>6</v>
      </c>
      <c r="O212" s="2">
        <v>0</v>
      </c>
      <c r="P212" s="2">
        <v>5</v>
      </c>
      <c r="Q212" s="2" t="s">
        <v>3782</v>
      </c>
      <c r="R212" s="2" t="s">
        <v>3783</v>
      </c>
      <c r="S212" s="4">
        <v>44968</v>
      </c>
    </row>
    <row r="213" spans="1:19" ht="12.5" x14ac:dyDescent="0.25">
      <c r="A213" s="14" t="str">
        <f>HYPERLINK("https://gerandofalcoes.my.salesforce.com/0014X00002YgbkhQAB", "0014X00002YgbkhQAB")</f>
        <v>0014X00002YgbkhQAB</v>
      </c>
      <c r="B213" s="2" t="s">
        <v>3798</v>
      </c>
      <c r="C213" s="2" t="s">
        <v>423</v>
      </c>
      <c r="D213" s="2" t="s">
        <v>2</v>
      </c>
      <c r="E213" s="2"/>
      <c r="F213" s="2">
        <v>0</v>
      </c>
      <c r="G213" s="2">
        <v>0</v>
      </c>
      <c r="H213" s="2">
        <v>0</v>
      </c>
      <c r="I213" s="2">
        <v>0</v>
      </c>
      <c r="J213" s="2"/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 t="s">
        <v>3799</v>
      </c>
      <c r="R213" s="2" t="s">
        <v>3799</v>
      </c>
      <c r="S213" s="4">
        <v>44970</v>
      </c>
    </row>
    <row r="214" spans="1:19" ht="12.5" x14ac:dyDescent="0.25">
      <c r="A214" s="14" t="str">
        <f>HYPERLINK("https://gerandofalcoes.my.salesforce.com/0014X00002cUXt4QAG", "0014X00002cUXt4QAG")</f>
        <v>0014X00002cUXt4QAG</v>
      </c>
      <c r="B214" s="2" t="s">
        <v>3812</v>
      </c>
      <c r="C214" s="2" t="s">
        <v>423</v>
      </c>
      <c r="D214" s="2" t="s">
        <v>2</v>
      </c>
      <c r="E214" s="2">
        <v>10</v>
      </c>
      <c r="F214" s="2">
        <v>0</v>
      </c>
      <c r="G214" s="2">
        <v>0</v>
      </c>
      <c r="H214" s="2">
        <v>0</v>
      </c>
      <c r="I214" s="2">
        <v>10</v>
      </c>
      <c r="J214" s="2" t="s">
        <v>1671</v>
      </c>
      <c r="K214" s="2">
        <v>15</v>
      </c>
      <c r="L214" s="2">
        <v>10</v>
      </c>
      <c r="M214" s="2">
        <v>0</v>
      </c>
      <c r="N214" s="2">
        <v>0</v>
      </c>
      <c r="O214" s="2">
        <v>0</v>
      </c>
      <c r="P214" s="2">
        <v>5</v>
      </c>
      <c r="Q214" s="2" t="s">
        <v>3813</v>
      </c>
      <c r="R214" s="2" t="s">
        <v>3814</v>
      </c>
      <c r="S214" s="4">
        <v>44991</v>
      </c>
    </row>
    <row r="215" spans="1:19" ht="12.5" x14ac:dyDescent="0.25">
      <c r="A215" s="14" t="str">
        <f>HYPERLINK("https://gerandofalcoes.my.salesforce.com/0014X00002VKCtUQAX", "0014X00002VKCtUQAX")</f>
        <v>0014X00002VKCtUQAX</v>
      </c>
      <c r="B215" s="2" t="s">
        <v>3823</v>
      </c>
      <c r="C215" s="2" t="s">
        <v>423</v>
      </c>
      <c r="D215" s="2" t="s">
        <v>2</v>
      </c>
      <c r="E215" s="2">
        <v>37</v>
      </c>
      <c r="F215" s="2">
        <v>0</v>
      </c>
      <c r="G215" s="2">
        <v>0</v>
      </c>
      <c r="H215" s="2">
        <v>0</v>
      </c>
      <c r="I215" s="2">
        <v>51</v>
      </c>
      <c r="J215" s="2" t="s">
        <v>1779</v>
      </c>
      <c r="K215" s="2">
        <v>20</v>
      </c>
      <c r="L215" s="2">
        <v>15</v>
      </c>
      <c r="M215" s="2">
        <v>0</v>
      </c>
      <c r="N215" s="2">
        <v>0</v>
      </c>
      <c r="O215" s="2">
        <v>0</v>
      </c>
      <c r="P215" s="2">
        <v>5</v>
      </c>
      <c r="Q215" s="2" t="s">
        <v>3824</v>
      </c>
      <c r="R215" s="2" t="s">
        <v>3824</v>
      </c>
      <c r="S215" s="4">
        <v>45015</v>
      </c>
    </row>
    <row r="216" spans="1:19" ht="12.5" x14ac:dyDescent="0.25">
      <c r="A216" s="14" t="str">
        <f>HYPERLINK("https://gerandofalcoes.my.salesforce.com/0014X00002VKCqFQAX", "0014X00002VKCqFQAX")</f>
        <v>0014X00002VKCqFQAX</v>
      </c>
      <c r="B216" s="2" t="s">
        <v>3827</v>
      </c>
      <c r="C216" s="2" t="s">
        <v>423</v>
      </c>
      <c r="D216" s="2" t="s">
        <v>2</v>
      </c>
      <c r="E216" s="2">
        <v>21</v>
      </c>
      <c r="F216" s="2">
        <v>0</v>
      </c>
      <c r="G216" s="2">
        <v>0</v>
      </c>
      <c r="H216" s="2">
        <v>0</v>
      </c>
      <c r="I216" s="2">
        <v>0</v>
      </c>
      <c r="J216" s="2" t="s">
        <v>1779</v>
      </c>
      <c r="K216" s="2">
        <v>10</v>
      </c>
      <c r="L216" s="2">
        <v>10</v>
      </c>
      <c r="M216" s="2">
        <v>0</v>
      </c>
      <c r="N216" s="2">
        <v>0</v>
      </c>
      <c r="O216" s="2">
        <v>0</v>
      </c>
      <c r="P216" s="2">
        <v>0</v>
      </c>
      <c r="Q216" s="2" t="s">
        <v>2968</v>
      </c>
      <c r="R216" s="2" t="s">
        <v>2968</v>
      </c>
      <c r="S216" s="4">
        <v>45015</v>
      </c>
    </row>
    <row r="217" spans="1:19" ht="12.5" x14ac:dyDescent="0.25">
      <c r="A217" s="14" t="str">
        <f>HYPERLINK("https://gerandofalcoes.my.salesforce.com/0014X00002YggiPQAR", "0014X00002YggiPQAR")</f>
        <v>0014X00002YggiPQAR</v>
      </c>
      <c r="B217" s="2" t="s">
        <v>3033</v>
      </c>
      <c r="C217" s="2" t="s">
        <v>423</v>
      </c>
      <c r="D217" s="2" t="s">
        <v>2</v>
      </c>
      <c r="E217" s="2"/>
      <c r="F217" s="2">
        <v>1</v>
      </c>
      <c r="G217" s="2">
        <v>2</v>
      </c>
      <c r="H217" s="2">
        <v>600</v>
      </c>
      <c r="I217" s="2">
        <v>0</v>
      </c>
      <c r="J217" s="2"/>
      <c r="K217" s="2">
        <v>16</v>
      </c>
      <c r="L217" s="2">
        <v>0</v>
      </c>
      <c r="M217" s="2">
        <v>5</v>
      </c>
      <c r="N217" s="2">
        <v>6</v>
      </c>
      <c r="O217" s="2">
        <v>5</v>
      </c>
      <c r="P217" s="2">
        <v>0</v>
      </c>
      <c r="Q217" s="2" t="s">
        <v>3034</v>
      </c>
      <c r="R217" s="2" t="s">
        <v>3034</v>
      </c>
      <c r="S217" s="4">
        <v>44945</v>
      </c>
    </row>
    <row r="218" spans="1:19" ht="12.5" x14ac:dyDescent="0.25">
      <c r="A218" s="14" t="str">
        <f>HYPERLINK("https://gerandofalcoes.my.salesforce.com/0014X00002YggoGQAR", "0014X00002YggoGQAR")</f>
        <v>0014X00002YggoGQAR</v>
      </c>
      <c r="B218" s="2" t="s">
        <v>3028</v>
      </c>
      <c r="C218" s="2" t="s">
        <v>423</v>
      </c>
      <c r="D218" s="2" t="s">
        <v>2</v>
      </c>
      <c r="E218" s="2"/>
      <c r="F218" s="2">
        <v>12</v>
      </c>
      <c r="G218" s="2">
        <v>3</v>
      </c>
      <c r="H218" s="2">
        <v>3000</v>
      </c>
      <c r="I218" s="2">
        <v>40</v>
      </c>
      <c r="J218" s="2"/>
      <c r="K218" s="2">
        <v>30</v>
      </c>
      <c r="L218" s="2">
        <v>0</v>
      </c>
      <c r="M218" s="2">
        <v>12</v>
      </c>
      <c r="N218" s="2">
        <v>8</v>
      </c>
      <c r="O218" s="2">
        <v>5</v>
      </c>
      <c r="P218" s="2">
        <v>5</v>
      </c>
      <c r="Q218" s="2" t="s">
        <v>3029</v>
      </c>
      <c r="R218" s="2" t="s">
        <v>3030</v>
      </c>
      <c r="S218" s="4">
        <v>44945</v>
      </c>
    </row>
    <row r="219" spans="1:19" ht="12.5" x14ac:dyDescent="0.25">
      <c r="A219" s="14" t="str">
        <f>HYPERLINK("https://gerandofalcoes.my.salesforce.com/0014X00002YggqVQAR", "0014X00002YggqVQAR")</f>
        <v>0014X00002YggqVQAR</v>
      </c>
      <c r="B219" s="2" t="s">
        <v>3013</v>
      </c>
      <c r="C219" s="2" t="s">
        <v>423</v>
      </c>
      <c r="D219" s="2" t="s">
        <v>2</v>
      </c>
      <c r="E219" s="2"/>
      <c r="F219" s="2">
        <v>1</v>
      </c>
      <c r="G219" s="2">
        <v>3</v>
      </c>
      <c r="H219" s="2">
        <v>12000</v>
      </c>
      <c r="I219" s="2">
        <v>40</v>
      </c>
      <c r="J219" s="2"/>
      <c r="K219" s="2">
        <v>23</v>
      </c>
      <c r="L219" s="2">
        <v>0</v>
      </c>
      <c r="M219" s="2">
        <v>5</v>
      </c>
      <c r="N219" s="2">
        <v>8</v>
      </c>
      <c r="O219" s="2">
        <v>5</v>
      </c>
      <c r="P219" s="2">
        <v>5</v>
      </c>
      <c r="Q219" s="2" t="s">
        <v>3014</v>
      </c>
      <c r="R219" s="2" t="s">
        <v>3015</v>
      </c>
      <c r="S219" s="4">
        <v>44945</v>
      </c>
    </row>
    <row r="220" spans="1:19" ht="12.5" x14ac:dyDescent="0.25">
      <c r="A220" s="14" t="str">
        <f>HYPERLINK("https://gerandofalcoes.my.salesforce.com/0014X00002YggmOQAR", "0014X00002YggmOQAR")</f>
        <v>0014X00002YggmOQAR</v>
      </c>
      <c r="B220" s="2" t="s">
        <v>3818</v>
      </c>
      <c r="C220" s="2" t="s">
        <v>423</v>
      </c>
      <c r="D220" s="2" t="s">
        <v>2</v>
      </c>
      <c r="E220" s="2"/>
      <c r="F220" s="2">
        <v>4</v>
      </c>
      <c r="G220" s="2">
        <v>200</v>
      </c>
      <c r="H220" s="2">
        <v>3000</v>
      </c>
      <c r="I220" s="2">
        <v>200</v>
      </c>
      <c r="J220" s="2"/>
      <c r="K220" s="2">
        <v>32</v>
      </c>
      <c r="L220" s="2">
        <v>0</v>
      </c>
      <c r="M220" s="2">
        <v>5</v>
      </c>
      <c r="N220" s="2">
        <v>10</v>
      </c>
      <c r="O220" s="2">
        <v>5</v>
      </c>
      <c r="P220" s="2">
        <v>12</v>
      </c>
      <c r="Q220" s="2" t="s">
        <v>3819</v>
      </c>
      <c r="R220" s="2" t="s">
        <v>3820</v>
      </c>
      <c r="S220" s="4">
        <v>44992</v>
      </c>
    </row>
    <row r="221" spans="1:19" ht="12.5" x14ac:dyDescent="0.25">
      <c r="A221" s="14" t="str">
        <f>HYPERLINK("https://gerandofalcoes.my.salesforce.com/0014X00002YggnGQAR", "0014X00002YggnGQAR")</f>
        <v>0014X00002YggnGQAR</v>
      </c>
      <c r="B221" s="2" t="s">
        <v>3173</v>
      </c>
      <c r="C221" s="2" t="s">
        <v>423</v>
      </c>
      <c r="D221" s="2" t="s">
        <v>2</v>
      </c>
      <c r="E221" s="2"/>
      <c r="F221" s="2">
        <v>0</v>
      </c>
      <c r="G221" s="2">
        <v>3</v>
      </c>
      <c r="H221" s="2">
        <v>10000</v>
      </c>
      <c r="I221" s="2">
        <v>0</v>
      </c>
      <c r="J221" s="2"/>
      <c r="K221" s="2">
        <v>13</v>
      </c>
      <c r="L221" s="2">
        <v>0</v>
      </c>
      <c r="M221" s="2">
        <v>0</v>
      </c>
      <c r="N221" s="2">
        <v>8</v>
      </c>
      <c r="O221" s="2">
        <v>5</v>
      </c>
      <c r="P221" s="2">
        <v>0</v>
      </c>
      <c r="Q221" s="2" t="s">
        <v>3174</v>
      </c>
      <c r="R221" s="2" t="s">
        <v>3175</v>
      </c>
      <c r="S221" s="4">
        <v>44950</v>
      </c>
    </row>
    <row r="222" spans="1:19" ht="12.5" x14ac:dyDescent="0.25">
      <c r="A222" s="14" t="str">
        <f>HYPERLINK("https://gerandofalcoes.my.salesforce.com/0014X00002YggnKQAR", "0014X00002YggnKQAR")</f>
        <v>0014X00002YggnKQAR</v>
      </c>
      <c r="B222" s="2" t="s">
        <v>3207</v>
      </c>
      <c r="C222" s="2" t="s">
        <v>423</v>
      </c>
      <c r="D222" s="2" t="s">
        <v>2</v>
      </c>
      <c r="E222" s="2"/>
      <c r="F222" s="2">
        <v>0</v>
      </c>
      <c r="G222" s="2">
        <v>4</v>
      </c>
      <c r="H222" s="2">
        <v>83242522</v>
      </c>
      <c r="I222" s="2">
        <v>1117</v>
      </c>
      <c r="J222" s="2"/>
      <c r="K222" s="2">
        <v>55</v>
      </c>
      <c r="L222" s="2">
        <v>0</v>
      </c>
      <c r="M222" s="2">
        <v>0</v>
      </c>
      <c r="N222" s="2">
        <v>10</v>
      </c>
      <c r="O222" s="2">
        <v>25</v>
      </c>
      <c r="P222" s="2">
        <v>20</v>
      </c>
      <c r="Q222" s="2" t="s">
        <v>3208</v>
      </c>
      <c r="R222" s="2" t="s">
        <v>3209</v>
      </c>
      <c r="S222" s="4">
        <v>44951</v>
      </c>
    </row>
    <row r="223" spans="1:19" ht="12.5" x14ac:dyDescent="0.25">
      <c r="A223" s="14" t="str">
        <f>HYPERLINK("https://gerandofalcoes.my.salesforce.com/0014X00002Yggh0QAB", "0014X00002Yggh0QAB")</f>
        <v>0014X00002Yggh0QAB</v>
      </c>
      <c r="B223" s="2" t="s">
        <v>3220</v>
      </c>
      <c r="C223" s="2" t="s">
        <v>423</v>
      </c>
      <c r="D223" s="2" t="s">
        <v>2</v>
      </c>
      <c r="E223" s="2"/>
      <c r="F223" s="2">
        <v>10</v>
      </c>
      <c r="G223" s="2">
        <v>2</v>
      </c>
      <c r="H223" s="2">
        <v>10000</v>
      </c>
      <c r="I223" s="2">
        <v>65</v>
      </c>
      <c r="J223" s="2"/>
      <c r="K223" s="2">
        <v>26</v>
      </c>
      <c r="L223" s="2">
        <v>0</v>
      </c>
      <c r="M223" s="2">
        <v>10</v>
      </c>
      <c r="N223" s="2">
        <v>6</v>
      </c>
      <c r="O223" s="2">
        <v>5</v>
      </c>
      <c r="P223" s="2">
        <v>5</v>
      </c>
      <c r="Q223" s="2" t="s">
        <v>3221</v>
      </c>
      <c r="R223" s="2" t="s">
        <v>3221</v>
      </c>
      <c r="S223" s="4">
        <v>44951</v>
      </c>
    </row>
    <row r="224" spans="1:19" ht="12.5" x14ac:dyDescent="0.25">
      <c r="A224" s="14" t="str">
        <f>HYPERLINK("https://gerandofalcoes.my.salesforce.com/0014X00002YggiUQAR", "0014X00002YggiUQAR")</f>
        <v>0014X00002YggiUQAR</v>
      </c>
      <c r="B224" s="2" t="s">
        <v>3230</v>
      </c>
      <c r="C224" s="2" t="s">
        <v>423</v>
      </c>
      <c r="D224" s="2" t="s">
        <v>2</v>
      </c>
      <c r="E224" s="2"/>
      <c r="F224" s="2">
        <v>0</v>
      </c>
      <c r="G224" s="2">
        <v>3</v>
      </c>
      <c r="H224" s="2">
        <v>15000</v>
      </c>
      <c r="I224" s="2">
        <v>0</v>
      </c>
      <c r="J224" s="2"/>
      <c r="K224" s="2">
        <v>13</v>
      </c>
      <c r="L224" s="2">
        <v>0</v>
      </c>
      <c r="M224" s="2">
        <v>0</v>
      </c>
      <c r="N224" s="2">
        <v>8</v>
      </c>
      <c r="O224" s="2">
        <v>5</v>
      </c>
      <c r="P224" s="2">
        <v>0</v>
      </c>
      <c r="Q224" s="2" t="s">
        <v>3231</v>
      </c>
      <c r="R224" s="2" t="s">
        <v>3231</v>
      </c>
      <c r="S224" s="4">
        <v>44951</v>
      </c>
    </row>
    <row r="225" spans="1:19" ht="12.5" x14ac:dyDescent="0.25">
      <c r="A225" s="14" t="str">
        <f>HYPERLINK("https://gerandofalcoes.my.salesforce.com/0014X00002Yggi6QAB", "0014X00002Yggi6QAB")</f>
        <v>0014X00002Yggi6QAB</v>
      </c>
      <c r="B225" s="2" t="s">
        <v>3185</v>
      </c>
      <c r="C225" s="2" t="s">
        <v>423</v>
      </c>
      <c r="D225" s="2" t="s">
        <v>2</v>
      </c>
      <c r="E225" s="2"/>
      <c r="F225" s="2">
        <v>0</v>
      </c>
      <c r="G225" s="2">
        <v>2</v>
      </c>
      <c r="H225" s="2">
        <v>5000</v>
      </c>
      <c r="I225" s="2">
        <v>10</v>
      </c>
      <c r="J225" s="2"/>
      <c r="K225" s="2">
        <v>16</v>
      </c>
      <c r="L225" s="2">
        <v>0</v>
      </c>
      <c r="M225" s="2">
        <v>0</v>
      </c>
      <c r="N225" s="2">
        <v>6</v>
      </c>
      <c r="O225" s="2">
        <v>5</v>
      </c>
      <c r="P225" s="2">
        <v>5</v>
      </c>
      <c r="Q225" s="2" t="s">
        <v>3186</v>
      </c>
      <c r="R225" s="2" t="s">
        <v>3187</v>
      </c>
      <c r="S225" s="4">
        <v>44951</v>
      </c>
    </row>
    <row r="226" spans="1:19" ht="12.5" x14ac:dyDescent="0.25">
      <c r="A226" s="14" t="str">
        <f>HYPERLINK("https://gerandofalcoes.my.salesforce.com/0014X00002YggjOQAR", "0014X00002YggjOQAR")</f>
        <v>0014X00002YggjOQAR</v>
      </c>
      <c r="B226" s="2" t="s">
        <v>2649</v>
      </c>
      <c r="C226" s="2" t="s">
        <v>423</v>
      </c>
      <c r="D226" s="2" t="s">
        <v>2</v>
      </c>
      <c r="E226" s="2"/>
      <c r="F226" s="2">
        <v>0</v>
      </c>
      <c r="G226" s="2">
        <v>6</v>
      </c>
      <c r="H226" s="2">
        <v>0</v>
      </c>
      <c r="I226" s="2">
        <v>0</v>
      </c>
      <c r="J226" s="2"/>
      <c r="K226" s="2">
        <v>10</v>
      </c>
      <c r="L226" s="2">
        <v>0</v>
      </c>
      <c r="M226" s="2">
        <v>0</v>
      </c>
      <c r="N226" s="2">
        <v>10</v>
      </c>
      <c r="O226" s="2">
        <v>0</v>
      </c>
      <c r="P226" s="2">
        <v>0</v>
      </c>
      <c r="Q226" s="2" t="s">
        <v>3194</v>
      </c>
      <c r="R226" s="2" t="s">
        <v>3194</v>
      </c>
      <c r="S226" s="4">
        <v>44951</v>
      </c>
    </row>
    <row r="227" spans="1:19" ht="12.5" x14ac:dyDescent="0.25">
      <c r="A227" s="14" t="str">
        <f>HYPERLINK("https://gerandofalcoes.my.salesforce.com/0014X00002YggpNQAR", "0014X00002YggpNQAR")</f>
        <v>0014X00002YggpNQAR</v>
      </c>
      <c r="B227" s="2" t="s">
        <v>3191</v>
      </c>
      <c r="C227" s="2" t="s">
        <v>423</v>
      </c>
      <c r="D227" s="2" t="s">
        <v>2</v>
      </c>
      <c r="E227" s="2"/>
      <c r="F227" s="2">
        <v>0</v>
      </c>
      <c r="G227" s="2">
        <v>2</v>
      </c>
      <c r="H227" s="2">
        <v>3500</v>
      </c>
      <c r="I227" s="2">
        <v>25</v>
      </c>
      <c r="J227" s="2"/>
      <c r="K227" s="2">
        <v>16</v>
      </c>
      <c r="L227" s="2">
        <v>0</v>
      </c>
      <c r="M227" s="2">
        <v>0</v>
      </c>
      <c r="N227" s="2">
        <v>6</v>
      </c>
      <c r="O227" s="2">
        <v>5</v>
      </c>
      <c r="P227" s="2">
        <v>5</v>
      </c>
      <c r="Q227" s="2" t="s">
        <v>3192</v>
      </c>
      <c r="R227" s="2" t="s">
        <v>3193</v>
      </c>
      <c r="S227" s="4">
        <v>44951</v>
      </c>
    </row>
    <row r="228" spans="1:19" ht="12.5" x14ac:dyDescent="0.25">
      <c r="A228" s="14" t="str">
        <f>HYPERLINK("https://gerandofalcoes.my.salesforce.com/0014X00002YgglbQAB", "0014X00002YgglbQAB")</f>
        <v>0014X00002YgglbQAB</v>
      </c>
      <c r="B228" s="2" t="s">
        <v>3218</v>
      </c>
      <c r="C228" s="2" t="s">
        <v>423</v>
      </c>
      <c r="D228" s="2" t="s">
        <v>2</v>
      </c>
      <c r="E228" s="2"/>
      <c r="F228" s="2">
        <v>0</v>
      </c>
      <c r="G228" s="2">
        <v>3</v>
      </c>
      <c r="H228" s="2">
        <v>100000</v>
      </c>
      <c r="I228" s="2">
        <v>75</v>
      </c>
      <c r="J228" s="2"/>
      <c r="K228" s="2">
        <v>28</v>
      </c>
      <c r="L228" s="2">
        <v>0</v>
      </c>
      <c r="M228" s="2">
        <v>0</v>
      </c>
      <c r="N228" s="2">
        <v>8</v>
      </c>
      <c r="O228" s="2">
        <v>15</v>
      </c>
      <c r="P228" s="2">
        <v>5</v>
      </c>
      <c r="Q228" s="2" t="s">
        <v>3219</v>
      </c>
      <c r="R228" s="2" t="s">
        <v>3219</v>
      </c>
      <c r="S228" s="4">
        <v>44951</v>
      </c>
    </row>
    <row r="229" spans="1:19" ht="12.5" x14ac:dyDescent="0.25">
      <c r="A229" s="14" t="str">
        <f>HYPERLINK("https://gerandofalcoes.my.salesforce.com/0014X00002YgghvQAB", "0014X00002YgghvQAB")</f>
        <v>0014X00002YgghvQAB</v>
      </c>
      <c r="B229" s="2" t="s">
        <v>3179</v>
      </c>
      <c r="C229" s="2" t="s">
        <v>423</v>
      </c>
      <c r="D229" s="2" t="s">
        <v>2</v>
      </c>
      <c r="E229" s="2"/>
      <c r="F229" s="2">
        <v>18</v>
      </c>
      <c r="G229" s="2">
        <v>3</v>
      </c>
      <c r="H229" s="2">
        <v>100000</v>
      </c>
      <c r="I229" s="2">
        <v>850</v>
      </c>
      <c r="J229" s="2"/>
      <c r="K229" s="2">
        <v>55</v>
      </c>
      <c r="L229" s="2">
        <v>0</v>
      </c>
      <c r="M229" s="2">
        <v>12</v>
      </c>
      <c r="N229" s="2">
        <v>8</v>
      </c>
      <c r="O229" s="2">
        <v>15</v>
      </c>
      <c r="P229" s="2">
        <v>20</v>
      </c>
      <c r="Q229" s="2" t="s">
        <v>3180</v>
      </c>
      <c r="R229" s="2" t="s">
        <v>3181</v>
      </c>
      <c r="S229" s="4">
        <v>44951</v>
      </c>
    </row>
    <row r="230" spans="1:19" ht="12.5" x14ac:dyDescent="0.25">
      <c r="A230" s="14" t="str">
        <f>HYPERLINK("https://gerandofalcoes.my.salesforce.com/0014X00002YgbkpQAB", "0014X00002YgbkpQAB")</f>
        <v>0014X00002YgbkpQAB</v>
      </c>
      <c r="B230" s="2" t="s">
        <v>3200</v>
      </c>
      <c r="C230" s="2" t="s">
        <v>423</v>
      </c>
      <c r="D230" s="2" t="s">
        <v>2</v>
      </c>
      <c r="E230" s="2"/>
      <c r="F230" s="2">
        <v>0</v>
      </c>
      <c r="G230" s="2">
        <v>0</v>
      </c>
      <c r="H230" s="2">
        <v>0</v>
      </c>
      <c r="I230" s="2">
        <v>0</v>
      </c>
      <c r="J230" s="2"/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 t="s">
        <v>3201</v>
      </c>
      <c r="R230" s="2" t="s">
        <v>3201</v>
      </c>
      <c r="S230" s="4">
        <v>44951</v>
      </c>
    </row>
    <row r="231" spans="1:19" ht="12.5" x14ac:dyDescent="0.25">
      <c r="A231" s="14" t="str">
        <f>HYPERLINK("https://gerandofalcoes.my.salesforce.com/0014X00002YgglNQAR", "0014X00002YgglNQAR")</f>
        <v>0014X00002YgglNQAR</v>
      </c>
      <c r="B231" s="2" t="s">
        <v>3225</v>
      </c>
      <c r="C231" s="2" t="s">
        <v>423</v>
      </c>
      <c r="D231" s="2" t="s">
        <v>2</v>
      </c>
      <c r="E231" s="2"/>
      <c r="F231" s="2">
        <v>0</v>
      </c>
      <c r="G231" s="2">
        <v>2</v>
      </c>
      <c r="H231" s="2">
        <v>8000</v>
      </c>
      <c r="I231" s="2">
        <v>30</v>
      </c>
      <c r="J231" s="2"/>
      <c r="K231" s="2">
        <v>16</v>
      </c>
      <c r="L231" s="2">
        <v>0</v>
      </c>
      <c r="M231" s="2">
        <v>0</v>
      </c>
      <c r="N231" s="2">
        <v>6</v>
      </c>
      <c r="O231" s="2">
        <v>5</v>
      </c>
      <c r="P231" s="2">
        <v>5</v>
      </c>
      <c r="Q231" s="2" t="s">
        <v>3307</v>
      </c>
      <c r="R231" s="2" t="s">
        <v>3227</v>
      </c>
      <c r="S231" s="4">
        <v>44951</v>
      </c>
    </row>
    <row r="232" spans="1:19" ht="12.5" x14ac:dyDescent="0.25">
      <c r="A232" s="14" t="str">
        <f>HYPERLINK("https://gerandofalcoes.my.salesforce.com/0014X00002YggpRQAR", "0014X00002YggpRQAR")</f>
        <v>0014X00002YggpRQAR</v>
      </c>
      <c r="B232" s="2" t="s">
        <v>3294</v>
      </c>
      <c r="C232" s="2" t="s">
        <v>423</v>
      </c>
      <c r="D232" s="2" t="s">
        <v>2</v>
      </c>
      <c r="E232" s="2"/>
      <c r="F232" s="2">
        <v>1</v>
      </c>
      <c r="G232" s="2">
        <v>3</v>
      </c>
      <c r="H232" s="2">
        <v>200000</v>
      </c>
      <c r="I232" s="2">
        <v>0</v>
      </c>
      <c r="J232" s="2"/>
      <c r="K232" s="2">
        <v>28</v>
      </c>
      <c r="L232" s="2">
        <v>0</v>
      </c>
      <c r="M232" s="2">
        <v>5</v>
      </c>
      <c r="N232" s="2">
        <v>8</v>
      </c>
      <c r="O232" s="2">
        <v>15</v>
      </c>
      <c r="P232" s="2">
        <v>0</v>
      </c>
      <c r="Q232" s="2" t="s">
        <v>3295</v>
      </c>
      <c r="R232" s="2" t="s">
        <v>3295</v>
      </c>
      <c r="S232" s="4">
        <v>44952</v>
      </c>
    </row>
    <row r="233" spans="1:19" ht="12.5" x14ac:dyDescent="0.25">
      <c r="A233" s="14" t="str">
        <f>HYPERLINK("https://gerandofalcoes.my.salesforce.com/0014X00002Yggp7QAB", "0014X00002Yggp7QAB")</f>
        <v>0014X00002Yggp7QAB</v>
      </c>
      <c r="B233" s="2" t="s">
        <v>3250</v>
      </c>
      <c r="C233" s="2" t="s">
        <v>423</v>
      </c>
      <c r="D233" s="2" t="s">
        <v>2</v>
      </c>
      <c r="E233" s="2"/>
      <c r="F233" s="2">
        <v>0</v>
      </c>
      <c r="G233" s="2">
        <v>3</v>
      </c>
      <c r="H233" s="2">
        <v>45500</v>
      </c>
      <c r="I233" s="2">
        <v>500</v>
      </c>
      <c r="J233" s="2"/>
      <c r="K233" s="2">
        <v>38</v>
      </c>
      <c r="L233" s="2">
        <v>0</v>
      </c>
      <c r="M233" s="2">
        <v>0</v>
      </c>
      <c r="N233" s="2">
        <v>8</v>
      </c>
      <c r="O233" s="2">
        <v>10</v>
      </c>
      <c r="P233" s="2">
        <v>20</v>
      </c>
      <c r="Q233" s="2" t="s">
        <v>3251</v>
      </c>
      <c r="R233" s="2" t="s">
        <v>3252</v>
      </c>
      <c r="S233" s="4">
        <v>44952</v>
      </c>
    </row>
    <row r="234" spans="1:19" ht="12.5" x14ac:dyDescent="0.25">
      <c r="A234" s="14" t="str">
        <f>HYPERLINK("https://gerandofalcoes.my.salesforce.com/0014X00002YggpsQAB", "0014X00002YggpsQAB")</f>
        <v>0014X00002YggpsQAB</v>
      </c>
      <c r="B234" s="2" t="s">
        <v>3291</v>
      </c>
      <c r="C234" s="2" t="s">
        <v>423</v>
      </c>
      <c r="D234" s="2" t="s">
        <v>2</v>
      </c>
      <c r="E234" s="2"/>
      <c r="F234" s="2">
        <v>3</v>
      </c>
      <c r="G234" s="2">
        <v>2</v>
      </c>
      <c r="H234" s="2">
        <v>1000</v>
      </c>
      <c r="I234" s="2">
        <v>1</v>
      </c>
      <c r="J234" s="2"/>
      <c r="K234" s="2">
        <v>21</v>
      </c>
      <c r="L234" s="2">
        <v>0</v>
      </c>
      <c r="M234" s="2">
        <v>5</v>
      </c>
      <c r="N234" s="2">
        <v>6</v>
      </c>
      <c r="O234" s="2">
        <v>5</v>
      </c>
      <c r="P234" s="2">
        <v>5</v>
      </c>
      <c r="Q234" s="2" t="s">
        <v>3292</v>
      </c>
      <c r="R234" s="2" t="s">
        <v>3293</v>
      </c>
      <c r="S234" s="4">
        <v>44952</v>
      </c>
    </row>
    <row r="235" spans="1:19" ht="12.5" x14ac:dyDescent="0.25">
      <c r="A235" s="14" t="str">
        <f>HYPERLINK("https://gerandofalcoes.my.salesforce.com/0014X00002YggoSQAR", "0014X00002YggoSQAR")</f>
        <v>0014X00002YggoSQAR</v>
      </c>
      <c r="B235" s="2" t="s">
        <v>3238</v>
      </c>
      <c r="C235" s="2" t="s">
        <v>423</v>
      </c>
      <c r="D235" s="2" t="s">
        <v>2</v>
      </c>
      <c r="E235" s="2"/>
      <c r="F235" s="2">
        <v>15</v>
      </c>
      <c r="G235" s="2">
        <v>7</v>
      </c>
      <c r="H235" s="2">
        <v>3101114</v>
      </c>
      <c r="I235" s="2">
        <v>145</v>
      </c>
      <c r="J235" s="2"/>
      <c r="K235" s="2">
        <v>57</v>
      </c>
      <c r="L235" s="2">
        <v>0</v>
      </c>
      <c r="M235" s="2">
        <v>12</v>
      </c>
      <c r="N235" s="2">
        <v>10</v>
      </c>
      <c r="O235" s="2">
        <v>25</v>
      </c>
      <c r="P235" s="2">
        <v>10</v>
      </c>
      <c r="Q235" s="2" t="s">
        <v>3239</v>
      </c>
      <c r="R235" s="2" t="s">
        <v>3240</v>
      </c>
      <c r="S235" s="4">
        <v>44952</v>
      </c>
    </row>
    <row r="236" spans="1:19" ht="12.5" x14ac:dyDescent="0.25">
      <c r="A236" s="14" t="str">
        <f>HYPERLINK("https://gerandofalcoes.my.salesforce.com/0014X00002YgggZQAR", "0014X00002YgggZQAR")</f>
        <v>0014X00002YgggZQAR</v>
      </c>
      <c r="B236" s="2" t="s">
        <v>3278</v>
      </c>
      <c r="C236" s="2" t="s">
        <v>423</v>
      </c>
      <c r="D236" s="2" t="s">
        <v>2</v>
      </c>
      <c r="E236" s="2"/>
      <c r="F236" s="2">
        <v>7</v>
      </c>
      <c r="G236" s="2">
        <v>3</v>
      </c>
      <c r="H236" s="2">
        <v>116906</v>
      </c>
      <c r="I236" s="2">
        <v>110</v>
      </c>
      <c r="J236" s="2"/>
      <c r="K236" s="2">
        <v>43</v>
      </c>
      <c r="L236" s="2">
        <v>0</v>
      </c>
      <c r="M236" s="2">
        <v>10</v>
      </c>
      <c r="N236" s="2">
        <v>8</v>
      </c>
      <c r="O236" s="2">
        <v>15</v>
      </c>
      <c r="P236" s="2">
        <v>10</v>
      </c>
      <c r="Q236" s="2" t="s">
        <v>3279</v>
      </c>
      <c r="R236" s="2" t="s">
        <v>3280</v>
      </c>
      <c r="S236" s="4">
        <v>44952</v>
      </c>
    </row>
    <row r="237" spans="1:19" ht="12.5" x14ac:dyDescent="0.25">
      <c r="A237" s="14" t="str">
        <f>HYPERLINK("https://gerandofalcoes.my.salesforce.com/0014X00002YgggrQAB", "0014X00002YgggrQAB")</f>
        <v>0014X00002YgggrQAB</v>
      </c>
      <c r="B237" s="2" t="s">
        <v>3232</v>
      </c>
      <c r="C237" s="2" t="s">
        <v>423</v>
      </c>
      <c r="D237" s="2" t="s">
        <v>2</v>
      </c>
      <c r="E237" s="2"/>
      <c r="F237" s="2">
        <v>0</v>
      </c>
      <c r="G237" s="2">
        <v>6</v>
      </c>
      <c r="H237" s="2">
        <v>50000</v>
      </c>
      <c r="I237" s="2">
        <v>84</v>
      </c>
      <c r="J237" s="2"/>
      <c r="K237" s="2">
        <v>30</v>
      </c>
      <c r="L237" s="2">
        <v>0</v>
      </c>
      <c r="M237" s="2">
        <v>0</v>
      </c>
      <c r="N237" s="2">
        <v>10</v>
      </c>
      <c r="O237" s="2">
        <v>10</v>
      </c>
      <c r="P237" s="2">
        <v>10</v>
      </c>
      <c r="Q237" s="2" t="s">
        <v>3233</v>
      </c>
      <c r="R237" s="2" t="s">
        <v>3234</v>
      </c>
      <c r="S237" s="4">
        <v>44952</v>
      </c>
    </row>
    <row r="238" spans="1:19" ht="12.5" x14ac:dyDescent="0.25">
      <c r="A238" s="14" t="str">
        <f>HYPERLINK("https://gerandofalcoes.my.salesforce.com/0014X00002bCkJzQAK", "0014X00002bCkJzQAK")</f>
        <v>0014X00002bCkJzQAK</v>
      </c>
      <c r="B238" s="2" t="s">
        <v>3296</v>
      </c>
      <c r="C238" s="2" t="s">
        <v>423</v>
      </c>
      <c r="D238" s="2" t="s">
        <v>2</v>
      </c>
      <c r="E238" s="2"/>
      <c r="F238" s="2">
        <v>25</v>
      </c>
      <c r="G238" s="2">
        <v>2</v>
      </c>
      <c r="H238" s="2">
        <v>1000000</v>
      </c>
      <c r="I238" s="2">
        <v>0</v>
      </c>
      <c r="J238" s="2"/>
      <c r="K238" s="2">
        <v>43</v>
      </c>
      <c r="L238" s="2">
        <v>0</v>
      </c>
      <c r="M238" s="2">
        <v>12</v>
      </c>
      <c r="N238" s="2">
        <v>6</v>
      </c>
      <c r="O238" s="2">
        <v>25</v>
      </c>
      <c r="P238" s="2">
        <v>0</v>
      </c>
      <c r="Q238" s="2" t="s">
        <v>3297</v>
      </c>
      <c r="R238" s="2" t="s">
        <v>3298</v>
      </c>
      <c r="S238" s="4">
        <v>44952</v>
      </c>
    </row>
    <row r="239" spans="1:19" ht="12.5" x14ac:dyDescent="0.25">
      <c r="A239" s="14" t="str">
        <f>HYPERLINK("https://gerandofalcoes.my.salesforce.com/0014X00002YggmaQAB", "0014X00002YggmaQAB")</f>
        <v>0014X00002YggmaQAB</v>
      </c>
      <c r="B239" s="2" t="s">
        <v>3379</v>
      </c>
      <c r="C239" s="2" t="s">
        <v>423</v>
      </c>
      <c r="D239" s="2" t="s">
        <v>2</v>
      </c>
      <c r="E239" s="2"/>
      <c r="F239" s="2">
        <v>0</v>
      </c>
      <c r="G239" s="2">
        <v>2</v>
      </c>
      <c r="H239" s="2">
        <v>1000</v>
      </c>
      <c r="I239" s="2">
        <v>0</v>
      </c>
      <c r="J239" s="2"/>
      <c r="K239" s="2">
        <v>11</v>
      </c>
      <c r="L239" s="2">
        <v>0</v>
      </c>
      <c r="M239" s="2">
        <v>0</v>
      </c>
      <c r="N239" s="2">
        <v>6</v>
      </c>
      <c r="O239" s="2">
        <v>5</v>
      </c>
      <c r="P239" s="2">
        <v>0</v>
      </c>
      <c r="Q239" s="2" t="s">
        <v>3380</v>
      </c>
      <c r="R239" s="2" t="s">
        <v>3380</v>
      </c>
      <c r="S239" s="4">
        <v>44953</v>
      </c>
    </row>
    <row r="240" spans="1:19" ht="12.5" x14ac:dyDescent="0.25">
      <c r="A240" s="14" t="str">
        <f>HYPERLINK("https://gerandofalcoes.my.salesforce.com/0014X00002YggqxQAB", "0014X00002YggqxQAB")</f>
        <v>0014X00002YggqxQAB</v>
      </c>
      <c r="B240" s="2" t="s">
        <v>3375</v>
      </c>
      <c r="C240" s="2" t="s">
        <v>423</v>
      </c>
      <c r="D240" s="2" t="s">
        <v>2</v>
      </c>
      <c r="E240" s="2"/>
      <c r="F240" s="2">
        <v>3</v>
      </c>
      <c r="G240" s="2">
        <v>3</v>
      </c>
      <c r="H240" s="2">
        <v>1000</v>
      </c>
      <c r="I240" s="2">
        <v>6</v>
      </c>
      <c r="J240" s="2"/>
      <c r="K240" s="2">
        <v>23</v>
      </c>
      <c r="L240" s="2">
        <v>0</v>
      </c>
      <c r="M240" s="2">
        <v>5</v>
      </c>
      <c r="N240" s="2">
        <v>8</v>
      </c>
      <c r="O240" s="2">
        <v>5</v>
      </c>
      <c r="P240" s="2">
        <v>5</v>
      </c>
      <c r="Q240" s="2" t="s">
        <v>3376</v>
      </c>
      <c r="R240" s="2" t="s">
        <v>3376</v>
      </c>
      <c r="S240" s="4">
        <v>44953</v>
      </c>
    </row>
    <row r="241" spans="1:19" ht="12.5" x14ac:dyDescent="0.25">
      <c r="A241" s="14" t="str">
        <f>HYPERLINK("https://gerandofalcoes.my.salesforce.com/0014X00002YggnBQAR", "0014X00002YggnBQAR")</f>
        <v>0014X00002YggnBQAR</v>
      </c>
      <c r="B241" s="2" t="s">
        <v>3349</v>
      </c>
      <c r="C241" s="2" t="s">
        <v>423</v>
      </c>
      <c r="D241" s="2" t="s">
        <v>2</v>
      </c>
      <c r="E241" s="2"/>
      <c r="F241" s="2">
        <v>0</v>
      </c>
      <c r="G241" s="2">
        <v>3</v>
      </c>
      <c r="H241" s="2">
        <v>1000</v>
      </c>
      <c r="I241" s="2">
        <v>120</v>
      </c>
      <c r="J241" s="2"/>
      <c r="K241" s="2">
        <v>23</v>
      </c>
      <c r="L241" s="2">
        <v>0</v>
      </c>
      <c r="M241" s="2">
        <v>0</v>
      </c>
      <c r="N241" s="2">
        <v>8</v>
      </c>
      <c r="O241" s="2">
        <v>5</v>
      </c>
      <c r="P241" s="2">
        <v>10</v>
      </c>
      <c r="Q241" s="2" t="s">
        <v>3350</v>
      </c>
      <c r="R241" s="2" t="s">
        <v>3351</v>
      </c>
      <c r="S241" s="4">
        <v>44953</v>
      </c>
    </row>
    <row r="242" spans="1:19" ht="12.5" x14ac:dyDescent="0.25">
      <c r="A242" s="14" t="str">
        <f>HYPERLINK("https://gerandofalcoes.my.salesforce.com/0014X00002YggqDQAR", "0014X00002YggqDQAR")</f>
        <v>0014X00002YggqDQAR</v>
      </c>
      <c r="B242" s="2" t="s">
        <v>3381</v>
      </c>
      <c r="C242" s="2" t="s">
        <v>423</v>
      </c>
      <c r="D242" s="2" t="s">
        <v>2</v>
      </c>
      <c r="E242" s="2"/>
      <c r="F242" s="2">
        <v>0</v>
      </c>
      <c r="G242" s="2">
        <v>3</v>
      </c>
      <c r="H242" s="2">
        <v>50000</v>
      </c>
      <c r="I242" s="2">
        <v>0</v>
      </c>
      <c r="J242" s="2"/>
      <c r="K242" s="2">
        <v>18</v>
      </c>
      <c r="L242" s="2">
        <v>0</v>
      </c>
      <c r="M242" s="2">
        <v>0</v>
      </c>
      <c r="N242" s="2">
        <v>8</v>
      </c>
      <c r="O242" s="2">
        <v>10</v>
      </c>
      <c r="P242" s="2">
        <v>0</v>
      </c>
      <c r="Q242" s="2" t="s">
        <v>3382</v>
      </c>
      <c r="R242" s="2" t="s">
        <v>3383</v>
      </c>
      <c r="S242" s="4">
        <v>44953</v>
      </c>
    </row>
    <row r="243" spans="1:19" ht="12.5" x14ac:dyDescent="0.25">
      <c r="A243" s="14" t="str">
        <f>HYPERLINK("https://gerandofalcoes.my.salesforce.com/0014X00002YgggYQAR", "0014X00002YgggYQAR")</f>
        <v>0014X00002YgggYQAR</v>
      </c>
      <c r="B243" s="2" t="s">
        <v>3352</v>
      </c>
      <c r="C243" s="2" t="s">
        <v>423</v>
      </c>
      <c r="D243" s="2" t="s">
        <v>2</v>
      </c>
      <c r="E243" s="2"/>
      <c r="F243" s="2">
        <v>10</v>
      </c>
      <c r="G243" s="2">
        <v>3</v>
      </c>
      <c r="H243" s="2">
        <v>471944</v>
      </c>
      <c r="I243" s="2">
        <v>115</v>
      </c>
      <c r="J243" s="2"/>
      <c r="K243" s="2">
        <v>48</v>
      </c>
      <c r="L243" s="2">
        <v>0</v>
      </c>
      <c r="M243" s="2">
        <v>10</v>
      </c>
      <c r="N243" s="2">
        <v>8</v>
      </c>
      <c r="O243" s="2">
        <v>20</v>
      </c>
      <c r="P243" s="2">
        <v>10</v>
      </c>
      <c r="Q243" s="2" t="s">
        <v>3353</v>
      </c>
      <c r="R243" s="2" t="s">
        <v>7157</v>
      </c>
      <c r="S243" s="4">
        <v>44953</v>
      </c>
    </row>
    <row r="244" spans="1:19" ht="12.5" x14ac:dyDescent="0.25">
      <c r="A244" s="14" t="str">
        <f>HYPERLINK("https://gerandofalcoes.my.salesforce.com/0014X00002YggqlQAB", "0014X00002YggqlQAB")</f>
        <v>0014X00002YggqlQAB</v>
      </c>
      <c r="B244" s="2" t="s">
        <v>3308</v>
      </c>
      <c r="C244" s="2" t="s">
        <v>423</v>
      </c>
      <c r="D244" s="2" t="s">
        <v>2</v>
      </c>
      <c r="E244" s="2"/>
      <c r="F244" s="2">
        <v>15</v>
      </c>
      <c r="G244" s="2">
        <v>2</v>
      </c>
      <c r="H244" s="2">
        <v>20000</v>
      </c>
      <c r="I244" s="2">
        <v>120</v>
      </c>
      <c r="J244" s="2"/>
      <c r="K244" s="2">
        <v>33</v>
      </c>
      <c r="L244" s="2">
        <v>0</v>
      </c>
      <c r="M244" s="2">
        <v>12</v>
      </c>
      <c r="N244" s="2">
        <v>6</v>
      </c>
      <c r="O244" s="2">
        <v>5</v>
      </c>
      <c r="P244" s="2">
        <v>10</v>
      </c>
      <c r="Q244" s="2" t="s">
        <v>3309</v>
      </c>
      <c r="R244" s="2" t="s">
        <v>3310</v>
      </c>
      <c r="S244" s="4">
        <v>44953</v>
      </c>
    </row>
    <row r="245" spans="1:19" ht="12.5" x14ac:dyDescent="0.25">
      <c r="A245" s="14" t="str">
        <f>HYPERLINK("https://gerandofalcoes.my.salesforce.com/0014X00002YgglTQAR", "0014X00002YgglTQAR")</f>
        <v>0014X00002YgglTQAR</v>
      </c>
      <c r="B245" s="2" t="s">
        <v>3363</v>
      </c>
      <c r="C245" s="2" t="s">
        <v>423</v>
      </c>
      <c r="D245" s="2" t="s">
        <v>2</v>
      </c>
      <c r="E245" s="2"/>
      <c r="F245" s="2">
        <v>0</v>
      </c>
      <c r="G245" s="2">
        <v>2</v>
      </c>
      <c r="H245" s="2">
        <v>0</v>
      </c>
      <c r="I245" s="2">
        <v>60</v>
      </c>
      <c r="J245" s="2"/>
      <c r="K245" s="2">
        <v>11</v>
      </c>
      <c r="L245" s="2">
        <v>0</v>
      </c>
      <c r="M245" s="2">
        <v>0</v>
      </c>
      <c r="N245" s="2">
        <v>6</v>
      </c>
      <c r="O245" s="2">
        <v>0</v>
      </c>
      <c r="P245" s="2">
        <v>5</v>
      </c>
      <c r="Q245" s="2" t="s">
        <v>3364</v>
      </c>
      <c r="R245" s="2" t="s">
        <v>3364</v>
      </c>
      <c r="S245" s="4">
        <v>44953</v>
      </c>
    </row>
    <row r="246" spans="1:19" ht="12.5" x14ac:dyDescent="0.25">
      <c r="A246" s="14" t="str">
        <f>HYPERLINK("https://gerandofalcoes.my.salesforce.com/0014X00002YggmAQAR", "0014X00002YggmAQAR")</f>
        <v>0014X00002YggmAQAR</v>
      </c>
      <c r="B246" s="2" t="s">
        <v>3311</v>
      </c>
      <c r="C246" s="2" t="s">
        <v>423</v>
      </c>
      <c r="D246" s="2" t="s">
        <v>2</v>
      </c>
      <c r="E246" s="2"/>
      <c r="F246" s="2">
        <v>0</v>
      </c>
      <c r="G246" s="2">
        <v>5</v>
      </c>
      <c r="H246" s="2">
        <v>469000</v>
      </c>
      <c r="I246" s="2">
        <v>0</v>
      </c>
      <c r="J246" s="2"/>
      <c r="K246" s="2">
        <v>30</v>
      </c>
      <c r="L246" s="2">
        <v>0</v>
      </c>
      <c r="M246" s="2">
        <v>0</v>
      </c>
      <c r="N246" s="2">
        <v>10</v>
      </c>
      <c r="O246" s="2">
        <v>20</v>
      </c>
      <c r="P246" s="2">
        <v>0</v>
      </c>
      <c r="Q246" s="2" t="s">
        <v>3312</v>
      </c>
      <c r="R246" s="2" t="s">
        <v>3313</v>
      </c>
      <c r="S246" s="4">
        <v>44953</v>
      </c>
    </row>
    <row r="247" spans="1:19" ht="12.5" x14ac:dyDescent="0.25">
      <c r="A247" s="14" t="str">
        <f>HYPERLINK("https://gerandofalcoes.my.salesforce.com/0014X00002YgghWQAR", "0014X00002YgghWQAR")</f>
        <v>0014X00002YgghWQAR</v>
      </c>
      <c r="B247" s="2" t="s">
        <v>3331</v>
      </c>
      <c r="C247" s="2" t="s">
        <v>423</v>
      </c>
      <c r="D247" s="2" t="s">
        <v>2</v>
      </c>
      <c r="E247" s="2"/>
      <c r="F247" s="2">
        <v>0</v>
      </c>
      <c r="G247" s="2">
        <v>2</v>
      </c>
      <c r="H247" s="2">
        <v>8000</v>
      </c>
      <c r="I247" s="2">
        <v>0</v>
      </c>
      <c r="J247" s="2"/>
      <c r="K247" s="2">
        <v>11</v>
      </c>
      <c r="L247" s="2">
        <v>0</v>
      </c>
      <c r="M247" s="2">
        <v>0</v>
      </c>
      <c r="N247" s="2">
        <v>6</v>
      </c>
      <c r="O247" s="2">
        <v>5</v>
      </c>
      <c r="P247" s="2">
        <v>0</v>
      </c>
      <c r="Q247" s="2" t="s">
        <v>3332</v>
      </c>
      <c r="R247" s="2" t="s">
        <v>3333</v>
      </c>
      <c r="S247" s="4">
        <v>44953</v>
      </c>
    </row>
    <row r="248" spans="1:19" ht="12.5" x14ac:dyDescent="0.25">
      <c r="A248" s="14" t="str">
        <f>HYPERLINK("https://gerandofalcoes.my.salesforce.com/0014X00002YgglrQAB", "0014X00002YgglrQAB")</f>
        <v>0014X00002YgglrQAB</v>
      </c>
      <c r="B248" s="2" t="s">
        <v>7174</v>
      </c>
      <c r="C248" s="2" t="s">
        <v>423</v>
      </c>
      <c r="D248" s="2" t="s">
        <v>2</v>
      </c>
      <c r="E248" s="2"/>
      <c r="F248" s="2">
        <v>0</v>
      </c>
      <c r="G248" s="2">
        <v>5</v>
      </c>
      <c r="H248" s="2">
        <v>10000</v>
      </c>
      <c r="I248" s="2">
        <v>0</v>
      </c>
      <c r="J248" s="2"/>
      <c r="K248" s="2">
        <v>15</v>
      </c>
      <c r="L248" s="2">
        <v>0</v>
      </c>
      <c r="M248" s="2">
        <v>0</v>
      </c>
      <c r="N248" s="2">
        <v>10</v>
      </c>
      <c r="O248" s="2">
        <v>5</v>
      </c>
      <c r="P248" s="2">
        <v>0</v>
      </c>
      <c r="Q248" s="2" t="s">
        <v>3385</v>
      </c>
      <c r="R248" s="2" t="s">
        <v>3386</v>
      </c>
      <c r="S248" s="4">
        <v>44953</v>
      </c>
    </row>
    <row r="249" spans="1:19" ht="12.5" x14ac:dyDescent="0.25">
      <c r="A249" s="14" t="str">
        <f>HYPERLINK("https://gerandofalcoes.my.salesforce.com/0014X00002YggnXQAR", "0014X00002YggnXQAR")</f>
        <v>0014X00002YggnXQAR</v>
      </c>
      <c r="B249" s="2" t="s">
        <v>3387</v>
      </c>
      <c r="C249" s="2" t="s">
        <v>423</v>
      </c>
      <c r="D249" s="2" t="s">
        <v>2</v>
      </c>
      <c r="E249" s="2"/>
      <c r="F249" s="2">
        <v>4</v>
      </c>
      <c r="G249" s="2">
        <v>3</v>
      </c>
      <c r="H249" s="2">
        <v>120</v>
      </c>
      <c r="I249" s="2">
        <v>0</v>
      </c>
      <c r="J249" s="2"/>
      <c r="K249" s="2">
        <v>18</v>
      </c>
      <c r="L249" s="2">
        <v>0</v>
      </c>
      <c r="M249" s="2">
        <v>5</v>
      </c>
      <c r="N249" s="2">
        <v>8</v>
      </c>
      <c r="O249" s="2">
        <v>5</v>
      </c>
      <c r="P249" s="2">
        <v>0</v>
      </c>
      <c r="Q249" s="2" t="s">
        <v>7163</v>
      </c>
      <c r="R249" s="2" t="s">
        <v>7163</v>
      </c>
      <c r="S249" s="4">
        <v>44953</v>
      </c>
    </row>
    <row r="250" spans="1:19" ht="12.5" x14ac:dyDescent="0.25">
      <c r="A250" s="14" t="str">
        <f>HYPERLINK("https://gerandofalcoes.my.salesforce.com/0014X00002Yggk3QAB", "0014X00002Yggk3QAB")</f>
        <v>0014X00002Yggk3QAB</v>
      </c>
      <c r="B250" s="2" t="s">
        <v>3325</v>
      </c>
      <c r="C250" s="2" t="s">
        <v>423</v>
      </c>
      <c r="D250" s="2" t="s">
        <v>2</v>
      </c>
      <c r="E250" s="2"/>
      <c r="F250" s="2">
        <v>0</v>
      </c>
      <c r="G250" s="2">
        <v>3</v>
      </c>
      <c r="H250" s="2">
        <v>8386</v>
      </c>
      <c r="I250" s="2">
        <v>0</v>
      </c>
      <c r="J250" s="2"/>
      <c r="K250" s="2">
        <v>13</v>
      </c>
      <c r="L250" s="2">
        <v>0</v>
      </c>
      <c r="M250" s="2">
        <v>0</v>
      </c>
      <c r="N250" s="2">
        <v>8</v>
      </c>
      <c r="O250" s="2">
        <v>5</v>
      </c>
      <c r="P250" s="2">
        <v>0</v>
      </c>
      <c r="Q250" s="2" t="s">
        <v>3326</v>
      </c>
      <c r="R250" s="2" t="s">
        <v>3327</v>
      </c>
      <c r="S250" s="4">
        <v>44953</v>
      </c>
    </row>
    <row r="251" spans="1:19" ht="12.5" x14ac:dyDescent="0.25">
      <c r="A251" s="14" t="str">
        <f>HYPERLINK("https://gerandofalcoes.my.salesforce.com/0014X00002YgglRQAR", "0014X00002YgglRQAR")</f>
        <v>0014X00002YgglRQAR</v>
      </c>
      <c r="B251" s="2" t="s">
        <v>3305</v>
      </c>
      <c r="C251" s="2" t="s">
        <v>423</v>
      </c>
      <c r="D251" s="2" t="s">
        <v>2</v>
      </c>
      <c r="E251" s="2"/>
      <c r="F251" s="2">
        <v>8</v>
      </c>
      <c r="G251" s="2">
        <v>2</v>
      </c>
      <c r="H251" s="2">
        <v>20000</v>
      </c>
      <c r="I251" s="2">
        <v>120</v>
      </c>
      <c r="J251" s="2"/>
      <c r="K251" s="2">
        <v>31</v>
      </c>
      <c r="L251" s="2">
        <v>0</v>
      </c>
      <c r="M251" s="2">
        <v>10</v>
      </c>
      <c r="N251" s="2">
        <v>6</v>
      </c>
      <c r="O251" s="2">
        <v>5</v>
      </c>
      <c r="P251" s="2">
        <v>10</v>
      </c>
      <c r="Q251" s="2" t="s">
        <v>3306</v>
      </c>
      <c r="R251" s="2" t="s">
        <v>3307</v>
      </c>
      <c r="S251" s="4">
        <v>44953</v>
      </c>
    </row>
    <row r="252" spans="1:19" ht="12.5" x14ac:dyDescent="0.25">
      <c r="A252" s="14" t="str">
        <f>HYPERLINK("https://gerandofalcoes.my.salesforce.com/0014X00002YggkuQAB", "0014X00002YggkuQAB")</f>
        <v>0014X00002YggkuQAB</v>
      </c>
      <c r="B252" s="2" t="s">
        <v>3302</v>
      </c>
      <c r="C252" s="2" t="s">
        <v>423</v>
      </c>
      <c r="D252" s="2" t="s">
        <v>2</v>
      </c>
      <c r="E252" s="2"/>
      <c r="F252" s="2">
        <v>9</v>
      </c>
      <c r="G252" s="2">
        <v>4</v>
      </c>
      <c r="H252" s="2">
        <v>200000</v>
      </c>
      <c r="I252" s="2">
        <v>60</v>
      </c>
      <c r="J252" s="2"/>
      <c r="K252" s="2">
        <v>40</v>
      </c>
      <c r="L252" s="2">
        <v>0</v>
      </c>
      <c r="M252" s="2">
        <v>10</v>
      </c>
      <c r="N252" s="2">
        <v>10</v>
      </c>
      <c r="O252" s="2">
        <v>15</v>
      </c>
      <c r="P252" s="2">
        <v>5</v>
      </c>
      <c r="Q252" s="2" t="s">
        <v>3303</v>
      </c>
      <c r="R252" s="2" t="s">
        <v>3304</v>
      </c>
      <c r="S252" s="4">
        <v>44953</v>
      </c>
    </row>
    <row r="253" spans="1:19" ht="12.5" x14ac:dyDescent="0.25">
      <c r="A253" s="14" t="str">
        <f>HYPERLINK("https://gerandofalcoes.my.salesforce.com/0014X00002YggnrQAB", "0014X00002YggnrQAB")</f>
        <v>0014X00002YggnrQAB</v>
      </c>
      <c r="B253" s="2" t="s">
        <v>3354</v>
      </c>
      <c r="C253" s="2" t="s">
        <v>423</v>
      </c>
      <c r="D253" s="2" t="s">
        <v>2</v>
      </c>
      <c r="E253" s="2"/>
      <c r="F253" s="2">
        <v>2</v>
      </c>
      <c r="G253" s="2">
        <v>5</v>
      </c>
      <c r="H253" s="2">
        <v>7006467</v>
      </c>
      <c r="I253" s="2">
        <v>100</v>
      </c>
      <c r="J253" s="2"/>
      <c r="K253" s="2">
        <v>50</v>
      </c>
      <c r="L253" s="2">
        <v>0</v>
      </c>
      <c r="M253" s="2">
        <v>5</v>
      </c>
      <c r="N253" s="2">
        <v>10</v>
      </c>
      <c r="O253" s="2">
        <v>25</v>
      </c>
      <c r="P253" s="2">
        <v>10</v>
      </c>
      <c r="Q253" s="2" t="s">
        <v>3355</v>
      </c>
      <c r="R253" s="2" t="s">
        <v>3356</v>
      </c>
      <c r="S253" s="4">
        <v>44953</v>
      </c>
    </row>
    <row r="254" spans="1:19" ht="12.5" x14ac:dyDescent="0.25">
      <c r="A254" s="14" t="str">
        <f>HYPERLINK("https://gerandofalcoes.my.salesforce.com/0014X00002Yggk2QAB", "0014X00002Yggk2QAB")</f>
        <v>0014X00002Yggk2QAB</v>
      </c>
      <c r="B254" s="2" t="s">
        <v>3389</v>
      </c>
      <c r="C254" s="2" t="s">
        <v>423</v>
      </c>
      <c r="D254" s="2" t="s">
        <v>2</v>
      </c>
      <c r="E254" s="2"/>
      <c r="F254" s="2">
        <v>0</v>
      </c>
      <c r="G254" s="2">
        <v>3</v>
      </c>
      <c r="H254" s="2">
        <v>0</v>
      </c>
      <c r="I254" s="2">
        <v>0</v>
      </c>
      <c r="J254" s="2"/>
      <c r="K254" s="2">
        <v>8</v>
      </c>
      <c r="L254" s="2">
        <v>0</v>
      </c>
      <c r="M254" s="2">
        <v>0</v>
      </c>
      <c r="N254" s="2">
        <v>8</v>
      </c>
      <c r="O254" s="2">
        <v>0</v>
      </c>
      <c r="P254" s="2">
        <v>0</v>
      </c>
      <c r="Q254" s="2" t="s">
        <v>3390</v>
      </c>
      <c r="R254" s="2" t="s">
        <v>3391</v>
      </c>
      <c r="S254" s="4">
        <v>44953</v>
      </c>
    </row>
    <row r="255" spans="1:19" ht="12.5" x14ac:dyDescent="0.25">
      <c r="A255" s="14" t="str">
        <f>HYPERLINK("https://gerandofalcoes.my.salesforce.com/0014X00002YgghwQAB", "0014X00002YgghwQAB")</f>
        <v>0014X00002YgghwQAB</v>
      </c>
      <c r="B255" s="2" t="s">
        <v>3549</v>
      </c>
      <c r="C255" s="2" t="s">
        <v>423</v>
      </c>
      <c r="D255" s="2" t="s">
        <v>2</v>
      </c>
      <c r="E255" s="2"/>
      <c r="F255" s="2">
        <v>0</v>
      </c>
      <c r="G255" s="2">
        <v>3</v>
      </c>
      <c r="H255" s="2">
        <v>2403625</v>
      </c>
      <c r="I255" s="2">
        <v>250</v>
      </c>
      <c r="J255" s="2"/>
      <c r="K255" s="2">
        <v>45</v>
      </c>
      <c r="L255" s="2">
        <v>0</v>
      </c>
      <c r="M255" s="2">
        <v>0</v>
      </c>
      <c r="N255" s="2">
        <v>8</v>
      </c>
      <c r="O255" s="2">
        <v>25</v>
      </c>
      <c r="P255" s="2">
        <v>12</v>
      </c>
      <c r="Q255" s="2" t="s">
        <v>3550</v>
      </c>
      <c r="R255" s="2" t="s">
        <v>3551</v>
      </c>
      <c r="S255" s="4">
        <v>44959</v>
      </c>
    </row>
    <row r="256" spans="1:19" ht="12.5" x14ac:dyDescent="0.25">
      <c r="A256" s="14" t="str">
        <f>HYPERLINK("https://gerandofalcoes.my.salesforce.com/0014X00002YggiOQAR", "0014X00002YggiOQAR")</f>
        <v>0014X00002YggiOQAR</v>
      </c>
      <c r="B256" s="2" t="s">
        <v>3552</v>
      </c>
      <c r="C256" s="2" t="s">
        <v>423</v>
      </c>
      <c r="D256" s="2" t="s">
        <v>2</v>
      </c>
      <c r="E256" s="2"/>
      <c r="F256" s="2">
        <v>0</v>
      </c>
      <c r="G256" s="2">
        <v>2</v>
      </c>
      <c r="H256" s="2">
        <v>500</v>
      </c>
      <c r="I256" s="2">
        <v>140</v>
      </c>
      <c r="J256" s="2"/>
      <c r="K256" s="2">
        <v>21</v>
      </c>
      <c r="L256" s="2">
        <v>0</v>
      </c>
      <c r="M256" s="2">
        <v>0</v>
      </c>
      <c r="N256" s="2">
        <v>6</v>
      </c>
      <c r="O256" s="2">
        <v>5</v>
      </c>
      <c r="P256" s="2">
        <v>10</v>
      </c>
      <c r="Q256" s="2" t="s">
        <v>3553</v>
      </c>
      <c r="R256" s="2" t="s">
        <v>3554</v>
      </c>
      <c r="S256" s="4">
        <v>44959</v>
      </c>
    </row>
    <row r="257" spans="1:19" ht="12.5" x14ac:dyDescent="0.25">
      <c r="A257" s="14" t="str">
        <f>HYPERLINK("https://gerandofalcoes.my.salesforce.com/0014X00002YggpuQAB", "0014X00002YggpuQAB")</f>
        <v>0014X00002YggpuQAB</v>
      </c>
      <c r="B257" s="2" t="s">
        <v>3555</v>
      </c>
      <c r="C257" s="2" t="s">
        <v>423</v>
      </c>
      <c r="D257" s="2" t="s">
        <v>2</v>
      </c>
      <c r="E257" s="2"/>
      <c r="F257" s="2">
        <v>0</v>
      </c>
      <c r="G257" s="2">
        <v>3</v>
      </c>
      <c r="H257" s="2">
        <v>864</v>
      </c>
      <c r="I257" s="2">
        <v>70</v>
      </c>
      <c r="J257" s="2"/>
      <c r="K257" s="2">
        <v>18</v>
      </c>
      <c r="L257" s="2">
        <v>0</v>
      </c>
      <c r="M257" s="2">
        <v>0</v>
      </c>
      <c r="N257" s="2">
        <v>8</v>
      </c>
      <c r="O257" s="2">
        <v>5</v>
      </c>
      <c r="P257" s="2">
        <v>5</v>
      </c>
      <c r="Q257" s="2" t="s">
        <v>3556</v>
      </c>
      <c r="R257" s="2" t="s">
        <v>3557</v>
      </c>
      <c r="S257" s="4">
        <v>44959</v>
      </c>
    </row>
    <row r="258" spans="1:19" ht="12.5" x14ac:dyDescent="0.25">
      <c r="A258" s="14" t="str">
        <f>HYPERLINK("https://gerandofalcoes.my.salesforce.com/0014X00002YgggTQAR", "0014X00002YgggTQAR")</f>
        <v>0014X00002YgggTQAR</v>
      </c>
      <c r="B258" s="2" t="s">
        <v>3569</v>
      </c>
      <c r="C258" s="2" t="s">
        <v>423</v>
      </c>
      <c r="D258" s="2" t="s">
        <v>2</v>
      </c>
      <c r="E258" s="2"/>
      <c r="F258" s="2">
        <v>25</v>
      </c>
      <c r="G258" s="2">
        <v>3</v>
      </c>
      <c r="H258" s="2">
        <v>15000</v>
      </c>
      <c r="I258" s="2">
        <v>1317</v>
      </c>
      <c r="J258" s="2"/>
      <c r="K258" s="2">
        <v>45</v>
      </c>
      <c r="L258" s="2">
        <v>0</v>
      </c>
      <c r="M258" s="2">
        <v>12</v>
      </c>
      <c r="N258" s="2">
        <v>8</v>
      </c>
      <c r="O258" s="2">
        <v>5</v>
      </c>
      <c r="P258" s="2">
        <v>20</v>
      </c>
      <c r="Q258" s="2" t="s">
        <v>3570</v>
      </c>
      <c r="R258" s="2" t="s">
        <v>3570</v>
      </c>
      <c r="S258" s="4">
        <v>44960</v>
      </c>
    </row>
    <row r="259" spans="1:19" ht="12.5" x14ac:dyDescent="0.25">
      <c r="A259" s="14" t="str">
        <f>HYPERLINK("https://gerandofalcoes.my.salesforce.com/0014X00002YggmbQAB", "0014X00002YggmbQAB")</f>
        <v>0014X00002YggmbQAB</v>
      </c>
      <c r="B259" s="2" t="s">
        <v>3586</v>
      </c>
      <c r="C259" s="2" t="s">
        <v>423</v>
      </c>
      <c r="D259" s="2" t="s">
        <v>2</v>
      </c>
      <c r="E259" s="2"/>
      <c r="F259" s="2">
        <v>1</v>
      </c>
      <c r="G259" s="2">
        <v>4</v>
      </c>
      <c r="H259" s="2">
        <v>24000</v>
      </c>
      <c r="I259" s="2">
        <v>15</v>
      </c>
      <c r="J259" s="2"/>
      <c r="K259" s="2">
        <v>25</v>
      </c>
      <c r="L259" s="2">
        <v>0</v>
      </c>
      <c r="M259" s="2">
        <v>5</v>
      </c>
      <c r="N259" s="2">
        <v>10</v>
      </c>
      <c r="O259" s="2">
        <v>5</v>
      </c>
      <c r="P259" s="2">
        <v>5</v>
      </c>
      <c r="Q259" s="2" t="s">
        <v>3587</v>
      </c>
      <c r="R259" s="2" t="s">
        <v>3587</v>
      </c>
      <c r="S259" s="4">
        <v>44961</v>
      </c>
    </row>
    <row r="260" spans="1:19" ht="12.5" x14ac:dyDescent="0.25">
      <c r="A260" s="14" t="str">
        <f>HYPERLINK("https://gerandofalcoes.my.salesforce.com/0014X00002YggjuQAB", "0014X00002YggjuQAB")</f>
        <v>0014X00002YggjuQAB</v>
      </c>
      <c r="B260" s="2" t="s">
        <v>3583</v>
      </c>
      <c r="C260" s="2" t="s">
        <v>423</v>
      </c>
      <c r="D260" s="2" t="s">
        <v>2</v>
      </c>
      <c r="E260" s="2"/>
      <c r="F260" s="2">
        <v>0</v>
      </c>
      <c r="G260" s="2">
        <v>7</v>
      </c>
      <c r="H260" s="2">
        <v>3000</v>
      </c>
      <c r="I260" s="2">
        <v>30</v>
      </c>
      <c r="J260" s="2"/>
      <c r="K260" s="2">
        <v>20</v>
      </c>
      <c r="L260" s="2">
        <v>0</v>
      </c>
      <c r="M260" s="2">
        <v>0</v>
      </c>
      <c r="N260" s="2">
        <v>10</v>
      </c>
      <c r="O260" s="2">
        <v>5</v>
      </c>
      <c r="P260" s="2">
        <v>5</v>
      </c>
      <c r="Q260" s="2" t="s">
        <v>3584</v>
      </c>
      <c r="R260" s="2" t="s">
        <v>3585</v>
      </c>
      <c r="S260" s="4">
        <v>44961</v>
      </c>
    </row>
    <row r="261" spans="1:19" ht="12.5" x14ac:dyDescent="0.25">
      <c r="A261" s="14" t="str">
        <f>HYPERLINK("https://gerandofalcoes.my.salesforce.com/0014X00002YggpAQAR", "0014X00002YggpAQAR")</f>
        <v>0014X00002YggpAQAR</v>
      </c>
      <c r="B261" s="2" t="s">
        <v>3591</v>
      </c>
      <c r="C261" s="2" t="s">
        <v>423</v>
      </c>
      <c r="D261" s="2" t="s">
        <v>2</v>
      </c>
      <c r="E261" s="2"/>
      <c r="F261" s="2">
        <v>17</v>
      </c>
      <c r="G261" s="2">
        <v>5</v>
      </c>
      <c r="H261" s="2">
        <v>586443</v>
      </c>
      <c r="I261" s="2">
        <v>0</v>
      </c>
      <c r="J261" s="2"/>
      <c r="K261" s="2">
        <v>42</v>
      </c>
      <c r="L261" s="2">
        <v>0</v>
      </c>
      <c r="M261" s="2">
        <v>12</v>
      </c>
      <c r="N261" s="2">
        <v>10</v>
      </c>
      <c r="O261" s="2">
        <v>20</v>
      </c>
      <c r="P261" s="2">
        <v>0</v>
      </c>
      <c r="Q261" s="2" t="s">
        <v>3592</v>
      </c>
      <c r="R261" s="2" t="s">
        <v>3593</v>
      </c>
      <c r="S261" s="4">
        <v>44962</v>
      </c>
    </row>
    <row r="262" spans="1:19" ht="12.5" x14ac:dyDescent="0.25">
      <c r="A262" s="14" t="str">
        <f>HYPERLINK("https://gerandofalcoes.my.salesforce.com/0014X00002YggpXQAR", "0014X00002YggpXQAR")</f>
        <v>0014X00002YggpXQAR</v>
      </c>
      <c r="B262" s="2" t="s">
        <v>3597</v>
      </c>
      <c r="C262" s="2" t="s">
        <v>423</v>
      </c>
      <c r="D262" s="2" t="s">
        <v>2</v>
      </c>
      <c r="E262" s="2"/>
      <c r="F262" s="2">
        <v>0</v>
      </c>
      <c r="G262" s="2">
        <v>3</v>
      </c>
      <c r="H262" s="2">
        <v>48</v>
      </c>
      <c r="I262" s="2">
        <v>270</v>
      </c>
      <c r="J262" s="2"/>
      <c r="K262" s="2">
        <v>25</v>
      </c>
      <c r="L262" s="2">
        <v>0</v>
      </c>
      <c r="M262" s="2">
        <v>0</v>
      </c>
      <c r="N262" s="2">
        <v>8</v>
      </c>
      <c r="O262" s="2">
        <v>5</v>
      </c>
      <c r="P262" s="2">
        <v>12</v>
      </c>
      <c r="Q262" s="2" t="s">
        <v>3598</v>
      </c>
      <c r="R262" s="2" t="s">
        <v>3599</v>
      </c>
      <c r="S262" s="4">
        <v>44962</v>
      </c>
    </row>
    <row r="263" spans="1:19" ht="12.5" x14ac:dyDescent="0.25">
      <c r="A263" s="14" t="str">
        <f>HYPERLINK("https://gerandofalcoes.my.salesforce.com/0014X00002bFKFnQAO", "0014X00002bFKFnQAO")</f>
        <v>0014X00002bFKFnQAO</v>
      </c>
      <c r="B263" s="2" t="s">
        <v>3605</v>
      </c>
      <c r="C263" s="2" t="s">
        <v>1684</v>
      </c>
      <c r="D263" s="2" t="s">
        <v>2</v>
      </c>
      <c r="E263" s="2"/>
      <c r="F263" s="2">
        <v>0</v>
      </c>
      <c r="G263" s="2">
        <v>0</v>
      </c>
      <c r="H263" s="2">
        <v>0</v>
      </c>
      <c r="I263" s="2">
        <v>0</v>
      </c>
      <c r="J263" s="2"/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 t="s">
        <v>3606</v>
      </c>
      <c r="R263" s="2"/>
      <c r="S263" s="4">
        <v>44962</v>
      </c>
    </row>
    <row r="264" spans="1:19" ht="12.5" x14ac:dyDescent="0.25">
      <c r="A264" s="14" t="str">
        <f>HYPERLINK("https://gerandofalcoes.my.salesforce.com/0014X00002YggjRQAR", "0014X00002YggjRQAR")</f>
        <v>0014X00002YggjRQAR</v>
      </c>
      <c r="B264" s="2" t="s">
        <v>3607</v>
      </c>
      <c r="C264" s="2" t="s">
        <v>423</v>
      </c>
      <c r="D264" s="2" t="s">
        <v>2</v>
      </c>
      <c r="E264" s="2"/>
      <c r="F264" s="2">
        <v>0</v>
      </c>
      <c r="G264" s="2">
        <v>4</v>
      </c>
      <c r="H264" s="2">
        <v>6000</v>
      </c>
      <c r="I264" s="2">
        <v>20</v>
      </c>
      <c r="J264" s="2"/>
      <c r="K264" s="2">
        <v>20</v>
      </c>
      <c r="L264" s="2">
        <v>0</v>
      </c>
      <c r="M264" s="2">
        <v>0</v>
      </c>
      <c r="N264" s="2">
        <v>10</v>
      </c>
      <c r="O264" s="2">
        <v>5</v>
      </c>
      <c r="P264" s="2">
        <v>5</v>
      </c>
      <c r="Q264" s="2" t="s">
        <v>3608</v>
      </c>
      <c r="R264" s="2" t="s">
        <v>3609</v>
      </c>
      <c r="S264" s="4">
        <v>44963</v>
      </c>
    </row>
    <row r="265" spans="1:19" ht="12.5" x14ac:dyDescent="0.25">
      <c r="A265" s="14" t="str">
        <f>HYPERLINK("https://gerandofalcoes.my.salesforce.com/0014X00002YggkzQAB", "0014X00002YggkzQAB")</f>
        <v>0014X00002YggkzQAB</v>
      </c>
      <c r="B265" s="2" t="s">
        <v>3637</v>
      </c>
      <c r="C265" s="2" t="s">
        <v>423</v>
      </c>
      <c r="D265" s="2" t="s">
        <v>2</v>
      </c>
      <c r="E265" s="2"/>
      <c r="F265" s="2">
        <v>0</v>
      </c>
      <c r="G265" s="2">
        <v>3</v>
      </c>
      <c r="H265" s="2">
        <v>3410</v>
      </c>
      <c r="I265" s="2">
        <v>0</v>
      </c>
      <c r="J265" s="2"/>
      <c r="K265" s="2">
        <v>13</v>
      </c>
      <c r="L265" s="2">
        <v>0</v>
      </c>
      <c r="M265" s="2">
        <v>0</v>
      </c>
      <c r="N265" s="2">
        <v>8</v>
      </c>
      <c r="O265" s="2">
        <v>5</v>
      </c>
      <c r="P265" s="2">
        <v>0</v>
      </c>
      <c r="Q265" s="2" t="s">
        <v>3638</v>
      </c>
      <c r="R265" s="2" t="s">
        <v>3639</v>
      </c>
      <c r="S265" s="4">
        <v>44963</v>
      </c>
    </row>
    <row r="266" spans="1:19" ht="12.5" x14ac:dyDescent="0.25">
      <c r="A266" s="14" t="str">
        <f>HYPERLINK("https://gerandofalcoes.my.salesforce.com/0014X00002YggkoQAB", "0014X00002YggkoQAB")</f>
        <v>0014X00002YggkoQAB</v>
      </c>
      <c r="B266" s="2" t="s">
        <v>3631</v>
      </c>
      <c r="C266" s="2" t="s">
        <v>423</v>
      </c>
      <c r="D266" s="2" t="s">
        <v>2</v>
      </c>
      <c r="E266" s="2"/>
      <c r="F266" s="2">
        <v>0</v>
      </c>
      <c r="G266" s="2">
        <v>2</v>
      </c>
      <c r="H266" s="2">
        <v>10000</v>
      </c>
      <c r="I266" s="2">
        <v>30</v>
      </c>
      <c r="J266" s="2"/>
      <c r="K266" s="2">
        <v>16</v>
      </c>
      <c r="L266" s="2">
        <v>0</v>
      </c>
      <c r="M266" s="2">
        <v>0</v>
      </c>
      <c r="N266" s="2">
        <v>6</v>
      </c>
      <c r="O266" s="2">
        <v>5</v>
      </c>
      <c r="P266" s="2">
        <v>5</v>
      </c>
      <c r="Q266" s="2" t="s">
        <v>3632</v>
      </c>
      <c r="R266" s="2" t="s">
        <v>3633</v>
      </c>
      <c r="S266" s="4">
        <v>44963</v>
      </c>
    </row>
    <row r="267" spans="1:19" ht="12.5" x14ac:dyDescent="0.25">
      <c r="A267" s="14" t="str">
        <f>HYPERLINK("https://gerandofalcoes.my.salesforce.com/0014X00002YggovQAB", "0014X00002YggovQAB")</f>
        <v>0014X00002YggovQAB</v>
      </c>
      <c r="B267" s="2" t="s">
        <v>3634</v>
      </c>
      <c r="C267" s="2" t="s">
        <v>423</v>
      </c>
      <c r="D267" s="2" t="s">
        <v>2</v>
      </c>
      <c r="E267" s="2"/>
      <c r="F267" s="2">
        <v>0</v>
      </c>
      <c r="G267" s="2">
        <v>3</v>
      </c>
      <c r="H267" s="2">
        <v>13000</v>
      </c>
      <c r="I267" s="2">
        <v>30</v>
      </c>
      <c r="J267" s="2"/>
      <c r="K267" s="2">
        <v>18</v>
      </c>
      <c r="L267" s="2">
        <v>0</v>
      </c>
      <c r="M267" s="2">
        <v>0</v>
      </c>
      <c r="N267" s="2">
        <v>8</v>
      </c>
      <c r="O267" s="2">
        <v>5</v>
      </c>
      <c r="P267" s="2">
        <v>5</v>
      </c>
      <c r="Q267" s="2" t="s">
        <v>3635</v>
      </c>
      <c r="R267" s="2" t="s">
        <v>3636</v>
      </c>
      <c r="S267" s="4">
        <v>44963</v>
      </c>
    </row>
    <row r="268" spans="1:19" ht="12.5" x14ac:dyDescent="0.25">
      <c r="A268" s="14" t="str">
        <f>HYPERLINK("https://gerandofalcoes.my.salesforce.com/0014X00002YggjsQAB", "0014X00002YggjsQAB")</f>
        <v>0014X00002YggjsQAB</v>
      </c>
      <c r="B268" s="2" t="s">
        <v>3610</v>
      </c>
      <c r="C268" s="2" t="s">
        <v>423</v>
      </c>
      <c r="D268" s="2" t="s">
        <v>2</v>
      </c>
      <c r="E268" s="2"/>
      <c r="F268" s="2">
        <v>10</v>
      </c>
      <c r="G268" s="2">
        <v>2</v>
      </c>
      <c r="H268" s="2">
        <v>40000</v>
      </c>
      <c r="I268" s="2">
        <v>65</v>
      </c>
      <c r="J268" s="2"/>
      <c r="K268" s="2">
        <v>31</v>
      </c>
      <c r="L268" s="2">
        <v>0</v>
      </c>
      <c r="M268" s="2">
        <v>10</v>
      </c>
      <c r="N268" s="2">
        <v>6</v>
      </c>
      <c r="O268" s="2">
        <v>10</v>
      </c>
      <c r="P268" s="2">
        <v>5</v>
      </c>
      <c r="Q268" s="2" t="s">
        <v>7158</v>
      </c>
      <c r="R268" s="2" t="s">
        <v>7159</v>
      </c>
      <c r="S268" s="4">
        <v>44963</v>
      </c>
    </row>
    <row r="269" spans="1:19" ht="12.5" x14ac:dyDescent="0.25">
      <c r="A269" s="14" t="str">
        <f>HYPERLINK("https://gerandofalcoes.my.salesforce.com/0014X00002YgggUQAR", "0014X00002YgggUQAR")</f>
        <v>0014X00002YgggUQAR</v>
      </c>
      <c r="B269" s="2" t="s">
        <v>3640</v>
      </c>
      <c r="C269" s="2" t="s">
        <v>423</v>
      </c>
      <c r="D269" s="2" t="s">
        <v>2</v>
      </c>
      <c r="E269" s="2"/>
      <c r="F269" s="2">
        <v>0</v>
      </c>
      <c r="G269" s="2">
        <v>2</v>
      </c>
      <c r="H269" s="2">
        <v>45000</v>
      </c>
      <c r="I269" s="2">
        <v>0</v>
      </c>
      <c r="J269" s="2"/>
      <c r="K269" s="2">
        <v>16</v>
      </c>
      <c r="L269" s="2">
        <v>0</v>
      </c>
      <c r="M269" s="2">
        <v>0</v>
      </c>
      <c r="N269" s="2">
        <v>6</v>
      </c>
      <c r="O269" s="2">
        <v>10</v>
      </c>
      <c r="P269" s="2">
        <v>0</v>
      </c>
      <c r="Q269" s="2" t="s">
        <v>3641</v>
      </c>
      <c r="R269" s="2" t="s">
        <v>3641</v>
      </c>
      <c r="S269" s="4">
        <v>44963</v>
      </c>
    </row>
    <row r="270" spans="1:19" ht="12.5" x14ac:dyDescent="0.25">
      <c r="A270" s="14" t="str">
        <f>HYPERLINK("https://gerandofalcoes.my.salesforce.com/0014X00002YggoBQAR", "0014X00002YggoBQAR")</f>
        <v>0014X00002YggoBQAR</v>
      </c>
      <c r="B270" s="2" t="s">
        <v>3642</v>
      </c>
      <c r="C270" s="2" t="s">
        <v>423</v>
      </c>
      <c r="D270" s="2" t="s">
        <v>2</v>
      </c>
      <c r="E270" s="2"/>
      <c r="F270" s="2">
        <v>0</v>
      </c>
      <c r="G270" s="2">
        <v>3</v>
      </c>
      <c r="H270" s="2">
        <v>1200</v>
      </c>
      <c r="I270" s="2">
        <v>0</v>
      </c>
      <c r="J270" s="2"/>
      <c r="K270" s="2">
        <v>13</v>
      </c>
      <c r="L270" s="2">
        <v>0</v>
      </c>
      <c r="M270" s="2">
        <v>0</v>
      </c>
      <c r="N270" s="2">
        <v>8</v>
      </c>
      <c r="O270" s="2">
        <v>5</v>
      </c>
      <c r="P270" s="2">
        <v>0</v>
      </c>
      <c r="Q270" s="2" t="s">
        <v>3643</v>
      </c>
      <c r="R270" s="2" t="s">
        <v>3643</v>
      </c>
      <c r="S270" s="4">
        <v>44963</v>
      </c>
    </row>
    <row r="271" spans="1:19" ht="12.5" x14ac:dyDescent="0.25">
      <c r="A271" s="14" t="str">
        <f>HYPERLINK("https://gerandofalcoes.my.salesforce.com/0014X00002YggnHQAR", "0014X00002YggnHQAR")</f>
        <v>0014X00002YggnHQAR</v>
      </c>
      <c r="B271" s="2" t="s">
        <v>3612</v>
      </c>
      <c r="C271" s="2" t="s">
        <v>423</v>
      </c>
      <c r="D271" s="2" t="s">
        <v>2</v>
      </c>
      <c r="E271" s="2"/>
      <c r="F271" s="2">
        <v>0</v>
      </c>
      <c r="G271" s="2">
        <v>2</v>
      </c>
      <c r="H271" s="2">
        <v>10</v>
      </c>
      <c r="I271" s="2">
        <v>0</v>
      </c>
      <c r="J271" s="2"/>
      <c r="K271" s="2">
        <v>11</v>
      </c>
      <c r="L271" s="2">
        <v>0</v>
      </c>
      <c r="M271" s="2">
        <v>0</v>
      </c>
      <c r="N271" s="2">
        <v>6</v>
      </c>
      <c r="O271" s="2">
        <v>5</v>
      </c>
      <c r="P271" s="2">
        <v>0</v>
      </c>
      <c r="Q271" s="2" t="s">
        <v>3613</v>
      </c>
      <c r="R271" s="2" t="s">
        <v>3613</v>
      </c>
      <c r="S271" s="4">
        <v>44963</v>
      </c>
    </row>
    <row r="272" spans="1:19" ht="12.5" x14ac:dyDescent="0.25">
      <c r="A272" s="14" t="str">
        <f>HYPERLINK("https://gerandofalcoes.my.salesforce.com/0014X00002YggqQQAR", "0014X00002YggqQQAR")</f>
        <v>0014X00002YggqQQAR</v>
      </c>
      <c r="B272" s="2" t="s">
        <v>3665</v>
      </c>
      <c r="C272" s="2" t="s">
        <v>423</v>
      </c>
      <c r="D272" s="2" t="s">
        <v>2</v>
      </c>
      <c r="E272" s="2"/>
      <c r="F272" s="2">
        <v>0</v>
      </c>
      <c r="G272" s="2">
        <v>2</v>
      </c>
      <c r="H272" s="2">
        <v>800</v>
      </c>
      <c r="I272" s="2">
        <v>60</v>
      </c>
      <c r="J272" s="2"/>
      <c r="K272" s="2">
        <v>16</v>
      </c>
      <c r="L272" s="2">
        <v>0</v>
      </c>
      <c r="M272" s="2">
        <v>0</v>
      </c>
      <c r="N272" s="2">
        <v>6</v>
      </c>
      <c r="O272" s="2">
        <v>5</v>
      </c>
      <c r="P272" s="2">
        <v>5</v>
      </c>
      <c r="Q272" s="2" t="s">
        <v>3666</v>
      </c>
      <c r="R272" s="2" t="s">
        <v>3666</v>
      </c>
      <c r="S272" s="4">
        <v>44964</v>
      </c>
    </row>
    <row r="273" spans="1:19" ht="12.5" x14ac:dyDescent="0.25">
      <c r="A273" s="14" t="str">
        <f>HYPERLINK("https://gerandofalcoes.my.salesforce.com/0014X00002Yggj7QAB", "0014X00002Yggj7QAB")</f>
        <v>0014X00002Yggj7QAB</v>
      </c>
      <c r="B273" s="2" t="s">
        <v>3650</v>
      </c>
      <c r="C273" s="2" t="s">
        <v>423</v>
      </c>
      <c r="D273" s="2" t="s">
        <v>2</v>
      </c>
      <c r="E273" s="2"/>
      <c r="F273" s="2">
        <v>0</v>
      </c>
      <c r="G273" s="2">
        <v>2</v>
      </c>
      <c r="H273" s="2">
        <v>90000</v>
      </c>
      <c r="I273" s="2">
        <v>40</v>
      </c>
      <c r="J273" s="2"/>
      <c r="K273" s="2">
        <v>21</v>
      </c>
      <c r="L273" s="2">
        <v>0</v>
      </c>
      <c r="M273" s="2">
        <v>0</v>
      </c>
      <c r="N273" s="2">
        <v>6</v>
      </c>
      <c r="O273" s="2">
        <v>10</v>
      </c>
      <c r="P273" s="2">
        <v>5</v>
      </c>
      <c r="Q273" s="2" t="s">
        <v>3651</v>
      </c>
      <c r="R273" s="2" t="s">
        <v>3651</v>
      </c>
      <c r="S273" s="4">
        <v>44964</v>
      </c>
    </row>
    <row r="274" spans="1:19" ht="12.5" x14ac:dyDescent="0.25">
      <c r="A274" s="14" t="str">
        <f>HYPERLINK("https://gerandofalcoes.my.salesforce.com/0014X00002Yggm8QAB", "0014X00002Yggm8QAB")</f>
        <v>0014X00002Yggm8QAB</v>
      </c>
      <c r="B274" s="2" t="s">
        <v>3678</v>
      </c>
      <c r="C274" s="2" t="s">
        <v>423</v>
      </c>
      <c r="D274" s="2" t="s">
        <v>2</v>
      </c>
      <c r="E274" s="2"/>
      <c r="F274" s="2">
        <v>4</v>
      </c>
      <c r="G274" s="2">
        <v>3</v>
      </c>
      <c r="H274" s="2">
        <v>140000</v>
      </c>
      <c r="I274" s="2">
        <v>216</v>
      </c>
      <c r="J274" s="2"/>
      <c r="K274" s="2">
        <v>40</v>
      </c>
      <c r="L274" s="2">
        <v>0</v>
      </c>
      <c r="M274" s="2">
        <v>5</v>
      </c>
      <c r="N274" s="2">
        <v>8</v>
      </c>
      <c r="O274" s="2">
        <v>15</v>
      </c>
      <c r="P274" s="2">
        <v>12</v>
      </c>
      <c r="Q274" s="2" t="s">
        <v>3679</v>
      </c>
      <c r="R274" s="2" t="s">
        <v>3680</v>
      </c>
      <c r="S274" s="4">
        <v>44964</v>
      </c>
    </row>
    <row r="275" spans="1:19" ht="12.5" x14ac:dyDescent="0.25">
      <c r="A275" s="14" t="str">
        <f>HYPERLINK("https://gerandofalcoes.my.salesforce.com/0014X00002YggjFQAR", "0014X00002YggjFQAR")</f>
        <v>0014X00002YggjFQAR</v>
      </c>
      <c r="B275" s="2" t="s">
        <v>3686</v>
      </c>
      <c r="C275" s="2" t="s">
        <v>423</v>
      </c>
      <c r="D275" s="2" t="s">
        <v>2</v>
      </c>
      <c r="E275" s="2"/>
      <c r="F275" s="2">
        <v>0</v>
      </c>
      <c r="G275" s="2">
        <v>2</v>
      </c>
      <c r="H275" s="2">
        <v>0</v>
      </c>
      <c r="I275" s="2">
        <v>0</v>
      </c>
      <c r="J275" s="2"/>
      <c r="K275" s="2">
        <v>6</v>
      </c>
      <c r="L275" s="2">
        <v>0</v>
      </c>
      <c r="M275" s="2">
        <v>0</v>
      </c>
      <c r="N275" s="2">
        <v>6</v>
      </c>
      <c r="O275" s="2">
        <v>0</v>
      </c>
      <c r="P275" s="2">
        <v>0</v>
      </c>
      <c r="Q275" s="2" t="s">
        <v>3687</v>
      </c>
      <c r="R275" s="2" t="s">
        <v>3688</v>
      </c>
      <c r="S275" s="4">
        <v>44964</v>
      </c>
    </row>
    <row r="276" spans="1:19" ht="12.5" x14ac:dyDescent="0.25">
      <c r="A276" s="14" t="str">
        <f>HYPERLINK("https://gerandofalcoes.my.salesforce.com/0014X00002YggkRQAR", "0014X00002YggkRQAR")</f>
        <v>0014X00002YggkRQAR</v>
      </c>
      <c r="B276" s="2" t="s">
        <v>3652</v>
      </c>
      <c r="C276" s="2" t="s">
        <v>423</v>
      </c>
      <c r="D276" s="2" t="s">
        <v>2</v>
      </c>
      <c r="E276" s="2"/>
      <c r="F276" s="2">
        <v>0</v>
      </c>
      <c r="G276" s="2">
        <v>3</v>
      </c>
      <c r="H276" s="2">
        <v>20000</v>
      </c>
      <c r="I276" s="2">
        <v>80</v>
      </c>
      <c r="J276" s="2"/>
      <c r="K276" s="2">
        <v>23</v>
      </c>
      <c r="L276" s="2">
        <v>0</v>
      </c>
      <c r="M276" s="2">
        <v>0</v>
      </c>
      <c r="N276" s="2">
        <v>8</v>
      </c>
      <c r="O276" s="2">
        <v>5</v>
      </c>
      <c r="P276" s="2">
        <v>10</v>
      </c>
      <c r="Q276" s="2" t="s">
        <v>3653</v>
      </c>
      <c r="R276" s="2" t="s">
        <v>3653</v>
      </c>
      <c r="S276" s="4">
        <v>44964</v>
      </c>
    </row>
    <row r="277" spans="1:19" ht="12.5" x14ac:dyDescent="0.25">
      <c r="A277" s="14" t="str">
        <f>HYPERLINK("https://gerandofalcoes.my.salesforce.com/0014X00002YggmvQAB", "0014X00002YggmvQAB")</f>
        <v>0014X00002YggmvQAB</v>
      </c>
      <c r="B277" s="2" t="s">
        <v>3654</v>
      </c>
      <c r="C277" s="2" t="s">
        <v>423</v>
      </c>
      <c r="D277" s="2" t="s">
        <v>2</v>
      </c>
      <c r="E277" s="2"/>
      <c r="F277" s="2">
        <v>0</v>
      </c>
      <c r="G277" s="2">
        <v>2</v>
      </c>
      <c r="H277" s="2">
        <v>17500000</v>
      </c>
      <c r="I277" s="2">
        <v>84</v>
      </c>
      <c r="J277" s="2"/>
      <c r="K277" s="2">
        <v>41</v>
      </c>
      <c r="L277" s="2">
        <v>0</v>
      </c>
      <c r="M277" s="2">
        <v>0</v>
      </c>
      <c r="N277" s="2">
        <v>6</v>
      </c>
      <c r="O277" s="2">
        <v>25</v>
      </c>
      <c r="P277" s="2">
        <v>10</v>
      </c>
      <c r="Q277" s="2" t="s">
        <v>3655</v>
      </c>
      <c r="R277" s="2" t="s">
        <v>3656</v>
      </c>
      <c r="S277" s="4">
        <v>44964</v>
      </c>
    </row>
    <row r="278" spans="1:19" ht="12.5" x14ac:dyDescent="0.25">
      <c r="A278" s="14" t="str">
        <f>HYPERLINK("https://gerandofalcoes.my.salesforce.com/0014X00002Yggh1QAB", "0014X00002Yggh1QAB")</f>
        <v>0014X00002Yggh1QAB</v>
      </c>
      <c r="B278" s="2" t="s">
        <v>3675</v>
      </c>
      <c r="C278" s="2" t="s">
        <v>423</v>
      </c>
      <c r="D278" s="2" t="s">
        <v>2</v>
      </c>
      <c r="E278" s="2"/>
      <c r="F278" s="2">
        <v>23</v>
      </c>
      <c r="G278" s="2">
        <v>6</v>
      </c>
      <c r="H278" s="2">
        <v>99279054</v>
      </c>
      <c r="I278" s="2">
        <v>520</v>
      </c>
      <c r="J278" s="2"/>
      <c r="K278" s="2">
        <v>67</v>
      </c>
      <c r="L278" s="2">
        <v>0</v>
      </c>
      <c r="M278" s="2">
        <v>12</v>
      </c>
      <c r="N278" s="2">
        <v>10</v>
      </c>
      <c r="O278" s="2">
        <v>25</v>
      </c>
      <c r="P278" s="2">
        <v>20</v>
      </c>
      <c r="Q278" s="2" t="s">
        <v>3676</v>
      </c>
      <c r="R278" s="2" t="s">
        <v>3677</v>
      </c>
      <c r="S278" s="4">
        <v>44964</v>
      </c>
    </row>
    <row r="279" spans="1:19" ht="12.5" x14ac:dyDescent="0.25">
      <c r="A279" s="14" t="str">
        <f>HYPERLINK("https://gerandofalcoes.my.salesforce.com/0014X00002YggpeQAB", "0014X00002YggpeQAB")</f>
        <v>0014X00002YggpeQAB</v>
      </c>
      <c r="B279" s="2" t="s">
        <v>3670</v>
      </c>
      <c r="C279" s="2" t="s">
        <v>423</v>
      </c>
      <c r="D279" s="2" t="s">
        <v>2</v>
      </c>
      <c r="E279" s="2"/>
      <c r="F279" s="2">
        <v>0</v>
      </c>
      <c r="G279" s="2">
        <v>4</v>
      </c>
      <c r="H279" s="2">
        <v>32100</v>
      </c>
      <c r="I279" s="2">
        <v>0</v>
      </c>
      <c r="J279" s="2"/>
      <c r="K279" s="2">
        <v>20</v>
      </c>
      <c r="L279" s="2">
        <v>0</v>
      </c>
      <c r="M279" s="2">
        <v>0</v>
      </c>
      <c r="N279" s="2">
        <v>10</v>
      </c>
      <c r="O279" s="2">
        <v>10</v>
      </c>
      <c r="P279" s="2">
        <v>0</v>
      </c>
      <c r="Q279" s="2" t="s">
        <v>3671</v>
      </c>
      <c r="R279" s="2" t="s">
        <v>7149</v>
      </c>
      <c r="S279" s="4">
        <v>44964</v>
      </c>
    </row>
    <row r="280" spans="1:19" ht="12.5" x14ac:dyDescent="0.25">
      <c r="A280" s="14" t="str">
        <f>HYPERLINK("https://gerandofalcoes.my.salesforce.com/0014X00002YggniQAB", "0014X00002YggniQAB")</f>
        <v>0014X00002YggniQAB</v>
      </c>
      <c r="B280" s="2" t="s">
        <v>3647</v>
      </c>
      <c r="C280" s="2" t="s">
        <v>423</v>
      </c>
      <c r="D280" s="2" t="s">
        <v>2</v>
      </c>
      <c r="E280" s="2"/>
      <c r="F280" s="2">
        <v>30</v>
      </c>
      <c r="G280" s="2">
        <v>7</v>
      </c>
      <c r="H280" s="2">
        <v>1235895</v>
      </c>
      <c r="I280" s="2">
        <v>0</v>
      </c>
      <c r="J280" s="2"/>
      <c r="K280" s="2">
        <v>47</v>
      </c>
      <c r="L280" s="2">
        <v>0</v>
      </c>
      <c r="M280" s="2">
        <v>12</v>
      </c>
      <c r="N280" s="2">
        <v>10</v>
      </c>
      <c r="O280" s="2">
        <v>25</v>
      </c>
      <c r="P280" s="2">
        <v>0</v>
      </c>
      <c r="Q280" s="2" t="s">
        <v>3648</v>
      </c>
      <c r="R280" s="2" t="s">
        <v>3649</v>
      </c>
      <c r="S280" s="4">
        <v>44964</v>
      </c>
    </row>
    <row r="281" spans="1:19" ht="12.5" x14ac:dyDescent="0.25">
      <c r="A281" s="14" t="str">
        <f>HYPERLINK("https://gerandofalcoes.my.salesforce.com/0014X00002YgghUQAR", "0014X00002YgghUQAR")</f>
        <v>0014X00002YgghUQAR</v>
      </c>
      <c r="B281" s="2" t="s">
        <v>3771</v>
      </c>
      <c r="C281" s="2" t="s">
        <v>423</v>
      </c>
      <c r="D281" s="2" t="s">
        <v>2</v>
      </c>
      <c r="E281" s="2"/>
      <c r="F281" s="2">
        <v>10</v>
      </c>
      <c r="G281" s="2">
        <v>4</v>
      </c>
      <c r="H281" s="2">
        <v>1600</v>
      </c>
      <c r="I281" s="2">
        <v>0</v>
      </c>
      <c r="J281" s="2"/>
      <c r="K281" s="2">
        <v>25</v>
      </c>
      <c r="L281" s="2">
        <v>0</v>
      </c>
      <c r="M281" s="2">
        <v>10</v>
      </c>
      <c r="N281" s="2">
        <v>10</v>
      </c>
      <c r="O281" s="2">
        <v>5</v>
      </c>
      <c r="P281" s="2">
        <v>0</v>
      </c>
      <c r="Q281" s="2" t="s">
        <v>3772</v>
      </c>
      <c r="R281" s="2" t="s">
        <v>3772</v>
      </c>
      <c r="S281" s="4">
        <v>44967</v>
      </c>
    </row>
    <row r="282" spans="1:19" ht="12.5" x14ac:dyDescent="0.25">
      <c r="A282" s="14" t="str">
        <f>HYPERLINK("https://gerandofalcoes.my.salesforce.com/0014X00002YggkxQAB", "0014X00002YggkxQAB")</f>
        <v>0014X00002YggkxQAB</v>
      </c>
      <c r="B282" s="2" t="s">
        <v>3733</v>
      </c>
      <c r="C282" s="2" t="s">
        <v>423</v>
      </c>
      <c r="D282" s="2" t="s">
        <v>2</v>
      </c>
      <c r="E282" s="2"/>
      <c r="F282" s="2">
        <v>0</v>
      </c>
      <c r="G282" s="2">
        <v>3</v>
      </c>
      <c r="H282" s="2">
        <v>80000</v>
      </c>
      <c r="I282" s="2">
        <v>250</v>
      </c>
      <c r="J282" s="2"/>
      <c r="K282" s="2">
        <v>30</v>
      </c>
      <c r="L282" s="2">
        <v>0</v>
      </c>
      <c r="M282" s="2">
        <v>0</v>
      </c>
      <c r="N282" s="2">
        <v>8</v>
      </c>
      <c r="O282" s="2">
        <v>10</v>
      </c>
      <c r="P282" s="2">
        <v>12</v>
      </c>
      <c r="Q282" s="2" t="s">
        <v>3734</v>
      </c>
      <c r="R282" s="2" t="s">
        <v>3734</v>
      </c>
      <c r="S282" s="4">
        <v>44967</v>
      </c>
    </row>
    <row r="283" spans="1:19" ht="12.5" x14ac:dyDescent="0.25">
      <c r="A283" s="14" t="str">
        <f>HYPERLINK("https://gerandofalcoes.my.salesforce.com/0014X00002YggpvQAB", "0014X00002YggpvQAB")</f>
        <v>0014X00002YggpvQAB</v>
      </c>
      <c r="B283" s="2" t="s">
        <v>3729</v>
      </c>
      <c r="C283" s="2" t="s">
        <v>423</v>
      </c>
      <c r="D283" s="2" t="s">
        <v>2</v>
      </c>
      <c r="E283" s="2"/>
      <c r="F283" s="2">
        <v>12</v>
      </c>
      <c r="G283" s="2">
        <v>3</v>
      </c>
      <c r="H283" s="2">
        <v>50000</v>
      </c>
      <c r="I283" s="2">
        <v>200</v>
      </c>
      <c r="J283" s="2"/>
      <c r="K283" s="2">
        <v>42</v>
      </c>
      <c r="L283" s="2">
        <v>0</v>
      </c>
      <c r="M283" s="2">
        <v>12</v>
      </c>
      <c r="N283" s="2">
        <v>8</v>
      </c>
      <c r="O283" s="2">
        <v>10</v>
      </c>
      <c r="P283" s="2">
        <v>12</v>
      </c>
      <c r="Q283" s="2" t="s">
        <v>3730</v>
      </c>
      <c r="R283" s="2" t="s">
        <v>3730</v>
      </c>
      <c r="S283" s="4">
        <v>44967</v>
      </c>
    </row>
    <row r="284" spans="1:19" ht="12.5" x14ac:dyDescent="0.25">
      <c r="A284" s="14" t="str">
        <f>HYPERLINK("https://gerandofalcoes.my.salesforce.com/0014X00002YggqCQAR", "0014X00002YggqCQAR")</f>
        <v>0014X00002YggqCQAR</v>
      </c>
      <c r="B284" s="2" t="s">
        <v>3745</v>
      </c>
      <c r="C284" s="2" t="s">
        <v>423</v>
      </c>
      <c r="D284" s="2" t="s">
        <v>2</v>
      </c>
      <c r="E284" s="2"/>
      <c r="F284" s="2">
        <v>3</v>
      </c>
      <c r="G284" s="2">
        <v>2</v>
      </c>
      <c r="H284" s="2">
        <v>300</v>
      </c>
      <c r="I284" s="2">
        <v>70</v>
      </c>
      <c r="J284" s="2"/>
      <c r="K284" s="2">
        <v>21</v>
      </c>
      <c r="L284" s="2">
        <v>0</v>
      </c>
      <c r="M284" s="2">
        <v>5</v>
      </c>
      <c r="N284" s="2">
        <v>6</v>
      </c>
      <c r="O284" s="2">
        <v>5</v>
      </c>
      <c r="P284" s="2">
        <v>5</v>
      </c>
      <c r="Q284" s="2" t="s">
        <v>3746</v>
      </c>
      <c r="R284" s="2" t="s">
        <v>3746</v>
      </c>
      <c r="S284" s="4">
        <v>44967</v>
      </c>
    </row>
    <row r="285" spans="1:19" ht="12.5" x14ac:dyDescent="0.25">
      <c r="A285" s="14" t="str">
        <f>HYPERLINK("https://gerandofalcoes.my.salesforce.com/0014X00002YggkOQAR", "0014X00002YggkOQAR")</f>
        <v>0014X00002YggkOQAR</v>
      </c>
      <c r="B285" s="2" t="s">
        <v>3719</v>
      </c>
      <c r="C285" s="2" t="s">
        <v>423</v>
      </c>
      <c r="D285" s="2" t="s">
        <v>2</v>
      </c>
      <c r="E285" s="2"/>
      <c r="F285" s="2">
        <v>20</v>
      </c>
      <c r="G285" s="2">
        <v>4</v>
      </c>
      <c r="H285" s="2">
        <v>180000</v>
      </c>
      <c r="I285" s="2">
        <v>80</v>
      </c>
      <c r="J285" s="2"/>
      <c r="K285" s="2">
        <v>47</v>
      </c>
      <c r="L285" s="2">
        <v>0</v>
      </c>
      <c r="M285" s="2">
        <v>12</v>
      </c>
      <c r="N285" s="2">
        <v>10</v>
      </c>
      <c r="O285" s="2">
        <v>15</v>
      </c>
      <c r="P285" s="2">
        <v>10</v>
      </c>
      <c r="Q285" s="2" t="s">
        <v>3720</v>
      </c>
      <c r="R285" s="2" t="s">
        <v>3721</v>
      </c>
      <c r="S285" s="4">
        <v>44967</v>
      </c>
    </row>
    <row r="286" spans="1:19" ht="12.5" x14ac:dyDescent="0.25">
      <c r="A286" s="14" t="str">
        <f>HYPERLINK("https://gerandofalcoes.my.salesforce.com/0014X00002Yggo4QAB", "0014X00002Yggo4QAB")</f>
        <v>0014X00002Yggo4QAB</v>
      </c>
      <c r="B286" s="2" t="s">
        <v>3707</v>
      </c>
      <c r="C286" s="2" t="s">
        <v>423</v>
      </c>
      <c r="D286" s="2" t="s">
        <v>2</v>
      </c>
      <c r="E286" s="2"/>
      <c r="F286" s="2">
        <v>0</v>
      </c>
      <c r="G286" s="2">
        <v>3</v>
      </c>
      <c r="H286" s="2">
        <v>3000</v>
      </c>
      <c r="I286" s="2">
        <v>0</v>
      </c>
      <c r="J286" s="2"/>
      <c r="K286" s="2">
        <v>13</v>
      </c>
      <c r="L286" s="2">
        <v>0</v>
      </c>
      <c r="M286" s="2">
        <v>0</v>
      </c>
      <c r="N286" s="2">
        <v>8</v>
      </c>
      <c r="O286" s="2">
        <v>5</v>
      </c>
      <c r="P286" s="2">
        <v>0</v>
      </c>
      <c r="Q286" s="2" t="s">
        <v>3708</v>
      </c>
      <c r="R286" s="2" t="s">
        <v>3708</v>
      </c>
      <c r="S286" s="4">
        <v>44967</v>
      </c>
    </row>
    <row r="287" spans="1:19" ht="12.5" x14ac:dyDescent="0.25">
      <c r="A287" s="14" t="str">
        <f>HYPERLINK("https://gerandofalcoes.my.salesforce.com/0014X00002YggiKQAR", "0014X00002YggiKQAR")</f>
        <v>0014X00002YggiKQAR</v>
      </c>
      <c r="B287" s="2" t="s">
        <v>3743</v>
      </c>
      <c r="C287" s="2" t="s">
        <v>423</v>
      </c>
      <c r="D287" s="2" t="s">
        <v>2</v>
      </c>
      <c r="E287" s="2"/>
      <c r="F287" s="2">
        <v>0</v>
      </c>
      <c r="G287" s="2">
        <v>2</v>
      </c>
      <c r="H287" s="2">
        <v>1000</v>
      </c>
      <c r="I287" s="2">
        <v>100</v>
      </c>
      <c r="J287" s="2"/>
      <c r="K287" s="2">
        <v>21</v>
      </c>
      <c r="L287" s="2">
        <v>0</v>
      </c>
      <c r="M287" s="2">
        <v>0</v>
      </c>
      <c r="N287" s="2">
        <v>6</v>
      </c>
      <c r="O287" s="2">
        <v>5</v>
      </c>
      <c r="P287" s="2">
        <v>10</v>
      </c>
      <c r="Q287" s="2" t="s">
        <v>3744</v>
      </c>
      <c r="R287" s="2" t="s">
        <v>3744</v>
      </c>
      <c r="S287" s="4">
        <v>44967</v>
      </c>
    </row>
    <row r="288" spans="1:19" ht="12.5" x14ac:dyDescent="0.25">
      <c r="A288" s="14" t="str">
        <f>HYPERLINK("https://gerandofalcoes.my.salesforce.com/0014X00002YgghbQAB", "0014X00002YgghbQAB")</f>
        <v>0014X00002YgghbQAB</v>
      </c>
      <c r="B288" s="2" t="s">
        <v>3784</v>
      </c>
      <c r="C288" s="2" t="s">
        <v>423</v>
      </c>
      <c r="D288" s="2" t="s">
        <v>2</v>
      </c>
      <c r="E288" s="2"/>
      <c r="F288" s="2">
        <v>4</v>
      </c>
      <c r="G288" s="2">
        <v>6</v>
      </c>
      <c r="H288" s="2">
        <v>8000</v>
      </c>
      <c r="I288" s="2">
        <v>280</v>
      </c>
      <c r="J288" s="2"/>
      <c r="K288" s="2">
        <v>32</v>
      </c>
      <c r="L288" s="2">
        <v>0</v>
      </c>
      <c r="M288" s="2">
        <v>5</v>
      </c>
      <c r="N288" s="2">
        <v>10</v>
      </c>
      <c r="O288" s="2">
        <v>5</v>
      </c>
      <c r="P288" s="2">
        <v>12</v>
      </c>
      <c r="Q288" s="2" t="s">
        <v>3785</v>
      </c>
      <c r="R288" s="2" t="s">
        <v>3786</v>
      </c>
      <c r="S288" s="4">
        <v>44968</v>
      </c>
    </row>
    <row r="289" spans="1:19" ht="12.5" x14ac:dyDescent="0.25">
      <c r="A289" s="14" t="str">
        <f>HYPERLINK("https://gerandofalcoes.my.salesforce.com/0014X00002YgghrQAB", "0014X00002YgghrQAB")</f>
        <v>0014X00002YgghrQAB</v>
      </c>
      <c r="B289" s="2" t="s">
        <v>3775</v>
      </c>
      <c r="C289" s="2" t="s">
        <v>423</v>
      </c>
      <c r="D289" s="2" t="s">
        <v>2</v>
      </c>
      <c r="E289" s="2"/>
      <c r="F289" s="2">
        <v>12</v>
      </c>
      <c r="G289" s="2">
        <v>4</v>
      </c>
      <c r="H289" s="2">
        <v>700000</v>
      </c>
      <c r="I289" s="2">
        <v>410</v>
      </c>
      <c r="J289" s="2"/>
      <c r="K289" s="2">
        <v>57</v>
      </c>
      <c r="L289" s="2">
        <v>0</v>
      </c>
      <c r="M289" s="2">
        <v>12</v>
      </c>
      <c r="N289" s="2">
        <v>10</v>
      </c>
      <c r="O289" s="2">
        <v>20</v>
      </c>
      <c r="P289" s="2">
        <v>15</v>
      </c>
      <c r="Q289" s="2" t="s">
        <v>3776</v>
      </c>
      <c r="R289" s="2" t="s">
        <v>3776</v>
      </c>
      <c r="S289" s="4">
        <v>44968</v>
      </c>
    </row>
    <row r="290" spans="1:19" ht="12.5" x14ac:dyDescent="0.25">
      <c r="A290" s="14" t="str">
        <f>HYPERLINK("https://gerandofalcoes.my.salesforce.com/0014X00002YggiFQAR", "0014X00002YggiFQAR")</f>
        <v>0014X00002YggiFQAR</v>
      </c>
      <c r="B290" s="2" t="s">
        <v>3794</v>
      </c>
      <c r="C290" s="2" t="s">
        <v>423</v>
      </c>
      <c r="D290" s="2" t="s">
        <v>2</v>
      </c>
      <c r="E290" s="2"/>
      <c r="F290" s="2">
        <v>2</v>
      </c>
      <c r="G290" s="2">
        <v>2</v>
      </c>
      <c r="H290" s="2">
        <v>200</v>
      </c>
      <c r="I290" s="2">
        <v>50</v>
      </c>
      <c r="J290" s="2"/>
      <c r="K290" s="2">
        <v>21</v>
      </c>
      <c r="L290" s="2">
        <v>0</v>
      </c>
      <c r="M290" s="2">
        <v>5</v>
      </c>
      <c r="N290" s="2">
        <v>6</v>
      </c>
      <c r="O290" s="2">
        <v>5</v>
      </c>
      <c r="P290" s="2">
        <v>5</v>
      </c>
      <c r="Q290" s="2" t="s">
        <v>3795</v>
      </c>
      <c r="R290" s="2" t="s">
        <v>3795</v>
      </c>
      <c r="S290" s="4">
        <v>44968</v>
      </c>
    </row>
    <row r="291" spans="1:19" ht="12.5" x14ac:dyDescent="0.25">
      <c r="A291" s="14" t="str">
        <f>HYPERLINK("https://gerandofalcoes.my.salesforce.com/0014X00002YgghAQAR", "0014X00002YgghAQAR")</f>
        <v>0014X00002YgghAQAR</v>
      </c>
      <c r="B291" s="2" t="s">
        <v>3695</v>
      </c>
      <c r="C291" s="2" t="s">
        <v>423</v>
      </c>
      <c r="D291" s="2" t="s">
        <v>2</v>
      </c>
      <c r="E291" s="2"/>
      <c r="F291" s="2">
        <v>36</v>
      </c>
      <c r="G291" s="2">
        <v>11</v>
      </c>
      <c r="H291" s="2">
        <v>237000</v>
      </c>
      <c r="I291" s="2">
        <v>450</v>
      </c>
      <c r="J291" s="2"/>
      <c r="K291" s="2">
        <v>60</v>
      </c>
      <c r="L291" s="2">
        <v>0</v>
      </c>
      <c r="M291" s="2">
        <v>15</v>
      </c>
      <c r="N291" s="2">
        <v>10</v>
      </c>
      <c r="O291" s="2">
        <v>15</v>
      </c>
      <c r="P291" s="2">
        <v>20</v>
      </c>
      <c r="Q291" s="2" t="s">
        <v>3696</v>
      </c>
      <c r="R291" s="2" t="s">
        <v>3697</v>
      </c>
      <c r="S291" s="4">
        <v>44967</v>
      </c>
    </row>
    <row r="292" spans="1:19" ht="12.5" x14ac:dyDescent="0.25">
      <c r="A292" s="14" t="str">
        <f>HYPERLINK("https://gerandofalcoes.my.salesforce.com/0014X00002YggmmQAB", "0014X00002YggmmQAB")</f>
        <v>0014X00002YggmmQAB</v>
      </c>
      <c r="B292" s="2" t="s">
        <v>3752</v>
      </c>
      <c r="C292" s="2" t="s">
        <v>423</v>
      </c>
      <c r="D292" s="2" t="s">
        <v>2</v>
      </c>
      <c r="E292" s="2"/>
      <c r="F292" s="2">
        <v>0</v>
      </c>
      <c r="G292" s="2">
        <v>4</v>
      </c>
      <c r="H292" s="2">
        <v>1500</v>
      </c>
      <c r="I292" s="2">
        <v>30</v>
      </c>
      <c r="J292" s="2"/>
      <c r="K292" s="2">
        <v>20</v>
      </c>
      <c r="L292" s="2">
        <v>0</v>
      </c>
      <c r="M292" s="2">
        <v>0</v>
      </c>
      <c r="N292" s="2">
        <v>10</v>
      </c>
      <c r="O292" s="2">
        <v>5</v>
      </c>
      <c r="P292" s="2">
        <v>5</v>
      </c>
      <c r="Q292" s="2" t="s">
        <v>3753</v>
      </c>
      <c r="R292" s="2" t="s">
        <v>3754</v>
      </c>
      <c r="S292" s="4">
        <v>44967</v>
      </c>
    </row>
    <row r="293" spans="1:19" ht="12.5" x14ac:dyDescent="0.25">
      <c r="A293" s="14" t="str">
        <f>HYPERLINK("https://gerandofalcoes.my.salesforce.com/0014X00002YggoEQAR", "0014X00002YggoEQAR")</f>
        <v>0014X00002YggoEQAR</v>
      </c>
      <c r="B293" s="2" t="s">
        <v>3701</v>
      </c>
      <c r="C293" s="2" t="s">
        <v>423</v>
      </c>
      <c r="D293" s="2" t="s">
        <v>2</v>
      </c>
      <c r="E293" s="2"/>
      <c r="F293" s="2">
        <v>0</v>
      </c>
      <c r="G293" s="2">
        <v>2</v>
      </c>
      <c r="H293" s="2">
        <v>1000</v>
      </c>
      <c r="I293" s="2">
        <v>30</v>
      </c>
      <c r="J293" s="2"/>
      <c r="K293" s="2">
        <v>16</v>
      </c>
      <c r="L293" s="2">
        <v>0</v>
      </c>
      <c r="M293" s="2">
        <v>0</v>
      </c>
      <c r="N293" s="2">
        <v>6</v>
      </c>
      <c r="O293" s="2">
        <v>5</v>
      </c>
      <c r="P293" s="2">
        <v>5</v>
      </c>
      <c r="Q293" s="2" t="s">
        <v>3702</v>
      </c>
      <c r="R293" s="2" t="s">
        <v>3702</v>
      </c>
      <c r="S293" s="4">
        <v>44967</v>
      </c>
    </row>
    <row r="294" spans="1:19" ht="12.5" x14ac:dyDescent="0.25">
      <c r="A294" s="14" t="str">
        <f>HYPERLINK("https://gerandofalcoes.my.salesforce.com/0014X00002YggoCQAR", "0014X00002YggoCQAR")</f>
        <v>0014X00002YggoCQAR</v>
      </c>
      <c r="B294" s="2" t="s">
        <v>3727</v>
      </c>
      <c r="C294" s="2" t="s">
        <v>423</v>
      </c>
      <c r="D294" s="2" t="s">
        <v>2</v>
      </c>
      <c r="E294" s="2"/>
      <c r="F294" s="2">
        <v>0</v>
      </c>
      <c r="G294" s="2">
        <v>2</v>
      </c>
      <c r="H294" s="2">
        <v>5000</v>
      </c>
      <c r="I294" s="2">
        <v>50</v>
      </c>
      <c r="J294" s="2"/>
      <c r="K294" s="2">
        <v>16</v>
      </c>
      <c r="L294" s="2">
        <v>0</v>
      </c>
      <c r="M294" s="2">
        <v>0</v>
      </c>
      <c r="N294" s="2">
        <v>6</v>
      </c>
      <c r="O294" s="2">
        <v>5</v>
      </c>
      <c r="P294" s="2">
        <v>5</v>
      </c>
      <c r="Q294" s="2" t="s">
        <v>3728</v>
      </c>
      <c r="R294" s="2" t="s">
        <v>3728</v>
      </c>
      <c r="S294" s="4">
        <v>44967</v>
      </c>
    </row>
    <row r="295" spans="1:19" ht="12.5" x14ac:dyDescent="0.25">
      <c r="A295" s="14" t="str">
        <f>HYPERLINK("https://gerandofalcoes.my.salesforce.com/0014X00002YgbkqQAB", "0014X00002YgbkqQAB")</f>
        <v>0014X00002YgbkqQAB</v>
      </c>
      <c r="B295" s="2" t="s">
        <v>3773</v>
      </c>
      <c r="C295" s="2" t="s">
        <v>423</v>
      </c>
      <c r="D295" s="2" t="s">
        <v>2</v>
      </c>
      <c r="E295" s="2"/>
      <c r="F295" s="2">
        <v>0</v>
      </c>
      <c r="G295" s="2">
        <v>0</v>
      </c>
      <c r="H295" s="2">
        <v>0</v>
      </c>
      <c r="I295" s="2">
        <v>0</v>
      </c>
      <c r="J295" s="2"/>
      <c r="K295" s="2">
        <v>0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 t="s">
        <v>3774</v>
      </c>
      <c r="R295" s="2" t="s">
        <v>3774</v>
      </c>
      <c r="S295" s="4">
        <v>44967</v>
      </c>
    </row>
    <row r="296" spans="1:19" ht="12.5" x14ac:dyDescent="0.25">
      <c r="A296" s="14" t="str">
        <f>HYPERLINK("https://gerandofalcoes.my.salesforce.com/0014X00002Yggr5QAB", "0014X00002Yggr5QAB")</f>
        <v>0014X00002Yggr5QAB</v>
      </c>
      <c r="B296" s="2" t="s">
        <v>3779</v>
      </c>
      <c r="C296" s="2" t="s">
        <v>423</v>
      </c>
      <c r="D296" s="2" t="s">
        <v>2</v>
      </c>
      <c r="E296" s="2"/>
      <c r="F296" s="2">
        <v>3</v>
      </c>
      <c r="G296" s="2">
        <v>2</v>
      </c>
      <c r="H296" s="2">
        <v>24000</v>
      </c>
      <c r="I296" s="2">
        <v>0</v>
      </c>
      <c r="J296" s="2"/>
      <c r="K296" s="2">
        <v>16</v>
      </c>
      <c r="L296" s="2">
        <v>0</v>
      </c>
      <c r="M296" s="2">
        <v>5</v>
      </c>
      <c r="N296" s="2">
        <v>6</v>
      </c>
      <c r="O296" s="2">
        <v>5</v>
      </c>
      <c r="P296" s="2">
        <v>0</v>
      </c>
      <c r="Q296" s="2" t="s">
        <v>3780</v>
      </c>
      <c r="R296" s="2" t="s">
        <v>3780</v>
      </c>
      <c r="S296" s="4">
        <v>44968</v>
      </c>
    </row>
    <row r="297" spans="1:19" ht="12.5" x14ac:dyDescent="0.25">
      <c r="A297" s="14" t="str">
        <f>HYPERLINK("https://gerandofalcoes.my.salesforce.com/0014X00002YkLeFQAV", "0014X00002YkLeFQAV")</f>
        <v>0014X00002YkLeFQAV</v>
      </c>
      <c r="B297" s="2" t="s">
        <v>3829</v>
      </c>
      <c r="C297" s="2" t="s">
        <v>423</v>
      </c>
      <c r="D297" s="2" t="s">
        <v>2</v>
      </c>
      <c r="E297" s="2">
        <v>17.97</v>
      </c>
      <c r="F297" s="2">
        <v>1</v>
      </c>
      <c r="G297" s="2">
        <v>0</v>
      </c>
      <c r="H297" s="2">
        <v>0</v>
      </c>
      <c r="I297" s="2">
        <v>1</v>
      </c>
      <c r="J297" s="2" t="s">
        <v>1779</v>
      </c>
      <c r="K297" s="2">
        <v>20</v>
      </c>
      <c r="L297" s="2">
        <v>10</v>
      </c>
      <c r="M297" s="2">
        <v>5</v>
      </c>
      <c r="N297" s="2">
        <v>0</v>
      </c>
      <c r="O297" s="2">
        <v>0</v>
      </c>
      <c r="P297" s="2">
        <v>5</v>
      </c>
      <c r="Q297" s="2" t="s">
        <v>3830</v>
      </c>
      <c r="R297" s="2" t="s">
        <v>3830</v>
      </c>
      <c r="S297" s="4">
        <v>45015</v>
      </c>
    </row>
    <row r="298" spans="1:19" ht="12.5" x14ac:dyDescent="0.25">
      <c r="A298" s="14" t="str">
        <f>HYPERLINK("https://gerandofalcoes.my.salesforce.com/0014X00002VKCrgQAH", "0014X00002VKCrgQAH")</f>
        <v>0014X00002VKCrgQAH</v>
      </c>
      <c r="B298" s="2" t="s">
        <v>3831</v>
      </c>
      <c r="C298" s="2" t="s">
        <v>423</v>
      </c>
      <c r="D298" s="2" t="s">
        <v>2</v>
      </c>
      <c r="E298" s="2">
        <v>17</v>
      </c>
      <c r="F298" s="2">
        <v>0</v>
      </c>
      <c r="G298" s="2">
        <v>1</v>
      </c>
      <c r="H298" s="2">
        <v>0</v>
      </c>
      <c r="I298" s="2">
        <v>22</v>
      </c>
      <c r="J298" s="2" t="s">
        <v>1779</v>
      </c>
      <c r="K298" s="2">
        <v>19</v>
      </c>
      <c r="L298" s="2">
        <v>10</v>
      </c>
      <c r="M298" s="2">
        <v>0</v>
      </c>
      <c r="N298" s="2">
        <v>4</v>
      </c>
      <c r="O298" s="2">
        <v>0</v>
      </c>
      <c r="P298" s="2">
        <v>5</v>
      </c>
      <c r="Q298" s="2" t="s">
        <v>3832</v>
      </c>
      <c r="R298" s="2" t="s">
        <v>3832</v>
      </c>
      <c r="S298" s="4">
        <v>45015</v>
      </c>
    </row>
    <row r="299" spans="1:19" ht="12.5" x14ac:dyDescent="0.25">
      <c r="A299" s="14" t="str">
        <f>HYPERLINK("https://gerandofalcoes.my.salesforce.com/0014X00002VKCq3QAH", "0014X00002VKCq3QAH")</f>
        <v>0014X00002VKCq3QAH</v>
      </c>
      <c r="B299" s="2" t="s">
        <v>3825</v>
      </c>
      <c r="C299" s="2" t="s">
        <v>423</v>
      </c>
      <c r="D299" s="2" t="s">
        <v>2</v>
      </c>
      <c r="E299" s="2">
        <v>28.4</v>
      </c>
      <c r="F299" s="2">
        <v>0</v>
      </c>
      <c r="G299" s="2">
        <v>0</v>
      </c>
      <c r="H299" s="2">
        <v>518799</v>
      </c>
      <c r="I299" s="2">
        <v>22</v>
      </c>
      <c r="J299" s="2" t="s">
        <v>1671</v>
      </c>
      <c r="K299" s="2">
        <v>40</v>
      </c>
      <c r="L299" s="2">
        <v>15</v>
      </c>
      <c r="M299" s="2">
        <v>0</v>
      </c>
      <c r="N299" s="2">
        <v>0</v>
      </c>
      <c r="O299" s="2">
        <v>20</v>
      </c>
      <c r="P299" s="2">
        <v>5</v>
      </c>
      <c r="Q299" s="2" t="s">
        <v>3826</v>
      </c>
      <c r="R299" s="2" t="s">
        <v>3826</v>
      </c>
      <c r="S299" s="4">
        <v>45015</v>
      </c>
    </row>
    <row r="300" spans="1:19" ht="12.5" x14ac:dyDescent="0.25">
      <c r="A300" s="14" t="str">
        <f>HYPERLINK("https://gerandofalcoes.my.salesforce.com/0014X00002YgbkWQAR", "0014X00002YgbkWQAR")</f>
        <v>0014X00002YgbkWQAR</v>
      </c>
      <c r="B300" s="2" t="s">
        <v>3821</v>
      </c>
      <c r="C300" s="2" t="s">
        <v>423</v>
      </c>
      <c r="D300" s="2" t="s">
        <v>2</v>
      </c>
      <c r="E300" s="2"/>
      <c r="F300" s="2">
        <v>0</v>
      </c>
      <c r="G300" s="2">
        <v>0</v>
      </c>
      <c r="H300" s="2">
        <v>0</v>
      </c>
      <c r="I300" s="2">
        <v>0</v>
      </c>
      <c r="J300" s="2"/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 t="s">
        <v>3822</v>
      </c>
      <c r="R300" s="2" t="s">
        <v>3822</v>
      </c>
      <c r="S300" s="4">
        <v>45001</v>
      </c>
    </row>
    <row r="301" spans="1:19" ht="12.5" x14ac:dyDescent="0.25">
      <c r="A301" s="14" t="str">
        <f>HYPERLINK("https://gerandofalcoes.my.salesforce.com/0014X00002YggjrQAB", "0014X00002YggjrQAB")</f>
        <v>0014X00002YggjrQAB</v>
      </c>
      <c r="B301" s="2" t="s">
        <v>3040</v>
      </c>
      <c r="C301" s="2" t="s">
        <v>423</v>
      </c>
      <c r="D301" s="2" t="s">
        <v>2</v>
      </c>
      <c r="E301" s="2"/>
      <c r="F301" s="2">
        <v>0</v>
      </c>
      <c r="G301" s="2">
        <v>2</v>
      </c>
      <c r="H301" s="2">
        <v>86000</v>
      </c>
      <c r="I301" s="2">
        <v>170</v>
      </c>
      <c r="J301" s="2"/>
      <c r="K301" s="2">
        <v>28</v>
      </c>
      <c r="L301" s="2">
        <v>0</v>
      </c>
      <c r="M301" s="2">
        <v>0</v>
      </c>
      <c r="N301" s="2">
        <v>6</v>
      </c>
      <c r="O301" s="2">
        <v>10</v>
      </c>
      <c r="P301" s="2">
        <v>12</v>
      </c>
      <c r="Q301" s="2" t="s">
        <v>3041</v>
      </c>
      <c r="R301" s="2" t="s">
        <v>3042</v>
      </c>
      <c r="S301" s="4">
        <v>44945</v>
      </c>
    </row>
    <row r="302" spans="1:19" ht="12.5" x14ac:dyDescent="0.25">
      <c r="A302" s="14" t="str">
        <f>HYPERLINK("https://gerandofalcoes.my.salesforce.com/0014X00002YggiJQAR", "0014X00002YggiJQAR")</f>
        <v>0014X00002YggiJQAR</v>
      </c>
      <c r="B302" s="2" t="s">
        <v>3069</v>
      </c>
      <c r="C302" s="2" t="s">
        <v>423</v>
      </c>
      <c r="D302" s="2" t="s">
        <v>2</v>
      </c>
      <c r="E302" s="2"/>
      <c r="F302" s="2">
        <v>1</v>
      </c>
      <c r="G302" s="2">
        <v>2</v>
      </c>
      <c r="H302" s="2">
        <v>0</v>
      </c>
      <c r="I302" s="2">
        <v>1200</v>
      </c>
      <c r="J302" s="2"/>
      <c r="K302" s="2">
        <v>31</v>
      </c>
      <c r="L302" s="2">
        <v>0</v>
      </c>
      <c r="M302" s="2">
        <v>5</v>
      </c>
      <c r="N302" s="2">
        <v>6</v>
      </c>
      <c r="O302" s="2">
        <v>0</v>
      </c>
      <c r="P302" s="2">
        <v>20</v>
      </c>
      <c r="Q302" s="2" t="s">
        <v>3070</v>
      </c>
      <c r="R302" s="2" t="s">
        <v>3071</v>
      </c>
      <c r="S302" s="4">
        <v>44946</v>
      </c>
    </row>
    <row r="303" spans="1:19" ht="12.5" x14ac:dyDescent="0.25">
      <c r="A303" s="14" t="str">
        <f>HYPERLINK("https://gerandofalcoes.my.salesforce.com/0014X00002VKCqXQAX", "0014X00002VKCqXQAX")</f>
        <v>0014X00002VKCqXQAX</v>
      </c>
      <c r="B303" s="2" t="s">
        <v>2301</v>
      </c>
      <c r="C303" s="2" t="s">
        <v>1800</v>
      </c>
      <c r="D303" s="2" t="s">
        <v>2</v>
      </c>
      <c r="E303" s="2">
        <v>29</v>
      </c>
      <c r="F303" s="2">
        <v>0</v>
      </c>
      <c r="G303" s="2">
        <v>5</v>
      </c>
      <c r="H303" s="2">
        <v>70000</v>
      </c>
      <c r="I303" s="2">
        <v>100</v>
      </c>
      <c r="J303" s="2" t="s">
        <v>1671</v>
      </c>
      <c r="K303" s="2">
        <v>45</v>
      </c>
      <c r="L303" s="2">
        <v>15</v>
      </c>
      <c r="M303" s="2">
        <v>0</v>
      </c>
      <c r="N303" s="2">
        <v>10</v>
      </c>
      <c r="O303" s="2">
        <v>10</v>
      </c>
      <c r="P303" s="2">
        <v>10</v>
      </c>
      <c r="Q303" s="2" t="s">
        <v>2302</v>
      </c>
      <c r="R303" s="2" t="s">
        <v>2303</v>
      </c>
      <c r="S303" s="4">
        <v>44837</v>
      </c>
    </row>
    <row r="304" spans="1:19" ht="12.5" x14ac:dyDescent="0.25">
      <c r="A304" s="14" t="str">
        <f>HYPERLINK("https://gerandofalcoes.my.salesforce.com/0014X00002VKCq1QAH", "0014X00002VKCq1QAH")</f>
        <v>0014X00002VKCq1QAH</v>
      </c>
      <c r="B304" s="2" t="s">
        <v>2164</v>
      </c>
      <c r="C304" s="2" t="s">
        <v>423</v>
      </c>
      <c r="D304" s="2" t="s">
        <v>2</v>
      </c>
      <c r="E304" s="2">
        <v>33</v>
      </c>
      <c r="F304" s="2">
        <v>0</v>
      </c>
      <c r="G304" s="2">
        <v>2</v>
      </c>
      <c r="H304" s="2">
        <v>5000</v>
      </c>
      <c r="I304" s="2">
        <v>250</v>
      </c>
      <c r="J304" s="2" t="s">
        <v>1779</v>
      </c>
      <c r="K304" s="2">
        <v>38</v>
      </c>
      <c r="L304" s="2">
        <v>15</v>
      </c>
      <c r="M304" s="2">
        <v>0</v>
      </c>
      <c r="N304" s="2">
        <v>6</v>
      </c>
      <c r="O304" s="2">
        <v>5</v>
      </c>
      <c r="P304" s="2">
        <v>12</v>
      </c>
      <c r="Q304" s="2" t="s">
        <v>2165</v>
      </c>
      <c r="R304" s="2" t="s">
        <v>2166</v>
      </c>
      <c r="S304" s="4">
        <v>44837</v>
      </c>
    </row>
    <row r="305" spans="1:19" ht="12.5" x14ac:dyDescent="0.25">
      <c r="A305" s="14" t="str">
        <f>HYPERLINK("https://gerandofalcoes.my.salesforce.com/0014X00002VKCoxQAH", "0014X00002VKCoxQAH")</f>
        <v>0014X00002VKCoxQAH</v>
      </c>
      <c r="B305" s="2" t="s">
        <v>2582</v>
      </c>
      <c r="C305" s="2" t="s">
        <v>423</v>
      </c>
      <c r="D305" s="2" t="s">
        <v>2</v>
      </c>
      <c r="E305" s="2">
        <v>38</v>
      </c>
      <c r="F305" s="2">
        <v>6</v>
      </c>
      <c r="G305" s="2">
        <v>1</v>
      </c>
      <c r="H305" s="2">
        <v>550</v>
      </c>
      <c r="I305" s="2">
        <v>0</v>
      </c>
      <c r="J305" s="2" t="s">
        <v>1779</v>
      </c>
      <c r="K305" s="2">
        <v>34</v>
      </c>
      <c r="L305" s="2">
        <v>15</v>
      </c>
      <c r="M305" s="2">
        <v>10</v>
      </c>
      <c r="N305" s="2">
        <v>4</v>
      </c>
      <c r="O305" s="2">
        <v>5</v>
      </c>
      <c r="P305" s="2">
        <v>0</v>
      </c>
      <c r="Q305" s="2" t="s">
        <v>2583</v>
      </c>
      <c r="R305" s="2" t="s">
        <v>2584</v>
      </c>
      <c r="S305" s="4">
        <v>44837</v>
      </c>
    </row>
    <row r="306" spans="1:19" ht="12.5" x14ac:dyDescent="0.25">
      <c r="A306" s="14" t="str">
        <f>HYPERLINK("https://gerandofalcoes.my.salesforce.com/0014X00002VKCsVQAX", "0014X00002VKCsVQAX")</f>
        <v>0014X00002VKCsVQAX</v>
      </c>
      <c r="B306" s="2" t="s">
        <v>1785</v>
      </c>
      <c r="C306" s="2" t="s">
        <v>423</v>
      </c>
      <c r="D306" s="2" t="s">
        <v>2</v>
      </c>
      <c r="E306" s="2">
        <v>56</v>
      </c>
      <c r="F306" s="2">
        <v>0</v>
      </c>
      <c r="G306" s="2">
        <v>3</v>
      </c>
      <c r="H306" s="2">
        <v>22800</v>
      </c>
      <c r="I306" s="2">
        <v>95</v>
      </c>
      <c r="J306" s="2" t="s">
        <v>1671</v>
      </c>
      <c r="K306" s="2">
        <v>43</v>
      </c>
      <c r="L306" s="2">
        <v>20</v>
      </c>
      <c r="M306" s="2">
        <v>0</v>
      </c>
      <c r="N306" s="2">
        <v>8</v>
      </c>
      <c r="O306" s="2">
        <v>5</v>
      </c>
      <c r="P306" s="2">
        <v>10</v>
      </c>
      <c r="Q306" s="2" t="s">
        <v>1786</v>
      </c>
      <c r="R306" s="2" t="s">
        <v>1787</v>
      </c>
      <c r="S306" s="4">
        <v>44837</v>
      </c>
    </row>
    <row r="307" spans="1:19" ht="12.5" x14ac:dyDescent="0.25">
      <c r="A307" s="14" t="str">
        <f>HYPERLINK("https://gerandofalcoes.my.salesforce.com/0014X00002VKCouQAH", "0014X00002VKCouQAH")</f>
        <v>0014X00002VKCouQAH</v>
      </c>
      <c r="B307" s="2" t="s">
        <v>2642</v>
      </c>
      <c r="C307" s="2" t="s">
        <v>1800</v>
      </c>
      <c r="D307" s="2" t="s">
        <v>2</v>
      </c>
      <c r="E307" s="2">
        <v>18</v>
      </c>
      <c r="F307" s="2">
        <v>0</v>
      </c>
      <c r="G307" s="2">
        <v>2</v>
      </c>
      <c r="H307" s="2">
        <v>11000</v>
      </c>
      <c r="I307" s="2">
        <v>0</v>
      </c>
      <c r="J307" s="2" t="s">
        <v>1779</v>
      </c>
      <c r="K307" s="2">
        <v>21</v>
      </c>
      <c r="L307" s="2">
        <v>10</v>
      </c>
      <c r="M307" s="2">
        <v>0</v>
      </c>
      <c r="N307" s="2">
        <v>6</v>
      </c>
      <c r="O307" s="2">
        <v>5</v>
      </c>
      <c r="P307" s="2">
        <v>0</v>
      </c>
      <c r="Q307" s="2" t="s">
        <v>2643</v>
      </c>
      <c r="R307" s="2" t="s">
        <v>2643</v>
      </c>
      <c r="S307" s="4">
        <v>44837</v>
      </c>
    </row>
    <row r="308" spans="1:19" ht="12.5" x14ac:dyDescent="0.25">
      <c r="A308" s="14" t="str">
        <f>HYPERLINK("https://gerandofalcoes.my.salesforce.com/0014X00002VKCpvQAH", "0014X00002VKCpvQAH")</f>
        <v>0014X00002VKCpvQAH</v>
      </c>
      <c r="B308" s="2" t="s">
        <v>2967</v>
      </c>
      <c r="C308" s="2" t="s">
        <v>423</v>
      </c>
      <c r="D308" s="2" t="s">
        <v>2</v>
      </c>
      <c r="E308" s="2">
        <v>10</v>
      </c>
      <c r="F308" s="2">
        <v>1</v>
      </c>
      <c r="G308" s="2">
        <v>1</v>
      </c>
      <c r="H308" s="2">
        <v>1000</v>
      </c>
      <c r="I308" s="2">
        <v>70</v>
      </c>
      <c r="J308" s="2" t="s">
        <v>1779</v>
      </c>
      <c r="K308" s="2">
        <v>29</v>
      </c>
      <c r="L308" s="2">
        <v>10</v>
      </c>
      <c r="M308" s="2">
        <v>5</v>
      </c>
      <c r="N308" s="2">
        <v>4</v>
      </c>
      <c r="O308" s="2">
        <v>5</v>
      </c>
      <c r="P308" s="2">
        <v>5</v>
      </c>
      <c r="Q308" s="2" t="s">
        <v>2968</v>
      </c>
      <c r="R308" s="2" t="s">
        <v>2969</v>
      </c>
      <c r="S308" s="4">
        <v>44837</v>
      </c>
    </row>
    <row r="309" spans="1:19" ht="12.5" x14ac:dyDescent="0.25">
      <c r="A309" s="14" t="str">
        <f>HYPERLINK("https://gerandofalcoes.my.salesforce.com/0014X00002VKCrDQAX", "0014X00002VKCrDQAX")</f>
        <v>0014X00002VKCrDQAX</v>
      </c>
      <c r="B309" s="2" t="s">
        <v>2755</v>
      </c>
      <c r="C309" s="2" t="s">
        <v>423</v>
      </c>
      <c r="D309" s="2" t="s">
        <v>2</v>
      </c>
      <c r="E309" s="2">
        <v>14</v>
      </c>
      <c r="F309" s="2">
        <v>2</v>
      </c>
      <c r="G309" s="2">
        <v>0</v>
      </c>
      <c r="H309" s="2">
        <v>0</v>
      </c>
      <c r="I309" s="2">
        <v>60</v>
      </c>
      <c r="J309" s="2" t="s">
        <v>1779</v>
      </c>
      <c r="K309" s="2">
        <v>20</v>
      </c>
      <c r="L309" s="2">
        <v>10</v>
      </c>
      <c r="M309" s="2">
        <v>5</v>
      </c>
      <c r="N309" s="2">
        <v>0</v>
      </c>
      <c r="O309" s="2">
        <v>0</v>
      </c>
      <c r="P309" s="2">
        <v>5</v>
      </c>
      <c r="Q309" s="2" t="s">
        <v>2756</v>
      </c>
      <c r="R309" s="2" t="s">
        <v>2756</v>
      </c>
      <c r="S309" s="4">
        <v>44837</v>
      </c>
    </row>
    <row r="310" spans="1:19" ht="12.5" x14ac:dyDescent="0.25">
      <c r="A310" s="14" t="str">
        <f>HYPERLINK("https://gerandofalcoes.my.salesforce.com/0014X00002VKCqRQAX", "0014X00002VKCqRQAX")</f>
        <v>0014X00002VKCqRQAX</v>
      </c>
      <c r="B310" s="2" t="s">
        <v>1758</v>
      </c>
      <c r="C310" s="2" t="s">
        <v>423</v>
      </c>
      <c r="D310" s="2" t="s">
        <v>2</v>
      </c>
      <c r="E310" s="2">
        <v>61.97</v>
      </c>
      <c r="F310" s="2">
        <v>0</v>
      </c>
      <c r="G310" s="2">
        <v>6</v>
      </c>
      <c r="H310" s="2">
        <v>112190</v>
      </c>
      <c r="I310" s="2">
        <v>197</v>
      </c>
      <c r="J310" s="2" t="s">
        <v>1671</v>
      </c>
      <c r="K310" s="2">
        <v>57</v>
      </c>
      <c r="L310" s="2">
        <v>20</v>
      </c>
      <c r="M310" s="2">
        <v>0</v>
      </c>
      <c r="N310" s="2">
        <v>10</v>
      </c>
      <c r="O310" s="2">
        <v>15</v>
      </c>
      <c r="P310" s="2">
        <v>12</v>
      </c>
      <c r="Q310" s="2" t="s">
        <v>1759</v>
      </c>
      <c r="R310" s="2" t="s">
        <v>1760</v>
      </c>
      <c r="S310" s="4">
        <v>44837</v>
      </c>
    </row>
    <row r="311" spans="1:19" ht="12.5" x14ac:dyDescent="0.25">
      <c r="A311" s="14" t="str">
        <f>HYPERLINK("https://gerandofalcoes.my.salesforce.com/0014X00002VKCr1QAH", "0014X00002VKCr1QAH")</f>
        <v>0014X00002VKCr1QAH</v>
      </c>
      <c r="B311" s="2" t="s">
        <v>2494</v>
      </c>
      <c r="C311" s="2" t="s">
        <v>423</v>
      </c>
      <c r="D311" s="2" t="s">
        <v>2</v>
      </c>
      <c r="E311" s="2">
        <v>21.76</v>
      </c>
      <c r="F311" s="2">
        <v>5</v>
      </c>
      <c r="G311" s="2">
        <v>3</v>
      </c>
      <c r="H311" s="2">
        <v>92000</v>
      </c>
      <c r="I311" s="2">
        <v>0</v>
      </c>
      <c r="J311" s="2" t="s">
        <v>1779</v>
      </c>
      <c r="K311" s="2">
        <v>33</v>
      </c>
      <c r="L311" s="2">
        <v>10</v>
      </c>
      <c r="M311" s="2">
        <v>5</v>
      </c>
      <c r="N311" s="2">
        <v>8</v>
      </c>
      <c r="O311" s="2">
        <v>10</v>
      </c>
      <c r="P311" s="2">
        <v>0</v>
      </c>
      <c r="Q311" s="2" t="s">
        <v>2495</v>
      </c>
      <c r="R311" s="2" t="s">
        <v>2496</v>
      </c>
      <c r="S311" s="4">
        <v>44837</v>
      </c>
    </row>
    <row r="312" spans="1:19" ht="12.5" x14ac:dyDescent="0.25">
      <c r="A312" s="14" t="str">
        <f>HYPERLINK("https://gerandofalcoes.my.salesforce.com/0014X00002VKCuWQAX", "0014X00002VKCuWQAX")</f>
        <v>0014X00002VKCuWQAX</v>
      </c>
      <c r="B312" s="2" t="s">
        <v>1930</v>
      </c>
      <c r="C312" s="2" t="s">
        <v>423</v>
      </c>
      <c r="D312" s="2" t="s">
        <v>2</v>
      </c>
      <c r="E312" s="2">
        <v>42</v>
      </c>
      <c r="F312" s="2">
        <v>35</v>
      </c>
      <c r="G312" s="2">
        <v>4</v>
      </c>
      <c r="H312" s="2">
        <v>30000</v>
      </c>
      <c r="I312" s="2">
        <v>30</v>
      </c>
      <c r="J312" s="2" t="s">
        <v>1671</v>
      </c>
      <c r="K312" s="2">
        <v>55</v>
      </c>
      <c r="L312" s="2">
        <v>15</v>
      </c>
      <c r="M312" s="2">
        <v>15</v>
      </c>
      <c r="N312" s="2">
        <v>10</v>
      </c>
      <c r="O312" s="2">
        <v>10</v>
      </c>
      <c r="P312" s="2">
        <v>5</v>
      </c>
      <c r="Q312" s="2" t="s">
        <v>1931</v>
      </c>
      <c r="R312" s="2" t="s">
        <v>1931</v>
      </c>
      <c r="S312" s="4">
        <v>44837</v>
      </c>
    </row>
    <row r="313" spans="1:19" ht="12.5" x14ac:dyDescent="0.25">
      <c r="A313" s="14" t="str">
        <f>HYPERLINK("https://gerandofalcoes.my.salesforce.com/0014X00002VKCpsQAH", "0014X00002VKCpsQAH")</f>
        <v>0014X00002VKCpsQAH</v>
      </c>
      <c r="B313" s="2" t="s">
        <v>1764</v>
      </c>
      <c r="C313" s="2" t="s">
        <v>423</v>
      </c>
      <c r="D313" s="2" t="s">
        <v>2</v>
      </c>
      <c r="E313" s="2">
        <v>52</v>
      </c>
      <c r="F313" s="2">
        <v>36</v>
      </c>
      <c r="G313" s="2">
        <v>2</v>
      </c>
      <c r="H313" s="2">
        <v>2039327</v>
      </c>
      <c r="I313" s="2">
        <v>0</v>
      </c>
      <c r="J313" s="2" t="s">
        <v>1650</v>
      </c>
      <c r="K313" s="2">
        <v>66</v>
      </c>
      <c r="L313" s="2">
        <v>20</v>
      </c>
      <c r="M313" s="2">
        <v>15</v>
      </c>
      <c r="N313" s="2">
        <v>6</v>
      </c>
      <c r="O313" s="2">
        <v>25</v>
      </c>
      <c r="P313" s="2">
        <v>0</v>
      </c>
      <c r="Q313" s="2" t="s">
        <v>1765</v>
      </c>
      <c r="R313" s="2" t="s">
        <v>1766</v>
      </c>
      <c r="S313" s="4">
        <v>44837</v>
      </c>
    </row>
    <row r="314" spans="1:19" ht="12.5" x14ac:dyDescent="0.25">
      <c r="A314" s="14" t="str">
        <f>HYPERLINK("https://gerandofalcoes.my.salesforce.com/0014X00002VKCuIQAX", "0014X00002VKCuIQAX")</f>
        <v>0014X00002VKCuIQAX</v>
      </c>
      <c r="B314" s="2" t="s">
        <v>2217</v>
      </c>
      <c r="C314" s="2" t="s">
        <v>423</v>
      </c>
      <c r="D314" s="2" t="s">
        <v>2</v>
      </c>
      <c r="E314" s="2">
        <v>32</v>
      </c>
      <c r="F314" s="2">
        <v>0</v>
      </c>
      <c r="G314" s="2">
        <v>2</v>
      </c>
      <c r="H314" s="2">
        <v>10000</v>
      </c>
      <c r="I314" s="2">
        <v>300</v>
      </c>
      <c r="J314" s="2" t="s">
        <v>1671</v>
      </c>
      <c r="K314" s="2">
        <v>41</v>
      </c>
      <c r="L314" s="2">
        <v>15</v>
      </c>
      <c r="M314" s="2">
        <v>0</v>
      </c>
      <c r="N314" s="2">
        <v>6</v>
      </c>
      <c r="O314" s="2">
        <v>5</v>
      </c>
      <c r="P314" s="2">
        <v>15</v>
      </c>
      <c r="Q314" s="2" t="s">
        <v>2218</v>
      </c>
      <c r="R314" s="2" t="s">
        <v>2219</v>
      </c>
      <c r="S314" s="4">
        <v>44837</v>
      </c>
    </row>
    <row r="315" spans="1:19" ht="12.5" x14ac:dyDescent="0.25">
      <c r="A315" s="14" t="str">
        <f>HYPERLINK("https://gerandofalcoes.my.salesforce.com/0014X00002VKCqgQAH", "0014X00002VKCqgQAH")</f>
        <v>0014X00002VKCqgQAH</v>
      </c>
      <c r="B315" s="2" t="s">
        <v>1816</v>
      </c>
      <c r="C315" s="2" t="s">
        <v>423</v>
      </c>
      <c r="D315" s="2" t="s">
        <v>2</v>
      </c>
      <c r="E315" s="2">
        <v>43</v>
      </c>
      <c r="F315" s="2">
        <v>12</v>
      </c>
      <c r="G315" s="2">
        <v>2</v>
      </c>
      <c r="H315" s="2">
        <v>472000</v>
      </c>
      <c r="I315" s="2">
        <v>50</v>
      </c>
      <c r="J315" s="2" t="s">
        <v>1671</v>
      </c>
      <c r="K315" s="2">
        <v>58</v>
      </c>
      <c r="L315" s="2">
        <v>15</v>
      </c>
      <c r="M315" s="2">
        <v>12</v>
      </c>
      <c r="N315" s="2">
        <v>6</v>
      </c>
      <c r="O315" s="2">
        <v>20</v>
      </c>
      <c r="P315" s="2">
        <v>5</v>
      </c>
      <c r="Q315" s="2" t="s">
        <v>1817</v>
      </c>
      <c r="R315" s="2" t="s">
        <v>1818</v>
      </c>
      <c r="S315" s="4">
        <v>44837</v>
      </c>
    </row>
    <row r="316" spans="1:19" ht="12.5" x14ac:dyDescent="0.25">
      <c r="A316" s="14" t="str">
        <f>HYPERLINK("https://gerandofalcoes.my.salesforce.com/0014X00002VKCt4QAH", "0014X00002VKCt4QAH")</f>
        <v>0014X00002VKCt4QAH</v>
      </c>
      <c r="B316" s="2" t="s">
        <v>1841</v>
      </c>
      <c r="C316" s="2" t="s">
        <v>423</v>
      </c>
      <c r="D316" s="2" t="s">
        <v>2</v>
      </c>
      <c r="E316" s="2">
        <v>80</v>
      </c>
      <c r="F316" s="2">
        <v>0</v>
      </c>
      <c r="G316" s="2">
        <v>2</v>
      </c>
      <c r="H316" s="2">
        <v>272000</v>
      </c>
      <c r="I316" s="2">
        <v>105</v>
      </c>
      <c r="J316" s="2" t="s">
        <v>1671</v>
      </c>
      <c r="K316" s="2">
        <v>56</v>
      </c>
      <c r="L316" s="2">
        <v>25</v>
      </c>
      <c r="M316" s="2">
        <v>0</v>
      </c>
      <c r="N316" s="2">
        <v>6</v>
      </c>
      <c r="O316" s="2">
        <v>15</v>
      </c>
      <c r="P316" s="2">
        <v>10</v>
      </c>
      <c r="Q316" s="2" t="s">
        <v>1842</v>
      </c>
      <c r="R316" s="2" t="s">
        <v>1843</v>
      </c>
      <c r="S316" s="4">
        <v>44837</v>
      </c>
    </row>
    <row r="317" spans="1:19" ht="12.5" x14ac:dyDescent="0.25">
      <c r="A317" s="14" t="str">
        <f>HYPERLINK("https://gerandofalcoes.my.salesforce.com/0014X00002VKCuPQAX", "0014X00002VKCuPQAX")</f>
        <v>0014X00002VKCuPQAX</v>
      </c>
      <c r="B317" s="2" t="s">
        <v>2909</v>
      </c>
      <c r="C317" s="2" t="s">
        <v>423</v>
      </c>
      <c r="D317" s="2" t="s">
        <v>2</v>
      </c>
      <c r="E317" s="2">
        <v>24</v>
      </c>
      <c r="F317" s="2">
        <v>0</v>
      </c>
      <c r="G317" s="2">
        <v>0</v>
      </c>
      <c r="H317" s="2">
        <v>0</v>
      </c>
      <c r="I317" s="2">
        <v>0</v>
      </c>
      <c r="J317" s="2" t="s">
        <v>1779</v>
      </c>
      <c r="K317" s="2">
        <v>10</v>
      </c>
      <c r="L317" s="2">
        <v>10</v>
      </c>
      <c r="M317" s="2">
        <v>0</v>
      </c>
      <c r="N317" s="2">
        <v>0</v>
      </c>
      <c r="O317" s="2">
        <v>0</v>
      </c>
      <c r="P317" s="2">
        <v>0</v>
      </c>
      <c r="Q317" s="2" t="s">
        <v>2910</v>
      </c>
      <c r="R317" s="2" t="s">
        <v>2911</v>
      </c>
      <c r="S317" s="4">
        <v>44837</v>
      </c>
    </row>
    <row r="318" spans="1:19" ht="12.5" x14ac:dyDescent="0.25">
      <c r="A318" s="14" t="str">
        <f>HYPERLINK("https://gerandofalcoes.my.salesforce.com/0014X00002VKCpxQAH", "0014X00002VKCpxQAH")</f>
        <v>0014X00002VKCpxQAH</v>
      </c>
      <c r="B318" s="2" t="s">
        <v>2551</v>
      </c>
      <c r="C318" s="2" t="s">
        <v>1800</v>
      </c>
      <c r="D318" s="2" t="s">
        <v>2</v>
      </c>
      <c r="E318" s="2">
        <v>20</v>
      </c>
      <c r="F318" s="2">
        <v>5</v>
      </c>
      <c r="G318" s="2">
        <v>7</v>
      </c>
      <c r="H318" s="2">
        <v>21530</v>
      </c>
      <c r="I318" s="2">
        <v>387</v>
      </c>
      <c r="J318" s="2" t="s">
        <v>1671</v>
      </c>
      <c r="K318" s="2">
        <v>45</v>
      </c>
      <c r="L318" s="2">
        <v>10</v>
      </c>
      <c r="M318" s="2">
        <v>5</v>
      </c>
      <c r="N318" s="2">
        <v>10</v>
      </c>
      <c r="O318" s="2">
        <v>5</v>
      </c>
      <c r="P318" s="2">
        <v>15</v>
      </c>
      <c r="Q318" s="2" t="s">
        <v>2552</v>
      </c>
      <c r="R318" s="2" t="s">
        <v>2553</v>
      </c>
      <c r="S318" s="4">
        <v>44837</v>
      </c>
    </row>
    <row r="319" spans="1:19" ht="12.5" x14ac:dyDescent="0.25">
      <c r="A319" s="14" t="str">
        <f>HYPERLINK("https://gerandofalcoes.my.salesforce.com/0014X00002VKCpmQAH", "0014X00002VKCpmQAH")</f>
        <v>0014X00002VKCpmQAH</v>
      </c>
      <c r="B319" s="2" t="s">
        <v>2555</v>
      </c>
      <c r="C319" s="2" t="s">
        <v>1800</v>
      </c>
      <c r="D319" s="2" t="s">
        <v>2</v>
      </c>
      <c r="E319" s="2">
        <v>20</v>
      </c>
      <c r="F319" s="2">
        <v>0</v>
      </c>
      <c r="G319" s="2">
        <v>3</v>
      </c>
      <c r="H319" s="2">
        <v>7000</v>
      </c>
      <c r="I319" s="2">
        <v>80</v>
      </c>
      <c r="J319" s="2" t="s">
        <v>1779</v>
      </c>
      <c r="K319" s="2">
        <v>33</v>
      </c>
      <c r="L319" s="2">
        <v>10</v>
      </c>
      <c r="M319" s="2">
        <v>0</v>
      </c>
      <c r="N319" s="2">
        <v>8</v>
      </c>
      <c r="O319" s="2">
        <v>5</v>
      </c>
      <c r="P319" s="2">
        <v>10</v>
      </c>
      <c r="Q319" s="2" t="s">
        <v>2556</v>
      </c>
      <c r="R319" s="2" t="s">
        <v>2556</v>
      </c>
      <c r="S319" s="4">
        <v>44837</v>
      </c>
    </row>
    <row r="320" spans="1:19" ht="12.5" x14ac:dyDescent="0.25">
      <c r="A320" s="14" t="str">
        <f>HYPERLINK("https://gerandofalcoes.my.salesforce.com/0014X00002VKCuzQAH", "0014X00002VKCuzQAH")</f>
        <v>0014X00002VKCuzQAH</v>
      </c>
      <c r="B320" s="2" t="s">
        <v>2117</v>
      </c>
      <c r="C320" s="2" t="s">
        <v>423</v>
      </c>
      <c r="D320" s="2" t="s">
        <v>2</v>
      </c>
      <c r="E320" s="2">
        <v>35</v>
      </c>
      <c r="F320" s="2">
        <v>0</v>
      </c>
      <c r="G320" s="2">
        <v>3</v>
      </c>
      <c r="H320" s="2">
        <v>34878</v>
      </c>
      <c r="I320" s="2">
        <v>7</v>
      </c>
      <c r="J320" s="2" t="s">
        <v>1779</v>
      </c>
      <c r="K320" s="2">
        <v>38</v>
      </c>
      <c r="L320" s="2">
        <v>15</v>
      </c>
      <c r="M320" s="2">
        <v>0</v>
      </c>
      <c r="N320" s="2">
        <v>8</v>
      </c>
      <c r="O320" s="2">
        <v>10</v>
      </c>
      <c r="P320" s="2">
        <v>5</v>
      </c>
      <c r="Q320" s="2" t="s">
        <v>2118</v>
      </c>
      <c r="R320" s="2" t="s">
        <v>2119</v>
      </c>
      <c r="S320" s="4">
        <v>44837</v>
      </c>
    </row>
    <row r="321" spans="1:19" ht="12.5" x14ac:dyDescent="0.25">
      <c r="A321" s="14" t="str">
        <f>HYPERLINK("https://gerandofalcoes.my.salesforce.com/0014X00002VKCq5QAH", "0014X00002VKCq5QAH")</f>
        <v>0014X00002VKCq5QAH</v>
      </c>
      <c r="B321" s="2" t="s">
        <v>2304</v>
      </c>
      <c r="C321" s="2" t="s">
        <v>423</v>
      </c>
      <c r="D321" s="2" t="s">
        <v>2</v>
      </c>
      <c r="E321" s="2">
        <v>29</v>
      </c>
      <c r="F321" s="2">
        <v>3</v>
      </c>
      <c r="G321" s="2">
        <v>3</v>
      </c>
      <c r="H321" s="2">
        <v>30000</v>
      </c>
      <c r="I321" s="2">
        <v>50</v>
      </c>
      <c r="J321" s="2" t="s">
        <v>1671</v>
      </c>
      <c r="K321" s="2">
        <v>43</v>
      </c>
      <c r="L321" s="2">
        <v>15</v>
      </c>
      <c r="M321" s="2">
        <v>5</v>
      </c>
      <c r="N321" s="2">
        <v>8</v>
      </c>
      <c r="O321" s="2">
        <v>10</v>
      </c>
      <c r="P321" s="2">
        <v>5</v>
      </c>
      <c r="Q321" s="2" t="s">
        <v>2305</v>
      </c>
      <c r="R321" s="2" t="s">
        <v>2306</v>
      </c>
      <c r="S321" s="4">
        <v>44837</v>
      </c>
    </row>
    <row r="322" spans="1:19" ht="12.5" x14ac:dyDescent="0.25">
      <c r="A322" s="14" t="str">
        <f>HYPERLINK("https://gerandofalcoes.my.salesforce.com/0014X00002VKCtIQAX", "0014X00002VKCtIQAX")</f>
        <v>0014X00002VKCtIQAX</v>
      </c>
      <c r="B322" s="2" t="s">
        <v>1927</v>
      </c>
      <c r="C322" s="2" t="s">
        <v>423</v>
      </c>
      <c r="D322" s="2" t="s">
        <v>2</v>
      </c>
      <c r="E322" s="2">
        <v>42</v>
      </c>
      <c r="F322" s="2">
        <v>0</v>
      </c>
      <c r="G322" s="2">
        <v>6</v>
      </c>
      <c r="H322" s="2">
        <v>0</v>
      </c>
      <c r="I322" s="2">
        <v>180</v>
      </c>
      <c r="J322" s="2" t="s">
        <v>1779</v>
      </c>
      <c r="K322" s="2">
        <v>37</v>
      </c>
      <c r="L322" s="2">
        <v>15</v>
      </c>
      <c r="M322" s="2">
        <v>0</v>
      </c>
      <c r="N322" s="2">
        <v>10</v>
      </c>
      <c r="O322" s="2">
        <v>0</v>
      </c>
      <c r="P322" s="2">
        <v>12</v>
      </c>
      <c r="Q322" s="2" t="s">
        <v>1928</v>
      </c>
      <c r="R322" s="2" t="s">
        <v>1929</v>
      </c>
      <c r="S322" s="4">
        <v>44837</v>
      </c>
    </row>
    <row r="323" spans="1:19" ht="12.5" x14ac:dyDescent="0.25">
      <c r="A323" s="14" t="str">
        <f>HYPERLINK("https://gerandofalcoes.my.salesforce.com/0014X00002VKCufQAH", "0014X00002VKCufQAH")</f>
        <v>0014X00002VKCufQAH</v>
      </c>
      <c r="B323" s="2" t="s">
        <v>1895</v>
      </c>
      <c r="C323" s="2" t="s">
        <v>423</v>
      </c>
      <c r="D323" s="2" t="s">
        <v>2</v>
      </c>
      <c r="E323" s="2">
        <v>47</v>
      </c>
      <c r="F323" s="2">
        <v>5</v>
      </c>
      <c r="G323" s="2">
        <v>1</v>
      </c>
      <c r="H323" s="2">
        <v>14040000</v>
      </c>
      <c r="I323" s="2">
        <v>50</v>
      </c>
      <c r="J323" s="2" t="s">
        <v>1671</v>
      </c>
      <c r="K323" s="2">
        <v>54</v>
      </c>
      <c r="L323" s="2">
        <v>15</v>
      </c>
      <c r="M323" s="2">
        <v>5</v>
      </c>
      <c r="N323" s="2">
        <v>4</v>
      </c>
      <c r="O323" s="2">
        <v>25</v>
      </c>
      <c r="P323" s="2">
        <v>5</v>
      </c>
      <c r="Q323" s="2" t="s">
        <v>1896</v>
      </c>
      <c r="R323" s="2" t="s">
        <v>1896</v>
      </c>
      <c r="S323" s="4">
        <v>44837</v>
      </c>
    </row>
    <row r="324" spans="1:19" ht="12.5" x14ac:dyDescent="0.25">
      <c r="A324" s="14" t="str">
        <f>HYPERLINK("https://gerandofalcoes.my.salesforce.com/0014X00002VKCuNQAX", "0014X00002VKCuNQAX")</f>
        <v>0014X00002VKCuNQAX</v>
      </c>
      <c r="B324" s="2" t="s">
        <v>1963</v>
      </c>
      <c r="C324" s="2" t="s">
        <v>1800</v>
      </c>
      <c r="D324" s="2" t="s">
        <v>2</v>
      </c>
      <c r="E324" s="2">
        <v>40</v>
      </c>
      <c r="F324" s="2">
        <v>0</v>
      </c>
      <c r="G324" s="2">
        <v>4</v>
      </c>
      <c r="H324" s="2">
        <v>52814</v>
      </c>
      <c r="I324" s="2">
        <v>96</v>
      </c>
      <c r="J324" s="2" t="s">
        <v>1671</v>
      </c>
      <c r="K324" s="2">
        <v>45</v>
      </c>
      <c r="L324" s="2">
        <v>15</v>
      </c>
      <c r="M324" s="2">
        <v>0</v>
      </c>
      <c r="N324" s="2">
        <v>10</v>
      </c>
      <c r="O324" s="2">
        <v>10</v>
      </c>
      <c r="P324" s="2">
        <v>10</v>
      </c>
      <c r="Q324" s="2" t="s">
        <v>1964</v>
      </c>
      <c r="R324" s="2" t="s">
        <v>1965</v>
      </c>
      <c r="S324" s="4">
        <v>44837</v>
      </c>
    </row>
    <row r="325" spans="1:19" ht="12.5" x14ac:dyDescent="0.25">
      <c r="A325" s="14" t="str">
        <f>HYPERLINK("https://gerandofalcoes.my.salesforce.com/0014X00002VKCuTQAX", "0014X00002VKCuTQAX")</f>
        <v>0014X00002VKCuTQAX</v>
      </c>
      <c r="B325" s="2" t="s">
        <v>1801</v>
      </c>
      <c r="C325" s="2" t="s">
        <v>423</v>
      </c>
      <c r="D325" s="2" t="s">
        <v>2</v>
      </c>
      <c r="E325" s="2">
        <v>53</v>
      </c>
      <c r="F325" s="2">
        <v>14</v>
      </c>
      <c r="G325" s="2">
        <v>2</v>
      </c>
      <c r="H325" s="2">
        <v>350000</v>
      </c>
      <c r="I325" s="2">
        <v>75</v>
      </c>
      <c r="J325" s="2" t="s">
        <v>1671</v>
      </c>
      <c r="K325" s="2">
        <v>63</v>
      </c>
      <c r="L325" s="2">
        <v>20</v>
      </c>
      <c r="M325" s="2">
        <v>12</v>
      </c>
      <c r="N325" s="2">
        <v>6</v>
      </c>
      <c r="O325" s="2">
        <v>20</v>
      </c>
      <c r="P325" s="2">
        <v>5</v>
      </c>
      <c r="Q325" s="2" t="s">
        <v>1802</v>
      </c>
      <c r="R325" s="2" t="s">
        <v>1803</v>
      </c>
      <c r="S325" s="4">
        <v>44837</v>
      </c>
    </row>
    <row r="326" spans="1:19" ht="12.5" x14ac:dyDescent="0.25">
      <c r="A326" s="14" t="str">
        <f>HYPERLINK("https://gerandofalcoes.my.salesforce.com/0014X00002VKCtOQAX", "0014X00002VKCtOQAX")</f>
        <v>0014X00002VKCtOQAX</v>
      </c>
      <c r="B326" s="2" t="s">
        <v>1986</v>
      </c>
      <c r="C326" s="2" t="s">
        <v>423</v>
      </c>
      <c r="D326" s="2" t="s">
        <v>2</v>
      </c>
      <c r="E326" s="2">
        <v>39</v>
      </c>
      <c r="F326" s="2">
        <v>0</v>
      </c>
      <c r="G326" s="2">
        <v>2</v>
      </c>
      <c r="H326" s="2">
        <v>4046</v>
      </c>
      <c r="I326" s="2">
        <v>240</v>
      </c>
      <c r="J326" s="2" t="s">
        <v>1779</v>
      </c>
      <c r="K326" s="2">
        <v>38</v>
      </c>
      <c r="L326" s="2">
        <v>15</v>
      </c>
      <c r="M326" s="2">
        <v>0</v>
      </c>
      <c r="N326" s="2">
        <v>6</v>
      </c>
      <c r="O326" s="2">
        <v>5</v>
      </c>
      <c r="P326" s="2">
        <v>12</v>
      </c>
      <c r="Q326" s="2" t="s">
        <v>1987</v>
      </c>
      <c r="R326" s="2" t="s">
        <v>1988</v>
      </c>
      <c r="S326" s="4">
        <v>44837</v>
      </c>
    </row>
    <row r="327" spans="1:19" ht="12.5" x14ac:dyDescent="0.25">
      <c r="A327" s="14" t="str">
        <f>HYPERLINK("https://gerandofalcoes.my.salesforce.com/0014X00002VKCqeQAH", "0014X00002VKCqeQAH")</f>
        <v>0014X00002VKCqeQAH</v>
      </c>
      <c r="B327" s="2" t="s">
        <v>2338</v>
      </c>
      <c r="C327" s="2" t="s">
        <v>423</v>
      </c>
      <c r="D327" s="2" t="s">
        <v>2</v>
      </c>
      <c r="E327" s="2">
        <v>27.33</v>
      </c>
      <c r="F327" s="2">
        <v>0</v>
      </c>
      <c r="G327" s="2">
        <v>0</v>
      </c>
      <c r="H327" s="2">
        <v>0</v>
      </c>
      <c r="I327" s="2">
        <v>120</v>
      </c>
      <c r="J327" s="2" t="s">
        <v>1779</v>
      </c>
      <c r="K327" s="2">
        <v>25</v>
      </c>
      <c r="L327" s="2">
        <v>15</v>
      </c>
      <c r="M327" s="2">
        <v>0</v>
      </c>
      <c r="N327" s="2">
        <v>0</v>
      </c>
      <c r="O327" s="2">
        <v>0</v>
      </c>
      <c r="P327" s="2">
        <v>10</v>
      </c>
      <c r="Q327" s="2" t="s">
        <v>2339</v>
      </c>
      <c r="R327" s="2" t="s">
        <v>2339</v>
      </c>
      <c r="S327" s="4">
        <v>44837</v>
      </c>
    </row>
    <row r="328" spans="1:19" ht="12.5" x14ac:dyDescent="0.25">
      <c r="A328" s="14" t="str">
        <f>HYPERLINK("https://gerandofalcoes.my.salesforce.com/0014X00002VKCtWQAX", "0014X00002VKCtWQAX")</f>
        <v>0014X00002VKCtWQAX</v>
      </c>
      <c r="B328" s="2" t="s">
        <v>7164</v>
      </c>
      <c r="C328" s="2" t="s">
        <v>423</v>
      </c>
      <c r="D328" s="2" t="s">
        <v>2</v>
      </c>
      <c r="E328" s="2">
        <v>41</v>
      </c>
      <c r="F328" s="2">
        <v>0</v>
      </c>
      <c r="G328" s="2">
        <v>0</v>
      </c>
      <c r="H328" s="2">
        <v>1000</v>
      </c>
      <c r="I328" s="2">
        <v>150</v>
      </c>
      <c r="J328" s="2" t="s">
        <v>1779</v>
      </c>
      <c r="K328" s="2">
        <v>32</v>
      </c>
      <c r="L328" s="2">
        <v>15</v>
      </c>
      <c r="M328" s="2">
        <v>0</v>
      </c>
      <c r="N328" s="2">
        <v>0</v>
      </c>
      <c r="O328" s="2">
        <v>5</v>
      </c>
      <c r="P328" s="2">
        <v>12</v>
      </c>
      <c r="Q328" s="2" t="s">
        <v>2652</v>
      </c>
      <c r="R328" s="2" t="s">
        <v>2653</v>
      </c>
      <c r="S328" s="4">
        <v>44837</v>
      </c>
    </row>
    <row r="329" spans="1:19" ht="12.5" x14ac:dyDescent="0.25">
      <c r="A329" s="14" t="str">
        <f>HYPERLINK("https://gerandofalcoes.my.salesforce.com/0014X00002VKCqsQAH", "0014X00002VKCqsQAH")</f>
        <v>0014X00002VKCqsQAH</v>
      </c>
      <c r="B329" s="2" t="s">
        <v>2700</v>
      </c>
      <c r="C329" s="2" t="s">
        <v>423</v>
      </c>
      <c r="D329" s="2" t="s">
        <v>2</v>
      </c>
      <c r="E329" s="2">
        <v>33</v>
      </c>
      <c r="F329" s="2">
        <v>8</v>
      </c>
      <c r="G329" s="2">
        <v>2</v>
      </c>
      <c r="H329" s="2">
        <v>47000</v>
      </c>
      <c r="I329" s="2">
        <v>100</v>
      </c>
      <c r="J329" s="2" t="s">
        <v>1671</v>
      </c>
      <c r="K329" s="2">
        <v>51</v>
      </c>
      <c r="L329" s="2">
        <v>15</v>
      </c>
      <c r="M329" s="2">
        <v>10</v>
      </c>
      <c r="N329" s="2">
        <v>6</v>
      </c>
      <c r="O329" s="2">
        <v>10</v>
      </c>
      <c r="P329" s="2">
        <v>10</v>
      </c>
      <c r="Q329" s="2" t="s">
        <v>2701</v>
      </c>
      <c r="R329" s="2" t="s">
        <v>2702</v>
      </c>
      <c r="S329" s="4">
        <v>44837</v>
      </c>
    </row>
    <row r="330" spans="1:19" ht="12.5" x14ac:dyDescent="0.25">
      <c r="A330" s="14" t="str">
        <f>HYPERLINK("https://gerandofalcoes.my.salesforce.com/0014X00002VKCqLQAX", "0014X00002VKCqLQAX")</f>
        <v>0014X00002VKCqLQAX</v>
      </c>
      <c r="B330" s="2" t="s">
        <v>1871</v>
      </c>
      <c r="C330" s="2" t="s">
        <v>423</v>
      </c>
      <c r="D330" s="2" t="s">
        <v>2</v>
      </c>
      <c r="E330" s="2">
        <v>79</v>
      </c>
      <c r="F330" s="2">
        <v>462</v>
      </c>
      <c r="G330" s="2">
        <v>2</v>
      </c>
      <c r="H330" s="2">
        <v>9114662</v>
      </c>
      <c r="I330" s="2">
        <v>365</v>
      </c>
      <c r="J330" s="2" t="s">
        <v>1654</v>
      </c>
      <c r="K330" s="2">
        <v>86</v>
      </c>
      <c r="L330" s="2">
        <v>25</v>
      </c>
      <c r="M330" s="2">
        <v>15</v>
      </c>
      <c r="N330" s="2">
        <v>6</v>
      </c>
      <c r="O330" s="2">
        <v>25</v>
      </c>
      <c r="P330" s="2">
        <v>15</v>
      </c>
      <c r="Q330" s="2" t="s">
        <v>1872</v>
      </c>
      <c r="R330" s="2" t="s">
        <v>1873</v>
      </c>
      <c r="S330" s="4">
        <v>44837</v>
      </c>
    </row>
    <row r="331" spans="1:19" ht="12.5" x14ac:dyDescent="0.25">
      <c r="A331" s="14" t="str">
        <f>HYPERLINK("https://gerandofalcoes.my.salesforce.com/0014X00002VKCuDQAX", "0014X00002VKCuDQAX")</f>
        <v>0014X00002VKCuDQAX</v>
      </c>
      <c r="B331" s="2" t="s">
        <v>2900</v>
      </c>
      <c r="C331" s="2" t="s">
        <v>1684</v>
      </c>
      <c r="D331" s="2" t="s">
        <v>2</v>
      </c>
      <c r="E331" s="2">
        <v>22</v>
      </c>
      <c r="F331" s="2">
        <v>0</v>
      </c>
      <c r="G331" s="2">
        <v>1</v>
      </c>
      <c r="H331" s="2">
        <v>20000</v>
      </c>
      <c r="I331" s="2">
        <v>30</v>
      </c>
      <c r="J331" s="2" t="s">
        <v>1779</v>
      </c>
      <c r="K331" s="2">
        <v>24</v>
      </c>
      <c r="L331" s="2">
        <v>10</v>
      </c>
      <c r="M331" s="2">
        <v>0</v>
      </c>
      <c r="N331" s="2">
        <v>4</v>
      </c>
      <c r="O331" s="2">
        <v>5</v>
      </c>
      <c r="P331" s="2">
        <v>5</v>
      </c>
      <c r="Q331" s="2" t="s">
        <v>2901</v>
      </c>
      <c r="R331" s="2" t="s">
        <v>2901</v>
      </c>
      <c r="S331" s="4">
        <v>44837</v>
      </c>
    </row>
    <row r="332" spans="1:19" ht="12.5" x14ac:dyDescent="0.25">
      <c r="A332" s="14" t="str">
        <f>HYPERLINK("https://gerandofalcoes.my.salesforce.com/0014X00002VKCrpQAH", "0014X00002VKCrpQAH")</f>
        <v>0014X00002VKCrpQAH</v>
      </c>
      <c r="B332" s="2" t="s">
        <v>2887</v>
      </c>
      <c r="C332" s="2" t="s">
        <v>1800</v>
      </c>
      <c r="D332" s="2" t="s">
        <v>2</v>
      </c>
      <c r="E332" s="2">
        <v>9</v>
      </c>
      <c r="F332" s="2">
        <v>0</v>
      </c>
      <c r="G332" s="2">
        <v>4</v>
      </c>
      <c r="H332" s="2">
        <v>2700</v>
      </c>
      <c r="I332" s="2">
        <v>80</v>
      </c>
      <c r="J332" s="2" t="s">
        <v>1779</v>
      </c>
      <c r="K332" s="2">
        <v>35</v>
      </c>
      <c r="L332" s="2">
        <v>10</v>
      </c>
      <c r="M332" s="2">
        <v>0</v>
      </c>
      <c r="N332" s="2">
        <v>10</v>
      </c>
      <c r="O332" s="2">
        <v>5</v>
      </c>
      <c r="P332" s="2">
        <v>10</v>
      </c>
      <c r="Q332" s="2" t="s">
        <v>2888</v>
      </c>
      <c r="R332" s="2" t="s">
        <v>2889</v>
      </c>
      <c r="S332" s="4">
        <v>44837</v>
      </c>
    </row>
    <row r="333" spans="1:19" ht="12.5" x14ac:dyDescent="0.25">
      <c r="A333" s="14" t="str">
        <f>HYPERLINK("https://gerandofalcoes.my.salesforce.com/0014P00003AN2FzQAL", "0014P00003AN2FzQAL")</f>
        <v>0014P00003AN2FzQAL</v>
      </c>
      <c r="B333" s="2" t="s">
        <v>2127</v>
      </c>
      <c r="C333" s="2" t="s">
        <v>423</v>
      </c>
      <c r="D333" s="2" t="s">
        <v>2</v>
      </c>
      <c r="E333" s="2">
        <v>87</v>
      </c>
      <c r="F333" s="2">
        <v>5</v>
      </c>
      <c r="G333" s="2">
        <v>5</v>
      </c>
      <c r="H333" s="2">
        <v>304000</v>
      </c>
      <c r="I333" s="2">
        <v>180</v>
      </c>
      <c r="J333" s="2" t="s">
        <v>1650</v>
      </c>
      <c r="K333" s="2">
        <v>72</v>
      </c>
      <c r="L333" s="2">
        <v>25</v>
      </c>
      <c r="M333" s="2">
        <v>5</v>
      </c>
      <c r="N333" s="2">
        <v>10</v>
      </c>
      <c r="O333" s="2">
        <v>20</v>
      </c>
      <c r="P333" s="2">
        <v>12</v>
      </c>
      <c r="Q333" s="2" t="s">
        <v>652</v>
      </c>
      <c r="R333" s="2" t="s">
        <v>652</v>
      </c>
      <c r="S333" s="4">
        <v>44837</v>
      </c>
    </row>
    <row r="334" spans="1:19" ht="12.5" x14ac:dyDescent="0.25">
      <c r="A334" s="14" t="str">
        <f>HYPERLINK("https://gerandofalcoes.my.salesforce.com/0014P00003AN2G0QAL", "0014P00003AN2G0QAL")</f>
        <v>0014P00003AN2G0QAL</v>
      </c>
      <c r="B334" s="2" t="s">
        <v>146</v>
      </c>
      <c r="C334" s="2" t="s">
        <v>423</v>
      </c>
      <c r="D334" s="2" t="s">
        <v>27</v>
      </c>
      <c r="E334" s="2">
        <v>83</v>
      </c>
      <c r="F334" s="2">
        <v>7</v>
      </c>
      <c r="G334" s="2">
        <v>3</v>
      </c>
      <c r="H334" s="2">
        <v>31263.49</v>
      </c>
      <c r="I334" s="2">
        <v>71</v>
      </c>
      <c r="J334" s="2" t="s">
        <v>1671</v>
      </c>
      <c r="K334" s="2">
        <v>58</v>
      </c>
      <c r="L334" s="2">
        <v>25</v>
      </c>
      <c r="M334" s="2">
        <v>10</v>
      </c>
      <c r="N334" s="2">
        <v>8</v>
      </c>
      <c r="O334" s="2">
        <v>10</v>
      </c>
      <c r="P334" s="2">
        <v>5</v>
      </c>
      <c r="Q334" s="2" t="s">
        <v>1699</v>
      </c>
      <c r="R334" s="2" t="s">
        <v>1699</v>
      </c>
      <c r="S334" s="4">
        <v>44837</v>
      </c>
    </row>
    <row r="335" spans="1:19" ht="12.5" x14ac:dyDescent="0.25">
      <c r="A335" s="14" t="str">
        <f>HYPERLINK("https://gerandofalcoes.my.salesforce.com/0014P00003AN2G1QAL", "0014P00003AN2G1QAL")</f>
        <v>0014P00003AN2G1QAL</v>
      </c>
      <c r="B335" s="2" t="s">
        <v>1744</v>
      </c>
      <c r="C335" s="2" t="s">
        <v>423</v>
      </c>
      <c r="D335" s="2" t="s">
        <v>2</v>
      </c>
      <c r="E335" s="2">
        <v>86</v>
      </c>
      <c r="F335" s="2">
        <v>10</v>
      </c>
      <c r="G335" s="2">
        <v>2</v>
      </c>
      <c r="H335" s="2">
        <v>1545600</v>
      </c>
      <c r="I335" s="2">
        <v>123</v>
      </c>
      <c r="J335" s="2" t="s">
        <v>1650</v>
      </c>
      <c r="K335" s="2">
        <v>76</v>
      </c>
      <c r="L335" s="2">
        <v>25</v>
      </c>
      <c r="M335" s="2">
        <v>10</v>
      </c>
      <c r="N335" s="2">
        <v>6</v>
      </c>
      <c r="O335" s="2">
        <v>25</v>
      </c>
      <c r="P335" s="2">
        <v>10</v>
      </c>
      <c r="Q335" s="2" t="s">
        <v>839</v>
      </c>
      <c r="R335" s="2" t="s">
        <v>839</v>
      </c>
      <c r="S335" s="4">
        <v>44837</v>
      </c>
    </row>
    <row r="336" spans="1:19" ht="12.5" x14ac:dyDescent="0.25">
      <c r="A336" s="14" t="str">
        <f>HYPERLINK("https://gerandofalcoes.my.salesforce.com/0014P00003AN2G2QAL", "0014P00003AN2G2QAL")</f>
        <v>0014P00003AN2G2QAL</v>
      </c>
      <c r="B336" s="2" t="s">
        <v>2150</v>
      </c>
      <c r="C336" s="2" t="s">
        <v>423</v>
      </c>
      <c r="D336" s="2" t="s">
        <v>2</v>
      </c>
      <c r="E336" s="2"/>
      <c r="F336" s="2">
        <v>10</v>
      </c>
      <c r="G336" s="2">
        <v>1</v>
      </c>
      <c r="H336" s="2">
        <v>30485954</v>
      </c>
      <c r="I336" s="2">
        <v>200</v>
      </c>
      <c r="J336" s="2" t="s">
        <v>1671</v>
      </c>
      <c r="K336" s="2">
        <v>51</v>
      </c>
      <c r="L336" s="2">
        <v>0</v>
      </c>
      <c r="M336" s="2">
        <v>10</v>
      </c>
      <c r="N336" s="2">
        <v>4</v>
      </c>
      <c r="O336" s="2">
        <v>25</v>
      </c>
      <c r="P336" s="2">
        <v>12</v>
      </c>
      <c r="Q336" s="2" t="s">
        <v>2151</v>
      </c>
      <c r="R336" s="2" t="s">
        <v>2151</v>
      </c>
      <c r="S336" s="4">
        <v>44837</v>
      </c>
    </row>
    <row r="337" spans="1:19" ht="12.5" x14ac:dyDescent="0.25">
      <c r="A337" s="14" t="str">
        <f>HYPERLINK("https://gerandofalcoes.my.salesforce.com/0014P00003AN2G3QAL", "0014P00003AN2G3QAL")</f>
        <v>0014P00003AN2G3QAL</v>
      </c>
      <c r="B337" s="2" t="s">
        <v>1677</v>
      </c>
      <c r="C337" s="2" t="s">
        <v>423</v>
      </c>
      <c r="D337" s="2" t="s">
        <v>27</v>
      </c>
      <c r="E337" s="2">
        <v>89</v>
      </c>
      <c r="F337" s="2">
        <v>9</v>
      </c>
      <c r="G337" s="2">
        <v>3</v>
      </c>
      <c r="H337" s="2">
        <v>46396.77</v>
      </c>
      <c r="I337" s="2">
        <v>188</v>
      </c>
      <c r="J337" s="2" t="s">
        <v>1650</v>
      </c>
      <c r="K337" s="2">
        <v>65</v>
      </c>
      <c r="L337" s="2">
        <v>25</v>
      </c>
      <c r="M337" s="2">
        <v>10</v>
      </c>
      <c r="N337" s="2">
        <v>8</v>
      </c>
      <c r="O337" s="2">
        <v>10</v>
      </c>
      <c r="P337" s="2">
        <v>12</v>
      </c>
      <c r="Q337" s="2" t="s">
        <v>153</v>
      </c>
      <c r="R337" s="2" t="s">
        <v>153</v>
      </c>
      <c r="S337" s="4">
        <v>44837</v>
      </c>
    </row>
    <row r="338" spans="1:19" ht="12.5" x14ac:dyDescent="0.25">
      <c r="A338" s="14" t="str">
        <f>HYPERLINK("https://gerandofalcoes.my.salesforce.com/0014P00003AN2G4QAL", "0014P00003AN2G4QAL")</f>
        <v>0014P00003AN2G4QAL</v>
      </c>
      <c r="B338" s="2" t="s">
        <v>1747</v>
      </c>
      <c r="C338" s="2" t="s">
        <v>423</v>
      </c>
      <c r="D338" s="2" t="s">
        <v>27</v>
      </c>
      <c r="E338" s="2">
        <v>56</v>
      </c>
      <c r="F338" s="2">
        <v>0</v>
      </c>
      <c r="G338" s="2">
        <v>2</v>
      </c>
      <c r="H338" s="2">
        <v>37000</v>
      </c>
      <c r="I338" s="2">
        <v>180</v>
      </c>
      <c r="J338" s="2" t="s">
        <v>1671</v>
      </c>
      <c r="K338" s="2">
        <v>48</v>
      </c>
      <c r="L338" s="2">
        <v>20</v>
      </c>
      <c r="M338" s="2">
        <v>0</v>
      </c>
      <c r="N338" s="2">
        <v>6</v>
      </c>
      <c r="O338" s="2">
        <v>10</v>
      </c>
      <c r="P338" s="2">
        <v>12</v>
      </c>
      <c r="Q338" s="2" t="s">
        <v>925</v>
      </c>
      <c r="R338" s="2" t="s">
        <v>925</v>
      </c>
      <c r="S338" s="4">
        <v>44837</v>
      </c>
    </row>
    <row r="339" spans="1:19" ht="12.5" x14ac:dyDescent="0.25">
      <c r="A339" s="14" t="str">
        <f>HYPERLINK("https://gerandofalcoes.my.salesforce.com/0014P00003AN2G5QAL", "0014P00003AN2G5QAL")</f>
        <v>0014P00003AN2G5QAL</v>
      </c>
      <c r="B339" s="2" t="s">
        <v>1712</v>
      </c>
      <c r="C339" s="2" t="s">
        <v>423</v>
      </c>
      <c r="D339" s="2" t="s">
        <v>27</v>
      </c>
      <c r="E339" s="2">
        <v>78</v>
      </c>
      <c r="F339" s="2">
        <v>19</v>
      </c>
      <c r="G339" s="2">
        <v>3</v>
      </c>
      <c r="H339" s="2">
        <v>1912288.57</v>
      </c>
      <c r="I339" s="2">
        <v>193</v>
      </c>
      <c r="J339" s="2" t="s">
        <v>1654</v>
      </c>
      <c r="K339" s="2">
        <v>82</v>
      </c>
      <c r="L339" s="2">
        <v>25</v>
      </c>
      <c r="M339" s="2">
        <v>12</v>
      </c>
      <c r="N339" s="2">
        <v>8</v>
      </c>
      <c r="O339" s="2">
        <v>25</v>
      </c>
      <c r="P339" s="2">
        <v>12</v>
      </c>
      <c r="Q339" s="2" t="s">
        <v>156</v>
      </c>
      <c r="R339" s="2" t="s">
        <v>156</v>
      </c>
      <c r="S339" s="4">
        <v>44837</v>
      </c>
    </row>
    <row r="340" spans="1:19" ht="12.5" x14ac:dyDescent="0.25">
      <c r="A340" s="14" t="str">
        <f>HYPERLINK("https://gerandofalcoes.my.salesforce.com/0014P00003AN2G6QAL", "0014P00003AN2G6QAL")</f>
        <v>0014P00003AN2G6QAL</v>
      </c>
      <c r="B340" s="2" t="s">
        <v>1704</v>
      </c>
      <c r="C340" s="2" t="s">
        <v>423</v>
      </c>
      <c r="D340" s="2" t="s">
        <v>27</v>
      </c>
      <c r="E340" s="2">
        <v>82</v>
      </c>
      <c r="F340" s="2">
        <v>11</v>
      </c>
      <c r="G340" s="2">
        <v>3</v>
      </c>
      <c r="H340" s="2">
        <v>62859.59</v>
      </c>
      <c r="I340" s="2">
        <v>282</v>
      </c>
      <c r="J340" s="2" t="s">
        <v>1650</v>
      </c>
      <c r="K340" s="2">
        <v>67</v>
      </c>
      <c r="L340" s="2">
        <v>25</v>
      </c>
      <c r="M340" s="2">
        <v>12</v>
      </c>
      <c r="N340" s="2">
        <v>8</v>
      </c>
      <c r="O340" s="2">
        <v>10</v>
      </c>
      <c r="P340" s="2">
        <v>12</v>
      </c>
      <c r="Q340" s="2" t="s">
        <v>157</v>
      </c>
      <c r="R340" s="2" t="s">
        <v>157</v>
      </c>
      <c r="S340" s="4">
        <v>44837</v>
      </c>
    </row>
    <row r="341" spans="1:19" ht="12.5" x14ac:dyDescent="0.25">
      <c r="A341" s="14" t="str">
        <f>HYPERLINK("https://gerandofalcoes.my.salesforce.com/0014P00003AN2FyQAL", "0014P00003AN2FyQAL")</f>
        <v>0014P00003AN2FyQAL</v>
      </c>
      <c r="B341" s="2" t="s">
        <v>2876</v>
      </c>
      <c r="C341" s="2" t="s">
        <v>423</v>
      </c>
      <c r="D341" s="2" t="s">
        <v>2</v>
      </c>
      <c r="E341" s="2">
        <v>6</v>
      </c>
      <c r="F341" s="2">
        <v>0</v>
      </c>
      <c r="G341" s="2">
        <v>3</v>
      </c>
      <c r="H341" s="2">
        <v>90000</v>
      </c>
      <c r="I341" s="2">
        <v>200</v>
      </c>
      <c r="J341" s="2" t="s">
        <v>1671</v>
      </c>
      <c r="K341" s="2">
        <v>40</v>
      </c>
      <c r="L341" s="2">
        <v>10</v>
      </c>
      <c r="M341" s="2">
        <v>0</v>
      </c>
      <c r="N341" s="2">
        <v>8</v>
      </c>
      <c r="O341" s="2">
        <v>10</v>
      </c>
      <c r="P341" s="2">
        <v>12</v>
      </c>
      <c r="Q341" s="2" t="s">
        <v>2877</v>
      </c>
      <c r="R341" s="2" t="s">
        <v>2877</v>
      </c>
      <c r="S341" s="4">
        <v>44837</v>
      </c>
    </row>
    <row r="342" spans="1:19" ht="12.5" x14ac:dyDescent="0.25">
      <c r="A342" s="14" t="str">
        <f>HYPERLINK("https://gerandofalcoes.my.salesforce.com/0014P00003AN2G7QAL", "0014P00003AN2G7QAL")</f>
        <v>0014P00003AN2G7QAL</v>
      </c>
      <c r="B342" s="2" t="s">
        <v>1740</v>
      </c>
      <c r="C342" s="2" t="s">
        <v>423</v>
      </c>
      <c r="D342" s="2" t="s">
        <v>2</v>
      </c>
      <c r="E342" s="2">
        <v>78</v>
      </c>
      <c r="F342" s="2">
        <v>3</v>
      </c>
      <c r="G342" s="2">
        <v>4</v>
      </c>
      <c r="H342" s="2">
        <v>140000</v>
      </c>
      <c r="I342" s="2">
        <v>3</v>
      </c>
      <c r="J342" s="2" t="s">
        <v>1671</v>
      </c>
      <c r="K342" s="2">
        <v>60</v>
      </c>
      <c r="L342" s="2">
        <v>25</v>
      </c>
      <c r="M342" s="2">
        <v>5</v>
      </c>
      <c r="N342" s="2">
        <v>10</v>
      </c>
      <c r="O342" s="2">
        <v>15</v>
      </c>
      <c r="P342" s="2">
        <v>5</v>
      </c>
      <c r="Q342" s="2" t="s">
        <v>945</v>
      </c>
      <c r="R342" s="2" t="s">
        <v>945</v>
      </c>
      <c r="S342" s="4">
        <v>44837</v>
      </c>
    </row>
    <row r="343" spans="1:19" ht="12.5" x14ac:dyDescent="0.25">
      <c r="A343" s="14" t="str">
        <f>HYPERLINK("https://gerandofalcoes.my.salesforce.com/0014P00003AN2G8QAL", "0014P00003AN2G8QAL")</f>
        <v>0014P00003AN2G8QAL</v>
      </c>
      <c r="B343" s="2" t="s">
        <v>1897</v>
      </c>
      <c r="C343" s="2" t="s">
        <v>423</v>
      </c>
      <c r="D343" s="2" t="s">
        <v>2</v>
      </c>
      <c r="E343" s="2">
        <v>68</v>
      </c>
      <c r="F343" s="2">
        <v>2</v>
      </c>
      <c r="G343" s="2">
        <v>5</v>
      </c>
      <c r="H343" s="2">
        <v>455000</v>
      </c>
      <c r="I343" s="2">
        <v>545</v>
      </c>
      <c r="J343" s="2" t="s">
        <v>1650</v>
      </c>
      <c r="K343" s="2">
        <v>75</v>
      </c>
      <c r="L343" s="2">
        <v>20</v>
      </c>
      <c r="M343" s="2">
        <v>5</v>
      </c>
      <c r="N343" s="2">
        <v>10</v>
      </c>
      <c r="O343" s="2">
        <v>20</v>
      </c>
      <c r="P343" s="2">
        <v>20</v>
      </c>
      <c r="Q343" s="2" t="s">
        <v>1898</v>
      </c>
      <c r="R343" s="2" t="s">
        <v>1898</v>
      </c>
      <c r="S343" s="4">
        <v>44837</v>
      </c>
    </row>
    <row r="344" spans="1:19" ht="12.5" x14ac:dyDescent="0.25">
      <c r="A344" s="14" t="str">
        <f>HYPERLINK("https://gerandofalcoes.my.salesforce.com/0014P00003AN2G9QAL", "0014P00003AN2G9QAL")</f>
        <v>0014P00003AN2G9QAL</v>
      </c>
      <c r="B344" s="2" t="s">
        <v>1670</v>
      </c>
      <c r="C344" s="2" t="s">
        <v>423</v>
      </c>
      <c r="D344" s="2" t="s">
        <v>27</v>
      </c>
      <c r="E344" s="2">
        <v>78.59</v>
      </c>
      <c r="F344" s="2">
        <v>7</v>
      </c>
      <c r="G344" s="2">
        <v>2</v>
      </c>
      <c r="H344" s="2">
        <v>5950</v>
      </c>
      <c r="I344" s="2">
        <v>210</v>
      </c>
      <c r="J344" s="2" t="s">
        <v>1671</v>
      </c>
      <c r="K344" s="2">
        <v>58</v>
      </c>
      <c r="L344" s="2">
        <v>25</v>
      </c>
      <c r="M344" s="2">
        <v>10</v>
      </c>
      <c r="N344" s="2">
        <v>6</v>
      </c>
      <c r="O344" s="2">
        <v>5</v>
      </c>
      <c r="P344" s="2">
        <v>12</v>
      </c>
      <c r="Q344" s="2" t="s">
        <v>961</v>
      </c>
      <c r="R344" s="2" t="s">
        <v>961</v>
      </c>
      <c r="S344" s="4">
        <v>44837</v>
      </c>
    </row>
    <row r="345" spans="1:19" ht="12.5" x14ac:dyDescent="0.25">
      <c r="A345" s="14" t="str">
        <f>HYPERLINK("https://gerandofalcoes.my.salesforce.com/0014P00003AN2GAQA1", "0014P00003AN2GAQA1")</f>
        <v>0014P00003AN2GAQA1</v>
      </c>
      <c r="B345" s="2" t="s">
        <v>2981</v>
      </c>
      <c r="C345" s="2" t="s">
        <v>1684</v>
      </c>
      <c r="D345" s="2" t="s">
        <v>2</v>
      </c>
      <c r="E345" s="2"/>
      <c r="F345" s="2">
        <v>1</v>
      </c>
      <c r="G345" s="2">
        <v>0</v>
      </c>
      <c r="H345" s="2">
        <v>0</v>
      </c>
      <c r="I345" s="2">
        <v>1200</v>
      </c>
      <c r="J345" s="2" t="s">
        <v>1779</v>
      </c>
      <c r="K345" s="2">
        <v>25</v>
      </c>
      <c r="L345" s="2">
        <v>0</v>
      </c>
      <c r="M345" s="2">
        <v>5</v>
      </c>
      <c r="N345" s="2">
        <v>0</v>
      </c>
      <c r="O345" s="2">
        <v>0</v>
      </c>
      <c r="P345" s="2">
        <v>20</v>
      </c>
      <c r="Q345" s="2" t="s">
        <v>7165</v>
      </c>
      <c r="R345" s="2" t="s">
        <v>7165</v>
      </c>
      <c r="S345" s="4">
        <v>44837</v>
      </c>
    </row>
    <row r="346" spans="1:19" ht="12.5" x14ac:dyDescent="0.25">
      <c r="A346" s="14" t="str">
        <f>HYPERLINK("https://gerandofalcoes.my.salesforce.com/0014P00003AN2GBQA1", "0014P00003AN2GBQA1")</f>
        <v>0014P00003AN2GBQA1</v>
      </c>
      <c r="B346" s="2" t="s">
        <v>2228</v>
      </c>
      <c r="C346" s="2" t="s">
        <v>423</v>
      </c>
      <c r="D346" s="2" t="s">
        <v>2</v>
      </c>
      <c r="E346" s="2">
        <v>48</v>
      </c>
      <c r="F346" s="2">
        <v>20</v>
      </c>
      <c r="G346" s="2">
        <v>2</v>
      </c>
      <c r="H346" s="2">
        <v>80000000</v>
      </c>
      <c r="I346" s="2">
        <v>60</v>
      </c>
      <c r="J346" s="2" t="s">
        <v>1671</v>
      </c>
      <c r="K346" s="2">
        <v>63</v>
      </c>
      <c r="L346" s="2">
        <v>15</v>
      </c>
      <c r="M346" s="2">
        <v>12</v>
      </c>
      <c r="N346" s="2">
        <v>6</v>
      </c>
      <c r="O346" s="2">
        <v>25</v>
      </c>
      <c r="P346" s="2">
        <v>5</v>
      </c>
      <c r="Q346" s="2" t="s">
        <v>2229</v>
      </c>
      <c r="R346" s="2" t="s">
        <v>2229</v>
      </c>
      <c r="S346" s="4">
        <v>44837</v>
      </c>
    </row>
    <row r="347" spans="1:19" ht="12.5" x14ac:dyDescent="0.25">
      <c r="A347" s="14" t="str">
        <f>HYPERLINK("https://gerandofalcoes.my.salesforce.com/0014P00003AN2GCQA1", "0014P00003AN2GCQA1")</f>
        <v>0014P00003AN2GCQA1</v>
      </c>
      <c r="B347" s="2" t="s">
        <v>1832</v>
      </c>
      <c r="C347" s="2" t="s">
        <v>423</v>
      </c>
      <c r="D347" s="2" t="s">
        <v>2</v>
      </c>
      <c r="E347" s="2">
        <v>65</v>
      </c>
      <c r="F347" s="2">
        <v>2</v>
      </c>
      <c r="G347" s="2">
        <v>4</v>
      </c>
      <c r="H347" s="2">
        <v>234550</v>
      </c>
      <c r="I347" s="2">
        <v>187</v>
      </c>
      <c r="J347" s="2" t="s">
        <v>1671</v>
      </c>
      <c r="K347" s="2">
        <v>62</v>
      </c>
      <c r="L347" s="2">
        <v>20</v>
      </c>
      <c r="M347" s="2">
        <v>5</v>
      </c>
      <c r="N347" s="2">
        <v>10</v>
      </c>
      <c r="O347" s="2">
        <v>15</v>
      </c>
      <c r="P347" s="2">
        <v>12</v>
      </c>
      <c r="Q347" s="2" t="s">
        <v>978</v>
      </c>
      <c r="R347" s="2" t="s">
        <v>978</v>
      </c>
      <c r="S347" s="4">
        <v>44837</v>
      </c>
    </row>
    <row r="348" spans="1:19" ht="12.5" x14ac:dyDescent="0.25">
      <c r="A348" s="14" t="str">
        <f>HYPERLINK("https://gerandofalcoes.my.salesforce.com/0014P00003AN2GDQA1", "0014P00003AN2GDQA1")</f>
        <v>0014P00003AN2GDQA1</v>
      </c>
      <c r="B348" s="2" t="s">
        <v>1707</v>
      </c>
      <c r="C348" s="2" t="s">
        <v>423</v>
      </c>
      <c r="D348" s="2" t="s">
        <v>27</v>
      </c>
      <c r="E348" s="2">
        <v>73.2</v>
      </c>
      <c r="F348" s="2">
        <v>5</v>
      </c>
      <c r="G348" s="2">
        <v>2</v>
      </c>
      <c r="H348" s="2">
        <v>77000</v>
      </c>
      <c r="I348" s="2">
        <v>157</v>
      </c>
      <c r="J348" s="2" t="s">
        <v>1671</v>
      </c>
      <c r="K348" s="2">
        <v>53</v>
      </c>
      <c r="L348" s="2">
        <v>20</v>
      </c>
      <c r="M348" s="2">
        <v>5</v>
      </c>
      <c r="N348" s="2">
        <v>6</v>
      </c>
      <c r="O348" s="2">
        <v>10</v>
      </c>
      <c r="P348" s="2">
        <v>12</v>
      </c>
      <c r="Q348" s="2" t="s">
        <v>987</v>
      </c>
      <c r="R348" s="2" t="s">
        <v>987</v>
      </c>
      <c r="S348" s="4">
        <v>44837</v>
      </c>
    </row>
    <row r="349" spans="1:19" ht="12.5" x14ac:dyDescent="0.25">
      <c r="A349" s="14" t="str">
        <f>HYPERLINK("https://gerandofalcoes.my.salesforce.com/0014P00003AN2GFQA1", "0014P00003AN2GFQA1")</f>
        <v>0014P00003AN2GFQA1</v>
      </c>
      <c r="B349" s="2" t="s">
        <v>2980</v>
      </c>
      <c r="C349" s="2" t="s">
        <v>423</v>
      </c>
      <c r="D349" s="2" t="s">
        <v>2</v>
      </c>
      <c r="E349" s="2"/>
      <c r="F349" s="2">
        <v>23</v>
      </c>
      <c r="G349" s="2">
        <v>4</v>
      </c>
      <c r="H349" s="2">
        <v>531000</v>
      </c>
      <c r="I349" s="2">
        <v>15185</v>
      </c>
      <c r="J349" s="2" t="s">
        <v>1671</v>
      </c>
      <c r="K349" s="2">
        <v>62</v>
      </c>
      <c r="L349" s="2">
        <v>0</v>
      </c>
      <c r="M349" s="2">
        <v>12</v>
      </c>
      <c r="N349" s="2">
        <v>10</v>
      </c>
      <c r="O349" s="2">
        <v>20</v>
      </c>
      <c r="P349" s="2">
        <v>20</v>
      </c>
      <c r="Q349" s="2" t="s">
        <v>995</v>
      </c>
      <c r="R349" s="2" t="s">
        <v>995</v>
      </c>
      <c r="S349" s="4">
        <v>44837</v>
      </c>
    </row>
    <row r="350" spans="1:19" ht="12.5" x14ac:dyDescent="0.25">
      <c r="A350" s="14" t="str">
        <f>HYPERLINK("https://gerandofalcoes.my.salesforce.com/0014P00003AN2GGQA1", "0014P00003AN2GGQA1")</f>
        <v>0014P00003AN2GGQA1</v>
      </c>
      <c r="B350" s="2" t="s">
        <v>2711</v>
      </c>
      <c r="C350" s="2" t="s">
        <v>423</v>
      </c>
      <c r="D350" s="2" t="s">
        <v>2</v>
      </c>
      <c r="E350" s="2">
        <v>39</v>
      </c>
      <c r="F350" s="2">
        <v>5</v>
      </c>
      <c r="G350" s="2">
        <v>1</v>
      </c>
      <c r="H350" s="2">
        <v>0</v>
      </c>
      <c r="I350" s="2">
        <v>25</v>
      </c>
      <c r="J350" s="2" t="s">
        <v>1779</v>
      </c>
      <c r="K350" s="2">
        <v>29</v>
      </c>
      <c r="L350" s="2">
        <v>15</v>
      </c>
      <c r="M350" s="2">
        <v>5</v>
      </c>
      <c r="N350" s="2">
        <v>4</v>
      </c>
      <c r="O350" s="2">
        <v>0</v>
      </c>
      <c r="P350" s="2">
        <v>5</v>
      </c>
      <c r="Q350" s="2" t="s">
        <v>2712</v>
      </c>
      <c r="R350" s="2" t="s">
        <v>2712</v>
      </c>
      <c r="S350" s="4">
        <v>44837</v>
      </c>
    </row>
    <row r="351" spans="1:19" ht="12.5" x14ac:dyDescent="0.25">
      <c r="A351" s="14" t="str">
        <f>HYPERLINK("https://gerandofalcoes.my.salesforce.com/0014X00002VKCpLQAX", "0014X00002VKCpLQAX")</f>
        <v>0014X00002VKCpLQAX</v>
      </c>
      <c r="B351" s="2" t="s">
        <v>2335</v>
      </c>
      <c r="C351" s="2" t="s">
        <v>1800</v>
      </c>
      <c r="D351" s="2" t="s">
        <v>2</v>
      </c>
      <c r="E351" s="2">
        <v>10</v>
      </c>
      <c r="F351" s="2">
        <v>0</v>
      </c>
      <c r="G351" s="2">
        <v>3</v>
      </c>
      <c r="H351" s="2">
        <v>5000</v>
      </c>
      <c r="I351" s="2">
        <v>0</v>
      </c>
      <c r="J351" s="2" t="s">
        <v>1779</v>
      </c>
      <c r="K351" s="2">
        <v>23</v>
      </c>
      <c r="L351" s="2">
        <v>10</v>
      </c>
      <c r="M351" s="2">
        <v>0</v>
      </c>
      <c r="N351" s="2">
        <v>8</v>
      </c>
      <c r="O351" s="2">
        <v>5</v>
      </c>
      <c r="P351" s="2">
        <v>0</v>
      </c>
      <c r="Q351" s="2" t="s">
        <v>2863</v>
      </c>
      <c r="R351" s="2" t="s">
        <v>2864</v>
      </c>
      <c r="S351" s="4">
        <v>44837</v>
      </c>
    </row>
    <row r="352" spans="1:19" ht="12.5" x14ac:dyDescent="0.25">
      <c r="A352" s="14" t="str">
        <f>HYPERLINK("https://gerandofalcoes.my.salesforce.com/0014X00002VKCpWQAX", "0014X00002VKCpWQAX")</f>
        <v>0014X00002VKCpWQAX</v>
      </c>
      <c r="B352" s="2" t="s">
        <v>2844</v>
      </c>
      <c r="C352" s="2" t="s">
        <v>423</v>
      </c>
      <c r="D352" s="2" t="s">
        <v>2</v>
      </c>
      <c r="E352" s="2">
        <v>10.64</v>
      </c>
      <c r="F352" s="2">
        <v>5</v>
      </c>
      <c r="G352" s="2">
        <v>1</v>
      </c>
      <c r="H352" s="2">
        <v>35619</v>
      </c>
      <c r="I352" s="2">
        <v>500</v>
      </c>
      <c r="J352" s="2" t="s">
        <v>1671</v>
      </c>
      <c r="K352" s="2">
        <v>49</v>
      </c>
      <c r="L352" s="2">
        <v>10</v>
      </c>
      <c r="M352" s="2">
        <v>5</v>
      </c>
      <c r="N352" s="2">
        <v>4</v>
      </c>
      <c r="O352" s="2">
        <v>10</v>
      </c>
      <c r="P352" s="2">
        <v>20</v>
      </c>
      <c r="Q352" s="2" t="s">
        <v>2845</v>
      </c>
      <c r="R352" s="2" t="s">
        <v>2846</v>
      </c>
      <c r="S352" s="4">
        <v>44837</v>
      </c>
    </row>
    <row r="353" spans="1:19" ht="12.5" x14ac:dyDescent="0.25">
      <c r="A353" s="14" t="str">
        <f>HYPERLINK("https://gerandofalcoes.my.salesforce.com/0014X00002VKCqMQAX", "0014X00002VKCqMQAX")</f>
        <v>0014X00002VKCqMQAX</v>
      </c>
      <c r="B353" s="2" t="s">
        <v>2737</v>
      </c>
      <c r="C353" s="2" t="s">
        <v>423</v>
      </c>
      <c r="D353" s="2" t="s">
        <v>2</v>
      </c>
      <c r="E353" s="2">
        <v>51</v>
      </c>
      <c r="F353" s="2">
        <v>2</v>
      </c>
      <c r="G353" s="2">
        <v>3</v>
      </c>
      <c r="H353" s="2">
        <v>5010380</v>
      </c>
      <c r="I353" s="2">
        <v>86</v>
      </c>
      <c r="J353" s="2" t="s">
        <v>1650</v>
      </c>
      <c r="K353" s="2">
        <v>68</v>
      </c>
      <c r="L353" s="2">
        <v>20</v>
      </c>
      <c r="M353" s="2">
        <v>5</v>
      </c>
      <c r="N353" s="2">
        <v>8</v>
      </c>
      <c r="O353" s="2">
        <v>25</v>
      </c>
      <c r="P353" s="2">
        <v>10</v>
      </c>
      <c r="Q353" s="2" t="s">
        <v>2738</v>
      </c>
      <c r="R353" s="2" t="s">
        <v>2739</v>
      </c>
      <c r="S353" s="4">
        <v>44837</v>
      </c>
    </row>
    <row r="354" spans="1:19" ht="12.5" x14ac:dyDescent="0.25">
      <c r="A354" s="14" t="str">
        <f>HYPERLINK("https://gerandofalcoes.my.salesforce.com/0014X00002VKCpKQAX", "0014X00002VKCpKQAX")</f>
        <v>0014X00002VKCpKQAX</v>
      </c>
      <c r="B354" s="2" t="s">
        <v>2225</v>
      </c>
      <c r="C354" s="2" t="s">
        <v>423</v>
      </c>
      <c r="D354" s="2" t="s">
        <v>2</v>
      </c>
      <c r="E354" s="2">
        <v>42</v>
      </c>
      <c r="F354" s="2">
        <v>0</v>
      </c>
      <c r="G354" s="2">
        <v>0</v>
      </c>
      <c r="H354" s="2">
        <v>0</v>
      </c>
      <c r="I354" s="2">
        <v>78</v>
      </c>
      <c r="J354" s="2" t="s">
        <v>1779</v>
      </c>
      <c r="K354" s="2">
        <v>20</v>
      </c>
      <c r="L354" s="2">
        <v>15</v>
      </c>
      <c r="M354" s="2">
        <v>0</v>
      </c>
      <c r="N354" s="2">
        <v>0</v>
      </c>
      <c r="O354" s="2">
        <v>0</v>
      </c>
      <c r="P354" s="2">
        <v>5</v>
      </c>
      <c r="Q354" s="2" t="s">
        <v>2233</v>
      </c>
      <c r="R354" s="2" t="s">
        <v>2234</v>
      </c>
      <c r="S354" s="4">
        <v>44837</v>
      </c>
    </row>
    <row r="355" spans="1:19" ht="12.5" x14ac:dyDescent="0.25">
      <c r="A355" s="14" t="str">
        <f>HYPERLINK("https://gerandofalcoes.my.salesforce.com/0014X00002VKCqtQAH", "0014X00002VKCqtQAH")</f>
        <v>0014X00002VKCqtQAH</v>
      </c>
      <c r="B355" s="2" t="s">
        <v>2543</v>
      </c>
      <c r="C355" s="2" t="s">
        <v>423</v>
      </c>
      <c r="D355" s="2" t="s">
        <v>2</v>
      </c>
      <c r="E355" s="2">
        <v>47</v>
      </c>
      <c r="F355" s="2">
        <v>0</v>
      </c>
      <c r="G355" s="2">
        <v>1</v>
      </c>
      <c r="H355" s="2">
        <v>5</v>
      </c>
      <c r="I355" s="2">
        <v>105</v>
      </c>
      <c r="J355" s="2" t="s">
        <v>1779</v>
      </c>
      <c r="K355" s="2">
        <v>34</v>
      </c>
      <c r="L355" s="2">
        <v>15</v>
      </c>
      <c r="M355" s="2">
        <v>0</v>
      </c>
      <c r="N355" s="2">
        <v>4</v>
      </c>
      <c r="O355" s="2">
        <v>5</v>
      </c>
      <c r="P355" s="2">
        <v>10</v>
      </c>
      <c r="Q355" s="2" t="s">
        <v>2544</v>
      </c>
      <c r="R355" s="2" t="s">
        <v>2545</v>
      </c>
      <c r="S355" s="4">
        <v>44837</v>
      </c>
    </row>
    <row r="356" spans="1:19" ht="12.5" x14ac:dyDescent="0.25">
      <c r="A356" s="14" t="str">
        <f>HYPERLINK("https://gerandofalcoes.my.salesforce.com/0014X00002VKCrAQAX", "0014X00002VKCrAQAX")</f>
        <v>0014X00002VKCrAQAX</v>
      </c>
      <c r="B356" s="2" t="s">
        <v>1795</v>
      </c>
      <c r="C356" s="2" t="s">
        <v>423</v>
      </c>
      <c r="D356" s="2" t="s">
        <v>2</v>
      </c>
      <c r="E356" s="2">
        <v>53.7</v>
      </c>
      <c r="F356" s="2">
        <v>2</v>
      </c>
      <c r="G356" s="2">
        <v>4</v>
      </c>
      <c r="H356" s="2">
        <v>87500</v>
      </c>
      <c r="I356" s="2">
        <v>19</v>
      </c>
      <c r="J356" s="2" t="s">
        <v>1671</v>
      </c>
      <c r="K356" s="2">
        <v>50</v>
      </c>
      <c r="L356" s="2">
        <v>20</v>
      </c>
      <c r="M356" s="2">
        <v>5</v>
      </c>
      <c r="N356" s="2">
        <v>10</v>
      </c>
      <c r="O356" s="2">
        <v>10</v>
      </c>
      <c r="P356" s="2">
        <v>5</v>
      </c>
      <c r="Q356" s="2" t="s">
        <v>1796</v>
      </c>
      <c r="R356" s="2" t="s">
        <v>1797</v>
      </c>
      <c r="S356" s="4">
        <v>44837</v>
      </c>
    </row>
    <row r="357" spans="1:19" ht="12.5" x14ac:dyDescent="0.25">
      <c r="A357" s="14" t="str">
        <f>HYPERLINK("https://gerandofalcoes.my.salesforce.com/0014X00002VKCpCQAX", "0014X00002VKCpCQAX")</f>
        <v>0014X00002VKCpCQAX</v>
      </c>
      <c r="B357" s="2" t="s">
        <v>2182</v>
      </c>
      <c r="C357" s="2" t="s">
        <v>423</v>
      </c>
      <c r="D357" s="2" t="s">
        <v>2</v>
      </c>
      <c r="E357" s="2">
        <v>33</v>
      </c>
      <c r="F357" s="2">
        <v>0</v>
      </c>
      <c r="G357" s="2">
        <v>0</v>
      </c>
      <c r="H357" s="2">
        <v>0</v>
      </c>
      <c r="I357" s="2">
        <v>30</v>
      </c>
      <c r="J357" s="2" t="s">
        <v>1779</v>
      </c>
      <c r="K357" s="2">
        <v>20</v>
      </c>
      <c r="L357" s="2">
        <v>15</v>
      </c>
      <c r="M357" s="2">
        <v>0</v>
      </c>
      <c r="N357" s="2">
        <v>0</v>
      </c>
      <c r="O357" s="2">
        <v>0</v>
      </c>
      <c r="P357" s="2">
        <v>5</v>
      </c>
      <c r="Q357" s="2" t="s">
        <v>2183</v>
      </c>
      <c r="R357" s="2" t="s">
        <v>2184</v>
      </c>
      <c r="S357" s="4">
        <v>44837</v>
      </c>
    </row>
    <row r="358" spans="1:19" ht="12.5" x14ac:dyDescent="0.25">
      <c r="A358" s="14" t="str">
        <f>HYPERLINK("https://gerandofalcoes.my.salesforce.com/0014X00002VKCpRQAX", "0014X00002VKCpRQAX")</f>
        <v>0014X00002VKCpRQAX</v>
      </c>
      <c r="B358" s="2" t="s">
        <v>2332</v>
      </c>
      <c r="C358" s="2" t="s">
        <v>1800</v>
      </c>
      <c r="D358" s="2" t="s">
        <v>2</v>
      </c>
      <c r="E358" s="2">
        <v>28</v>
      </c>
      <c r="F358" s="2">
        <v>0</v>
      </c>
      <c r="G358" s="2">
        <v>2</v>
      </c>
      <c r="H358" s="2">
        <v>32500000</v>
      </c>
      <c r="I358" s="2">
        <v>0</v>
      </c>
      <c r="J358" s="2" t="s">
        <v>1671</v>
      </c>
      <c r="K358" s="2">
        <v>46</v>
      </c>
      <c r="L358" s="2">
        <v>15</v>
      </c>
      <c r="M358" s="2">
        <v>0</v>
      </c>
      <c r="N358" s="2">
        <v>6</v>
      </c>
      <c r="O358" s="2">
        <v>25</v>
      </c>
      <c r="P358" s="2">
        <v>0</v>
      </c>
      <c r="Q358" s="2" t="s">
        <v>2333</v>
      </c>
      <c r="R358" s="2" t="s">
        <v>2334</v>
      </c>
      <c r="S358" s="4">
        <v>44837</v>
      </c>
    </row>
    <row r="359" spans="1:19" ht="12.5" x14ac:dyDescent="0.25">
      <c r="A359" s="14" t="str">
        <f>HYPERLINK("https://gerandofalcoes.my.salesforce.com/0014X00002VKCrVQAX", "0014X00002VKCrVQAX")</f>
        <v>0014X00002VKCrVQAX</v>
      </c>
      <c r="B359" s="2" t="s">
        <v>2973</v>
      </c>
      <c r="C359" s="2" t="s">
        <v>423</v>
      </c>
      <c r="D359" s="2" t="s">
        <v>2</v>
      </c>
      <c r="E359" s="2">
        <v>20</v>
      </c>
      <c r="F359" s="2">
        <v>0</v>
      </c>
      <c r="G359" s="2">
        <v>0</v>
      </c>
      <c r="H359" s="2">
        <v>0</v>
      </c>
      <c r="I359" s="2">
        <v>0</v>
      </c>
      <c r="J359" s="2" t="s">
        <v>1779</v>
      </c>
      <c r="K359" s="2">
        <v>10</v>
      </c>
      <c r="L359" s="2">
        <v>10</v>
      </c>
      <c r="M359" s="2">
        <v>0</v>
      </c>
      <c r="N359" s="2">
        <v>0</v>
      </c>
      <c r="O359" s="2">
        <v>0</v>
      </c>
      <c r="P359" s="2">
        <v>0</v>
      </c>
      <c r="Q359" s="2" t="s">
        <v>2974</v>
      </c>
      <c r="R359" s="2" t="s">
        <v>2975</v>
      </c>
      <c r="S359" s="4">
        <v>44837</v>
      </c>
    </row>
    <row r="360" spans="1:19" ht="12.5" x14ac:dyDescent="0.25">
      <c r="A360" s="14" t="str">
        <f>HYPERLINK("https://gerandofalcoes.my.salesforce.com/0014X00002VKCrcQAH", "0014X00002VKCrcQAH")</f>
        <v>0014X00002VKCrcQAH</v>
      </c>
      <c r="B360" s="2" t="s">
        <v>2609</v>
      </c>
      <c r="C360" s="2" t="s">
        <v>423</v>
      </c>
      <c r="D360" s="2" t="s">
        <v>2</v>
      </c>
      <c r="E360" s="2">
        <v>19</v>
      </c>
      <c r="F360" s="2">
        <v>0</v>
      </c>
      <c r="G360" s="2">
        <v>3</v>
      </c>
      <c r="H360" s="2">
        <v>2000</v>
      </c>
      <c r="I360" s="2">
        <v>0</v>
      </c>
      <c r="J360" s="2" t="s">
        <v>1779</v>
      </c>
      <c r="K360" s="2">
        <v>23</v>
      </c>
      <c r="L360" s="2">
        <v>10</v>
      </c>
      <c r="M360" s="2">
        <v>0</v>
      </c>
      <c r="N360" s="2">
        <v>8</v>
      </c>
      <c r="O360" s="2">
        <v>5</v>
      </c>
      <c r="P360" s="2">
        <v>0</v>
      </c>
      <c r="Q360" s="2" t="s">
        <v>2610</v>
      </c>
      <c r="R360" s="2" t="s">
        <v>2611</v>
      </c>
      <c r="S360" s="4">
        <v>44837</v>
      </c>
    </row>
    <row r="361" spans="1:19" ht="12.5" x14ac:dyDescent="0.25">
      <c r="A361" s="14" t="str">
        <f>HYPERLINK("https://gerandofalcoes.my.salesforce.com/0014X00002VKCr9QAH", "0014X00002VKCr9QAH")</f>
        <v>0014X00002VKCr9QAH</v>
      </c>
      <c r="B361" s="2" t="s">
        <v>2357</v>
      </c>
      <c r="C361" s="2" t="s">
        <v>423</v>
      </c>
      <c r="D361" s="2" t="s">
        <v>2</v>
      </c>
      <c r="E361" s="2">
        <v>27</v>
      </c>
      <c r="F361" s="2">
        <v>0</v>
      </c>
      <c r="G361" s="2">
        <v>2</v>
      </c>
      <c r="H361" s="2">
        <v>0</v>
      </c>
      <c r="I361" s="2">
        <v>30</v>
      </c>
      <c r="J361" s="2" t="s">
        <v>1779</v>
      </c>
      <c r="K361" s="2">
        <v>26</v>
      </c>
      <c r="L361" s="2">
        <v>15</v>
      </c>
      <c r="M361" s="2">
        <v>0</v>
      </c>
      <c r="N361" s="2">
        <v>6</v>
      </c>
      <c r="O361" s="2">
        <v>0</v>
      </c>
      <c r="P361" s="2">
        <v>5</v>
      </c>
      <c r="Q361" s="2" t="s">
        <v>2358</v>
      </c>
      <c r="R361" s="2" t="s">
        <v>2358</v>
      </c>
      <c r="S361" s="4">
        <v>44837</v>
      </c>
    </row>
    <row r="362" spans="1:19" ht="12.5" x14ac:dyDescent="0.25">
      <c r="A362" s="14" t="str">
        <f>HYPERLINK("https://gerandofalcoes.my.salesforce.com/0014X00002VKCu5QAH", "0014X00002VKCu5QAH")</f>
        <v>0014X00002VKCu5QAH</v>
      </c>
      <c r="B362" s="2" t="s">
        <v>2172</v>
      </c>
      <c r="C362" s="2" t="s">
        <v>423</v>
      </c>
      <c r="D362" s="2" t="s">
        <v>2</v>
      </c>
      <c r="E362" s="2">
        <v>33</v>
      </c>
      <c r="F362" s="2">
        <v>17</v>
      </c>
      <c r="G362" s="2">
        <v>1</v>
      </c>
      <c r="H362" s="2">
        <v>12000</v>
      </c>
      <c r="I362" s="2">
        <v>125</v>
      </c>
      <c r="J362" s="2" t="s">
        <v>1671</v>
      </c>
      <c r="K362" s="2">
        <v>46</v>
      </c>
      <c r="L362" s="2">
        <v>15</v>
      </c>
      <c r="M362" s="2">
        <v>12</v>
      </c>
      <c r="N362" s="2">
        <v>4</v>
      </c>
      <c r="O362" s="2">
        <v>5</v>
      </c>
      <c r="P362" s="2">
        <v>10</v>
      </c>
      <c r="Q362" s="2" t="s">
        <v>2173</v>
      </c>
      <c r="R362" s="2" t="s">
        <v>2174</v>
      </c>
      <c r="S362" s="4">
        <v>44837</v>
      </c>
    </row>
    <row r="363" spans="1:19" ht="12.5" x14ac:dyDescent="0.25">
      <c r="A363" s="14" t="str">
        <f>HYPERLINK("https://gerandofalcoes.my.salesforce.com/0014X00002VKCraQAH", "0014X00002VKCraQAH")</f>
        <v>0014X00002VKCraQAH</v>
      </c>
      <c r="B363" s="2" t="s">
        <v>2836</v>
      </c>
      <c r="C363" s="2" t="s">
        <v>423</v>
      </c>
      <c r="D363" s="2" t="s">
        <v>2</v>
      </c>
      <c r="E363" s="2">
        <v>35</v>
      </c>
      <c r="F363" s="2">
        <v>0</v>
      </c>
      <c r="G363" s="2">
        <v>1</v>
      </c>
      <c r="H363" s="2">
        <v>970224</v>
      </c>
      <c r="I363" s="2">
        <v>150</v>
      </c>
      <c r="J363" s="2" t="s">
        <v>1671</v>
      </c>
      <c r="K363" s="2">
        <v>56</v>
      </c>
      <c r="L363" s="2">
        <v>15</v>
      </c>
      <c r="M363" s="2">
        <v>0</v>
      </c>
      <c r="N363" s="2">
        <v>4</v>
      </c>
      <c r="O363" s="2">
        <v>25</v>
      </c>
      <c r="P363" s="2">
        <v>12</v>
      </c>
      <c r="Q363" s="2" t="s">
        <v>2837</v>
      </c>
      <c r="R363" s="2" t="s">
        <v>2838</v>
      </c>
      <c r="S363" s="4">
        <v>44837</v>
      </c>
    </row>
    <row r="364" spans="1:19" ht="12.5" x14ac:dyDescent="0.25">
      <c r="A364" s="14" t="str">
        <f>HYPERLINK("https://gerandofalcoes.my.salesforce.com/0014X00002VKCp7QAH", "0014X00002VKCp7QAH")</f>
        <v>0014X00002VKCp7QAH</v>
      </c>
      <c r="B364" s="2" t="s">
        <v>2043</v>
      </c>
      <c r="C364" s="2" t="s">
        <v>423</v>
      </c>
      <c r="D364" s="2" t="s">
        <v>2</v>
      </c>
      <c r="E364" s="2">
        <v>37</v>
      </c>
      <c r="F364" s="2">
        <v>4</v>
      </c>
      <c r="G364" s="2">
        <v>3</v>
      </c>
      <c r="H364" s="2">
        <v>96000</v>
      </c>
      <c r="I364" s="2">
        <v>70</v>
      </c>
      <c r="J364" s="2" t="s">
        <v>1671</v>
      </c>
      <c r="K364" s="2">
        <v>43</v>
      </c>
      <c r="L364" s="2">
        <v>15</v>
      </c>
      <c r="M364" s="2">
        <v>5</v>
      </c>
      <c r="N364" s="2">
        <v>8</v>
      </c>
      <c r="O364" s="2">
        <v>10</v>
      </c>
      <c r="P364" s="2">
        <v>5</v>
      </c>
      <c r="Q364" s="2" t="s">
        <v>2044</v>
      </c>
      <c r="R364" s="2" t="s">
        <v>2045</v>
      </c>
      <c r="S364" s="4">
        <v>44837</v>
      </c>
    </row>
    <row r="365" spans="1:19" ht="12.5" x14ac:dyDescent="0.25">
      <c r="A365" s="14" t="str">
        <f>HYPERLINK("https://gerandofalcoes.my.salesforce.com/0014X00002VKCrMQAX", "0014X00002VKCrMQAX")</f>
        <v>0014X00002VKCrMQAX</v>
      </c>
      <c r="B365" s="2" t="s">
        <v>2881</v>
      </c>
      <c r="C365" s="2" t="s">
        <v>423</v>
      </c>
      <c r="D365" s="2" t="s">
        <v>2</v>
      </c>
      <c r="E365" s="2">
        <v>9.0299999999999994</v>
      </c>
      <c r="F365" s="2">
        <v>0</v>
      </c>
      <c r="G365" s="2">
        <v>6</v>
      </c>
      <c r="H365" s="2">
        <v>3057</v>
      </c>
      <c r="I365" s="2">
        <v>3</v>
      </c>
      <c r="J365" s="2" t="s">
        <v>1779</v>
      </c>
      <c r="K365" s="2">
        <v>30</v>
      </c>
      <c r="L365" s="2">
        <v>10</v>
      </c>
      <c r="M365" s="2">
        <v>0</v>
      </c>
      <c r="N365" s="2">
        <v>10</v>
      </c>
      <c r="O365" s="2">
        <v>5</v>
      </c>
      <c r="P365" s="2">
        <v>5</v>
      </c>
      <c r="Q365" s="2" t="s">
        <v>2882</v>
      </c>
      <c r="R365" s="2" t="s">
        <v>2883</v>
      </c>
      <c r="S365" s="4">
        <v>44837</v>
      </c>
    </row>
    <row r="366" spans="1:19" ht="12.5" x14ac:dyDescent="0.25">
      <c r="A366" s="14" t="str">
        <f>HYPERLINK("https://gerandofalcoes.my.salesforce.com/0014X00002VKCqUQAX", "0014X00002VKCqUQAX")</f>
        <v>0014X00002VKCqUQAX</v>
      </c>
      <c r="B366" s="2" t="s">
        <v>2807</v>
      </c>
      <c r="C366" s="2" t="s">
        <v>1800</v>
      </c>
      <c r="D366" s="2" t="s">
        <v>2</v>
      </c>
      <c r="E366" s="2">
        <v>13</v>
      </c>
      <c r="F366" s="2">
        <v>0</v>
      </c>
      <c r="G366" s="2">
        <v>3</v>
      </c>
      <c r="H366" s="2">
        <v>10000</v>
      </c>
      <c r="I366" s="2">
        <v>0</v>
      </c>
      <c r="J366" s="2" t="s">
        <v>1779</v>
      </c>
      <c r="K366" s="2">
        <v>23</v>
      </c>
      <c r="L366" s="2">
        <v>10</v>
      </c>
      <c r="M366" s="2">
        <v>0</v>
      </c>
      <c r="N366" s="2">
        <v>8</v>
      </c>
      <c r="O366" s="2">
        <v>5</v>
      </c>
      <c r="P366" s="2">
        <v>0</v>
      </c>
      <c r="Q366" s="2" t="s">
        <v>2808</v>
      </c>
      <c r="R366" s="2" t="s">
        <v>2808</v>
      </c>
      <c r="S366" s="4">
        <v>44837</v>
      </c>
    </row>
    <row r="367" spans="1:19" ht="12.5" x14ac:dyDescent="0.25">
      <c r="A367" s="14" t="str">
        <f>HYPERLINK("https://gerandofalcoes.my.salesforce.com/0014X00002VKCrOQAX", "0014X00002VKCrOQAX")</f>
        <v>0014X00002VKCrOQAX</v>
      </c>
      <c r="B367" s="2" t="s">
        <v>2715</v>
      </c>
      <c r="C367" s="2" t="s">
        <v>1800</v>
      </c>
      <c r="D367" s="2" t="s">
        <v>2</v>
      </c>
      <c r="E367" s="2">
        <v>15</v>
      </c>
      <c r="F367" s="2">
        <v>0</v>
      </c>
      <c r="G367" s="2">
        <v>3</v>
      </c>
      <c r="H367" s="2">
        <v>15000</v>
      </c>
      <c r="I367" s="2">
        <v>255</v>
      </c>
      <c r="J367" s="2" t="s">
        <v>1779</v>
      </c>
      <c r="K367" s="2">
        <v>35</v>
      </c>
      <c r="L367" s="2">
        <v>10</v>
      </c>
      <c r="M367" s="2">
        <v>0</v>
      </c>
      <c r="N367" s="2">
        <v>8</v>
      </c>
      <c r="O367" s="2">
        <v>5</v>
      </c>
      <c r="P367" s="2">
        <v>12</v>
      </c>
      <c r="Q367" s="2" t="s">
        <v>2716</v>
      </c>
      <c r="R367" s="2" t="s">
        <v>2716</v>
      </c>
      <c r="S367" s="4">
        <v>44837</v>
      </c>
    </row>
    <row r="368" spans="1:19" ht="12.5" x14ac:dyDescent="0.25">
      <c r="A368" s="14" t="str">
        <f>HYPERLINK("https://gerandofalcoes.my.salesforce.com/0014X00002VKCqVQAX", "0014X00002VKCqVQAX")</f>
        <v>0014X00002VKCqVQAX</v>
      </c>
      <c r="B368" s="2" t="s">
        <v>2759</v>
      </c>
      <c r="C368" s="2" t="s">
        <v>423</v>
      </c>
      <c r="D368" s="2" t="s">
        <v>2</v>
      </c>
      <c r="E368" s="2">
        <v>14</v>
      </c>
      <c r="F368" s="2">
        <v>0</v>
      </c>
      <c r="G368" s="2">
        <v>15</v>
      </c>
      <c r="H368" s="2">
        <v>1850078</v>
      </c>
      <c r="I368" s="2">
        <v>20</v>
      </c>
      <c r="J368" s="2" t="s">
        <v>1671</v>
      </c>
      <c r="K368" s="2">
        <v>50</v>
      </c>
      <c r="L368" s="2">
        <v>10</v>
      </c>
      <c r="M368" s="2">
        <v>0</v>
      </c>
      <c r="N368" s="2">
        <v>10</v>
      </c>
      <c r="O368" s="2">
        <v>25</v>
      </c>
      <c r="P368" s="2">
        <v>5</v>
      </c>
      <c r="Q368" s="2" t="s">
        <v>2760</v>
      </c>
      <c r="R368" s="2" t="s">
        <v>2761</v>
      </c>
      <c r="S368" s="4">
        <v>44837</v>
      </c>
    </row>
    <row r="369" spans="1:19" ht="12.5" x14ac:dyDescent="0.25">
      <c r="A369" s="14" t="str">
        <f>HYPERLINK("https://gerandofalcoes.my.salesforce.com/0014X00002VKCtxQAH", "0014X00002VKCtxQAH")</f>
        <v>0014X00002VKCtxQAH</v>
      </c>
      <c r="B369" s="2" t="s">
        <v>1813</v>
      </c>
      <c r="C369" s="2" t="s">
        <v>423</v>
      </c>
      <c r="D369" s="2" t="s">
        <v>2</v>
      </c>
      <c r="E369" s="2">
        <v>52</v>
      </c>
      <c r="F369" s="2">
        <v>10</v>
      </c>
      <c r="G369" s="2">
        <v>3</v>
      </c>
      <c r="H369" s="2">
        <v>5000</v>
      </c>
      <c r="I369" s="2">
        <v>580</v>
      </c>
      <c r="J369" s="2" t="s">
        <v>1671</v>
      </c>
      <c r="K369" s="2">
        <v>63</v>
      </c>
      <c r="L369" s="2">
        <v>20</v>
      </c>
      <c r="M369" s="2">
        <v>10</v>
      </c>
      <c r="N369" s="2">
        <v>8</v>
      </c>
      <c r="O369" s="2">
        <v>5</v>
      </c>
      <c r="P369" s="2">
        <v>20</v>
      </c>
      <c r="Q369" s="2" t="s">
        <v>1814</v>
      </c>
      <c r="R369" s="2" t="s">
        <v>1815</v>
      </c>
      <c r="S369" s="4">
        <v>44837</v>
      </c>
    </row>
    <row r="370" spans="1:19" ht="12.5" x14ac:dyDescent="0.25">
      <c r="A370" s="14" t="str">
        <f>HYPERLINK("https://gerandofalcoes.my.salesforce.com/0014P00003SGWPZQA5", "0014P00003SGWPZQA5")</f>
        <v>0014P00003SGWPZQA5</v>
      </c>
      <c r="B370" s="2" t="s">
        <v>160</v>
      </c>
      <c r="C370" s="2" t="s">
        <v>423</v>
      </c>
      <c r="D370" s="2" t="s">
        <v>2</v>
      </c>
      <c r="E370" s="2">
        <v>44</v>
      </c>
      <c r="F370" s="2">
        <v>2</v>
      </c>
      <c r="G370" s="2">
        <v>3</v>
      </c>
      <c r="H370" s="2">
        <v>140000</v>
      </c>
      <c r="I370" s="2">
        <v>78</v>
      </c>
      <c r="J370" s="2" t="s">
        <v>1671</v>
      </c>
      <c r="K370" s="2">
        <v>48</v>
      </c>
      <c r="L370" s="2">
        <v>15</v>
      </c>
      <c r="M370" s="2">
        <v>5</v>
      </c>
      <c r="N370" s="2">
        <v>8</v>
      </c>
      <c r="O370" s="2">
        <v>15</v>
      </c>
      <c r="P370" s="2">
        <v>5</v>
      </c>
      <c r="Q370" s="2" t="s">
        <v>161</v>
      </c>
      <c r="R370" s="2" t="s">
        <v>1828</v>
      </c>
      <c r="S370" s="4">
        <v>44837</v>
      </c>
    </row>
    <row r="371" spans="1:19" ht="12.5" x14ac:dyDescent="0.25">
      <c r="A371" s="14" t="str">
        <f>HYPERLINK("https://gerandofalcoes.my.salesforce.com/0014P00003AN2GHQA1", "0014P00003AN2GHQA1")</f>
        <v>0014P00003AN2GHQA1</v>
      </c>
      <c r="B371" s="2" t="s">
        <v>2503</v>
      </c>
      <c r="C371" s="2" t="s">
        <v>423</v>
      </c>
      <c r="D371" s="2" t="s">
        <v>2</v>
      </c>
      <c r="E371" s="2">
        <v>63</v>
      </c>
      <c r="F371" s="2">
        <v>2</v>
      </c>
      <c r="G371" s="2">
        <v>3</v>
      </c>
      <c r="H371" s="2">
        <v>165000</v>
      </c>
      <c r="I371" s="2">
        <v>90</v>
      </c>
      <c r="J371" s="2" t="s">
        <v>1671</v>
      </c>
      <c r="K371" s="2">
        <v>58</v>
      </c>
      <c r="L371" s="2">
        <v>20</v>
      </c>
      <c r="M371" s="2">
        <v>5</v>
      </c>
      <c r="N371" s="2">
        <v>8</v>
      </c>
      <c r="O371" s="2">
        <v>15</v>
      </c>
      <c r="P371" s="2">
        <v>10</v>
      </c>
      <c r="Q371" s="2" t="s">
        <v>1010</v>
      </c>
      <c r="R371" s="2" t="s">
        <v>1010</v>
      </c>
      <c r="S371" s="4">
        <v>44837</v>
      </c>
    </row>
    <row r="372" spans="1:19" ht="12.5" x14ac:dyDescent="0.25">
      <c r="A372" s="14" t="str">
        <f>HYPERLINK("https://gerandofalcoes.my.salesforce.com/0014P00003SGWPWQA5", "0014P00003SGWPWQA5")</f>
        <v>0014P00003SGWPWQA5</v>
      </c>
      <c r="B372" s="2" t="s">
        <v>171</v>
      </c>
      <c r="C372" s="2" t="s">
        <v>423</v>
      </c>
      <c r="D372" s="2" t="s">
        <v>27</v>
      </c>
      <c r="E372" s="2">
        <v>89</v>
      </c>
      <c r="F372" s="2">
        <v>7</v>
      </c>
      <c r="G372" s="2">
        <v>4</v>
      </c>
      <c r="H372" s="2">
        <v>30000</v>
      </c>
      <c r="I372" s="2">
        <v>278</v>
      </c>
      <c r="J372" s="2" t="s">
        <v>1650</v>
      </c>
      <c r="K372" s="2">
        <v>67</v>
      </c>
      <c r="L372" s="2">
        <v>25</v>
      </c>
      <c r="M372" s="2">
        <v>10</v>
      </c>
      <c r="N372" s="2">
        <v>10</v>
      </c>
      <c r="O372" s="2">
        <v>10</v>
      </c>
      <c r="P372" s="2">
        <v>12</v>
      </c>
      <c r="Q372" s="2" t="s">
        <v>172</v>
      </c>
      <c r="R372" s="2" t="s">
        <v>172</v>
      </c>
      <c r="S372" s="4">
        <v>44837</v>
      </c>
    </row>
    <row r="373" spans="1:19" ht="12.5" x14ac:dyDescent="0.25">
      <c r="A373" s="14" t="str">
        <f>HYPERLINK("https://gerandofalcoes.my.salesforce.com/0014P00003SGWPYQA5", "0014P00003SGWPYQA5")</f>
        <v>0014P00003SGWPYQA5</v>
      </c>
      <c r="B373" s="2" t="s">
        <v>175</v>
      </c>
      <c r="C373" s="2" t="s">
        <v>423</v>
      </c>
      <c r="D373" s="2" t="s">
        <v>2</v>
      </c>
      <c r="E373" s="2">
        <v>50.15</v>
      </c>
      <c r="F373" s="2">
        <v>0</v>
      </c>
      <c r="G373" s="2">
        <v>2</v>
      </c>
      <c r="H373" s="2">
        <v>23420</v>
      </c>
      <c r="I373" s="2">
        <v>200</v>
      </c>
      <c r="J373" s="2" t="s">
        <v>1671</v>
      </c>
      <c r="K373" s="2">
        <v>43</v>
      </c>
      <c r="L373" s="2">
        <v>20</v>
      </c>
      <c r="M373" s="2">
        <v>0</v>
      </c>
      <c r="N373" s="2">
        <v>6</v>
      </c>
      <c r="O373" s="2">
        <v>5</v>
      </c>
      <c r="P373" s="2">
        <v>12</v>
      </c>
      <c r="Q373" s="2" t="s">
        <v>176</v>
      </c>
      <c r="R373" s="2" t="s">
        <v>176</v>
      </c>
      <c r="S373" s="4">
        <v>44837</v>
      </c>
    </row>
    <row r="374" spans="1:19" ht="12.5" x14ac:dyDescent="0.25">
      <c r="A374" s="14" t="str">
        <f>HYPERLINK("https://gerandofalcoes.my.salesforce.com/0014P00003SGWPaQAP", "0014P00003SGWPaQAP")</f>
        <v>0014P00003SGWPaQAP</v>
      </c>
      <c r="B374" s="2" t="s">
        <v>179</v>
      </c>
      <c r="C374" s="2" t="s">
        <v>423</v>
      </c>
      <c r="D374" s="2" t="s">
        <v>2</v>
      </c>
      <c r="E374" s="2">
        <v>37</v>
      </c>
      <c r="F374" s="2">
        <v>4</v>
      </c>
      <c r="G374" s="2">
        <v>3</v>
      </c>
      <c r="H374" s="2">
        <v>50000</v>
      </c>
      <c r="I374" s="2">
        <v>511</v>
      </c>
      <c r="J374" s="2" t="s">
        <v>1671</v>
      </c>
      <c r="K374" s="2">
        <v>58</v>
      </c>
      <c r="L374" s="2">
        <v>15</v>
      </c>
      <c r="M374" s="2">
        <v>5</v>
      </c>
      <c r="N374" s="2">
        <v>8</v>
      </c>
      <c r="O374" s="2">
        <v>10</v>
      </c>
      <c r="P374" s="2">
        <v>20</v>
      </c>
      <c r="Q374" s="2" t="s">
        <v>180</v>
      </c>
      <c r="R374" s="2" t="s">
        <v>2031</v>
      </c>
      <c r="S374" s="4">
        <v>44837</v>
      </c>
    </row>
    <row r="375" spans="1:19" ht="12.5" x14ac:dyDescent="0.25">
      <c r="A375" s="14" t="str">
        <f>HYPERLINK("https://gerandofalcoes.my.salesforce.com/0014P00003SGWPuQAP", "0014P00003SGWPuQAP")</f>
        <v>0014P00003SGWPuQAP</v>
      </c>
      <c r="B375" s="2" t="s">
        <v>1672</v>
      </c>
      <c r="C375" s="2" t="s">
        <v>423</v>
      </c>
      <c r="D375" s="2" t="s">
        <v>27</v>
      </c>
      <c r="E375" s="2">
        <v>86.4</v>
      </c>
      <c r="F375" s="2">
        <v>0</v>
      </c>
      <c r="G375" s="2">
        <v>4</v>
      </c>
      <c r="H375" s="2">
        <v>3000</v>
      </c>
      <c r="I375" s="2">
        <v>268</v>
      </c>
      <c r="J375" s="2" t="s">
        <v>1671</v>
      </c>
      <c r="K375" s="2">
        <v>52</v>
      </c>
      <c r="L375" s="2">
        <v>25</v>
      </c>
      <c r="M375" s="2">
        <v>0</v>
      </c>
      <c r="N375" s="2">
        <v>10</v>
      </c>
      <c r="O375" s="2">
        <v>5</v>
      </c>
      <c r="P375" s="2">
        <v>12</v>
      </c>
      <c r="Q375" s="2" t="s">
        <v>186</v>
      </c>
      <c r="R375" s="2" t="s">
        <v>1673</v>
      </c>
      <c r="S375" s="4">
        <v>44837</v>
      </c>
    </row>
    <row r="376" spans="1:19" ht="12.5" x14ac:dyDescent="0.25">
      <c r="A376" s="14" t="str">
        <f>HYPERLINK("https://gerandofalcoes.my.salesforce.com/0014P00003SGWPTQA5", "0014P00003SGWPTQA5")</f>
        <v>0014P00003SGWPTQA5</v>
      </c>
      <c r="B376" s="2" t="s">
        <v>376</v>
      </c>
      <c r="C376" s="2" t="s">
        <v>423</v>
      </c>
      <c r="D376" s="2" t="s">
        <v>2</v>
      </c>
      <c r="E376" s="2">
        <v>36.65</v>
      </c>
      <c r="F376" s="2">
        <v>0</v>
      </c>
      <c r="G376" s="2">
        <v>1</v>
      </c>
      <c r="H376" s="2">
        <v>6000</v>
      </c>
      <c r="I376" s="2">
        <v>104</v>
      </c>
      <c r="J376" s="2" t="s">
        <v>1779</v>
      </c>
      <c r="K376" s="2">
        <v>34</v>
      </c>
      <c r="L376" s="2">
        <v>15</v>
      </c>
      <c r="M376" s="2">
        <v>0</v>
      </c>
      <c r="N376" s="2">
        <v>4</v>
      </c>
      <c r="O376" s="2">
        <v>5</v>
      </c>
      <c r="P376" s="2">
        <v>10</v>
      </c>
      <c r="Q376" s="2" t="s">
        <v>377</v>
      </c>
      <c r="R376" s="2" t="s">
        <v>1586</v>
      </c>
      <c r="S376" s="4">
        <v>44837</v>
      </c>
    </row>
    <row r="377" spans="1:19" ht="12.5" x14ac:dyDescent="0.25">
      <c r="A377" s="14" t="str">
        <f>HYPERLINK("https://gerandofalcoes.my.salesforce.com/0014P00003SGWPUQA5", "0014P00003SGWPUQA5")</f>
        <v>0014P00003SGWPUQA5</v>
      </c>
      <c r="B377" s="2" t="s">
        <v>379</v>
      </c>
      <c r="C377" s="2" t="s">
        <v>423</v>
      </c>
      <c r="D377" s="2" t="s">
        <v>2</v>
      </c>
      <c r="E377" s="2">
        <v>58</v>
      </c>
      <c r="F377" s="2">
        <v>0</v>
      </c>
      <c r="G377" s="2">
        <v>3</v>
      </c>
      <c r="H377" s="2">
        <v>88255</v>
      </c>
      <c r="I377" s="2">
        <v>60</v>
      </c>
      <c r="J377" s="2" t="s">
        <v>1671</v>
      </c>
      <c r="K377" s="2">
        <v>43</v>
      </c>
      <c r="L377" s="2">
        <v>20</v>
      </c>
      <c r="M377" s="2">
        <v>0</v>
      </c>
      <c r="N377" s="2">
        <v>8</v>
      </c>
      <c r="O377" s="2">
        <v>10</v>
      </c>
      <c r="P377" s="2">
        <v>5</v>
      </c>
      <c r="Q377" s="2" t="s">
        <v>380</v>
      </c>
      <c r="R377" s="2" t="s">
        <v>1595</v>
      </c>
      <c r="S377" s="4">
        <v>44837</v>
      </c>
    </row>
    <row r="378" spans="1:19" ht="12.5" x14ac:dyDescent="0.25">
      <c r="A378" s="14" t="str">
        <f>HYPERLINK("https://gerandofalcoes.my.salesforce.com/0014P00003SGWPVQA5", "0014P00003SGWPVQA5")</f>
        <v>0014P00003SGWPVQA5</v>
      </c>
      <c r="B378" s="2" t="s">
        <v>2352</v>
      </c>
      <c r="C378" s="2" t="s">
        <v>1684</v>
      </c>
      <c r="D378" s="2" t="s">
        <v>2</v>
      </c>
      <c r="E378" s="2">
        <v>27</v>
      </c>
      <c r="F378" s="2">
        <v>0</v>
      </c>
      <c r="G378" s="2">
        <v>1</v>
      </c>
      <c r="H378" s="2">
        <v>2000</v>
      </c>
      <c r="I378" s="2">
        <v>70</v>
      </c>
      <c r="J378" s="2" t="s">
        <v>1779</v>
      </c>
      <c r="K378" s="2">
        <v>29</v>
      </c>
      <c r="L378" s="2">
        <v>15</v>
      </c>
      <c r="M378" s="2">
        <v>0</v>
      </c>
      <c r="N378" s="2">
        <v>4</v>
      </c>
      <c r="O378" s="2">
        <v>5</v>
      </c>
      <c r="P378" s="2">
        <v>5</v>
      </c>
      <c r="Q378" s="2" t="s">
        <v>381</v>
      </c>
      <c r="R378" s="2" t="s">
        <v>2353</v>
      </c>
      <c r="S378" s="4">
        <v>44837</v>
      </c>
    </row>
    <row r="379" spans="1:19" ht="12.5" x14ac:dyDescent="0.25">
      <c r="A379" s="14" t="str">
        <f>HYPERLINK("https://gerandofalcoes.my.salesforce.com/0014X00002QTry4QAD", "0014X00002QTry4QAD")</f>
        <v>0014X00002QTry4QAD</v>
      </c>
      <c r="B379" s="2" t="s">
        <v>1701</v>
      </c>
      <c r="C379" s="2" t="s">
        <v>423</v>
      </c>
      <c r="D379" s="2" t="s">
        <v>27</v>
      </c>
      <c r="E379" s="2">
        <v>76.38</v>
      </c>
      <c r="F379" s="2">
        <v>0</v>
      </c>
      <c r="G379" s="2">
        <v>3</v>
      </c>
      <c r="H379" s="2">
        <v>350</v>
      </c>
      <c r="I379" s="2">
        <v>40</v>
      </c>
      <c r="J379" s="2" t="s">
        <v>1671</v>
      </c>
      <c r="K379" s="2">
        <v>43</v>
      </c>
      <c r="L379" s="2">
        <v>25</v>
      </c>
      <c r="M379" s="2">
        <v>0</v>
      </c>
      <c r="N379" s="2">
        <v>8</v>
      </c>
      <c r="O379" s="2">
        <v>5</v>
      </c>
      <c r="P379" s="2">
        <v>5</v>
      </c>
      <c r="Q379" s="2" t="s">
        <v>1702</v>
      </c>
      <c r="R379" s="2" t="s">
        <v>1703</v>
      </c>
      <c r="S379" s="4">
        <v>44837</v>
      </c>
    </row>
    <row r="380" spans="1:19" ht="12.5" x14ac:dyDescent="0.25">
      <c r="A380" s="14" t="str">
        <f>HYPERLINK("https://gerandofalcoes.my.salesforce.com/0014X00002PUOY7QAP", "0014X00002PUOY7QAP")</f>
        <v>0014X00002PUOY7QAP</v>
      </c>
      <c r="B380" s="2" t="s">
        <v>2317</v>
      </c>
      <c r="C380" s="2" t="s">
        <v>423</v>
      </c>
      <c r="D380" s="2" t="s">
        <v>2</v>
      </c>
      <c r="E380" s="2">
        <v>28</v>
      </c>
      <c r="F380" s="2">
        <v>28</v>
      </c>
      <c r="G380" s="2">
        <v>3</v>
      </c>
      <c r="H380" s="2">
        <v>200000</v>
      </c>
      <c r="I380" s="2">
        <v>500</v>
      </c>
      <c r="J380" s="2" t="s">
        <v>1650</v>
      </c>
      <c r="K380" s="2">
        <v>70</v>
      </c>
      <c r="L380" s="2">
        <v>15</v>
      </c>
      <c r="M380" s="2">
        <v>12</v>
      </c>
      <c r="N380" s="2">
        <v>8</v>
      </c>
      <c r="O380" s="2">
        <v>15</v>
      </c>
      <c r="P380" s="2">
        <v>20</v>
      </c>
      <c r="Q380" s="2" t="s">
        <v>448</v>
      </c>
      <c r="R380" s="2" t="s">
        <v>448</v>
      </c>
      <c r="S380" s="4">
        <v>44837</v>
      </c>
    </row>
    <row r="381" spans="1:19" ht="12.5" x14ac:dyDescent="0.25">
      <c r="A381" s="14" t="str">
        <f>HYPERLINK("https://gerandofalcoes.my.salesforce.com/0014X00002PUOZAQA5", "0014X00002PUOZAQA5")</f>
        <v>0014X00002PUOZAQA5</v>
      </c>
      <c r="B381" s="2" t="s">
        <v>1717</v>
      </c>
      <c r="C381" s="2" t="s">
        <v>423</v>
      </c>
      <c r="D381" s="2" t="s">
        <v>2</v>
      </c>
      <c r="E381" s="2">
        <v>76.81</v>
      </c>
      <c r="F381" s="2">
        <v>0</v>
      </c>
      <c r="G381" s="2">
        <v>3</v>
      </c>
      <c r="H381" s="2">
        <v>286000</v>
      </c>
      <c r="I381" s="2">
        <v>127</v>
      </c>
      <c r="J381" s="2" t="s">
        <v>1671</v>
      </c>
      <c r="K381" s="2">
        <v>58</v>
      </c>
      <c r="L381" s="2">
        <v>25</v>
      </c>
      <c r="M381" s="2">
        <v>0</v>
      </c>
      <c r="N381" s="2">
        <v>8</v>
      </c>
      <c r="O381" s="2">
        <v>15</v>
      </c>
      <c r="P381" s="2">
        <v>10</v>
      </c>
      <c r="Q381" s="2" t="s">
        <v>1718</v>
      </c>
      <c r="R381" s="2" t="s">
        <v>1718</v>
      </c>
      <c r="S381" s="4">
        <v>44837</v>
      </c>
    </row>
    <row r="382" spans="1:19" ht="12.5" x14ac:dyDescent="0.25">
      <c r="A382" s="14" t="str">
        <f>HYPERLINK("https://gerandofalcoes.my.salesforce.com/0014P00003ESKdlQAH", "0014P00003ESKdlQAH")</f>
        <v>0014P00003ESKdlQAH</v>
      </c>
      <c r="B382" s="2" t="s">
        <v>1719</v>
      </c>
      <c r="C382" s="2" t="s">
        <v>423</v>
      </c>
      <c r="D382" s="2" t="s">
        <v>2</v>
      </c>
      <c r="E382" s="2">
        <v>76</v>
      </c>
      <c r="F382" s="2">
        <v>0</v>
      </c>
      <c r="G382" s="2">
        <v>3</v>
      </c>
      <c r="H382" s="2">
        <v>97514224</v>
      </c>
      <c r="I382" s="2">
        <v>500</v>
      </c>
      <c r="J382" s="2" t="s">
        <v>1650</v>
      </c>
      <c r="K382" s="2">
        <v>78</v>
      </c>
      <c r="L382" s="2">
        <v>25</v>
      </c>
      <c r="M382" s="2">
        <v>0</v>
      </c>
      <c r="N382" s="2">
        <v>8</v>
      </c>
      <c r="O382" s="2">
        <v>25</v>
      </c>
      <c r="P382" s="2">
        <v>20</v>
      </c>
      <c r="Q382" s="2" t="s">
        <v>898</v>
      </c>
      <c r="R382" s="2" t="s">
        <v>898</v>
      </c>
      <c r="S382" s="4">
        <v>44837</v>
      </c>
    </row>
    <row r="383" spans="1:19" ht="12.5" x14ac:dyDescent="0.25">
      <c r="A383" s="14" t="str">
        <f>HYPERLINK("https://gerandofalcoes.my.salesforce.com/0014P00003AN2FVQA1", "0014P00003AN2FVQA1")</f>
        <v>0014P00003AN2FVQA1</v>
      </c>
      <c r="B383" s="2" t="s">
        <v>1738</v>
      </c>
      <c r="C383" s="2" t="s">
        <v>423</v>
      </c>
      <c r="D383" s="2" t="s">
        <v>2</v>
      </c>
      <c r="E383" s="2">
        <v>70</v>
      </c>
      <c r="F383" s="2">
        <v>22</v>
      </c>
      <c r="G383" s="2">
        <v>3</v>
      </c>
      <c r="H383" s="2">
        <v>1385871</v>
      </c>
      <c r="I383" s="2">
        <v>700</v>
      </c>
      <c r="J383" s="2" t="s">
        <v>1654</v>
      </c>
      <c r="K383" s="2">
        <v>85</v>
      </c>
      <c r="L383" s="2">
        <v>20</v>
      </c>
      <c r="M383" s="2">
        <v>12</v>
      </c>
      <c r="N383" s="2">
        <v>8</v>
      </c>
      <c r="O383" s="2">
        <v>25</v>
      </c>
      <c r="P383" s="2">
        <v>20</v>
      </c>
      <c r="Q383" s="2" t="s">
        <v>632</v>
      </c>
      <c r="R383" s="2" t="s">
        <v>632</v>
      </c>
      <c r="S383" s="4">
        <v>44837</v>
      </c>
    </row>
    <row r="384" spans="1:19" ht="12.5" x14ac:dyDescent="0.25">
      <c r="A384" s="14" t="str">
        <f>HYPERLINK("https://gerandofalcoes.my.salesforce.com/0014P00003AN2FWQA1", "0014P00003AN2FWQA1")</f>
        <v>0014P00003AN2FWQA1</v>
      </c>
      <c r="B384" s="2" t="s">
        <v>2395</v>
      </c>
      <c r="C384" s="2" t="s">
        <v>423</v>
      </c>
      <c r="D384" s="2" t="s">
        <v>2</v>
      </c>
      <c r="E384" s="2">
        <v>43</v>
      </c>
      <c r="F384" s="2">
        <v>2</v>
      </c>
      <c r="G384" s="2">
        <v>1</v>
      </c>
      <c r="H384" s="2">
        <v>300000</v>
      </c>
      <c r="I384" s="2">
        <v>280</v>
      </c>
      <c r="J384" s="2" t="s">
        <v>1671</v>
      </c>
      <c r="K384" s="2">
        <v>56</v>
      </c>
      <c r="L384" s="2">
        <v>15</v>
      </c>
      <c r="M384" s="2">
        <v>5</v>
      </c>
      <c r="N384" s="2">
        <v>4</v>
      </c>
      <c r="O384" s="2">
        <v>20</v>
      </c>
      <c r="P384" s="2">
        <v>12</v>
      </c>
      <c r="Q384" s="2" t="s">
        <v>2396</v>
      </c>
      <c r="R384" s="2" t="s">
        <v>2396</v>
      </c>
      <c r="S384" s="4">
        <v>44837</v>
      </c>
    </row>
    <row r="385" spans="1:19" ht="12.5" x14ac:dyDescent="0.25">
      <c r="A385" s="14" t="str">
        <f>HYPERLINK("https://gerandofalcoes.my.salesforce.com/0014P00003AN2FXQA1", "0014P00003AN2FXQA1")</f>
        <v>0014P00003AN2FXQA1</v>
      </c>
      <c r="B385" s="2" t="s">
        <v>1799</v>
      </c>
      <c r="C385" s="2" t="s">
        <v>1800</v>
      </c>
      <c r="D385" s="2" t="s">
        <v>2</v>
      </c>
      <c r="E385" s="2">
        <v>53</v>
      </c>
      <c r="F385" s="2">
        <v>8</v>
      </c>
      <c r="G385" s="2">
        <v>3</v>
      </c>
      <c r="H385" s="2">
        <v>250000</v>
      </c>
      <c r="I385" s="2">
        <v>238</v>
      </c>
      <c r="J385" s="2" t="s">
        <v>1650</v>
      </c>
      <c r="K385" s="2">
        <v>65</v>
      </c>
      <c r="L385" s="2">
        <v>20</v>
      </c>
      <c r="M385" s="2">
        <v>10</v>
      </c>
      <c r="N385" s="2">
        <v>8</v>
      </c>
      <c r="O385" s="2">
        <v>15</v>
      </c>
      <c r="P385" s="2">
        <v>12</v>
      </c>
      <c r="Q385" s="2" t="s">
        <v>646</v>
      </c>
      <c r="R385" s="2" t="s">
        <v>646</v>
      </c>
      <c r="S385" s="4">
        <v>44837</v>
      </c>
    </row>
    <row r="386" spans="1:19" ht="12.5" x14ac:dyDescent="0.25">
      <c r="A386" s="14" t="str">
        <f>HYPERLINK("https://gerandofalcoes.my.salesforce.com/0014P00003AN2FYQA1", "0014P00003AN2FYQA1")</f>
        <v>0014P00003AN2FYQA1</v>
      </c>
      <c r="B386" s="2" t="s">
        <v>1874</v>
      </c>
      <c r="C386" s="2" t="s">
        <v>423</v>
      </c>
      <c r="D386" s="2" t="s">
        <v>2</v>
      </c>
      <c r="E386" s="2">
        <v>45</v>
      </c>
      <c r="F386" s="2">
        <v>4</v>
      </c>
      <c r="G386" s="2">
        <v>5</v>
      </c>
      <c r="H386" s="2">
        <v>100000</v>
      </c>
      <c r="I386" s="2">
        <v>50</v>
      </c>
      <c r="J386" s="2" t="s">
        <v>1671</v>
      </c>
      <c r="K386" s="2">
        <v>50</v>
      </c>
      <c r="L386" s="2">
        <v>15</v>
      </c>
      <c r="M386" s="2">
        <v>5</v>
      </c>
      <c r="N386" s="2">
        <v>10</v>
      </c>
      <c r="O386" s="2">
        <v>15</v>
      </c>
      <c r="P386" s="2">
        <v>5</v>
      </c>
      <c r="Q386" s="2" t="s">
        <v>7147</v>
      </c>
      <c r="R386" s="2" t="s">
        <v>7147</v>
      </c>
      <c r="S386" s="4">
        <v>44837</v>
      </c>
    </row>
    <row r="387" spans="1:19" ht="12.5" x14ac:dyDescent="0.25">
      <c r="A387" s="14" t="str">
        <f>HYPERLINK("https://gerandofalcoes.my.salesforce.com/0014P00003AN2FZQA1", "0014P00003AN2FZQA1")</f>
        <v>0014P00003AN2FZQA1</v>
      </c>
      <c r="B387" s="2" t="s">
        <v>1685</v>
      </c>
      <c r="C387" s="2" t="s">
        <v>423</v>
      </c>
      <c r="D387" s="2" t="s">
        <v>2</v>
      </c>
      <c r="E387" s="2">
        <v>94</v>
      </c>
      <c r="F387" s="2">
        <v>51</v>
      </c>
      <c r="G387" s="2">
        <v>8</v>
      </c>
      <c r="H387" s="2">
        <v>501000</v>
      </c>
      <c r="I387" s="2">
        <v>400</v>
      </c>
      <c r="J387" s="2" t="s">
        <v>1654</v>
      </c>
      <c r="K387" s="2">
        <v>90</v>
      </c>
      <c r="L387" s="2">
        <v>30</v>
      </c>
      <c r="M387" s="2">
        <v>15</v>
      </c>
      <c r="N387" s="2">
        <v>10</v>
      </c>
      <c r="O387" s="2">
        <v>20</v>
      </c>
      <c r="P387" s="2">
        <v>15</v>
      </c>
      <c r="Q387" s="2" t="s">
        <v>1686</v>
      </c>
      <c r="R387" s="2" t="s">
        <v>1686</v>
      </c>
      <c r="S387" s="4">
        <v>44837</v>
      </c>
    </row>
    <row r="388" spans="1:19" ht="12.5" x14ac:dyDescent="0.25">
      <c r="A388" s="14" t="str">
        <f>HYPERLINK("https://gerandofalcoes.my.salesforce.com/0014P00003AN2FaQAL", "0014P00003AN2FaQAL")</f>
        <v>0014P00003AN2FaQAL</v>
      </c>
      <c r="B388" s="2" t="s">
        <v>81</v>
      </c>
      <c r="C388" s="2" t="s">
        <v>423</v>
      </c>
      <c r="D388" s="2" t="s">
        <v>2</v>
      </c>
      <c r="E388" s="2">
        <v>43.16</v>
      </c>
      <c r="F388" s="2">
        <v>7</v>
      </c>
      <c r="G388" s="2">
        <v>2</v>
      </c>
      <c r="H388" s="2">
        <v>150000</v>
      </c>
      <c r="I388" s="2">
        <v>102</v>
      </c>
      <c r="J388" s="2" t="s">
        <v>1671</v>
      </c>
      <c r="K388" s="2">
        <v>56</v>
      </c>
      <c r="L388" s="2">
        <v>15</v>
      </c>
      <c r="M388" s="2">
        <v>10</v>
      </c>
      <c r="N388" s="2">
        <v>6</v>
      </c>
      <c r="O388" s="2">
        <v>15</v>
      </c>
      <c r="P388" s="2">
        <v>10</v>
      </c>
      <c r="Q388" s="2" t="s">
        <v>82</v>
      </c>
      <c r="R388" s="2" t="s">
        <v>660</v>
      </c>
      <c r="S388" s="4">
        <v>44837</v>
      </c>
    </row>
    <row r="389" spans="1:19" ht="12.5" x14ac:dyDescent="0.25">
      <c r="A389" s="14" t="str">
        <f>HYPERLINK("https://gerandofalcoes.my.salesforce.com/0014P00003AN2FbQAL", "0014P00003AN2FbQAL")</f>
        <v>0014P00003AN2FbQAL</v>
      </c>
      <c r="B389" s="2" t="s">
        <v>2318</v>
      </c>
      <c r="C389" s="2" t="s">
        <v>423</v>
      </c>
      <c r="D389" s="2" t="s">
        <v>2</v>
      </c>
      <c r="E389" s="2">
        <v>28</v>
      </c>
      <c r="F389" s="2">
        <v>0</v>
      </c>
      <c r="G389" s="2">
        <v>0</v>
      </c>
      <c r="H389" s="2">
        <v>20000</v>
      </c>
      <c r="I389" s="2">
        <v>330</v>
      </c>
      <c r="J389" s="2" t="s">
        <v>1779</v>
      </c>
      <c r="K389" s="2">
        <v>35</v>
      </c>
      <c r="L389" s="2">
        <v>15</v>
      </c>
      <c r="M389" s="2">
        <v>0</v>
      </c>
      <c r="N389" s="2">
        <v>0</v>
      </c>
      <c r="O389" s="2">
        <v>5</v>
      </c>
      <c r="P389" s="2">
        <v>15</v>
      </c>
      <c r="Q389" s="2" t="s">
        <v>88</v>
      </c>
      <c r="R389" s="2" t="s">
        <v>88</v>
      </c>
      <c r="S389" s="4">
        <v>44837</v>
      </c>
    </row>
    <row r="390" spans="1:19" ht="12.5" x14ac:dyDescent="0.25">
      <c r="A390" s="14" t="str">
        <f>HYPERLINK("https://gerandofalcoes.my.salesforce.com/0014P00003AN2FcQAL", "0014P00003AN2FcQAL")</f>
        <v>0014P00003AN2FcQAL</v>
      </c>
      <c r="B390" s="2" t="s">
        <v>1681</v>
      </c>
      <c r="C390" s="2" t="s">
        <v>423</v>
      </c>
      <c r="D390" s="2" t="s">
        <v>27</v>
      </c>
      <c r="E390" s="2">
        <v>87</v>
      </c>
      <c r="F390" s="2">
        <v>10</v>
      </c>
      <c r="G390" s="2">
        <v>3</v>
      </c>
      <c r="H390" s="2">
        <v>501150</v>
      </c>
      <c r="I390" s="2">
        <v>171</v>
      </c>
      <c r="J390" s="2" t="s">
        <v>1650</v>
      </c>
      <c r="K390" s="2">
        <v>75</v>
      </c>
      <c r="L390" s="2">
        <v>25</v>
      </c>
      <c r="M390" s="2">
        <v>10</v>
      </c>
      <c r="N390" s="2">
        <v>8</v>
      </c>
      <c r="O390" s="2">
        <v>20</v>
      </c>
      <c r="P390" s="2">
        <v>12</v>
      </c>
      <c r="Q390" s="2" t="s">
        <v>91</v>
      </c>
      <c r="R390" s="2" t="s">
        <v>91</v>
      </c>
      <c r="S390" s="4">
        <v>44837</v>
      </c>
    </row>
    <row r="391" spans="1:19" ht="12.5" x14ac:dyDescent="0.25">
      <c r="A391" s="14" t="str">
        <f>HYPERLINK("https://gerandofalcoes.my.salesforce.com/0014P00003AN2FdQAL", "0014P00003AN2FdQAL")</f>
        <v>0014P00003AN2FdQAL</v>
      </c>
      <c r="B391" s="2" t="s">
        <v>95</v>
      </c>
      <c r="C391" s="2" t="s">
        <v>1800</v>
      </c>
      <c r="D391" s="2" t="s">
        <v>2</v>
      </c>
      <c r="E391" s="2">
        <v>7</v>
      </c>
      <c r="F391" s="2">
        <v>0</v>
      </c>
      <c r="G391" s="2">
        <v>0</v>
      </c>
      <c r="H391" s="2">
        <v>0</v>
      </c>
      <c r="I391" s="2">
        <v>300</v>
      </c>
      <c r="J391" s="2" t="s">
        <v>1779</v>
      </c>
      <c r="K391" s="2">
        <v>25</v>
      </c>
      <c r="L391" s="2">
        <v>10</v>
      </c>
      <c r="M391" s="2">
        <v>0</v>
      </c>
      <c r="N391" s="2">
        <v>0</v>
      </c>
      <c r="O391" s="2">
        <v>0</v>
      </c>
      <c r="P391" s="2">
        <v>15</v>
      </c>
      <c r="Q391" s="2" t="s">
        <v>96</v>
      </c>
      <c r="R391" s="2" t="s">
        <v>685</v>
      </c>
      <c r="S391" s="4">
        <v>44837</v>
      </c>
    </row>
    <row r="392" spans="1:19" ht="12.5" x14ac:dyDescent="0.25">
      <c r="A392" s="14" t="str">
        <f>HYPERLINK("https://gerandofalcoes.my.salesforce.com/0014P00003AN2FeQAL", "0014P00003AN2FeQAL")</f>
        <v>0014P00003AN2FeQAL</v>
      </c>
      <c r="B392" s="2" t="s">
        <v>100</v>
      </c>
      <c r="C392" s="2" t="s">
        <v>423</v>
      </c>
      <c r="D392" s="2" t="s">
        <v>2</v>
      </c>
      <c r="E392" s="2">
        <v>25</v>
      </c>
      <c r="F392" s="2">
        <v>10</v>
      </c>
      <c r="G392" s="2">
        <v>3</v>
      </c>
      <c r="H392" s="2">
        <v>105000</v>
      </c>
      <c r="I392" s="2">
        <v>64</v>
      </c>
      <c r="J392" s="2" t="s">
        <v>1671</v>
      </c>
      <c r="K392" s="2">
        <v>53</v>
      </c>
      <c r="L392" s="2">
        <v>15</v>
      </c>
      <c r="M392" s="2">
        <v>10</v>
      </c>
      <c r="N392" s="2">
        <v>8</v>
      </c>
      <c r="O392" s="2">
        <v>15</v>
      </c>
      <c r="P392" s="2">
        <v>5</v>
      </c>
      <c r="Q392" s="2" t="s">
        <v>101</v>
      </c>
      <c r="R392" s="2" t="s">
        <v>2472</v>
      </c>
      <c r="S392" s="4">
        <v>44837</v>
      </c>
    </row>
    <row r="393" spans="1:19" ht="12.5" x14ac:dyDescent="0.25">
      <c r="A393" s="14" t="str">
        <f>HYPERLINK("https://gerandofalcoes.my.salesforce.com/0014X00002VKCpUQAX", "0014X00002VKCpUQAX")</f>
        <v>0014X00002VKCpUQAX</v>
      </c>
      <c r="B393" s="2" t="s">
        <v>2795</v>
      </c>
      <c r="C393" s="2" t="s">
        <v>423</v>
      </c>
      <c r="D393" s="2" t="s">
        <v>2</v>
      </c>
      <c r="E393" s="2">
        <v>13</v>
      </c>
      <c r="F393" s="2">
        <v>3</v>
      </c>
      <c r="G393" s="2">
        <v>1</v>
      </c>
      <c r="H393" s="2">
        <v>1200</v>
      </c>
      <c r="I393" s="2">
        <v>50</v>
      </c>
      <c r="J393" s="2" t="s">
        <v>1779</v>
      </c>
      <c r="K393" s="2">
        <v>29</v>
      </c>
      <c r="L393" s="2">
        <v>10</v>
      </c>
      <c r="M393" s="2">
        <v>5</v>
      </c>
      <c r="N393" s="2">
        <v>4</v>
      </c>
      <c r="O393" s="2">
        <v>5</v>
      </c>
      <c r="P393" s="2">
        <v>5</v>
      </c>
      <c r="Q393" s="2" t="s">
        <v>2796</v>
      </c>
      <c r="R393" s="2" t="s">
        <v>2797</v>
      </c>
      <c r="S393" s="4">
        <v>44837</v>
      </c>
    </row>
    <row r="394" spans="1:19" ht="12.5" x14ac:dyDescent="0.25">
      <c r="A394" s="14" t="str">
        <f>HYPERLINK("https://gerandofalcoes.my.salesforce.com/0014X00002VKCqYQAX", "0014X00002VKCqYQAX")</f>
        <v>0014X00002VKCqYQAX</v>
      </c>
      <c r="B394" s="2" t="s">
        <v>2322</v>
      </c>
      <c r="C394" s="2" t="s">
        <v>1800</v>
      </c>
      <c r="D394" s="2" t="s">
        <v>2</v>
      </c>
      <c r="E394" s="2">
        <v>28</v>
      </c>
      <c r="F394" s="2">
        <v>1</v>
      </c>
      <c r="G394" s="2">
        <v>6</v>
      </c>
      <c r="H394" s="2">
        <v>5000</v>
      </c>
      <c r="I394" s="2">
        <v>80</v>
      </c>
      <c r="J394" s="2" t="s">
        <v>1671</v>
      </c>
      <c r="K394" s="2">
        <v>45</v>
      </c>
      <c r="L394" s="2">
        <v>15</v>
      </c>
      <c r="M394" s="2">
        <v>5</v>
      </c>
      <c r="N394" s="2">
        <v>10</v>
      </c>
      <c r="O394" s="2">
        <v>5</v>
      </c>
      <c r="P394" s="2">
        <v>10</v>
      </c>
      <c r="Q394" s="2" t="s">
        <v>2323</v>
      </c>
      <c r="R394" s="2" t="s">
        <v>2324</v>
      </c>
      <c r="S394" s="4">
        <v>44837</v>
      </c>
    </row>
    <row r="395" spans="1:19" ht="12.5" x14ac:dyDescent="0.25">
      <c r="A395" s="14" t="str">
        <f>HYPERLINK("https://gerandofalcoes.my.salesforce.com/0014X00002VKCukQAH", "0014X00002VKCukQAH")</f>
        <v>0014X00002VKCukQAH</v>
      </c>
      <c r="B395" s="2" t="s">
        <v>2990</v>
      </c>
      <c r="C395" s="2" t="s">
        <v>1800</v>
      </c>
      <c r="D395" s="2" t="s">
        <v>2</v>
      </c>
      <c r="E395" s="2"/>
      <c r="F395" s="2">
        <v>8</v>
      </c>
      <c r="G395" s="2">
        <v>2</v>
      </c>
      <c r="H395" s="2">
        <v>0</v>
      </c>
      <c r="I395" s="2">
        <v>50</v>
      </c>
      <c r="J395" s="2" t="s">
        <v>1779</v>
      </c>
      <c r="K395" s="2">
        <v>21</v>
      </c>
      <c r="L395" s="2">
        <v>0</v>
      </c>
      <c r="M395" s="2">
        <v>10</v>
      </c>
      <c r="N395" s="2">
        <v>6</v>
      </c>
      <c r="O395" s="2">
        <v>0</v>
      </c>
      <c r="P395" s="2">
        <v>5</v>
      </c>
      <c r="Q395" s="2" t="s">
        <v>2991</v>
      </c>
      <c r="R395" s="2" t="s">
        <v>2991</v>
      </c>
      <c r="S395" s="4">
        <v>44837</v>
      </c>
    </row>
    <row r="396" spans="1:19" ht="12.5" x14ac:dyDescent="0.25">
      <c r="A396" s="14" t="str">
        <f>HYPERLINK("https://gerandofalcoes.my.salesforce.com/0014X00002VKCsmQAH", "0014X00002VKCsmQAH")</f>
        <v>0014X00002VKCsmQAH</v>
      </c>
      <c r="B396" s="2" t="s">
        <v>2370</v>
      </c>
      <c r="C396" s="2" t="s">
        <v>1800</v>
      </c>
      <c r="D396" s="2" t="s">
        <v>2</v>
      </c>
      <c r="E396" s="2">
        <v>26</v>
      </c>
      <c r="F396" s="2">
        <v>0</v>
      </c>
      <c r="G396" s="2">
        <v>2</v>
      </c>
      <c r="H396" s="2">
        <v>8000</v>
      </c>
      <c r="I396" s="2">
        <v>20</v>
      </c>
      <c r="J396" s="2" t="s">
        <v>1779</v>
      </c>
      <c r="K396" s="2">
        <v>31</v>
      </c>
      <c r="L396" s="2">
        <v>15</v>
      </c>
      <c r="M396" s="2">
        <v>0</v>
      </c>
      <c r="N396" s="2">
        <v>6</v>
      </c>
      <c r="O396" s="2">
        <v>5</v>
      </c>
      <c r="P396" s="2">
        <v>5</v>
      </c>
      <c r="Q396" s="2" t="s">
        <v>2371</v>
      </c>
      <c r="R396" s="2" t="s">
        <v>2371</v>
      </c>
      <c r="S396" s="4">
        <v>44837</v>
      </c>
    </row>
    <row r="397" spans="1:19" ht="12.5" x14ac:dyDescent="0.25">
      <c r="A397" s="14" t="str">
        <f>HYPERLINK("https://gerandofalcoes.my.salesforce.com/0014X00002VKCpcQAH", "0014X00002VKCpcQAH")</f>
        <v>0014X00002VKCpcQAH</v>
      </c>
      <c r="B397" s="2" t="s">
        <v>2689</v>
      </c>
      <c r="C397" s="2" t="s">
        <v>1800</v>
      </c>
      <c r="D397" s="2" t="s">
        <v>2</v>
      </c>
      <c r="E397" s="2">
        <v>16</v>
      </c>
      <c r="F397" s="2">
        <v>0</v>
      </c>
      <c r="G397" s="2">
        <v>2</v>
      </c>
      <c r="H397" s="2">
        <v>98000</v>
      </c>
      <c r="I397" s="2">
        <v>20</v>
      </c>
      <c r="J397" s="2" t="s">
        <v>1779</v>
      </c>
      <c r="K397" s="2">
        <v>31</v>
      </c>
      <c r="L397" s="2">
        <v>10</v>
      </c>
      <c r="M397" s="2">
        <v>0</v>
      </c>
      <c r="N397" s="2">
        <v>6</v>
      </c>
      <c r="O397" s="2">
        <v>10</v>
      </c>
      <c r="P397" s="2">
        <v>5</v>
      </c>
      <c r="Q397" s="2" t="s">
        <v>7166</v>
      </c>
      <c r="R397" s="2" t="s">
        <v>2690</v>
      </c>
      <c r="S397" s="4">
        <v>44837</v>
      </c>
    </row>
    <row r="398" spans="1:19" ht="12.5" x14ac:dyDescent="0.25">
      <c r="A398" s="14" t="str">
        <f>HYPERLINK("https://gerandofalcoes.my.salesforce.com/0014X00002VKCtwQAH", "0014X00002VKCtwQAH")</f>
        <v>0014X00002VKCtwQAH</v>
      </c>
      <c r="B398" s="2" t="s">
        <v>1954</v>
      </c>
      <c r="C398" s="2" t="s">
        <v>1800</v>
      </c>
      <c r="D398" s="2" t="s">
        <v>2</v>
      </c>
      <c r="E398" s="2">
        <v>41</v>
      </c>
      <c r="F398" s="2">
        <v>4</v>
      </c>
      <c r="G398" s="2">
        <v>3</v>
      </c>
      <c r="H398" s="2">
        <v>186011</v>
      </c>
      <c r="I398" s="2">
        <v>0</v>
      </c>
      <c r="J398" s="2" t="s">
        <v>1671</v>
      </c>
      <c r="K398" s="2">
        <v>43</v>
      </c>
      <c r="L398" s="2">
        <v>15</v>
      </c>
      <c r="M398" s="2">
        <v>5</v>
      </c>
      <c r="N398" s="2">
        <v>8</v>
      </c>
      <c r="O398" s="2">
        <v>15</v>
      </c>
      <c r="P398" s="2">
        <v>0</v>
      </c>
      <c r="Q398" s="2" t="s">
        <v>1955</v>
      </c>
      <c r="R398" s="2" t="s">
        <v>1956</v>
      </c>
      <c r="S398" s="4">
        <v>44837</v>
      </c>
    </row>
    <row r="399" spans="1:19" ht="12.5" x14ac:dyDescent="0.25">
      <c r="A399" s="14" t="str">
        <f>HYPERLINK("https://gerandofalcoes.my.salesforce.com/0014X00002VMXzNQAX", "0014X00002VMXzNQAX")</f>
        <v>0014X00002VMXzNQAX</v>
      </c>
      <c r="B399" s="2" t="s">
        <v>1778</v>
      </c>
      <c r="C399" s="2" t="s">
        <v>423</v>
      </c>
      <c r="D399" s="2" t="s">
        <v>2</v>
      </c>
      <c r="E399" s="2">
        <v>57</v>
      </c>
      <c r="F399" s="2">
        <v>0</v>
      </c>
      <c r="G399" s="2">
        <v>3</v>
      </c>
      <c r="H399" s="2">
        <v>65000</v>
      </c>
      <c r="I399" s="2">
        <v>0</v>
      </c>
      <c r="J399" s="2" t="s">
        <v>1779</v>
      </c>
      <c r="K399" s="2">
        <v>38</v>
      </c>
      <c r="L399" s="2">
        <v>20</v>
      </c>
      <c r="M399" s="2">
        <v>0</v>
      </c>
      <c r="N399" s="2">
        <v>8</v>
      </c>
      <c r="O399" s="2">
        <v>10</v>
      </c>
      <c r="P399" s="2">
        <v>0</v>
      </c>
      <c r="Q399" s="2" t="s">
        <v>1780</v>
      </c>
      <c r="R399" s="2" t="s">
        <v>1781</v>
      </c>
      <c r="S399" s="4">
        <v>44837</v>
      </c>
    </row>
    <row r="400" spans="1:19" ht="12.5" x14ac:dyDescent="0.25">
      <c r="A400" s="14" t="str">
        <f>HYPERLINK("https://gerandofalcoes.my.salesforce.com/0014X00002VKCv9QAH", "0014X00002VKCv9QAH")</f>
        <v>0014X00002VKCv9QAH</v>
      </c>
      <c r="B400" s="2" t="s">
        <v>2874</v>
      </c>
      <c r="C400" s="2" t="s">
        <v>423</v>
      </c>
      <c r="D400" s="2" t="s">
        <v>2</v>
      </c>
      <c r="E400" s="2">
        <v>35</v>
      </c>
      <c r="F400" s="2">
        <v>0</v>
      </c>
      <c r="G400" s="2">
        <v>0</v>
      </c>
      <c r="H400" s="2">
        <v>0</v>
      </c>
      <c r="I400" s="2">
        <v>200</v>
      </c>
      <c r="J400" s="2" t="s">
        <v>1779</v>
      </c>
      <c r="K400" s="2">
        <v>27</v>
      </c>
      <c r="L400" s="2">
        <v>15</v>
      </c>
      <c r="M400" s="2">
        <v>0</v>
      </c>
      <c r="N400" s="2">
        <v>0</v>
      </c>
      <c r="O400" s="2">
        <v>0</v>
      </c>
      <c r="P400" s="2">
        <v>12</v>
      </c>
      <c r="Q400" s="2" t="s">
        <v>2875</v>
      </c>
      <c r="R400" s="2" t="s">
        <v>2875</v>
      </c>
      <c r="S400" s="4">
        <v>44837</v>
      </c>
    </row>
    <row r="401" spans="1:19" ht="12.5" x14ac:dyDescent="0.25">
      <c r="A401" s="14" t="str">
        <f>HYPERLINK("https://gerandofalcoes.my.salesforce.com/0014X00002VKCrIQAX", "0014X00002VKCrIQAX")</f>
        <v>0014X00002VKCrIQAX</v>
      </c>
      <c r="B401" s="2" t="s">
        <v>2670</v>
      </c>
      <c r="C401" s="2" t="s">
        <v>1684</v>
      </c>
      <c r="D401" s="2" t="s">
        <v>2</v>
      </c>
      <c r="E401" s="2">
        <v>17</v>
      </c>
      <c r="F401" s="2">
        <v>0</v>
      </c>
      <c r="G401" s="2">
        <v>2</v>
      </c>
      <c r="H401" s="2">
        <v>1</v>
      </c>
      <c r="I401" s="2">
        <v>0</v>
      </c>
      <c r="J401" s="2" t="s">
        <v>1779</v>
      </c>
      <c r="K401" s="2">
        <v>21</v>
      </c>
      <c r="L401" s="2">
        <v>10</v>
      </c>
      <c r="M401" s="2">
        <v>0</v>
      </c>
      <c r="N401" s="2">
        <v>6</v>
      </c>
      <c r="O401" s="2">
        <v>5</v>
      </c>
      <c r="P401" s="2">
        <v>0</v>
      </c>
      <c r="Q401" s="2" t="s">
        <v>2671</v>
      </c>
      <c r="R401" s="2" t="s">
        <v>2671</v>
      </c>
      <c r="S401" s="4">
        <v>44837</v>
      </c>
    </row>
    <row r="402" spans="1:19" ht="12.5" x14ac:dyDescent="0.25">
      <c r="A402" s="14" t="str">
        <f>HYPERLINK("https://gerandofalcoes.my.salesforce.com/0014X00002VKCuRQAX", "0014X00002VKCuRQAX")</f>
        <v>0014X00002VKCuRQAX</v>
      </c>
      <c r="B402" s="2" t="s">
        <v>2243</v>
      </c>
      <c r="C402" s="2" t="s">
        <v>423</v>
      </c>
      <c r="D402" s="2" t="s">
        <v>2</v>
      </c>
      <c r="E402" s="2">
        <v>31</v>
      </c>
      <c r="F402" s="2">
        <v>3</v>
      </c>
      <c r="G402" s="2">
        <v>6</v>
      </c>
      <c r="H402" s="2">
        <v>100000</v>
      </c>
      <c r="I402" s="2">
        <v>0</v>
      </c>
      <c r="J402" s="2" t="s">
        <v>1671</v>
      </c>
      <c r="K402" s="2">
        <v>45</v>
      </c>
      <c r="L402" s="2">
        <v>15</v>
      </c>
      <c r="M402" s="2">
        <v>5</v>
      </c>
      <c r="N402" s="2">
        <v>10</v>
      </c>
      <c r="O402" s="2">
        <v>15</v>
      </c>
      <c r="P402" s="2">
        <v>0</v>
      </c>
      <c r="Q402" s="2" t="s">
        <v>2244</v>
      </c>
      <c r="R402" s="2" t="s">
        <v>2244</v>
      </c>
      <c r="S402" s="4">
        <v>44837</v>
      </c>
    </row>
    <row r="403" spans="1:19" ht="12.5" x14ac:dyDescent="0.25">
      <c r="A403" s="14" t="str">
        <f>HYPERLINK("https://gerandofalcoes.my.salesforce.com/0014X00002VKCrwQAH", "0014X00002VKCrwQAH")</f>
        <v>0014X00002VKCrwQAH</v>
      </c>
      <c r="B403" s="2" t="s">
        <v>2959</v>
      </c>
      <c r="C403" s="2" t="s">
        <v>423</v>
      </c>
      <c r="D403" s="2" t="s">
        <v>2</v>
      </c>
      <c r="E403" s="2">
        <v>16</v>
      </c>
      <c r="F403" s="2">
        <v>0</v>
      </c>
      <c r="G403" s="2">
        <v>2</v>
      </c>
      <c r="H403" s="2">
        <v>15000</v>
      </c>
      <c r="I403" s="2">
        <v>30</v>
      </c>
      <c r="J403" s="2" t="s">
        <v>1779</v>
      </c>
      <c r="K403" s="2">
        <v>26</v>
      </c>
      <c r="L403" s="2">
        <v>10</v>
      </c>
      <c r="M403" s="2">
        <v>0</v>
      </c>
      <c r="N403" s="2">
        <v>6</v>
      </c>
      <c r="O403" s="2">
        <v>5</v>
      </c>
      <c r="P403" s="2">
        <v>5</v>
      </c>
      <c r="Q403" s="2" t="s">
        <v>2960</v>
      </c>
      <c r="R403" s="2" t="s">
        <v>2961</v>
      </c>
      <c r="S403" s="4">
        <v>44837</v>
      </c>
    </row>
    <row r="404" spans="1:19" ht="12.5" x14ac:dyDescent="0.25">
      <c r="A404" s="14" t="str">
        <f>HYPERLINK("https://gerandofalcoes.my.salesforce.com/0014X00002VKCsLQAX", "0014X00002VKCsLQAX")</f>
        <v>0014X00002VKCsLQAX</v>
      </c>
      <c r="B404" s="2" t="s">
        <v>2798</v>
      </c>
      <c r="C404" s="2" t="s">
        <v>1800</v>
      </c>
      <c r="D404" s="2" t="s">
        <v>2</v>
      </c>
      <c r="E404" s="2">
        <v>13</v>
      </c>
      <c r="F404" s="2">
        <v>0</v>
      </c>
      <c r="G404" s="2">
        <v>3</v>
      </c>
      <c r="H404" s="2">
        <v>500</v>
      </c>
      <c r="I404" s="2">
        <v>30</v>
      </c>
      <c r="J404" s="2" t="s">
        <v>1779</v>
      </c>
      <c r="K404" s="2">
        <v>28</v>
      </c>
      <c r="L404" s="2">
        <v>10</v>
      </c>
      <c r="M404" s="2">
        <v>0</v>
      </c>
      <c r="N404" s="2">
        <v>8</v>
      </c>
      <c r="O404" s="2">
        <v>5</v>
      </c>
      <c r="P404" s="2">
        <v>5</v>
      </c>
      <c r="Q404" s="2" t="s">
        <v>2799</v>
      </c>
      <c r="R404" s="2" t="s">
        <v>2800</v>
      </c>
      <c r="S404" s="4">
        <v>44837</v>
      </c>
    </row>
    <row r="405" spans="1:19" ht="12.5" x14ac:dyDescent="0.25">
      <c r="A405" s="14" t="str">
        <f>HYPERLINK("https://gerandofalcoes.my.salesforce.com/0014X00002VKCrTQAX", "0014X00002VKCrTQAX")</f>
        <v>0014X00002VKCrTQAX</v>
      </c>
      <c r="B405" s="2" t="s">
        <v>2180</v>
      </c>
      <c r="C405" s="2" t="s">
        <v>423</v>
      </c>
      <c r="D405" s="2" t="s">
        <v>2</v>
      </c>
      <c r="E405" s="2">
        <v>33</v>
      </c>
      <c r="F405" s="2">
        <v>0</v>
      </c>
      <c r="G405" s="2">
        <v>5</v>
      </c>
      <c r="H405" s="2">
        <v>0</v>
      </c>
      <c r="I405" s="2">
        <v>40</v>
      </c>
      <c r="J405" s="2" t="s">
        <v>1779</v>
      </c>
      <c r="K405" s="2">
        <v>30</v>
      </c>
      <c r="L405" s="2">
        <v>15</v>
      </c>
      <c r="M405" s="2">
        <v>0</v>
      </c>
      <c r="N405" s="2">
        <v>10</v>
      </c>
      <c r="O405" s="2">
        <v>0</v>
      </c>
      <c r="P405" s="2">
        <v>5</v>
      </c>
      <c r="Q405" s="2" t="s">
        <v>2181</v>
      </c>
      <c r="R405" s="2" t="s">
        <v>2181</v>
      </c>
      <c r="S405" s="4">
        <v>44837</v>
      </c>
    </row>
    <row r="406" spans="1:19" ht="12.5" x14ac:dyDescent="0.25">
      <c r="A406" s="14" t="str">
        <f>HYPERLINK("https://gerandofalcoes.my.salesforce.com/0014P00003SGWQ3QAP", "0014P00003SGWQ3QAP")</f>
        <v>0014P00003SGWQ3QAP</v>
      </c>
      <c r="B406" s="2" t="s">
        <v>210</v>
      </c>
      <c r="C406" s="2" t="s">
        <v>423</v>
      </c>
      <c r="D406" s="2" t="s">
        <v>2</v>
      </c>
      <c r="E406" s="2">
        <v>51</v>
      </c>
      <c r="F406" s="2">
        <v>34</v>
      </c>
      <c r="G406" s="2">
        <v>4</v>
      </c>
      <c r="H406" s="2">
        <v>140000</v>
      </c>
      <c r="I406" s="2">
        <v>40</v>
      </c>
      <c r="J406" s="2" t="s">
        <v>1650</v>
      </c>
      <c r="K406" s="2">
        <v>65</v>
      </c>
      <c r="L406" s="2">
        <v>20</v>
      </c>
      <c r="M406" s="2">
        <v>15</v>
      </c>
      <c r="N406" s="2">
        <v>10</v>
      </c>
      <c r="O406" s="2">
        <v>15</v>
      </c>
      <c r="P406" s="2">
        <v>5</v>
      </c>
      <c r="Q406" s="2" t="s">
        <v>211</v>
      </c>
      <c r="R406" s="2" t="s">
        <v>1459</v>
      </c>
      <c r="S406" s="4">
        <v>44837</v>
      </c>
    </row>
    <row r="407" spans="1:19" ht="12.5" x14ac:dyDescent="0.25">
      <c r="A407" s="14" t="str">
        <f>HYPERLINK("https://gerandofalcoes.my.salesforce.com/0014P00003SGWQ4QAP", "0014P00003SGWQ4QAP")</f>
        <v>0014P00003SGWQ4QAP</v>
      </c>
      <c r="B407" s="2" t="s">
        <v>217</v>
      </c>
      <c r="C407" s="2" t="s">
        <v>423</v>
      </c>
      <c r="D407" s="2" t="s">
        <v>2</v>
      </c>
      <c r="E407" s="2">
        <v>33</v>
      </c>
      <c r="F407" s="2">
        <v>0</v>
      </c>
      <c r="G407" s="2">
        <v>2</v>
      </c>
      <c r="H407" s="2">
        <v>8324</v>
      </c>
      <c r="I407" s="2">
        <v>117</v>
      </c>
      <c r="J407" s="2" t="s">
        <v>1779</v>
      </c>
      <c r="K407" s="2">
        <v>36</v>
      </c>
      <c r="L407" s="2">
        <v>15</v>
      </c>
      <c r="M407" s="2">
        <v>0</v>
      </c>
      <c r="N407" s="2">
        <v>6</v>
      </c>
      <c r="O407" s="2">
        <v>5</v>
      </c>
      <c r="P407" s="2">
        <v>10</v>
      </c>
      <c r="Q407" s="2" t="s">
        <v>218</v>
      </c>
      <c r="R407" s="2" t="s">
        <v>1140</v>
      </c>
      <c r="S407" s="4">
        <v>44837</v>
      </c>
    </row>
    <row r="408" spans="1:19" ht="12.5" x14ac:dyDescent="0.25">
      <c r="A408" s="14" t="str">
        <f>HYPERLINK("https://gerandofalcoes.my.salesforce.com/0014P00003SGWQ6QAP", "0014P00003SGWQ6QAP")</f>
        <v>0014P00003SGWQ6QAP</v>
      </c>
      <c r="B408" s="2" t="s">
        <v>221</v>
      </c>
      <c r="C408" s="2" t="s">
        <v>423</v>
      </c>
      <c r="D408" s="2" t="s">
        <v>2</v>
      </c>
      <c r="E408" s="2"/>
      <c r="F408" s="2">
        <v>20</v>
      </c>
      <c r="G408" s="2">
        <v>3</v>
      </c>
      <c r="H408" s="2">
        <v>149830</v>
      </c>
      <c r="I408" s="2">
        <v>250</v>
      </c>
      <c r="J408" s="2" t="s">
        <v>1671</v>
      </c>
      <c r="K408" s="2">
        <v>47</v>
      </c>
      <c r="L408" s="2">
        <v>0</v>
      </c>
      <c r="M408" s="2">
        <v>12</v>
      </c>
      <c r="N408" s="2">
        <v>8</v>
      </c>
      <c r="O408" s="2">
        <v>15</v>
      </c>
      <c r="P408" s="2">
        <v>12</v>
      </c>
      <c r="Q408" s="2" t="s">
        <v>222</v>
      </c>
      <c r="R408" s="2" t="s">
        <v>2985</v>
      </c>
      <c r="S408" s="4">
        <v>44837</v>
      </c>
    </row>
    <row r="409" spans="1:19" ht="12.5" x14ac:dyDescent="0.25">
      <c r="A409" s="14" t="str">
        <f>HYPERLINK("https://gerandofalcoes.my.salesforce.com/0014P00003SGWQ7QAP", "0014P00003SGWQ7QAP")</f>
        <v>0014P00003SGWQ7QAP</v>
      </c>
      <c r="B409" s="2" t="s">
        <v>226</v>
      </c>
      <c r="C409" s="2" t="s">
        <v>423</v>
      </c>
      <c r="D409" s="2" t="s">
        <v>27</v>
      </c>
      <c r="E409" s="2">
        <v>39</v>
      </c>
      <c r="F409" s="2">
        <v>6</v>
      </c>
      <c r="G409" s="2">
        <v>2</v>
      </c>
      <c r="H409" s="2">
        <v>9291.52</v>
      </c>
      <c r="I409" s="2">
        <v>150</v>
      </c>
      <c r="J409" s="2" t="s">
        <v>1671</v>
      </c>
      <c r="K409" s="2">
        <v>48</v>
      </c>
      <c r="L409" s="2">
        <v>15</v>
      </c>
      <c r="M409" s="2">
        <v>10</v>
      </c>
      <c r="N409" s="2">
        <v>6</v>
      </c>
      <c r="O409" s="2">
        <v>5</v>
      </c>
      <c r="P409" s="2">
        <v>12</v>
      </c>
      <c r="Q409" s="2" t="s">
        <v>227</v>
      </c>
      <c r="R409" s="2" t="s">
        <v>1159</v>
      </c>
      <c r="S409" s="4">
        <v>44837</v>
      </c>
    </row>
    <row r="410" spans="1:19" ht="12.5" x14ac:dyDescent="0.25">
      <c r="A410" s="14" t="str">
        <f>HYPERLINK("https://gerandofalcoes.my.salesforce.com/0014P00003SGWQ8QAP", "0014P00003SGWQ8QAP")</f>
        <v>0014P00003SGWQ8QAP</v>
      </c>
      <c r="B410" s="2" t="s">
        <v>213</v>
      </c>
      <c r="C410" s="2" t="s">
        <v>423</v>
      </c>
      <c r="D410" s="2" t="s">
        <v>2</v>
      </c>
      <c r="E410" s="2">
        <v>14</v>
      </c>
      <c r="F410" s="2">
        <v>0</v>
      </c>
      <c r="G410" s="2">
        <v>2</v>
      </c>
      <c r="H410" s="2">
        <v>300000</v>
      </c>
      <c r="I410" s="2">
        <v>0</v>
      </c>
      <c r="J410" s="2" t="s">
        <v>1779</v>
      </c>
      <c r="K410" s="2">
        <v>36</v>
      </c>
      <c r="L410" s="2">
        <v>10</v>
      </c>
      <c r="M410" s="2">
        <v>0</v>
      </c>
      <c r="N410" s="2">
        <v>6</v>
      </c>
      <c r="O410" s="2">
        <v>20</v>
      </c>
      <c r="P410" s="2">
        <v>0</v>
      </c>
      <c r="Q410" s="2" t="s">
        <v>214</v>
      </c>
      <c r="R410" s="2" t="s">
        <v>1170</v>
      </c>
      <c r="S410" s="4">
        <v>44837</v>
      </c>
    </row>
    <row r="411" spans="1:19" ht="12.5" x14ac:dyDescent="0.25">
      <c r="A411" s="14" t="str">
        <f>HYPERLINK("https://gerandofalcoes.my.salesforce.com/0014P00003SGWQ9QAP", "0014P00003SGWQ9QAP")</f>
        <v>0014P00003SGWQ9QAP</v>
      </c>
      <c r="B411" s="2" t="s">
        <v>232</v>
      </c>
      <c r="C411" s="2" t="s">
        <v>423</v>
      </c>
      <c r="D411" s="2" t="s">
        <v>2</v>
      </c>
      <c r="E411" s="2">
        <v>51</v>
      </c>
      <c r="F411" s="2">
        <v>5</v>
      </c>
      <c r="G411" s="2">
        <v>3</v>
      </c>
      <c r="H411" s="2">
        <v>191584</v>
      </c>
      <c r="I411" s="2">
        <v>245</v>
      </c>
      <c r="J411" s="2" t="s">
        <v>1671</v>
      </c>
      <c r="K411" s="2">
        <v>60</v>
      </c>
      <c r="L411" s="2">
        <v>20</v>
      </c>
      <c r="M411" s="2">
        <v>5</v>
      </c>
      <c r="N411" s="2">
        <v>8</v>
      </c>
      <c r="O411" s="2">
        <v>15</v>
      </c>
      <c r="P411" s="2">
        <v>12</v>
      </c>
      <c r="Q411" s="2" t="s">
        <v>233</v>
      </c>
      <c r="R411" s="2" t="s">
        <v>2285</v>
      </c>
      <c r="S411" s="4">
        <v>44837</v>
      </c>
    </row>
    <row r="412" spans="1:19" ht="12.5" x14ac:dyDescent="0.25">
      <c r="A412" s="14" t="str">
        <f>HYPERLINK("https://gerandofalcoes.my.salesforce.com/0014P00003SGWQAQA5", "0014P00003SGWQAQA5")</f>
        <v>0014P00003SGWQAQA5</v>
      </c>
      <c r="B412" s="2" t="s">
        <v>2958</v>
      </c>
      <c r="C412" s="2" t="s">
        <v>423</v>
      </c>
      <c r="D412" s="2" t="s">
        <v>2</v>
      </c>
      <c r="E412" s="2">
        <v>4</v>
      </c>
      <c r="F412" s="2">
        <v>0</v>
      </c>
      <c r="G412" s="2">
        <v>1</v>
      </c>
      <c r="H412" s="2">
        <v>16000</v>
      </c>
      <c r="I412" s="2">
        <v>200</v>
      </c>
      <c r="J412" s="2" t="s">
        <v>1779</v>
      </c>
      <c r="K412" s="2">
        <v>31</v>
      </c>
      <c r="L412" s="2">
        <v>10</v>
      </c>
      <c r="M412" s="2">
        <v>0</v>
      </c>
      <c r="N412" s="2">
        <v>4</v>
      </c>
      <c r="O412" s="2">
        <v>5</v>
      </c>
      <c r="P412" s="2">
        <v>12</v>
      </c>
      <c r="Q412" s="2" t="s">
        <v>238</v>
      </c>
      <c r="R412" s="2" t="s">
        <v>1191</v>
      </c>
      <c r="S412" s="4">
        <v>44837</v>
      </c>
    </row>
    <row r="413" spans="1:19" ht="12.5" x14ac:dyDescent="0.25">
      <c r="A413" s="14" t="str">
        <f>HYPERLINK("https://gerandofalcoes.my.salesforce.com/0014P00003SGWQBQA5", "0014P00003SGWQBQA5")</f>
        <v>0014P00003SGWQBQA5</v>
      </c>
      <c r="B413" s="2" t="s">
        <v>242</v>
      </c>
      <c r="C413" s="2" t="s">
        <v>423</v>
      </c>
      <c r="D413" s="2" t="s">
        <v>2</v>
      </c>
      <c r="E413" s="2">
        <v>50</v>
      </c>
      <c r="F413" s="2">
        <v>12</v>
      </c>
      <c r="G413" s="2">
        <v>0</v>
      </c>
      <c r="H413" s="2">
        <v>0</v>
      </c>
      <c r="I413" s="2">
        <v>300</v>
      </c>
      <c r="J413" s="2" t="s">
        <v>1671</v>
      </c>
      <c r="K413" s="2">
        <v>47</v>
      </c>
      <c r="L413" s="2">
        <v>20</v>
      </c>
      <c r="M413" s="2">
        <v>12</v>
      </c>
      <c r="N413" s="2">
        <v>0</v>
      </c>
      <c r="O413" s="2">
        <v>0</v>
      </c>
      <c r="P413" s="2">
        <v>15</v>
      </c>
      <c r="Q413" s="2" t="s">
        <v>243</v>
      </c>
      <c r="R413" s="2" t="s">
        <v>1201</v>
      </c>
      <c r="S413" s="4">
        <v>44837</v>
      </c>
    </row>
    <row r="414" spans="1:19" ht="12.5" x14ac:dyDescent="0.25">
      <c r="A414" s="14" t="str">
        <f>HYPERLINK("https://gerandofalcoes.my.salesforce.com/0014P00003SGWQCQA5", "0014P00003SGWQCQA5")</f>
        <v>0014P00003SGWQCQA5</v>
      </c>
      <c r="B414" s="2" t="s">
        <v>248</v>
      </c>
      <c r="C414" s="2" t="s">
        <v>423</v>
      </c>
      <c r="D414" s="2" t="s">
        <v>2</v>
      </c>
      <c r="E414" s="2">
        <v>47</v>
      </c>
      <c r="F414" s="2">
        <v>5</v>
      </c>
      <c r="G414" s="2">
        <v>3</v>
      </c>
      <c r="H414" s="2">
        <v>500000</v>
      </c>
      <c r="I414" s="2">
        <v>72</v>
      </c>
      <c r="J414" s="2" t="s">
        <v>1671</v>
      </c>
      <c r="K414" s="2">
        <v>53</v>
      </c>
      <c r="L414" s="2">
        <v>15</v>
      </c>
      <c r="M414" s="2">
        <v>5</v>
      </c>
      <c r="N414" s="2">
        <v>8</v>
      </c>
      <c r="O414" s="2">
        <v>20</v>
      </c>
      <c r="P414" s="2">
        <v>5</v>
      </c>
      <c r="Q414" s="2" t="s">
        <v>249</v>
      </c>
      <c r="R414" s="2" t="s">
        <v>2025</v>
      </c>
      <c r="S414" s="4">
        <v>44837</v>
      </c>
    </row>
    <row r="415" spans="1:19" ht="12.5" x14ac:dyDescent="0.25">
      <c r="A415" s="14" t="str">
        <f>HYPERLINK("https://gerandofalcoes.my.salesforce.com/0014P00003SGWQDQA5", "0014P00003SGWQDQA5")</f>
        <v>0014P00003SGWQDQA5</v>
      </c>
      <c r="B415" s="2" t="s">
        <v>1669</v>
      </c>
      <c r="C415" s="2" t="s">
        <v>423</v>
      </c>
      <c r="D415" s="2" t="s">
        <v>27</v>
      </c>
      <c r="E415" s="2">
        <v>91</v>
      </c>
      <c r="F415" s="2">
        <v>10</v>
      </c>
      <c r="G415" s="2">
        <v>3</v>
      </c>
      <c r="H415" s="2">
        <v>707090.8</v>
      </c>
      <c r="I415" s="2">
        <v>390</v>
      </c>
      <c r="J415" s="2" t="s">
        <v>1654</v>
      </c>
      <c r="K415" s="2">
        <v>83</v>
      </c>
      <c r="L415" s="2">
        <v>30</v>
      </c>
      <c r="M415" s="2">
        <v>10</v>
      </c>
      <c r="N415" s="2">
        <v>8</v>
      </c>
      <c r="O415" s="2">
        <v>20</v>
      </c>
      <c r="P415" s="2">
        <v>15</v>
      </c>
      <c r="Q415" s="2" t="s">
        <v>251</v>
      </c>
      <c r="R415" s="2" t="s">
        <v>251</v>
      </c>
      <c r="S415" s="4">
        <v>44837</v>
      </c>
    </row>
    <row r="416" spans="1:19" ht="12.5" x14ac:dyDescent="0.25">
      <c r="A416" s="14" t="str">
        <f>HYPERLINK("https://gerandofalcoes.my.salesforce.com/0014P00003SGWQFQA5", "0014P00003SGWQFQA5")</f>
        <v>0014P00003SGWQFQA5</v>
      </c>
      <c r="B416" s="2" t="s">
        <v>2856</v>
      </c>
      <c r="C416" s="2" t="s">
        <v>423</v>
      </c>
      <c r="D416" s="2" t="s">
        <v>2</v>
      </c>
      <c r="E416" s="2">
        <v>10</v>
      </c>
      <c r="F416" s="2">
        <v>2</v>
      </c>
      <c r="G416" s="2">
        <v>1</v>
      </c>
      <c r="H416" s="2">
        <v>8000</v>
      </c>
      <c r="I416" s="2">
        <v>210</v>
      </c>
      <c r="J416" s="2" t="s">
        <v>1779</v>
      </c>
      <c r="K416" s="2">
        <v>36</v>
      </c>
      <c r="L416" s="2">
        <v>10</v>
      </c>
      <c r="M416" s="2">
        <v>5</v>
      </c>
      <c r="N416" s="2">
        <v>4</v>
      </c>
      <c r="O416" s="2">
        <v>5</v>
      </c>
      <c r="P416" s="2">
        <v>12</v>
      </c>
      <c r="Q416" s="2" t="s">
        <v>256</v>
      </c>
      <c r="R416" s="2" t="s">
        <v>1221</v>
      </c>
      <c r="S416" s="4">
        <v>44837</v>
      </c>
    </row>
    <row r="417" spans="1:19" ht="12.5" x14ac:dyDescent="0.25">
      <c r="A417" s="14" t="str">
        <f>HYPERLINK("https://gerandofalcoes.my.salesforce.com/0014P00003SGWQGQA5", "0014P00003SGWQGQA5")</f>
        <v>0014P00003SGWQGQA5</v>
      </c>
      <c r="B417" s="2" t="s">
        <v>259</v>
      </c>
      <c r="C417" s="2" t="s">
        <v>423</v>
      </c>
      <c r="D417" s="2" t="s">
        <v>2</v>
      </c>
      <c r="E417" s="2">
        <v>11</v>
      </c>
      <c r="F417" s="2">
        <v>7</v>
      </c>
      <c r="G417" s="2">
        <v>1</v>
      </c>
      <c r="H417" s="2">
        <v>32000</v>
      </c>
      <c r="I417" s="2">
        <v>30</v>
      </c>
      <c r="J417" s="2" t="s">
        <v>1779</v>
      </c>
      <c r="K417" s="2">
        <v>39</v>
      </c>
      <c r="L417" s="2">
        <v>10</v>
      </c>
      <c r="M417" s="2">
        <v>10</v>
      </c>
      <c r="N417" s="2">
        <v>4</v>
      </c>
      <c r="O417" s="2">
        <v>10</v>
      </c>
      <c r="P417" s="2">
        <v>5</v>
      </c>
      <c r="Q417" s="2" t="s">
        <v>260</v>
      </c>
      <c r="R417" s="2" t="s">
        <v>1232</v>
      </c>
      <c r="S417" s="4">
        <v>44837</v>
      </c>
    </row>
    <row r="418" spans="1:19" ht="12.5" x14ac:dyDescent="0.25">
      <c r="A418" s="14" t="str">
        <f>HYPERLINK("https://gerandofalcoes.my.salesforce.com/0014P00003SGWQHQA5", "0014P00003SGWQHQA5")</f>
        <v>0014P00003SGWQHQA5</v>
      </c>
      <c r="B418" s="2" t="s">
        <v>265</v>
      </c>
      <c r="C418" s="2" t="s">
        <v>423</v>
      </c>
      <c r="D418" s="2" t="s">
        <v>2</v>
      </c>
      <c r="E418" s="2">
        <v>5</v>
      </c>
      <c r="F418" s="2">
        <v>0</v>
      </c>
      <c r="G418" s="2">
        <v>1</v>
      </c>
      <c r="H418" s="2">
        <v>13000</v>
      </c>
      <c r="I418" s="2">
        <v>100</v>
      </c>
      <c r="J418" s="2" t="s">
        <v>1779</v>
      </c>
      <c r="K418" s="2">
        <v>29</v>
      </c>
      <c r="L418" s="2">
        <v>10</v>
      </c>
      <c r="M418" s="2">
        <v>0</v>
      </c>
      <c r="N418" s="2">
        <v>4</v>
      </c>
      <c r="O418" s="2">
        <v>5</v>
      </c>
      <c r="P418" s="2">
        <v>10</v>
      </c>
      <c r="Q418" s="2" t="s">
        <v>266</v>
      </c>
      <c r="R418" s="2" t="s">
        <v>266</v>
      </c>
      <c r="S418" s="4">
        <v>44837</v>
      </c>
    </row>
    <row r="419" spans="1:19" ht="12.5" x14ac:dyDescent="0.25">
      <c r="A419" s="14" t="str">
        <f>HYPERLINK("https://gerandofalcoes.my.salesforce.com/0014P00003SGWQIQA5", "0014P00003SGWQIQA5")</f>
        <v>0014P00003SGWQIQA5</v>
      </c>
      <c r="B419" s="2" t="s">
        <v>2992</v>
      </c>
      <c r="C419" s="2" t="s">
        <v>1684</v>
      </c>
      <c r="D419" s="2" t="s">
        <v>2</v>
      </c>
      <c r="E419" s="2"/>
      <c r="F419" s="2">
        <v>0</v>
      </c>
      <c r="G419" s="2">
        <v>2</v>
      </c>
      <c r="H419" s="2">
        <v>20000</v>
      </c>
      <c r="I419" s="2">
        <v>0</v>
      </c>
      <c r="J419" s="2" t="s">
        <v>1779</v>
      </c>
      <c r="K419" s="2">
        <v>11</v>
      </c>
      <c r="L419" s="2">
        <v>0</v>
      </c>
      <c r="M419" s="2">
        <v>0</v>
      </c>
      <c r="N419" s="2">
        <v>6</v>
      </c>
      <c r="O419" s="2">
        <v>5</v>
      </c>
      <c r="P419" s="2">
        <v>0</v>
      </c>
      <c r="Q419" s="2" t="s">
        <v>2993</v>
      </c>
      <c r="R419" s="2" t="s">
        <v>2994</v>
      </c>
      <c r="S419" s="4">
        <v>44837</v>
      </c>
    </row>
    <row r="420" spans="1:19" ht="12.5" x14ac:dyDescent="0.25">
      <c r="A420" s="14" t="str">
        <f>HYPERLINK("https://gerandofalcoes.my.salesforce.com/0014P00003SGWQJQA5", "0014P00003SGWQJQA5")</f>
        <v>0014P00003SGWQJQA5</v>
      </c>
      <c r="B420" s="2" t="s">
        <v>2480</v>
      </c>
      <c r="C420" s="2" t="s">
        <v>423</v>
      </c>
      <c r="D420" s="2" t="s">
        <v>2</v>
      </c>
      <c r="E420" s="2">
        <v>22</v>
      </c>
      <c r="F420" s="2">
        <v>2</v>
      </c>
      <c r="G420" s="2">
        <v>2</v>
      </c>
      <c r="H420" s="2">
        <v>11000</v>
      </c>
      <c r="I420" s="2">
        <v>103</v>
      </c>
      <c r="J420" s="2" t="s">
        <v>1779</v>
      </c>
      <c r="K420" s="2">
        <v>36</v>
      </c>
      <c r="L420" s="2">
        <v>10</v>
      </c>
      <c r="M420" s="2">
        <v>5</v>
      </c>
      <c r="N420" s="2">
        <v>6</v>
      </c>
      <c r="O420" s="2">
        <v>5</v>
      </c>
      <c r="P420" s="2">
        <v>10</v>
      </c>
      <c r="Q420" s="2" t="s">
        <v>269</v>
      </c>
      <c r="R420" s="2" t="s">
        <v>1248</v>
      </c>
      <c r="S420" s="4">
        <v>44837</v>
      </c>
    </row>
    <row r="421" spans="1:19" ht="12.5" x14ac:dyDescent="0.25">
      <c r="A421" s="14" t="str">
        <f>HYPERLINK("https://gerandofalcoes.my.salesforce.com/0014P00003YSm8CQAT", "0014P00003YSm8CQAT")</f>
        <v>0014P00003YSm8CQAT</v>
      </c>
      <c r="B421" s="2" t="s">
        <v>272</v>
      </c>
      <c r="C421" s="2" t="s">
        <v>423</v>
      </c>
      <c r="D421" s="2" t="s">
        <v>2</v>
      </c>
      <c r="E421" s="2">
        <v>33</v>
      </c>
      <c r="F421" s="2">
        <v>8</v>
      </c>
      <c r="G421" s="2">
        <v>0</v>
      </c>
      <c r="H421" s="2">
        <v>0</v>
      </c>
      <c r="I421" s="2">
        <v>98</v>
      </c>
      <c r="J421" s="2" t="s">
        <v>1779</v>
      </c>
      <c r="K421" s="2">
        <v>35</v>
      </c>
      <c r="L421" s="2">
        <v>15</v>
      </c>
      <c r="M421" s="2">
        <v>10</v>
      </c>
      <c r="N421" s="2">
        <v>0</v>
      </c>
      <c r="O421" s="2">
        <v>0</v>
      </c>
      <c r="P421" s="2">
        <v>10</v>
      </c>
      <c r="Q421" s="2" t="s">
        <v>273</v>
      </c>
      <c r="R421" s="2" t="s">
        <v>1518</v>
      </c>
      <c r="S421" s="4">
        <v>44837</v>
      </c>
    </row>
    <row r="422" spans="1:19" ht="12.5" x14ac:dyDescent="0.25">
      <c r="A422" s="14" t="str">
        <f>HYPERLINK("https://gerandofalcoes.my.salesforce.com/0014P00003SGWPbQAP", "0014P00003SGWPbQAP")</f>
        <v>0014P00003SGWPbQAP</v>
      </c>
      <c r="B422" s="2" t="s">
        <v>276</v>
      </c>
      <c r="C422" s="2" t="s">
        <v>423</v>
      </c>
      <c r="D422" s="2" t="s">
        <v>2</v>
      </c>
      <c r="E422" s="2">
        <v>25</v>
      </c>
      <c r="F422" s="2">
        <v>21</v>
      </c>
      <c r="G422" s="2">
        <v>8</v>
      </c>
      <c r="H422" s="2">
        <v>140600000</v>
      </c>
      <c r="I422" s="2">
        <v>121</v>
      </c>
      <c r="J422" s="2" t="s">
        <v>1650</v>
      </c>
      <c r="K422" s="2">
        <v>72</v>
      </c>
      <c r="L422" s="2">
        <v>15</v>
      </c>
      <c r="M422" s="2">
        <v>12</v>
      </c>
      <c r="N422" s="2">
        <v>10</v>
      </c>
      <c r="O422" s="2">
        <v>25</v>
      </c>
      <c r="P422" s="2">
        <v>10</v>
      </c>
      <c r="Q422" s="2" t="s">
        <v>277</v>
      </c>
      <c r="R422" s="2" t="s">
        <v>1257</v>
      </c>
      <c r="S422" s="4">
        <v>44837</v>
      </c>
    </row>
    <row r="423" spans="1:19" ht="12.5" x14ac:dyDescent="0.25">
      <c r="A423" s="14" t="str">
        <f>HYPERLINK("https://gerandofalcoes.my.salesforce.com/0014P00003SGWPcQAP", "0014P00003SGWPcQAP")</f>
        <v>0014P00003SGWPcQAP</v>
      </c>
      <c r="B423" s="2" t="s">
        <v>2896</v>
      </c>
      <c r="C423" s="2" t="s">
        <v>423</v>
      </c>
      <c r="D423" s="2" t="s">
        <v>2</v>
      </c>
      <c r="E423" s="2">
        <v>25</v>
      </c>
      <c r="F423" s="2">
        <v>0</v>
      </c>
      <c r="G423" s="2">
        <v>0</v>
      </c>
      <c r="H423" s="2">
        <v>0</v>
      </c>
      <c r="I423" s="2">
        <v>-25</v>
      </c>
      <c r="J423" s="2" t="s">
        <v>1779</v>
      </c>
      <c r="K423" s="2">
        <v>15</v>
      </c>
      <c r="L423" s="2">
        <v>15</v>
      </c>
      <c r="M423" s="2">
        <v>0</v>
      </c>
      <c r="N423" s="2">
        <v>0</v>
      </c>
      <c r="O423" s="2">
        <v>0</v>
      </c>
      <c r="P423" s="2">
        <v>0</v>
      </c>
      <c r="Q423" s="2" t="s">
        <v>282</v>
      </c>
      <c r="R423" s="2" t="s">
        <v>2897</v>
      </c>
      <c r="S423" s="4">
        <v>44837</v>
      </c>
    </row>
    <row r="424" spans="1:19" ht="12.5" x14ac:dyDescent="0.25">
      <c r="A424" s="14" t="str">
        <f>HYPERLINK("https://gerandofalcoes.my.salesforce.com/0014P00003SGWPdQAP", "0014P00003SGWPdQAP")</f>
        <v>0014P00003SGWPdQAP</v>
      </c>
      <c r="B424" s="2" t="s">
        <v>2397</v>
      </c>
      <c r="C424" s="2" t="s">
        <v>423</v>
      </c>
      <c r="D424" s="2" t="s">
        <v>2</v>
      </c>
      <c r="E424" s="2">
        <v>25</v>
      </c>
      <c r="F424" s="2">
        <v>1</v>
      </c>
      <c r="G424" s="2">
        <v>5</v>
      </c>
      <c r="H424" s="2">
        <v>22850</v>
      </c>
      <c r="I424" s="2">
        <v>1500</v>
      </c>
      <c r="J424" s="2" t="s">
        <v>1671</v>
      </c>
      <c r="K424" s="2">
        <v>55</v>
      </c>
      <c r="L424" s="2">
        <v>15</v>
      </c>
      <c r="M424" s="2">
        <v>5</v>
      </c>
      <c r="N424" s="2">
        <v>10</v>
      </c>
      <c r="O424" s="2">
        <v>5</v>
      </c>
      <c r="P424" s="2">
        <v>20</v>
      </c>
      <c r="Q424" s="2" t="s">
        <v>283</v>
      </c>
      <c r="R424" s="2" t="s">
        <v>2398</v>
      </c>
      <c r="S424" s="4">
        <v>44837</v>
      </c>
    </row>
    <row r="425" spans="1:19" ht="12.5" x14ac:dyDescent="0.25">
      <c r="A425" s="14" t="str">
        <f>HYPERLINK("https://gerandofalcoes.my.salesforce.com/0014P00003SGWPeQAP", "0014P00003SGWPeQAP")</f>
        <v>0014P00003SGWPeQAP</v>
      </c>
      <c r="B425" s="2" t="s">
        <v>2720</v>
      </c>
      <c r="C425" s="2" t="s">
        <v>423</v>
      </c>
      <c r="D425" s="2" t="s">
        <v>2</v>
      </c>
      <c r="E425" s="2">
        <v>15</v>
      </c>
      <c r="F425" s="2">
        <v>0</v>
      </c>
      <c r="G425" s="2">
        <v>1</v>
      </c>
      <c r="H425" s="2">
        <v>12000</v>
      </c>
      <c r="I425" s="2">
        <v>70</v>
      </c>
      <c r="J425" s="2" t="s">
        <v>1779</v>
      </c>
      <c r="K425" s="2">
        <v>24</v>
      </c>
      <c r="L425" s="2">
        <v>10</v>
      </c>
      <c r="M425" s="2">
        <v>0</v>
      </c>
      <c r="N425" s="2">
        <v>4</v>
      </c>
      <c r="O425" s="2">
        <v>5</v>
      </c>
      <c r="P425" s="2">
        <v>5</v>
      </c>
      <c r="Q425" s="2" t="s">
        <v>291</v>
      </c>
      <c r="R425" s="2" t="s">
        <v>1288</v>
      </c>
      <c r="S425" s="4">
        <v>44837</v>
      </c>
    </row>
    <row r="426" spans="1:19" ht="12.5" x14ac:dyDescent="0.25">
      <c r="A426" s="14" t="str">
        <f>HYPERLINK("https://gerandofalcoes.my.salesforce.com/0014P00003SGWPfQAP", "0014P00003SGWPfQAP")</f>
        <v>0014P00003SGWPfQAP</v>
      </c>
      <c r="B426" s="2" t="s">
        <v>294</v>
      </c>
      <c r="C426" s="2" t="s">
        <v>1800</v>
      </c>
      <c r="D426" s="2" t="s">
        <v>2</v>
      </c>
      <c r="E426" s="2">
        <v>46</v>
      </c>
      <c r="F426" s="2">
        <v>0</v>
      </c>
      <c r="G426" s="2">
        <v>3</v>
      </c>
      <c r="H426" s="2">
        <v>6605</v>
      </c>
      <c r="I426" s="2">
        <v>100</v>
      </c>
      <c r="J426" s="2" t="s">
        <v>1779</v>
      </c>
      <c r="K426" s="2">
        <v>38</v>
      </c>
      <c r="L426" s="2">
        <v>15</v>
      </c>
      <c r="M426" s="2">
        <v>0</v>
      </c>
      <c r="N426" s="2">
        <v>8</v>
      </c>
      <c r="O426" s="2">
        <v>5</v>
      </c>
      <c r="P426" s="2">
        <v>10</v>
      </c>
      <c r="Q426" s="2" t="s">
        <v>295</v>
      </c>
      <c r="R426" s="2" t="s">
        <v>1298</v>
      </c>
      <c r="S426" s="4">
        <v>44837</v>
      </c>
    </row>
    <row r="427" spans="1:19" ht="12.5" x14ac:dyDescent="0.25">
      <c r="A427" s="14" t="str">
        <f>HYPERLINK("https://gerandofalcoes.my.salesforce.com/0014P00003SGWPgQAP", "0014P00003SGWPgQAP")</f>
        <v>0014P00003SGWPgQAP</v>
      </c>
      <c r="B427" s="2" t="s">
        <v>298</v>
      </c>
      <c r="C427" s="2" t="s">
        <v>1684</v>
      </c>
      <c r="D427" s="2" t="s">
        <v>2</v>
      </c>
      <c r="E427" s="2">
        <v>20</v>
      </c>
      <c r="F427" s="2">
        <v>4</v>
      </c>
      <c r="G427" s="2">
        <v>0</v>
      </c>
      <c r="H427" s="2">
        <v>11000</v>
      </c>
      <c r="I427" s="2">
        <v>20</v>
      </c>
      <c r="J427" s="2" t="s">
        <v>1779</v>
      </c>
      <c r="K427" s="2">
        <v>25</v>
      </c>
      <c r="L427" s="2">
        <v>10</v>
      </c>
      <c r="M427" s="2">
        <v>5</v>
      </c>
      <c r="N427" s="2">
        <v>0</v>
      </c>
      <c r="O427" s="2">
        <v>5</v>
      </c>
      <c r="P427" s="2">
        <v>5</v>
      </c>
      <c r="Q427" s="2" t="s">
        <v>299</v>
      </c>
      <c r="R427" s="2" t="s">
        <v>1310</v>
      </c>
      <c r="S427" s="4">
        <v>44837</v>
      </c>
    </row>
    <row r="428" spans="1:19" ht="12.5" x14ac:dyDescent="0.25">
      <c r="A428" s="14" t="str">
        <f>HYPERLINK("https://gerandofalcoes.my.salesforce.com/0014P00003SGWPhQAP", "0014P00003SGWPhQAP")</f>
        <v>0014P00003SGWPhQAP</v>
      </c>
      <c r="B428" s="2" t="s">
        <v>1693</v>
      </c>
      <c r="C428" s="2" t="s">
        <v>423</v>
      </c>
      <c r="D428" s="2" t="s">
        <v>27</v>
      </c>
      <c r="E428" s="2">
        <v>82.68</v>
      </c>
      <c r="F428" s="2">
        <v>14</v>
      </c>
      <c r="G428" s="2">
        <v>3</v>
      </c>
      <c r="H428" s="2">
        <v>173994</v>
      </c>
      <c r="I428" s="2">
        <v>310</v>
      </c>
      <c r="J428" s="2" t="s">
        <v>1650</v>
      </c>
      <c r="K428" s="2">
        <v>75</v>
      </c>
      <c r="L428" s="2">
        <v>25</v>
      </c>
      <c r="M428" s="2">
        <v>12</v>
      </c>
      <c r="N428" s="2">
        <v>8</v>
      </c>
      <c r="O428" s="2">
        <v>15</v>
      </c>
      <c r="P428" s="2">
        <v>15</v>
      </c>
      <c r="Q428" s="2" t="s">
        <v>286</v>
      </c>
      <c r="R428" s="2" t="s">
        <v>1321</v>
      </c>
      <c r="S428" s="4">
        <v>44837</v>
      </c>
    </row>
    <row r="429" spans="1:19" ht="12.5" x14ac:dyDescent="0.25">
      <c r="A429" s="14" t="str">
        <f>HYPERLINK("https://gerandofalcoes.my.salesforce.com/0014P00003SGWPlQAP", "0014P00003SGWPlQAP")</f>
        <v>0014P00003SGWPlQAP</v>
      </c>
      <c r="B429" s="2" t="s">
        <v>311</v>
      </c>
      <c r="C429" s="2" t="s">
        <v>423</v>
      </c>
      <c r="D429" s="2" t="s">
        <v>2</v>
      </c>
      <c r="E429" s="2">
        <v>30</v>
      </c>
      <c r="F429" s="2">
        <v>0</v>
      </c>
      <c r="G429" s="2">
        <v>2</v>
      </c>
      <c r="H429" s="2">
        <v>30000</v>
      </c>
      <c r="I429" s="2">
        <v>120</v>
      </c>
      <c r="J429" s="2" t="s">
        <v>1671</v>
      </c>
      <c r="K429" s="2">
        <v>41</v>
      </c>
      <c r="L429" s="2">
        <v>15</v>
      </c>
      <c r="M429" s="2">
        <v>0</v>
      </c>
      <c r="N429" s="2">
        <v>6</v>
      </c>
      <c r="O429" s="2">
        <v>10</v>
      </c>
      <c r="P429" s="2">
        <v>10</v>
      </c>
      <c r="Q429" s="2" t="s">
        <v>312</v>
      </c>
      <c r="R429" s="2" t="s">
        <v>312</v>
      </c>
      <c r="S429" s="4">
        <v>44837</v>
      </c>
    </row>
    <row r="430" spans="1:19" ht="12.5" x14ac:dyDescent="0.25">
      <c r="A430" s="14" t="str">
        <f>HYPERLINK("https://gerandofalcoes.my.salesforce.com/0014P00003SGWPmQAP", "0014P00003SGWPmQAP")</f>
        <v>0014P00003SGWPmQAP</v>
      </c>
      <c r="B430" s="2" t="s">
        <v>315</v>
      </c>
      <c r="C430" s="2" t="s">
        <v>423</v>
      </c>
      <c r="D430" s="2" t="s">
        <v>2</v>
      </c>
      <c r="E430" s="2">
        <v>49</v>
      </c>
      <c r="F430" s="2">
        <v>2</v>
      </c>
      <c r="G430" s="2">
        <v>4</v>
      </c>
      <c r="H430" s="2">
        <v>75550</v>
      </c>
      <c r="I430" s="2">
        <v>239</v>
      </c>
      <c r="J430" s="2" t="s">
        <v>1779</v>
      </c>
      <c r="K430" s="2">
        <v>37</v>
      </c>
      <c r="L430" s="2">
        <v>0</v>
      </c>
      <c r="M430" s="2">
        <v>5</v>
      </c>
      <c r="N430" s="2">
        <v>10</v>
      </c>
      <c r="O430" s="2">
        <v>10</v>
      </c>
      <c r="P430" s="2">
        <v>12</v>
      </c>
      <c r="Q430" s="2" t="s">
        <v>316</v>
      </c>
      <c r="R430" s="2" t="s">
        <v>1370</v>
      </c>
      <c r="S430" s="4">
        <v>44837</v>
      </c>
    </row>
    <row r="431" spans="1:19" ht="12.5" x14ac:dyDescent="0.25">
      <c r="A431" s="14" t="str">
        <f>HYPERLINK("https://gerandofalcoes.my.salesforce.com/0014P00003SGWPnQAP", "0014P00003SGWPnQAP")</f>
        <v>0014P00003SGWPnQAP</v>
      </c>
      <c r="B431" s="2" t="s">
        <v>1745</v>
      </c>
      <c r="C431" s="2" t="s">
        <v>423</v>
      </c>
      <c r="D431" s="2" t="s">
        <v>2</v>
      </c>
      <c r="E431" s="2">
        <v>64</v>
      </c>
      <c r="F431" s="2">
        <v>20</v>
      </c>
      <c r="G431" s="2">
        <v>1</v>
      </c>
      <c r="H431" s="2">
        <v>1266000</v>
      </c>
      <c r="I431" s="2">
        <v>250</v>
      </c>
      <c r="J431" s="2" t="s">
        <v>1650</v>
      </c>
      <c r="K431" s="2">
        <v>73</v>
      </c>
      <c r="L431" s="2">
        <v>20</v>
      </c>
      <c r="M431" s="2">
        <v>12</v>
      </c>
      <c r="N431" s="2">
        <v>4</v>
      </c>
      <c r="O431" s="2">
        <v>25</v>
      </c>
      <c r="P431" s="2">
        <v>12</v>
      </c>
      <c r="Q431" s="2" t="s">
        <v>319</v>
      </c>
      <c r="R431" s="2" t="s">
        <v>1379</v>
      </c>
      <c r="S431" s="4">
        <v>44837</v>
      </c>
    </row>
    <row r="432" spans="1:19" ht="12.5" x14ac:dyDescent="0.25">
      <c r="A432" s="14" t="str">
        <f>HYPERLINK("https://gerandofalcoes.my.salesforce.com/0014P00003SGWPoQAP", "0014P00003SGWPoQAP")</f>
        <v>0014P00003SGWPoQAP</v>
      </c>
      <c r="B432" s="2" t="s">
        <v>1705</v>
      </c>
      <c r="C432" s="2" t="s">
        <v>423</v>
      </c>
      <c r="D432" s="2" t="s">
        <v>27</v>
      </c>
      <c r="E432" s="2">
        <v>78.08</v>
      </c>
      <c r="F432" s="2">
        <v>0</v>
      </c>
      <c r="G432" s="2">
        <v>2</v>
      </c>
      <c r="H432" s="2">
        <v>1000</v>
      </c>
      <c r="I432" s="2">
        <v>120</v>
      </c>
      <c r="J432" s="2" t="s">
        <v>1671</v>
      </c>
      <c r="K432" s="2">
        <v>46</v>
      </c>
      <c r="L432" s="2">
        <v>25</v>
      </c>
      <c r="M432" s="2">
        <v>0</v>
      </c>
      <c r="N432" s="2">
        <v>6</v>
      </c>
      <c r="O432" s="2">
        <v>5</v>
      </c>
      <c r="P432" s="2">
        <v>10</v>
      </c>
      <c r="Q432" s="2" t="s">
        <v>321</v>
      </c>
      <c r="R432" s="2" t="s">
        <v>1706</v>
      </c>
      <c r="S432" s="4">
        <v>44837</v>
      </c>
    </row>
    <row r="433" spans="1:19" ht="12.5" x14ac:dyDescent="0.25">
      <c r="A433" s="14" t="str">
        <f>HYPERLINK("https://gerandofalcoes.my.salesforce.com/0014P00003SGWPpQAP", "0014P00003SGWPpQAP")</f>
        <v>0014P00003SGWPpQAP</v>
      </c>
      <c r="B433" s="2" t="s">
        <v>1694</v>
      </c>
      <c r="C433" s="2" t="s">
        <v>423</v>
      </c>
      <c r="D433" s="2" t="s">
        <v>27</v>
      </c>
      <c r="E433" s="2">
        <v>74.349999999999994</v>
      </c>
      <c r="F433" s="2">
        <v>1</v>
      </c>
      <c r="G433" s="2">
        <v>5</v>
      </c>
      <c r="H433" s="2">
        <v>36000</v>
      </c>
      <c r="I433" s="2">
        <v>80</v>
      </c>
      <c r="J433" s="2" t="s">
        <v>1671</v>
      </c>
      <c r="K433" s="2">
        <v>55</v>
      </c>
      <c r="L433" s="2">
        <v>20</v>
      </c>
      <c r="M433" s="2">
        <v>5</v>
      </c>
      <c r="N433" s="2">
        <v>10</v>
      </c>
      <c r="O433" s="2">
        <v>10</v>
      </c>
      <c r="P433" s="2">
        <v>10</v>
      </c>
      <c r="Q433" s="2" t="s">
        <v>323</v>
      </c>
      <c r="R433" s="2" t="s">
        <v>1402</v>
      </c>
      <c r="S433" s="4">
        <v>44837</v>
      </c>
    </row>
    <row r="434" spans="1:19" ht="12.5" x14ac:dyDescent="0.25">
      <c r="A434" s="14" t="str">
        <f>HYPERLINK("https://gerandofalcoes.my.salesforce.com/0014X00002VKCuvQAH", "0014X00002VKCuvQAH")</f>
        <v>0014X00002VKCuvQAH</v>
      </c>
      <c r="B434" s="2" t="s">
        <v>1924</v>
      </c>
      <c r="C434" s="2" t="s">
        <v>423</v>
      </c>
      <c r="D434" s="2" t="s">
        <v>2</v>
      </c>
      <c r="E434" s="2">
        <v>42</v>
      </c>
      <c r="F434" s="2">
        <v>44</v>
      </c>
      <c r="G434" s="2">
        <v>6</v>
      </c>
      <c r="H434" s="2">
        <v>900000</v>
      </c>
      <c r="I434" s="2">
        <v>380</v>
      </c>
      <c r="J434" s="2" t="s">
        <v>1654</v>
      </c>
      <c r="K434" s="2">
        <v>80</v>
      </c>
      <c r="L434" s="2">
        <v>15</v>
      </c>
      <c r="M434" s="2">
        <v>15</v>
      </c>
      <c r="N434" s="2">
        <v>10</v>
      </c>
      <c r="O434" s="2">
        <v>25</v>
      </c>
      <c r="P434" s="2">
        <v>15</v>
      </c>
      <c r="Q434" s="2" t="s">
        <v>1925</v>
      </c>
      <c r="R434" s="2" t="s">
        <v>1926</v>
      </c>
      <c r="S434" s="4">
        <v>44837</v>
      </c>
    </row>
    <row r="435" spans="1:19" ht="12.5" x14ac:dyDescent="0.25">
      <c r="A435" s="14" t="str">
        <f>HYPERLINK("https://gerandofalcoes.my.salesforce.com/0014X00002VKCpIQAX", "0014X00002VKCpIQAX")</f>
        <v>0014X00002VKCpIQAX</v>
      </c>
      <c r="B435" s="2" t="s">
        <v>2523</v>
      </c>
      <c r="C435" s="2" t="s">
        <v>423</v>
      </c>
      <c r="D435" s="2" t="s">
        <v>2</v>
      </c>
      <c r="E435" s="2">
        <v>21</v>
      </c>
      <c r="F435" s="2">
        <v>0</v>
      </c>
      <c r="G435" s="2">
        <v>4</v>
      </c>
      <c r="H435" s="2">
        <v>300</v>
      </c>
      <c r="I435" s="2">
        <v>50</v>
      </c>
      <c r="J435" s="2" t="s">
        <v>1779</v>
      </c>
      <c r="K435" s="2">
        <v>30</v>
      </c>
      <c r="L435" s="2">
        <v>10</v>
      </c>
      <c r="M435" s="2">
        <v>0</v>
      </c>
      <c r="N435" s="2">
        <v>10</v>
      </c>
      <c r="O435" s="2">
        <v>5</v>
      </c>
      <c r="P435" s="2">
        <v>5</v>
      </c>
      <c r="Q435" s="2" t="s">
        <v>2524</v>
      </c>
      <c r="R435" s="2" t="s">
        <v>2525</v>
      </c>
      <c r="S435" s="4">
        <v>44837</v>
      </c>
    </row>
    <row r="436" spans="1:19" ht="12.5" x14ac:dyDescent="0.25">
      <c r="A436" s="14" t="str">
        <f>HYPERLINK("https://gerandofalcoes.my.salesforce.com/0014X00002VKCqHQAX", "0014X00002VKCqHQAX")</f>
        <v>0014X00002VKCqHQAX</v>
      </c>
      <c r="B436" s="2" t="s">
        <v>1829</v>
      </c>
      <c r="C436" s="2" t="s">
        <v>423</v>
      </c>
      <c r="D436" s="2" t="s">
        <v>2</v>
      </c>
      <c r="E436" s="2">
        <v>50</v>
      </c>
      <c r="F436" s="2">
        <v>0</v>
      </c>
      <c r="G436" s="2">
        <v>5</v>
      </c>
      <c r="H436" s="2">
        <v>521000</v>
      </c>
      <c r="I436" s="2">
        <v>155</v>
      </c>
      <c r="J436" s="2" t="s">
        <v>1671</v>
      </c>
      <c r="K436" s="2">
        <v>62</v>
      </c>
      <c r="L436" s="2">
        <v>20</v>
      </c>
      <c r="M436" s="2">
        <v>0</v>
      </c>
      <c r="N436" s="2">
        <v>10</v>
      </c>
      <c r="O436" s="2">
        <v>20</v>
      </c>
      <c r="P436" s="2">
        <v>12</v>
      </c>
      <c r="Q436" s="2" t="s">
        <v>1830</v>
      </c>
      <c r="R436" s="2" t="s">
        <v>1831</v>
      </c>
      <c r="S436" s="4">
        <v>44837</v>
      </c>
    </row>
    <row r="437" spans="1:19" ht="12.5" x14ac:dyDescent="0.25">
      <c r="A437" s="14" t="str">
        <f>HYPERLINK("https://gerandofalcoes.my.salesforce.com/0014X00002VKCqZQAX", "0014X00002VKCqZQAX")</f>
        <v>0014X00002VKCqZQAX</v>
      </c>
      <c r="B437" s="2" t="s">
        <v>2315</v>
      </c>
      <c r="C437" s="2" t="s">
        <v>423</v>
      </c>
      <c r="D437" s="2" t="s">
        <v>2</v>
      </c>
      <c r="E437" s="2">
        <v>38</v>
      </c>
      <c r="F437" s="2">
        <v>0</v>
      </c>
      <c r="G437" s="2">
        <v>25</v>
      </c>
      <c r="H437" s="2">
        <v>31680</v>
      </c>
      <c r="I437" s="2">
        <v>30</v>
      </c>
      <c r="J437" s="2" t="s">
        <v>1671</v>
      </c>
      <c r="K437" s="2">
        <v>40</v>
      </c>
      <c r="L437" s="2">
        <v>15</v>
      </c>
      <c r="M437" s="2">
        <v>0</v>
      </c>
      <c r="N437" s="2">
        <v>10</v>
      </c>
      <c r="O437" s="2">
        <v>10</v>
      </c>
      <c r="P437" s="2">
        <v>5</v>
      </c>
      <c r="Q437" s="2" t="s">
        <v>2316</v>
      </c>
      <c r="R437" s="2" t="s">
        <v>2316</v>
      </c>
      <c r="S437" s="4">
        <v>44837</v>
      </c>
    </row>
    <row r="438" spans="1:19" ht="12.5" x14ac:dyDescent="0.25">
      <c r="A438" s="14" t="str">
        <f>HYPERLINK("https://gerandofalcoes.my.salesforce.com/0014X00002VKCuBQAX", "0014X00002VKCuBQAX")</f>
        <v>0014X00002VKCuBQAX</v>
      </c>
      <c r="B438" s="2" t="s">
        <v>2038</v>
      </c>
      <c r="C438" s="2" t="s">
        <v>423</v>
      </c>
      <c r="D438" s="2" t="s">
        <v>2</v>
      </c>
      <c r="E438" s="2">
        <v>37</v>
      </c>
      <c r="F438" s="2">
        <v>0</v>
      </c>
      <c r="G438" s="2">
        <v>2</v>
      </c>
      <c r="H438" s="2">
        <v>10000</v>
      </c>
      <c r="I438" s="2">
        <v>102</v>
      </c>
      <c r="J438" s="2" t="s">
        <v>1779</v>
      </c>
      <c r="K438" s="2">
        <v>36</v>
      </c>
      <c r="L438" s="2">
        <v>15</v>
      </c>
      <c r="M438" s="2">
        <v>0</v>
      </c>
      <c r="N438" s="2">
        <v>6</v>
      </c>
      <c r="O438" s="2">
        <v>5</v>
      </c>
      <c r="P438" s="2">
        <v>10</v>
      </c>
      <c r="Q438" s="2" t="s">
        <v>2039</v>
      </c>
      <c r="R438" s="2" t="s">
        <v>2039</v>
      </c>
      <c r="S438" s="4">
        <v>44837</v>
      </c>
    </row>
    <row r="439" spans="1:19" ht="12.5" x14ac:dyDescent="0.25">
      <c r="A439" s="14" t="str">
        <f>HYPERLINK("https://gerandofalcoes.my.salesforce.com/0014X00002VKCuKQAX", "0014X00002VKCuKQAX")</f>
        <v>0014X00002VKCuKQAX</v>
      </c>
      <c r="B439" s="2" t="s">
        <v>1879</v>
      </c>
      <c r="C439" s="2" t="s">
        <v>423</v>
      </c>
      <c r="D439" s="2" t="s">
        <v>2</v>
      </c>
      <c r="E439" s="2">
        <v>40</v>
      </c>
      <c r="F439" s="2">
        <v>2</v>
      </c>
      <c r="G439" s="2">
        <v>1</v>
      </c>
      <c r="H439" s="2">
        <v>50000</v>
      </c>
      <c r="I439" s="2">
        <v>20</v>
      </c>
      <c r="J439" s="2" t="s">
        <v>1779</v>
      </c>
      <c r="K439" s="2">
        <v>39</v>
      </c>
      <c r="L439" s="2">
        <v>15</v>
      </c>
      <c r="M439" s="2">
        <v>5</v>
      </c>
      <c r="N439" s="2">
        <v>4</v>
      </c>
      <c r="O439" s="2">
        <v>10</v>
      </c>
      <c r="P439" s="2">
        <v>5</v>
      </c>
      <c r="Q439" s="2" t="s">
        <v>1880</v>
      </c>
      <c r="R439" s="2" t="s">
        <v>1880</v>
      </c>
      <c r="S439" s="4">
        <v>44837</v>
      </c>
    </row>
    <row r="440" spans="1:19" ht="12.5" x14ac:dyDescent="0.25">
      <c r="A440" s="14" t="str">
        <f>HYPERLINK("https://gerandofalcoes.my.salesforce.com/0014X00002VKCptQAH", "0014X00002VKCptQAH")</f>
        <v>0014X00002VKCptQAH</v>
      </c>
      <c r="B440" s="2" t="s">
        <v>2230</v>
      </c>
      <c r="C440" s="2" t="s">
        <v>423</v>
      </c>
      <c r="D440" s="2" t="s">
        <v>2</v>
      </c>
      <c r="E440" s="2">
        <v>40</v>
      </c>
      <c r="F440" s="2">
        <v>8</v>
      </c>
      <c r="G440" s="2">
        <v>0</v>
      </c>
      <c r="H440" s="2">
        <v>0</v>
      </c>
      <c r="I440" s="2">
        <v>44</v>
      </c>
      <c r="J440" s="2" t="s">
        <v>1779</v>
      </c>
      <c r="K440" s="2">
        <v>30</v>
      </c>
      <c r="L440" s="2">
        <v>15</v>
      </c>
      <c r="M440" s="2">
        <v>10</v>
      </c>
      <c r="N440" s="2">
        <v>0</v>
      </c>
      <c r="O440" s="2">
        <v>0</v>
      </c>
      <c r="P440" s="2">
        <v>5</v>
      </c>
      <c r="Q440" s="2" t="s">
        <v>2231</v>
      </c>
      <c r="R440" s="2" t="s">
        <v>2232</v>
      </c>
      <c r="S440" s="4">
        <v>44837</v>
      </c>
    </row>
    <row r="441" spans="1:19" ht="12.5" x14ac:dyDescent="0.25">
      <c r="A441" s="14" t="str">
        <f>HYPERLINK("https://gerandofalcoes.my.salesforce.com/0014X00002VKCowQAH", "0014X00002VKCowQAH")</f>
        <v>0014X00002VKCowQAH</v>
      </c>
      <c r="B441" s="2" t="s">
        <v>2549</v>
      </c>
      <c r="C441" s="2" t="s">
        <v>423</v>
      </c>
      <c r="D441" s="2" t="s">
        <v>2</v>
      </c>
      <c r="E441" s="2">
        <v>27</v>
      </c>
      <c r="F441" s="2">
        <v>0</v>
      </c>
      <c r="G441" s="2">
        <v>0</v>
      </c>
      <c r="H441" s="2">
        <v>0</v>
      </c>
      <c r="I441" s="2">
        <v>100</v>
      </c>
      <c r="J441" s="2" t="s">
        <v>1779</v>
      </c>
      <c r="K441" s="2">
        <v>25</v>
      </c>
      <c r="L441" s="2">
        <v>15</v>
      </c>
      <c r="M441" s="2">
        <v>0</v>
      </c>
      <c r="N441" s="2">
        <v>0</v>
      </c>
      <c r="O441" s="2">
        <v>0</v>
      </c>
      <c r="P441" s="2">
        <v>10</v>
      </c>
      <c r="Q441" s="2" t="s">
        <v>2550</v>
      </c>
      <c r="R441" s="2" t="s">
        <v>2550</v>
      </c>
      <c r="S441" s="4">
        <v>44837</v>
      </c>
    </row>
    <row r="442" spans="1:19" ht="12.5" x14ac:dyDescent="0.25">
      <c r="A442" s="14" t="str">
        <f>HYPERLINK("https://gerandofalcoes.my.salesforce.com/0014X00002VKCsYQAX", "0014X00002VKCsYQAX")</f>
        <v>0014X00002VKCsYQAX</v>
      </c>
      <c r="B442" s="2" t="s">
        <v>2413</v>
      </c>
      <c r="C442" s="2" t="s">
        <v>423</v>
      </c>
      <c r="D442" s="2" t="s">
        <v>2</v>
      </c>
      <c r="E442" s="2">
        <v>25</v>
      </c>
      <c r="F442" s="2">
        <v>0</v>
      </c>
      <c r="G442" s="2">
        <v>1</v>
      </c>
      <c r="H442" s="2">
        <v>0</v>
      </c>
      <c r="I442" s="2">
        <v>64</v>
      </c>
      <c r="J442" s="2" t="s">
        <v>1779</v>
      </c>
      <c r="K442" s="2">
        <v>24</v>
      </c>
      <c r="L442" s="2">
        <v>15</v>
      </c>
      <c r="M442" s="2">
        <v>0</v>
      </c>
      <c r="N442" s="2">
        <v>4</v>
      </c>
      <c r="O442" s="2">
        <v>0</v>
      </c>
      <c r="P442" s="2">
        <v>5</v>
      </c>
      <c r="Q442" s="2" t="s">
        <v>2414</v>
      </c>
      <c r="R442" s="2" t="s">
        <v>2414</v>
      </c>
      <c r="S442" s="4">
        <v>44837</v>
      </c>
    </row>
    <row r="443" spans="1:19" ht="12.5" x14ac:dyDescent="0.25">
      <c r="A443" s="14" t="str">
        <f>HYPERLINK("https://gerandofalcoes.my.salesforce.com/0014X00002VKCusQAH", "0014X00002VKCusQAH")</f>
        <v>0014X00002VKCusQAH</v>
      </c>
      <c r="B443" s="2" t="s">
        <v>1946</v>
      </c>
      <c r="C443" s="2" t="s">
        <v>423</v>
      </c>
      <c r="D443" s="2" t="s">
        <v>2</v>
      </c>
      <c r="E443" s="2">
        <v>41</v>
      </c>
      <c r="F443" s="2">
        <v>0</v>
      </c>
      <c r="G443" s="2">
        <v>2</v>
      </c>
      <c r="H443" s="2">
        <v>3000</v>
      </c>
      <c r="I443" s="2">
        <v>262</v>
      </c>
      <c r="J443" s="2" t="s">
        <v>1779</v>
      </c>
      <c r="K443" s="2">
        <v>38</v>
      </c>
      <c r="L443" s="2">
        <v>15</v>
      </c>
      <c r="M443" s="2">
        <v>0</v>
      </c>
      <c r="N443" s="2">
        <v>6</v>
      </c>
      <c r="O443" s="2">
        <v>5</v>
      </c>
      <c r="P443" s="2">
        <v>12</v>
      </c>
      <c r="Q443" s="2" t="s">
        <v>1947</v>
      </c>
      <c r="R443" s="2" t="s">
        <v>1948</v>
      </c>
      <c r="S443" s="4">
        <v>44837</v>
      </c>
    </row>
    <row r="444" spans="1:19" ht="12.5" x14ac:dyDescent="0.25">
      <c r="A444" s="14" t="str">
        <f>HYPERLINK("https://gerandofalcoes.my.salesforce.com/0014X00002VKCpnQAH", "0014X00002VKCpnQAH")</f>
        <v>0014X00002VKCpnQAH</v>
      </c>
      <c r="B444" s="2" t="s">
        <v>2965</v>
      </c>
      <c r="C444" s="2" t="s">
        <v>423</v>
      </c>
      <c r="D444" s="2" t="s">
        <v>2</v>
      </c>
      <c r="E444" s="2">
        <v>13</v>
      </c>
      <c r="F444" s="2">
        <v>0</v>
      </c>
      <c r="G444" s="2">
        <v>1</v>
      </c>
      <c r="H444" s="2">
        <v>10000</v>
      </c>
      <c r="I444" s="2">
        <v>0</v>
      </c>
      <c r="J444" s="2" t="s">
        <v>1779</v>
      </c>
      <c r="K444" s="2">
        <v>19</v>
      </c>
      <c r="L444" s="2">
        <v>10</v>
      </c>
      <c r="M444" s="2">
        <v>0</v>
      </c>
      <c r="N444" s="2">
        <v>4</v>
      </c>
      <c r="O444" s="2">
        <v>5</v>
      </c>
      <c r="P444" s="2">
        <v>0</v>
      </c>
      <c r="Q444" s="2" t="s">
        <v>2966</v>
      </c>
      <c r="R444" s="2" t="s">
        <v>2966</v>
      </c>
      <c r="S444" s="4">
        <v>44837</v>
      </c>
    </row>
    <row r="445" spans="1:19" ht="12.5" x14ac:dyDescent="0.25">
      <c r="A445" s="14" t="str">
        <f>HYPERLINK("https://gerandofalcoes.my.salesforce.com/0014X00002VKCqQQAX", "0014X00002VKCqQQAX")</f>
        <v>0014X00002VKCqQQAX</v>
      </c>
      <c r="B445" s="2" t="s">
        <v>2952</v>
      </c>
      <c r="C445" s="2" t="s">
        <v>423</v>
      </c>
      <c r="D445" s="2" t="s">
        <v>2</v>
      </c>
      <c r="E445" s="2">
        <v>17</v>
      </c>
      <c r="F445" s="2">
        <v>0</v>
      </c>
      <c r="G445" s="2">
        <v>2</v>
      </c>
      <c r="H445" s="2">
        <v>0</v>
      </c>
      <c r="I445" s="2">
        <v>40</v>
      </c>
      <c r="J445" s="2" t="s">
        <v>1779</v>
      </c>
      <c r="K445" s="2">
        <v>21</v>
      </c>
      <c r="L445" s="2">
        <v>10</v>
      </c>
      <c r="M445" s="2">
        <v>0</v>
      </c>
      <c r="N445" s="2">
        <v>6</v>
      </c>
      <c r="O445" s="2">
        <v>0</v>
      </c>
      <c r="P445" s="2">
        <v>5</v>
      </c>
      <c r="Q445" s="2" t="s">
        <v>2953</v>
      </c>
      <c r="R445" s="2" t="s">
        <v>2954</v>
      </c>
      <c r="S445" s="4">
        <v>44837</v>
      </c>
    </row>
    <row r="446" spans="1:19" ht="12.5" x14ac:dyDescent="0.25">
      <c r="A446" s="14" t="str">
        <f>HYPERLINK("https://gerandofalcoes.my.salesforce.com/0014X00002VKCqfQAH", "0014X00002VKCqfQAH")</f>
        <v>0014X00002VKCqfQAH</v>
      </c>
      <c r="B446" s="2" t="s">
        <v>1998</v>
      </c>
      <c r="C446" s="2" t="s">
        <v>1800</v>
      </c>
      <c r="D446" s="2" t="s">
        <v>2</v>
      </c>
      <c r="E446" s="2">
        <v>39</v>
      </c>
      <c r="F446" s="2">
        <v>0</v>
      </c>
      <c r="G446" s="2">
        <v>2</v>
      </c>
      <c r="H446" s="2">
        <v>14000</v>
      </c>
      <c r="I446" s="2">
        <v>0</v>
      </c>
      <c r="J446" s="2" t="s">
        <v>1779</v>
      </c>
      <c r="K446" s="2">
        <v>26</v>
      </c>
      <c r="L446" s="2">
        <v>15</v>
      </c>
      <c r="M446" s="2">
        <v>0</v>
      </c>
      <c r="N446" s="2">
        <v>6</v>
      </c>
      <c r="O446" s="2">
        <v>5</v>
      </c>
      <c r="P446" s="2">
        <v>0</v>
      </c>
      <c r="Q446" s="2" t="s">
        <v>1999</v>
      </c>
      <c r="R446" s="2" t="s">
        <v>2000</v>
      </c>
      <c r="S446" s="4">
        <v>44837</v>
      </c>
    </row>
    <row r="447" spans="1:19" ht="12.5" x14ac:dyDescent="0.25">
      <c r="A447" s="14" t="str">
        <f>HYPERLINK("https://gerandofalcoes.my.salesforce.com/0014X00002VKCsWQAX", "0014X00002VKCsWQAX")</f>
        <v>0014X00002VKCsWQAX</v>
      </c>
      <c r="B447" s="2" t="s">
        <v>2211</v>
      </c>
      <c r="C447" s="2" t="s">
        <v>423</v>
      </c>
      <c r="D447" s="2" t="s">
        <v>2</v>
      </c>
      <c r="E447" s="2">
        <v>32</v>
      </c>
      <c r="F447" s="2">
        <v>3</v>
      </c>
      <c r="G447" s="2">
        <v>2</v>
      </c>
      <c r="H447" s="2">
        <v>1000</v>
      </c>
      <c r="I447" s="2">
        <v>1200</v>
      </c>
      <c r="J447" s="2" t="s">
        <v>1671</v>
      </c>
      <c r="K447" s="2">
        <v>51</v>
      </c>
      <c r="L447" s="2">
        <v>15</v>
      </c>
      <c r="M447" s="2">
        <v>5</v>
      </c>
      <c r="N447" s="2">
        <v>6</v>
      </c>
      <c r="O447" s="2">
        <v>5</v>
      </c>
      <c r="P447" s="2">
        <v>20</v>
      </c>
      <c r="Q447" s="2" t="s">
        <v>2212</v>
      </c>
      <c r="R447" s="2" t="s">
        <v>2213</v>
      </c>
      <c r="S447" s="4">
        <v>44837</v>
      </c>
    </row>
    <row r="448" spans="1:19" ht="12.5" x14ac:dyDescent="0.25">
      <c r="A448" s="14" t="str">
        <f>HYPERLINK("https://gerandofalcoes.my.salesforce.com/0014X00002VKCrNQAX", "0014X00002VKCrNQAX")</f>
        <v>0014X00002VKCrNQAX</v>
      </c>
      <c r="B448" s="2" t="s">
        <v>2035</v>
      </c>
      <c r="C448" s="2" t="s">
        <v>423</v>
      </c>
      <c r="D448" s="2" t="s">
        <v>2</v>
      </c>
      <c r="E448" s="2">
        <v>37</v>
      </c>
      <c r="F448" s="2">
        <v>10</v>
      </c>
      <c r="G448" s="2">
        <v>2</v>
      </c>
      <c r="H448" s="2">
        <v>20000</v>
      </c>
      <c r="I448" s="2">
        <v>130</v>
      </c>
      <c r="J448" s="2" t="s">
        <v>1671</v>
      </c>
      <c r="K448" s="2">
        <v>46</v>
      </c>
      <c r="L448" s="2">
        <v>15</v>
      </c>
      <c r="M448" s="2">
        <v>10</v>
      </c>
      <c r="N448" s="2">
        <v>6</v>
      </c>
      <c r="O448" s="2">
        <v>5</v>
      </c>
      <c r="P448" s="2">
        <v>10</v>
      </c>
      <c r="Q448" s="2" t="s">
        <v>2036</v>
      </c>
      <c r="R448" s="2" t="s">
        <v>2037</v>
      </c>
      <c r="S448" s="4">
        <v>44837</v>
      </c>
    </row>
    <row r="449" spans="1:19" ht="12.5" x14ac:dyDescent="0.25">
      <c r="A449" s="14" t="str">
        <f>HYPERLINK("https://gerandofalcoes.my.salesforce.com/0014X00002VKCqWQAX", "0014X00002VKCqWQAX")</f>
        <v>0014X00002VKCqWQAX</v>
      </c>
      <c r="B449" s="2" t="s">
        <v>2114</v>
      </c>
      <c r="C449" s="2" t="s">
        <v>1800</v>
      </c>
      <c r="D449" s="2" t="s">
        <v>2</v>
      </c>
      <c r="E449" s="2">
        <v>35</v>
      </c>
      <c r="F449" s="2">
        <v>2</v>
      </c>
      <c r="G449" s="2">
        <v>3</v>
      </c>
      <c r="H449" s="2">
        <v>11579</v>
      </c>
      <c r="I449" s="2">
        <v>20</v>
      </c>
      <c r="J449" s="2" t="s">
        <v>1779</v>
      </c>
      <c r="K449" s="2">
        <v>38</v>
      </c>
      <c r="L449" s="2">
        <v>15</v>
      </c>
      <c r="M449" s="2">
        <v>5</v>
      </c>
      <c r="N449" s="2">
        <v>8</v>
      </c>
      <c r="O449" s="2">
        <v>5</v>
      </c>
      <c r="P449" s="2">
        <v>5</v>
      </c>
      <c r="Q449" s="2" t="s">
        <v>2115</v>
      </c>
      <c r="R449" s="2" t="s">
        <v>2116</v>
      </c>
      <c r="S449" s="4">
        <v>44837</v>
      </c>
    </row>
    <row r="450" spans="1:19" ht="12.5" x14ac:dyDescent="0.25">
      <c r="A450" s="14" t="str">
        <f>HYPERLINK("https://gerandofalcoes.my.salesforce.com/0014X00002VKCqPQAX", "0014X00002VKCqPQAX")</f>
        <v>0014X00002VKCqPQAX</v>
      </c>
      <c r="B450" s="2" t="s">
        <v>2122</v>
      </c>
      <c r="C450" s="2" t="s">
        <v>423</v>
      </c>
      <c r="D450" s="2" t="s">
        <v>2</v>
      </c>
      <c r="E450" s="2">
        <v>34</v>
      </c>
      <c r="F450" s="2">
        <v>5</v>
      </c>
      <c r="G450" s="2">
        <v>1</v>
      </c>
      <c r="H450" s="2">
        <v>0</v>
      </c>
      <c r="I450" s="2">
        <v>186</v>
      </c>
      <c r="J450" s="2" t="s">
        <v>1779</v>
      </c>
      <c r="K450" s="2">
        <v>36</v>
      </c>
      <c r="L450" s="2">
        <v>15</v>
      </c>
      <c r="M450" s="2">
        <v>5</v>
      </c>
      <c r="N450" s="2">
        <v>4</v>
      </c>
      <c r="O450" s="2">
        <v>0</v>
      </c>
      <c r="P450" s="2">
        <v>12</v>
      </c>
      <c r="Q450" s="2" t="s">
        <v>2123</v>
      </c>
      <c r="R450" s="2" t="s">
        <v>2124</v>
      </c>
      <c r="S450" s="4">
        <v>44837</v>
      </c>
    </row>
    <row r="451" spans="1:19" ht="12.5" x14ac:dyDescent="0.25">
      <c r="A451" s="14" t="str">
        <f>HYPERLINK("https://gerandofalcoes.my.salesforce.com/0014X00002VKCqkQAH", "0014X00002VKCqkQAH")</f>
        <v>0014X00002VKCqkQAH</v>
      </c>
      <c r="B451" s="2" t="s">
        <v>2847</v>
      </c>
      <c r="C451" s="2" t="s">
        <v>423</v>
      </c>
      <c r="D451" s="2" t="s">
        <v>2</v>
      </c>
      <c r="E451" s="2">
        <v>41</v>
      </c>
      <c r="F451" s="2">
        <v>0</v>
      </c>
      <c r="G451" s="2">
        <v>2</v>
      </c>
      <c r="H451" s="2">
        <v>12000</v>
      </c>
      <c r="I451" s="2">
        <v>500</v>
      </c>
      <c r="J451" s="2" t="s">
        <v>1671</v>
      </c>
      <c r="K451" s="2">
        <v>46</v>
      </c>
      <c r="L451" s="2">
        <v>15</v>
      </c>
      <c r="M451" s="2">
        <v>0</v>
      </c>
      <c r="N451" s="2">
        <v>6</v>
      </c>
      <c r="O451" s="2">
        <v>5</v>
      </c>
      <c r="P451" s="2">
        <v>20</v>
      </c>
      <c r="Q451" s="2" t="s">
        <v>2848</v>
      </c>
      <c r="R451" s="2" t="s">
        <v>2849</v>
      </c>
      <c r="S451" s="4">
        <v>44837</v>
      </c>
    </row>
    <row r="452" spans="1:19" ht="12.5" x14ac:dyDescent="0.25">
      <c r="A452" s="14" t="str">
        <f>HYPERLINK("https://gerandofalcoes.my.salesforce.com/0014X00002VKCt2QAH", "0014X00002VKCt2QAH")</f>
        <v>0014X00002VKCt2QAH</v>
      </c>
      <c r="B452" s="2" t="s">
        <v>1792</v>
      </c>
      <c r="C452" s="2" t="s">
        <v>423</v>
      </c>
      <c r="D452" s="2" t="s">
        <v>2</v>
      </c>
      <c r="E452" s="2">
        <v>71</v>
      </c>
      <c r="F452" s="2">
        <v>4</v>
      </c>
      <c r="G452" s="2">
        <v>4</v>
      </c>
      <c r="H452" s="2">
        <v>143565</v>
      </c>
      <c r="I452" s="2">
        <v>240</v>
      </c>
      <c r="J452" s="2" t="s">
        <v>1671</v>
      </c>
      <c r="K452" s="2">
        <v>62</v>
      </c>
      <c r="L452" s="2">
        <v>20</v>
      </c>
      <c r="M452" s="2">
        <v>5</v>
      </c>
      <c r="N452" s="2">
        <v>10</v>
      </c>
      <c r="O452" s="2">
        <v>15</v>
      </c>
      <c r="P452" s="2">
        <v>12</v>
      </c>
      <c r="Q452" s="2" t="s">
        <v>1793</v>
      </c>
      <c r="R452" s="2" t="s">
        <v>1794</v>
      </c>
      <c r="S452" s="4">
        <v>44837</v>
      </c>
    </row>
    <row r="453" spans="1:19" ht="12.5" x14ac:dyDescent="0.25">
      <c r="A453" s="14" t="str">
        <f>HYPERLINK("https://gerandofalcoes.my.salesforce.com/0014X00002VKCt3QAH", "0014X00002VKCt3QAH")</f>
        <v>0014X00002VKCt3QAH</v>
      </c>
      <c r="B453" s="2" t="s">
        <v>2706</v>
      </c>
      <c r="C453" s="2" t="s">
        <v>423</v>
      </c>
      <c r="D453" s="2" t="s">
        <v>2</v>
      </c>
      <c r="E453" s="2">
        <v>21</v>
      </c>
      <c r="F453" s="2">
        <v>0</v>
      </c>
      <c r="G453" s="2">
        <v>0</v>
      </c>
      <c r="H453" s="2">
        <v>0</v>
      </c>
      <c r="I453" s="2">
        <v>100</v>
      </c>
      <c r="J453" s="2" t="s">
        <v>1779</v>
      </c>
      <c r="K453" s="2">
        <v>20</v>
      </c>
      <c r="L453" s="2">
        <v>10</v>
      </c>
      <c r="M453" s="2">
        <v>0</v>
      </c>
      <c r="N453" s="2">
        <v>0</v>
      </c>
      <c r="O453" s="2">
        <v>0</v>
      </c>
      <c r="P453" s="2">
        <v>10</v>
      </c>
      <c r="Q453" s="2" t="s">
        <v>2707</v>
      </c>
      <c r="R453" s="2" t="s">
        <v>2708</v>
      </c>
      <c r="S453" s="4">
        <v>44837</v>
      </c>
    </row>
    <row r="454" spans="1:19" ht="12.5" x14ac:dyDescent="0.25">
      <c r="A454" s="14" t="str">
        <f>HYPERLINK("https://gerandofalcoes.my.salesforce.com/0014P00003YSp7bQAD", "0014P00003YSp7bQAD")</f>
        <v>0014P00003YSp7bQAD</v>
      </c>
      <c r="B454" s="2" t="s">
        <v>2169</v>
      </c>
      <c r="C454" s="2" t="s">
        <v>1684</v>
      </c>
      <c r="D454" s="2" t="s">
        <v>2</v>
      </c>
      <c r="E454" s="2">
        <v>33</v>
      </c>
      <c r="F454" s="2">
        <v>40</v>
      </c>
      <c r="G454" s="2">
        <v>2</v>
      </c>
      <c r="H454" s="2">
        <v>50000</v>
      </c>
      <c r="I454" s="2">
        <v>150</v>
      </c>
      <c r="J454" s="2" t="s">
        <v>1671</v>
      </c>
      <c r="K454" s="2">
        <v>58</v>
      </c>
      <c r="L454" s="2">
        <v>15</v>
      </c>
      <c r="M454" s="2">
        <v>15</v>
      </c>
      <c r="N454" s="2">
        <v>6</v>
      </c>
      <c r="O454" s="2">
        <v>10</v>
      </c>
      <c r="P454" s="2">
        <v>12</v>
      </c>
      <c r="Q454" s="2" t="s">
        <v>2170</v>
      </c>
      <c r="R454" s="2" t="s">
        <v>2171</v>
      </c>
      <c r="S454" s="4">
        <v>44837</v>
      </c>
    </row>
    <row r="455" spans="1:19" ht="12.5" x14ac:dyDescent="0.25">
      <c r="A455" s="14" t="str">
        <f>HYPERLINK("https://gerandofalcoes.my.salesforce.com/0014P00003SGWPiQAP", "0014P00003SGWPiQAP")</f>
        <v>0014P00003SGWPiQAP</v>
      </c>
      <c r="B455" s="2" t="s">
        <v>300</v>
      </c>
      <c r="C455" s="2" t="s">
        <v>423</v>
      </c>
      <c r="D455" s="2" t="s">
        <v>27</v>
      </c>
      <c r="E455" s="2">
        <v>96</v>
      </c>
      <c r="F455" s="2">
        <v>8</v>
      </c>
      <c r="G455" s="2">
        <v>4</v>
      </c>
      <c r="H455" s="2">
        <v>587278.81999999995</v>
      </c>
      <c r="I455" s="2">
        <v>115</v>
      </c>
      <c r="J455" s="2" t="s">
        <v>1654</v>
      </c>
      <c r="K455" s="2">
        <v>80</v>
      </c>
      <c r="L455" s="2">
        <v>30</v>
      </c>
      <c r="M455" s="2">
        <v>10</v>
      </c>
      <c r="N455" s="2">
        <v>10</v>
      </c>
      <c r="O455" s="2">
        <v>20</v>
      </c>
      <c r="P455" s="2">
        <v>10</v>
      </c>
      <c r="Q455" s="2" t="s">
        <v>301</v>
      </c>
      <c r="R455" s="2" t="s">
        <v>1657</v>
      </c>
      <c r="S455" s="4">
        <v>44837</v>
      </c>
    </row>
    <row r="456" spans="1:19" ht="12.5" x14ac:dyDescent="0.25">
      <c r="A456" s="14" t="str">
        <f>HYPERLINK("https://gerandofalcoes.my.salesforce.com/0014P00003SGWPjQAP", "0014P00003SGWPjQAP")</f>
        <v>0014P00003SGWPjQAP</v>
      </c>
      <c r="B456" s="2" t="s">
        <v>2986</v>
      </c>
      <c r="C456" s="2" t="s">
        <v>423</v>
      </c>
      <c r="D456" s="2" t="s">
        <v>2</v>
      </c>
      <c r="E456" s="2"/>
      <c r="F456" s="2">
        <v>0</v>
      </c>
      <c r="G456" s="2">
        <v>0</v>
      </c>
      <c r="H456" s="2">
        <v>0</v>
      </c>
      <c r="I456" s="2">
        <v>250</v>
      </c>
      <c r="J456" s="2" t="s">
        <v>1779</v>
      </c>
      <c r="K456" s="2">
        <v>12</v>
      </c>
      <c r="L456" s="2">
        <v>0</v>
      </c>
      <c r="M456" s="2">
        <v>0</v>
      </c>
      <c r="N456" s="2">
        <v>0</v>
      </c>
      <c r="O456" s="2">
        <v>0</v>
      </c>
      <c r="P456" s="2">
        <v>12</v>
      </c>
      <c r="Q456" s="2" t="s">
        <v>303</v>
      </c>
      <c r="R456" s="2" t="s">
        <v>2987</v>
      </c>
      <c r="S456" s="4">
        <v>44837</v>
      </c>
    </row>
    <row r="457" spans="1:19" ht="12.5" x14ac:dyDescent="0.25">
      <c r="A457" s="14" t="str">
        <f>HYPERLINK("https://gerandofalcoes.my.salesforce.com/0014P00003SGWPkQAP", "0014P00003SGWPkQAP")</f>
        <v>0014P00003SGWPkQAP</v>
      </c>
      <c r="B457" s="2" t="s">
        <v>306</v>
      </c>
      <c r="C457" s="2" t="s">
        <v>423</v>
      </c>
      <c r="D457" s="2" t="s">
        <v>2</v>
      </c>
      <c r="E457" s="2">
        <v>49</v>
      </c>
      <c r="F457" s="2">
        <v>7</v>
      </c>
      <c r="G457" s="2">
        <v>3</v>
      </c>
      <c r="H457" s="2">
        <v>264000</v>
      </c>
      <c r="I457" s="2">
        <v>240</v>
      </c>
      <c r="J457" s="2" t="s">
        <v>1671</v>
      </c>
      <c r="K457" s="2">
        <v>45</v>
      </c>
      <c r="L457" s="2">
        <v>0</v>
      </c>
      <c r="M457" s="2">
        <v>10</v>
      </c>
      <c r="N457" s="2">
        <v>8</v>
      </c>
      <c r="O457" s="2">
        <v>15</v>
      </c>
      <c r="P457" s="2">
        <v>12</v>
      </c>
      <c r="Q457" s="2" t="s">
        <v>307</v>
      </c>
      <c r="R457" s="2" t="s">
        <v>1867</v>
      </c>
      <c r="S457" s="4">
        <v>44837</v>
      </c>
    </row>
    <row r="458" spans="1:19" ht="12.5" x14ac:dyDescent="0.25">
      <c r="A458" s="14" t="str">
        <f>HYPERLINK("https://gerandofalcoes.my.salesforce.com/0014P00003YSp7ZQAT", "0014P00003YSp7ZQAT")</f>
        <v>0014P00003YSp7ZQAT</v>
      </c>
      <c r="B458" s="2" t="s">
        <v>2136</v>
      </c>
      <c r="C458" s="2" t="s">
        <v>423</v>
      </c>
      <c r="D458" s="2" t="s">
        <v>2</v>
      </c>
      <c r="E458" s="2">
        <v>34</v>
      </c>
      <c r="F458" s="2">
        <v>0</v>
      </c>
      <c r="G458" s="2">
        <v>2</v>
      </c>
      <c r="H458" s="2">
        <v>50000</v>
      </c>
      <c r="I458" s="2">
        <v>210</v>
      </c>
      <c r="J458" s="2" t="s">
        <v>1671</v>
      </c>
      <c r="K458" s="2">
        <v>43</v>
      </c>
      <c r="L458" s="2">
        <v>15</v>
      </c>
      <c r="M458" s="2">
        <v>0</v>
      </c>
      <c r="N458" s="2">
        <v>6</v>
      </c>
      <c r="O458" s="2">
        <v>10</v>
      </c>
      <c r="P458" s="2">
        <v>12</v>
      </c>
      <c r="Q458" s="2" t="s">
        <v>2137</v>
      </c>
      <c r="R458" s="2" t="s">
        <v>2138</v>
      </c>
      <c r="S458" s="4">
        <v>44837</v>
      </c>
    </row>
    <row r="459" spans="1:19" ht="12.5" x14ac:dyDescent="0.25">
      <c r="A459" s="14" t="str">
        <f>HYPERLINK("https://gerandofalcoes.my.salesforce.com/0014P00003YSp7aQAD", "0014P00003YSp7aQAD")</f>
        <v>0014P00003YSp7aQAD</v>
      </c>
      <c r="B459" s="2" t="s">
        <v>2922</v>
      </c>
      <c r="C459" s="2" t="s">
        <v>423</v>
      </c>
      <c r="D459" s="2" t="s">
        <v>2</v>
      </c>
      <c r="E459" s="2">
        <v>14</v>
      </c>
      <c r="F459" s="2">
        <v>8</v>
      </c>
      <c r="G459" s="2">
        <v>0</v>
      </c>
      <c r="H459" s="2">
        <v>5000</v>
      </c>
      <c r="I459" s="2">
        <v>30</v>
      </c>
      <c r="J459" s="2" t="s">
        <v>1779</v>
      </c>
      <c r="K459" s="2">
        <v>30</v>
      </c>
      <c r="L459" s="2">
        <v>10</v>
      </c>
      <c r="M459" s="2">
        <v>10</v>
      </c>
      <c r="N459" s="2">
        <v>0</v>
      </c>
      <c r="O459" s="2">
        <v>5</v>
      </c>
      <c r="P459" s="2">
        <v>5</v>
      </c>
      <c r="Q459" s="2" t="s">
        <v>2923</v>
      </c>
      <c r="R459" s="2" t="s">
        <v>2924</v>
      </c>
      <c r="S459" s="4">
        <v>44837</v>
      </c>
    </row>
    <row r="460" spans="1:19" ht="12.5" x14ac:dyDescent="0.25">
      <c r="A460" s="14" t="str">
        <f>HYPERLINK("https://gerandofalcoes.my.salesforce.com/0014P00003YSp7dQAD", "0014P00003YSp7dQAD")</f>
        <v>0014P00003YSp7dQAD</v>
      </c>
      <c r="B460" s="2" t="s">
        <v>1855</v>
      </c>
      <c r="C460" s="2" t="s">
        <v>423</v>
      </c>
      <c r="D460" s="2" t="s">
        <v>2</v>
      </c>
      <c r="E460" s="2">
        <v>34</v>
      </c>
      <c r="F460" s="2">
        <v>6</v>
      </c>
      <c r="G460" s="2">
        <v>5</v>
      </c>
      <c r="H460" s="2">
        <v>42178400</v>
      </c>
      <c r="I460" s="2">
        <v>243</v>
      </c>
      <c r="J460" s="2" t="s">
        <v>1650</v>
      </c>
      <c r="K460" s="2">
        <v>72</v>
      </c>
      <c r="L460" s="2">
        <v>15</v>
      </c>
      <c r="M460" s="2">
        <v>10</v>
      </c>
      <c r="N460" s="2">
        <v>10</v>
      </c>
      <c r="O460" s="2">
        <v>25</v>
      </c>
      <c r="P460" s="2">
        <v>12</v>
      </c>
      <c r="Q460" s="2" t="s">
        <v>1856</v>
      </c>
      <c r="R460" s="2" t="s">
        <v>1857</v>
      </c>
      <c r="S460" s="4">
        <v>44837</v>
      </c>
    </row>
    <row r="461" spans="1:19" ht="12.5" x14ac:dyDescent="0.25">
      <c r="A461" s="14" t="str">
        <f>HYPERLINK("https://gerandofalcoes.my.salesforce.com/0014P00003YSp7eQAD", "0014P00003YSp7eQAD")</f>
        <v>0014P00003YSp7eQAD</v>
      </c>
      <c r="B461" s="2" t="s">
        <v>1804</v>
      </c>
      <c r="C461" s="2" t="s">
        <v>423</v>
      </c>
      <c r="D461" s="2" t="s">
        <v>2</v>
      </c>
      <c r="E461" s="2">
        <v>45</v>
      </c>
      <c r="F461" s="2">
        <v>6</v>
      </c>
      <c r="G461" s="2">
        <v>3</v>
      </c>
      <c r="H461" s="2">
        <v>43600000</v>
      </c>
      <c r="I461" s="2">
        <v>131</v>
      </c>
      <c r="J461" s="2" t="s">
        <v>1650</v>
      </c>
      <c r="K461" s="2">
        <v>68</v>
      </c>
      <c r="L461" s="2">
        <v>15</v>
      </c>
      <c r="M461" s="2">
        <v>10</v>
      </c>
      <c r="N461" s="2">
        <v>8</v>
      </c>
      <c r="O461" s="2">
        <v>25</v>
      </c>
      <c r="P461" s="2">
        <v>10</v>
      </c>
      <c r="Q461" s="2" t="s">
        <v>1805</v>
      </c>
      <c r="R461" s="2" t="s">
        <v>1806</v>
      </c>
      <c r="S461" s="4">
        <v>44837</v>
      </c>
    </row>
    <row r="462" spans="1:19" ht="12.5" x14ac:dyDescent="0.25">
      <c r="A462" s="14" t="str">
        <f>HYPERLINK("https://gerandofalcoes.my.salesforce.com/0014X00002VKCpXQAX", "0014X00002VKCpXQAX")</f>
        <v>0014X00002VKCpXQAX</v>
      </c>
      <c r="B462" s="2" t="s">
        <v>2565</v>
      </c>
      <c r="C462" s="2" t="s">
        <v>1800</v>
      </c>
      <c r="D462" s="2" t="s">
        <v>2</v>
      </c>
      <c r="E462" s="2">
        <v>20</v>
      </c>
      <c r="F462" s="2">
        <v>6</v>
      </c>
      <c r="G462" s="2">
        <v>4</v>
      </c>
      <c r="H462" s="2">
        <v>0</v>
      </c>
      <c r="I462" s="2">
        <v>0</v>
      </c>
      <c r="J462" s="2" t="s">
        <v>1779</v>
      </c>
      <c r="K462" s="2">
        <v>30</v>
      </c>
      <c r="L462" s="2">
        <v>10</v>
      </c>
      <c r="M462" s="2">
        <v>10</v>
      </c>
      <c r="N462" s="2">
        <v>10</v>
      </c>
      <c r="O462" s="2">
        <v>0</v>
      </c>
      <c r="P462" s="2">
        <v>0</v>
      </c>
      <c r="Q462" s="2" t="s">
        <v>2566</v>
      </c>
      <c r="R462" s="2" t="s">
        <v>2567</v>
      </c>
      <c r="S462" s="4">
        <v>44837</v>
      </c>
    </row>
    <row r="463" spans="1:19" ht="12.5" x14ac:dyDescent="0.25">
      <c r="A463" s="14" t="str">
        <f>HYPERLINK("https://gerandofalcoes.my.salesforce.com/0014X00002VKCpPQAX", "0014X00002VKCpPQAX")</f>
        <v>0014X00002VKCpPQAX</v>
      </c>
      <c r="B463" s="2" t="s">
        <v>2591</v>
      </c>
      <c r="C463" s="2" t="s">
        <v>423</v>
      </c>
      <c r="D463" s="2" t="s">
        <v>2</v>
      </c>
      <c r="E463" s="2">
        <v>29</v>
      </c>
      <c r="F463" s="2">
        <v>0</v>
      </c>
      <c r="G463" s="2">
        <v>3</v>
      </c>
      <c r="H463" s="2">
        <v>75000</v>
      </c>
      <c r="I463" s="2">
        <v>0</v>
      </c>
      <c r="J463" s="2" t="s">
        <v>1779</v>
      </c>
      <c r="K463" s="2">
        <v>33</v>
      </c>
      <c r="L463" s="2">
        <v>15</v>
      </c>
      <c r="M463" s="2">
        <v>0</v>
      </c>
      <c r="N463" s="2">
        <v>8</v>
      </c>
      <c r="O463" s="2">
        <v>10</v>
      </c>
      <c r="P463" s="2">
        <v>0</v>
      </c>
      <c r="Q463" s="2" t="s">
        <v>2592</v>
      </c>
      <c r="R463" s="2" t="s">
        <v>2592</v>
      </c>
      <c r="S463" s="4">
        <v>44837</v>
      </c>
    </row>
    <row r="464" spans="1:19" ht="12.5" x14ac:dyDescent="0.25">
      <c r="A464" s="14" t="str">
        <f>HYPERLINK("https://gerandofalcoes.my.salesforce.com/0014X00002VKCvCQAX", "0014X00002VKCvCQAX")</f>
        <v>0014X00002VKCvCQAX</v>
      </c>
      <c r="B464" s="2" t="s">
        <v>2415</v>
      </c>
      <c r="C464" s="2" t="s">
        <v>1800</v>
      </c>
      <c r="D464" s="2" t="s">
        <v>2</v>
      </c>
      <c r="E464" s="2">
        <v>25</v>
      </c>
      <c r="F464" s="2">
        <v>0</v>
      </c>
      <c r="G464" s="2">
        <v>4</v>
      </c>
      <c r="H464" s="2">
        <v>25000</v>
      </c>
      <c r="I464" s="2">
        <v>0</v>
      </c>
      <c r="J464" s="2" t="s">
        <v>1779</v>
      </c>
      <c r="K464" s="2">
        <v>35</v>
      </c>
      <c r="L464" s="2">
        <v>15</v>
      </c>
      <c r="M464" s="2">
        <v>0</v>
      </c>
      <c r="N464" s="2">
        <v>10</v>
      </c>
      <c r="O464" s="2">
        <v>10</v>
      </c>
      <c r="P464" s="2">
        <v>0</v>
      </c>
      <c r="Q464" s="2" t="s">
        <v>2416</v>
      </c>
      <c r="R464" s="2" t="s">
        <v>2417</v>
      </c>
      <c r="S464" s="4">
        <v>44837</v>
      </c>
    </row>
    <row r="465" spans="1:19" ht="12.5" x14ac:dyDescent="0.25">
      <c r="A465" s="14" t="str">
        <f>HYPERLINK("https://gerandofalcoes.my.salesforce.com/0014X00002VKCsaQAH", "0014X00002VKCsaQAH")</f>
        <v>0014X00002VKCsaQAH</v>
      </c>
      <c r="B465" s="2" t="s">
        <v>7167</v>
      </c>
      <c r="C465" s="2" t="s">
        <v>423</v>
      </c>
      <c r="D465" s="2" t="s">
        <v>2</v>
      </c>
      <c r="E465" s="2">
        <v>40.25</v>
      </c>
      <c r="F465" s="2">
        <v>0</v>
      </c>
      <c r="G465" s="2">
        <v>3</v>
      </c>
      <c r="H465" s="2">
        <v>10749</v>
      </c>
      <c r="I465" s="2">
        <v>15</v>
      </c>
      <c r="J465" s="2" t="s">
        <v>1779</v>
      </c>
      <c r="K465" s="2">
        <v>33</v>
      </c>
      <c r="L465" s="2">
        <v>15</v>
      </c>
      <c r="M465" s="2">
        <v>0</v>
      </c>
      <c r="N465" s="2">
        <v>8</v>
      </c>
      <c r="O465" s="2">
        <v>5</v>
      </c>
      <c r="P465" s="2">
        <v>5</v>
      </c>
      <c r="Q465" s="2" t="s">
        <v>1962</v>
      </c>
      <c r="R465" s="2" t="s">
        <v>1962</v>
      </c>
      <c r="S465" s="4">
        <v>44837</v>
      </c>
    </row>
    <row r="466" spans="1:19" ht="12.5" x14ac:dyDescent="0.25">
      <c r="A466" s="14" t="str">
        <f>HYPERLINK("https://gerandofalcoes.my.salesforce.com/0014X00002VKCt9QAH", "0014X00002VKCt9QAH")</f>
        <v>0014X00002VKCt9QAH</v>
      </c>
      <c r="B466" s="2" t="s">
        <v>2100</v>
      </c>
      <c r="C466" s="2" t="s">
        <v>1800</v>
      </c>
      <c r="D466" s="2" t="s">
        <v>2</v>
      </c>
      <c r="E466" s="2">
        <v>35</v>
      </c>
      <c r="F466" s="2">
        <v>0</v>
      </c>
      <c r="G466" s="2">
        <v>2</v>
      </c>
      <c r="H466" s="2">
        <v>600</v>
      </c>
      <c r="I466" s="2">
        <v>150</v>
      </c>
      <c r="J466" s="2" t="s">
        <v>1779</v>
      </c>
      <c r="K466" s="2">
        <v>38</v>
      </c>
      <c r="L466" s="2">
        <v>15</v>
      </c>
      <c r="M466" s="2">
        <v>0</v>
      </c>
      <c r="N466" s="2">
        <v>6</v>
      </c>
      <c r="O466" s="2">
        <v>5</v>
      </c>
      <c r="P466" s="2">
        <v>12</v>
      </c>
      <c r="Q466" s="2" t="s">
        <v>2101</v>
      </c>
      <c r="R466" s="2" t="s">
        <v>2102</v>
      </c>
      <c r="S466" s="4">
        <v>44837</v>
      </c>
    </row>
    <row r="467" spans="1:19" ht="12.5" x14ac:dyDescent="0.25">
      <c r="A467" s="14" t="str">
        <f>HYPERLINK("https://gerandofalcoes.my.salesforce.com/0014X00002VKCtvQAH", "0014X00002VKCtvQAH")</f>
        <v>0014X00002VKCtvQAH</v>
      </c>
      <c r="B467" s="2" t="s">
        <v>1959</v>
      </c>
      <c r="C467" s="2" t="s">
        <v>423</v>
      </c>
      <c r="D467" s="2" t="s">
        <v>2</v>
      </c>
      <c r="E467" s="2">
        <v>54</v>
      </c>
      <c r="F467" s="2">
        <v>0</v>
      </c>
      <c r="G467" s="2">
        <v>3</v>
      </c>
      <c r="H467" s="2">
        <v>100000</v>
      </c>
      <c r="I467" s="2">
        <v>120</v>
      </c>
      <c r="J467" s="2" t="s">
        <v>1671</v>
      </c>
      <c r="K467" s="2">
        <v>53</v>
      </c>
      <c r="L467" s="2">
        <v>20</v>
      </c>
      <c r="M467" s="2">
        <v>0</v>
      </c>
      <c r="N467" s="2">
        <v>8</v>
      </c>
      <c r="O467" s="2">
        <v>15</v>
      </c>
      <c r="P467" s="2">
        <v>10</v>
      </c>
      <c r="Q467" s="2" t="s">
        <v>7153</v>
      </c>
      <c r="R467" s="2" t="s">
        <v>1960</v>
      </c>
      <c r="S467" s="4">
        <v>44837</v>
      </c>
    </row>
    <row r="468" spans="1:19" ht="12.5" x14ac:dyDescent="0.25">
      <c r="A468" s="14" t="str">
        <f>HYPERLINK("https://gerandofalcoes.my.salesforce.com/0014X00002VKCpMQAX", "0014X00002VKCpMQAX")</f>
        <v>0014X00002VKCpMQAX</v>
      </c>
      <c r="B468" s="2" t="s">
        <v>2660</v>
      </c>
      <c r="C468" s="2" t="s">
        <v>1800</v>
      </c>
      <c r="D468" s="2" t="s">
        <v>2</v>
      </c>
      <c r="E468" s="2">
        <v>17</v>
      </c>
      <c r="F468" s="2">
        <v>0</v>
      </c>
      <c r="G468" s="2">
        <v>2</v>
      </c>
      <c r="H468" s="2">
        <v>6000</v>
      </c>
      <c r="I468" s="2">
        <v>90</v>
      </c>
      <c r="J468" s="2" t="s">
        <v>1779</v>
      </c>
      <c r="K468" s="2">
        <v>31</v>
      </c>
      <c r="L468" s="2">
        <v>10</v>
      </c>
      <c r="M468" s="2">
        <v>0</v>
      </c>
      <c r="N468" s="2">
        <v>6</v>
      </c>
      <c r="O468" s="2">
        <v>5</v>
      </c>
      <c r="P468" s="2">
        <v>10</v>
      </c>
      <c r="Q468" s="2" t="s">
        <v>2661</v>
      </c>
      <c r="R468" s="2" t="s">
        <v>2661</v>
      </c>
      <c r="S468" s="4">
        <v>44837</v>
      </c>
    </row>
    <row r="469" spans="1:19" ht="12.5" x14ac:dyDescent="0.25">
      <c r="A469" s="14" t="str">
        <f>HYPERLINK("https://gerandofalcoes.my.salesforce.com/0014X00002VKCtJQAX", "0014X00002VKCtJQAX")</f>
        <v>0014X00002VKCtJQAX</v>
      </c>
      <c r="B469" s="2" t="s">
        <v>2672</v>
      </c>
      <c r="C469" s="2" t="s">
        <v>423</v>
      </c>
      <c r="D469" s="2" t="s">
        <v>2</v>
      </c>
      <c r="E469" s="2">
        <v>17</v>
      </c>
      <c r="F469" s="2">
        <v>0</v>
      </c>
      <c r="G469" s="2">
        <v>3</v>
      </c>
      <c r="H469" s="2">
        <v>0</v>
      </c>
      <c r="I469" s="2">
        <v>0</v>
      </c>
      <c r="J469" s="2" t="s">
        <v>1779</v>
      </c>
      <c r="K469" s="2">
        <v>18</v>
      </c>
      <c r="L469" s="2">
        <v>10</v>
      </c>
      <c r="M469" s="2">
        <v>0</v>
      </c>
      <c r="N469" s="2">
        <v>8</v>
      </c>
      <c r="O469" s="2">
        <v>0</v>
      </c>
      <c r="P469" s="2">
        <v>0</v>
      </c>
      <c r="Q469" s="2" t="s">
        <v>2673</v>
      </c>
      <c r="R469" s="2" t="s">
        <v>2674</v>
      </c>
      <c r="S469" s="4">
        <v>44837</v>
      </c>
    </row>
    <row r="470" spans="1:19" ht="12.5" x14ac:dyDescent="0.25">
      <c r="A470" s="14" t="str">
        <f>HYPERLINK("https://gerandofalcoes.my.salesforce.com/0014X00002VKCttQAH", "0014X00002VKCttQAH")</f>
        <v>0014X00002VKCttQAH</v>
      </c>
      <c r="B470" s="2" t="s">
        <v>1966</v>
      </c>
      <c r="C470" s="2" t="s">
        <v>1684</v>
      </c>
      <c r="D470" s="2" t="s">
        <v>2</v>
      </c>
      <c r="E470" s="2">
        <v>40</v>
      </c>
      <c r="F470" s="2">
        <v>5</v>
      </c>
      <c r="G470" s="2">
        <v>3</v>
      </c>
      <c r="H470" s="2">
        <v>20</v>
      </c>
      <c r="I470" s="2">
        <v>30</v>
      </c>
      <c r="J470" s="2" t="s">
        <v>1779</v>
      </c>
      <c r="K470" s="2">
        <v>38</v>
      </c>
      <c r="L470" s="2">
        <v>15</v>
      </c>
      <c r="M470" s="2">
        <v>5</v>
      </c>
      <c r="N470" s="2">
        <v>8</v>
      </c>
      <c r="O470" s="2">
        <v>5</v>
      </c>
      <c r="P470" s="2">
        <v>5</v>
      </c>
      <c r="Q470" s="2" t="s">
        <v>1967</v>
      </c>
      <c r="R470" s="2" t="s">
        <v>1968</v>
      </c>
      <c r="S470" s="4">
        <v>44837</v>
      </c>
    </row>
    <row r="471" spans="1:19" ht="12.5" x14ac:dyDescent="0.25">
      <c r="A471" s="14" t="str">
        <f>HYPERLINK("https://gerandofalcoes.my.salesforce.com/0014X00002VKCsQQAX", "0014X00002VKCsQQAX")</f>
        <v>0014X00002VKCsQQAX</v>
      </c>
      <c r="B471" s="2" t="s">
        <v>2780</v>
      </c>
      <c r="C471" s="2" t="s">
        <v>1800</v>
      </c>
      <c r="D471" s="2" t="s">
        <v>2</v>
      </c>
      <c r="E471" s="2">
        <v>13</v>
      </c>
      <c r="F471" s="2">
        <v>0</v>
      </c>
      <c r="G471" s="2">
        <v>2</v>
      </c>
      <c r="H471" s="2">
        <v>0</v>
      </c>
      <c r="I471" s="2">
        <v>585</v>
      </c>
      <c r="J471" s="2" t="s">
        <v>1779</v>
      </c>
      <c r="K471" s="2">
        <v>36</v>
      </c>
      <c r="L471" s="2">
        <v>10</v>
      </c>
      <c r="M471" s="2">
        <v>0</v>
      </c>
      <c r="N471" s="2">
        <v>6</v>
      </c>
      <c r="O471" s="2">
        <v>0</v>
      </c>
      <c r="P471" s="2">
        <v>20</v>
      </c>
      <c r="Q471" s="2" t="s">
        <v>2781</v>
      </c>
      <c r="R471" s="2" t="s">
        <v>2782</v>
      </c>
      <c r="S471" s="4">
        <v>44837</v>
      </c>
    </row>
    <row r="472" spans="1:19" ht="12.5" x14ac:dyDescent="0.25">
      <c r="A472" s="14" t="str">
        <f>HYPERLINK("https://gerandofalcoes.my.salesforce.com/0014P00003YSp7fQAD", "0014P00003YSp7fQAD")</f>
        <v>0014P00003YSp7fQAD</v>
      </c>
      <c r="B472" s="2" t="s">
        <v>2465</v>
      </c>
      <c r="C472" s="2" t="s">
        <v>423</v>
      </c>
      <c r="D472" s="2" t="s">
        <v>2</v>
      </c>
      <c r="E472" s="2">
        <v>23</v>
      </c>
      <c r="F472" s="2">
        <v>0</v>
      </c>
      <c r="G472" s="2">
        <v>2</v>
      </c>
      <c r="H472" s="2">
        <v>5000</v>
      </c>
      <c r="I472" s="2">
        <v>50</v>
      </c>
      <c r="J472" s="2" t="s">
        <v>1779</v>
      </c>
      <c r="K472" s="2">
        <v>26</v>
      </c>
      <c r="L472" s="2">
        <v>10</v>
      </c>
      <c r="M472" s="2">
        <v>0</v>
      </c>
      <c r="N472" s="2">
        <v>6</v>
      </c>
      <c r="O472" s="2">
        <v>5</v>
      </c>
      <c r="P472" s="2">
        <v>5</v>
      </c>
      <c r="Q472" s="2" t="s">
        <v>6552</v>
      </c>
      <c r="R472" s="2" t="s">
        <v>6552</v>
      </c>
      <c r="S472" s="4">
        <v>44837</v>
      </c>
    </row>
    <row r="473" spans="1:19" ht="12.5" x14ac:dyDescent="0.25">
      <c r="A473" s="14" t="str">
        <f>HYPERLINK("https://gerandofalcoes.my.salesforce.com/0014P00003YSp7hQAD", "0014P00003YSp7hQAD")</f>
        <v>0014P00003YSp7hQAD</v>
      </c>
      <c r="B473" s="2" t="s">
        <v>2713</v>
      </c>
      <c r="C473" s="2" t="s">
        <v>423</v>
      </c>
      <c r="D473" s="2" t="s">
        <v>2</v>
      </c>
      <c r="E473" s="2">
        <v>15</v>
      </c>
      <c r="F473" s="2">
        <v>4</v>
      </c>
      <c r="G473" s="2">
        <v>3</v>
      </c>
      <c r="H473" s="2">
        <v>89000</v>
      </c>
      <c r="I473" s="2">
        <v>820</v>
      </c>
      <c r="J473" s="2" t="s">
        <v>1671</v>
      </c>
      <c r="K473" s="2">
        <v>53</v>
      </c>
      <c r="L473" s="2">
        <v>10</v>
      </c>
      <c r="M473" s="2">
        <v>5</v>
      </c>
      <c r="N473" s="2">
        <v>8</v>
      </c>
      <c r="O473" s="2">
        <v>10</v>
      </c>
      <c r="P473" s="2">
        <v>20</v>
      </c>
      <c r="Q473" s="2" t="s">
        <v>2714</v>
      </c>
      <c r="R473" s="2" t="s">
        <v>2714</v>
      </c>
      <c r="S473" s="4">
        <v>44837</v>
      </c>
    </row>
    <row r="474" spans="1:19" ht="12.5" x14ac:dyDescent="0.25">
      <c r="A474" s="14" t="str">
        <f>HYPERLINK("https://gerandofalcoes.my.salesforce.com/0014P00003YSp7iQAD", "0014P00003YSp7iQAD")</f>
        <v>0014P00003YSp7iQAD</v>
      </c>
      <c r="B474" s="2" t="s">
        <v>2680</v>
      </c>
      <c r="C474" s="2" t="s">
        <v>423</v>
      </c>
      <c r="D474" s="2" t="s">
        <v>2</v>
      </c>
      <c r="E474" s="2">
        <v>35</v>
      </c>
      <c r="F474" s="2">
        <v>0</v>
      </c>
      <c r="G474" s="2">
        <v>1</v>
      </c>
      <c r="H474" s="2">
        <v>2000</v>
      </c>
      <c r="I474" s="2">
        <v>300</v>
      </c>
      <c r="J474" s="2" t="s">
        <v>1779</v>
      </c>
      <c r="K474" s="2">
        <v>39</v>
      </c>
      <c r="L474" s="2">
        <v>15</v>
      </c>
      <c r="M474" s="2">
        <v>0</v>
      </c>
      <c r="N474" s="2">
        <v>4</v>
      </c>
      <c r="O474" s="2">
        <v>5</v>
      </c>
      <c r="P474" s="2">
        <v>15</v>
      </c>
      <c r="Q474" s="2" t="s">
        <v>2681</v>
      </c>
      <c r="R474" s="2" t="s">
        <v>2682</v>
      </c>
      <c r="S474" s="4">
        <v>44837</v>
      </c>
    </row>
    <row r="475" spans="1:19" ht="12.5" x14ac:dyDescent="0.25">
      <c r="A475" s="14" t="str">
        <f>HYPERLINK("https://gerandofalcoes.my.salesforce.com/0014P00003YSp7kQAD", "0014P00003YSp7kQAD")</f>
        <v>0014P00003YSp7kQAD</v>
      </c>
      <c r="B475" s="2" t="s">
        <v>2225</v>
      </c>
      <c r="C475" s="2" t="s">
        <v>1800</v>
      </c>
      <c r="D475" s="2" t="s">
        <v>2</v>
      </c>
      <c r="E475" s="2">
        <v>32</v>
      </c>
      <c r="F475" s="2">
        <v>0</v>
      </c>
      <c r="G475" s="2">
        <v>2</v>
      </c>
      <c r="H475" s="2">
        <v>0</v>
      </c>
      <c r="I475" s="2">
        <v>17</v>
      </c>
      <c r="J475" s="2" t="s">
        <v>1779</v>
      </c>
      <c r="K475" s="2">
        <v>26</v>
      </c>
      <c r="L475" s="2">
        <v>15</v>
      </c>
      <c r="M475" s="2">
        <v>0</v>
      </c>
      <c r="N475" s="2">
        <v>6</v>
      </c>
      <c r="O475" s="2">
        <v>0</v>
      </c>
      <c r="P475" s="2">
        <v>5</v>
      </c>
      <c r="Q475" s="2" t="s">
        <v>2226</v>
      </c>
      <c r="R475" s="2" t="s">
        <v>2227</v>
      </c>
      <c r="S475" s="4">
        <v>44837</v>
      </c>
    </row>
    <row r="476" spans="1:19" ht="12.5" x14ac:dyDescent="0.25">
      <c r="A476" s="14" t="str">
        <f>HYPERLINK("https://gerandofalcoes.my.salesforce.com/0014P00003YSp7lQAD", "0014P00003YSp7lQAD")</f>
        <v>0014P00003YSp7lQAD</v>
      </c>
      <c r="B476" s="2" t="s">
        <v>2057</v>
      </c>
      <c r="C476" s="2" t="s">
        <v>423</v>
      </c>
      <c r="D476" s="2" t="s">
        <v>2</v>
      </c>
      <c r="E476" s="2">
        <v>37</v>
      </c>
      <c r="F476" s="2">
        <v>0</v>
      </c>
      <c r="G476" s="2">
        <v>2</v>
      </c>
      <c r="H476" s="2">
        <v>50000</v>
      </c>
      <c r="I476" s="2">
        <v>0</v>
      </c>
      <c r="J476" s="2" t="s">
        <v>1779</v>
      </c>
      <c r="K476" s="2">
        <v>31</v>
      </c>
      <c r="L476" s="2">
        <v>15</v>
      </c>
      <c r="M476" s="2">
        <v>0</v>
      </c>
      <c r="N476" s="2">
        <v>6</v>
      </c>
      <c r="O476" s="2">
        <v>10</v>
      </c>
      <c r="P476" s="2">
        <v>0</v>
      </c>
      <c r="Q476" s="2" t="s">
        <v>2058</v>
      </c>
      <c r="R476" s="2" t="s">
        <v>2059</v>
      </c>
      <c r="S476" s="4">
        <v>44837</v>
      </c>
    </row>
    <row r="477" spans="1:19" ht="12.5" x14ac:dyDescent="0.25">
      <c r="A477" s="14" t="str">
        <f>HYPERLINK("https://gerandofalcoes.my.salesforce.com/0014P00003YSp7mQAD", "0014P00003YSp7mQAD")</f>
        <v>0014P00003YSp7mQAD</v>
      </c>
      <c r="B477" s="2" t="s">
        <v>2109</v>
      </c>
      <c r="C477" s="2" t="s">
        <v>1800</v>
      </c>
      <c r="D477" s="2" t="s">
        <v>2</v>
      </c>
      <c r="E477" s="2">
        <v>35</v>
      </c>
      <c r="F477" s="2">
        <v>5</v>
      </c>
      <c r="G477" s="2">
        <v>4</v>
      </c>
      <c r="H477" s="2">
        <v>0</v>
      </c>
      <c r="I477" s="2">
        <v>53</v>
      </c>
      <c r="J477" s="2" t="s">
        <v>1779</v>
      </c>
      <c r="K477" s="2">
        <v>35</v>
      </c>
      <c r="L477" s="2">
        <v>15</v>
      </c>
      <c r="M477" s="2">
        <v>5</v>
      </c>
      <c r="N477" s="2">
        <v>10</v>
      </c>
      <c r="O477" s="2">
        <v>0</v>
      </c>
      <c r="P477" s="2">
        <v>5</v>
      </c>
      <c r="Q477" s="2" t="s">
        <v>2110</v>
      </c>
      <c r="R477" s="2" t="s">
        <v>2111</v>
      </c>
      <c r="S477" s="4">
        <v>44837</v>
      </c>
    </row>
    <row r="478" spans="1:19" ht="12.5" x14ac:dyDescent="0.25">
      <c r="A478" s="14" t="str">
        <f>HYPERLINK("https://gerandofalcoes.my.salesforce.com/0014P00003YSp7nQAD", "0014P00003YSp7nQAD")</f>
        <v>0014P00003YSp7nQAD</v>
      </c>
      <c r="B478" s="2" t="s">
        <v>2401</v>
      </c>
      <c r="C478" s="2" t="s">
        <v>1800</v>
      </c>
      <c r="D478" s="2" t="s">
        <v>2</v>
      </c>
      <c r="E478" s="2">
        <v>25</v>
      </c>
      <c r="F478" s="2">
        <v>7</v>
      </c>
      <c r="G478" s="2">
        <v>6</v>
      </c>
      <c r="H478" s="2">
        <v>200000</v>
      </c>
      <c r="I478" s="2">
        <v>350</v>
      </c>
      <c r="J478" s="2" t="s">
        <v>1650</v>
      </c>
      <c r="K478" s="2">
        <v>65</v>
      </c>
      <c r="L478" s="2">
        <v>15</v>
      </c>
      <c r="M478" s="2">
        <v>10</v>
      </c>
      <c r="N478" s="2">
        <v>10</v>
      </c>
      <c r="O478" s="2">
        <v>15</v>
      </c>
      <c r="P478" s="2">
        <v>15</v>
      </c>
      <c r="Q478" s="2" t="s">
        <v>2402</v>
      </c>
      <c r="R478" s="2" t="s">
        <v>2403</v>
      </c>
      <c r="S478" s="4">
        <v>44837</v>
      </c>
    </row>
    <row r="479" spans="1:19" ht="12.5" x14ac:dyDescent="0.25">
      <c r="A479" s="14" t="str">
        <f>HYPERLINK("https://gerandofalcoes.my.salesforce.com/0014P00003YSp7oQAD", "0014P00003YSp7oQAD")</f>
        <v>0014P00003YSp7oQAD</v>
      </c>
      <c r="B479" s="2" t="s">
        <v>2746</v>
      </c>
      <c r="C479" s="2" t="s">
        <v>1800</v>
      </c>
      <c r="D479" s="2" t="s">
        <v>2</v>
      </c>
      <c r="E479" s="2">
        <v>14</v>
      </c>
      <c r="F479" s="2">
        <v>30</v>
      </c>
      <c r="G479" s="2">
        <v>2</v>
      </c>
      <c r="H479" s="2">
        <v>10000</v>
      </c>
      <c r="I479" s="2">
        <v>350</v>
      </c>
      <c r="J479" s="2" t="s">
        <v>1671</v>
      </c>
      <c r="K479" s="2">
        <v>48</v>
      </c>
      <c r="L479" s="2">
        <v>10</v>
      </c>
      <c r="M479" s="2">
        <v>12</v>
      </c>
      <c r="N479" s="2">
        <v>6</v>
      </c>
      <c r="O479" s="2">
        <v>5</v>
      </c>
      <c r="P479" s="2">
        <v>15</v>
      </c>
      <c r="Q479" s="2" t="s">
        <v>2747</v>
      </c>
      <c r="R479" s="2" t="s">
        <v>2748</v>
      </c>
      <c r="S479" s="4">
        <v>44837</v>
      </c>
    </row>
    <row r="480" spans="1:19" ht="12.5" x14ac:dyDescent="0.25">
      <c r="A480" s="14" t="str">
        <f>HYPERLINK("https://gerandofalcoes.my.salesforce.com/0014P00003YSp7pQAD", "0014P00003YSp7pQAD")</f>
        <v>0014P00003YSp7pQAD</v>
      </c>
      <c r="B480" s="2" t="s">
        <v>2596</v>
      </c>
      <c r="C480" s="2" t="s">
        <v>1800</v>
      </c>
      <c r="D480" s="2" t="s">
        <v>2</v>
      </c>
      <c r="E480" s="2">
        <v>19</v>
      </c>
      <c r="F480" s="2">
        <v>0</v>
      </c>
      <c r="G480" s="2">
        <v>3</v>
      </c>
      <c r="H480" s="2">
        <v>150000</v>
      </c>
      <c r="I480" s="2">
        <v>190</v>
      </c>
      <c r="J480" s="2" t="s">
        <v>1671</v>
      </c>
      <c r="K480" s="2">
        <v>45</v>
      </c>
      <c r="L480" s="2">
        <v>10</v>
      </c>
      <c r="M480" s="2">
        <v>0</v>
      </c>
      <c r="N480" s="2">
        <v>8</v>
      </c>
      <c r="O480" s="2">
        <v>15</v>
      </c>
      <c r="P480" s="2">
        <v>12</v>
      </c>
      <c r="Q480" s="2" t="s">
        <v>2597</v>
      </c>
      <c r="R480" s="2" t="s">
        <v>2598</v>
      </c>
      <c r="S480" s="4">
        <v>44837</v>
      </c>
    </row>
    <row r="481" spans="1:19" ht="12.5" x14ac:dyDescent="0.25">
      <c r="A481" s="14" t="str">
        <f>HYPERLINK("https://gerandofalcoes.my.salesforce.com/0014P00003YSp7qQAD", "0014P00003YSp7qQAD")</f>
        <v>0014P00003YSp7qQAD</v>
      </c>
      <c r="B481" s="2" t="s">
        <v>2438</v>
      </c>
      <c r="C481" s="2" t="s">
        <v>423</v>
      </c>
      <c r="D481" s="2" t="s">
        <v>2</v>
      </c>
      <c r="E481" s="2">
        <v>24</v>
      </c>
      <c r="F481" s="2">
        <v>5</v>
      </c>
      <c r="G481" s="2">
        <v>2</v>
      </c>
      <c r="H481" s="2">
        <v>7000</v>
      </c>
      <c r="I481" s="2">
        <v>1250</v>
      </c>
      <c r="J481" s="2" t="s">
        <v>1671</v>
      </c>
      <c r="K481" s="2">
        <v>46</v>
      </c>
      <c r="L481" s="2">
        <v>10</v>
      </c>
      <c r="M481" s="2">
        <v>5</v>
      </c>
      <c r="N481" s="2">
        <v>6</v>
      </c>
      <c r="O481" s="2">
        <v>5</v>
      </c>
      <c r="P481" s="2">
        <v>20</v>
      </c>
      <c r="Q481" s="2" t="s">
        <v>2439</v>
      </c>
      <c r="R481" s="2" t="s">
        <v>2440</v>
      </c>
      <c r="S481" s="4">
        <v>44837</v>
      </c>
    </row>
    <row r="482" spans="1:19" ht="12.5" x14ac:dyDescent="0.25">
      <c r="A482" s="14" t="str">
        <f>HYPERLINK("https://gerandofalcoes.my.salesforce.com/0014P00003YSp7rQAD", "0014P00003YSp7rQAD")</f>
        <v>0014P00003YSp7rQAD</v>
      </c>
      <c r="B482" s="2" t="s">
        <v>2509</v>
      </c>
      <c r="C482" s="2" t="s">
        <v>1800</v>
      </c>
      <c r="D482" s="2" t="s">
        <v>2</v>
      </c>
      <c r="E482" s="2">
        <v>21</v>
      </c>
      <c r="F482" s="2">
        <v>1</v>
      </c>
      <c r="G482" s="2">
        <v>2</v>
      </c>
      <c r="H482" s="2">
        <v>11000</v>
      </c>
      <c r="I482" s="2">
        <v>320</v>
      </c>
      <c r="J482" s="2" t="s">
        <v>1671</v>
      </c>
      <c r="K482" s="2">
        <v>41</v>
      </c>
      <c r="L482" s="2">
        <v>10</v>
      </c>
      <c r="M482" s="2">
        <v>5</v>
      </c>
      <c r="N482" s="2">
        <v>6</v>
      </c>
      <c r="O482" s="2">
        <v>5</v>
      </c>
      <c r="P482" s="2">
        <v>15</v>
      </c>
      <c r="Q482" s="2" t="s">
        <v>2510</v>
      </c>
      <c r="R482" s="2" t="s">
        <v>2510</v>
      </c>
      <c r="S482" s="4">
        <v>44837</v>
      </c>
    </row>
    <row r="483" spans="1:19" ht="12.5" x14ac:dyDescent="0.25">
      <c r="A483" s="14" t="str">
        <f>HYPERLINK("https://gerandofalcoes.my.salesforce.com/0014P00003YSp7sQAD", "0014P00003YSp7sQAD")</f>
        <v>0014P00003YSp7sQAD</v>
      </c>
      <c r="B483" s="2" t="s">
        <v>1674</v>
      </c>
      <c r="C483" s="2" t="s">
        <v>423</v>
      </c>
      <c r="D483" s="2" t="s">
        <v>27</v>
      </c>
      <c r="E483" s="2">
        <v>88.17</v>
      </c>
      <c r="F483" s="2">
        <v>12</v>
      </c>
      <c r="G483" s="2">
        <v>3</v>
      </c>
      <c r="H483" s="2">
        <v>60000</v>
      </c>
      <c r="I483" s="2">
        <v>300</v>
      </c>
      <c r="J483" s="2" t="s">
        <v>1650</v>
      </c>
      <c r="K483" s="2">
        <v>70</v>
      </c>
      <c r="L483" s="2">
        <v>25</v>
      </c>
      <c r="M483" s="2">
        <v>12</v>
      </c>
      <c r="N483" s="2">
        <v>8</v>
      </c>
      <c r="O483" s="2">
        <v>10</v>
      </c>
      <c r="P483" s="2">
        <v>15</v>
      </c>
      <c r="Q483" s="2" t="s">
        <v>1675</v>
      </c>
      <c r="R483" s="2" t="s">
        <v>1675</v>
      </c>
      <c r="S483" s="4">
        <v>44837</v>
      </c>
    </row>
    <row r="484" spans="1:19" ht="12.5" x14ac:dyDescent="0.25">
      <c r="A484" s="14" t="str">
        <f>HYPERLINK("https://gerandofalcoes.my.salesforce.com/0014P00003YSp7tQAD", "0014P00003YSp7tQAD")</f>
        <v>0014P00003YSp7tQAD</v>
      </c>
      <c r="B484" s="2" t="s">
        <v>2418</v>
      </c>
      <c r="C484" s="2" t="s">
        <v>1800</v>
      </c>
      <c r="D484" s="2" t="s">
        <v>2</v>
      </c>
      <c r="E484" s="2">
        <v>25</v>
      </c>
      <c r="F484" s="2">
        <v>8</v>
      </c>
      <c r="G484" s="2">
        <v>2</v>
      </c>
      <c r="H484" s="2">
        <v>0</v>
      </c>
      <c r="I484" s="2">
        <v>0</v>
      </c>
      <c r="J484" s="2" t="s">
        <v>1779</v>
      </c>
      <c r="K484" s="2">
        <v>31</v>
      </c>
      <c r="L484" s="2">
        <v>15</v>
      </c>
      <c r="M484" s="2">
        <v>10</v>
      </c>
      <c r="N484" s="2">
        <v>6</v>
      </c>
      <c r="O484" s="2">
        <v>0</v>
      </c>
      <c r="P484" s="2">
        <v>0</v>
      </c>
      <c r="Q484" s="2" t="s">
        <v>2419</v>
      </c>
      <c r="R484" s="2" t="s">
        <v>2419</v>
      </c>
      <c r="S484" s="4">
        <v>44837</v>
      </c>
    </row>
    <row r="485" spans="1:19" ht="12.5" x14ac:dyDescent="0.25">
      <c r="A485" s="14" t="str">
        <f>HYPERLINK("https://gerandofalcoes.my.salesforce.com/0014P00003YSp7uQAD", "0014P00003YSp7uQAD")</f>
        <v>0014P00003YSp7uQAD</v>
      </c>
      <c r="B485" s="2" t="s">
        <v>2120</v>
      </c>
      <c r="C485" s="2" t="s">
        <v>423</v>
      </c>
      <c r="D485" s="2" t="s">
        <v>2</v>
      </c>
      <c r="E485" s="2">
        <v>35</v>
      </c>
      <c r="F485" s="2">
        <v>5</v>
      </c>
      <c r="G485" s="2">
        <v>2</v>
      </c>
      <c r="H485" s="2">
        <v>100000</v>
      </c>
      <c r="I485" s="2">
        <v>0</v>
      </c>
      <c r="J485" s="2" t="s">
        <v>1671</v>
      </c>
      <c r="K485" s="2">
        <v>41</v>
      </c>
      <c r="L485" s="2">
        <v>15</v>
      </c>
      <c r="M485" s="2">
        <v>5</v>
      </c>
      <c r="N485" s="2">
        <v>6</v>
      </c>
      <c r="O485" s="2">
        <v>15</v>
      </c>
      <c r="P485" s="2">
        <v>0</v>
      </c>
      <c r="Q485" s="2" t="s">
        <v>2121</v>
      </c>
      <c r="R485" s="2" t="s">
        <v>2121</v>
      </c>
      <c r="S485" s="4">
        <v>44837</v>
      </c>
    </row>
    <row r="486" spans="1:19" ht="12.5" x14ac:dyDescent="0.25">
      <c r="A486" s="14" t="str">
        <f>HYPERLINK("https://gerandofalcoes.my.salesforce.com/0014X00002VKCr2QAH", "0014X00002VKCr2QAH")</f>
        <v>0014X00002VKCr2QAH</v>
      </c>
      <c r="B486" s="2" t="s">
        <v>1915</v>
      </c>
      <c r="C486" s="2" t="s">
        <v>423</v>
      </c>
      <c r="D486" s="2" t="s">
        <v>2</v>
      </c>
      <c r="E486" s="2">
        <v>36</v>
      </c>
      <c r="F486" s="2">
        <v>8</v>
      </c>
      <c r="G486" s="2">
        <v>2</v>
      </c>
      <c r="H486" s="2">
        <v>4500000</v>
      </c>
      <c r="I486" s="2">
        <v>-40</v>
      </c>
      <c r="J486" s="2" t="s">
        <v>1671</v>
      </c>
      <c r="K486" s="2">
        <v>56</v>
      </c>
      <c r="L486" s="2">
        <v>15</v>
      </c>
      <c r="M486" s="2">
        <v>10</v>
      </c>
      <c r="N486" s="2">
        <v>6</v>
      </c>
      <c r="O486" s="2">
        <v>25</v>
      </c>
      <c r="P486" s="2">
        <v>0</v>
      </c>
      <c r="Q486" s="2" t="s">
        <v>1916</v>
      </c>
      <c r="R486" s="2" t="s">
        <v>1917</v>
      </c>
      <c r="S486" s="4">
        <v>44837</v>
      </c>
    </row>
    <row r="487" spans="1:19" ht="12.5" x14ac:dyDescent="0.25">
      <c r="A487" s="14" t="str">
        <f>HYPERLINK("https://gerandofalcoes.my.salesforce.com/0014P00003YSp7vQAD", "0014P00003YSp7vQAD")</f>
        <v>0014P00003YSp7vQAD</v>
      </c>
      <c r="B487" s="2" t="s">
        <v>2492</v>
      </c>
      <c r="C487" s="2" t="s">
        <v>423</v>
      </c>
      <c r="D487" s="2" t="s">
        <v>2</v>
      </c>
      <c r="E487" s="2">
        <v>20</v>
      </c>
      <c r="F487" s="2">
        <v>2</v>
      </c>
      <c r="G487" s="2">
        <v>1</v>
      </c>
      <c r="H487" s="2">
        <v>42000</v>
      </c>
      <c r="I487" s="2">
        <v>71</v>
      </c>
      <c r="J487" s="2" t="s">
        <v>1779</v>
      </c>
      <c r="K487" s="2">
        <v>34</v>
      </c>
      <c r="L487" s="2">
        <v>10</v>
      </c>
      <c r="M487" s="2">
        <v>5</v>
      </c>
      <c r="N487" s="2">
        <v>4</v>
      </c>
      <c r="O487" s="2">
        <v>10</v>
      </c>
      <c r="P487" s="2">
        <v>5</v>
      </c>
      <c r="Q487" s="2" t="s">
        <v>2493</v>
      </c>
      <c r="R487" s="2" t="s">
        <v>2493</v>
      </c>
      <c r="S487" s="4">
        <v>44837</v>
      </c>
    </row>
    <row r="488" spans="1:19" ht="12.5" x14ac:dyDescent="0.25">
      <c r="A488" s="14" t="str">
        <f>HYPERLINK("https://gerandofalcoes.my.salesforce.com/0014P00003YSp7xQAD", "0014P00003YSp7xQAD")</f>
        <v>0014P00003YSp7xQAD</v>
      </c>
      <c r="B488" s="2" t="s">
        <v>2801</v>
      </c>
      <c r="C488" s="2" t="s">
        <v>1800</v>
      </c>
      <c r="D488" s="2" t="s">
        <v>2</v>
      </c>
      <c r="E488" s="2">
        <v>13</v>
      </c>
      <c r="F488" s="2">
        <v>7</v>
      </c>
      <c r="G488" s="2">
        <v>3</v>
      </c>
      <c r="H488" s="2">
        <v>1000</v>
      </c>
      <c r="I488" s="2">
        <v>30</v>
      </c>
      <c r="J488" s="2" t="s">
        <v>1779</v>
      </c>
      <c r="K488" s="2">
        <v>38</v>
      </c>
      <c r="L488" s="2">
        <v>10</v>
      </c>
      <c r="M488" s="2">
        <v>10</v>
      </c>
      <c r="N488" s="2">
        <v>8</v>
      </c>
      <c r="O488" s="2">
        <v>5</v>
      </c>
      <c r="P488" s="2">
        <v>5</v>
      </c>
      <c r="Q488" s="2" t="s">
        <v>2802</v>
      </c>
      <c r="R488" s="2" t="s">
        <v>2803</v>
      </c>
      <c r="S488" s="4">
        <v>44837</v>
      </c>
    </row>
    <row r="489" spans="1:19" ht="12.5" x14ac:dyDescent="0.25">
      <c r="A489" s="14" t="str">
        <f>HYPERLINK("https://gerandofalcoes.my.salesforce.com/0014X00002VKCsvQAH", "0014X00002VKCsvQAH")</f>
        <v>0014X00002VKCsvQAH</v>
      </c>
      <c r="B489" s="2" t="s">
        <v>2467</v>
      </c>
      <c r="C489" s="2" t="s">
        <v>423</v>
      </c>
      <c r="D489" s="2" t="s">
        <v>2</v>
      </c>
      <c r="E489" s="2">
        <v>23</v>
      </c>
      <c r="F489" s="2">
        <v>4</v>
      </c>
      <c r="G489" s="2">
        <v>0</v>
      </c>
      <c r="H489" s="2">
        <v>15000</v>
      </c>
      <c r="I489" s="2">
        <v>0</v>
      </c>
      <c r="J489" s="2" t="s">
        <v>1779</v>
      </c>
      <c r="K489" s="2">
        <v>20</v>
      </c>
      <c r="L489" s="2">
        <v>10</v>
      </c>
      <c r="M489" s="2">
        <v>5</v>
      </c>
      <c r="N489" s="2">
        <v>0</v>
      </c>
      <c r="O489" s="2">
        <v>5</v>
      </c>
      <c r="P489" s="2">
        <v>0</v>
      </c>
      <c r="Q489" s="2" t="s">
        <v>2468</v>
      </c>
      <c r="R489" s="2" t="s">
        <v>2468</v>
      </c>
      <c r="S489" s="4">
        <v>44837</v>
      </c>
    </row>
    <row r="490" spans="1:19" ht="12.5" x14ac:dyDescent="0.25">
      <c r="A490" s="14" t="str">
        <f>HYPERLINK("https://gerandofalcoes.my.salesforce.com/0014X00002VKCtVQAX", "0014X00002VKCtVQAX")</f>
        <v>0014X00002VKCtVQAX</v>
      </c>
      <c r="B490" s="2" t="s">
        <v>2665</v>
      </c>
      <c r="C490" s="2" t="s">
        <v>1800</v>
      </c>
      <c r="D490" s="2" t="s">
        <v>2</v>
      </c>
      <c r="E490" s="2">
        <v>17</v>
      </c>
      <c r="F490" s="2">
        <v>8</v>
      </c>
      <c r="G490" s="2">
        <v>2</v>
      </c>
      <c r="H490" s="2">
        <v>8000</v>
      </c>
      <c r="I490" s="2">
        <v>16</v>
      </c>
      <c r="J490" s="2" t="s">
        <v>1779</v>
      </c>
      <c r="K490" s="2">
        <v>36</v>
      </c>
      <c r="L490" s="2">
        <v>10</v>
      </c>
      <c r="M490" s="2">
        <v>10</v>
      </c>
      <c r="N490" s="2">
        <v>6</v>
      </c>
      <c r="O490" s="2">
        <v>5</v>
      </c>
      <c r="P490" s="2">
        <v>5</v>
      </c>
      <c r="Q490" s="2" t="s">
        <v>2666</v>
      </c>
      <c r="R490" s="2" t="s">
        <v>2666</v>
      </c>
      <c r="S490" s="4">
        <v>44837</v>
      </c>
    </row>
    <row r="491" spans="1:19" ht="12.5" x14ac:dyDescent="0.25">
      <c r="A491" s="14" t="str">
        <f>HYPERLINK("https://gerandofalcoes.my.salesforce.com/0014X00002VKCuqQAH", "0014X00002VKCuqQAH")</f>
        <v>0014X00002VKCuqQAH</v>
      </c>
      <c r="B491" s="2" t="s">
        <v>2649</v>
      </c>
      <c r="C491" s="2" t="s">
        <v>423</v>
      </c>
      <c r="D491" s="2" t="s">
        <v>2</v>
      </c>
      <c r="E491" s="2">
        <v>17.440000000000001</v>
      </c>
      <c r="F491" s="2">
        <v>0</v>
      </c>
      <c r="G491" s="2">
        <v>3</v>
      </c>
      <c r="H491" s="2">
        <v>7019</v>
      </c>
      <c r="I491" s="2">
        <v>100</v>
      </c>
      <c r="J491" s="2" t="s">
        <v>1779</v>
      </c>
      <c r="K491" s="2">
        <v>33</v>
      </c>
      <c r="L491" s="2">
        <v>10</v>
      </c>
      <c r="M491" s="2">
        <v>0</v>
      </c>
      <c r="N491" s="2">
        <v>8</v>
      </c>
      <c r="O491" s="2">
        <v>5</v>
      </c>
      <c r="P491" s="2">
        <v>10</v>
      </c>
      <c r="Q491" s="2" t="s">
        <v>2650</v>
      </c>
      <c r="R491" s="2" t="s">
        <v>2650</v>
      </c>
      <c r="S491" s="4">
        <v>44837</v>
      </c>
    </row>
    <row r="492" spans="1:19" ht="12.5" x14ac:dyDescent="0.25">
      <c r="A492" s="14" t="str">
        <f>HYPERLINK("https://gerandofalcoes.my.salesforce.com/0014X00002VKCrhQAH", "0014X00002VKCrhQAH")</f>
        <v>0014X00002VKCrhQAH</v>
      </c>
      <c r="B492" s="2" t="s">
        <v>3895</v>
      </c>
      <c r="C492" s="2" t="s">
        <v>1800</v>
      </c>
      <c r="D492" s="2" t="s">
        <v>2</v>
      </c>
      <c r="E492" s="2">
        <v>45</v>
      </c>
      <c r="F492" s="2">
        <v>6</v>
      </c>
      <c r="G492" s="2">
        <v>5</v>
      </c>
      <c r="H492" s="2">
        <v>150000</v>
      </c>
      <c r="I492" s="2">
        <v>200</v>
      </c>
      <c r="J492" s="2" t="s">
        <v>1671</v>
      </c>
      <c r="K492" s="2">
        <v>62</v>
      </c>
      <c r="L492" s="2">
        <v>15</v>
      </c>
      <c r="M492" s="2">
        <v>10</v>
      </c>
      <c r="N492" s="2">
        <v>10</v>
      </c>
      <c r="O492" s="2">
        <v>15</v>
      </c>
      <c r="P492" s="2">
        <v>12</v>
      </c>
      <c r="Q492" s="2" t="s">
        <v>7168</v>
      </c>
      <c r="R492" s="2" t="s">
        <v>3897</v>
      </c>
      <c r="S492" s="4">
        <v>44837</v>
      </c>
    </row>
    <row r="493" spans="1:19" ht="12.5" x14ac:dyDescent="0.25">
      <c r="A493" s="14" t="str">
        <f>HYPERLINK("https://gerandofalcoes.my.salesforce.com/0014X00002VKCuSQAX", "0014X00002VKCuSQAX")</f>
        <v>0014X00002VKCuSQAX</v>
      </c>
      <c r="B493" s="2" t="s">
        <v>2444</v>
      </c>
      <c r="C493" s="2" t="s">
        <v>1800</v>
      </c>
      <c r="D493" s="2" t="s">
        <v>2</v>
      </c>
      <c r="E493" s="2">
        <v>24</v>
      </c>
      <c r="F493" s="2">
        <v>6</v>
      </c>
      <c r="G493" s="2">
        <v>2</v>
      </c>
      <c r="H493" s="2">
        <v>15000</v>
      </c>
      <c r="I493" s="2">
        <v>336</v>
      </c>
      <c r="J493" s="2" t="s">
        <v>1671</v>
      </c>
      <c r="K493" s="2">
        <v>46</v>
      </c>
      <c r="L493" s="2">
        <v>10</v>
      </c>
      <c r="M493" s="2">
        <v>10</v>
      </c>
      <c r="N493" s="2">
        <v>6</v>
      </c>
      <c r="O493" s="2">
        <v>5</v>
      </c>
      <c r="P493" s="2">
        <v>15</v>
      </c>
      <c r="Q493" s="2" t="s">
        <v>2445</v>
      </c>
      <c r="R493" s="2" t="s">
        <v>2446</v>
      </c>
      <c r="S493" s="4">
        <v>44837</v>
      </c>
    </row>
    <row r="494" spans="1:19" ht="12.5" x14ac:dyDescent="0.25">
      <c r="A494" s="14" t="str">
        <f>HYPERLINK("https://gerandofalcoes.my.salesforce.com/0014X00002VKCtHQAX", "0014X00002VKCtHQAX")</f>
        <v>0014X00002VKCtHQAX</v>
      </c>
      <c r="B494" s="2" t="s">
        <v>2188</v>
      </c>
      <c r="C494" s="2" t="s">
        <v>423</v>
      </c>
      <c r="D494" s="2" t="s">
        <v>2</v>
      </c>
      <c r="E494" s="2">
        <v>33</v>
      </c>
      <c r="F494" s="2">
        <v>0</v>
      </c>
      <c r="G494" s="2">
        <v>3</v>
      </c>
      <c r="H494" s="2">
        <v>3000</v>
      </c>
      <c r="I494" s="2">
        <v>0</v>
      </c>
      <c r="J494" s="2" t="s">
        <v>1779</v>
      </c>
      <c r="K494" s="2">
        <v>28</v>
      </c>
      <c r="L494" s="2">
        <v>15</v>
      </c>
      <c r="M494" s="2">
        <v>0</v>
      </c>
      <c r="N494" s="2">
        <v>8</v>
      </c>
      <c r="O494" s="2">
        <v>5</v>
      </c>
      <c r="P494" s="2">
        <v>0</v>
      </c>
      <c r="Q494" s="2" t="s">
        <v>2189</v>
      </c>
      <c r="R494" s="2" t="s">
        <v>2190</v>
      </c>
      <c r="S494" s="4">
        <v>44837</v>
      </c>
    </row>
    <row r="495" spans="1:19" ht="12.5" x14ac:dyDescent="0.25">
      <c r="A495" s="14" t="str">
        <f>HYPERLINK("https://gerandofalcoes.my.salesforce.com/0014X00002VKCtXQAX", "0014X00002VKCtXQAX")</f>
        <v>0014X00002VKCtXQAX</v>
      </c>
      <c r="B495" s="2" t="s">
        <v>2462</v>
      </c>
      <c r="C495" s="2" t="s">
        <v>423</v>
      </c>
      <c r="D495" s="2" t="s">
        <v>2</v>
      </c>
      <c r="E495" s="2">
        <v>23</v>
      </c>
      <c r="F495" s="2">
        <v>0</v>
      </c>
      <c r="G495" s="2">
        <v>2</v>
      </c>
      <c r="H495" s="2">
        <v>25000</v>
      </c>
      <c r="I495" s="2">
        <v>60</v>
      </c>
      <c r="J495" s="2" t="s">
        <v>1779</v>
      </c>
      <c r="K495" s="2">
        <v>31</v>
      </c>
      <c r="L495" s="2">
        <v>10</v>
      </c>
      <c r="M495" s="2">
        <v>0</v>
      </c>
      <c r="N495" s="2">
        <v>6</v>
      </c>
      <c r="O495" s="2">
        <v>10</v>
      </c>
      <c r="P495" s="2">
        <v>5</v>
      </c>
      <c r="Q495" s="2" t="s">
        <v>2463</v>
      </c>
      <c r="R495" s="2" t="s">
        <v>2464</v>
      </c>
      <c r="S495" s="4">
        <v>44837</v>
      </c>
    </row>
    <row r="496" spans="1:19" ht="12.5" x14ac:dyDescent="0.25">
      <c r="A496" s="14" t="str">
        <f>HYPERLINK("https://gerandofalcoes.my.salesforce.com/0014X00002VKCsDQAX", "0014X00002VKCsDQAX")</f>
        <v>0014X00002VKCsDQAX</v>
      </c>
      <c r="B496" s="2" t="s">
        <v>2789</v>
      </c>
      <c r="C496" s="2" t="s">
        <v>423</v>
      </c>
      <c r="D496" s="2" t="s">
        <v>2</v>
      </c>
      <c r="E496" s="2">
        <v>13</v>
      </c>
      <c r="F496" s="2">
        <v>0</v>
      </c>
      <c r="G496" s="2">
        <v>2</v>
      </c>
      <c r="H496" s="2">
        <v>14000</v>
      </c>
      <c r="I496" s="2">
        <v>60</v>
      </c>
      <c r="J496" s="2" t="s">
        <v>1779</v>
      </c>
      <c r="K496" s="2">
        <v>26</v>
      </c>
      <c r="L496" s="2">
        <v>10</v>
      </c>
      <c r="M496" s="2">
        <v>0</v>
      </c>
      <c r="N496" s="2">
        <v>6</v>
      </c>
      <c r="O496" s="2">
        <v>5</v>
      </c>
      <c r="P496" s="2">
        <v>5</v>
      </c>
      <c r="Q496" s="2" t="s">
        <v>2790</v>
      </c>
      <c r="R496" s="2" t="s">
        <v>2791</v>
      </c>
      <c r="S496" s="4">
        <v>44837</v>
      </c>
    </row>
    <row r="497" spans="1:19" ht="12.5" x14ac:dyDescent="0.25">
      <c r="A497" s="14" t="str">
        <f>HYPERLINK("https://gerandofalcoes.my.salesforce.com/0014X00002VKCrLQAX", "0014X00002VKCrLQAX")</f>
        <v>0014X00002VKCrLQAX</v>
      </c>
      <c r="B497" s="2" t="s">
        <v>2637</v>
      </c>
      <c r="C497" s="2" t="s">
        <v>1800</v>
      </c>
      <c r="D497" s="2" t="s">
        <v>2</v>
      </c>
      <c r="E497" s="2">
        <v>18</v>
      </c>
      <c r="F497" s="2">
        <v>0</v>
      </c>
      <c r="G497" s="2">
        <v>4</v>
      </c>
      <c r="H497" s="2">
        <v>6.5</v>
      </c>
      <c r="I497" s="2">
        <v>45</v>
      </c>
      <c r="J497" s="2" t="s">
        <v>1779</v>
      </c>
      <c r="K497" s="2">
        <v>30</v>
      </c>
      <c r="L497" s="2">
        <v>10</v>
      </c>
      <c r="M497" s="2">
        <v>0</v>
      </c>
      <c r="N497" s="2">
        <v>10</v>
      </c>
      <c r="O497" s="2">
        <v>5</v>
      </c>
      <c r="P497" s="2">
        <v>5</v>
      </c>
      <c r="Q497" s="2" t="s">
        <v>2638</v>
      </c>
      <c r="R497" s="2" t="s">
        <v>2638</v>
      </c>
      <c r="S497" s="4">
        <v>44837</v>
      </c>
    </row>
    <row r="498" spans="1:19" ht="12.5" x14ac:dyDescent="0.25">
      <c r="A498" s="14" t="str">
        <f>HYPERLINK("https://gerandofalcoes.my.salesforce.com/0014X00002VKCtMQAX", "0014X00002VKCtMQAX")</f>
        <v>0014X00002VKCtMQAX</v>
      </c>
      <c r="B498" s="2" t="s">
        <v>2762</v>
      </c>
      <c r="C498" s="2" t="s">
        <v>1800</v>
      </c>
      <c r="D498" s="2" t="s">
        <v>2</v>
      </c>
      <c r="E498" s="2">
        <v>14</v>
      </c>
      <c r="F498" s="2">
        <v>5</v>
      </c>
      <c r="G498" s="2">
        <v>2</v>
      </c>
      <c r="H498" s="2">
        <v>500</v>
      </c>
      <c r="I498" s="2">
        <v>0</v>
      </c>
      <c r="J498" s="2" t="s">
        <v>1779</v>
      </c>
      <c r="K498" s="2">
        <v>26</v>
      </c>
      <c r="L498" s="2">
        <v>10</v>
      </c>
      <c r="M498" s="2">
        <v>5</v>
      </c>
      <c r="N498" s="2">
        <v>6</v>
      </c>
      <c r="O498" s="2">
        <v>5</v>
      </c>
      <c r="P498" s="2">
        <v>0</v>
      </c>
      <c r="Q498" s="2" t="s">
        <v>2763</v>
      </c>
      <c r="R498" s="2" t="s">
        <v>2764</v>
      </c>
      <c r="S498" s="4">
        <v>44837</v>
      </c>
    </row>
    <row r="499" spans="1:19" ht="12.5" x14ac:dyDescent="0.25">
      <c r="A499" s="14" t="str">
        <f>HYPERLINK("https://gerandofalcoes.my.salesforce.com/0014X00002VKCqNQAX", "0014X00002VKCqNQAX")</f>
        <v>0014X00002VKCqNQAX</v>
      </c>
      <c r="B499" s="2" t="s">
        <v>2783</v>
      </c>
      <c r="C499" s="2" t="s">
        <v>423</v>
      </c>
      <c r="D499" s="2" t="s">
        <v>2</v>
      </c>
      <c r="E499" s="2">
        <v>13</v>
      </c>
      <c r="F499" s="2">
        <v>10</v>
      </c>
      <c r="G499" s="2">
        <v>10</v>
      </c>
      <c r="H499" s="2">
        <v>275000</v>
      </c>
      <c r="I499" s="2">
        <v>348</v>
      </c>
      <c r="J499" s="2" t="s">
        <v>1671</v>
      </c>
      <c r="K499" s="2">
        <v>60</v>
      </c>
      <c r="L499" s="2">
        <v>10</v>
      </c>
      <c r="M499" s="2">
        <v>10</v>
      </c>
      <c r="N499" s="2">
        <v>10</v>
      </c>
      <c r="O499" s="2">
        <v>15</v>
      </c>
      <c r="P499" s="2">
        <v>15</v>
      </c>
      <c r="Q499" s="2" t="s">
        <v>2784</v>
      </c>
      <c r="R499" s="2" t="s">
        <v>2785</v>
      </c>
      <c r="S499" s="4">
        <v>44837</v>
      </c>
    </row>
    <row r="500" spans="1:19" ht="12.5" x14ac:dyDescent="0.25">
      <c r="A500" s="14" t="str">
        <f>HYPERLINK("https://gerandofalcoes.my.salesforce.com/0014X00002VKCtRQAX", "0014X00002VKCtRQAX")</f>
        <v>0014X00002VKCtRQAX</v>
      </c>
      <c r="B500" s="2" t="s">
        <v>2529</v>
      </c>
      <c r="C500" s="2" t="s">
        <v>1800</v>
      </c>
      <c r="D500" s="2" t="s">
        <v>2</v>
      </c>
      <c r="E500" s="2">
        <v>21</v>
      </c>
      <c r="F500" s="2">
        <v>1</v>
      </c>
      <c r="G500" s="2">
        <v>6</v>
      </c>
      <c r="H500" s="2">
        <v>300</v>
      </c>
      <c r="I500" s="2">
        <v>30</v>
      </c>
      <c r="J500" s="2" t="s">
        <v>1779</v>
      </c>
      <c r="K500" s="2">
        <v>35</v>
      </c>
      <c r="L500" s="2">
        <v>10</v>
      </c>
      <c r="M500" s="2">
        <v>5</v>
      </c>
      <c r="N500" s="2">
        <v>10</v>
      </c>
      <c r="O500" s="2">
        <v>5</v>
      </c>
      <c r="P500" s="2">
        <v>5</v>
      </c>
      <c r="Q500" s="2" t="s">
        <v>2530</v>
      </c>
      <c r="R500" s="2" t="s">
        <v>2530</v>
      </c>
      <c r="S500" s="4">
        <v>44837</v>
      </c>
    </row>
    <row r="501" spans="1:19" ht="12.5" x14ac:dyDescent="0.25">
      <c r="A501" s="14" t="str">
        <f>HYPERLINK("https://gerandofalcoes.my.salesforce.com/0014X00002VKCrvQAH", "0014X00002VKCrvQAH")</f>
        <v>0014X00002VKCrvQAH</v>
      </c>
      <c r="B501" s="2" t="s">
        <v>2816</v>
      </c>
      <c r="C501" s="2" t="s">
        <v>423</v>
      </c>
      <c r="D501" s="2" t="s">
        <v>2</v>
      </c>
      <c r="E501" s="2">
        <v>10</v>
      </c>
      <c r="F501" s="2">
        <v>4</v>
      </c>
      <c r="G501" s="2">
        <v>1</v>
      </c>
      <c r="H501" s="2">
        <v>1200</v>
      </c>
      <c r="I501" s="2">
        <v>150</v>
      </c>
      <c r="J501" s="2" t="s">
        <v>1779</v>
      </c>
      <c r="K501" s="2">
        <v>36</v>
      </c>
      <c r="L501" s="2">
        <v>10</v>
      </c>
      <c r="M501" s="2">
        <v>5</v>
      </c>
      <c r="N501" s="2">
        <v>4</v>
      </c>
      <c r="O501" s="2">
        <v>5</v>
      </c>
      <c r="P501" s="2">
        <v>12</v>
      </c>
      <c r="Q501" s="2" t="s">
        <v>7160</v>
      </c>
      <c r="R501" s="2" t="s">
        <v>7160</v>
      </c>
      <c r="S501" s="4">
        <v>44837</v>
      </c>
    </row>
    <row r="502" spans="1:19" ht="12.5" x14ac:dyDescent="0.25">
      <c r="A502" s="14" t="str">
        <f>HYPERLINK("https://gerandofalcoes.my.salesforce.com/0014X00002VKD04QAH", "0014X00002VKD04QAH")</f>
        <v>0014X00002VKD04QAH</v>
      </c>
      <c r="B502" s="2" t="s">
        <v>2282</v>
      </c>
      <c r="C502" s="2" t="s">
        <v>423</v>
      </c>
      <c r="D502" s="2" t="s">
        <v>2</v>
      </c>
      <c r="E502" s="2">
        <v>37</v>
      </c>
      <c r="F502" s="2">
        <v>24</v>
      </c>
      <c r="G502" s="2">
        <v>3</v>
      </c>
      <c r="H502" s="2">
        <v>1200000</v>
      </c>
      <c r="I502" s="2">
        <v>35</v>
      </c>
      <c r="J502" s="2" t="s">
        <v>1650</v>
      </c>
      <c r="K502" s="2">
        <v>65</v>
      </c>
      <c r="L502" s="2">
        <v>15</v>
      </c>
      <c r="M502" s="2">
        <v>12</v>
      </c>
      <c r="N502" s="2">
        <v>8</v>
      </c>
      <c r="O502" s="2">
        <v>25</v>
      </c>
      <c r="P502" s="2">
        <v>5</v>
      </c>
      <c r="Q502" s="2" t="s">
        <v>2283</v>
      </c>
      <c r="R502" s="2" t="s">
        <v>2284</v>
      </c>
      <c r="S502" s="4">
        <v>44837</v>
      </c>
    </row>
    <row r="503" spans="1:19" ht="12.5" x14ac:dyDescent="0.25">
      <c r="A503" s="14" t="str">
        <f>HYPERLINK("https://gerandofalcoes.my.salesforce.com/0014X00002VKCvAQAX", "0014X00002VKCvAQAX")</f>
        <v>0014X00002VKCvAQAX</v>
      </c>
      <c r="B503" s="2" t="s">
        <v>2927</v>
      </c>
      <c r="C503" s="2" t="s">
        <v>423</v>
      </c>
      <c r="D503" s="2" t="s">
        <v>2</v>
      </c>
      <c r="E503" s="2">
        <v>6.68</v>
      </c>
      <c r="F503" s="2">
        <v>0</v>
      </c>
      <c r="G503" s="2">
        <v>1</v>
      </c>
      <c r="H503" s="2">
        <v>35000</v>
      </c>
      <c r="I503" s="2">
        <v>0</v>
      </c>
      <c r="J503" s="2" t="s">
        <v>1779</v>
      </c>
      <c r="K503" s="2">
        <v>24</v>
      </c>
      <c r="L503" s="2">
        <v>10</v>
      </c>
      <c r="M503" s="2">
        <v>0</v>
      </c>
      <c r="N503" s="2">
        <v>4</v>
      </c>
      <c r="O503" s="2">
        <v>10</v>
      </c>
      <c r="P503" s="2">
        <v>0</v>
      </c>
      <c r="Q503" s="2" t="s">
        <v>2928</v>
      </c>
      <c r="R503" s="2" t="s">
        <v>2929</v>
      </c>
      <c r="S503" s="4">
        <v>44837</v>
      </c>
    </row>
    <row r="504" spans="1:19" ht="12.5" x14ac:dyDescent="0.25">
      <c r="A504" s="14" t="str">
        <f>HYPERLINK("https://gerandofalcoes.my.salesforce.com/0014X00002VKCrZQAX", "0014X00002VKCrZQAX")</f>
        <v>0014X00002VKCrZQAX</v>
      </c>
      <c r="B504" s="2" t="s">
        <v>1724</v>
      </c>
      <c r="C504" s="2" t="s">
        <v>423</v>
      </c>
      <c r="D504" s="2" t="s">
        <v>2</v>
      </c>
      <c r="E504" s="2">
        <v>80</v>
      </c>
      <c r="F504" s="2">
        <v>5</v>
      </c>
      <c r="G504" s="2">
        <v>7</v>
      </c>
      <c r="H504" s="2">
        <v>701915</v>
      </c>
      <c r="I504" s="2">
        <v>259</v>
      </c>
      <c r="J504" s="2" t="s">
        <v>1650</v>
      </c>
      <c r="K504" s="2">
        <v>72</v>
      </c>
      <c r="L504" s="2">
        <v>25</v>
      </c>
      <c r="M504" s="2">
        <v>5</v>
      </c>
      <c r="N504" s="2">
        <v>10</v>
      </c>
      <c r="O504" s="2">
        <v>20</v>
      </c>
      <c r="P504" s="2">
        <v>12</v>
      </c>
      <c r="Q504" s="2" t="s">
        <v>1725</v>
      </c>
      <c r="R504" s="2" t="s">
        <v>1726</v>
      </c>
      <c r="S504" s="4">
        <v>44837</v>
      </c>
    </row>
    <row r="505" spans="1:19" ht="12.5" x14ac:dyDescent="0.25">
      <c r="A505" s="14" t="str">
        <f>HYPERLINK("https://gerandofalcoes.my.salesforce.com/0014X00002VMXzMQAX", "0014X00002VMXzMQAX")</f>
        <v>0014X00002VMXzMQAX</v>
      </c>
      <c r="B505" s="2" t="s">
        <v>2916</v>
      </c>
      <c r="C505" s="2" t="s">
        <v>423</v>
      </c>
      <c r="D505" s="2" t="s">
        <v>2</v>
      </c>
      <c r="E505" s="2">
        <v>20</v>
      </c>
      <c r="F505" s="2">
        <v>1</v>
      </c>
      <c r="G505" s="2">
        <v>2</v>
      </c>
      <c r="H505" s="2">
        <v>18000</v>
      </c>
      <c r="I505" s="2">
        <v>10</v>
      </c>
      <c r="J505" s="2" t="s">
        <v>1779</v>
      </c>
      <c r="K505" s="2">
        <v>31</v>
      </c>
      <c r="L505" s="2">
        <v>10</v>
      </c>
      <c r="M505" s="2">
        <v>5</v>
      </c>
      <c r="N505" s="2">
        <v>6</v>
      </c>
      <c r="O505" s="2">
        <v>5</v>
      </c>
      <c r="P505" s="2">
        <v>5</v>
      </c>
      <c r="Q505" s="2" t="s">
        <v>2917</v>
      </c>
      <c r="R505" s="2" t="s">
        <v>2918</v>
      </c>
      <c r="S505" s="4">
        <v>44837</v>
      </c>
    </row>
    <row r="506" spans="1:19" ht="12.5" x14ac:dyDescent="0.25">
      <c r="A506" s="14" t="str">
        <f>HYPERLINK("https://gerandofalcoes.my.salesforce.com/0014X00002VKCtEQAX", "0014X00002VKCtEQAX")</f>
        <v>0014X00002VKCtEQAX</v>
      </c>
      <c r="B506" s="2" t="s">
        <v>2717</v>
      </c>
      <c r="C506" s="2" t="s">
        <v>423</v>
      </c>
      <c r="D506" s="2" t="s">
        <v>2</v>
      </c>
      <c r="E506" s="2">
        <v>15</v>
      </c>
      <c r="F506" s="2">
        <v>0</v>
      </c>
      <c r="G506" s="2">
        <v>3</v>
      </c>
      <c r="H506" s="2">
        <v>0</v>
      </c>
      <c r="I506" s="2">
        <v>187</v>
      </c>
      <c r="J506" s="2" t="s">
        <v>1779</v>
      </c>
      <c r="K506" s="2">
        <v>30</v>
      </c>
      <c r="L506" s="2">
        <v>10</v>
      </c>
      <c r="M506" s="2">
        <v>0</v>
      </c>
      <c r="N506" s="2">
        <v>8</v>
      </c>
      <c r="O506" s="2">
        <v>0</v>
      </c>
      <c r="P506" s="2">
        <v>12</v>
      </c>
      <c r="Q506" s="2" t="s">
        <v>2718</v>
      </c>
      <c r="R506" s="2" t="s">
        <v>2719</v>
      </c>
      <c r="S506" s="4">
        <v>44837</v>
      </c>
    </row>
    <row r="507" spans="1:19" ht="12.5" x14ac:dyDescent="0.25">
      <c r="A507" s="14" t="str">
        <f>HYPERLINK("https://gerandofalcoes.my.salesforce.com/0014X00002VKCqTQAX", "0014X00002VKCqTQAX")</f>
        <v>0014X00002VKCqTQAX</v>
      </c>
      <c r="B507" s="2" t="s">
        <v>2431</v>
      </c>
      <c r="C507" s="2" t="s">
        <v>423</v>
      </c>
      <c r="D507" s="2" t="s">
        <v>2</v>
      </c>
      <c r="E507" s="2">
        <v>33</v>
      </c>
      <c r="F507" s="2">
        <v>0</v>
      </c>
      <c r="G507" s="2">
        <v>1</v>
      </c>
      <c r="H507" s="2">
        <v>7500</v>
      </c>
      <c r="I507" s="2">
        <v>250</v>
      </c>
      <c r="J507" s="2" t="s">
        <v>1779</v>
      </c>
      <c r="K507" s="2">
        <v>36</v>
      </c>
      <c r="L507" s="2">
        <v>15</v>
      </c>
      <c r="M507" s="2">
        <v>0</v>
      </c>
      <c r="N507" s="2">
        <v>4</v>
      </c>
      <c r="O507" s="2">
        <v>5</v>
      </c>
      <c r="P507" s="2">
        <v>12</v>
      </c>
      <c r="Q507" s="2" t="s">
        <v>2432</v>
      </c>
      <c r="R507" s="2" t="s">
        <v>2432</v>
      </c>
      <c r="S507" s="4">
        <v>44837</v>
      </c>
    </row>
    <row r="508" spans="1:19" ht="12.5" x14ac:dyDescent="0.25">
      <c r="A508" s="14" t="str">
        <f>HYPERLINK("https://gerandofalcoes.my.salesforce.com/0014X00002VKCriQAH", "0014X00002VKCriQAH")</f>
        <v>0014X00002VKCriQAH</v>
      </c>
      <c r="B508" s="2" t="s">
        <v>1905</v>
      </c>
      <c r="C508" s="2" t="s">
        <v>423</v>
      </c>
      <c r="D508" s="2" t="s">
        <v>2</v>
      </c>
      <c r="E508" s="2">
        <v>43.02</v>
      </c>
      <c r="F508" s="2">
        <v>0</v>
      </c>
      <c r="G508" s="2">
        <v>2</v>
      </c>
      <c r="H508" s="2">
        <v>2105801</v>
      </c>
      <c r="I508" s="2">
        <v>84</v>
      </c>
      <c r="J508" s="2" t="s">
        <v>1671</v>
      </c>
      <c r="K508" s="2">
        <v>56</v>
      </c>
      <c r="L508" s="2">
        <v>15</v>
      </c>
      <c r="M508" s="2">
        <v>0</v>
      </c>
      <c r="N508" s="2">
        <v>6</v>
      </c>
      <c r="O508" s="2">
        <v>25</v>
      </c>
      <c r="P508" s="2">
        <v>10</v>
      </c>
      <c r="Q508" s="2" t="s">
        <v>1906</v>
      </c>
      <c r="R508" s="2" t="s">
        <v>1907</v>
      </c>
      <c r="S508" s="4">
        <v>44837</v>
      </c>
    </row>
    <row r="509" spans="1:19" ht="12.5" x14ac:dyDescent="0.25">
      <c r="A509" s="14" t="str">
        <f>HYPERLINK("https://gerandofalcoes.my.salesforce.com/0014X00002VKCrCQAX", "0014X00002VKCrCQAX")</f>
        <v>0014X00002VKCrCQAX</v>
      </c>
      <c r="B509" s="2" t="s">
        <v>2534</v>
      </c>
      <c r="C509" s="2" t="s">
        <v>423</v>
      </c>
      <c r="D509" s="2" t="s">
        <v>2</v>
      </c>
      <c r="E509" s="2">
        <v>21</v>
      </c>
      <c r="F509" s="2">
        <v>0</v>
      </c>
      <c r="G509" s="2">
        <v>2</v>
      </c>
      <c r="H509" s="2">
        <v>12000</v>
      </c>
      <c r="I509" s="2">
        <v>0</v>
      </c>
      <c r="J509" s="2" t="s">
        <v>1779</v>
      </c>
      <c r="K509" s="2">
        <v>21</v>
      </c>
      <c r="L509" s="2">
        <v>10</v>
      </c>
      <c r="M509" s="2">
        <v>0</v>
      </c>
      <c r="N509" s="2">
        <v>6</v>
      </c>
      <c r="O509" s="2">
        <v>5</v>
      </c>
      <c r="P509" s="2">
        <v>0</v>
      </c>
      <c r="Q509" s="2" t="s">
        <v>2535</v>
      </c>
      <c r="R509" s="2" t="s">
        <v>2535</v>
      </c>
      <c r="S509" s="4">
        <v>44837</v>
      </c>
    </row>
    <row r="510" spans="1:19" ht="12.5" x14ac:dyDescent="0.25">
      <c r="A510" s="14" t="str">
        <f>HYPERLINK("https://gerandofalcoes.my.salesforce.com/0014X00002VKCtbQAH", "0014X00002VKCtbQAH")</f>
        <v>0014X00002VKCtbQAH</v>
      </c>
      <c r="B510" s="2" t="s">
        <v>2871</v>
      </c>
      <c r="C510" s="2" t="s">
        <v>423</v>
      </c>
      <c r="D510" s="2" t="s">
        <v>2</v>
      </c>
      <c r="E510" s="2">
        <v>9.98</v>
      </c>
      <c r="F510" s="2">
        <v>11</v>
      </c>
      <c r="G510" s="2">
        <v>0</v>
      </c>
      <c r="H510" s="2">
        <v>0</v>
      </c>
      <c r="I510" s="2">
        <v>80</v>
      </c>
      <c r="J510" s="2" t="s">
        <v>1779</v>
      </c>
      <c r="K510" s="2">
        <v>32</v>
      </c>
      <c r="L510" s="2">
        <v>10</v>
      </c>
      <c r="M510" s="2">
        <v>12</v>
      </c>
      <c r="N510" s="2">
        <v>0</v>
      </c>
      <c r="O510" s="2">
        <v>0</v>
      </c>
      <c r="P510" s="2">
        <v>10</v>
      </c>
      <c r="Q510" s="2" t="s">
        <v>2872</v>
      </c>
      <c r="R510" s="2" t="s">
        <v>2873</v>
      </c>
      <c r="S510" s="4">
        <v>44837</v>
      </c>
    </row>
    <row r="511" spans="1:19" ht="12.5" x14ac:dyDescent="0.25">
      <c r="A511" s="14" t="str">
        <f>HYPERLINK("https://gerandofalcoes.my.salesforce.com/0014X00002VKCtjQAH", "0014X00002VKCtjQAH")</f>
        <v>0014X00002VKCtjQAH</v>
      </c>
      <c r="B511" s="2" t="s">
        <v>2144</v>
      </c>
      <c r="C511" s="2" t="s">
        <v>423</v>
      </c>
      <c r="D511" s="2" t="s">
        <v>2</v>
      </c>
      <c r="E511" s="2">
        <v>33.86</v>
      </c>
      <c r="F511" s="2">
        <v>0</v>
      </c>
      <c r="G511" s="2">
        <v>5</v>
      </c>
      <c r="H511" s="2">
        <v>120000</v>
      </c>
      <c r="I511" s="2">
        <v>100</v>
      </c>
      <c r="J511" s="2" t="s">
        <v>1671</v>
      </c>
      <c r="K511" s="2">
        <v>50</v>
      </c>
      <c r="L511" s="2">
        <v>15</v>
      </c>
      <c r="M511" s="2">
        <v>0</v>
      </c>
      <c r="N511" s="2">
        <v>10</v>
      </c>
      <c r="O511" s="2">
        <v>15</v>
      </c>
      <c r="P511" s="2">
        <v>10</v>
      </c>
      <c r="Q511" s="2" t="s">
        <v>2145</v>
      </c>
      <c r="R511" s="2" t="s">
        <v>2146</v>
      </c>
      <c r="S511" s="4">
        <v>44837</v>
      </c>
    </row>
    <row r="512" spans="1:19" ht="12.5" x14ac:dyDescent="0.25">
      <c r="A512" s="14" t="str">
        <f>HYPERLINK("https://gerandofalcoes.my.salesforce.com/0014X00002VKCpwQAH", "0014X00002VKCpwQAH")</f>
        <v>0014X00002VKCpwQAH</v>
      </c>
      <c r="B512" s="2" t="s">
        <v>1940</v>
      </c>
      <c r="C512" s="2" t="s">
        <v>423</v>
      </c>
      <c r="D512" s="2" t="s">
        <v>2</v>
      </c>
      <c r="E512" s="2">
        <v>23</v>
      </c>
      <c r="F512" s="2">
        <v>0</v>
      </c>
      <c r="G512" s="2">
        <v>3</v>
      </c>
      <c r="H512" s="2">
        <v>4289056</v>
      </c>
      <c r="I512" s="2">
        <v>400</v>
      </c>
      <c r="J512" s="2" t="s">
        <v>1671</v>
      </c>
      <c r="K512" s="2">
        <v>58</v>
      </c>
      <c r="L512" s="2">
        <v>10</v>
      </c>
      <c r="M512" s="2">
        <v>0</v>
      </c>
      <c r="N512" s="2">
        <v>8</v>
      </c>
      <c r="O512" s="2">
        <v>25</v>
      </c>
      <c r="P512" s="2">
        <v>15</v>
      </c>
      <c r="Q512" s="2" t="s">
        <v>1941</v>
      </c>
      <c r="R512" s="2" t="s">
        <v>1942</v>
      </c>
      <c r="S512" s="4">
        <v>44837</v>
      </c>
    </row>
    <row r="513" spans="1:19" ht="12.5" x14ac:dyDescent="0.25">
      <c r="A513" s="14" t="str">
        <f>HYPERLINK("https://gerandofalcoes.my.salesforce.com/0014X00002VKCt8QAH", "0014X00002VKCt8QAH")</f>
        <v>0014X00002VKCt8QAH</v>
      </c>
      <c r="B513" s="2" t="s">
        <v>2938</v>
      </c>
      <c r="C513" s="2" t="s">
        <v>423</v>
      </c>
      <c r="D513" s="2" t="s">
        <v>2</v>
      </c>
      <c r="E513" s="2">
        <v>5.84</v>
      </c>
      <c r="F513" s="2">
        <v>0</v>
      </c>
      <c r="G513" s="2">
        <v>0</v>
      </c>
      <c r="H513" s="2">
        <v>0</v>
      </c>
      <c r="I513" s="2">
        <v>0</v>
      </c>
      <c r="J513" s="2" t="s">
        <v>1779</v>
      </c>
      <c r="K513" s="2">
        <v>10</v>
      </c>
      <c r="L513" s="2">
        <v>10</v>
      </c>
      <c r="M513" s="2">
        <v>0</v>
      </c>
      <c r="N513" s="2">
        <v>0</v>
      </c>
      <c r="O513" s="2">
        <v>0</v>
      </c>
      <c r="P513" s="2">
        <v>0</v>
      </c>
      <c r="Q513" s="2" t="s">
        <v>2939</v>
      </c>
      <c r="R513" s="2" t="s">
        <v>2940</v>
      </c>
      <c r="S513" s="4">
        <v>44837</v>
      </c>
    </row>
    <row r="514" spans="1:19" ht="12.5" x14ac:dyDescent="0.25">
      <c r="A514" s="14" t="str">
        <f>HYPERLINK("https://gerandofalcoes.my.salesforce.com/0014X00002VKCuJQAX", "0014X00002VKCuJQAX")</f>
        <v>0014X00002VKCuJQAX</v>
      </c>
      <c r="B514" s="2" t="s">
        <v>2073</v>
      </c>
      <c r="C514" s="2" t="s">
        <v>423</v>
      </c>
      <c r="D514" s="2" t="s">
        <v>2</v>
      </c>
      <c r="E514" s="2">
        <v>36</v>
      </c>
      <c r="F514" s="2">
        <v>0</v>
      </c>
      <c r="G514" s="2">
        <v>3</v>
      </c>
      <c r="H514" s="2">
        <v>3000</v>
      </c>
      <c r="I514" s="2">
        <v>100</v>
      </c>
      <c r="J514" s="2" t="s">
        <v>1779</v>
      </c>
      <c r="K514" s="2">
        <v>38</v>
      </c>
      <c r="L514" s="2">
        <v>15</v>
      </c>
      <c r="M514" s="2">
        <v>0</v>
      </c>
      <c r="N514" s="2">
        <v>8</v>
      </c>
      <c r="O514" s="2">
        <v>5</v>
      </c>
      <c r="P514" s="2">
        <v>10</v>
      </c>
      <c r="Q514" s="2" t="s">
        <v>2074</v>
      </c>
      <c r="R514" s="2" t="s">
        <v>2075</v>
      </c>
      <c r="S514" s="4">
        <v>44837</v>
      </c>
    </row>
    <row r="515" spans="1:19" ht="12.5" x14ac:dyDescent="0.25">
      <c r="A515" s="14" t="str">
        <f>HYPERLINK("https://gerandofalcoes.my.salesforce.com/0014X00002VKCryQAH", "0014X00002VKCryQAH")</f>
        <v>0014X00002VKCryQAH</v>
      </c>
      <c r="B515" s="2" t="s">
        <v>1824</v>
      </c>
      <c r="C515" s="2" t="s">
        <v>423</v>
      </c>
      <c r="D515" s="2" t="s">
        <v>2</v>
      </c>
      <c r="E515" s="2">
        <v>51</v>
      </c>
      <c r="F515" s="2">
        <v>2</v>
      </c>
      <c r="G515" s="2">
        <v>7</v>
      </c>
      <c r="H515" s="2">
        <v>200000</v>
      </c>
      <c r="I515" s="2">
        <v>90</v>
      </c>
      <c r="J515" s="2" t="s">
        <v>1671</v>
      </c>
      <c r="K515" s="2">
        <v>60</v>
      </c>
      <c r="L515" s="2">
        <v>20</v>
      </c>
      <c r="M515" s="2">
        <v>5</v>
      </c>
      <c r="N515" s="2">
        <v>10</v>
      </c>
      <c r="O515" s="2">
        <v>15</v>
      </c>
      <c r="P515" s="2">
        <v>10</v>
      </c>
      <c r="Q515" s="2" t="s">
        <v>1825</v>
      </c>
      <c r="R515" s="2" t="s">
        <v>1826</v>
      </c>
      <c r="S515" s="4">
        <v>44837</v>
      </c>
    </row>
    <row r="516" spans="1:19" ht="12.5" x14ac:dyDescent="0.25">
      <c r="A516" s="14" t="str">
        <f>HYPERLINK("https://gerandofalcoes.my.salesforce.com/0014X00002VKCtFQAX", "0014X00002VKCtFQAX")</f>
        <v>0014X00002VKCtFQAX</v>
      </c>
      <c r="B516" s="2" t="s">
        <v>2112</v>
      </c>
      <c r="C516" s="2" t="s">
        <v>423</v>
      </c>
      <c r="D516" s="2" t="s">
        <v>2</v>
      </c>
      <c r="E516" s="2">
        <v>35</v>
      </c>
      <c r="F516" s="2">
        <v>12</v>
      </c>
      <c r="G516" s="2">
        <v>2</v>
      </c>
      <c r="H516" s="2">
        <v>100000</v>
      </c>
      <c r="I516" s="2">
        <v>40</v>
      </c>
      <c r="J516" s="2" t="s">
        <v>1671</v>
      </c>
      <c r="K516" s="2">
        <v>53</v>
      </c>
      <c r="L516" s="2">
        <v>15</v>
      </c>
      <c r="M516" s="2">
        <v>12</v>
      </c>
      <c r="N516" s="2">
        <v>6</v>
      </c>
      <c r="O516" s="2">
        <v>15</v>
      </c>
      <c r="P516" s="2">
        <v>5</v>
      </c>
      <c r="Q516" s="2" t="s">
        <v>2113</v>
      </c>
      <c r="R516" s="2" t="s">
        <v>2113</v>
      </c>
      <c r="S516" s="4">
        <v>44837</v>
      </c>
    </row>
    <row r="517" spans="1:19" ht="12.5" x14ac:dyDescent="0.25">
      <c r="A517" s="14" t="str">
        <f>HYPERLINK("https://gerandofalcoes.my.salesforce.com/0014X00002VKCsRQAX", "0014X00002VKCsRQAX")</f>
        <v>0014X00002VKCsRQAX</v>
      </c>
      <c r="B517" s="2" t="s">
        <v>2878</v>
      </c>
      <c r="C517" s="2" t="s">
        <v>423</v>
      </c>
      <c r="D517" s="2" t="s">
        <v>2</v>
      </c>
      <c r="E517" s="2">
        <v>29</v>
      </c>
      <c r="F517" s="2">
        <v>0</v>
      </c>
      <c r="G517" s="2">
        <v>1</v>
      </c>
      <c r="H517" s="2">
        <v>15000</v>
      </c>
      <c r="I517" s="2">
        <v>250</v>
      </c>
      <c r="J517" s="2" t="s">
        <v>1779</v>
      </c>
      <c r="K517" s="2">
        <v>36</v>
      </c>
      <c r="L517" s="2">
        <v>15</v>
      </c>
      <c r="M517" s="2">
        <v>0</v>
      </c>
      <c r="N517" s="2">
        <v>4</v>
      </c>
      <c r="O517" s="2">
        <v>5</v>
      </c>
      <c r="P517" s="2">
        <v>12</v>
      </c>
      <c r="Q517" s="2" t="s">
        <v>2879</v>
      </c>
      <c r="R517" s="2" t="s">
        <v>2880</v>
      </c>
      <c r="S517" s="4">
        <v>44837</v>
      </c>
    </row>
    <row r="518" spans="1:19" ht="12.5" x14ac:dyDescent="0.25">
      <c r="A518" s="14" t="str">
        <f>HYPERLINK("https://gerandofalcoes.my.salesforce.com/0014X00002VKCsdQAH", "0014X00002VKCsdQAH")</f>
        <v>0014X00002VKCsdQAH</v>
      </c>
      <c r="B518" s="2" t="s">
        <v>2857</v>
      </c>
      <c r="C518" s="2" t="s">
        <v>1800</v>
      </c>
      <c r="D518" s="2" t="s">
        <v>2</v>
      </c>
      <c r="E518" s="2">
        <v>10</v>
      </c>
      <c r="F518" s="2">
        <v>0</v>
      </c>
      <c r="G518" s="2">
        <v>2</v>
      </c>
      <c r="H518" s="2">
        <v>24000</v>
      </c>
      <c r="I518" s="2">
        <v>95</v>
      </c>
      <c r="J518" s="2" t="s">
        <v>1779</v>
      </c>
      <c r="K518" s="2">
        <v>31</v>
      </c>
      <c r="L518" s="2">
        <v>10</v>
      </c>
      <c r="M518" s="2">
        <v>0</v>
      </c>
      <c r="N518" s="2">
        <v>6</v>
      </c>
      <c r="O518" s="2">
        <v>5</v>
      </c>
      <c r="P518" s="2">
        <v>10</v>
      </c>
      <c r="Q518" s="2" t="s">
        <v>2858</v>
      </c>
      <c r="R518" s="2" t="s">
        <v>2859</v>
      </c>
      <c r="S518" s="4">
        <v>44837</v>
      </c>
    </row>
    <row r="519" spans="1:19" ht="12.5" x14ac:dyDescent="0.25">
      <c r="A519" s="14" t="str">
        <f>HYPERLINK("https://gerandofalcoes.my.salesforce.com/0014X00002VKCurQAH", "0014X00002VKCurQAH")</f>
        <v>0014X00002VKCurQAH</v>
      </c>
      <c r="B519" s="2" t="s">
        <v>2484</v>
      </c>
      <c r="C519" s="2" t="s">
        <v>423</v>
      </c>
      <c r="D519" s="2" t="s">
        <v>2</v>
      </c>
      <c r="E519" s="2">
        <v>22</v>
      </c>
      <c r="F519" s="2">
        <v>0</v>
      </c>
      <c r="G519" s="2">
        <v>2</v>
      </c>
      <c r="H519" s="2">
        <v>30000</v>
      </c>
      <c r="I519" s="2">
        <v>90</v>
      </c>
      <c r="J519" s="2" t="s">
        <v>1779</v>
      </c>
      <c r="K519" s="2">
        <v>36</v>
      </c>
      <c r="L519" s="2">
        <v>10</v>
      </c>
      <c r="M519" s="2">
        <v>0</v>
      </c>
      <c r="N519" s="2">
        <v>6</v>
      </c>
      <c r="O519" s="2">
        <v>10</v>
      </c>
      <c r="P519" s="2">
        <v>10</v>
      </c>
      <c r="Q519" s="2" t="s">
        <v>2485</v>
      </c>
      <c r="R519" s="2" t="s">
        <v>2486</v>
      </c>
      <c r="S519" s="4">
        <v>44837</v>
      </c>
    </row>
    <row r="520" spans="1:19" ht="12.5" x14ac:dyDescent="0.25">
      <c r="A520" s="14" t="str">
        <f>HYPERLINK("https://gerandofalcoes.my.salesforce.com/0014X00002VKCqGQAX", "0014X00002VKCqGQAX")</f>
        <v>0014X00002VKCqGQAX</v>
      </c>
      <c r="B520" s="2" t="s">
        <v>2372</v>
      </c>
      <c r="C520" s="2" t="s">
        <v>423</v>
      </c>
      <c r="D520" s="2" t="s">
        <v>2</v>
      </c>
      <c r="E520" s="2">
        <v>26</v>
      </c>
      <c r="F520" s="2">
        <v>0</v>
      </c>
      <c r="G520" s="2">
        <v>2</v>
      </c>
      <c r="H520" s="2">
        <v>0</v>
      </c>
      <c r="I520" s="2">
        <v>0</v>
      </c>
      <c r="J520" s="2" t="s">
        <v>1779</v>
      </c>
      <c r="K520" s="2">
        <v>21</v>
      </c>
      <c r="L520" s="2">
        <v>15</v>
      </c>
      <c r="M520" s="2">
        <v>0</v>
      </c>
      <c r="N520" s="2">
        <v>6</v>
      </c>
      <c r="O520" s="2">
        <v>0</v>
      </c>
      <c r="P520" s="2">
        <v>0</v>
      </c>
      <c r="Q520" s="2" t="s">
        <v>2373</v>
      </c>
      <c r="R520" s="2" t="s">
        <v>2374</v>
      </c>
      <c r="S520" s="4">
        <v>44837</v>
      </c>
    </row>
    <row r="521" spans="1:19" ht="12.5" x14ac:dyDescent="0.25">
      <c r="A521" s="14" t="str">
        <f>HYPERLINK("https://gerandofalcoes.my.salesforce.com/0014X00002VKD06QAH", "0014X00002VKD06QAH")</f>
        <v>0014X00002VKD06QAH</v>
      </c>
      <c r="B521" s="2" t="s">
        <v>2677</v>
      </c>
      <c r="C521" s="2" t="s">
        <v>423</v>
      </c>
      <c r="D521" s="2" t="s">
        <v>2</v>
      </c>
      <c r="E521" s="2">
        <v>44</v>
      </c>
      <c r="F521" s="2">
        <v>17</v>
      </c>
      <c r="G521" s="2">
        <v>4</v>
      </c>
      <c r="H521" s="2">
        <v>56138481</v>
      </c>
      <c r="I521" s="2">
        <v>74</v>
      </c>
      <c r="J521" s="2" t="s">
        <v>1650</v>
      </c>
      <c r="K521" s="2">
        <v>67</v>
      </c>
      <c r="L521" s="2">
        <v>15</v>
      </c>
      <c r="M521" s="2">
        <v>12</v>
      </c>
      <c r="N521" s="2">
        <v>10</v>
      </c>
      <c r="O521" s="2">
        <v>25</v>
      </c>
      <c r="P521" s="2">
        <v>5</v>
      </c>
      <c r="Q521" s="2" t="s">
        <v>2678</v>
      </c>
      <c r="R521" s="2" t="s">
        <v>2679</v>
      </c>
      <c r="S521" s="4">
        <v>44837</v>
      </c>
    </row>
    <row r="522" spans="1:19" ht="12.5" x14ac:dyDescent="0.25">
      <c r="A522" s="14" t="str">
        <f>HYPERLINK("https://gerandofalcoes.my.salesforce.com/0014X00002VKCv7QAH", "0014X00002VKCv7QAH")</f>
        <v>0014X00002VKCv7QAH</v>
      </c>
      <c r="B522" s="2" t="s">
        <v>2568</v>
      </c>
      <c r="C522" s="2" t="s">
        <v>1800</v>
      </c>
      <c r="D522" s="2" t="s">
        <v>2</v>
      </c>
      <c r="E522" s="2">
        <v>20</v>
      </c>
      <c r="F522" s="2">
        <v>0</v>
      </c>
      <c r="G522" s="2">
        <v>3</v>
      </c>
      <c r="H522" s="2">
        <v>2000</v>
      </c>
      <c r="I522" s="2">
        <v>0</v>
      </c>
      <c r="J522" s="2" t="s">
        <v>1779</v>
      </c>
      <c r="K522" s="2">
        <v>23</v>
      </c>
      <c r="L522" s="2">
        <v>10</v>
      </c>
      <c r="M522" s="2">
        <v>0</v>
      </c>
      <c r="N522" s="2">
        <v>8</v>
      </c>
      <c r="O522" s="2">
        <v>5</v>
      </c>
      <c r="P522" s="2">
        <v>0</v>
      </c>
      <c r="Q522" s="2" t="s">
        <v>2569</v>
      </c>
      <c r="R522" s="2" t="s">
        <v>2570</v>
      </c>
      <c r="S522" s="4">
        <v>44837</v>
      </c>
    </row>
    <row r="523" spans="1:19" ht="12.5" x14ac:dyDescent="0.25">
      <c r="A523" s="14" t="str">
        <f>HYPERLINK("https://gerandofalcoes.my.salesforce.com/0014X00002VKCreQAH", "0014X00002VKCreQAH")</f>
        <v>0014X00002VKCreQAH</v>
      </c>
      <c r="B523" s="2" t="s">
        <v>2914</v>
      </c>
      <c r="C523" s="2" t="s">
        <v>423</v>
      </c>
      <c r="D523" s="2" t="s">
        <v>2</v>
      </c>
      <c r="E523" s="2">
        <v>29</v>
      </c>
      <c r="F523" s="2">
        <v>0</v>
      </c>
      <c r="G523" s="2">
        <v>1</v>
      </c>
      <c r="H523" s="2">
        <v>3245</v>
      </c>
      <c r="I523" s="2">
        <v>0</v>
      </c>
      <c r="J523" s="2" t="s">
        <v>1779</v>
      </c>
      <c r="K523" s="2">
        <v>24</v>
      </c>
      <c r="L523" s="2">
        <v>15</v>
      </c>
      <c r="M523" s="2">
        <v>0</v>
      </c>
      <c r="N523" s="2">
        <v>4</v>
      </c>
      <c r="O523" s="2">
        <v>5</v>
      </c>
      <c r="P523" s="2">
        <v>0</v>
      </c>
      <c r="Q523" s="2" t="s">
        <v>2915</v>
      </c>
      <c r="R523" s="2" t="s">
        <v>2915</v>
      </c>
      <c r="S523" s="4">
        <v>44837</v>
      </c>
    </row>
    <row r="524" spans="1:19" ht="12.5" x14ac:dyDescent="0.25">
      <c r="A524" s="14" t="str">
        <f>HYPERLINK("https://gerandofalcoes.my.salesforce.com/0014X00002VKCrbQAH", "0014X00002VKCrbQAH")</f>
        <v>0014X00002VKCrbQAH</v>
      </c>
      <c r="B524" s="2" t="s">
        <v>2820</v>
      </c>
      <c r="C524" s="2" t="s">
        <v>423</v>
      </c>
      <c r="D524" s="2" t="s">
        <v>2</v>
      </c>
      <c r="E524" s="2">
        <v>12</v>
      </c>
      <c r="F524" s="2">
        <v>0</v>
      </c>
      <c r="G524" s="2">
        <v>0</v>
      </c>
      <c r="H524" s="2">
        <v>0</v>
      </c>
      <c r="I524" s="2">
        <v>300</v>
      </c>
      <c r="J524" s="2" t="s">
        <v>1779</v>
      </c>
      <c r="K524" s="2">
        <v>25</v>
      </c>
      <c r="L524" s="2">
        <v>10</v>
      </c>
      <c r="M524" s="2">
        <v>0</v>
      </c>
      <c r="N524" s="2">
        <v>0</v>
      </c>
      <c r="O524" s="2">
        <v>0</v>
      </c>
      <c r="P524" s="2">
        <v>15</v>
      </c>
      <c r="Q524" s="2" t="s">
        <v>2821</v>
      </c>
      <c r="R524" s="2" t="s">
        <v>2822</v>
      </c>
      <c r="S524" s="4">
        <v>44837</v>
      </c>
    </row>
    <row r="525" spans="1:19" ht="12.5" x14ac:dyDescent="0.25">
      <c r="A525" s="14" t="str">
        <f>HYPERLINK("https://gerandofalcoes.my.salesforce.com/0014X00002VKCs2QAH", "0014X00002VKCs2QAH")</f>
        <v>0014X00002VKCs2QAH</v>
      </c>
      <c r="B525" s="2" t="s">
        <v>2727</v>
      </c>
      <c r="C525" s="2" t="s">
        <v>1800</v>
      </c>
      <c r="D525" s="2" t="s">
        <v>2</v>
      </c>
      <c r="E525" s="2">
        <v>15</v>
      </c>
      <c r="F525" s="2">
        <v>0</v>
      </c>
      <c r="G525" s="2">
        <v>2</v>
      </c>
      <c r="H525" s="2">
        <v>2500</v>
      </c>
      <c r="I525" s="2">
        <v>0</v>
      </c>
      <c r="J525" s="2" t="s">
        <v>1779</v>
      </c>
      <c r="K525" s="2">
        <v>21</v>
      </c>
      <c r="L525" s="2">
        <v>10</v>
      </c>
      <c r="M525" s="2">
        <v>0</v>
      </c>
      <c r="N525" s="2">
        <v>6</v>
      </c>
      <c r="O525" s="2">
        <v>5</v>
      </c>
      <c r="P525" s="2">
        <v>0</v>
      </c>
      <c r="Q525" s="2" t="s">
        <v>2728</v>
      </c>
      <c r="R525" s="2" t="s">
        <v>2729</v>
      </c>
      <c r="S525" s="4">
        <v>44837</v>
      </c>
    </row>
    <row r="526" spans="1:19" ht="12.5" x14ac:dyDescent="0.25">
      <c r="A526" s="14" t="str">
        <f>HYPERLINK("https://gerandofalcoes.my.salesforce.com/0014X00002VKCr5QAH", "0014X00002VKCr5QAH")</f>
        <v>0014X00002VKCr5QAH</v>
      </c>
      <c r="B526" s="2" t="s">
        <v>2067</v>
      </c>
      <c r="C526" s="2" t="s">
        <v>423</v>
      </c>
      <c r="D526" s="2" t="s">
        <v>2</v>
      </c>
      <c r="E526" s="2">
        <v>36.520000000000003</v>
      </c>
      <c r="F526" s="2">
        <v>6</v>
      </c>
      <c r="G526" s="2">
        <v>2</v>
      </c>
      <c r="H526" s="2">
        <v>5356022</v>
      </c>
      <c r="I526" s="2">
        <v>0</v>
      </c>
      <c r="J526" s="2" t="s">
        <v>1671</v>
      </c>
      <c r="K526" s="2">
        <v>56</v>
      </c>
      <c r="L526" s="2">
        <v>15</v>
      </c>
      <c r="M526" s="2">
        <v>10</v>
      </c>
      <c r="N526" s="2">
        <v>6</v>
      </c>
      <c r="O526" s="2">
        <v>25</v>
      </c>
      <c r="P526" s="2">
        <v>0</v>
      </c>
      <c r="Q526" s="2" t="s">
        <v>2068</v>
      </c>
      <c r="R526" s="2" t="s">
        <v>2069</v>
      </c>
      <c r="S526" s="4">
        <v>44837</v>
      </c>
    </row>
    <row r="527" spans="1:19" ht="12.5" x14ac:dyDescent="0.25">
      <c r="A527" s="14" t="str">
        <f>HYPERLINK("https://gerandofalcoes.my.salesforce.com/0014X00002VKCsxQAH", "0014X00002VKCsxQAH")</f>
        <v>0014X00002VKCsxQAH</v>
      </c>
      <c r="B527" s="2" t="s">
        <v>2500</v>
      </c>
      <c r="C527" s="2" t="s">
        <v>423</v>
      </c>
      <c r="D527" s="2" t="s">
        <v>2</v>
      </c>
      <c r="E527" s="2">
        <v>25</v>
      </c>
      <c r="F527" s="2">
        <v>0</v>
      </c>
      <c r="G527" s="2">
        <v>1</v>
      </c>
      <c r="H527" s="2">
        <v>3500000</v>
      </c>
      <c r="I527" s="2">
        <v>150</v>
      </c>
      <c r="J527" s="2" t="s">
        <v>1671</v>
      </c>
      <c r="K527" s="2">
        <v>56</v>
      </c>
      <c r="L527" s="2">
        <v>15</v>
      </c>
      <c r="M527" s="2">
        <v>0</v>
      </c>
      <c r="N527" s="2">
        <v>4</v>
      </c>
      <c r="O527" s="2">
        <v>25</v>
      </c>
      <c r="P527" s="2">
        <v>12</v>
      </c>
      <c r="Q527" s="2" t="s">
        <v>2501</v>
      </c>
      <c r="R527" s="2" t="s">
        <v>2502</v>
      </c>
      <c r="S527" s="4">
        <v>44837</v>
      </c>
    </row>
    <row r="528" spans="1:19" ht="12.5" x14ac:dyDescent="0.25">
      <c r="A528" s="14" t="str">
        <f>HYPERLINK("https://gerandofalcoes.my.salesforce.com/0014X00002VKCsMQAX", "0014X00002VKCsMQAX")</f>
        <v>0014X00002VKCsMQAX</v>
      </c>
      <c r="B528" s="2" t="s">
        <v>2902</v>
      </c>
      <c r="C528" s="2" t="s">
        <v>423</v>
      </c>
      <c r="D528" s="2" t="s">
        <v>2</v>
      </c>
      <c r="E528" s="2">
        <v>8</v>
      </c>
      <c r="F528" s="2">
        <v>10</v>
      </c>
      <c r="G528" s="2">
        <v>2</v>
      </c>
      <c r="H528" s="2">
        <v>5000</v>
      </c>
      <c r="I528" s="2">
        <v>106</v>
      </c>
      <c r="J528" s="2" t="s">
        <v>1671</v>
      </c>
      <c r="K528" s="2">
        <v>41</v>
      </c>
      <c r="L528" s="2">
        <v>10</v>
      </c>
      <c r="M528" s="2">
        <v>10</v>
      </c>
      <c r="N528" s="2">
        <v>6</v>
      </c>
      <c r="O528" s="2">
        <v>5</v>
      </c>
      <c r="P528" s="2">
        <v>10</v>
      </c>
      <c r="Q528" s="2" t="s">
        <v>2903</v>
      </c>
      <c r="R528" s="2" t="s">
        <v>2904</v>
      </c>
      <c r="S528" s="4">
        <v>44837</v>
      </c>
    </row>
    <row r="529" spans="1:19" ht="12.5" x14ac:dyDescent="0.25">
      <c r="A529" s="14" t="str">
        <f>HYPERLINK("https://gerandofalcoes.my.salesforce.com/0014X00002VKCuAQAX", "0014X00002VKCuAQAX")</f>
        <v>0014X00002VKCuAQAX</v>
      </c>
      <c r="B529" s="2" t="s">
        <v>2155</v>
      </c>
      <c r="C529" s="2" t="s">
        <v>423</v>
      </c>
      <c r="D529" s="2" t="s">
        <v>2</v>
      </c>
      <c r="E529" s="2">
        <v>33.15</v>
      </c>
      <c r="F529" s="2">
        <v>0</v>
      </c>
      <c r="G529" s="2">
        <v>2</v>
      </c>
      <c r="H529" s="2">
        <v>25000</v>
      </c>
      <c r="I529" s="2">
        <v>25</v>
      </c>
      <c r="J529" s="2" t="s">
        <v>1779</v>
      </c>
      <c r="K529" s="2">
        <v>36</v>
      </c>
      <c r="L529" s="2">
        <v>15</v>
      </c>
      <c r="M529" s="2">
        <v>0</v>
      </c>
      <c r="N529" s="2">
        <v>6</v>
      </c>
      <c r="O529" s="2">
        <v>10</v>
      </c>
      <c r="P529" s="2">
        <v>5</v>
      </c>
      <c r="Q529" s="2" t="s">
        <v>2156</v>
      </c>
      <c r="R529" s="2" t="s">
        <v>2157</v>
      </c>
      <c r="S529" s="4">
        <v>44837</v>
      </c>
    </row>
    <row r="530" spans="1:19" ht="12.5" x14ac:dyDescent="0.25">
      <c r="A530" s="14" t="str">
        <f>HYPERLINK("https://gerandofalcoes.my.salesforce.com/0014X00002VKCrHQAX", "0014X00002VKCrHQAX")</f>
        <v>0014X00002VKCrHQAX</v>
      </c>
      <c r="B530" s="2" t="s">
        <v>2478</v>
      </c>
      <c r="C530" s="2" t="s">
        <v>423</v>
      </c>
      <c r="D530" s="2" t="s">
        <v>2</v>
      </c>
      <c r="E530" s="2">
        <v>22</v>
      </c>
      <c r="F530" s="2">
        <v>0</v>
      </c>
      <c r="G530" s="2">
        <v>3</v>
      </c>
      <c r="H530" s="2">
        <v>500</v>
      </c>
      <c r="I530" s="2">
        <v>114</v>
      </c>
      <c r="J530" s="2" t="s">
        <v>1779</v>
      </c>
      <c r="K530" s="2">
        <v>33</v>
      </c>
      <c r="L530" s="2">
        <v>10</v>
      </c>
      <c r="M530" s="2">
        <v>0</v>
      </c>
      <c r="N530" s="2">
        <v>8</v>
      </c>
      <c r="O530" s="2">
        <v>5</v>
      </c>
      <c r="P530" s="2">
        <v>10</v>
      </c>
      <c r="Q530" s="2" t="s">
        <v>2479</v>
      </c>
      <c r="R530" s="2" t="s">
        <v>2479</v>
      </c>
      <c r="S530" s="4">
        <v>44837</v>
      </c>
    </row>
    <row r="531" spans="1:19" ht="12.5" x14ac:dyDescent="0.25">
      <c r="A531" s="14" t="str">
        <f>HYPERLINK("https://gerandofalcoes.my.salesforce.com/0014X00002VKCsFQAX", "0014X00002VKCsFQAX")</f>
        <v>0014X00002VKCsFQAX</v>
      </c>
      <c r="B531" s="2" t="s">
        <v>2625</v>
      </c>
      <c r="C531" s="2" t="s">
        <v>423</v>
      </c>
      <c r="D531" s="2" t="s">
        <v>2</v>
      </c>
      <c r="E531" s="2">
        <v>18.13</v>
      </c>
      <c r="F531" s="2">
        <v>0</v>
      </c>
      <c r="G531" s="2">
        <v>1</v>
      </c>
      <c r="H531" s="2">
        <v>998</v>
      </c>
      <c r="I531" s="2">
        <v>70</v>
      </c>
      <c r="J531" s="2" t="s">
        <v>1779</v>
      </c>
      <c r="K531" s="2">
        <v>24</v>
      </c>
      <c r="L531" s="2">
        <v>10</v>
      </c>
      <c r="M531" s="2">
        <v>0</v>
      </c>
      <c r="N531" s="2">
        <v>4</v>
      </c>
      <c r="O531" s="2">
        <v>5</v>
      </c>
      <c r="P531" s="2">
        <v>5</v>
      </c>
      <c r="Q531" s="2" t="s">
        <v>2626</v>
      </c>
      <c r="R531" s="2" t="s">
        <v>2627</v>
      </c>
      <c r="S531" s="4">
        <v>44837</v>
      </c>
    </row>
    <row r="532" spans="1:19" ht="12.5" x14ac:dyDescent="0.25">
      <c r="A532" s="14" t="str">
        <f>HYPERLINK("https://gerandofalcoes.my.salesforce.com/0014X00002VKCrJQAX", "0014X00002VKCrJQAX")</f>
        <v>0014X00002VKCrJQAX</v>
      </c>
      <c r="B532" s="2" t="s">
        <v>2375</v>
      </c>
      <c r="C532" s="2" t="s">
        <v>1800</v>
      </c>
      <c r="D532" s="2" t="s">
        <v>2</v>
      </c>
      <c r="E532" s="2">
        <v>26</v>
      </c>
      <c r="F532" s="2">
        <v>0</v>
      </c>
      <c r="G532" s="2">
        <v>4</v>
      </c>
      <c r="H532" s="2">
        <v>1</v>
      </c>
      <c r="I532" s="2">
        <v>0</v>
      </c>
      <c r="J532" s="2" t="s">
        <v>1779</v>
      </c>
      <c r="K532" s="2">
        <v>30</v>
      </c>
      <c r="L532" s="2">
        <v>15</v>
      </c>
      <c r="M532" s="2">
        <v>0</v>
      </c>
      <c r="N532" s="2">
        <v>10</v>
      </c>
      <c r="O532" s="2">
        <v>5</v>
      </c>
      <c r="P532" s="2">
        <v>0</v>
      </c>
      <c r="Q532" s="2" t="s">
        <v>2376</v>
      </c>
      <c r="R532" s="2" t="s">
        <v>2377</v>
      </c>
      <c r="S532" s="4">
        <v>44837</v>
      </c>
    </row>
    <row r="533" spans="1:19" ht="12.5" x14ac:dyDescent="0.25">
      <c r="A533" s="14" t="str">
        <f>HYPERLINK("https://gerandofalcoes.my.salesforce.com/0014X00002VKCpjQAH", "0014X00002VKCpjQAH")</f>
        <v>0014X00002VKCpjQAH</v>
      </c>
      <c r="B533" s="2" t="s">
        <v>2152</v>
      </c>
      <c r="C533" s="2" t="s">
        <v>423</v>
      </c>
      <c r="D533" s="2" t="s">
        <v>2</v>
      </c>
      <c r="E533" s="2">
        <v>46</v>
      </c>
      <c r="F533" s="2">
        <v>0</v>
      </c>
      <c r="G533" s="2">
        <v>2</v>
      </c>
      <c r="H533" s="2">
        <v>160028</v>
      </c>
      <c r="I533" s="2">
        <v>156</v>
      </c>
      <c r="J533" s="2" t="s">
        <v>1671</v>
      </c>
      <c r="K533" s="2">
        <v>48</v>
      </c>
      <c r="L533" s="2">
        <v>15</v>
      </c>
      <c r="M533" s="2">
        <v>0</v>
      </c>
      <c r="N533" s="2">
        <v>6</v>
      </c>
      <c r="O533" s="2">
        <v>15</v>
      </c>
      <c r="P533" s="2">
        <v>12</v>
      </c>
      <c r="Q533" s="2" t="s">
        <v>2153</v>
      </c>
      <c r="R533" s="2" t="s">
        <v>2154</v>
      </c>
      <c r="S533" s="4">
        <v>44837</v>
      </c>
    </row>
    <row r="534" spans="1:19" ht="12.5" x14ac:dyDescent="0.25">
      <c r="A534" s="14" t="str">
        <f>HYPERLINK("https://gerandofalcoes.my.salesforce.com/0014X00002VKCv2QAH", "0014X00002VKCv2QAH")</f>
        <v>0014X00002VKCv2QAH</v>
      </c>
      <c r="B534" s="2" t="s">
        <v>2450</v>
      </c>
      <c r="C534" s="2" t="s">
        <v>423</v>
      </c>
      <c r="D534" s="2" t="s">
        <v>2</v>
      </c>
      <c r="E534" s="2">
        <v>24</v>
      </c>
      <c r="F534" s="2">
        <v>5</v>
      </c>
      <c r="G534" s="2">
        <v>3</v>
      </c>
      <c r="H534" s="2">
        <v>500</v>
      </c>
      <c r="I534" s="2">
        <v>0</v>
      </c>
      <c r="J534" s="2" t="s">
        <v>1779</v>
      </c>
      <c r="K534" s="2">
        <v>28</v>
      </c>
      <c r="L534" s="2">
        <v>10</v>
      </c>
      <c r="M534" s="2">
        <v>5</v>
      </c>
      <c r="N534" s="2">
        <v>8</v>
      </c>
      <c r="O534" s="2">
        <v>5</v>
      </c>
      <c r="P534" s="2">
        <v>0</v>
      </c>
      <c r="Q534" s="2" t="s">
        <v>2451</v>
      </c>
      <c r="R534" s="2" t="s">
        <v>2451</v>
      </c>
      <c r="S534" s="4">
        <v>44837</v>
      </c>
    </row>
    <row r="535" spans="1:19" ht="12.5" x14ac:dyDescent="0.25">
      <c r="A535" s="14" t="str">
        <f>HYPERLINK("https://gerandofalcoes.my.salesforce.com/0014X00002VKCtTQAX", "0014X00002VKCtTQAX")</f>
        <v>0014X00002VKCtTQAX</v>
      </c>
      <c r="B535" s="2" t="s">
        <v>2091</v>
      </c>
      <c r="C535" s="2" t="s">
        <v>423</v>
      </c>
      <c r="D535" s="2" t="s">
        <v>2</v>
      </c>
      <c r="E535" s="2">
        <v>44</v>
      </c>
      <c r="F535" s="2">
        <v>0</v>
      </c>
      <c r="G535" s="2">
        <v>2</v>
      </c>
      <c r="H535" s="2">
        <v>21451</v>
      </c>
      <c r="I535" s="2">
        <v>56</v>
      </c>
      <c r="J535" s="2" t="s">
        <v>1779</v>
      </c>
      <c r="K535" s="2">
        <v>31</v>
      </c>
      <c r="L535" s="2">
        <v>15</v>
      </c>
      <c r="M535" s="2">
        <v>0</v>
      </c>
      <c r="N535" s="2">
        <v>6</v>
      </c>
      <c r="O535" s="2">
        <v>5</v>
      </c>
      <c r="P535" s="2">
        <v>5</v>
      </c>
      <c r="Q535" s="2" t="s">
        <v>2092</v>
      </c>
      <c r="R535" s="2" t="s">
        <v>2092</v>
      </c>
      <c r="S535" s="4">
        <v>44837</v>
      </c>
    </row>
    <row r="536" spans="1:19" ht="12.5" x14ac:dyDescent="0.25">
      <c r="A536" s="14" t="str">
        <f>HYPERLINK("https://gerandofalcoes.my.salesforce.com/0014X00002VKCtNQAX", "0014X00002VKCtNQAX")</f>
        <v>0014X00002VKCtNQAX</v>
      </c>
      <c r="B536" s="2" t="s">
        <v>2703</v>
      </c>
      <c r="C536" s="2" t="s">
        <v>423</v>
      </c>
      <c r="D536" s="2" t="s">
        <v>2</v>
      </c>
      <c r="E536" s="2">
        <v>26</v>
      </c>
      <c r="F536" s="2">
        <v>0</v>
      </c>
      <c r="G536" s="2">
        <v>2</v>
      </c>
      <c r="H536" s="2">
        <v>2014715</v>
      </c>
      <c r="I536" s="2">
        <v>50</v>
      </c>
      <c r="J536" s="2" t="s">
        <v>1671</v>
      </c>
      <c r="K536" s="2">
        <v>51</v>
      </c>
      <c r="L536" s="2">
        <v>15</v>
      </c>
      <c r="M536" s="2">
        <v>0</v>
      </c>
      <c r="N536" s="2">
        <v>6</v>
      </c>
      <c r="O536" s="2">
        <v>25</v>
      </c>
      <c r="P536" s="2">
        <v>5</v>
      </c>
      <c r="Q536" s="2" t="s">
        <v>2704</v>
      </c>
      <c r="R536" s="2" t="s">
        <v>2705</v>
      </c>
      <c r="S536" s="4">
        <v>44837</v>
      </c>
    </row>
    <row r="537" spans="1:19" ht="12.5" x14ac:dyDescent="0.25">
      <c r="A537" s="14" t="str">
        <f>HYPERLINK("https://gerandofalcoes.my.salesforce.com/0014X00002VKCu0QAH", "0014X00002VKCu0QAH")</f>
        <v>0014X00002VKCu0QAH</v>
      </c>
      <c r="B537" s="2" t="s">
        <v>2457</v>
      </c>
      <c r="C537" s="2" t="s">
        <v>423</v>
      </c>
      <c r="D537" s="2" t="s">
        <v>2</v>
      </c>
      <c r="E537" s="2">
        <v>23</v>
      </c>
      <c r="F537" s="2">
        <v>0</v>
      </c>
      <c r="G537" s="2">
        <v>2</v>
      </c>
      <c r="H537" s="2">
        <v>2500</v>
      </c>
      <c r="I537" s="2">
        <v>120</v>
      </c>
      <c r="J537" s="2" t="s">
        <v>1779</v>
      </c>
      <c r="K537" s="2">
        <v>31</v>
      </c>
      <c r="L537" s="2">
        <v>10</v>
      </c>
      <c r="M537" s="2">
        <v>0</v>
      </c>
      <c r="N537" s="2">
        <v>6</v>
      </c>
      <c r="O537" s="2">
        <v>5</v>
      </c>
      <c r="P537" s="2">
        <v>10</v>
      </c>
      <c r="Q537" s="2" t="s">
        <v>2458</v>
      </c>
      <c r="R537" s="2" t="s">
        <v>2458</v>
      </c>
      <c r="S537" s="4">
        <v>44837</v>
      </c>
    </row>
    <row r="538" spans="1:19" ht="12.5" x14ac:dyDescent="0.25">
      <c r="A538" s="14" t="str">
        <f>HYPERLINK("https://gerandofalcoes.my.salesforce.com/0014X00002VKCspQAH", "0014X00002VKCspQAH")</f>
        <v>0014X00002VKCspQAH</v>
      </c>
      <c r="B538" s="2" t="s">
        <v>2506</v>
      </c>
      <c r="C538" s="2" t="s">
        <v>423</v>
      </c>
      <c r="D538" s="2" t="s">
        <v>2</v>
      </c>
      <c r="E538" s="2">
        <v>32</v>
      </c>
      <c r="F538" s="2">
        <v>0</v>
      </c>
      <c r="G538" s="2">
        <v>0</v>
      </c>
      <c r="H538" s="2">
        <v>0</v>
      </c>
      <c r="I538" s="2">
        <v>100</v>
      </c>
      <c r="J538" s="2" t="s">
        <v>1779</v>
      </c>
      <c r="K538" s="2">
        <v>25</v>
      </c>
      <c r="L538" s="2">
        <v>15</v>
      </c>
      <c r="M538" s="2">
        <v>0</v>
      </c>
      <c r="N538" s="2">
        <v>0</v>
      </c>
      <c r="O538" s="2">
        <v>0</v>
      </c>
      <c r="P538" s="2">
        <v>10</v>
      </c>
      <c r="Q538" s="2" t="s">
        <v>2507</v>
      </c>
      <c r="R538" s="2" t="s">
        <v>2508</v>
      </c>
      <c r="S538" s="4">
        <v>44837</v>
      </c>
    </row>
    <row r="539" spans="1:19" ht="12.5" x14ac:dyDescent="0.25">
      <c r="A539" s="14" t="str">
        <f>HYPERLINK("https://gerandofalcoes.my.salesforce.com/0014X00002VKCuCQAX", "0014X00002VKCuCQAX")</f>
        <v>0014X00002VKCuCQAX</v>
      </c>
      <c r="B539" s="2" t="s">
        <v>1847</v>
      </c>
      <c r="C539" s="2" t="s">
        <v>423</v>
      </c>
      <c r="D539" s="2" t="s">
        <v>2</v>
      </c>
      <c r="E539" s="2">
        <v>62</v>
      </c>
      <c r="F539" s="2">
        <v>3</v>
      </c>
      <c r="G539" s="2">
        <v>3</v>
      </c>
      <c r="H539" s="2">
        <v>20593734</v>
      </c>
      <c r="I539" s="2">
        <v>37</v>
      </c>
      <c r="J539" s="2" t="s">
        <v>1671</v>
      </c>
      <c r="K539" s="2">
        <v>63</v>
      </c>
      <c r="L539" s="2">
        <v>20</v>
      </c>
      <c r="M539" s="2">
        <v>5</v>
      </c>
      <c r="N539" s="2">
        <v>8</v>
      </c>
      <c r="O539" s="2">
        <v>25</v>
      </c>
      <c r="P539" s="2">
        <v>5</v>
      </c>
      <c r="Q539" s="2" t="s">
        <v>1848</v>
      </c>
      <c r="R539" s="2" t="s">
        <v>1849</v>
      </c>
      <c r="S539" s="4">
        <v>44837</v>
      </c>
    </row>
    <row r="540" spans="1:19" ht="12.5" x14ac:dyDescent="0.25">
      <c r="A540" s="14" t="str">
        <f>HYPERLINK("https://gerandofalcoes.my.salesforce.com/0014X00002VKCrfQAH", "0014X00002VKCrfQAH")</f>
        <v>0014X00002VKCrfQAH</v>
      </c>
      <c r="B540" s="2" t="s">
        <v>2804</v>
      </c>
      <c r="C540" s="2" t="s">
        <v>1800</v>
      </c>
      <c r="D540" s="2" t="s">
        <v>2</v>
      </c>
      <c r="E540" s="2">
        <v>13</v>
      </c>
      <c r="F540" s="2">
        <v>0</v>
      </c>
      <c r="G540" s="2">
        <v>4</v>
      </c>
      <c r="H540" s="2">
        <v>10000</v>
      </c>
      <c r="I540" s="2">
        <v>2</v>
      </c>
      <c r="J540" s="2" t="s">
        <v>1779</v>
      </c>
      <c r="K540" s="2">
        <v>30</v>
      </c>
      <c r="L540" s="2">
        <v>10</v>
      </c>
      <c r="M540" s="2">
        <v>0</v>
      </c>
      <c r="N540" s="2">
        <v>10</v>
      </c>
      <c r="O540" s="2">
        <v>5</v>
      </c>
      <c r="P540" s="2">
        <v>5</v>
      </c>
      <c r="Q540" s="2" t="s">
        <v>2805</v>
      </c>
      <c r="R540" s="2" t="s">
        <v>2806</v>
      </c>
      <c r="S540" s="4">
        <v>44837</v>
      </c>
    </row>
    <row r="541" spans="1:19" ht="12.5" x14ac:dyDescent="0.25">
      <c r="A541" s="14" t="str">
        <f>HYPERLINK("https://gerandofalcoes.my.salesforce.com/0014X00002VKCrQQAX", "0014X00002VKCrQQAX")</f>
        <v>0014X00002VKCrQQAX</v>
      </c>
      <c r="B541" s="2" t="s">
        <v>2765</v>
      </c>
      <c r="C541" s="2" t="s">
        <v>1800</v>
      </c>
      <c r="D541" s="2" t="s">
        <v>2</v>
      </c>
      <c r="E541" s="2">
        <v>14</v>
      </c>
      <c r="F541" s="2">
        <v>0</v>
      </c>
      <c r="G541" s="2">
        <v>2</v>
      </c>
      <c r="H541" s="2">
        <v>40000</v>
      </c>
      <c r="I541" s="2">
        <v>0</v>
      </c>
      <c r="J541" s="2" t="s">
        <v>1779</v>
      </c>
      <c r="K541" s="2">
        <v>26</v>
      </c>
      <c r="L541" s="2">
        <v>10</v>
      </c>
      <c r="M541" s="2">
        <v>0</v>
      </c>
      <c r="N541" s="2">
        <v>6</v>
      </c>
      <c r="O541" s="2">
        <v>10</v>
      </c>
      <c r="P541" s="2">
        <v>0</v>
      </c>
      <c r="Q541" s="2" t="s">
        <v>2766</v>
      </c>
      <c r="R541" s="2" t="s">
        <v>2767</v>
      </c>
      <c r="S541" s="4">
        <v>44837</v>
      </c>
    </row>
    <row r="542" spans="1:19" ht="12.5" x14ac:dyDescent="0.25">
      <c r="A542" s="14" t="str">
        <f>HYPERLINK("https://gerandofalcoes.my.salesforce.com/0014X00002VKCroQAH", "0014X00002VKCroQAH")</f>
        <v>0014X00002VKCroQAH</v>
      </c>
      <c r="B542" s="2" t="s">
        <v>2632</v>
      </c>
      <c r="C542" s="2" t="s">
        <v>1800</v>
      </c>
      <c r="D542" s="2" t="s">
        <v>2</v>
      </c>
      <c r="E542" s="2">
        <v>18</v>
      </c>
      <c r="F542" s="2">
        <v>0</v>
      </c>
      <c r="G542" s="2">
        <v>3</v>
      </c>
      <c r="H542" s="2">
        <v>8400</v>
      </c>
      <c r="I542" s="2">
        <v>100</v>
      </c>
      <c r="J542" s="2" t="s">
        <v>1779</v>
      </c>
      <c r="K542" s="2">
        <v>33</v>
      </c>
      <c r="L542" s="2">
        <v>10</v>
      </c>
      <c r="M542" s="2">
        <v>0</v>
      </c>
      <c r="N542" s="2">
        <v>8</v>
      </c>
      <c r="O542" s="2">
        <v>5</v>
      </c>
      <c r="P542" s="2">
        <v>10</v>
      </c>
      <c r="Q542" s="2" t="s">
        <v>2633</v>
      </c>
      <c r="R542" s="2" t="s">
        <v>2634</v>
      </c>
      <c r="S542" s="4">
        <v>44837</v>
      </c>
    </row>
    <row r="543" spans="1:19" ht="12.5" x14ac:dyDescent="0.25">
      <c r="A543" s="14" t="str">
        <f>HYPERLINK("https://gerandofalcoes.my.salesforce.com/0014X00002VKCueQAH", "0014X00002VKCueQAH")</f>
        <v>0014X00002VKCueQAH</v>
      </c>
      <c r="B543" s="2" t="s">
        <v>2128</v>
      </c>
      <c r="C543" s="2" t="s">
        <v>423</v>
      </c>
      <c r="D543" s="2" t="s">
        <v>2</v>
      </c>
      <c r="E543" s="2">
        <v>33</v>
      </c>
      <c r="F543" s="2">
        <v>0</v>
      </c>
      <c r="G543" s="2">
        <v>3</v>
      </c>
      <c r="H543" s="2">
        <v>40000</v>
      </c>
      <c r="I543" s="2">
        <v>10</v>
      </c>
      <c r="J543" s="2" t="s">
        <v>1779</v>
      </c>
      <c r="K543" s="2">
        <v>38</v>
      </c>
      <c r="L543" s="2">
        <v>15</v>
      </c>
      <c r="M543" s="2">
        <v>0</v>
      </c>
      <c r="N543" s="2">
        <v>8</v>
      </c>
      <c r="O543" s="2">
        <v>10</v>
      </c>
      <c r="P543" s="2">
        <v>5</v>
      </c>
      <c r="Q543" s="2" t="s">
        <v>2129</v>
      </c>
      <c r="R543" s="2" t="s">
        <v>2130</v>
      </c>
      <c r="S543" s="4">
        <v>44837</v>
      </c>
    </row>
    <row r="544" spans="1:19" ht="12.5" x14ac:dyDescent="0.25">
      <c r="A544" s="14" t="str">
        <f>HYPERLINK("https://gerandofalcoes.my.salesforce.com/0014X00002VKCqnQAH", "0014X00002VKCqnQAH")</f>
        <v>0014X00002VKCqnQAH</v>
      </c>
      <c r="B544" s="2" t="s">
        <v>2743</v>
      </c>
      <c r="C544" s="2" t="s">
        <v>423</v>
      </c>
      <c r="D544" s="2" t="s">
        <v>2</v>
      </c>
      <c r="E544" s="2">
        <v>48</v>
      </c>
      <c r="F544" s="2">
        <v>0</v>
      </c>
      <c r="G544" s="2">
        <v>4</v>
      </c>
      <c r="H544" s="2">
        <v>99683</v>
      </c>
      <c r="I544" s="2">
        <v>180</v>
      </c>
      <c r="J544" s="2" t="s">
        <v>1671</v>
      </c>
      <c r="K544" s="2">
        <v>47</v>
      </c>
      <c r="L544" s="2">
        <v>15</v>
      </c>
      <c r="M544" s="2">
        <v>0</v>
      </c>
      <c r="N544" s="2">
        <v>10</v>
      </c>
      <c r="O544" s="2">
        <v>10</v>
      </c>
      <c r="P544" s="2">
        <v>12</v>
      </c>
      <c r="Q544" s="2" t="s">
        <v>2744</v>
      </c>
      <c r="R544" s="2" t="s">
        <v>2745</v>
      </c>
      <c r="S544" s="4">
        <v>44837</v>
      </c>
    </row>
    <row r="545" spans="1:19" ht="12.5" x14ac:dyDescent="0.25">
      <c r="A545" s="14" t="str">
        <f>HYPERLINK("https://gerandofalcoes.my.salesforce.com/0014X00002VKCr7QAH", "0014X00002VKCr7QAH")</f>
        <v>0014X00002VKCr7QAH</v>
      </c>
      <c r="B545" s="2" t="s">
        <v>2730</v>
      </c>
      <c r="C545" s="2" t="s">
        <v>423</v>
      </c>
      <c r="D545" s="2" t="s">
        <v>2</v>
      </c>
      <c r="E545" s="2">
        <v>15</v>
      </c>
      <c r="F545" s="2">
        <v>0</v>
      </c>
      <c r="G545" s="2">
        <v>2</v>
      </c>
      <c r="H545" s="2">
        <v>0</v>
      </c>
      <c r="I545" s="2">
        <v>0</v>
      </c>
      <c r="J545" s="2" t="s">
        <v>1779</v>
      </c>
      <c r="K545" s="2">
        <v>16</v>
      </c>
      <c r="L545" s="2">
        <v>10</v>
      </c>
      <c r="M545" s="2">
        <v>0</v>
      </c>
      <c r="N545" s="2">
        <v>6</v>
      </c>
      <c r="O545" s="2">
        <v>0</v>
      </c>
      <c r="P545" s="2">
        <v>0</v>
      </c>
      <c r="Q545" s="2" t="s">
        <v>2731</v>
      </c>
      <c r="R545" s="2" t="s">
        <v>2731</v>
      </c>
      <c r="S545" s="4">
        <v>44837</v>
      </c>
    </row>
    <row r="546" spans="1:19" ht="12.5" x14ac:dyDescent="0.25">
      <c r="A546" s="14" t="str">
        <f>HYPERLINK("https://gerandofalcoes.my.salesforce.com/0014X00002VKCtCQAX", "0014X00002VKCtCQAX")</f>
        <v>0014X00002VKCtCQAX</v>
      </c>
      <c r="B546" s="2" t="s">
        <v>2724</v>
      </c>
      <c r="C546" s="2" t="s">
        <v>423</v>
      </c>
      <c r="D546" s="2" t="s">
        <v>2</v>
      </c>
      <c r="E546" s="2">
        <v>15</v>
      </c>
      <c r="F546" s="2">
        <v>0</v>
      </c>
      <c r="G546" s="2">
        <v>1</v>
      </c>
      <c r="H546" s="2">
        <v>6000</v>
      </c>
      <c r="I546" s="2">
        <v>40</v>
      </c>
      <c r="J546" s="2" t="s">
        <v>1779</v>
      </c>
      <c r="K546" s="2">
        <v>24</v>
      </c>
      <c r="L546" s="2">
        <v>10</v>
      </c>
      <c r="M546" s="2">
        <v>0</v>
      </c>
      <c r="N546" s="2">
        <v>4</v>
      </c>
      <c r="O546" s="2">
        <v>5</v>
      </c>
      <c r="P546" s="2">
        <v>5</v>
      </c>
      <c r="Q546" s="2" t="s">
        <v>2725</v>
      </c>
      <c r="R546" s="2" t="s">
        <v>2726</v>
      </c>
      <c r="S546" s="4">
        <v>44837</v>
      </c>
    </row>
    <row r="547" spans="1:19" ht="12.5" x14ac:dyDescent="0.25">
      <c r="A547" s="14" t="str">
        <f>HYPERLINK("https://gerandofalcoes.my.salesforce.com/0014X00002VKCr3QAH", "0014X00002VKCr3QAH")</f>
        <v>0014X00002VKCr3QAH</v>
      </c>
      <c r="B547" s="2" t="s">
        <v>2399</v>
      </c>
      <c r="C547" s="2" t="s">
        <v>423</v>
      </c>
      <c r="D547" s="2" t="s">
        <v>2</v>
      </c>
      <c r="E547" s="2">
        <v>25</v>
      </c>
      <c r="F547" s="2">
        <v>0</v>
      </c>
      <c r="G547" s="2">
        <v>0</v>
      </c>
      <c r="H547" s="2">
        <v>0</v>
      </c>
      <c r="I547" s="2">
        <v>700</v>
      </c>
      <c r="J547" s="2" t="s">
        <v>1779</v>
      </c>
      <c r="K547" s="2">
        <v>35</v>
      </c>
      <c r="L547" s="2">
        <v>15</v>
      </c>
      <c r="M547" s="2">
        <v>0</v>
      </c>
      <c r="N547" s="2">
        <v>0</v>
      </c>
      <c r="O547" s="2">
        <v>0</v>
      </c>
      <c r="P547" s="2">
        <v>20</v>
      </c>
      <c r="Q547" s="2" t="s">
        <v>2400</v>
      </c>
      <c r="R547" s="2" t="s">
        <v>2400</v>
      </c>
      <c r="S547" s="4">
        <v>44837</v>
      </c>
    </row>
    <row r="548" spans="1:19" ht="12.5" x14ac:dyDescent="0.25">
      <c r="A548" s="14" t="str">
        <f>HYPERLINK("https://gerandofalcoes.my.salesforce.com/0014X00002VKCqmQAH", "0014X00002VKCqmQAH")</f>
        <v>0014X00002VKCqmQAH</v>
      </c>
      <c r="B548" s="2" t="s">
        <v>2032</v>
      </c>
      <c r="C548" s="2" t="s">
        <v>423</v>
      </c>
      <c r="D548" s="2" t="s">
        <v>2</v>
      </c>
      <c r="E548" s="2">
        <v>37</v>
      </c>
      <c r="F548" s="2">
        <v>5</v>
      </c>
      <c r="G548" s="2">
        <v>1</v>
      </c>
      <c r="H548" s="2">
        <v>40000</v>
      </c>
      <c r="I548" s="2">
        <v>250</v>
      </c>
      <c r="J548" s="2" t="s">
        <v>1671</v>
      </c>
      <c r="K548" s="2">
        <v>46</v>
      </c>
      <c r="L548" s="2">
        <v>15</v>
      </c>
      <c r="M548" s="2">
        <v>5</v>
      </c>
      <c r="N548" s="2">
        <v>4</v>
      </c>
      <c r="O548" s="2">
        <v>10</v>
      </c>
      <c r="P548" s="2">
        <v>12</v>
      </c>
      <c r="Q548" s="2" t="s">
        <v>2033</v>
      </c>
      <c r="R548" s="2" t="s">
        <v>2034</v>
      </c>
      <c r="S548" s="4">
        <v>44837</v>
      </c>
    </row>
    <row r="549" spans="1:19" ht="12.5" x14ac:dyDescent="0.25">
      <c r="A549" s="14" t="str">
        <f>HYPERLINK("https://gerandofalcoes.my.salesforce.com/0014X00002VKCu1QAH", "0014X00002VKCu1QAH")</f>
        <v>0014X00002VKCu1QAH</v>
      </c>
      <c r="B549" s="2" t="s">
        <v>2158</v>
      </c>
      <c r="C549" s="2" t="s">
        <v>1800</v>
      </c>
      <c r="D549" s="2" t="s">
        <v>2</v>
      </c>
      <c r="E549" s="2">
        <v>33</v>
      </c>
      <c r="F549" s="2">
        <v>0</v>
      </c>
      <c r="G549" s="2">
        <v>3</v>
      </c>
      <c r="H549" s="2">
        <v>10000</v>
      </c>
      <c r="I549" s="2">
        <v>3500</v>
      </c>
      <c r="J549" s="2" t="s">
        <v>1671</v>
      </c>
      <c r="K549" s="2">
        <v>48</v>
      </c>
      <c r="L549" s="2">
        <v>15</v>
      </c>
      <c r="M549" s="2">
        <v>0</v>
      </c>
      <c r="N549" s="2">
        <v>8</v>
      </c>
      <c r="O549" s="2">
        <v>5</v>
      </c>
      <c r="P549" s="2">
        <v>20</v>
      </c>
      <c r="Q549" s="2" t="s">
        <v>2159</v>
      </c>
      <c r="R549" s="2" t="s">
        <v>2160</v>
      </c>
      <c r="S549" s="4">
        <v>44837</v>
      </c>
    </row>
    <row r="550" spans="1:19" ht="12.5" x14ac:dyDescent="0.25">
      <c r="A550" s="14" t="str">
        <f>HYPERLINK("https://gerandofalcoes.my.salesforce.com/0014X00002VKD05QAH", "0014X00002VKD05QAH")</f>
        <v>0014X00002VKD05QAH</v>
      </c>
      <c r="B550" s="2" t="s">
        <v>2264</v>
      </c>
      <c r="C550" s="2" t="s">
        <v>423</v>
      </c>
      <c r="D550" s="2" t="s">
        <v>2</v>
      </c>
      <c r="E550" s="2">
        <v>30</v>
      </c>
      <c r="F550" s="2">
        <v>0</v>
      </c>
      <c r="G550" s="2">
        <v>2</v>
      </c>
      <c r="H550" s="2">
        <v>199010</v>
      </c>
      <c r="I550" s="2">
        <v>240</v>
      </c>
      <c r="J550" s="2" t="s">
        <v>1671</v>
      </c>
      <c r="K550" s="2">
        <v>48</v>
      </c>
      <c r="L550" s="2">
        <v>15</v>
      </c>
      <c r="M550" s="2">
        <v>0</v>
      </c>
      <c r="N550" s="2">
        <v>6</v>
      </c>
      <c r="O550" s="2">
        <v>15</v>
      </c>
      <c r="P550" s="2">
        <v>12</v>
      </c>
      <c r="Q550" s="2" t="s">
        <v>2265</v>
      </c>
      <c r="R550" s="2" t="s">
        <v>2266</v>
      </c>
      <c r="S550" s="4">
        <v>44837</v>
      </c>
    </row>
    <row r="551" spans="1:19" ht="12.5" x14ac:dyDescent="0.25">
      <c r="A551" s="14" t="str">
        <f>HYPERLINK("https://gerandofalcoes.my.salesforce.com/0014X00002VKCsSQAX", "0014X00002VKCsSQAX")</f>
        <v>0014X00002VKCsSQAX</v>
      </c>
      <c r="B551" s="2" t="s">
        <v>2354</v>
      </c>
      <c r="C551" s="2" t="s">
        <v>1800</v>
      </c>
      <c r="D551" s="2" t="s">
        <v>2</v>
      </c>
      <c r="E551" s="2">
        <v>27</v>
      </c>
      <c r="F551" s="2">
        <v>0</v>
      </c>
      <c r="G551" s="2">
        <v>3</v>
      </c>
      <c r="H551" s="2">
        <v>28800</v>
      </c>
      <c r="I551" s="2">
        <v>65</v>
      </c>
      <c r="J551" s="2" t="s">
        <v>1779</v>
      </c>
      <c r="K551" s="2">
        <v>38</v>
      </c>
      <c r="L551" s="2">
        <v>15</v>
      </c>
      <c r="M551" s="2">
        <v>0</v>
      </c>
      <c r="N551" s="2">
        <v>8</v>
      </c>
      <c r="O551" s="2">
        <v>10</v>
      </c>
      <c r="P551" s="2">
        <v>5</v>
      </c>
      <c r="Q551" s="2" t="s">
        <v>2355</v>
      </c>
      <c r="R551" s="2" t="s">
        <v>2356</v>
      </c>
      <c r="S551" s="4">
        <v>44837</v>
      </c>
    </row>
    <row r="552" spans="1:19" ht="12.5" x14ac:dyDescent="0.25">
      <c r="A552" s="14" t="str">
        <f>HYPERLINK("https://gerandofalcoes.my.salesforce.com/0014P00003AN2FpQAL", "0014P00003AN2FpQAL")</f>
        <v>0014P00003AN2FpQAL</v>
      </c>
      <c r="B552" s="2" t="s">
        <v>1678</v>
      </c>
      <c r="C552" s="2" t="s">
        <v>423</v>
      </c>
      <c r="D552" s="2" t="s">
        <v>27</v>
      </c>
      <c r="E552" s="2">
        <v>89</v>
      </c>
      <c r="F552" s="2">
        <v>16</v>
      </c>
      <c r="G552" s="2">
        <v>2</v>
      </c>
      <c r="H552" s="2">
        <v>76727.45</v>
      </c>
      <c r="I552" s="2">
        <v>173</v>
      </c>
      <c r="J552" s="2" t="s">
        <v>1650</v>
      </c>
      <c r="K552" s="2">
        <v>65</v>
      </c>
      <c r="L552" s="2">
        <v>25</v>
      </c>
      <c r="M552" s="2">
        <v>12</v>
      </c>
      <c r="N552" s="2">
        <v>6</v>
      </c>
      <c r="O552" s="2">
        <v>10</v>
      </c>
      <c r="P552" s="2">
        <v>12</v>
      </c>
      <c r="Q552" s="2" t="s">
        <v>131</v>
      </c>
      <c r="R552" s="2" t="s">
        <v>131</v>
      </c>
      <c r="S552" s="4">
        <v>44837</v>
      </c>
    </row>
    <row r="553" spans="1:19" ht="12.5" x14ac:dyDescent="0.25">
      <c r="A553" s="14" t="str">
        <f>HYPERLINK("https://gerandofalcoes.my.salesforce.com/0014X00002UGqWjQAL", "0014X00002UGqWjQAL")</f>
        <v>0014X00002UGqWjQAL</v>
      </c>
      <c r="B553" s="2" t="s">
        <v>2654</v>
      </c>
      <c r="C553" s="2" t="s">
        <v>423</v>
      </c>
      <c r="D553" s="2" t="s">
        <v>2</v>
      </c>
      <c r="E553" s="2">
        <v>17</v>
      </c>
      <c r="F553" s="2">
        <v>0</v>
      </c>
      <c r="G553" s="2">
        <v>2</v>
      </c>
      <c r="H553" s="2">
        <v>2000</v>
      </c>
      <c r="I553" s="2">
        <v>150</v>
      </c>
      <c r="J553" s="2" t="s">
        <v>1779</v>
      </c>
      <c r="K553" s="2">
        <v>33</v>
      </c>
      <c r="L553" s="2">
        <v>10</v>
      </c>
      <c r="M553" s="2">
        <v>0</v>
      </c>
      <c r="N553" s="2">
        <v>6</v>
      </c>
      <c r="O553" s="2">
        <v>5</v>
      </c>
      <c r="P553" s="2">
        <v>12</v>
      </c>
      <c r="Q553" s="2" t="s">
        <v>2655</v>
      </c>
      <c r="R553" s="2" t="s">
        <v>2656</v>
      </c>
      <c r="S553" s="4">
        <v>44837</v>
      </c>
    </row>
    <row r="554" spans="1:19" ht="12.5" x14ac:dyDescent="0.25">
      <c r="A554" s="14" t="str">
        <f>HYPERLINK("https://gerandofalcoes.my.salesforce.com/0014X00002UGscXQAT", "0014X00002UGscXQAT")</f>
        <v>0014X00002UGscXQAT</v>
      </c>
      <c r="B554" s="2" t="s">
        <v>2995</v>
      </c>
      <c r="C554" s="2" t="s">
        <v>1800</v>
      </c>
      <c r="D554" s="2" t="s">
        <v>2</v>
      </c>
      <c r="E554" s="2"/>
      <c r="F554" s="2">
        <v>2</v>
      </c>
      <c r="G554" s="2">
        <v>2</v>
      </c>
      <c r="H554" s="2">
        <v>1000</v>
      </c>
      <c r="I554" s="2">
        <v>0</v>
      </c>
      <c r="J554" s="2" t="s">
        <v>1779</v>
      </c>
      <c r="K554" s="2">
        <v>16</v>
      </c>
      <c r="L554" s="2">
        <v>0</v>
      </c>
      <c r="M554" s="2">
        <v>5</v>
      </c>
      <c r="N554" s="2">
        <v>6</v>
      </c>
      <c r="O554" s="2">
        <v>5</v>
      </c>
      <c r="P554" s="2">
        <v>0</v>
      </c>
      <c r="Q554" s="2" t="s">
        <v>2996</v>
      </c>
      <c r="R554" s="2" t="s">
        <v>2997</v>
      </c>
      <c r="S554" s="4">
        <v>44837</v>
      </c>
    </row>
    <row r="555" spans="1:19" ht="12.5" x14ac:dyDescent="0.25">
      <c r="A555" s="14" t="str">
        <f>HYPERLINK("https://gerandofalcoes.my.salesforce.com/0014P00003AN2FoQAL", "0014P00003AN2FoQAL")</f>
        <v>0014P00003AN2FoQAL</v>
      </c>
      <c r="B555" s="2" t="s">
        <v>1938</v>
      </c>
      <c r="C555" s="2" t="s">
        <v>423</v>
      </c>
      <c r="D555" s="2" t="s">
        <v>2</v>
      </c>
      <c r="E555" s="2">
        <v>41.14</v>
      </c>
      <c r="F555" s="2">
        <v>5</v>
      </c>
      <c r="G555" s="2">
        <v>1</v>
      </c>
      <c r="H555" s="2">
        <v>25000</v>
      </c>
      <c r="I555" s="2">
        <v>300</v>
      </c>
      <c r="J555" s="2" t="s">
        <v>1671</v>
      </c>
      <c r="K555" s="2">
        <v>49</v>
      </c>
      <c r="L555" s="2">
        <v>15</v>
      </c>
      <c r="M555" s="2">
        <v>5</v>
      </c>
      <c r="N555" s="2">
        <v>4</v>
      </c>
      <c r="O555" s="2">
        <v>10</v>
      </c>
      <c r="P555" s="2">
        <v>15</v>
      </c>
      <c r="Q555" s="2" t="s">
        <v>130</v>
      </c>
      <c r="R555" s="2" t="s">
        <v>1939</v>
      </c>
      <c r="S555" s="4">
        <v>44837</v>
      </c>
    </row>
    <row r="556" spans="1:19" ht="12.5" x14ac:dyDescent="0.25">
      <c r="A556" s="14" t="str">
        <f>HYPERLINK("https://gerandofalcoes.my.salesforce.com/0014P00003AN2FvQAL", "0014P00003AN2FvQAL")</f>
        <v>0014P00003AN2FvQAL</v>
      </c>
      <c r="B556" s="2" t="s">
        <v>1746</v>
      </c>
      <c r="C556" s="2" t="s">
        <v>423</v>
      </c>
      <c r="D556" s="2" t="s">
        <v>27</v>
      </c>
      <c r="E556" s="2">
        <v>64</v>
      </c>
      <c r="F556" s="2">
        <v>7</v>
      </c>
      <c r="G556" s="2">
        <v>2</v>
      </c>
      <c r="H556" s="2">
        <v>109514.68</v>
      </c>
      <c r="I556" s="2">
        <v>127</v>
      </c>
      <c r="J556" s="2" t="s">
        <v>1671</v>
      </c>
      <c r="K556" s="2">
        <v>61</v>
      </c>
      <c r="L556" s="2">
        <v>20</v>
      </c>
      <c r="M556" s="2">
        <v>10</v>
      </c>
      <c r="N556" s="2">
        <v>6</v>
      </c>
      <c r="O556" s="2">
        <v>15</v>
      </c>
      <c r="P556" s="2">
        <v>10</v>
      </c>
      <c r="Q556" s="2" t="s">
        <v>142</v>
      </c>
      <c r="R556" s="2" t="s">
        <v>142</v>
      </c>
      <c r="S556" s="4">
        <v>44837</v>
      </c>
    </row>
    <row r="557" spans="1:19" ht="12.5" x14ac:dyDescent="0.25">
      <c r="A557" s="14" t="str">
        <f>HYPERLINK("https://gerandofalcoes.my.salesforce.com/0014P00003AN2FqQAL", "0014P00003AN2FqQAL")</f>
        <v>0014P00003AN2FqQAL</v>
      </c>
      <c r="B557" s="2" t="s">
        <v>1658</v>
      </c>
      <c r="C557" s="2" t="s">
        <v>423</v>
      </c>
      <c r="D557" s="2" t="s">
        <v>27</v>
      </c>
      <c r="E557" s="2">
        <v>95</v>
      </c>
      <c r="F557" s="2">
        <v>46</v>
      </c>
      <c r="G557" s="2">
        <v>4</v>
      </c>
      <c r="H557" s="2">
        <v>1272655.06</v>
      </c>
      <c r="I557" s="2">
        <v>348</v>
      </c>
      <c r="J557" s="2" t="s">
        <v>1654</v>
      </c>
      <c r="K557" s="2">
        <v>95</v>
      </c>
      <c r="L557" s="2">
        <v>30</v>
      </c>
      <c r="M557" s="2">
        <v>15</v>
      </c>
      <c r="N557" s="2">
        <v>10</v>
      </c>
      <c r="O557" s="2">
        <v>25</v>
      </c>
      <c r="P557" s="2">
        <v>15</v>
      </c>
      <c r="Q557" s="2" t="s">
        <v>132</v>
      </c>
      <c r="R557" s="2" t="s">
        <v>132</v>
      </c>
      <c r="S557" s="4">
        <v>44837</v>
      </c>
    </row>
    <row r="558" spans="1:19" ht="12.5" x14ac:dyDescent="0.25">
      <c r="A558" s="14" t="str">
        <f>HYPERLINK("https://gerandofalcoes.my.salesforce.com/0014P00003AN2FsQAL", "0014P00003AN2FsQAL")</f>
        <v>0014P00003AN2FsQAL</v>
      </c>
      <c r="B558" s="2" t="s">
        <v>1688</v>
      </c>
      <c r="C558" s="2" t="s">
        <v>423</v>
      </c>
      <c r="D558" s="2" t="s">
        <v>27</v>
      </c>
      <c r="E558" s="2">
        <v>85</v>
      </c>
      <c r="F558" s="2">
        <v>6</v>
      </c>
      <c r="G558" s="2">
        <v>3</v>
      </c>
      <c r="H558" s="2">
        <v>93122.27</v>
      </c>
      <c r="I558" s="2">
        <v>206</v>
      </c>
      <c r="J558" s="2" t="s">
        <v>1650</v>
      </c>
      <c r="K558" s="2">
        <v>65</v>
      </c>
      <c r="L558" s="2">
        <v>25</v>
      </c>
      <c r="M558" s="2">
        <v>10</v>
      </c>
      <c r="N558" s="2">
        <v>8</v>
      </c>
      <c r="O558" s="2">
        <v>10</v>
      </c>
      <c r="P558" s="2">
        <v>12</v>
      </c>
      <c r="Q558" s="2" t="s">
        <v>134</v>
      </c>
      <c r="R558" s="2" t="s">
        <v>134</v>
      </c>
      <c r="S558" s="4">
        <v>44837</v>
      </c>
    </row>
    <row r="559" spans="1:19" ht="12.5" x14ac:dyDescent="0.25">
      <c r="A559" s="14" t="str">
        <f>HYPERLINK("https://gerandofalcoes.my.salesforce.com/0014X00002VKCteQAH", "0014X00002VKCteQAH")</f>
        <v>0014X00002VKCteQAH</v>
      </c>
      <c r="B559" s="2" t="s">
        <v>2368</v>
      </c>
      <c r="C559" s="2" t="s">
        <v>423</v>
      </c>
      <c r="D559" s="2" t="s">
        <v>2</v>
      </c>
      <c r="E559" s="2">
        <v>26</v>
      </c>
      <c r="F559" s="2">
        <v>0</v>
      </c>
      <c r="G559" s="2">
        <v>4</v>
      </c>
      <c r="H559" s="2">
        <v>120000</v>
      </c>
      <c r="I559" s="2">
        <v>60</v>
      </c>
      <c r="J559" s="2" t="s">
        <v>1671</v>
      </c>
      <c r="K559" s="2">
        <v>45</v>
      </c>
      <c r="L559" s="2">
        <v>15</v>
      </c>
      <c r="M559" s="2">
        <v>0</v>
      </c>
      <c r="N559" s="2">
        <v>10</v>
      </c>
      <c r="O559" s="2">
        <v>15</v>
      </c>
      <c r="P559" s="2">
        <v>5</v>
      </c>
      <c r="Q559" s="2" t="s">
        <v>2369</v>
      </c>
      <c r="R559" s="2" t="s">
        <v>2369</v>
      </c>
      <c r="S559" s="4">
        <v>44837</v>
      </c>
    </row>
    <row r="560" spans="1:19" ht="12.5" x14ac:dyDescent="0.25">
      <c r="A560" s="14" t="str">
        <f>HYPERLINK("https://gerandofalcoes.my.salesforce.com/0014P00003AN2FtQAL", "0014P00003AN2FtQAL")</f>
        <v>0014P00003AN2FtQAL</v>
      </c>
      <c r="B560" s="2" t="s">
        <v>137</v>
      </c>
      <c r="C560" s="2" t="s">
        <v>423</v>
      </c>
      <c r="D560" s="2" t="s">
        <v>27</v>
      </c>
      <c r="E560" s="2">
        <v>86</v>
      </c>
      <c r="F560" s="2">
        <v>7</v>
      </c>
      <c r="G560" s="2">
        <v>4</v>
      </c>
      <c r="H560" s="2">
        <v>67399.429999999993</v>
      </c>
      <c r="I560" s="2">
        <v>159</v>
      </c>
      <c r="J560" s="2" t="s">
        <v>1650</v>
      </c>
      <c r="K560" s="2">
        <v>67</v>
      </c>
      <c r="L560" s="2">
        <v>25</v>
      </c>
      <c r="M560" s="2">
        <v>10</v>
      </c>
      <c r="N560" s="2">
        <v>10</v>
      </c>
      <c r="O560" s="2">
        <v>10</v>
      </c>
      <c r="P560" s="2">
        <v>12</v>
      </c>
      <c r="Q560" s="2" t="s">
        <v>138</v>
      </c>
      <c r="R560" s="2" t="s">
        <v>1682</v>
      </c>
      <c r="S560" s="4">
        <v>44837</v>
      </c>
    </row>
    <row r="561" spans="1:19" ht="12.5" x14ac:dyDescent="0.25">
      <c r="A561" s="14" t="str">
        <f>HYPERLINK("https://gerandofalcoes.my.salesforce.com/0014P00003AN2FuQAL", "0014P00003AN2FuQAL")</f>
        <v>0014P00003AN2FuQAL</v>
      </c>
      <c r="B561" s="2" t="s">
        <v>1659</v>
      </c>
      <c r="C561" s="2" t="s">
        <v>423</v>
      </c>
      <c r="D561" s="2" t="s">
        <v>27</v>
      </c>
      <c r="E561" s="2">
        <v>95</v>
      </c>
      <c r="F561" s="2">
        <v>23</v>
      </c>
      <c r="G561" s="2">
        <v>3</v>
      </c>
      <c r="H561" s="2">
        <v>243360.63</v>
      </c>
      <c r="I561" s="2">
        <v>291</v>
      </c>
      <c r="J561" s="2" t="s">
        <v>1650</v>
      </c>
      <c r="K561" s="2">
        <v>77</v>
      </c>
      <c r="L561" s="2">
        <v>30</v>
      </c>
      <c r="M561" s="2">
        <v>12</v>
      </c>
      <c r="N561" s="2">
        <v>8</v>
      </c>
      <c r="O561" s="2">
        <v>15</v>
      </c>
      <c r="P561" s="2">
        <v>12</v>
      </c>
      <c r="Q561" s="2" t="s">
        <v>140</v>
      </c>
      <c r="R561" s="2" t="s">
        <v>140</v>
      </c>
      <c r="S561" s="4">
        <v>44837</v>
      </c>
    </row>
    <row r="562" spans="1:19" ht="12.5" x14ac:dyDescent="0.25">
      <c r="A562" s="14" t="str">
        <f>HYPERLINK("https://gerandofalcoes.my.salesforce.com/0014P00003AN2FwQAL", "0014P00003AN2FwQAL")</f>
        <v>0014P00003AN2FwQAL</v>
      </c>
      <c r="B562" s="2" t="s">
        <v>115</v>
      </c>
      <c r="C562" s="2" t="s">
        <v>423</v>
      </c>
      <c r="D562" s="2" t="s">
        <v>27</v>
      </c>
      <c r="E562" s="2">
        <v>73</v>
      </c>
      <c r="F562" s="2">
        <v>15</v>
      </c>
      <c r="G562" s="2">
        <v>1</v>
      </c>
      <c r="H562" s="2">
        <v>65923</v>
      </c>
      <c r="I562" s="2">
        <v>77</v>
      </c>
      <c r="J562" s="2" t="s">
        <v>1671</v>
      </c>
      <c r="K562" s="2">
        <v>51</v>
      </c>
      <c r="L562" s="2">
        <v>20</v>
      </c>
      <c r="M562" s="2">
        <v>12</v>
      </c>
      <c r="N562" s="2">
        <v>4</v>
      </c>
      <c r="O562" s="2">
        <v>10</v>
      </c>
      <c r="P562" s="2">
        <v>5</v>
      </c>
      <c r="Q562" s="2" t="s">
        <v>116</v>
      </c>
      <c r="R562" s="2" t="s">
        <v>1723</v>
      </c>
      <c r="S562" s="4">
        <v>44837</v>
      </c>
    </row>
    <row r="563" spans="1:19" ht="12.5" x14ac:dyDescent="0.25">
      <c r="A563" s="14" t="str">
        <f>HYPERLINK("https://gerandofalcoes.my.salesforce.com/0014P00003AN2FxQAL", "0014P00003AN2FxQAL")</f>
        <v>0014P00003AN2FxQAL</v>
      </c>
      <c r="B563" s="2" t="s">
        <v>1664</v>
      </c>
      <c r="C563" s="2" t="s">
        <v>423</v>
      </c>
      <c r="D563" s="2" t="s">
        <v>27</v>
      </c>
      <c r="E563" s="2">
        <v>93</v>
      </c>
      <c r="F563" s="2">
        <v>29</v>
      </c>
      <c r="G563" s="2">
        <v>1</v>
      </c>
      <c r="H563" s="2">
        <v>621309.18999999994</v>
      </c>
      <c r="I563" s="2">
        <v>203</v>
      </c>
      <c r="J563" s="2" t="s">
        <v>1650</v>
      </c>
      <c r="K563" s="2">
        <v>78</v>
      </c>
      <c r="L563" s="2">
        <v>30</v>
      </c>
      <c r="M563" s="2">
        <v>12</v>
      </c>
      <c r="N563" s="2">
        <v>4</v>
      </c>
      <c r="O563" s="2">
        <v>20</v>
      </c>
      <c r="P563" s="2">
        <v>12</v>
      </c>
      <c r="Q563" s="2" t="s">
        <v>144</v>
      </c>
      <c r="R563" s="2" t="s">
        <v>144</v>
      </c>
      <c r="S563" s="4">
        <v>44837</v>
      </c>
    </row>
    <row r="564" spans="1:19" ht="12.5" x14ac:dyDescent="0.25">
      <c r="A564" s="14" t="str">
        <f>HYPERLINK("https://gerandofalcoes.my.salesforce.com/0014X00002VKCrtQAH", "0014X00002VKCrtQAH")</f>
        <v>0014X00002VKCrtQAH</v>
      </c>
      <c r="B564" s="2" t="s">
        <v>2579</v>
      </c>
      <c r="C564" s="2" t="s">
        <v>423</v>
      </c>
      <c r="D564" s="2" t="s">
        <v>2</v>
      </c>
      <c r="E564" s="2">
        <v>34</v>
      </c>
      <c r="F564" s="2">
        <v>0</v>
      </c>
      <c r="G564" s="2">
        <v>2</v>
      </c>
      <c r="H564" s="2">
        <v>6000</v>
      </c>
      <c r="I564" s="2">
        <v>33</v>
      </c>
      <c r="J564" s="2" t="s">
        <v>1779</v>
      </c>
      <c r="K564" s="2">
        <v>31</v>
      </c>
      <c r="L564" s="2">
        <v>15</v>
      </c>
      <c r="M564" s="2">
        <v>0</v>
      </c>
      <c r="N564" s="2">
        <v>6</v>
      </c>
      <c r="O564" s="2">
        <v>5</v>
      </c>
      <c r="P564" s="2">
        <v>5</v>
      </c>
      <c r="Q564" s="2" t="s">
        <v>2580</v>
      </c>
      <c r="R564" s="2" t="s">
        <v>2581</v>
      </c>
      <c r="S564" s="4">
        <v>44837</v>
      </c>
    </row>
    <row r="565" spans="1:19" ht="12.5" x14ac:dyDescent="0.25">
      <c r="A565" s="14" t="str">
        <f>HYPERLINK("https://gerandofalcoes.my.salesforce.com/0014X00002VKCunQAH", "0014X00002VKCunQAH")</f>
        <v>0014X00002VKCunQAH</v>
      </c>
      <c r="B565" s="2" t="s">
        <v>2054</v>
      </c>
      <c r="C565" s="2" t="s">
        <v>423</v>
      </c>
      <c r="D565" s="2" t="s">
        <v>2</v>
      </c>
      <c r="E565" s="2">
        <v>37</v>
      </c>
      <c r="F565" s="2">
        <v>4</v>
      </c>
      <c r="G565" s="2">
        <v>6</v>
      </c>
      <c r="H565" s="2">
        <v>240</v>
      </c>
      <c r="I565" s="2">
        <v>12</v>
      </c>
      <c r="J565" s="2" t="s">
        <v>1671</v>
      </c>
      <c r="K565" s="2">
        <v>40</v>
      </c>
      <c r="L565" s="2">
        <v>15</v>
      </c>
      <c r="M565" s="2">
        <v>5</v>
      </c>
      <c r="N565" s="2">
        <v>10</v>
      </c>
      <c r="O565" s="2">
        <v>5</v>
      </c>
      <c r="P565" s="2">
        <v>5</v>
      </c>
      <c r="Q565" s="2" t="s">
        <v>2055</v>
      </c>
      <c r="R565" s="2" t="s">
        <v>2056</v>
      </c>
      <c r="S565" s="4">
        <v>44837</v>
      </c>
    </row>
    <row r="566" spans="1:19" ht="12.5" x14ac:dyDescent="0.25">
      <c r="A566" s="14" t="str">
        <f>HYPERLINK("https://gerandofalcoes.my.salesforce.com/0014X00002VKCpOQAX", "0014X00002VKCpOQAX")</f>
        <v>0014X00002VKCpOQAX</v>
      </c>
      <c r="B566" s="2" t="s">
        <v>2905</v>
      </c>
      <c r="C566" s="2" t="s">
        <v>423</v>
      </c>
      <c r="D566" s="2" t="s">
        <v>2</v>
      </c>
      <c r="E566" s="2">
        <v>8</v>
      </c>
      <c r="F566" s="2">
        <v>4</v>
      </c>
      <c r="G566" s="2">
        <v>10</v>
      </c>
      <c r="H566" s="2">
        <v>0</v>
      </c>
      <c r="I566" s="2">
        <v>100</v>
      </c>
      <c r="J566" s="2" t="s">
        <v>1779</v>
      </c>
      <c r="K566" s="2">
        <v>35</v>
      </c>
      <c r="L566" s="2">
        <v>10</v>
      </c>
      <c r="M566" s="2">
        <v>5</v>
      </c>
      <c r="N566" s="2">
        <v>10</v>
      </c>
      <c r="O566" s="2">
        <v>0</v>
      </c>
      <c r="P566" s="2">
        <v>10</v>
      </c>
      <c r="Q566" s="2" t="s">
        <v>2906</v>
      </c>
      <c r="R566" s="2" t="s">
        <v>2906</v>
      </c>
      <c r="S566" s="4">
        <v>44837</v>
      </c>
    </row>
    <row r="567" spans="1:19" ht="12.5" x14ac:dyDescent="0.25">
      <c r="A567" s="14" t="str">
        <f>HYPERLINK("https://gerandofalcoes.my.salesforce.com/0014X00002VKCv1QAH", "0014X00002VKCv1QAH")</f>
        <v>0014X00002VKCv1QAH</v>
      </c>
      <c r="B567" s="2" t="s">
        <v>2307</v>
      </c>
      <c r="C567" s="2" t="s">
        <v>423</v>
      </c>
      <c r="D567" s="2" t="s">
        <v>2</v>
      </c>
      <c r="E567" s="2">
        <v>29</v>
      </c>
      <c r="F567" s="2">
        <v>0</v>
      </c>
      <c r="G567" s="2">
        <v>2</v>
      </c>
      <c r="H567" s="2">
        <v>10000</v>
      </c>
      <c r="I567" s="2">
        <v>20</v>
      </c>
      <c r="J567" s="2" t="s">
        <v>1779</v>
      </c>
      <c r="K567" s="2">
        <v>31</v>
      </c>
      <c r="L567" s="2">
        <v>15</v>
      </c>
      <c r="M567" s="2">
        <v>0</v>
      </c>
      <c r="N567" s="2">
        <v>6</v>
      </c>
      <c r="O567" s="2">
        <v>5</v>
      </c>
      <c r="P567" s="2">
        <v>5</v>
      </c>
      <c r="Q567" s="2" t="s">
        <v>2308</v>
      </c>
      <c r="R567" s="2" t="s">
        <v>2308</v>
      </c>
      <c r="S567" s="4">
        <v>44837</v>
      </c>
    </row>
    <row r="568" spans="1:19" ht="12.5" x14ac:dyDescent="0.25">
      <c r="A568" s="14" t="str">
        <f>HYPERLINK("https://gerandofalcoes.my.salesforce.com/0014X00002VKCrxQAH", "0014X00002VKCrxQAH")</f>
        <v>0014X00002VKCrxQAH</v>
      </c>
      <c r="B568" s="2" t="s">
        <v>2970</v>
      </c>
      <c r="C568" s="2" t="s">
        <v>423</v>
      </c>
      <c r="D568" s="2" t="s">
        <v>2</v>
      </c>
      <c r="E568" s="2">
        <v>18</v>
      </c>
      <c r="F568" s="2">
        <v>0</v>
      </c>
      <c r="G568" s="2">
        <v>0</v>
      </c>
      <c r="H568" s="2">
        <v>0</v>
      </c>
      <c r="I568" s="2">
        <v>60</v>
      </c>
      <c r="J568" s="2" t="s">
        <v>1779</v>
      </c>
      <c r="K568" s="2">
        <v>15</v>
      </c>
      <c r="L568" s="2">
        <v>10</v>
      </c>
      <c r="M568" s="2">
        <v>0</v>
      </c>
      <c r="N568" s="2">
        <v>0</v>
      </c>
      <c r="O568" s="2">
        <v>0</v>
      </c>
      <c r="P568" s="2">
        <v>5</v>
      </c>
      <c r="Q568" s="2" t="s">
        <v>2971</v>
      </c>
      <c r="R568" s="2" t="s">
        <v>2972</v>
      </c>
      <c r="S568" s="4">
        <v>44837</v>
      </c>
    </row>
    <row r="569" spans="1:19" ht="12.5" x14ac:dyDescent="0.25">
      <c r="A569" s="14" t="str">
        <f>HYPERLINK("https://gerandofalcoes.my.salesforce.com/0014X00002VKCv3QAH", "0014X00002VKCv3QAH")</f>
        <v>0014X00002VKCv3QAH</v>
      </c>
      <c r="B569" s="2" t="s">
        <v>2141</v>
      </c>
      <c r="C569" s="2" t="s">
        <v>1800</v>
      </c>
      <c r="D569" s="2" t="s">
        <v>2</v>
      </c>
      <c r="E569" s="2">
        <v>34</v>
      </c>
      <c r="F569" s="2">
        <v>0</v>
      </c>
      <c r="G569" s="2">
        <v>3</v>
      </c>
      <c r="H569" s="2">
        <v>12000</v>
      </c>
      <c r="I569" s="2">
        <v>20</v>
      </c>
      <c r="J569" s="2" t="s">
        <v>1779</v>
      </c>
      <c r="K569" s="2">
        <v>33</v>
      </c>
      <c r="L569" s="2">
        <v>15</v>
      </c>
      <c r="M569" s="2">
        <v>0</v>
      </c>
      <c r="N569" s="2">
        <v>8</v>
      </c>
      <c r="O569" s="2">
        <v>5</v>
      </c>
      <c r="P569" s="2">
        <v>5</v>
      </c>
      <c r="Q569" s="2" t="s">
        <v>2142</v>
      </c>
      <c r="R569" s="2" t="s">
        <v>2143</v>
      </c>
      <c r="S569" s="4">
        <v>44837</v>
      </c>
    </row>
    <row r="570" spans="1:19" ht="12.5" x14ac:dyDescent="0.25">
      <c r="A570" s="14" t="str">
        <f>HYPERLINK("https://gerandofalcoes.my.salesforce.com/0014P00003SGWPtQAP", "0014P00003SGWPtQAP")</f>
        <v>0014P00003SGWPtQAP</v>
      </c>
      <c r="B570" s="2" t="s">
        <v>2628</v>
      </c>
      <c r="C570" s="2" t="s">
        <v>423</v>
      </c>
      <c r="D570" s="2" t="s">
        <v>2</v>
      </c>
      <c r="E570" s="2">
        <v>24</v>
      </c>
      <c r="F570" s="2">
        <v>3</v>
      </c>
      <c r="G570" s="2">
        <v>0</v>
      </c>
      <c r="H570" s="2">
        <v>400000</v>
      </c>
      <c r="I570" s="2">
        <v>134</v>
      </c>
      <c r="J570" s="2" t="s">
        <v>1671</v>
      </c>
      <c r="K570" s="2">
        <v>45</v>
      </c>
      <c r="L570" s="2">
        <v>10</v>
      </c>
      <c r="M570" s="2">
        <v>5</v>
      </c>
      <c r="N570" s="2">
        <v>0</v>
      </c>
      <c r="O570" s="2">
        <v>20</v>
      </c>
      <c r="P570" s="2">
        <v>10</v>
      </c>
      <c r="Q570" s="2" t="s">
        <v>336</v>
      </c>
      <c r="R570" s="2" t="s">
        <v>336</v>
      </c>
      <c r="S570" s="4">
        <v>44837</v>
      </c>
    </row>
    <row r="571" spans="1:19" ht="12.5" x14ac:dyDescent="0.25">
      <c r="A571" s="14" t="str">
        <f>HYPERLINK("https://gerandofalcoes.my.salesforce.com/0014P00003SGWPqQAP", "0014P00003SGWPqQAP")</f>
        <v>0014P00003SGWPqQAP</v>
      </c>
      <c r="B571" s="2" t="s">
        <v>2835</v>
      </c>
      <c r="C571" s="2" t="s">
        <v>1800</v>
      </c>
      <c r="D571" s="2" t="s">
        <v>2</v>
      </c>
      <c r="E571" s="2">
        <v>11</v>
      </c>
      <c r="F571" s="2">
        <v>2</v>
      </c>
      <c r="G571" s="2">
        <v>0</v>
      </c>
      <c r="H571" s="2">
        <v>140000</v>
      </c>
      <c r="I571" s="2">
        <v>200</v>
      </c>
      <c r="J571" s="2" t="s">
        <v>1671</v>
      </c>
      <c r="K571" s="2">
        <v>42</v>
      </c>
      <c r="L571" s="2">
        <v>10</v>
      </c>
      <c r="M571" s="2">
        <v>5</v>
      </c>
      <c r="N571" s="2">
        <v>0</v>
      </c>
      <c r="O571" s="2">
        <v>15</v>
      </c>
      <c r="P571" s="2">
        <v>12</v>
      </c>
      <c r="Q571" s="2" t="s">
        <v>327</v>
      </c>
      <c r="R571" s="2" t="s">
        <v>1409</v>
      </c>
      <c r="S571" s="4">
        <v>44837</v>
      </c>
    </row>
    <row r="572" spans="1:19" ht="12.5" x14ac:dyDescent="0.25">
      <c r="A572" s="14" t="str">
        <f>HYPERLINK("https://gerandofalcoes.my.salesforce.com/0014P00003SGWPrQAP", "0014P00003SGWPrQAP")</f>
        <v>0014P00003SGWPrQAP</v>
      </c>
      <c r="B572" s="2" t="s">
        <v>2774</v>
      </c>
      <c r="C572" s="2" t="s">
        <v>423</v>
      </c>
      <c r="D572" s="2" t="s">
        <v>2</v>
      </c>
      <c r="E572" s="2">
        <v>31</v>
      </c>
      <c r="F572" s="2">
        <v>0</v>
      </c>
      <c r="G572" s="2">
        <v>2</v>
      </c>
      <c r="H572" s="2">
        <v>50000</v>
      </c>
      <c r="I572" s="2">
        <v>52</v>
      </c>
      <c r="J572" s="2" t="s">
        <v>1779</v>
      </c>
      <c r="K572" s="2">
        <v>36</v>
      </c>
      <c r="L572" s="2">
        <v>15</v>
      </c>
      <c r="M572" s="2">
        <v>0</v>
      </c>
      <c r="N572" s="2">
        <v>6</v>
      </c>
      <c r="O572" s="2">
        <v>10</v>
      </c>
      <c r="P572" s="2">
        <v>5</v>
      </c>
      <c r="Q572" s="2" t="s">
        <v>329</v>
      </c>
      <c r="R572" s="2" t="s">
        <v>1419</v>
      </c>
      <c r="S572" s="4">
        <v>44837</v>
      </c>
    </row>
    <row r="573" spans="1:19" ht="12.5" x14ac:dyDescent="0.25">
      <c r="A573" s="14" t="str">
        <f>HYPERLINK("https://gerandofalcoes.my.salesforce.com/0014P00003SGWPsQAP", "0014P00003SGWPsQAP")</f>
        <v>0014P00003SGWPsQAP</v>
      </c>
      <c r="B573" s="2" t="s">
        <v>1663</v>
      </c>
      <c r="C573" s="2" t="s">
        <v>423</v>
      </c>
      <c r="D573" s="2" t="s">
        <v>27</v>
      </c>
      <c r="E573" s="2">
        <v>93</v>
      </c>
      <c r="F573" s="2">
        <v>49</v>
      </c>
      <c r="G573" s="2">
        <v>3</v>
      </c>
      <c r="H573" s="2">
        <v>1126099.1000000001</v>
      </c>
      <c r="I573" s="2">
        <v>390</v>
      </c>
      <c r="J573" s="2" t="s">
        <v>1654</v>
      </c>
      <c r="K573" s="2">
        <v>93</v>
      </c>
      <c r="L573" s="2">
        <v>30</v>
      </c>
      <c r="M573" s="2">
        <v>15</v>
      </c>
      <c r="N573" s="2">
        <v>8</v>
      </c>
      <c r="O573" s="2">
        <v>25</v>
      </c>
      <c r="P573" s="2">
        <v>15</v>
      </c>
      <c r="Q573" s="2" t="s">
        <v>332</v>
      </c>
      <c r="R573" s="2" t="s">
        <v>1429</v>
      </c>
      <c r="S573" s="4">
        <v>44837</v>
      </c>
    </row>
    <row r="574" spans="1:19" ht="12.5" x14ac:dyDescent="0.25">
      <c r="A574" s="14" t="str">
        <f>HYPERLINK("https://gerandofalcoes.my.salesforce.com/0014P00003SGWFqQAP", "0014P00003SGWFqQAP")</f>
        <v>0014P00003SGWFqQAP</v>
      </c>
      <c r="B574" s="2" t="s">
        <v>343</v>
      </c>
      <c r="C574" s="2" t="s">
        <v>423</v>
      </c>
      <c r="D574" s="2" t="s">
        <v>2</v>
      </c>
      <c r="E574" s="2">
        <v>67</v>
      </c>
      <c r="F574" s="2">
        <v>10</v>
      </c>
      <c r="G574" s="2">
        <v>6</v>
      </c>
      <c r="H574" s="2">
        <v>796000</v>
      </c>
      <c r="I574" s="2">
        <v>80</v>
      </c>
      <c r="J574" s="2" t="s">
        <v>1650</v>
      </c>
      <c r="K574" s="2">
        <v>70</v>
      </c>
      <c r="L574" s="2">
        <v>20</v>
      </c>
      <c r="M574" s="2">
        <v>10</v>
      </c>
      <c r="N574" s="2">
        <v>10</v>
      </c>
      <c r="O574" s="2">
        <v>20</v>
      </c>
      <c r="P574" s="2">
        <v>10</v>
      </c>
      <c r="Q574" s="2" t="s">
        <v>344</v>
      </c>
      <c r="R574" s="2" t="s">
        <v>1479</v>
      </c>
      <c r="S574" s="4">
        <v>44837</v>
      </c>
    </row>
    <row r="575" spans="1:19" ht="12.5" x14ac:dyDescent="0.25">
      <c r="A575" s="14" t="str">
        <f>HYPERLINK("https://gerandofalcoes.my.salesforce.com/0014P00003SGWPMQA5", "0014P00003SGWPMQA5")</f>
        <v>0014P00003SGWPMQA5</v>
      </c>
      <c r="B575" s="2" t="s">
        <v>347</v>
      </c>
      <c r="C575" s="2" t="s">
        <v>423</v>
      </c>
      <c r="D575" s="2" t="s">
        <v>2</v>
      </c>
      <c r="E575" s="2">
        <v>3.21</v>
      </c>
      <c r="F575" s="2">
        <v>0</v>
      </c>
      <c r="G575" s="2">
        <v>0</v>
      </c>
      <c r="H575" s="2">
        <v>0</v>
      </c>
      <c r="I575" s="2">
        <v>0</v>
      </c>
      <c r="J575" s="2" t="s">
        <v>1779</v>
      </c>
      <c r="K575" s="2">
        <v>10</v>
      </c>
      <c r="L575" s="2">
        <v>10</v>
      </c>
      <c r="M575" s="2">
        <v>0</v>
      </c>
      <c r="N575" s="2">
        <v>0</v>
      </c>
      <c r="O575" s="2">
        <v>0</v>
      </c>
      <c r="P575" s="2">
        <v>0</v>
      </c>
      <c r="Q575" s="2" t="s">
        <v>348</v>
      </c>
      <c r="R575" s="2" t="s">
        <v>1488</v>
      </c>
      <c r="S575" s="4">
        <v>44837</v>
      </c>
    </row>
    <row r="576" spans="1:19" ht="12.5" x14ac:dyDescent="0.25">
      <c r="A576" s="14" t="str">
        <f>HYPERLINK("https://gerandofalcoes.my.salesforce.com/0014P00003SGWFrQAP", "0014P00003SGWFrQAP")</f>
        <v>0014P00003SGWFrQAP</v>
      </c>
      <c r="B576" s="2" t="s">
        <v>350</v>
      </c>
      <c r="C576" s="2" t="s">
        <v>423</v>
      </c>
      <c r="D576" s="2" t="s">
        <v>2</v>
      </c>
      <c r="E576" s="2">
        <v>43</v>
      </c>
      <c r="F576" s="2">
        <v>7</v>
      </c>
      <c r="G576" s="2">
        <v>0</v>
      </c>
      <c r="H576" s="2">
        <v>290000</v>
      </c>
      <c r="I576" s="2">
        <v>183</v>
      </c>
      <c r="J576" s="2" t="s">
        <v>1671</v>
      </c>
      <c r="K576" s="2">
        <v>52</v>
      </c>
      <c r="L576" s="2">
        <v>15</v>
      </c>
      <c r="M576" s="2">
        <v>10</v>
      </c>
      <c r="N576" s="2">
        <v>0</v>
      </c>
      <c r="O576" s="2">
        <v>15</v>
      </c>
      <c r="P576" s="2">
        <v>12</v>
      </c>
      <c r="Q576" s="2" t="s">
        <v>351</v>
      </c>
      <c r="R576" s="2" t="s">
        <v>1499</v>
      </c>
      <c r="S576" s="4">
        <v>44837</v>
      </c>
    </row>
    <row r="577" spans="1:19" ht="12.5" x14ac:dyDescent="0.25">
      <c r="A577" s="14" t="str">
        <f>HYPERLINK("https://gerandofalcoes.my.salesforce.com/0014P00003SGWFsQAP", "0014P00003SGWFsQAP")</f>
        <v>0014P00003SGWFsQAP</v>
      </c>
      <c r="B577" s="2" t="s">
        <v>339</v>
      </c>
      <c r="C577" s="2" t="s">
        <v>423</v>
      </c>
      <c r="D577" s="2" t="s">
        <v>2</v>
      </c>
      <c r="E577" s="2">
        <v>33</v>
      </c>
      <c r="F577" s="2">
        <v>0</v>
      </c>
      <c r="G577" s="2">
        <v>0</v>
      </c>
      <c r="H577" s="2">
        <v>0</v>
      </c>
      <c r="I577" s="2">
        <v>106</v>
      </c>
      <c r="J577" s="2" t="s">
        <v>1779</v>
      </c>
      <c r="K577" s="2">
        <v>25</v>
      </c>
      <c r="L577" s="2">
        <v>15</v>
      </c>
      <c r="M577" s="2">
        <v>0</v>
      </c>
      <c r="N577" s="2">
        <v>0</v>
      </c>
      <c r="O577" s="2">
        <v>0</v>
      </c>
      <c r="P577" s="2">
        <v>10</v>
      </c>
      <c r="Q577" s="2" t="s">
        <v>340</v>
      </c>
      <c r="R577" s="2" t="s">
        <v>340</v>
      </c>
      <c r="S577" s="4">
        <v>44837</v>
      </c>
    </row>
    <row r="578" spans="1:19" ht="12.5" x14ac:dyDescent="0.25">
      <c r="A578" s="14" t="str">
        <f>HYPERLINK("https://gerandofalcoes.my.salesforce.com/0014P00003SGWFtQAP", "0014P00003SGWFtQAP")</f>
        <v>0014P00003SGWFtQAP</v>
      </c>
      <c r="B578" s="2" t="s">
        <v>354</v>
      </c>
      <c r="C578" s="2" t="s">
        <v>423</v>
      </c>
      <c r="D578" s="2" t="s">
        <v>27</v>
      </c>
      <c r="E578" s="2">
        <v>85</v>
      </c>
      <c r="F578" s="2">
        <v>4</v>
      </c>
      <c r="G578" s="2">
        <v>1</v>
      </c>
      <c r="H578" s="2">
        <v>11500</v>
      </c>
      <c r="I578" s="2">
        <v>78</v>
      </c>
      <c r="J578" s="2" t="s">
        <v>1671</v>
      </c>
      <c r="K578" s="2">
        <v>44</v>
      </c>
      <c r="L578" s="2">
        <v>25</v>
      </c>
      <c r="M578" s="2">
        <v>5</v>
      </c>
      <c r="N578" s="2">
        <v>4</v>
      </c>
      <c r="O578" s="2">
        <v>5</v>
      </c>
      <c r="P578" s="2">
        <v>5</v>
      </c>
      <c r="Q578" s="2" t="s">
        <v>1692</v>
      </c>
      <c r="R578" s="2" t="s">
        <v>1449</v>
      </c>
      <c r="S578" s="4">
        <v>44837</v>
      </c>
    </row>
    <row r="579" spans="1:19" ht="12.5" x14ac:dyDescent="0.25">
      <c r="A579" s="14" t="str">
        <f>HYPERLINK("https://gerandofalcoes.my.salesforce.com/0014P00003YSp7WQAT", "0014P00003YSp7WQAT")</f>
        <v>0014P00003YSp7WQAT</v>
      </c>
      <c r="B579" s="2" t="s">
        <v>1782</v>
      </c>
      <c r="C579" s="2" t="s">
        <v>423</v>
      </c>
      <c r="D579" s="2" t="s">
        <v>2</v>
      </c>
      <c r="E579" s="2">
        <v>45</v>
      </c>
      <c r="F579" s="2">
        <v>11</v>
      </c>
      <c r="G579" s="2">
        <v>5</v>
      </c>
      <c r="H579" s="2">
        <v>18433245</v>
      </c>
      <c r="I579" s="2">
        <v>150</v>
      </c>
      <c r="J579" s="2" t="s">
        <v>1650</v>
      </c>
      <c r="K579" s="2">
        <v>74</v>
      </c>
      <c r="L579" s="2">
        <v>15</v>
      </c>
      <c r="M579" s="2">
        <v>12</v>
      </c>
      <c r="N579" s="2">
        <v>10</v>
      </c>
      <c r="O579" s="2">
        <v>25</v>
      </c>
      <c r="P579" s="2">
        <v>12</v>
      </c>
      <c r="Q579" s="2" t="s">
        <v>1783</v>
      </c>
      <c r="R579" s="2" t="s">
        <v>1784</v>
      </c>
      <c r="S579" s="4">
        <v>44837</v>
      </c>
    </row>
    <row r="580" spans="1:19" ht="12.5" x14ac:dyDescent="0.25">
      <c r="A580" s="14" t="str">
        <f>HYPERLINK("https://gerandofalcoes.my.salesforce.com/0014P00003SGWPLQA5", "0014P00003SGWPLQA5")</f>
        <v>0014P00003SGWPLQA5</v>
      </c>
      <c r="B580" s="2" t="s">
        <v>356</v>
      </c>
      <c r="C580" s="2" t="s">
        <v>423</v>
      </c>
      <c r="D580" s="2" t="s">
        <v>2</v>
      </c>
      <c r="E580" s="2">
        <v>63</v>
      </c>
      <c r="F580" s="2">
        <v>0</v>
      </c>
      <c r="G580" s="2">
        <v>3</v>
      </c>
      <c r="H580" s="2">
        <v>43894</v>
      </c>
      <c r="I580" s="2">
        <v>100</v>
      </c>
      <c r="J580" s="2" t="s">
        <v>1671</v>
      </c>
      <c r="K580" s="2">
        <v>48</v>
      </c>
      <c r="L580" s="2">
        <v>20</v>
      </c>
      <c r="M580" s="2">
        <v>0</v>
      </c>
      <c r="N580" s="2">
        <v>8</v>
      </c>
      <c r="O580" s="2">
        <v>10</v>
      </c>
      <c r="P580" s="2">
        <v>10</v>
      </c>
      <c r="Q580" s="2" t="s">
        <v>357</v>
      </c>
      <c r="R580" s="2" t="s">
        <v>2314</v>
      </c>
      <c r="S580" s="4">
        <v>44837</v>
      </c>
    </row>
    <row r="581" spans="1:19" ht="12.5" x14ac:dyDescent="0.25">
      <c r="A581" s="14" t="str">
        <f>HYPERLINK("https://gerandofalcoes.my.salesforce.com/0014P00003SGWPNQA5", "0014P00003SGWPNQA5")</f>
        <v>0014P00003SGWPNQA5</v>
      </c>
      <c r="B581" s="2" t="s">
        <v>2998</v>
      </c>
      <c r="C581" s="2" t="s">
        <v>1684</v>
      </c>
      <c r="D581" s="2" t="s">
        <v>2</v>
      </c>
      <c r="E581" s="2"/>
      <c r="F581" s="2">
        <v>0</v>
      </c>
      <c r="G581" s="2">
        <v>1</v>
      </c>
      <c r="H581" s="2">
        <v>6000</v>
      </c>
      <c r="I581" s="2">
        <v>0</v>
      </c>
      <c r="J581" s="2" t="s">
        <v>1779</v>
      </c>
      <c r="K581" s="2">
        <v>9</v>
      </c>
      <c r="L581" s="2">
        <v>0</v>
      </c>
      <c r="M581" s="2">
        <v>0</v>
      </c>
      <c r="N581" s="2">
        <v>4</v>
      </c>
      <c r="O581" s="2">
        <v>5</v>
      </c>
      <c r="P581" s="2">
        <v>0</v>
      </c>
      <c r="Q581" s="2" t="s">
        <v>359</v>
      </c>
      <c r="R581" s="2" t="s">
        <v>359</v>
      </c>
      <c r="S581" s="4">
        <v>44837</v>
      </c>
    </row>
    <row r="582" spans="1:19" ht="12.5" x14ac:dyDescent="0.25">
      <c r="A582" s="14" t="str">
        <f>HYPERLINK("https://gerandofalcoes.my.salesforce.com/0014P00003SGWPQQA5", "0014P00003SGWPQQA5")</f>
        <v>0014P00003SGWPQQA5</v>
      </c>
      <c r="B582" s="2" t="s">
        <v>363</v>
      </c>
      <c r="C582" s="2" t="s">
        <v>423</v>
      </c>
      <c r="D582" s="2" t="s">
        <v>27</v>
      </c>
      <c r="E582" s="2">
        <v>93</v>
      </c>
      <c r="F582" s="2">
        <v>32</v>
      </c>
      <c r="G582" s="2">
        <v>4</v>
      </c>
      <c r="H582" s="2">
        <v>1010730.87</v>
      </c>
      <c r="I582" s="2">
        <v>192</v>
      </c>
      <c r="J582" s="2" t="s">
        <v>1654</v>
      </c>
      <c r="K582" s="2">
        <v>92</v>
      </c>
      <c r="L582" s="2">
        <v>30</v>
      </c>
      <c r="M582" s="2">
        <v>15</v>
      </c>
      <c r="N582" s="2">
        <v>10</v>
      </c>
      <c r="O582" s="2">
        <v>25</v>
      </c>
      <c r="P582" s="2">
        <v>12</v>
      </c>
      <c r="Q582" s="2" t="s">
        <v>364</v>
      </c>
      <c r="R582" s="2" t="s">
        <v>1545</v>
      </c>
      <c r="S582" s="4">
        <v>44837</v>
      </c>
    </row>
    <row r="583" spans="1:19" ht="12.5" x14ac:dyDescent="0.25">
      <c r="A583" s="14" t="str">
        <f>HYPERLINK("https://gerandofalcoes.my.salesforce.com/0014P00003SGWPPQA5", "0014P00003SGWPPQA5")</f>
        <v>0014P00003SGWPPQA5</v>
      </c>
      <c r="B583" s="2" t="s">
        <v>1700</v>
      </c>
      <c r="C583" s="2" t="s">
        <v>423</v>
      </c>
      <c r="D583" s="2" t="s">
        <v>27</v>
      </c>
      <c r="E583" s="2">
        <v>76.849999999999994</v>
      </c>
      <c r="F583" s="2">
        <v>10</v>
      </c>
      <c r="G583" s="2">
        <v>2</v>
      </c>
      <c r="H583" s="2">
        <v>60000</v>
      </c>
      <c r="I583" s="2">
        <v>120</v>
      </c>
      <c r="J583" s="2" t="s">
        <v>1671</v>
      </c>
      <c r="K583" s="2">
        <v>61</v>
      </c>
      <c r="L583" s="2">
        <v>25</v>
      </c>
      <c r="M583" s="2">
        <v>10</v>
      </c>
      <c r="N583" s="2">
        <v>6</v>
      </c>
      <c r="O583" s="2">
        <v>10</v>
      </c>
      <c r="P583" s="2">
        <v>10</v>
      </c>
      <c r="Q583" s="2" t="s">
        <v>366</v>
      </c>
      <c r="R583" s="2" t="s">
        <v>1557</v>
      </c>
      <c r="S583" s="4">
        <v>44837</v>
      </c>
    </row>
    <row r="584" spans="1:19" ht="12.5" x14ac:dyDescent="0.25">
      <c r="A584" s="14" t="str">
        <f>HYPERLINK("https://gerandofalcoes.my.salesforce.com/0014P00003SGWPRQA5", "0014P00003SGWPRQA5")</f>
        <v>0014P00003SGWPRQA5</v>
      </c>
      <c r="B584" s="2" t="s">
        <v>367</v>
      </c>
      <c r="C584" s="2" t="s">
        <v>423</v>
      </c>
      <c r="D584" s="2" t="s">
        <v>2</v>
      </c>
      <c r="E584" s="2">
        <v>57.96</v>
      </c>
      <c r="F584" s="2">
        <v>4</v>
      </c>
      <c r="G584" s="2">
        <v>6</v>
      </c>
      <c r="H584" s="2">
        <v>11100000</v>
      </c>
      <c r="I584" s="2">
        <v>200</v>
      </c>
      <c r="J584" s="2" t="s">
        <v>1650</v>
      </c>
      <c r="K584" s="2">
        <v>72</v>
      </c>
      <c r="L584" s="2">
        <v>20</v>
      </c>
      <c r="M584" s="2">
        <v>5</v>
      </c>
      <c r="N584" s="2">
        <v>10</v>
      </c>
      <c r="O584" s="2">
        <v>25</v>
      </c>
      <c r="P584" s="2">
        <v>12</v>
      </c>
      <c r="Q584" s="2" t="s">
        <v>369</v>
      </c>
      <c r="R584" s="2" t="s">
        <v>369</v>
      </c>
      <c r="S584" s="4">
        <v>44837</v>
      </c>
    </row>
    <row r="585" spans="1:19" ht="12.5" x14ac:dyDescent="0.25">
      <c r="A585" s="14" t="str">
        <f>HYPERLINK("https://gerandofalcoes.my.salesforce.com/0014P00003SGWPSQA5", "0014P00003SGWPSQA5")</f>
        <v>0014P00003SGWPSQA5</v>
      </c>
      <c r="B585" s="2" t="s">
        <v>372</v>
      </c>
      <c r="C585" s="2" t="s">
        <v>423</v>
      </c>
      <c r="D585" s="2" t="s">
        <v>2</v>
      </c>
      <c r="E585" s="2">
        <v>57</v>
      </c>
      <c r="F585" s="2">
        <v>10</v>
      </c>
      <c r="G585" s="2">
        <v>2</v>
      </c>
      <c r="H585" s="2">
        <v>657000000</v>
      </c>
      <c r="I585" s="2">
        <v>110</v>
      </c>
      <c r="J585" s="2" t="s">
        <v>1650</v>
      </c>
      <c r="K585" s="2">
        <v>71</v>
      </c>
      <c r="L585" s="2">
        <v>20</v>
      </c>
      <c r="M585" s="2">
        <v>10</v>
      </c>
      <c r="N585" s="2">
        <v>6</v>
      </c>
      <c r="O585" s="2">
        <v>25</v>
      </c>
      <c r="P585" s="2">
        <v>10</v>
      </c>
      <c r="Q585" s="2" t="s">
        <v>373</v>
      </c>
      <c r="R585" s="2" t="s">
        <v>373</v>
      </c>
      <c r="S585" s="4">
        <v>44837</v>
      </c>
    </row>
    <row r="586" spans="1:19" ht="12.5" x14ac:dyDescent="0.25">
      <c r="A586" s="14" t="str">
        <f>HYPERLINK("https://gerandofalcoes.my.salesforce.com/0014X00002OEuauQAD", "0014X00002OEuauQAD")</f>
        <v>0014X00002OEuauQAD</v>
      </c>
      <c r="B586" s="2" t="s">
        <v>2639</v>
      </c>
      <c r="C586" s="2" t="s">
        <v>423</v>
      </c>
      <c r="D586" s="2" t="s">
        <v>2</v>
      </c>
      <c r="E586" s="2">
        <v>18</v>
      </c>
      <c r="F586" s="2">
        <v>2</v>
      </c>
      <c r="G586" s="2">
        <v>2</v>
      </c>
      <c r="H586" s="2">
        <v>5000</v>
      </c>
      <c r="I586" s="2">
        <v>14</v>
      </c>
      <c r="J586" s="2" t="s">
        <v>1779</v>
      </c>
      <c r="K586" s="2">
        <v>31</v>
      </c>
      <c r="L586" s="2">
        <v>10</v>
      </c>
      <c r="M586" s="2">
        <v>5</v>
      </c>
      <c r="N586" s="2">
        <v>6</v>
      </c>
      <c r="O586" s="2">
        <v>5</v>
      </c>
      <c r="P586" s="2">
        <v>5</v>
      </c>
      <c r="Q586" s="2" t="s">
        <v>2640</v>
      </c>
      <c r="R586" s="2" t="s">
        <v>2641</v>
      </c>
      <c r="S586" s="4">
        <v>44837</v>
      </c>
    </row>
    <row r="587" spans="1:19" ht="12.5" x14ac:dyDescent="0.25">
      <c r="A587" s="14" t="str">
        <f>HYPERLINK("https://gerandofalcoes.my.salesforce.com/0014X00002OEualQAD", "0014X00002OEualQAD")</f>
        <v>0014X00002OEualQAD</v>
      </c>
      <c r="B587" s="2" t="s">
        <v>2220</v>
      </c>
      <c r="C587" s="2" t="s">
        <v>1800</v>
      </c>
      <c r="D587" s="2" t="s">
        <v>2</v>
      </c>
      <c r="E587" s="2">
        <v>32</v>
      </c>
      <c r="F587" s="2">
        <v>2</v>
      </c>
      <c r="G587" s="2">
        <v>3</v>
      </c>
      <c r="H587" s="2">
        <v>40000</v>
      </c>
      <c r="I587" s="2">
        <v>80</v>
      </c>
      <c r="J587" s="2" t="s">
        <v>1671</v>
      </c>
      <c r="K587" s="2">
        <v>48</v>
      </c>
      <c r="L587" s="2">
        <v>15</v>
      </c>
      <c r="M587" s="2">
        <v>5</v>
      </c>
      <c r="N587" s="2">
        <v>8</v>
      </c>
      <c r="O587" s="2">
        <v>10</v>
      </c>
      <c r="P587" s="2">
        <v>10</v>
      </c>
      <c r="Q587" s="2" t="s">
        <v>2221</v>
      </c>
      <c r="R587" s="2" t="s">
        <v>2222</v>
      </c>
      <c r="S587" s="4">
        <v>44837</v>
      </c>
    </row>
    <row r="588" spans="1:19" ht="12.5" x14ac:dyDescent="0.25">
      <c r="A588" s="14" t="str">
        <f>HYPERLINK("https://gerandofalcoes.my.salesforce.com/0014X00002OEuamQAD", "0014X00002OEuamQAD")</f>
        <v>0014X00002OEuamQAD</v>
      </c>
      <c r="B588" s="2" t="s">
        <v>2612</v>
      </c>
      <c r="C588" s="2" t="s">
        <v>1800</v>
      </c>
      <c r="D588" s="2" t="s">
        <v>2</v>
      </c>
      <c r="E588" s="2">
        <v>19</v>
      </c>
      <c r="F588" s="2">
        <v>0</v>
      </c>
      <c r="G588" s="2">
        <v>4</v>
      </c>
      <c r="H588" s="2">
        <v>7000</v>
      </c>
      <c r="I588" s="2">
        <v>0</v>
      </c>
      <c r="J588" s="2" t="s">
        <v>1779</v>
      </c>
      <c r="K588" s="2">
        <v>25</v>
      </c>
      <c r="L588" s="2">
        <v>10</v>
      </c>
      <c r="M588" s="2">
        <v>0</v>
      </c>
      <c r="N588" s="2">
        <v>10</v>
      </c>
      <c r="O588" s="2">
        <v>5</v>
      </c>
      <c r="P588" s="2">
        <v>0</v>
      </c>
      <c r="Q588" s="2" t="s">
        <v>2613</v>
      </c>
      <c r="R588" s="2" t="s">
        <v>2613</v>
      </c>
      <c r="S588" s="4">
        <v>44837</v>
      </c>
    </row>
    <row r="589" spans="1:19" ht="12.5" x14ac:dyDescent="0.25">
      <c r="A589" s="14" t="str">
        <f>HYPERLINK("https://gerandofalcoes.my.salesforce.com/0014X00002OEuaoQAD", "0014X00002OEuaoQAD")</f>
        <v>0014X00002OEuaoQAD</v>
      </c>
      <c r="B589" s="2" t="s">
        <v>2749</v>
      </c>
      <c r="C589" s="2" t="s">
        <v>1800</v>
      </c>
      <c r="D589" s="2" t="s">
        <v>2</v>
      </c>
      <c r="E589" s="2">
        <v>14</v>
      </c>
      <c r="F589" s="2">
        <v>0</v>
      </c>
      <c r="G589" s="2">
        <v>2</v>
      </c>
      <c r="H589" s="2">
        <v>0</v>
      </c>
      <c r="I589" s="2">
        <v>230</v>
      </c>
      <c r="J589" s="2" t="s">
        <v>1779</v>
      </c>
      <c r="K589" s="2">
        <v>28</v>
      </c>
      <c r="L589" s="2">
        <v>10</v>
      </c>
      <c r="M589" s="2">
        <v>0</v>
      </c>
      <c r="N589" s="2">
        <v>6</v>
      </c>
      <c r="O589" s="2">
        <v>0</v>
      </c>
      <c r="P589" s="2">
        <v>12</v>
      </c>
      <c r="Q589" s="2" t="s">
        <v>2750</v>
      </c>
      <c r="R589" s="2" t="s">
        <v>2751</v>
      </c>
      <c r="S589" s="4">
        <v>44837</v>
      </c>
    </row>
    <row r="590" spans="1:19" ht="12.5" x14ac:dyDescent="0.25">
      <c r="A590" s="14" t="str">
        <f>HYPERLINK("https://gerandofalcoes.my.salesforce.com/0014X00002OEuapQAD", "0014X00002OEuapQAD")</f>
        <v>0014X00002OEuapQAD</v>
      </c>
      <c r="B590" s="2" t="s">
        <v>2732</v>
      </c>
      <c r="C590" s="2" t="s">
        <v>1800</v>
      </c>
      <c r="D590" s="2" t="s">
        <v>2</v>
      </c>
      <c r="E590" s="2">
        <v>15</v>
      </c>
      <c r="F590" s="2">
        <v>0</v>
      </c>
      <c r="G590" s="2">
        <v>0</v>
      </c>
      <c r="H590" s="2">
        <v>0</v>
      </c>
      <c r="I590" s="2">
        <v>0</v>
      </c>
      <c r="J590" s="2" t="s">
        <v>1779</v>
      </c>
      <c r="K590" s="2">
        <v>10</v>
      </c>
      <c r="L590" s="2">
        <v>10</v>
      </c>
      <c r="M590" s="2">
        <v>0</v>
      </c>
      <c r="N590" s="2">
        <v>0</v>
      </c>
      <c r="O590" s="2">
        <v>0</v>
      </c>
      <c r="P590" s="2">
        <v>0</v>
      </c>
      <c r="Q590" s="2" t="s">
        <v>2733</v>
      </c>
      <c r="R590" s="2" t="s">
        <v>2733</v>
      </c>
      <c r="S590" s="4">
        <v>44837</v>
      </c>
    </row>
    <row r="591" spans="1:19" ht="12.5" x14ac:dyDescent="0.25">
      <c r="A591" s="14" t="str">
        <f>HYPERLINK("https://gerandofalcoes.my.salesforce.com/0014X00002OEuaqQAD", "0014X00002OEuaqQAD")</f>
        <v>0014X00002OEuaqQAD</v>
      </c>
      <c r="B591" s="2" t="s">
        <v>2629</v>
      </c>
      <c r="C591" s="2" t="s">
        <v>423</v>
      </c>
      <c r="D591" s="2" t="s">
        <v>2</v>
      </c>
      <c r="E591" s="2">
        <v>18</v>
      </c>
      <c r="F591" s="2">
        <v>20</v>
      </c>
      <c r="G591" s="2">
        <v>2</v>
      </c>
      <c r="H591" s="2">
        <v>3000</v>
      </c>
      <c r="I591" s="2">
        <v>300</v>
      </c>
      <c r="J591" s="2" t="s">
        <v>1671</v>
      </c>
      <c r="K591" s="2">
        <v>48</v>
      </c>
      <c r="L591" s="2">
        <v>10</v>
      </c>
      <c r="M591" s="2">
        <v>12</v>
      </c>
      <c r="N591" s="2">
        <v>6</v>
      </c>
      <c r="O591" s="2">
        <v>5</v>
      </c>
      <c r="P591" s="2">
        <v>15</v>
      </c>
      <c r="Q591" s="2" t="s">
        <v>2630</v>
      </c>
      <c r="R591" s="2" t="s">
        <v>2631</v>
      </c>
      <c r="S591" s="4">
        <v>44837</v>
      </c>
    </row>
    <row r="592" spans="1:19" ht="12.5" x14ac:dyDescent="0.25">
      <c r="A592" s="14" t="str">
        <f>HYPERLINK("https://gerandofalcoes.my.salesforce.com/0014X00002OEuasQAD", "0014X00002OEuasQAD")</f>
        <v>0014X00002OEuasQAD</v>
      </c>
      <c r="B592" s="2" t="s">
        <v>2420</v>
      </c>
      <c r="C592" s="2" t="s">
        <v>423</v>
      </c>
      <c r="D592" s="2" t="s">
        <v>2</v>
      </c>
      <c r="E592" s="2">
        <v>25</v>
      </c>
      <c r="F592" s="2">
        <v>0</v>
      </c>
      <c r="G592" s="2">
        <v>4</v>
      </c>
      <c r="H592" s="2">
        <v>20000</v>
      </c>
      <c r="I592" s="2">
        <v>0</v>
      </c>
      <c r="J592" s="2" t="s">
        <v>1779</v>
      </c>
      <c r="K592" s="2">
        <v>30</v>
      </c>
      <c r="L592" s="2">
        <v>15</v>
      </c>
      <c r="M592" s="2">
        <v>0</v>
      </c>
      <c r="N592" s="2">
        <v>10</v>
      </c>
      <c r="O592" s="2">
        <v>5</v>
      </c>
      <c r="P592" s="2">
        <v>0</v>
      </c>
      <c r="Q592" s="2" t="s">
        <v>2421</v>
      </c>
      <c r="R592" s="2" t="s">
        <v>2422</v>
      </c>
      <c r="S592" s="4">
        <v>44837</v>
      </c>
    </row>
    <row r="593" spans="1:19" ht="12.5" x14ac:dyDescent="0.25">
      <c r="A593" s="14" t="str">
        <f>HYPERLINK("https://gerandofalcoes.my.salesforce.com/0014X00002OEuawQAD", "0014X00002OEuawQAD")</f>
        <v>0014X00002OEuawQAD</v>
      </c>
      <c r="B593" s="2" t="s">
        <v>1995</v>
      </c>
      <c r="C593" s="2" t="s">
        <v>1800</v>
      </c>
      <c r="D593" s="2" t="s">
        <v>2</v>
      </c>
      <c r="E593" s="2">
        <v>39</v>
      </c>
      <c r="F593" s="2">
        <v>13</v>
      </c>
      <c r="G593" s="2">
        <v>3</v>
      </c>
      <c r="H593" s="2">
        <v>120000</v>
      </c>
      <c r="I593" s="2">
        <v>130</v>
      </c>
      <c r="J593" s="2" t="s">
        <v>1671</v>
      </c>
      <c r="K593" s="2">
        <v>60</v>
      </c>
      <c r="L593" s="2">
        <v>15</v>
      </c>
      <c r="M593" s="2">
        <v>12</v>
      </c>
      <c r="N593" s="2">
        <v>8</v>
      </c>
      <c r="O593" s="2">
        <v>15</v>
      </c>
      <c r="P593" s="2">
        <v>10</v>
      </c>
      <c r="Q593" s="2" t="s">
        <v>1996</v>
      </c>
      <c r="R593" s="2" t="s">
        <v>1997</v>
      </c>
      <c r="S593" s="4">
        <v>44837</v>
      </c>
    </row>
    <row r="594" spans="1:19" ht="12.5" x14ac:dyDescent="0.25">
      <c r="A594" s="14" t="str">
        <f>HYPERLINK("https://gerandofalcoes.my.salesforce.com/0014X00002OFqnrQAD", "0014X00002OFqnrQAD")</f>
        <v>0014X00002OFqnrQAD</v>
      </c>
      <c r="B594" s="2" t="s">
        <v>1791</v>
      </c>
      <c r="C594" s="2" t="s">
        <v>1684</v>
      </c>
      <c r="D594" s="2" t="s">
        <v>27</v>
      </c>
      <c r="E594" s="2">
        <v>56</v>
      </c>
      <c r="F594" s="2">
        <v>0</v>
      </c>
      <c r="G594" s="2">
        <v>0</v>
      </c>
      <c r="H594" s="2">
        <v>0</v>
      </c>
      <c r="I594" s="2">
        <v>0</v>
      </c>
      <c r="J594" s="2" t="s">
        <v>1779</v>
      </c>
      <c r="K594" s="2">
        <v>20</v>
      </c>
      <c r="L594" s="2">
        <v>20</v>
      </c>
      <c r="M594" s="2">
        <v>0</v>
      </c>
      <c r="N594" s="2">
        <v>0</v>
      </c>
      <c r="O594" s="2">
        <v>0</v>
      </c>
      <c r="P594" s="2">
        <v>0</v>
      </c>
      <c r="Q594" s="2"/>
      <c r="R594" s="2"/>
      <c r="S594" s="4">
        <v>44837</v>
      </c>
    </row>
    <row r="595" spans="1:19" ht="12.5" x14ac:dyDescent="0.25">
      <c r="A595" s="14" t="str">
        <f>HYPERLINK("https://gerandofalcoes.my.salesforce.com/0014X00002QTWZVQA5", "0014X00002QTWZVQA5")</f>
        <v>0014X00002QTWZVQA5</v>
      </c>
      <c r="B595" s="2" t="s">
        <v>2662</v>
      </c>
      <c r="C595" s="2" t="s">
        <v>1800</v>
      </c>
      <c r="D595" s="2" t="s">
        <v>2</v>
      </c>
      <c r="E595" s="2">
        <v>17</v>
      </c>
      <c r="F595" s="2">
        <v>4</v>
      </c>
      <c r="G595" s="2">
        <v>3</v>
      </c>
      <c r="H595" s="2">
        <v>69000</v>
      </c>
      <c r="I595" s="2">
        <v>35</v>
      </c>
      <c r="J595" s="2" t="s">
        <v>1779</v>
      </c>
      <c r="K595" s="2">
        <v>38</v>
      </c>
      <c r="L595" s="2">
        <v>10</v>
      </c>
      <c r="M595" s="2">
        <v>5</v>
      </c>
      <c r="N595" s="2">
        <v>8</v>
      </c>
      <c r="O595" s="2">
        <v>10</v>
      </c>
      <c r="P595" s="2">
        <v>5</v>
      </c>
      <c r="Q595" s="2" t="s">
        <v>2663</v>
      </c>
      <c r="R595" s="2" t="s">
        <v>2664</v>
      </c>
      <c r="S595" s="4">
        <v>44837</v>
      </c>
    </row>
    <row r="596" spans="1:19" ht="12.5" x14ac:dyDescent="0.25">
      <c r="A596" s="14" t="str">
        <f>HYPERLINK("https://gerandofalcoes.my.salesforce.com/0014X00002PUOTvQAP", "0014X00002PUOTvQAP")</f>
        <v>0014X00002PUOTvQAP</v>
      </c>
      <c r="B596" s="2" t="s">
        <v>1883</v>
      </c>
      <c r="C596" s="2" t="s">
        <v>1800</v>
      </c>
      <c r="D596" s="2" t="s">
        <v>2</v>
      </c>
      <c r="E596" s="2">
        <v>44</v>
      </c>
      <c r="F596" s="2">
        <v>3</v>
      </c>
      <c r="G596" s="2">
        <v>1</v>
      </c>
      <c r="H596" s="2">
        <v>150000</v>
      </c>
      <c r="I596" s="2">
        <v>800</v>
      </c>
      <c r="J596" s="2" t="s">
        <v>1671</v>
      </c>
      <c r="K596" s="2">
        <v>59</v>
      </c>
      <c r="L596" s="2">
        <v>15</v>
      </c>
      <c r="M596" s="2">
        <v>5</v>
      </c>
      <c r="N596" s="2">
        <v>4</v>
      </c>
      <c r="O596" s="2">
        <v>15</v>
      </c>
      <c r="P596" s="2">
        <v>20</v>
      </c>
      <c r="Q596" s="2" t="s">
        <v>1884</v>
      </c>
      <c r="R596" s="2" t="s">
        <v>424</v>
      </c>
      <c r="S596" s="4">
        <v>44837</v>
      </c>
    </row>
    <row r="597" spans="1:19" ht="12.5" x14ac:dyDescent="0.25">
      <c r="A597" s="14" t="str">
        <f>HYPERLINK("https://gerandofalcoes.my.salesforce.com/0014X00002PUOaDQAX", "0014X00002PUOaDQAX")</f>
        <v>0014X00002PUOaDQAX</v>
      </c>
      <c r="B597" s="2" t="s">
        <v>1767</v>
      </c>
      <c r="C597" s="2" t="s">
        <v>423</v>
      </c>
      <c r="D597" s="2" t="s">
        <v>2</v>
      </c>
      <c r="E597" s="2">
        <v>80</v>
      </c>
      <c r="F597" s="2">
        <v>11</v>
      </c>
      <c r="G597" s="2">
        <v>10</v>
      </c>
      <c r="H597" s="2">
        <v>30139720</v>
      </c>
      <c r="I597" s="2">
        <v>139</v>
      </c>
      <c r="J597" s="2" t="s">
        <v>1654</v>
      </c>
      <c r="K597" s="2">
        <v>82</v>
      </c>
      <c r="L597" s="2">
        <v>25</v>
      </c>
      <c r="M597" s="2">
        <v>12</v>
      </c>
      <c r="N597" s="2">
        <v>10</v>
      </c>
      <c r="O597" s="2">
        <v>25</v>
      </c>
      <c r="P597" s="2">
        <v>10</v>
      </c>
      <c r="Q597" s="2" t="s">
        <v>439</v>
      </c>
      <c r="R597" s="2" t="s">
        <v>439</v>
      </c>
      <c r="S597" s="4">
        <v>44837</v>
      </c>
    </row>
    <row r="598" spans="1:19" ht="12.5" x14ac:dyDescent="0.25">
      <c r="A598" s="14" t="str">
        <f>HYPERLINK("https://gerandofalcoes.my.salesforce.com/0014X00002PUOUaQAP", "0014X00002PUOUaQAP")</f>
        <v>0014X00002PUOUaQAP</v>
      </c>
      <c r="B598" s="2" t="s">
        <v>8</v>
      </c>
      <c r="C598" s="2" t="s">
        <v>423</v>
      </c>
      <c r="D598" s="2" t="s">
        <v>2</v>
      </c>
      <c r="E598" s="2">
        <v>30.77</v>
      </c>
      <c r="F598" s="2">
        <v>2</v>
      </c>
      <c r="G598" s="2">
        <v>1</v>
      </c>
      <c r="H598" s="2">
        <v>24000</v>
      </c>
      <c r="I598" s="2">
        <v>200</v>
      </c>
      <c r="J598" s="2" t="s">
        <v>1671</v>
      </c>
      <c r="K598" s="2">
        <v>41</v>
      </c>
      <c r="L598" s="2">
        <v>15</v>
      </c>
      <c r="M598" s="2">
        <v>5</v>
      </c>
      <c r="N598" s="2">
        <v>4</v>
      </c>
      <c r="O598" s="2">
        <v>5</v>
      </c>
      <c r="P598" s="2">
        <v>12</v>
      </c>
      <c r="Q598" s="2" t="s">
        <v>2252</v>
      </c>
      <c r="R598" s="2" t="s">
        <v>2252</v>
      </c>
      <c r="S598" s="4">
        <v>44837</v>
      </c>
    </row>
    <row r="599" spans="1:19" ht="12.5" x14ac:dyDescent="0.25">
      <c r="A599" s="14" t="str">
        <f>HYPERLINK("https://gerandofalcoes.my.salesforce.com/0014X00002PUObkQAH", "0014X00002PUObkQAH")</f>
        <v>0014X00002PUObkQAH</v>
      </c>
      <c r="B599" s="2" t="s">
        <v>2065</v>
      </c>
      <c r="C599" s="2" t="s">
        <v>423</v>
      </c>
      <c r="D599" s="2" t="s">
        <v>2</v>
      </c>
      <c r="E599" s="2">
        <v>39</v>
      </c>
      <c r="F599" s="2">
        <v>0</v>
      </c>
      <c r="G599" s="2">
        <v>2</v>
      </c>
      <c r="H599" s="2">
        <v>3520653</v>
      </c>
      <c r="I599" s="2">
        <v>313</v>
      </c>
      <c r="J599" s="2" t="s">
        <v>1671</v>
      </c>
      <c r="K599" s="2">
        <v>61</v>
      </c>
      <c r="L599" s="2">
        <v>15</v>
      </c>
      <c r="M599" s="2">
        <v>0</v>
      </c>
      <c r="N599" s="2">
        <v>6</v>
      </c>
      <c r="O599" s="2">
        <v>25</v>
      </c>
      <c r="P599" s="2">
        <v>15</v>
      </c>
      <c r="Q599" s="2" t="s">
        <v>2066</v>
      </c>
      <c r="R599" s="2" t="s">
        <v>477</v>
      </c>
      <c r="S599" s="4">
        <v>44837</v>
      </c>
    </row>
    <row r="600" spans="1:19" ht="12.5" x14ac:dyDescent="0.25">
      <c r="A600" s="14" t="str">
        <f>HYPERLINK("https://gerandofalcoes.my.salesforce.com/0014X00002PUOdWQAX", "0014X00002PUOdWQAX")</f>
        <v>0014X00002PUOdWQAX</v>
      </c>
      <c r="B600" s="2" t="s">
        <v>22</v>
      </c>
      <c r="C600" s="2" t="s">
        <v>423</v>
      </c>
      <c r="D600" s="2" t="s">
        <v>2</v>
      </c>
      <c r="E600" s="2">
        <v>29</v>
      </c>
      <c r="F600" s="2">
        <v>10</v>
      </c>
      <c r="G600" s="2">
        <v>0</v>
      </c>
      <c r="H600" s="2">
        <v>0</v>
      </c>
      <c r="I600" s="2">
        <v>100</v>
      </c>
      <c r="J600" s="2" t="s">
        <v>1779</v>
      </c>
      <c r="K600" s="2">
        <v>35</v>
      </c>
      <c r="L600" s="2">
        <v>15</v>
      </c>
      <c r="M600" s="2">
        <v>10</v>
      </c>
      <c r="N600" s="2">
        <v>0</v>
      </c>
      <c r="O600" s="2">
        <v>0</v>
      </c>
      <c r="P600" s="2">
        <v>10</v>
      </c>
      <c r="Q600" s="2" t="s">
        <v>485</v>
      </c>
      <c r="R600" s="2" t="s">
        <v>485</v>
      </c>
      <c r="S600" s="4">
        <v>44837</v>
      </c>
    </row>
    <row r="601" spans="1:19" ht="12.5" x14ac:dyDescent="0.25">
      <c r="A601" s="14" t="str">
        <f>HYPERLINK("https://gerandofalcoes.my.salesforce.com/0014P00003YSp7OQAT", "0014P00003YSp7OQAT")</f>
        <v>0014P00003YSp7OQAT</v>
      </c>
      <c r="B601" s="2" t="s">
        <v>2694</v>
      </c>
      <c r="C601" s="2" t="s">
        <v>423</v>
      </c>
      <c r="D601" s="2" t="s">
        <v>2</v>
      </c>
      <c r="E601" s="2">
        <v>22</v>
      </c>
      <c r="F601" s="2">
        <v>5</v>
      </c>
      <c r="G601" s="2">
        <v>1</v>
      </c>
      <c r="H601" s="2">
        <v>20785</v>
      </c>
      <c r="I601" s="2">
        <v>20</v>
      </c>
      <c r="J601" s="2" t="s">
        <v>1779</v>
      </c>
      <c r="K601" s="2">
        <v>29</v>
      </c>
      <c r="L601" s="2">
        <v>10</v>
      </c>
      <c r="M601" s="2">
        <v>5</v>
      </c>
      <c r="N601" s="2">
        <v>4</v>
      </c>
      <c r="O601" s="2">
        <v>5</v>
      </c>
      <c r="P601" s="2">
        <v>5</v>
      </c>
      <c r="Q601" s="2" t="s">
        <v>2695</v>
      </c>
      <c r="R601" s="2" t="s">
        <v>2696</v>
      </c>
      <c r="S601" s="4">
        <v>44837</v>
      </c>
    </row>
    <row r="602" spans="1:19" ht="12.5" x14ac:dyDescent="0.25">
      <c r="A602" s="14" t="str">
        <f>HYPERLINK("https://gerandofalcoes.my.salesforce.com/0014P00003YSp7PQAT", "0014P00003YSp7PQAT")</f>
        <v>0014P00003YSp7PQAT</v>
      </c>
      <c r="B602" s="2" t="s">
        <v>1807</v>
      </c>
      <c r="C602" s="2" t="s">
        <v>423</v>
      </c>
      <c r="D602" s="2" t="s">
        <v>2</v>
      </c>
      <c r="E602" s="2">
        <v>41</v>
      </c>
      <c r="F602" s="2">
        <v>5</v>
      </c>
      <c r="G602" s="2">
        <v>4</v>
      </c>
      <c r="H602" s="2">
        <v>465000</v>
      </c>
      <c r="I602" s="2">
        <v>55</v>
      </c>
      <c r="J602" s="2" t="s">
        <v>1671</v>
      </c>
      <c r="K602" s="2">
        <v>55</v>
      </c>
      <c r="L602" s="2">
        <v>15</v>
      </c>
      <c r="M602" s="2">
        <v>5</v>
      </c>
      <c r="N602" s="2">
        <v>10</v>
      </c>
      <c r="O602" s="2">
        <v>20</v>
      </c>
      <c r="P602" s="2">
        <v>5</v>
      </c>
      <c r="Q602" s="2" t="s">
        <v>1808</v>
      </c>
      <c r="R602" s="2" t="s">
        <v>1809</v>
      </c>
      <c r="S602" s="4">
        <v>44837</v>
      </c>
    </row>
    <row r="603" spans="1:19" ht="12.5" x14ac:dyDescent="0.25">
      <c r="A603" s="14" t="str">
        <f>HYPERLINK("https://gerandofalcoes.my.salesforce.com/0014X00002VKCuUQAX", "0014X00002VKCuUQAX")</f>
        <v>0014X00002VKCuUQAX</v>
      </c>
      <c r="B603" s="2" t="s">
        <v>2860</v>
      </c>
      <c r="C603" s="2" t="s">
        <v>1800</v>
      </c>
      <c r="D603" s="2" t="s">
        <v>2</v>
      </c>
      <c r="E603" s="2">
        <v>10</v>
      </c>
      <c r="F603" s="2">
        <v>83</v>
      </c>
      <c r="G603" s="2">
        <v>8</v>
      </c>
      <c r="H603" s="2">
        <v>0</v>
      </c>
      <c r="I603" s="2">
        <v>5</v>
      </c>
      <c r="J603" s="2" t="s">
        <v>1671</v>
      </c>
      <c r="K603" s="2">
        <v>40</v>
      </c>
      <c r="L603" s="2">
        <v>10</v>
      </c>
      <c r="M603" s="2">
        <v>15</v>
      </c>
      <c r="N603" s="2">
        <v>10</v>
      </c>
      <c r="O603" s="2">
        <v>0</v>
      </c>
      <c r="P603" s="2">
        <v>5</v>
      </c>
      <c r="Q603" s="2" t="s">
        <v>2861</v>
      </c>
      <c r="R603" s="2" t="s">
        <v>2862</v>
      </c>
      <c r="S603" s="4">
        <v>44837</v>
      </c>
    </row>
    <row r="604" spans="1:19" ht="12.5" x14ac:dyDescent="0.25">
      <c r="A604" s="14" t="str">
        <f>HYPERLINK("https://gerandofalcoes.my.salesforce.com/0014X00002VKCpNQAX", "0014X00002VKCpNQAX")</f>
        <v>0014X00002VKCpNQAX</v>
      </c>
      <c r="B604" s="2" t="s">
        <v>2185</v>
      </c>
      <c r="C604" s="2" t="s">
        <v>1800</v>
      </c>
      <c r="D604" s="2" t="s">
        <v>2</v>
      </c>
      <c r="E604" s="2">
        <v>33</v>
      </c>
      <c r="F604" s="2">
        <v>0</v>
      </c>
      <c r="G604" s="2">
        <v>4</v>
      </c>
      <c r="H604" s="2">
        <v>800</v>
      </c>
      <c r="I604" s="2">
        <v>25</v>
      </c>
      <c r="J604" s="2" t="s">
        <v>1779</v>
      </c>
      <c r="K604" s="2">
        <v>35</v>
      </c>
      <c r="L604" s="2">
        <v>15</v>
      </c>
      <c r="M604" s="2">
        <v>0</v>
      </c>
      <c r="N604" s="2">
        <v>10</v>
      </c>
      <c r="O604" s="2">
        <v>5</v>
      </c>
      <c r="P604" s="2">
        <v>5</v>
      </c>
      <c r="Q604" s="2" t="s">
        <v>2186</v>
      </c>
      <c r="R604" s="2" t="s">
        <v>2187</v>
      </c>
      <c r="S604" s="4">
        <v>44837</v>
      </c>
    </row>
    <row r="605" spans="1:19" ht="12.5" x14ac:dyDescent="0.25">
      <c r="A605" s="14" t="str">
        <f>HYPERLINK("https://gerandofalcoes.my.salesforce.com/0014X00002VKCuYQAX", "0014X00002VKCuYQAX")</f>
        <v>0014X00002VKCuYQAX</v>
      </c>
      <c r="B605" s="2" t="s">
        <v>2049</v>
      </c>
      <c r="C605" s="2" t="s">
        <v>423</v>
      </c>
      <c r="D605" s="2" t="s">
        <v>2</v>
      </c>
      <c r="E605" s="2">
        <v>37</v>
      </c>
      <c r="F605" s="2">
        <v>0</v>
      </c>
      <c r="G605" s="2">
        <v>4</v>
      </c>
      <c r="H605" s="2">
        <v>2500</v>
      </c>
      <c r="I605" s="2">
        <v>55</v>
      </c>
      <c r="J605" s="2" t="s">
        <v>1779</v>
      </c>
      <c r="K605" s="2">
        <v>35</v>
      </c>
      <c r="L605" s="2">
        <v>15</v>
      </c>
      <c r="M605" s="2">
        <v>0</v>
      </c>
      <c r="N605" s="2">
        <v>10</v>
      </c>
      <c r="O605" s="2">
        <v>5</v>
      </c>
      <c r="P605" s="2">
        <v>5</v>
      </c>
      <c r="Q605" s="2" t="s">
        <v>2050</v>
      </c>
      <c r="R605" s="2" t="s">
        <v>2050</v>
      </c>
      <c r="S605" s="4">
        <v>44837</v>
      </c>
    </row>
    <row r="606" spans="1:19" ht="12.5" x14ac:dyDescent="0.25">
      <c r="A606" s="14" t="str">
        <f>HYPERLINK("https://gerandofalcoes.my.salesforce.com/0014P00003YSp82QAD", "0014P00003YSp82QAD")</f>
        <v>0014P00003YSp82QAD</v>
      </c>
      <c r="B606" s="2" t="s">
        <v>2362</v>
      </c>
      <c r="C606" s="2" t="s">
        <v>423</v>
      </c>
      <c r="D606" s="2" t="s">
        <v>2</v>
      </c>
      <c r="E606" s="2">
        <v>25</v>
      </c>
      <c r="F606" s="2">
        <v>9</v>
      </c>
      <c r="G606" s="2">
        <v>5</v>
      </c>
      <c r="H606" s="2">
        <v>5224158</v>
      </c>
      <c r="I606" s="2">
        <v>80</v>
      </c>
      <c r="J606" s="2" t="s">
        <v>1650</v>
      </c>
      <c r="K606" s="2">
        <v>70</v>
      </c>
      <c r="L606" s="2">
        <v>15</v>
      </c>
      <c r="M606" s="2">
        <v>10</v>
      </c>
      <c r="N606" s="2">
        <v>10</v>
      </c>
      <c r="O606" s="2">
        <v>25</v>
      </c>
      <c r="P606" s="2">
        <v>10</v>
      </c>
      <c r="Q606" s="2" t="s">
        <v>2363</v>
      </c>
      <c r="R606" s="2" t="s">
        <v>2364</v>
      </c>
      <c r="S606" s="4">
        <v>44837</v>
      </c>
    </row>
    <row r="607" spans="1:19" ht="12.5" x14ac:dyDescent="0.25">
      <c r="A607" s="14" t="str">
        <f>HYPERLINK("https://gerandofalcoes.my.salesforce.com/0014P00003YSp7yQAD", "0014P00003YSp7yQAD")</f>
        <v>0014P00003YSp7yQAD</v>
      </c>
      <c r="B607" s="2" t="s">
        <v>2823</v>
      </c>
      <c r="C607" s="2" t="s">
        <v>423</v>
      </c>
      <c r="D607" s="2" t="s">
        <v>2</v>
      </c>
      <c r="E607" s="2">
        <v>12</v>
      </c>
      <c r="F607" s="2">
        <v>0</v>
      </c>
      <c r="G607" s="2">
        <v>3</v>
      </c>
      <c r="H607" s="2">
        <v>10000</v>
      </c>
      <c r="I607" s="2">
        <v>200</v>
      </c>
      <c r="J607" s="2" t="s">
        <v>1779</v>
      </c>
      <c r="K607" s="2">
        <v>35</v>
      </c>
      <c r="L607" s="2">
        <v>10</v>
      </c>
      <c r="M607" s="2">
        <v>0</v>
      </c>
      <c r="N607" s="2">
        <v>8</v>
      </c>
      <c r="O607" s="2">
        <v>5</v>
      </c>
      <c r="P607" s="2">
        <v>12</v>
      </c>
      <c r="Q607" s="2" t="s">
        <v>2824</v>
      </c>
      <c r="R607" s="2" t="s">
        <v>2825</v>
      </c>
      <c r="S607" s="4">
        <v>44837</v>
      </c>
    </row>
    <row r="608" spans="1:19" ht="12.5" x14ac:dyDescent="0.25">
      <c r="A608" s="14" t="str">
        <f>HYPERLINK("https://gerandofalcoes.my.salesforce.com/0014P00003YSp7zQAD", "0014P00003YSp7zQAD")</f>
        <v>0014P00003YSp7zQAD</v>
      </c>
      <c r="B608" s="2" t="s">
        <v>2441</v>
      </c>
      <c r="C608" s="2" t="s">
        <v>423</v>
      </c>
      <c r="D608" s="2" t="s">
        <v>2</v>
      </c>
      <c r="E608" s="2">
        <v>24</v>
      </c>
      <c r="F608" s="2">
        <v>1</v>
      </c>
      <c r="G608" s="2">
        <v>0</v>
      </c>
      <c r="H608" s="2">
        <v>380000</v>
      </c>
      <c r="I608" s="2">
        <v>780</v>
      </c>
      <c r="J608" s="2" t="s">
        <v>1671</v>
      </c>
      <c r="K608" s="2">
        <v>55</v>
      </c>
      <c r="L608" s="2">
        <v>10</v>
      </c>
      <c r="M608" s="2">
        <v>5</v>
      </c>
      <c r="N608" s="2">
        <v>0</v>
      </c>
      <c r="O608" s="2">
        <v>20</v>
      </c>
      <c r="P608" s="2">
        <v>20</v>
      </c>
      <c r="Q608" s="2" t="s">
        <v>2442</v>
      </c>
      <c r="R608" s="2" t="s">
        <v>2443</v>
      </c>
      <c r="S608" s="4">
        <v>44837</v>
      </c>
    </row>
    <row r="609" spans="1:19" ht="12.5" x14ac:dyDescent="0.25">
      <c r="A609" s="14" t="str">
        <f>HYPERLINK("https://gerandofalcoes.my.salesforce.com/0014P00003YSp81QAD", "0014P00003YSp81QAD")</f>
        <v>0014P00003YSp81QAD</v>
      </c>
      <c r="B609" s="2" t="s">
        <v>1992</v>
      </c>
      <c r="C609" s="2" t="s">
        <v>1800</v>
      </c>
      <c r="D609" s="2" t="s">
        <v>2</v>
      </c>
      <c r="E609" s="2">
        <v>39</v>
      </c>
      <c r="F609" s="2">
        <v>0</v>
      </c>
      <c r="G609" s="2">
        <v>2</v>
      </c>
      <c r="H609" s="2">
        <v>5000</v>
      </c>
      <c r="I609" s="2">
        <v>150</v>
      </c>
      <c r="J609" s="2" t="s">
        <v>1779</v>
      </c>
      <c r="K609" s="2">
        <v>38</v>
      </c>
      <c r="L609" s="2">
        <v>15</v>
      </c>
      <c r="M609" s="2">
        <v>0</v>
      </c>
      <c r="N609" s="2">
        <v>6</v>
      </c>
      <c r="O609" s="2">
        <v>5</v>
      </c>
      <c r="P609" s="2">
        <v>12</v>
      </c>
      <c r="Q609" s="2" t="s">
        <v>1993</v>
      </c>
      <c r="R609" s="2" t="s">
        <v>1994</v>
      </c>
      <c r="S609" s="4">
        <v>44837</v>
      </c>
    </row>
    <row r="610" spans="1:19" ht="12.5" x14ac:dyDescent="0.25">
      <c r="A610" s="14" t="str">
        <f>HYPERLINK("https://gerandofalcoes.my.salesforce.com/0014P00003YSp83QAD", "0014P00003YSp83QAD")</f>
        <v>0014P00003YSp83QAD</v>
      </c>
      <c r="B610" s="2" t="s">
        <v>1727</v>
      </c>
      <c r="C610" s="2" t="s">
        <v>423</v>
      </c>
      <c r="D610" s="2" t="s">
        <v>2</v>
      </c>
      <c r="E610" s="2">
        <v>45</v>
      </c>
      <c r="F610" s="2">
        <v>3</v>
      </c>
      <c r="G610" s="2">
        <v>2</v>
      </c>
      <c r="H610" s="2">
        <v>15844866</v>
      </c>
      <c r="I610" s="2">
        <v>502</v>
      </c>
      <c r="J610" s="2" t="s">
        <v>1650</v>
      </c>
      <c r="K610" s="2">
        <v>71</v>
      </c>
      <c r="L610" s="2">
        <v>15</v>
      </c>
      <c r="M610" s="2">
        <v>5</v>
      </c>
      <c r="N610" s="2">
        <v>6</v>
      </c>
      <c r="O610" s="2">
        <v>25</v>
      </c>
      <c r="P610" s="2">
        <v>20</v>
      </c>
      <c r="Q610" s="2" t="s">
        <v>1728</v>
      </c>
      <c r="R610" s="2" t="s">
        <v>1729</v>
      </c>
      <c r="S610" s="4">
        <v>44837</v>
      </c>
    </row>
    <row r="611" spans="1:19" ht="12.5" x14ac:dyDescent="0.25">
      <c r="A611" s="14" t="str">
        <f>HYPERLINK("https://gerandofalcoes.my.salesforce.com/0014P00003YSp84QAD", "0014P00003YSp84QAD")</f>
        <v>0014P00003YSp84QAD</v>
      </c>
      <c r="B611" s="2" t="s">
        <v>2454</v>
      </c>
      <c r="C611" s="2" t="s">
        <v>423</v>
      </c>
      <c r="D611" s="2" t="s">
        <v>2</v>
      </c>
      <c r="E611" s="2">
        <v>35</v>
      </c>
      <c r="F611" s="2">
        <v>0</v>
      </c>
      <c r="G611" s="2">
        <v>0</v>
      </c>
      <c r="H611" s="2">
        <v>0</v>
      </c>
      <c r="I611" s="2">
        <v>203</v>
      </c>
      <c r="J611" s="2" t="s">
        <v>1779</v>
      </c>
      <c r="K611" s="2">
        <v>27</v>
      </c>
      <c r="L611" s="2">
        <v>15</v>
      </c>
      <c r="M611" s="2">
        <v>0</v>
      </c>
      <c r="N611" s="2">
        <v>0</v>
      </c>
      <c r="O611" s="2">
        <v>0</v>
      </c>
      <c r="P611" s="2">
        <v>12</v>
      </c>
      <c r="Q611" s="2" t="s">
        <v>2455</v>
      </c>
      <c r="R611" s="2" t="s">
        <v>2456</v>
      </c>
      <c r="S611" s="4">
        <v>44837</v>
      </c>
    </row>
    <row r="612" spans="1:19" ht="12.5" x14ac:dyDescent="0.25">
      <c r="A612" s="14" t="str">
        <f>HYPERLINK("https://gerandofalcoes.my.salesforce.com/0014P00003YSp86QAD", "0014P00003YSp86QAD")</f>
        <v>0014P00003YSp86QAD</v>
      </c>
      <c r="B612" s="2" t="s">
        <v>2514</v>
      </c>
      <c r="C612" s="2" t="s">
        <v>423</v>
      </c>
      <c r="D612" s="2" t="s">
        <v>2</v>
      </c>
      <c r="E612" s="2">
        <v>21</v>
      </c>
      <c r="F612" s="2">
        <v>0</v>
      </c>
      <c r="G612" s="2">
        <v>2</v>
      </c>
      <c r="H612" s="2">
        <v>10000</v>
      </c>
      <c r="I612" s="2">
        <v>100</v>
      </c>
      <c r="J612" s="2" t="s">
        <v>1779</v>
      </c>
      <c r="K612" s="2">
        <v>31</v>
      </c>
      <c r="L612" s="2">
        <v>10</v>
      </c>
      <c r="M612" s="2">
        <v>0</v>
      </c>
      <c r="N612" s="2">
        <v>6</v>
      </c>
      <c r="O612" s="2">
        <v>5</v>
      </c>
      <c r="P612" s="2">
        <v>10</v>
      </c>
      <c r="Q612" s="2" t="s">
        <v>2515</v>
      </c>
      <c r="R612" s="2" t="s">
        <v>2515</v>
      </c>
      <c r="S612" s="4">
        <v>44837</v>
      </c>
    </row>
    <row r="613" spans="1:19" ht="12.5" x14ac:dyDescent="0.25">
      <c r="A613" s="14" t="str">
        <f>HYPERLINK("https://gerandofalcoes.my.salesforce.com/0014P00003YSp87QAD", "0014P00003YSp87QAD")</f>
        <v>0014P00003YSp87QAD</v>
      </c>
      <c r="B613" s="2" t="s">
        <v>1755</v>
      </c>
      <c r="C613" s="2" t="s">
        <v>423</v>
      </c>
      <c r="D613" s="2" t="s">
        <v>2</v>
      </c>
      <c r="E613" s="2">
        <v>41</v>
      </c>
      <c r="F613" s="2">
        <v>19</v>
      </c>
      <c r="G613" s="2">
        <v>3</v>
      </c>
      <c r="H613" s="2">
        <v>223000</v>
      </c>
      <c r="I613" s="2">
        <v>50</v>
      </c>
      <c r="J613" s="2" t="s">
        <v>1671</v>
      </c>
      <c r="K613" s="2">
        <v>55</v>
      </c>
      <c r="L613" s="2">
        <v>15</v>
      </c>
      <c r="M613" s="2">
        <v>12</v>
      </c>
      <c r="N613" s="2">
        <v>8</v>
      </c>
      <c r="O613" s="2">
        <v>15</v>
      </c>
      <c r="P613" s="2">
        <v>5</v>
      </c>
      <c r="Q613" s="2" t="s">
        <v>1756</v>
      </c>
      <c r="R613" s="2" t="s">
        <v>1757</v>
      </c>
      <c r="S613" s="4">
        <v>44837</v>
      </c>
    </row>
    <row r="614" spans="1:19" ht="12.5" x14ac:dyDescent="0.25">
      <c r="A614" s="14" t="str">
        <f>HYPERLINK("https://gerandofalcoes.my.salesforce.com/0014P00003YSp88QAD", "0014P00003YSp88QAD")</f>
        <v>0014P00003YSp88QAD</v>
      </c>
      <c r="B614" s="2" t="s">
        <v>2325</v>
      </c>
      <c r="C614" s="2" t="s">
        <v>1800</v>
      </c>
      <c r="D614" s="2" t="s">
        <v>2</v>
      </c>
      <c r="E614" s="2">
        <v>28</v>
      </c>
      <c r="F614" s="2">
        <v>0</v>
      </c>
      <c r="G614" s="2">
        <v>2</v>
      </c>
      <c r="H614" s="2">
        <v>0</v>
      </c>
      <c r="I614" s="2">
        <v>80</v>
      </c>
      <c r="J614" s="2" t="s">
        <v>1779</v>
      </c>
      <c r="K614" s="2">
        <v>31</v>
      </c>
      <c r="L614" s="2">
        <v>15</v>
      </c>
      <c r="M614" s="2">
        <v>0</v>
      </c>
      <c r="N614" s="2">
        <v>6</v>
      </c>
      <c r="O614" s="2">
        <v>0</v>
      </c>
      <c r="P614" s="2">
        <v>10</v>
      </c>
      <c r="Q614" s="2" t="s">
        <v>2326</v>
      </c>
      <c r="R614" s="2" t="s">
        <v>2327</v>
      </c>
      <c r="S614" s="4">
        <v>44837</v>
      </c>
    </row>
    <row r="615" spans="1:19" ht="12.5" x14ac:dyDescent="0.25">
      <c r="A615" s="14" t="str">
        <f>HYPERLINK("https://gerandofalcoes.my.salesforce.com/0014P00003YSp8AQAT", "0014P00003YSp8AQAT")</f>
        <v>0014P00003YSp8AQAT</v>
      </c>
      <c r="B615" s="2" t="s">
        <v>1943</v>
      </c>
      <c r="C615" s="2" t="s">
        <v>423</v>
      </c>
      <c r="D615" s="2" t="s">
        <v>2</v>
      </c>
      <c r="E615" s="2">
        <v>31</v>
      </c>
      <c r="F615" s="2">
        <v>15</v>
      </c>
      <c r="G615" s="2">
        <v>2</v>
      </c>
      <c r="H615" s="2">
        <v>50000</v>
      </c>
      <c r="I615" s="2">
        <v>200</v>
      </c>
      <c r="J615" s="2" t="s">
        <v>1671</v>
      </c>
      <c r="K615" s="2">
        <v>55</v>
      </c>
      <c r="L615" s="2">
        <v>15</v>
      </c>
      <c r="M615" s="2">
        <v>12</v>
      </c>
      <c r="N615" s="2">
        <v>6</v>
      </c>
      <c r="O615" s="2">
        <v>10</v>
      </c>
      <c r="P615" s="2">
        <v>12</v>
      </c>
      <c r="Q615" s="2" t="s">
        <v>1944</v>
      </c>
      <c r="R615" s="2" t="s">
        <v>1945</v>
      </c>
      <c r="S615" s="4">
        <v>44837</v>
      </c>
    </row>
    <row r="616" spans="1:19" ht="12.5" x14ac:dyDescent="0.25">
      <c r="A616" s="14" t="str">
        <f>HYPERLINK("https://gerandofalcoes.my.salesforce.com/0014P00003YSp8BQAT", "0014P00003YSp8BQAT")</f>
        <v>0014P00003YSp8BQAT</v>
      </c>
      <c r="B616" s="2" t="s">
        <v>2813</v>
      </c>
      <c r="C616" s="2" t="s">
        <v>423</v>
      </c>
      <c r="D616" s="2" t="s">
        <v>2</v>
      </c>
      <c r="E616" s="2">
        <v>24</v>
      </c>
      <c r="F616" s="2">
        <v>0</v>
      </c>
      <c r="G616" s="2">
        <v>0</v>
      </c>
      <c r="H616" s="2">
        <v>0</v>
      </c>
      <c r="I616" s="2">
        <v>239</v>
      </c>
      <c r="J616" s="2" t="s">
        <v>1779</v>
      </c>
      <c r="K616" s="2">
        <v>22</v>
      </c>
      <c r="L616" s="2">
        <v>10</v>
      </c>
      <c r="M616" s="2">
        <v>0</v>
      </c>
      <c r="N616" s="2">
        <v>0</v>
      </c>
      <c r="O616" s="2">
        <v>0</v>
      </c>
      <c r="P616" s="2">
        <v>12</v>
      </c>
      <c r="Q616" s="2" t="s">
        <v>2814</v>
      </c>
      <c r="R616" s="2" t="s">
        <v>2815</v>
      </c>
      <c r="S616" s="4">
        <v>44837</v>
      </c>
    </row>
    <row r="617" spans="1:19" ht="12.5" x14ac:dyDescent="0.25">
      <c r="A617" s="14" t="str">
        <f>HYPERLINK("https://gerandofalcoes.my.salesforce.com/0014P00003YSp8CQAT", "0014P00003YSp8CQAT")</f>
        <v>0014P00003YSp8CQAT</v>
      </c>
      <c r="B617" s="2" t="s">
        <v>2139</v>
      </c>
      <c r="C617" s="2" t="s">
        <v>423</v>
      </c>
      <c r="D617" s="2" t="s">
        <v>2</v>
      </c>
      <c r="E617" s="2">
        <v>34</v>
      </c>
      <c r="F617" s="2">
        <v>11</v>
      </c>
      <c r="G617" s="2">
        <v>4</v>
      </c>
      <c r="H617" s="2">
        <v>309270</v>
      </c>
      <c r="I617" s="2">
        <v>200</v>
      </c>
      <c r="J617" s="2" t="s">
        <v>1650</v>
      </c>
      <c r="K617" s="2">
        <v>69</v>
      </c>
      <c r="L617" s="2">
        <v>15</v>
      </c>
      <c r="M617" s="2">
        <v>12</v>
      </c>
      <c r="N617" s="2">
        <v>10</v>
      </c>
      <c r="O617" s="2">
        <v>20</v>
      </c>
      <c r="P617" s="2">
        <v>12</v>
      </c>
      <c r="Q617" s="2" t="s">
        <v>2140</v>
      </c>
      <c r="R617" s="2" t="s">
        <v>2140</v>
      </c>
      <c r="S617" s="4">
        <v>44837</v>
      </c>
    </row>
    <row r="618" spans="1:19" ht="12.5" x14ac:dyDescent="0.25">
      <c r="A618" s="14" t="str">
        <f>HYPERLINK("https://gerandofalcoes.my.salesforce.com/0014P00003YSp8EQAT", "0014P00003YSp8EQAT")</f>
        <v>0014P00003YSp8EQAT</v>
      </c>
      <c r="B618" s="2" t="s">
        <v>2407</v>
      </c>
      <c r="C618" s="2" t="s">
        <v>423</v>
      </c>
      <c r="D618" s="2" t="s">
        <v>2</v>
      </c>
      <c r="E618" s="2">
        <v>25</v>
      </c>
      <c r="F618" s="2">
        <v>0</v>
      </c>
      <c r="G618" s="2">
        <v>2</v>
      </c>
      <c r="H618" s="2">
        <v>6300</v>
      </c>
      <c r="I618" s="2">
        <v>250</v>
      </c>
      <c r="J618" s="2" t="s">
        <v>1779</v>
      </c>
      <c r="K618" s="2">
        <v>38</v>
      </c>
      <c r="L618" s="2">
        <v>15</v>
      </c>
      <c r="M618" s="2">
        <v>0</v>
      </c>
      <c r="N618" s="2">
        <v>6</v>
      </c>
      <c r="O618" s="2">
        <v>5</v>
      </c>
      <c r="P618" s="2">
        <v>12</v>
      </c>
      <c r="Q618" s="2" t="s">
        <v>2408</v>
      </c>
      <c r="R618" s="2" t="s">
        <v>2409</v>
      </c>
      <c r="S618" s="4">
        <v>44837</v>
      </c>
    </row>
    <row r="619" spans="1:19" ht="12.5" x14ac:dyDescent="0.25">
      <c r="A619" s="14" t="str">
        <f>HYPERLINK("https://gerandofalcoes.my.salesforce.com/0014P00003YSp8FQAT", "0014P00003YSp8FQAT")</f>
        <v>0014P00003YSp8FQAT</v>
      </c>
      <c r="B619" s="2" t="s">
        <v>2178</v>
      </c>
      <c r="C619" s="2" t="s">
        <v>1800</v>
      </c>
      <c r="D619" s="2" t="s">
        <v>2</v>
      </c>
      <c r="E619" s="2">
        <v>33</v>
      </c>
      <c r="F619" s="2">
        <v>10</v>
      </c>
      <c r="G619" s="2">
        <v>0</v>
      </c>
      <c r="H619" s="2">
        <v>0</v>
      </c>
      <c r="I619" s="2">
        <v>60</v>
      </c>
      <c r="J619" s="2" t="s">
        <v>1779</v>
      </c>
      <c r="K619" s="2">
        <v>30</v>
      </c>
      <c r="L619" s="2">
        <v>15</v>
      </c>
      <c r="M619" s="2">
        <v>10</v>
      </c>
      <c r="N619" s="2">
        <v>0</v>
      </c>
      <c r="O619" s="2">
        <v>0</v>
      </c>
      <c r="P619" s="2">
        <v>5</v>
      </c>
      <c r="Q619" s="2" t="s">
        <v>2179</v>
      </c>
      <c r="R619" s="2" t="s">
        <v>2179</v>
      </c>
      <c r="S619" s="4">
        <v>44837</v>
      </c>
    </row>
    <row r="620" spans="1:19" ht="12.5" x14ac:dyDescent="0.25">
      <c r="A620" s="14" t="str">
        <f>HYPERLINK("https://gerandofalcoes.my.salesforce.com/0014P00003YSp8GQAT", "0014P00003YSp8GQAT")</f>
        <v>0014P00003YSp8GQAT</v>
      </c>
      <c r="B620" s="2" t="s">
        <v>2214</v>
      </c>
      <c r="C620" s="2" t="s">
        <v>1800</v>
      </c>
      <c r="D620" s="2" t="s">
        <v>2</v>
      </c>
      <c r="E620" s="2">
        <v>32</v>
      </c>
      <c r="F620" s="2">
        <v>1</v>
      </c>
      <c r="G620" s="2">
        <v>2</v>
      </c>
      <c r="H620" s="2">
        <v>0</v>
      </c>
      <c r="I620" s="2">
        <v>600</v>
      </c>
      <c r="J620" s="2" t="s">
        <v>1671</v>
      </c>
      <c r="K620" s="2">
        <v>46</v>
      </c>
      <c r="L620" s="2">
        <v>15</v>
      </c>
      <c r="M620" s="2">
        <v>5</v>
      </c>
      <c r="N620" s="2">
        <v>6</v>
      </c>
      <c r="O620" s="2">
        <v>0</v>
      </c>
      <c r="P620" s="2">
        <v>20</v>
      </c>
      <c r="Q620" s="2" t="s">
        <v>2215</v>
      </c>
      <c r="R620" s="2" t="s">
        <v>2216</v>
      </c>
      <c r="S620" s="4">
        <v>44837</v>
      </c>
    </row>
    <row r="621" spans="1:19" ht="12.5" x14ac:dyDescent="0.25">
      <c r="A621" s="14" t="str">
        <f>HYPERLINK("https://gerandofalcoes.my.salesforce.com/0014P00003YSp8HQAT", "0014P00003YSp8HQAT")</f>
        <v>0014P00003YSp8HQAT</v>
      </c>
      <c r="B621" s="2" t="s">
        <v>2359</v>
      </c>
      <c r="C621" s="2" t="s">
        <v>423</v>
      </c>
      <c r="D621" s="2" t="s">
        <v>2</v>
      </c>
      <c r="E621" s="2">
        <v>28</v>
      </c>
      <c r="F621" s="2">
        <v>2</v>
      </c>
      <c r="G621" s="2">
        <v>1</v>
      </c>
      <c r="H621" s="2">
        <v>35000</v>
      </c>
      <c r="I621" s="2">
        <v>729</v>
      </c>
      <c r="J621" s="2" t="s">
        <v>1671</v>
      </c>
      <c r="K621" s="2">
        <v>54</v>
      </c>
      <c r="L621" s="2">
        <v>15</v>
      </c>
      <c r="M621" s="2">
        <v>5</v>
      </c>
      <c r="N621" s="2">
        <v>4</v>
      </c>
      <c r="O621" s="2">
        <v>10</v>
      </c>
      <c r="P621" s="2">
        <v>20</v>
      </c>
      <c r="Q621" s="2" t="s">
        <v>2360</v>
      </c>
      <c r="R621" s="2" t="s">
        <v>2361</v>
      </c>
      <c r="S621" s="4">
        <v>44837</v>
      </c>
    </row>
    <row r="622" spans="1:19" ht="12.5" x14ac:dyDescent="0.25">
      <c r="A622" s="14" t="str">
        <f>HYPERLINK("https://gerandofalcoes.my.salesforce.com/0014P00003YSp8IQAT", "0014P00003YSp8IQAT")</f>
        <v>0014P00003YSp8IQAT</v>
      </c>
      <c r="B622" s="2" t="s">
        <v>2335</v>
      </c>
      <c r="C622" s="2" t="s">
        <v>423</v>
      </c>
      <c r="D622" s="2" t="s">
        <v>2</v>
      </c>
      <c r="E622" s="2">
        <v>27.89</v>
      </c>
      <c r="F622" s="2">
        <v>0</v>
      </c>
      <c r="G622" s="2">
        <v>3</v>
      </c>
      <c r="H622" s="2">
        <v>9000000</v>
      </c>
      <c r="I622" s="2">
        <v>250</v>
      </c>
      <c r="J622" s="2" t="s">
        <v>1671</v>
      </c>
      <c r="K622" s="2">
        <v>60</v>
      </c>
      <c r="L622" s="2">
        <v>15</v>
      </c>
      <c r="M622" s="2">
        <v>0</v>
      </c>
      <c r="N622" s="2">
        <v>8</v>
      </c>
      <c r="O622" s="2">
        <v>25</v>
      </c>
      <c r="P622" s="2">
        <v>12</v>
      </c>
      <c r="Q622" s="2" t="s">
        <v>2336</v>
      </c>
      <c r="R622" s="2" t="s">
        <v>2337</v>
      </c>
      <c r="S622" s="4">
        <v>44837</v>
      </c>
    </row>
    <row r="623" spans="1:19" ht="12.5" x14ac:dyDescent="0.25">
      <c r="A623" s="14" t="str">
        <f>HYPERLINK("https://gerandofalcoes.my.salesforce.com/0014P00003YSp80QAD", "0014P00003YSp80QAD")</f>
        <v>0014P00003YSp80QAD</v>
      </c>
      <c r="B623" s="2" t="s">
        <v>2709</v>
      </c>
      <c r="C623" s="2" t="s">
        <v>423</v>
      </c>
      <c r="D623" s="2" t="s">
        <v>2</v>
      </c>
      <c r="E623" s="2">
        <v>15.15</v>
      </c>
      <c r="F623" s="2">
        <v>1</v>
      </c>
      <c r="G623" s="2">
        <v>4</v>
      </c>
      <c r="H623" s="2">
        <v>17400</v>
      </c>
      <c r="I623" s="2">
        <v>87</v>
      </c>
      <c r="J623" s="2" t="s">
        <v>1671</v>
      </c>
      <c r="K623" s="2">
        <v>40</v>
      </c>
      <c r="L623" s="2">
        <v>10</v>
      </c>
      <c r="M623" s="2">
        <v>5</v>
      </c>
      <c r="N623" s="2">
        <v>10</v>
      </c>
      <c r="O623" s="2">
        <v>5</v>
      </c>
      <c r="P623" s="2">
        <v>10</v>
      </c>
      <c r="Q623" s="2" t="s">
        <v>2710</v>
      </c>
      <c r="R623" s="2" t="s">
        <v>2710</v>
      </c>
      <c r="S623" s="4">
        <v>44837</v>
      </c>
    </row>
    <row r="624" spans="1:19" ht="12.5" x14ac:dyDescent="0.25">
      <c r="A624" s="14" t="str">
        <f>HYPERLINK("https://gerandofalcoes.my.salesforce.com/0014P00003YSp8JQAT", "0014P00003YSp8JQAT")</f>
        <v>0014P00003YSp8JQAT</v>
      </c>
      <c r="B624" s="2" t="s">
        <v>2393</v>
      </c>
      <c r="C624" s="2" t="s">
        <v>423</v>
      </c>
      <c r="D624" s="2" t="s">
        <v>2</v>
      </c>
      <c r="E624" s="2">
        <v>33</v>
      </c>
      <c r="F624" s="2">
        <v>9</v>
      </c>
      <c r="G624" s="2">
        <v>2</v>
      </c>
      <c r="H624" s="2">
        <v>85000000</v>
      </c>
      <c r="I624" s="2">
        <v>309</v>
      </c>
      <c r="J624" s="2" t="s">
        <v>1650</v>
      </c>
      <c r="K624" s="2">
        <v>71</v>
      </c>
      <c r="L624" s="2">
        <v>15</v>
      </c>
      <c r="M624" s="2">
        <v>10</v>
      </c>
      <c r="N624" s="2">
        <v>6</v>
      </c>
      <c r="O624" s="2">
        <v>25</v>
      </c>
      <c r="P624" s="2">
        <v>15</v>
      </c>
      <c r="Q624" s="2" t="s">
        <v>2394</v>
      </c>
      <c r="R624" s="2" t="s">
        <v>2394</v>
      </c>
      <c r="S624" s="4">
        <v>44837</v>
      </c>
    </row>
    <row r="625" spans="1:19" ht="12.5" x14ac:dyDescent="0.25">
      <c r="A625" s="14" t="str">
        <f>HYPERLINK("https://gerandofalcoes.my.salesforce.com/0014P00003YSp8KQAT", "0014P00003YSp8KQAT")</f>
        <v>0014P00003YSp8KQAT</v>
      </c>
      <c r="B625" s="2" t="s">
        <v>2167</v>
      </c>
      <c r="C625" s="2" t="s">
        <v>1800</v>
      </c>
      <c r="D625" s="2" t="s">
        <v>2</v>
      </c>
      <c r="E625" s="2">
        <v>33</v>
      </c>
      <c r="F625" s="2">
        <v>2</v>
      </c>
      <c r="G625" s="2">
        <v>4</v>
      </c>
      <c r="H625" s="2">
        <v>400000</v>
      </c>
      <c r="I625" s="2">
        <v>250</v>
      </c>
      <c r="J625" s="2" t="s">
        <v>1671</v>
      </c>
      <c r="K625" s="2">
        <v>62</v>
      </c>
      <c r="L625" s="2">
        <v>15</v>
      </c>
      <c r="M625" s="2">
        <v>5</v>
      </c>
      <c r="N625" s="2">
        <v>10</v>
      </c>
      <c r="O625" s="2">
        <v>20</v>
      </c>
      <c r="P625" s="2">
        <v>12</v>
      </c>
      <c r="Q625" s="2" t="s">
        <v>2168</v>
      </c>
      <c r="R625" s="2" t="s">
        <v>2168</v>
      </c>
      <c r="S625" s="4">
        <v>44837</v>
      </c>
    </row>
    <row r="626" spans="1:19" ht="12.5" x14ac:dyDescent="0.25">
      <c r="A626" s="14" t="str">
        <f>HYPERLINK("https://gerandofalcoes.my.salesforce.com/0014P00003YSp8LQAT", "0014P00003YSp8LQAT")</f>
        <v>0014P00003YSp8LQAT</v>
      </c>
      <c r="B626" s="2" t="s">
        <v>2907</v>
      </c>
      <c r="C626" s="2" t="s">
        <v>423</v>
      </c>
      <c r="D626" s="2" t="s">
        <v>2</v>
      </c>
      <c r="E626" s="2">
        <v>24</v>
      </c>
      <c r="F626" s="2">
        <v>0</v>
      </c>
      <c r="G626" s="2">
        <v>0</v>
      </c>
      <c r="H626" s="2">
        <v>0</v>
      </c>
      <c r="I626" s="2">
        <v>200</v>
      </c>
      <c r="J626" s="2" t="s">
        <v>1779</v>
      </c>
      <c r="K626" s="2">
        <v>22</v>
      </c>
      <c r="L626" s="2">
        <v>10</v>
      </c>
      <c r="M626" s="2">
        <v>0</v>
      </c>
      <c r="N626" s="2">
        <v>0</v>
      </c>
      <c r="O626" s="2">
        <v>0</v>
      </c>
      <c r="P626" s="2">
        <v>12</v>
      </c>
      <c r="Q626" s="2" t="s">
        <v>2908</v>
      </c>
      <c r="R626" s="2" t="s">
        <v>2908</v>
      </c>
      <c r="S626" s="4">
        <v>44837</v>
      </c>
    </row>
    <row r="627" spans="1:19" ht="12.5" x14ac:dyDescent="0.25">
      <c r="A627" s="14" t="str">
        <f>HYPERLINK("https://gerandofalcoes.my.salesforce.com/0014P00003YSp8MQAT", "0014P00003YSp8MQAT")</f>
        <v>0014P00003YSp8MQAT</v>
      </c>
      <c r="B627" s="2" t="s">
        <v>1761</v>
      </c>
      <c r="C627" s="2" t="s">
        <v>423</v>
      </c>
      <c r="D627" s="2" t="s">
        <v>2</v>
      </c>
      <c r="E627" s="2">
        <v>35</v>
      </c>
      <c r="F627" s="2">
        <v>15</v>
      </c>
      <c r="G627" s="2">
        <v>3</v>
      </c>
      <c r="H627" s="2">
        <v>359</v>
      </c>
      <c r="I627" s="2">
        <v>173</v>
      </c>
      <c r="J627" s="2" t="s">
        <v>1671</v>
      </c>
      <c r="K627" s="2">
        <v>52</v>
      </c>
      <c r="L627" s="2">
        <v>15</v>
      </c>
      <c r="M627" s="2">
        <v>12</v>
      </c>
      <c r="N627" s="2">
        <v>8</v>
      </c>
      <c r="O627" s="2">
        <v>5</v>
      </c>
      <c r="P627" s="2">
        <v>12</v>
      </c>
      <c r="Q627" s="2" t="s">
        <v>1762</v>
      </c>
      <c r="R627" s="2" t="s">
        <v>1763</v>
      </c>
      <c r="S627" s="4">
        <v>44837</v>
      </c>
    </row>
    <row r="628" spans="1:19" ht="12.5" x14ac:dyDescent="0.25">
      <c r="A628" s="14" t="str">
        <f>HYPERLINK("https://gerandofalcoes.my.salesforce.com/0014P00003YSp8NQAT", "0014P00003YSp8NQAT")</f>
        <v>0014P00003YSp8NQAT</v>
      </c>
      <c r="B628" s="2" t="s">
        <v>2292</v>
      </c>
      <c r="C628" s="2" t="s">
        <v>1800</v>
      </c>
      <c r="D628" s="2" t="s">
        <v>2</v>
      </c>
      <c r="E628" s="2">
        <v>29</v>
      </c>
      <c r="F628" s="2">
        <v>3</v>
      </c>
      <c r="G628" s="2">
        <v>2</v>
      </c>
      <c r="H628" s="2">
        <v>13121</v>
      </c>
      <c r="I628" s="2">
        <v>800</v>
      </c>
      <c r="J628" s="2" t="s">
        <v>1671</v>
      </c>
      <c r="K628" s="2">
        <v>51</v>
      </c>
      <c r="L628" s="2">
        <v>15</v>
      </c>
      <c r="M628" s="2">
        <v>5</v>
      </c>
      <c r="N628" s="2">
        <v>6</v>
      </c>
      <c r="O628" s="2">
        <v>5</v>
      </c>
      <c r="P628" s="2">
        <v>20</v>
      </c>
      <c r="Q628" s="2" t="s">
        <v>2293</v>
      </c>
      <c r="R628" s="2" t="s">
        <v>2294</v>
      </c>
      <c r="S628" s="4">
        <v>44837</v>
      </c>
    </row>
    <row r="629" spans="1:19" ht="12.5" x14ac:dyDescent="0.25">
      <c r="A629" s="14" t="str">
        <f>HYPERLINK("https://gerandofalcoes.my.salesforce.com/0014P00003YSp8OQAT", "0014P00003YSp8OQAT")</f>
        <v>0014P00003YSp8OQAT</v>
      </c>
      <c r="B629" s="2" t="s">
        <v>1952</v>
      </c>
      <c r="C629" s="2" t="s">
        <v>1800</v>
      </c>
      <c r="D629" s="2" t="s">
        <v>2</v>
      </c>
      <c r="E629" s="2">
        <v>41</v>
      </c>
      <c r="F629" s="2">
        <v>1</v>
      </c>
      <c r="G629" s="2">
        <v>3</v>
      </c>
      <c r="H629" s="2">
        <v>25000</v>
      </c>
      <c r="I629" s="2">
        <v>90</v>
      </c>
      <c r="J629" s="2" t="s">
        <v>1671</v>
      </c>
      <c r="K629" s="2">
        <v>48</v>
      </c>
      <c r="L629" s="2">
        <v>15</v>
      </c>
      <c r="M629" s="2">
        <v>5</v>
      </c>
      <c r="N629" s="2">
        <v>8</v>
      </c>
      <c r="O629" s="2">
        <v>10</v>
      </c>
      <c r="P629" s="2">
        <v>10</v>
      </c>
      <c r="Q629" s="2" t="s">
        <v>1953</v>
      </c>
      <c r="R629" s="2" t="s">
        <v>1953</v>
      </c>
      <c r="S629" s="4">
        <v>44837</v>
      </c>
    </row>
    <row r="630" spans="1:19" ht="12.5" x14ac:dyDescent="0.25">
      <c r="A630" s="14" t="str">
        <f>HYPERLINK("https://gerandofalcoes.my.salesforce.com/0014P00003YSp8PQAT", "0014P00003YSp8PQAT")</f>
        <v>0014P00003YSp8PQAT</v>
      </c>
      <c r="B630" s="2" t="s">
        <v>2832</v>
      </c>
      <c r="C630" s="2" t="s">
        <v>423</v>
      </c>
      <c r="D630" s="2" t="s">
        <v>2</v>
      </c>
      <c r="E630" s="2">
        <v>24</v>
      </c>
      <c r="F630" s="2">
        <v>0</v>
      </c>
      <c r="G630" s="2">
        <v>1</v>
      </c>
      <c r="H630" s="2">
        <v>4546832</v>
      </c>
      <c r="I630" s="2">
        <v>0</v>
      </c>
      <c r="J630" s="2" t="s">
        <v>1779</v>
      </c>
      <c r="K630" s="2">
        <v>39</v>
      </c>
      <c r="L630" s="2">
        <v>10</v>
      </c>
      <c r="M630" s="2">
        <v>0</v>
      </c>
      <c r="N630" s="2">
        <v>4</v>
      </c>
      <c r="O630" s="2">
        <v>25</v>
      </c>
      <c r="P630" s="2">
        <v>0</v>
      </c>
      <c r="Q630" s="2" t="s">
        <v>2833</v>
      </c>
      <c r="R630" s="2" t="s">
        <v>2834</v>
      </c>
      <c r="S630" s="4">
        <v>44837</v>
      </c>
    </row>
    <row r="631" spans="1:19" ht="12.5" x14ac:dyDescent="0.25">
      <c r="A631" s="14" t="str">
        <f>HYPERLINK("https://gerandofalcoes.my.salesforce.com/0014P00003YSp8QQAT", "0014P00003YSp8QQAT")</f>
        <v>0014P00003YSp8QQAT</v>
      </c>
      <c r="B631" s="2" t="s">
        <v>1890</v>
      </c>
      <c r="C631" s="2" t="s">
        <v>423</v>
      </c>
      <c r="D631" s="2" t="s">
        <v>2</v>
      </c>
      <c r="E631" s="2">
        <v>43.85</v>
      </c>
      <c r="F631" s="2">
        <v>7</v>
      </c>
      <c r="G631" s="2">
        <v>150</v>
      </c>
      <c r="H631" s="2">
        <v>337433</v>
      </c>
      <c r="I631" s="2">
        <v>80</v>
      </c>
      <c r="J631" s="2" t="s">
        <v>1650</v>
      </c>
      <c r="K631" s="2">
        <v>65</v>
      </c>
      <c r="L631" s="2">
        <v>15</v>
      </c>
      <c r="M631" s="2">
        <v>10</v>
      </c>
      <c r="N631" s="2">
        <v>10</v>
      </c>
      <c r="O631" s="2">
        <v>20</v>
      </c>
      <c r="P631" s="2">
        <v>10</v>
      </c>
      <c r="Q631" s="2" t="s">
        <v>1891</v>
      </c>
      <c r="R631" s="2" t="s">
        <v>1891</v>
      </c>
      <c r="S631" s="4">
        <v>44837</v>
      </c>
    </row>
    <row r="632" spans="1:19" ht="12.5" x14ac:dyDescent="0.25">
      <c r="A632" s="14" t="str">
        <f>HYPERLINK("https://gerandofalcoes.my.salesforce.com/0014P00003YSp8RQAT", "0014P00003YSp8RQAT")</f>
        <v>0014P00003YSp8RQAT</v>
      </c>
      <c r="B632" s="2" t="s">
        <v>1989</v>
      </c>
      <c r="C632" s="2" t="s">
        <v>1800</v>
      </c>
      <c r="D632" s="2" t="s">
        <v>2</v>
      </c>
      <c r="E632" s="2">
        <v>39</v>
      </c>
      <c r="F632" s="2">
        <v>1</v>
      </c>
      <c r="G632" s="2">
        <v>2</v>
      </c>
      <c r="H632" s="2">
        <v>11000</v>
      </c>
      <c r="I632" s="2">
        <v>200</v>
      </c>
      <c r="J632" s="2" t="s">
        <v>1671</v>
      </c>
      <c r="K632" s="2">
        <v>43</v>
      </c>
      <c r="L632" s="2">
        <v>15</v>
      </c>
      <c r="M632" s="2">
        <v>5</v>
      </c>
      <c r="N632" s="2">
        <v>6</v>
      </c>
      <c r="O632" s="2">
        <v>5</v>
      </c>
      <c r="P632" s="2">
        <v>12</v>
      </c>
      <c r="Q632" s="2" t="s">
        <v>1990</v>
      </c>
      <c r="R632" s="2" t="s">
        <v>1991</v>
      </c>
      <c r="S632" s="4">
        <v>44837</v>
      </c>
    </row>
    <row r="633" spans="1:19" ht="12.5" x14ac:dyDescent="0.25">
      <c r="A633" s="14" t="str">
        <f>HYPERLINK("https://gerandofalcoes.my.salesforce.com/0014P00003YSp8SQAT", "0014P00003YSp8SQAT")</f>
        <v>0014P00003YSp8SQAT</v>
      </c>
      <c r="B633" s="2" t="s">
        <v>2476</v>
      </c>
      <c r="C633" s="2" t="s">
        <v>423</v>
      </c>
      <c r="D633" s="2" t="s">
        <v>2</v>
      </c>
      <c r="E633" s="2">
        <v>22</v>
      </c>
      <c r="F633" s="2">
        <v>0</v>
      </c>
      <c r="G633" s="2">
        <v>2</v>
      </c>
      <c r="H633" s="2">
        <v>150000</v>
      </c>
      <c r="I633" s="2">
        <v>382</v>
      </c>
      <c r="J633" s="2" t="s">
        <v>1671</v>
      </c>
      <c r="K633" s="2">
        <v>46</v>
      </c>
      <c r="L633" s="2">
        <v>10</v>
      </c>
      <c r="M633" s="2">
        <v>0</v>
      </c>
      <c r="N633" s="2">
        <v>6</v>
      </c>
      <c r="O633" s="2">
        <v>15</v>
      </c>
      <c r="P633" s="2">
        <v>15</v>
      </c>
      <c r="Q633" s="2" t="s">
        <v>2477</v>
      </c>
      <c r="R633" s="2" t="s">
        <v>2477</v>
      </c>
      <c r="S633" s="4">
        <v>44837</v>
      </c>
    </row>
    <row r="634" spans="1:19" ht="12.5" x14ac:dyDescent="0.25">
      <c r="A634" s="14" t="str">
        <f>HYPERLINK("https://gerandofalcoes.my.salesforce.com/0014P00003YSp8UQAT", "0014P00003YSp8UQAT")</f>
        <v>0014P00003YSp8UQAT</v>
      </c>
      <c r="B634" s="2" t="s">
        <v>2319</v>
      </c>
      <c r="C634" s="2" t="s">
        <v>423</v>
      </c>
      <c r="D634" s="2" t="s">
        <v>2</v>
      </c>
      <c r="E634" s="2">
        <v>28</v>
      </c>
      <c r="F634" s="2">
        <v>0</v>
      </c>
      <c r="G634" s="2">
        <v>3</v>
      </c>
      <c r="H634" s="2">
        <v>9994</v>
      </c>
      <c r="I634" s="2">
        <v>110</v>
      </c>
      <c r="J634" s="2" t="s">
        <v>1779</v>
      </c>
      <c r="K634" s="2">
        <v>38</v>
      </c>
      <c r="L634" s="2">
        <v>15</v>
      </c>
      <c r="M634" s="2">
        <v>0</v>
      </c>
      <c r="N634" s="2">
        <v>8</v>
      </c>
      <c r="O634" s="2">
        <v>5</v>
      </c>
      <c r="P634" s="2">
        <v>10</v>
      </c>
      <c r="Q634" s="2" t="s">
        <v>2321</v>
      </c>
      <c r="R634" s="2" t="s">
        <v>2321</v>
      </c>
      <c r="S634" s="4">
        <v>44837</v>
      </c>
    </row>
    <row r="635" spans="1:19" ht="12.5" x14ac:dyDescent="0.25">
      <c r="A635" s="14" t="str">
        <f>HYPERLINK("https://gerandofalcoes.my.salesforce.com/0014P00003YSp8VQAT", "0014P00003YSp8VQAT")</f>
        <v>0014P00003YSp8VQAT</v>
      </c>
      <c r="B635" s="2" t="s">
        <v>2865</v>
      </c>
      <c r="C635" s="2" t="s">
        <v>1800</v>
      </c>
      <c r="D635" s="2" t="s">
        <v>2</v>
      </c>
      <c r="E635" s="2">
        <v>10</v>
      </c>
      <c r="F635" s="2">
        <v>0</v>
      </c>
      <c r="G635" s="2">
        <v>0</v>
      </c>
      <c r="H635" s="2">
        <v>0</v>
      </c>
      <c r="I635" s="2">
        <v>0</v>
      </c>
      <c r="J635" s="2" t="s">
        <v>1779</v>
      </c>
      <c r="K635" s="2">
        <v>10</v>
      </c>
      <c r="L635" s="2">
        <v>10</v>
      </c>
      <c r="M635" s="2">
        <v>0</v>
      </c>
      <c r="N635" s="2">
        <v>0</v>
      </c>
      <c r="O635" s="2">
        <v>0</v>
      </c>
      <c r="P635" s="2">
        <v>0</v>
      </c>
      <c r="Q635" s="2" t="s">
        <v>2866</v>
      </c>
      <c r="R635" s="2" t="s">
        <v>2867</v>
      </c>
      <c r="S635" s="4">
        <v>44837</v>
      </c>
    </row>
    <row r="636" spans="1:19" ht="12.5" x14ac:dyDescent="0.25">
      <c r="A636" s="14" t="str">
        <f>HYPERLINK("https://gerandofalcoes.my.salesforce.com/0014P00003YSp8XQAT", "0014P00003YSp8XQAT")</f>
        <v>0014P00003YSp8XQAT</v>
      </c>
      <c r="B636" s="2" t="s">
        <v>2526</v>
      </c>
      <c r="C636" s="2" t="s">
        <v>423</v>
      </c>
      <c r="D636" s="2" t="s">
        <v>2</v>
      </c>
      <c r="E636" s="2">
        <v>21</v>
      </c>
      <c r="F636" s="2">
        <v>0</v>
      </c>
      <c r="G636" s="2">
        <v>1</v>
      </c>
      <c r="H636" s="2">
        <v>250</v>
      </c>
      <c r="I636" s="2">
        <v>50</v>
      </c>
      <c r="J636" s="2" t="s">
        <v>1779</v>
      </c>
      <c r="K636" s="2">
        <v>24</v>
      </c>
      <c r="L636" s="2">
        <v>10</v>
      </c>
      <c r="M636" s="2">
        <v>0</v>
      </c>
      <c r="N636" s="2">
        <v>4</v>
      </c>
      <c r="O636" s="2">
        <v>5</v>
      </c>
      <c r="P636" s="2">
        <v>5</v>
      </c>
      <c r="Q636" s="2" t="s">
        <v>2527</v>
      </c>
      <c r="R636" s="2" t="s">
        <v>2528</v>
      </c>
      <c r="S636" s="4">
        <v>44837</v>
      </c>
    </row>
    <row r="637" spans="1:19" ht="12.5" x14ac:dyDescent="0.25">
      <c r="A637" s="14" t="str">
        <f>HYPERLINK("https://gerandofalcoes.my.salesforce.com/0014P00003YSp8YQAT", "0014P00003YSp8YQAT")</f>
        <v>0014P00003YSp8YQAT</v>
      </c>
      <c r="B637" s="2" t="s">
        <v>1921</v>
      </c>
      <c r="C637" s="2" t="s">
        <v>423</v>
      </c>
      <c r="D637" s="2" t="s">
        <v>2</v>
      </c>
      <c r="E637" s="2">
        <v>45</v>
      </c>
      <c r="F637" s="2">
        <v>9</v>
      </c>
      <c r="G637" s="2">
        <v>3</v>
      </c>
      <c r="H637" s="2">
        <v>97000</v>
      </c>
      <c r="I637" s="2">
        <v>100</v>
      </c>
      <c r="J637" s="2" t="s">
        <v>1671</v>
      </c>
      <c r="K637" s="2">
        <v>53</v>
      </c>
      <c r="L637" s="2">
        <v>15</v>
      </c>
      <c r="M637" s="2">
        <v>10</v>
      </c>
      <c r="N637" s="2">
        <v>8</v>
      </c>
      <c r="O637" s="2">
        <v>10</v>
      </c>
      <c r="P637" s="2">
        <v>10</v>
      </c>
      <c r="Q637" s="2" t="s">
        <v>1922</v>
      </c>
      <c r="R637" s="2" t="s">
        <v>1923</v>
      </c>
      <c r="S637" s="4">
        <v>44837</v>
      </c>
    </row>
    <row r="638" spans="1:19" ht="12.5" x14ac:dyDescent="0.25">
      <c r="A638" s="14" t="str">
        <f>HYPERLINK("https://gerandofalcoes.my.salesforce.com/0014P00003YSp8aQAD", "0014P00003YSp8aQAD")</f>
        <v>0014P00003YSp8aQAD</v>
      </c>
      <c r="B638" s="2" t="s">
        <v>2447</v>
      </c>
      <c r="C638" s="2" t="s">
        <v>423</v>
      </c>
      <c r="D638" s="2" t="s">
        <v>2</v>
      </c>
      <c r="E638" s="2">
        <v>24</v>
      </c>
      <c r="F638" s="2">
        <v>0</v>
      </c>
      <c r="G638" s="2">
        <v>2</v>
      </c>
      <c r="H638" s="2">
        <v>40000</v>
      </c>
      <c r="I638" s="2">
        <v>200</v>
      </c>
      <c r="J638" s="2" t="s">
        <v>1779</v>
      </c>
      <c r="K638" s="2">
        <v>38</v>
      </c>
      <c r="L638" s="2">
        <v>10</v>
      </c>
      <c r="M638" s="2">
        <v>0</v>
      </c>
      <c r="N638" s="2">
        <v>6</v>
      </c>
      <c r="O638" s="2">
        <v>10</v>
      </c>
      <c r="P638" s="2">
        <v>12</v>
      </c>
      <c r="Q638" s="2" t="s">
        <v>2448</v>
      </c>
      <c r="R638" s="2" t="s">
        <v>2449</v>
      </c>
      <c r="S638" s="4">
        <v>44837</v>
      </c>
    </row>
    <row r="639" spans="1:19" ht="12.5" x14ac:dyDescent="0.25">
      <c r="A639" s="14" t="str">
        <f>HYPERLINK("https://gerandofalcoes.my.salesforce.com/0014P00003YSp8bQAD", "0014P00003YSp8bQAD")</f>
        <v>0014P00003YSp8bQAD</v>
      </c>
      <c r="B639" s="2" t="s">
        <v>2481</v>
      </c>
      <c r="C639" s="2" t="s">
        <v>1800</v>
      </c>
      <c r="D639" s="2" t="s">
        <v>2</v>
      </c>
      <c r="E639" s="2">
        <v>22</v>
      </c>
      <c r="F639" s="2">
        <v>4</v>
      </c>
      <c r="G639" s="2">
        <v>2</v>
      </c>
      <c r="H639" s="2">
        <v>80000</v>
      </c>
      <c r="I639" s="2">
        <v>100</v>
      </c>
      <c r="J639" s="2" t="s">
        <v>1671</v>
      </c>
      <c r="K639" s="2">
        <v>41</v>
      </c>
      <c r="L639" s="2">
        <v>10</v>
      </c>
      <c r="M639" s="2">
        <v>5</v>
      </c>
      <c r="N639" s="2">
        <v>6</v>
      </c>
      <c r="O639" s="2">
        <v>10</v>
      </c>
      <c r="P639" s="2">
        <v>10</v>
      </c>
      <c r="Q639" s="2" t="s">
        <v>2483</v>
      </c>
      <c r="R639" s="2" t="s">
        <v>2483</v>
      </c>
      <c r="S639" s="4">
        <v>44837</v>
      </c>
    </row>
    <row r="640" spans="1:19" ht="12.5" x14ac:dyDescent="0.25">
      <c r="A640" s="14" t="str">
        <f>HYPERLINK("https://gerandofalcoes.my.salesforce.com/0014P00003YSp8cQAD", "0014P00003YSp8cQAD")</f>
        <v>0014P00003YSp8cQAD</v>
      </c>
      <c r="B640" s="2" t="s">
        <v>1768</v>
      </c>
      <c r="C640" s="2" t="s">
        <v>423</v>
      </c>
      <c r="D640" s="2" t="s">
        <v>2</v>
      </c>
      <c r="E640" s="2">
        <v>35</v>
      </c>
      <c r="F640" s="2">
        <v>8</v>
      </c>
      <c r="G640" s="2">
        <v>1</v>
      </c>
      <c r="H640" s="2">
        <v>2200000</v>
      </c>
      <c r="I640" s="2">
        <v>300</v>
      </c>
      <c r="J640" s="2" t="s">
        <v>1650</v>
      </c>
      <c r="K640" s="2">
        <v>69</v>
      </c>
      <c r="L640" s="2">
        <v>15</v>
      </c>
      <c r="M640" s="2">
        <v>10</v>
      </c>
      <c r="N640" s="2">
        <v>4</v>
      </c>
      <c r="O640" s="2">
        <v>25</v>
      </c>
      <c r="P640" s="2">
        <v>15</v>
      </c>
      <c r="Q640" s="2" t="s">
        <v>1769</v>
      </c>
      <c r="R640" s="2" t="s">
        <v>1769</v>
      </c>
      <c r="S640" s="4">
        <v>44837</v>
      </c>
    </row>
    <row r="641" spans="1:19" ht="12.5" x14ac:dyDescent="0.25">
      <c r="A641" s="14" t="str">
        <f>HYPERLINK("https://gerandofalcoes.my.salesforce.com/0014P00003YSp8dQAD", "0014P00003YSp8dQAD")</f>
        <v>0014P00003YSp8dQAD</v>
      </c>
      <c r="B641" s="2" t="s">
        <v>2925</v>
      </c>
      <c r="C641" s="2" t="s">
        <v>423</v>
      </c>
      <c r="D641" s="2" t="s">
        <v>2</v>
      </c>
      <c r="E641" s="2">
        <v>7</v>
      </c>
      <c r="F641" s="2">
        <v>3</v>
      </c>
      <c r="G641" s="2">
        <v>2</v>
      </c>
      <c r="H641" s="2">
        <v>0</v>
      </c>
      <c r="I641" s="2">
        <v>150</v>
      </c>
      <c r="J641" s="2" t="s">
        <v>1779</v>
      </c>
      <c r="K641" s="2">
        <v>33</v>
      </c>
      <c r="L641" s="2">
        <v>10</v>
      </c>
      <c r="M641" s="2">
        <v>5</v>
      </c>
      <c r="N641" s="2">
        <v>6</v>
      </c>
      <c r="O641" s="2">
        <v>0</v>
      </c>
      <c r="P641" s="2">
        <v>12</v>
      </c>
      <c r="Q641" s="2" t="s">
        <v>2926</v>
      </c>
      <c r="R641" s="2" t="s">
        <v>2926</v>
      </c>
      <c r="S641" s="4">
        <v>44837</v>
      </c>
    </row>
    <row r="642" spans="1:19" ht="12.5" x14ac:dyDescent="0.25">
      <c r="A642" s="14" t="str">
        <f>HYPERLINK("https://gerandofalcoes.my.salesforce.com/0014P00003AN2FgQAL", "0014P00003AN2FgQAL")</f>
        <v>0014P00003AN2FgQAL</v>
      </c>
      <c r="B642" s="2" t="s">
        <v>109</v>
      </c>
      <c r="C642" s="2" t="s">
        <v>1800</v>
      </c>
      <c r="D642" s="2" t="s">
        <v>2</v>
      </c>
      <c r="E642" s="2">
        <v>36</v>
      </c>
      <c r="F642" s="2">
        <v>2</v>
      </c>
      <c r="G642" s="2">
        <v>7</v>
      </c>
      <c r="H642" s="2">
        <v>290735</v>
      </c>
      <c r="I642" s="2">
        <v>750</v>
      </c>
      <c r="J642" s="2" t="s">
        <v>1650</v>
      </c>
      <c r="K642" s="2">
        <v>65</v>
      </c>
      <c r="L642" s="2">
        <v>15</v>
      </c>
      <c r="M642" s="2">
        <v>5</v>
      </c>
      <c r="N642" s="2">
        <v>10</v>
      </c>
      <c r="O642" s="2">
        <v>15</v>
      </c>
      <c r="P642" s="2">
        <v>20</v>
      </c>
      <c r="Q642" s="2" t="s">
        <v>110</v>
      </c>
      <c r="R642" s="2" t="s">
        <v>110</v>
      </c>
      <c r="S642" s="4">
        <v>44837</v>
      </c>
    </row>
    <row r="643" spans="1:19" ht="12.5" x14ac:dyDescent="0.25">
      <c r="A643" s="14" t="str">
        <f>HYPERLINK("https://gerandofalcoes.my.salesforce.com/0014P00003Ck8NjQAJ", "0014P00003Ck8NjQAJ")</f>
        <v>0014P00003Ck8NjQAJ</v>
      </c>
      <c r="B643" s="2" t="s">
        <v>1734</v>
      </c>
      <c r="C643" s="2" t="s">
        <v>423</v>
      </c>
      <c r="D643" s="2" t="s">
        <v>2</v>
      </c>
      <c r="E643" s="2">
        <v>32</v>
      </c>
      <c r="F643" s="2">
        <v>30</v>
      </c>
      <c r="G643" s="2">
        <v>4</v>
      </c>
      <c r="H643" s="2">
        <v>168000</v>
      </c>
      <c r="I643" s="2">
        <v>200</v>
      </c>
      <c r="J643" s="2" t="s">
        <v>1671</v>
      </c>
      <c r="K643" s="2">
        <v>64</v>
      </c>
      <c r="L643" s="2">
        <v>15</v>
      </c>
      <c r="M643" s="2">
        <v>12</v>
      </c>
      <c r="N643" s="2">
        <v>10</v>
      </c>
      <c r="O643" s="2">
        <v>15</v>
      </c>
      <c r="P643" s="2">
        <v>12</v>
      </c>
      <c r="Q643" s="2" t="s">
        <v>1735</v>
      </c>
      <c r="R643" s="2" t="s">
        <v>1735</v>
      </c>
      <c r="S643" s="4">
        <v>44837</v>
      </c>
    </row>
    <row r="644" spans="1:19" ht="12.5" x14ac:dyDescent="0.25">
      <c r="A644" s="14" t="str">
        <f>HYPERLINK("https://gerandofalcoes.my.salesforce.com/0014P00003I7WH2QAN", "0014P00003I7WH2QAN")</f>
        <v>0014P00003I7WH2QAN</v>
      </c>
      <c r="B644" s="2" t="s">
        <v>1748</v>
      </c>
      <c r="C644" s="2" t="s">
        <v>423</v>
      </c>
      <c r="D644" s="2" t="s">
        <v>2</v>
      </c>
      <c r="E644" s="2">
        <v>75</v>
      </c>
      <c r="F644" s="2">
        <v>5</v>
      </c>
      <c r="G644" s="2">
        <v>3</v>
      </c>
      <c r="H644" s="2">
        <v>300000</v>
      </c>
      <c r="I644" s="2">
        <v>216</v>
      </c>
      <c r="J644" s="2" t="s">
        <v>1650</v>
      </c>
      <c r="K644" s="2">
        <v>70</v>
      </c>
      <c r="L644" s="2">
        <v>25</v>
      </c>
      <c r="M644" s="2">
        <v>5</v>
      </c>
      <c r="N644" s="2">
        <v>8</v>
      </c>
      <c r="O644" s="2">
        <v>20</v>
      </c>
      <c r="P644" s="2">
        <v>12</v>
      </c>
      <c r="Q644" s="2" t="s">
        <v>1749</v>
      </c>
      <c r="R644" s="2" t="s">
        <v>906</v>
      </c>
      <c r="S644" s="4">
        <v>44837</v>
      </c>
    </row>
    <row r="645" spans="1:19" ht="12.5" x14ac:dyDescent="0.25">
      <c r="A645" s="14" t="str">
        <f>HYPERLINK("https://gerandofalcoes.my.salesforce.com/0014P00003AN2FfQAL", "0014P00003AN2FfQAL")</f>
        <v>0014P00003AN2FfQAL</v>
      </c>
      <c r="B645" s="2" t="s">
        <v>105</v>
      </c>
      <c r="C645" s="2" t="s">
        <v>423</v>
      </c>
      <c r="D645" s="2" t="s">
        <v>2</v>
      </c>
      <c r="E645" s="2">
        <v>20</v>
      </c>
      <c r="F645" s="2">
        <v>0</v>
      </c>
      <c r="G645" s="2">
        <v>1</v>
      </c>
      <c r="H645" s="2">
        <v>10000</v>
      </c>
      <c r="I645" s="2">
        <v>120</v>
      </c>
      <c r="J645" s="2" t="s">
        <v>1779</v>
      </c>
      <c r="K645" s="2">
        <v>29</v>
      </c>
      <c r="L645" s="2">
        <v>10</v>
      </c>
      <c r="M645" s="2">
        <v>0</v>
      </c>
      <c r="N645" s="2">
        <v>4</v>
      </c>
      <c r="O645" s="2">
        <v>5</v>
      </c>
      <c r="P645" s="2">
        <v>10</v>
      </c>
      <c r="Q645" s="2" t="s">
        <v>106</v>
      </c>
      <c r="R645" s="2" t="s">
        <v>7161</v>
      </c>
      <c r="S645" s="4">
        <v>44837</v>
      </c>
    </row>
    <row r="646" spans="1:19" ht="12.5" x14ac:dyDescent="0.25">
      <c r="A646" s="14" t="str">
        <f>HYPERLINK("https://gerandofalcoes.my.salesforce.com/0014P00003AN2FhQAL", "0014P00003AN2FhQAL")</f>
        <v>0014P00003AN2FhQAL</v>
      </c>
      <c r="B646" s="2" t="s">
        <v>1889</v>
      </c>
      <c r="C646" s="2" t="s">
        <v>423</v>
      </c>
      <c r="D646" s="2" t="s">
        <v>2</v>
      </c>
      <c r="E646" s="2">
        <v>55</v>
      </c>
      <c r="F646" s="2">
        <v>3</v>
      </c>
      <c r="G646" s="2">
        <v>2</v>
      </c>
      <c r="H646" s="2">
        <v>472000</v>
      </c>
      <c r="I646" s="2">
        <v>381</v>
      </c>
      <c r="J646" s="2" t="s">
        <v>1650</v>
      </c>
      <c r="K646" s="2">
        <v>66</v>
      </c>
      <c r="L646" s="2">
        <v>20</v>
      </c>
      <c r="M646" s="2">
        <v>5</v>
      </c>
      <c r="N646" s="2">
        <v>6</v>
      </c>
      <c r="O646" s="2">
        <v>20</v>
      </c>
      <c r="P646" s="2">
        <v>15</v>
      </c>
      <c r="Q646" s="2" t="s">
        <v>715</v>
      </c>
      <c r="R646" s="2" t="s">
        <v>715</v>
      </c>
      <c r="S646" s="4">
        <v>44837</v>
      </c>
    </row>
    <row r="647" spans="1:19" ht="12.5" x14ac:dyDescent="0.25">
      <c r="A647" s="14" t="str">
        <f>HYPERLINK("https://gerandofalcoes.my.salesforce.com/0014P00003AN2FiQAL", "0014P00003AN2FiQAL")</f>
        <v>0014P00003AN2FiQAL</v>
      </c>
      <c r="B647" s="2" t="s">
        <v>2541</v>
      </c>
      <c r="C647" s="2" t="s">
        <v>423</v>
      </c>
      <c r="D647" s="2" t="s">
        <v>2</v>
      </c>
      <c r="E647" s="2">
        <v>40</v>
      </c>
      <c r="F647" s="2">
        <v>2</v>
      </c>
      <c r="G647" s="2">
        <v>3</v>
      </c>
      <c r="H647" s="2">
        <v>230600</v>
      </c>
      <c r="I647" s="2">
        <v>170</v>
      </c>
      <c r="J647" s="2" t="s">
        <v>1671</v>
      </c>
      <c r="K647" s="2">
        <v>55</v>
      </c>
      <c r="L647" s="2">
        <v>15</v>
      </c>
      <c r="M647" s="2">
        <v>5</v>
      </c>
      <c r="N647" s="2">
        <v>8</v>
      </c>
      <c r="O647" s="2">
        <v>15</v>
      </c>
      <c r="P647" s="2">
        <v>12</v>
      </c>
      <c r="Q647" s="2" t="s">
        <v>2542</v>
      </c>
      <c r="R647" s="2" t="s">
        <v>2542</v>
      </c>
      <c r="S647" s="4">
        <v>44837</v>
      </c>
    </row>
    <row r="648" spans="1:19" ht="12.5" x14ac:dyDescent="0.25">
      <c r="A648" s="14" t="str">
        <f>HYPERLINK("https://gerandofalcoes.my.salesforce.com/0014P00003AN2FjQAL", "0014P00003AN2FjQAL")</f>
        <v>0014P00003AN2FjQAL</v>
      </c>
      <c r="B648" s="2" t="s">
        <v>1679</v>
      </c>
      <c r="C648" s="2" t="s">
        <v>423</v>
      </c>
      <c r="D648" s="2" t="s">
        <v>27</v>
      </c>
      <c r="E648" s="2">
        <v>89</v>
      </c>
      <c r="F648" s="2">
        <v>5</v>
      </c>
      <c r="G648" s="2">
        <v>4</v>
      </c>
      <c r="H648" s="2">
        <v>49628.39</v>
      </c>
      <c r="I648" s="2">
        <v>79</v>
      </c>
      <c r="J648" s="2" t="s">
        <v>1671</v>
      </c>
      <c r="K648" s="2">
        <v>55</v>
      </c>
      <c r="L648" s="2">
        <v>25</v>
      </c>
      <c r="M648" s="2">
        <v>5</v>
      </c>
      <c r="N648" s="2">
        <v>10</v>
      </c>
      <c r="O648" s="2">
        <v>10</v>
      </c>
      <c r="P648" s="2">
        <v>5</v>
      </c>
      <c r="Q648" s="2" t="s">
        <v>63</v>
      </c>
      <c r="R648" s="2" t="s">
        <v>1680</v>
      </c>
      <c r="S648" s="4">
        <v>44837</v>
      </c>
    </row>
    <row r="649" spans="1:19" ht="12.5" x14ac:dyDescent="0.25">
      <c r="A649" s="14" t="str">
        <f>HYPERLINK("https://gerandofalcoes.my.salesforce.com/0014P00003AN2FkQAL", "0014P00003AN2FkQAL")</f>
        <v>0014P00003AN2FkQAL</v>
      </c>
      <c r="B649" s="2" t="s">
        <v>1753</v>
      </c>
      <c r="C649" s="2" t="s">
        <v>423</v>
      </c>
      <c r="D649" s="2" t="s">
        <v>27</v>
      </c>
      <c r="E649" s="2">
        <v>58.76</v>
      </c>
      <c r="F649" s="2">
        <v>0</v>
      </c>
      <c r="G649" s="2">
        <v>4</v>
      </c>
      <c r="H649" s="2">
        <v>45000</v>
      </c>
      <c r="I649" s="2">
        <v>700</v>
      </c>
      <c r="J649" s="2" t="s">
        <v>1671</v>
      </c>
      <c r="K649" s="2">
        <v>60</v>
      </c>
      <c r="L649" s="2">
        <v>20</v>
      </c>
      <c r="M649" s="2">
        <v>0</v>
      </c>
      <c r="N649" s="2">
        <v>10</v>
      </c>
      <c r="O649" s="2">
        <v>10</v>
      </c>
      <c r="P649" s="2">
        <v>20</v>
      </c>
      <c r="Q649" s="2" t="s">
        <v>1754</v>
      </c>
      <c r="R649" s="2" t="s">
        <v>738</v>
      </c>
      <c r="S649" s="4">
        <v>44837</v>
      </c>
    </row>
    <row r="650" spans="1:19" ht="12.5" x14ac:dyDescent="0.25">
      <c r="A650" s="14" t="str">
        <f>HYPERLINK("https://gerandofalcoes.my.salesforce.com/0014P00003AN2FlQAL", "0014P00003AN2FlQAL")</f>
        <v>0014P00003AN2FlQAL</v>
      </c>
      <c r="B650" s="2" t="s">
        <v>1689</v>
      </c>
      <c r="C650" s="2" t="s">
        <v>423</v>
      </c>
      <c r="D650" s="2" t="s">
        <v>27</v>
      </c>
      <c r="E650" s="2">
        <v>85</v>
      </c>
      <c r="F650" s="2">
        <v>9</v>
      </c>
      <c r="G650" s="2">
        <v>5</v>
      </c>
      <c r="H650" s="2">
        <v>128126.51</v>
      </c>
      <c r="I650" s="2">
        <v>196</v>
      </c>
      <c r="J650" s="2" t="s">
        <v>1650</v>
      </c>
      <c r="K650" s="2">
        <v>72</v>
      </c>
      <c r="L650" s="2">
        <v>25</v>
      </c>
      <c r="M650" s="2">
        <v>10</v>
      </c>
      <c r="N650" s="2">
        <v>10</v>
      </c>
      <c r="O650" s="2">
        <v>15</v>
      </c>
      <c r="P650" s="2">
        <v>12</v>
      </c>
      <c r="Q650" s="2" t="s">
        <v>126</v>
      </c>
      <c r="R650" s="2" t="s">
        <v>1690</v>
      </c>
      <c r="S650" s="4">
        <v>44837</v>
      </c>
    </row>
    <row r="651" spans="1:19" ht="12.5" x14ac:dyDescent="0.25">
      <c r="A651" s="14" t="str">
        <f>HYPERLINK("https://gerandofalcoes.my.salesforce.com/0014P00003AN2FmQAL", "0014P00003AN2FmQAL")</f>
        <v>0014P00003AN2FmQAL</v>
      </c>
      <c r="B651" s="2" t="s">
        <v>1683</v>
      </c>
      <c r="C651" s="2" t="s">
        <v>1684</v>
      </c>
      <c r="D651" s="2" t="s">
        <v>27</v>
      </c>
      <c r="E651" s="2">
        <v>86</v>
      </c>
      <c r="F651" s="2">
        <v>30</v>
      </c>
      <c r="G651" s="2">
        <v>5</v>
      </c>
      <c r="H651" s="2">
        <v>969799.69</v>
      </c>
      <c r="I651" s="2">
        <v>111</v>
      </c>
      <c r="J651" s="2" t="s">
        <v>1654</v>
      </c>
      <c r="K651" s="2">
        <v>82</v>
      </c>
      <c r="L651" s="2">
        <v>25</v>
      </c>
      <c r="M651" s="2">
        <v>12</v>
      </c>
      <c r="N651" s="2">
        <v>10</v>
      </c>
      <c r="O651" s="2">
        <v>25</v>
      </c>
      <c r="P651" s="2">
        <v>10</v>
      </c>
      <c r="Q651" s="2" t="s">
        <v>127</v>
      </c>
      <c r="R651" s="2" t="s">
        <v>127</v>
      </c>
      <c r="S651" s="4">
        <v>44837</v>
      </c>
    </row>
    <row r="652" spans="1:19" ht="12.5" x14ac:dyDescent="0.25">
      <c r="A652" s="14" t="str">
        <f>HYPERLINK("https://gerandofalcoes.my.salesforce.com/0014P00003AN2FnQAL", "0014P00003AN2FnQAL")</f>
        <v>0014P00003AN2FnQAL</v>
      </c>
      <c r="B652" s="2" t="s">
        <v>128</v>
      </c>
      <c r="C652" s="2" t="s">
        <v>423</v>
      </c>
      <c r="D652" s="2" t="s">
        <v>27</v>
      </c>
      <c r="E652" s="2">
        <v>90</v>
      </c>
      <c r="F652" s="2">
        <v>22</v>
      </c>
      <c r="G652" s="2">
        <v>3</v>
      </c>
      <c r="H652" s="2">
        <v>850231.83</v>
      </c>
      <c r="I652" s="2">
        <v>323</v>
      </c>
      <c r="J652" s="2" t="s">
        <v>1654</v>
      </c>
      <c r="K652" s="2">
        <v>90</v>
      </c>
      <c r="L652" s="2">
        <v>30</v>
      </c>
      <c r="M652" s="2">
        <v>12</v>
      </c>
      <c r="N652" s="2">
        <v>8</v>
      </c>
      <c r="O652" s="2">
        <v>25</v>
      </c>
      <c r="P652" s="2">
        <v>15</v>
      </c>
      <c r="Q652" s="2" t="s">
        <v>129</v>
      </c>
      <c r="R652" s="2" t="s">
        <v>129</v>
      </c>
      <c r="S652" s="4">
        <v>44837</v>
      </c>
    </row>
    <row r="653" spans="1:19" ht="12.5" x14ac:dyDescent="0.25">
      <c r="A653" s="14" t="str">
        <f>HYPERLINK("https://gerandofalcoes.my.salesforce.com/0014P00003SGWPvQAP", "0014P00003SGWPvQAP")</f>
        <v>0014P00003SGWPvQAP</v>
      </c>
      <c r="B653" s="2" t="s">
        <v>2499</v>
      </c>
      <c r="C653" s="2" t="s">
        <v>423</v>
      </c>
      <c r="D653" s="2" t="s">
        <v>2</v>
      </c>
      <c r="E653" s="2">
        <v>21.55</v>
      </c>
      <c r="F653" s="2">
        <v>0</v>
      </c>
      <c r="G653" s="2">
        <v>1</v>
      </c>
      <c r="H653" s="2">
        <v>33000</v>
      </c>
      <c r="I653" s="2">
        <v>100</v>
      </c>
      <c r="J653" s="2" t="s">
        <v>1779</v>
      </c>
      <c r="K653" s="2">
        <v>34</v>
      </c>
      <c r="L653" s="2">
        <v>10</v>
      </c>
      <c r="M653" s="2">
        <v>0</v>
      </c>
      <c r="N653" s="2">
        <v>4</v>
      </c>
      <c r="O653" s="2">
        <v>10</v>
      </c>
      <c r="P653" s="2">
        <v>10</v>
      </c>
      <c r="Q653" s="2" t="s">
        <v>189</v>
      </c>
      <c r="R653" s="2" t="s">
        <v>189</v>
      </c>
      <c r="S653" s="4">
        <v>44837</v>
      </c>
    </row>
    <row r="654" spans="1:19" ht="12.5" x14ac:dyDescent="0.25">
      <c r="A654" s="14" t="str">
        <f>HYPERLINK("https://gerandofalcoes.my.salesforce.com/0014P00003SGWPwQAP", "0014P00003SGWPwQAP")</f>
        <v>0014P00003SGWPwQAP</v>
      </c>
      <c r="B654" s="2" t="s">
        <v>2999</v>
      </c>
      <c r="C654" s="2" t="s">
        <v>1684</v>
      </c>
      <c r="D654" s="2" t="s">
        <v>2</v>
      </c>
      <c r="E654" s="2"/>
      <c r="F654" s="2">
        <v>0</v>
      </c>
      <c r="G654" s="2">
        <v>1</v>
      </c>
      <c r="H654" s="2">
        <v>0</v>
      </c>
      <c r="I654" s="2">
        <v>0</v>
      </c>
      <c r="J654" s="2" t="s">
        <v>1779</v>
      </c>
      <c r="K654" s="2">
        <v>4</v>
      </c>
      <c r="L654" s="2">
        <v>0</v>
      </c>
      <c r="M654" s="2">
        <v>0</v>
      </c>
      <c r="N654" s="2">
        <v>4</v>
      </c>
      <c r="O654" s="2">
        <v>0</v>
      </c>
      <c r="P654" s="2">
        <v>0</v>
      </c>
      <c r="Q654" s="2" t="s">
        <v>193</v>
      </c>
      <c r="R654" s="2" t="s">
        <v>1095</v>
      </c>
      <c r="S654" s="4">
        <v>44837</v>
      </c>
    </row>
    <row r="655" spans="1:19" ht="12.5" x14ac:dyDescent="0.25">
      <c r="A655" s="14" t="str">
        <f>HYPERLINK("https://gerandofalcoes.my.salesforce.com/0014P00003SGWPxQAP", "0014P00003SGWPxQAP")</f>
        <v>0014P00003SGWPxQAP</v>
      </c>
      <c r="B655" s="2" t="s">
        <v>1739</v>
      </c>
      <c r="C655" s="2" t="s">
        <v>423</v>
      </c>
      <c r="D655" s="2" t="s">
        <v>2</v>
      </c>
      <c r="E655" s="2">
        <v>41</v>
      </c>
      <c r="F655" s="2">
        <v>4</v>
      </c>
      <c r="G655" s="2">
        <v>3</v>
      </c>
      <c r="H655" s="2">
        <v>135000</v>
      </c>
      <c r="I655" s="2">
        <v>442</v>
      </c>
      <c r="J655" s="2" t="s">
        <v>1671</v>
      </c>
      <c r="K655" s="2">
        <v>58</v>
      </c>
      <c r="L655" s="2">
        <v>15</v>
      </c>
      <c r="M655" s="2">
        <v>5</v>
      </c>
      <c r="N655" s="2">
        <v>8</v>
      </c>
      <c r="O655" s="2">
        <v>15</v>
      </c>
      <c r="P655" s="2">
        <v>15</v>
      </c>
      <c r="Q655" s="2" t="s">
        <v>1106</v>
      </c>
      <c r="R655" s="2" t="s">
        <v>1106</v>
      </c>
      <c r="S655" s="4">
        <v>44837</v>
      </c>
    </row>
    <row r="656" spans="1:19" ht="12.5" x14ac:dyDescent="0.25">
      <c r="A656" s="14" t="str">
        <f>HYPERLINK("https://gerandofalcoes.my.salesforce.com/0014P00003SGWPzQAP", "0014P00003SGWPzQAP")</f>
        <v>0014P00003SGWPzQAP</v>
      </c>
      <c r="B656" s="2" t="s">
        <v>1708</v>
      </c>
      <c r="C656" s="2" t="s">
        <v>423</v>
      </c>
      <c r="D656" s="2" t="s">
        <v>2</v>
      </c>
      <c r="E656" s="2">
        <v>94</v>
      </c>
      <c r="F656" s="2">
        <v>10</v>
      </c>
      <c r="G656" s="2">
        <v>3</v>
      </c>
      <c r="H656" s="2">
        <v>330138</v>
      </c>
      <c r="I656" s="2">
        <v>100</v>
      </c>
      <c r="J656" s="2" t="s">
        <v>1650</v>
      </c>
      <c r="K656" s="2">
        <v>78</v>
      </c>
      <c r="L656" s="2">
        <v>30</v>
      </c>
      <c r="M656" s="2">
        <v>10</v>
      </c>
      <c r="N656" s="2">
        <v>8</v>
      </c>
      <c r="O656" s="2">
        <v>20</v>
      </c>
      <c r="P656" s="2">
        <v>10</v>
      </c>
      <c r="Q656" s="2" t="s">
        <v>1709</v>
      </c>
      <c r="R656" s="2" t="s">
        <v>199</v>
      </c>
      <c r="S656" s="4">
        <v>44837</v>
      </c>
    </row>
    <row r="657" spans="1:19" ht="12.5" x14ac:dyDescent="0.25">
      <c r="A657" s="14" t="str">
        <f>HYPERLINK("https://gerandofalcoes.my.salesforce.com/0014P00003SGWQ0QAP", "0014P00003SGWQ0QAP")</f>
        <v>0014P00003SGWQ0QAP</v>
      </c>
      <c r="B657" s="2" t="s">
        <v>201</v>
      </c>
      <c r="C657" s="2" t="s">
        <v>423</v>
      </c>
      <c r="D657" s="2" t="s">
        <v>2</v>
      </c>
      <c r="E657" s="2">
        <v>39</v>
      </c>
      <c r="F657" s="2">
        <v>6</v>
      </c>
      <c r="G657" s="2">
        <v>3</v>
      </c>
      <c r="H657" s="2">
        <v>24338140</v>
      </c>
      <c r="I657" s="2">
        <v>90</v>
      </c>
      <c r="J657" s="2" t="s">
        <v>1650</v>
      </c>
      <c r="K657" s="2">
        <v>68</v>
      </c>
      <c r="L657" s="2">
        <v>15</v>
      </c>
      <c r="M657" s="2">
        <v>10</v>
      </c>
      <c r="N657" s="2">
        <v>8</v>
      </c>
      <c r="O657" s="2">
        <v>25</v>
      </c>
      <c r="P657" s="2">
        <v>10</v>
      </c>
      <c r="Q657" s="2" t="s">
        <v>202</v>
      </c>
      <c r="R657" s="2" t="s">
        <v>1077</v>
      </c>
      <c r="S657" s="4">
        <v>44837</v>
      </c>
    </row>
    <row r="658" spans="1:19" ht="12.5" x14ac:dyDescent="0.25">
      <c r="A658" s="14" t="str">
        <f>HYPERLINK("https://gerandofalcoes.my.salesforce.com/0014P00003SGWQ1QAP", "0014P00003SGWQ1QAP")</f>
        <v>0014P00003SGWQ1QAP</v>
      </c>
      <c r="B658" s="2" t="s">
        <v>205</v>
      </c>
      <c r="C658" s="2" t="s">
        <v>423</v>
      </c>
      <c r="D658" s="2" t="s">
        <v>2</v>
      </c>
      <c r="E658" s="2">
        <v>30</v>
      </c>
      <c r="F658" s="2">
        <v>6</v>
      </c>
      <c r="G658" s="2">
        <v>2</v>
      </c>
      <c r="H658" s="2">
        <v>926170</v>
      </c>
      <c r="I658" s="2">
        <v>600</v>
      </c>
      <c r="J658" s="2" t="s">
        <v>1650</v>
      </c>
      <c r="K658" s="2">
        <v>76</v>
      </c>
      <c r="L658" s="2">
        <v>15</v>
      </c>
      <c r="M658" s="2">
        <v>10</v>
      </c>
      <c r="N658" s="2">
        <v>6</v>
      </c>
      <c r="O658" s="2">
        <v>25</v>
      </c>
      <c r="P658" s="2">
        <v>20</v>
      </c>
      <c r="Q658" s="2" t="s">
        <v>206</v>
      </c>
      <c r="R658" s="2" t="s">
        <v>2090</v>
      </c>
      <c r="S658" s="4">
        <v>44837</v>
      </c>
    </row>
    <row r="659" spans="1:19" ht="12.5" x14ac:dyDescent="0.25">
      <c r="A659" s="14" t="str">
        <f>HYPERLINK("https://gerandofalcoes.my.salesforce.com/0014P00003SGWQ2QAP", "0014P00003SGWQ2QAP")</f>
        <v>0014P00003SGWQ2QAP</v>
      </c>
      <c r="B659" s="2" t="s">
        <v>194</v>
      </c>
      <c r="C659" s="2" t="s">
        <v>423</v>
      </c>
      <c r="D659" s="2" t="s">
        <v>2</v>
      </c>
      <c r="E659" s="2">
        <v>28.78</v>
      </c>
      <c r="F659" s="2">
        <v>0</v>
      </c>
      <c r="G659" s="2">
        <v>3</v>
      </c>
      <c r="H659" s="2">
        <v>0</v>
      </c>
      <c r="I659" s="2">
        <v>150</v>
      </c>
      <c r="J659" s="2" t="s">
        <v>1779</v>
      </c>
      <c r="K659" s="2">
        <v>35</v>
      </c>
      <c r="L659" s="2">
        <v>15</v>
      </c>
      <c r="M659" s="2">
        <v>0</v>
      </c>
      <c r="N659" s="2">
        <v>8</v>
      </c>
      <c r="O659" s="2">
        <v>0</v>
      </c>
      <c r="P659" s="2">
        <v>12</v>
      </c>
      <c r="Q659" s="2" t="s">
        <v>195</v>
      </c>
      <c r="R659" s="2" t="s">
        <v>1128</v>
      </c>
      <c r="S659" s="4">
        <v>44837</v>
      </c>
    </row>
    <row r="660" spans="1:19" ht="12.5" x14ac:dyDescent="0.25">
      <c r="A660" s="14" t="str">
        <f>HYPERLINK("https://gerandofalcoes.my.salesforce.com/0014P00003YSp7UQAT", "0014P00003YSp7UQAT")</f>
        <v>0014P00003YSp7UQAT</v>
      </c>
      <c r="B660" s="2" t="s">
        <v>2098</v>
      </c>
      <c r="C660" s="2" t="s">
        <v>1800</v>
      </c>
      <c r="D660" s="2" t="s">
        <v>2</v>
      </c>
      <c r="E660" s="2">
        <v>35</v>
      </c>
      <c r="F660" s="2">
        <v>3</v>
      </c>
      <c r="G660" s="2">
        <v>0</v>
      </c>
      <c r="H660" s="2">
        <v>11000</v>
      </c>
      <c r="I660" s="2">
        <v>200</v>
      </c>
      <c r="J660" s="2" t="s">
        <v>1779</v>
      </c>
      <c r="K660" s="2">
        <v>37</v>
      </c>
      <c r="L660" s="2">
        <v>15</v>
      </c>
      <c r="M660" s="2">
        <v>5</v>
      </c>
      <c r="N660" s="2">
        <v>0</v>
      </c>
      <c r="O660" s="2">
        <v>5</v>
      </c>
      <c r="P660" s="2">
        <v>12</v>
      </c>
      <c r="Q660" s="2" t="s">
        <v>2099</v>
      </c>
      <c r="R660" s="2" t="s">
        <v>2099</v>
      </c>
      <c r="S660" s="4">
        <v>44837</v>
      </c>
    </row>
    <row r="661" spans="1:19" ht="12.5" x14ac:dyDescent="0.25">
      <c r="A661" s="14" t="str">
        <f>HYPERLINK("https://gerandofalcoes.my.salesforce.com/0014P00003YSp7RQAT", "0014P00003YSp7RQAT")</f>
        <v>0014P00003YSp7RQAT</v>
      </c>
      <c r="B661" s="2" t="s">
        <v>2272</v>
      </c>
      <c r="C661" s="2" t="s">
        <v>423</v>
      </c>
      <c r="D661" s="2" t="s">
        <v>2</v>
      </c>
      <c r="E661" s="2">
        <v>30</v>
      </c>
      <c r="F661" s="2">
        <v>1</v>
      </c>
      <c r="G661" s="2">
        <v>2</v>
      </c>
      <c r="H661" s="2">
        <v>25000</v>
      </c>
      <c r="I661" s="2">
        <v>60</v>
      </c>
      <c r="J661" s="2" t="s">
        <v>1671</v>
      </c>
      <c r="K661" s="2">
        <v>41</v>
      </c>
      <c r="L661" s="2">
        <v>15</v>
      </c>
      <c r="M661" s="2">
        <v>5</v>
      </c>
      <c r="N661" s="2">
        <v>6</v>
      </c>
      <c r="O661" s="2">
        <v>10</v>
      </c>
      <c r="P661" s="2">
        <v>5</v>
      </c>
      <c r="Q661" s="2" t="s">
        <v>2273</v>
      </c>
      <c r="R661" s="2" t="s">
        <v>2274</v>
      </c>
      <c r="S661" s="4">
        <v>44837</v>
      </c>
    </row>
    <row r="662" spans="1:19" ht="12.5" x14ac:dyDescent="0.25">
      <c r="A662" s="14" t="str">
        <f>HYPERLINK("https://gerandofalcoes.my.salesforce.com/0014P00003YSp7SQAT", "0014P00003YSp7SQAT")</f>
        <v>0014P00003YSp7SQAT</v>
      </c>
      <c r="B662" s="2" t="s">
        <v>2619</v>
      </c>
      <c r="C662" s="2" t="s">
        <v>423</v>
      </c>
      <c r="D662" s="2" t="s">
        <v>2</v>
      </c>
      <c r="E662" s="2">
        <v>25</v>
      </c>
      <c r="F662" s="2">
        <v>0</v>
      </c>
      <c r="G662" s="2">
        <v>4</v>
      </c>
      <c r="H662" s="2">
        <v>39200</v>
      </c>
      <c r="I662" s="2">
        <v>1</v>
      </c>
      <c r="J662" s="2" t="s">
        <v>1671</v>
      </c>
      <c r="K662" s="2">
        <v>40</v>
      </c>
      <c r="L662" s="2">
        <v>15</v>
      </c>
      <c r="M662" s="2">
        <v>0</v>
      </c>
      <c r="N662" s="2">
        <v>10</v>
      </c>
      <c r="O662" s="2">
        <v>10</v>
      </c>
      <c r="P662" s="2">
        <v>5</v>
      </c>
      <c r="Q662" s="2" t="s">
        <v>2620</v>
      </c>
      <c r="R662" s="2" t="s">
        <v>2621</v>
      </c>
      <c r="S662" s="4">
        <v>44837</v>
      </c>
    </row>
    <row r="663" spans="1:19" ht="12.5" x14ac:dyDescent="0.25">
      <c r="A663" s="14" t="str">
        <f>HYPERLINK("https://gerandofalcoes.my.salesforce.com/0014P00003YSp7TQAT", "0014P00003YSp7TQAT")</f>
        <v>0014P00003YSp7TQAT</v>
      </c>
      <c r="B663" s="2" t="s">
        <v>2614</v>
      </c>
      <c r="C663" s="2" t="s">
        <v>1800</v>
      </c>
      <c r="D663" s="2" t="s">
        <v>2</v>
      </c>
      <c r="E663" s="2">
        <v>19</v>
      </c>
      <c r="F663" s="2">
        <v>0</v>
      </c>
      <c r="G663" s="2">
        <v>0</v>
      </c>
      <c r="H663" s="2">
        <v>0</v>
      </c>
      <c r="I663" s="2">
        <v>0</v>
      </c>
      <c r="J663" s="2" t="s">
        <v>1779</v>
      </c>
      <c r="K663" s="2">
        <v>10</v>
      </c>
      <c r="L663" s="2">
        <v>10</v>
      </c>
      <c r="M663" s="2">
        <v>0</v>
      </c>
      <c r="N663" s="2">
        <v>0</v>
      </c>
      <c r="O663" s="2">
        <v>0</v>
      </c>
      <c r="P663" s="2">
        <v>0</v>
      </c>
      <c r="Q663" s="2" t="s">
        <v>2615</v>
      </c>
      <c r="R663" s="2" t="s">
        <v>2615</v>
      </c>
      <c r="S663" s="4">
        <v>44837</v>
      </c>
    </row>
    <row r="664" spans="1:19" ht="12.5" x14ac:dyDescent="0.25">
      <c r="A664" s="14" t="str">
        <f>HYPERLINK("https://gerandofalcoes.my.salesforce.com/0014P00003YSp7VQAT", "0014P00003YSp7VQAT")</f>
        <v>0014P00003YSp7VQAT</v>
      </c>
      <c r="B664" s="2" t="s">
        <v>2546</v>
      </c>
      <c r="C664" s="2" t="s">
        <v>423</v>
      </c>
      <c r="D664" s="2" t="s">
        <v>2</v>
      </c>
      <c r="E664" s="2">
        <v>20.14</v>
      </c>
      <c r="F664" s="2">
        <v>0</v>
      </c>
      <c r="G664" s="2">
        <v>2</v>
      </c>
      <c r="H664" s="2">
        <v>12700</v>
      </c>
      <c r="I664" s="2">
        <v>50</v>
      </c>
      <c r="J664" s="2" t="s">
        <v>1779</v>
      </c>
      <c r="K664" s="2">
        <v>26</v>
      </c>
      <c r="L664" s="2">
        <v>10</v>
      </c>
      <c r="M664" s="2">
        <v>0</v>
      </c>
      <c r="N664" s="2">
        <v>6</v>
      </c>
      <c r="O664" s="2">
        <v>5</v>
      </c>
      <c r="P664" s="2">
        <v>5</v>
      </c>
      <c r="Q664" s="2" t="s">
        <v>2547</v>
      </c>
      <c r="R664" s="2" t="s">
        <v>2548</v>
      </c>
      <c r="S664" s="4">
        <v>44837</v>
      </c>
    </row>
    <row r="665" spans="1:19" ht="12.5" x14ac:dyDescent="0.25">
      <c r="A665" s="14" t="str">
        <f>HYPERLINK("https://gerandofalcoes.my.salesforce.com/0014P00003YSp7XQAT", "0014P00003YSp7XQAT")</f>
        <v>0014P00003YSp7XQAT</v>
      </c>
      <c r="B665" s="2" t="s">
        <v>2511</v>
      </c>
      <c r="C665" s="2" t="s">
        <v>423</v>
      </c>
      <c r="D665" s="2" t="s">
        <v>2</v>
      </c>
      <c r="E665" s="2">
        <v>21</v>
      </c>
      <c r="F665" s="2">
        <v>0</v>
      </c>
      <c r="G665" s="2">
        <v>3</v>
      </c>
      <c r="H665" s="2">
        <v>8200</v>
      </c>
      <c r="I665" s="2">
        <v>109</v>
      </c>
      <c r="J665" s="2" t="s">
        <v>1779</v>
      </c>
      <c r="K665" s="2">
        <v>33</v>
      </c>
      <c r="L665" s="2">
        <v>10</v>
      </c>
      <c r="M665" s="2">
        <v>0</v>
      </c>
      <c r="N665" s="2">
        <v>8</v>
      </c>
      <c r="O665" s="2">
        <v>5</v>
      </c>
      <c r="P665" s="2">
        <v>10</v>
      </c>
      <c r="Q665" s="2" t="s">
        <v>2512</v>
      </c>
      <c r="R665" s="2" t="s">
        <v>2513</v>
      </c>
      <c r="S665" s="4">
        <v>44837</v>
      </c>
    </row>
    <row r="666" spans="1:19" ht="12.5" x14ac:dyDescent="0.25">
      <c r="A666" s="14" t="str">
        <f>HYPERLINK("https://gerandofalcoes.my.salesforce.com/0014P00003YSp7YQAT", "0014P00003YSp7YQAT")</f>
        <v>0014P00003YSp7YQAT</v>
      </c>
      <c r="B666" s="2" t="s">
        <v>2001</v>
      </c>
      <c r="C666" s="2" t="s">
        <v>1684</v>
      </c>
      <c r="D666" s="2" t="s">
        <v>2</v>
      </c>
      <c r="E666" s="2">
        <v>39</v>
      </c>
      <c r="F666" s="2">
        <v>1</v>
      </c>
      <c r="G666" s="2">
        <v>0</v>
      </c>
      <c r="H666" s="2">
        <v>0</v>
      </c>
      <c r="I666" s="2">
        <v>0</v>
      </c>
      <c r="J666" s="2" t="s">
        <v>1779</v>
      </c>
      <c r="K666" s="2">
        <v>20</v>
      </c>
      <c r="L666" s="2">
        <v>15</v>
      </c>
      <c r="M666" s="2">
        <v>5</v>
      </c>
      <c r="N666" s="2">
        <v>0</v>
      </c>
      <c r="O666" s="2">
        <v>0</v>
      </c>
      <c r="P666" s="2">
        <v>0</v>
      </c>
      <c r="Q666" s="2" t="s">
        <v>2002</v>
      </c>
      <c r="R666" s="2" t="s">
        <v>2003</v>
      </c>
      <c r="S666" s="4">
        <v>44837</v>
      </c>
    </row>
    <row r="667" spans="1:19" ht="12.5" x14ac:dyDescent="0.25">
      <c r="A667" s="14" t="str">
        <f>HYPERLINK("https://gerandofalcoes.my.salesforce.com/0014X00002VKCp6QAH", "0014X00002VKCp6QAH")</f>
        <v>0014X00002VKCp6QAH</v>
      </c>
      <c r="B667" s="2" t="s">
        <v>2256</v>
      </c>
      <c r="C667" s="2" t="s">
        <v>423</v>
      </c>
      <c r="D667" s="2" t="s">
        <v>2</v>
      </c>
      <c r="E667" s="2">
        <v>30.75</v>
      </c>
      <c r="F667" s="2">
        <v>0</v>
      </c>
      <c r="G667" s="2">
        <v>1</v>
      </c>
      <c r="H667" s="2">
        <v>155845</v>
      </c>
      <c r="I667" s="2">
        <v>50</v>
      </c>
      <c r="J667" s="2" t="s">
        <v>1779</v>
      </c>
      <c r="K667" s="2">
        <v>39</v>
      </c>
      <c r="L667" s="2">
        <v>15</v>
      </c>
      <c r="M667" s="2">
        <v>0</v>
      </c>
      <c r="N667" s="2">
        <v>4</v>
      </c>
      <c r="O667" s="2">
        <v>15</v>
      </c>
      <c r="P667" s="2">
        <v>5</v>
      </c>
      <c r="Q667" s="2" t="s">
        <v>2257</v>
      </c>
      <c r="R667" s="2" t="s">
        <v>2258</v>
      </c>
      <c r="S667" s="4">
        <v>44837</v>
      </c>
    </row>
    <row r="668" spans="1:19" ht="12.5" x14ac:dyDescent="0.25">
      <c r="A668" s="14" t="str">
        <f>HYPERLINK("https://gerandofalcoes.my.salesforce.com/0014X00002VKCq2QAH", "0014X00002VKCq2QAH")</f>
        <v>0014X00002VKCq2QAH</v>
      </c>
      <c r="B668" s="2" t="s">
        <v>2390</v>
      </c>
      <c r="C668" s="2" t="s">
        <v>423</v>
      </c>
      <c r="D668" s="2" t="s">
        <v>2</v>
      </c>
      <c r="E668" s="2">
        <v>25.27</v>
      </c>
      <c r="F668" s="2">
        <v>0</v>
      </c>
      <c r="G668" s="2">
        <v>0</v>
      </c>
      <c r="H668" s="2">
        <v>0</v>
      </c>
      <c r="I668" s="2">
        <v>312</v>
      </c>
      <c r="J668" s="2" t="s">
        <v>1779</v>
      </c>
      <c r="K668" s="2">
        <v>30</v>
      </c>
      <c r="L668" s="2">
        <v>15</v>
      </c>
      <c r="M668" s="2">
        <v>0</v>
      </c>
      <c r="N668" s="2">
        <v>0</v>
      </c>
      <c r="O668" s="2">
        <v>0</v>
      </c>
      <c r="P668" s="2">
        <v>15</v>
      </c>
      <c r="Q668" s="2" t="s">
        <v>2391</v>
      </c>
      <c r="R668" s="2" t="s">
        <v>2392</v>
      </c>
      <c r="S668" s="4">
        <v>44837</v>
      </c>
    </row>
    <row r="669" spans="1:19" ht="12.5" x14ac:dyDescent="0.25">
      <c r="A669" s="14" t="str">
        <f>HYPERLINK("https://gerandofalcoes.my.salesforce.com/0014X00002VKCsGQAX", "0014X00002VKCsGQAX")</f>
        <v>0014X00002VKCsGQAX</v>
      </c>
      <c r="B669" s="2" t="s">
        <v>2657</v>
      </c>
      <c r="C669" s="2" t="s">
        <v>423</v>
      </c>
      <c r="D669" s="2" t="s">
        <v>2</v>
      </c>
      <c r="E669" s="2">
        <v>17</v>
      </c>
      <c r="F669" s="2">
        <v>0</v>
      </c>
      <c r="G669" s="2">
        <v>2</v>
      </c>
      <c r="H669" s="2">
        <v>50</v>
      </c>
      <c r="I669" s="2">
        <v>100</v>
      </c>
      <c r="J669" s="2" t="s">
        <v>1779</v>
      </c>
      <c r="K669" s="2">
        <v>31</v>
      </c>
      <c r="L669" s="2">
        <v>10</v>
      </c>
      <c r="M669" s="2">
        <v>0</v>
      </c>
      <c r="N669" s="2">
        <v>6</v>
      </c>
      <c r="O669" s="2">
        <v>5</v>
      </c>
      <c r="P669" s="2">
        <v>10</v>
      </c>
      <c r="Q669" s="2" t="s">
        <v>2658</v>
      </c>
      <c r="R669" s="2" t="s">
        <v>2659</v>
      </c>
      <c r="S669" s="4">
        <v>44837</v>
      </c>
    </row>
    <row r="670" spans="1:19" ht="12.5" x14ac:dyDescent="0.25">
      <c r="A670" s="14" t="str">
        <f>HYPERLINK("https://gerandofalcoes.my.salesforce.com/0014X00002VKCuhQAH", "0014X00002VKCuhQAH")</f>
        <v>0014X00002VKCuhQAH</v>
      </c>
      <c r="B670" s="2" t="s">
        <v>2423</v>
      </c>
      <c r="C670" s="2" t="s">
        <v>1800</v>
      </c>
      <c r="D670" s="2" t="s">
        <v>2</v>
      </c>
      <c r="E670" s="2">
        <v>25</v>
      </c>
      <c r="F670" s="2">
        <v>0</v>
      </c>
      <c r="G670" s="2">
        <v>3</v>
      </c>
      <c r="H670" s="2">
        <v>12000</v>
      </c>
      <c r="I670" s="2">
        <v>0</v>
      </c>
      <c r="J670" s="2" t="s">
        <v>1779</v>
      </c>
      <c r="K670" s="2">
        <v>28</v>
      </c>
      <c r="L670" s="2">
        <v>15</v>
      </c>
      <c r="M670" s="2">
        <v>0</v>
      </c>
      <c r="N670" s="2">
        <v>8</v>
      </c>
      <c r="O670" s="2">
        <v>5</v>
      </c>
      <c r="P670" s="2">
        <v>0</v>
      </c>
      <c r="Q670" s="2" t="s">
        <v>2424</v>
      </c>
      <c r="R670" s="2" t="s">
        <v>2424</v>
      </c>
      <c r="S670" s="4">
        <v>44837</v>
      </c>
    </row>
    <row r="671" spans="1:19" ht="12.5" x14ac:dyDescent="0.25">
      <c r="A671" s="14" t="str">
        <f>HYPERLINK("https://gerandofalcoes.my.salesforce.com/0014X00002VKCuLQAX", "0014X00002VKCuLQAX")</f>
        <v>0014X00002VKCuLQAX</v>
      </c>
      <c r="B671" s="2" t="s">
        <v>2950</v>
      </c>
      <c r="C671" s="2" t="s">
        <v>423</v>
      </c>
      <c r="D671" s="2" t="s">
        <v>2</v>
      </c>
      <c r="E671" s="2">
        <v>24</v>
      </c>
      <c r="F671" s="2">
        <v>0</v>
      </c>
      <c r="G671" s="2">
        <v>2</v>
      </c>
      <c r="H671" s="2">
        <v>5000</v>
      </c>
      <c r="I671" s="2">
        <v>130</v>
      </c>
      <c r="J671" s="2" t="s">
        <v>1779</v>
      </c>
      <c r="K671" s="2">
        <v>31</v>
      </c>
      <c r="L671" s="2">
        <v>10</v>
      </c>
      <c r="M671" s="2">
        <v>0</v>
      </c>
      <c r="N671" s="2">
        <v>6</v>
      </c>
      <c r="O671" s="2">
        <v>5</v>
      </c>
      <c r="P671" s="2">
        <v>10</v>
      </c>
      <c r="Q671" s="2" t="s">
        <v>2951</v>
      </c>
      <c r="R671" s="2" t="s">
        <v>2951</v>
      </c>
      <c r="S671" s="4">
        <v>44837</v>
      </c>
    </row>
    <row r="672" spans="1:19" ht="12.5" x14ac:dyDescent="0.25">
      <c r="A672" s="14" t="str">
        <f>HYPERLINK("https://gerandofalcoes.my.salesforce.com/0014X00002VKCpFQAX", "0014X00002VKCpFQAX")</f>
        <v>0014X00002VKCpFQAX</v>
      </c>
      <c r="B672" s="2" t="s">
        <v>2757</v>
      </c>
      <c r="C672" s="2" t="s">
        <v>423</v>
      </c>
      <c r="D672" s="2" t="s">
        <v>2</v>
      </c>
      <c r="E672" s="2">
        <v>14</v>
      </c>
      <c r="F672" s="2">
        <v>0</v>
      </c>
      <c r="G672" s="2">
        <v>2</v>
      </c>
      <c r="H672" s="2">
        <v>5000</v>
      </c>
      <c r="I672" s="2">
        <v>30</v>
      </c>
      <c r="J672" s="2" t="s">
        <v>1779</v>
      </c>
      <c r="K672" s="2">
        <v>26</v>
      </c>
      <c r="L672" s="2">
        <v>10</v>
      </c>
      <c r="M672" s="2">
        <v>0</v>
      </c>
      <c r="N672" s="2">
        <v>6</v>
      </c>
      <c r="O672" s="2">
        <v>5</v>
      </c>
      <c r="P672" s="2">
        <v>5</v>
      </c>
      <c r="Q672" s="2" t="s">
        <v>2758</v>
      </c>
      <c r="R672" s="2" t="s">
        <v>2758</v>
      </c>
      <c r="S672" s="4">
        <v>44837</v>
      </c>
    </row>
    <row r="673" spans="1:19" ht="12.5" x14ac:dyDescent="0.25">
      <c r="A673" s="14" t="str">
        <f>HYPERLINK("https://gerandofalcoes.my.salesforce.com/0014X00002VKCt0QAH", "0014X00002VKCt0QAH")</f>
        <v>0014X00002VKCt0QAH</v>
      </c>
      <c r="B673" s="2" t="s">
        <v>1975</v>
      </c>
      <c r="C673" s="2" t="s">
        <v>423</v>
      </c>
      <c r="D673" s="2" t="s">
        <v>2</v>
      </c>
      <c r="E673" s="2">
        <v>53</v>
      </c>
      <c r="F673" s="2">
        <v>0</v>
      </c>
      <c r="G673" s="2">
        <v>4</v>
      </c>
      <c r="H673" s="2">
        <v>124243</v>
      </c>
      <c r="I673" s="2">
        <v>50</v>
      </c>
      <c r="J673" s="2" t="s">
        <v>1671</v>
      </c>
      <c r="K673" s="2">
        <v>50</v>
      </c>
      <c r="L673" s="2">
        <v>20</v>
      </c>
      <c r="M673" s="2">
        <v>0</v>
      </c>
      <c r="N673" s="2">
        <v>10</v>
      </c>
      <c r="O673" s="2">
        <v>15</v>
      </c>
      <c r="P673" s="2">
        <v>5</v>
      </c>
      <c r="Q673" s="2" t="s">
        <v>1976</v>
      </c>
      <c r="R673" s="2" t="s">
        <v>1976</v>
      </c>
      <c r="S673" s="4">
        <v>44837</v>
      </c>
    </row>
    <row r="674" spans="1:19" ht="12.5" x14ac:dyDescent="0.25">
      <c r="A674" s="14" t="str">
        <f>HYPERLINK("https://gerandofalcoes.my.salesforce.com/0014X00002VKCv4QAH", "0014X00002VKCv4QAH")</f>
        <v>0014X00002VKCv4QAH</v>
      </c>
      <c r="B674" s="2" t="s">
        <v>1788</v>
      </c>
      <c r="C674" s="2" t="s">
        <v>1800</v>
      </c>
      <c r="D674" s="2" t="s">
        <v>2</v>
      </c>
      <c r="E674" s="2">
        <v>56</v>
      </c>
      <c r="F674" s="2">
        <v>1</v>
      </c>
      <c r="G674" s="2">
        <v>2</v>
      </c>
      <c r="H674" s="2">
        <v>63500</v>
      </c>
      <c r="I674" s="2">
        <v>74</v>
      </c>
      <c r="J674" s="2" t="s">
        <v>1671</v>
      </c>
      <c r="K674" s="2">
        <v>46</v>
      </c>
      <c r="L674" s="2">
        <v>20</v>
      </c>
      <c r="M674" s="2">
        <v>5</v>
      </c>
      <c r="N674" s="2">
        <v>6</v>
      </c>
      <c r="O674" s="2">
        <v>10</v>
      </c>
      <c r="P674" s="2">
        <v>5</v>
      </c>
      <c r="Q674" s="2" t="s">
        <v>1789</v>
      </c>
      <c r="R674" s="2" t="s">
        <v>1790</v>
      </c>
      <c r="S674" s="4">
        <v>44837</v>
      </c>
    </row>
    <row r="675" spans="1:19" ht="12.5" x14ac:dyDescent="0.25">
      <c r="A675" s="14" t="str">
        <f>HYPERLINK("https://gerandofalcoes.my.salesforce.com/0014X00002VKCpzQAH", "0014X00002VKCpzQAH")</f>
        <v>0014X00002VKCpzQAH</v>
      </c>
      <c r="B675" s="2" t="s">
        <v>2346</v>
      </c>
      <c r="C675" s="2" t="s">
        <v>423</v>
      </c>
      <c r="D675" s="2" t="s">
        <v>2</v>
      </c>
      <c r="E675" s="2">
        <v>27.04</v>
      </c>
      <c r="F675" s="2">
        <v>0</v>
      </c>
      <c r="G675" s="2">
        <v>2</v>
      </c>
      <c r="H675" s="2">
        <v>38315</v>
      </c>
      <c r="I675" s="2">
        <v>120</v>
      </c>
      <c r="J675" s="2" t="s">
        <v>1671</v>
      </c>
      <c r="K675" s="2">
        <v>41</v>
      </c>
      <c r="L675" s="2">
        <v>15</v>
      </c>
      <c r="M675" s="2">
        <v>0</v>
      </c>
      <c r="N675" s="2">
        <v>6</v>
      </c>
      <c r="O675" s="2">
        <v>10</v>
      </c>
      <c r="P675" s="2">
        <v>10</v>
      </c>
      <c r="Q675" s="2" t="s">
        <v>2347</v>
      </c>
      <c r="R675" s="2" t="s">
        <v>2348</v>
      </c>
      <c r="S675" s="4">
        <v>44837</v>
      </c>
    </row>
    <row r="676" spans="1:19" ht="12.5" x14ac:dyDescent="0.25">
      <c r="A676" s="14" t="str">
        <f>HYPERLINK("https://gerandofalcoes.my.salesforce.com/0014X00002VKCtuQAH", "0014X00002VKCtuQAH")</f>
        <v>0014X00002VKCtuQAH</v>
      </c>
      <c r="B676" s="2" t="s">
        <v>2768</v>
      </c>
      <c r="C676" s="2" t="s">
        <v>423</v>
      </c>
      <c r="D676" s="2" t="s">
        <v>2</v>
      </c>
      <c r="E676" s="2">
        <v>38</v>
      </c>
      <c r="F676" s="2">
        <v>0</v>
      </c>
      <c r="G676" s="2">
        <v>2</v>
      </c>
      <c r="H676" s="2">
        <v>254344</v>
      </c>
      <c r="I676" s="2">
        <v>0</v>
      </c>
      <c r="J676" s="2" t="s">
        <v>1779</v>
      </c>
      <c r="K676" s="2">
        <v>36</v>
      </c>
      <c r="L676" s="2">
        <v>15</v>
      </c>
      <c r="M676" s="2">
        <v>0</v>
      </c>
      <c r="N676" s="2">
        <v>6</v>
      </c>
      <c r="O676" s="2">
        <v>15</v>
      </c>
      <c r="P676" s="2">
        <v>0</v>
      </c>
      <c r="Q676" s="2" t="s">
        <v>2769</v>
      </c>
      <c r="R676" s="2" t="s">
        <v>2770</v>
      </c>
      <c r="S676" s="4">
        <v>44837</v>
      </c>
    </row>
    <row r="677" spans="1:19" ht="12.5" x14ac:dyDescent="0.25">
      <c r="A677" s="14" t="str">
        <f>HYPERLINK("https://gerandofalcoes.my.salesforce.com/0014X00002VKCr8QAH", "0014X00002VKCr8QAH")</f>
        <v>0014X00002VKCr8QAH</v>
      </c>
      <c r="B677" s="2" t="s">
        <v>2830</v>
      </c>
      <c r="C677" s="2" t="s">
        <v>423</v>
      </c>
      <c r="D677" s="2" t="s">
        <v>2</v>
      </c>
      <c r="E677" s="2">
        <v>60</v>
      </c>
      <c r="F677" s="2">
        <v>9</v>
      </c>
      <c r="G677" s="2">
        <v>3</v>
      </c>
      <c r="H677" s="2">
        <v>56000000</v>
      </c>
      <c r="I677" s="2">
        <v>0</v>
      </c>
      <c r="J677" s="2" t="s">
        <v>1671</v>
      </c>
      <c r="K677" s="2">
        <v>63</v>
      </c>
      <c r="L677" s="2">
        <v>20</v>
      </c>
      <c r="M677" s="2">
        <v>10</v>
      </c>
      <c r="N677" s="2">
        <v>8</v>
      </c>
      <c r="O677" s="2">
        <v>25</v>
      </c>
      <c r="P677" s="2">
        <v>0</v>
      </c>
      <c r="Q677" s="2" t="s">
        <v>2831</v>
      </c>
      <c r="R677" s="2" t="s">
        <v>2831</v>
      </c>
      <c r="S677" s="4">
        <v>44837</v>
      </c>
    </row>
    <row r="678" spans="1:19" ht="12.5" x14ac:dyDescent="0.25">
      <c r="A678" s="14" t="str">
        <f>HYPERLINK("https://gerandofalcoes.my.salesforce.com/0014X00002VKCr4QAH", "0014X00002VKCr4QAH")</f>
        <v>0014X00002VKCr4QAH</v>
      </c>
      <c r="B678" s="2" t="s">
        <v>2026</v>
      </c>
      <c r="C678" s="2" t="s">
        <v>423</v>
      </c>
      <c r="D678" s="2" t="s">
        <v>2</v>
      </c>
      <c r="E678" s="2">
        <v>47</v>
      </c>
      <c r="F678" s="2">
        <v>12</v>
      </c>
      <c r="G678" s="2">
        <v>5</v>
      </c>
      <c r="H678" s="2">
        <v>414092</v>
      </c>
      <c r="I678" s="2">
        <v>327</v>
      </c>
      <c r="J678" s="2" t="s">
        <v>1650</v>
      </c>
      <c r="K678" s="2">
        <v>72</v>
      </c>
      <c r="L678" s="2">
        <v>15</v>
      </c>
      <c r="M678" s="2">
        <v>12</v>
      </c>
      <c r="N678" s="2">
        <v>10</v>
      </c>
      <c r="O678" s="2">
        <v>20</v>
      </c>
      <c r="P678" s="2">
        <v>15</v>
      </c>
      <c r="Q678" s="2" t="s">
        <v>2027</v>
      </c>
      <c r="R678" s="2" t="s">
        <v>2027</v>
      </c>
      <c r="S678" s="4">
        <v>44837</v>
      </c>
    </row>
    <row r="679" spans="1:19" ht="12.5" x14ac:dyDescent="0.25">
      <c r="A679" s="14" t="str">
        <f>HYPERLINK("https://gerandofalcoes.my.salesforce.com/0014X00002VKCrlQAH", "0014X00002VKCrlQAH")</f>
        <v>0014X00002VKCrlQAH</v>
      </c>
      <c r="B679" s="2" t="s">
        <v>1850</v>
      </c>
      <c r="C679" s="2" t="s">
        <v>423</v>
      </c>
      <c r="D679" s="2" t="s">
        <v>2</v>
      </c>
      <c r="E679" s="2">
        <v>48</v>
      </c>
      <c r="F679" s="2">
        <v>0</v>
      </c>
      <c r="G679" s="2">
        <v>2</v>
      </c>
      <c r="H679" s="2">
        <v>30000</v>
      </c>
      <c r="I679" s="2">
        <v>30</v>
      </c>
      <c r="J679" s="2" t="s">
        <v>1779</v>
      </c>
      <c r="K679" s="2">
        <v>36</v>
      </c>
      <c r="L679" s="2">
        <v>15</v>
      </c>
      <c r="M679" s="2">
        <v>0</v>
      </c>
      <c r="N679" s="2">
        <v>6</v>
      </c>
      <c r="O679" s="2">
        <v>10</v>
      </c>
      <c r="P679" s="2">
        <v>5</v>
      </c>
      <c r="Q679" s="2" t="s">
        <v>1851</v>
      </c>
      <c r="R679" s="2" t="s">
        <v>1851</v>
      </c>
      <c r="S679" s="4">
        <v>44837</v>
      </c>
    </row>
    <row r="680" spans="1:19" ht="12.5" x14ac:dyDescent="0.25">
      <c r="A680" s="14" t="str">
        <f>HYPERLINK("https://gerandofalcoes.my.salesforce.com/0014X00002VKCpbQAH", "0014X00002VKCpbQAH")</f>
        <v>0014X00002VKCpbQAH</v>
      </c>
      <c r="B680" s="2" t="s">
        <v>1913</v>
      </c>
      <c r="C680" s="2" t="s">
        <v>423</v>
      </c>
      <c r="D680" s="2" t="s">
        <v>2</v>
      </c>
      <c r="E680" s="2">
        <v>43</v>
      </c>
      <c r="F680" s="2">
        <v>20</v>
      </c>
      <c r="G680" s="2">
        <v>3</v>
      </c>
      <c r="H680" s="2">
        <v>2000</v>
      </c>
      <c r="I680" s="2">
        <v>25</v>
      </c>
      <c r="J680" s="2" t="s">
        <v>1671</v>
      </c>
      <c r="K680" s="2">
        <v>45</v>
      </c>
      <c r="L680" s="2">
        <v>15</v>
      </c>
      <c r="M680" s="2">
        <v>12</v>
      </c>
      <c r="N680" s="2">
        <v>8</v>
      </c>
      <c r="O680" s="2">
        <v>5</v>
      </c>
      <c r="P680" s="2">
        <v>5</v>
      </c>
      <c r="Q680" s="2" t="s">
        <v>1914</v>
      </c>
      <c r="R680" s="2" t="s">
        <v>1914</v>
      </c>
      <c r="S680" s="4">
        <v>44837</v>
      </c>
    </row>
    <row r="681" spans="1:19" ht="12.5" x14ac:dyDescent="0.25">
      <c r="A681" s="14" t="str">
        <f>HYPERLINK("https://gerandofalcoes.my.salesforce.com/0014X00002VKCpYQAX", "0014X00002VKCpYQAX")</f>
        <v>0014X00002VKCpYQAX</v>
      </c>
      <c r="B681" s="2" t="s">
        <v>2328</v>
      </c>
      <c r="C681" s="2" t="s">
        <v>423</v>
      </c>
      <c r="D681" s="2" t="s">
        <v>2</v>
      </c>
      <c r="E681" s="2">
        <v>28</v>
      </c>
      <c r="F681" s="2">
        <v>0</v>
      </c>
      <c r="G681" s="2">
        <v>5</v>
      </c>
      <c r="H681" s="2">
        <v>4000</v>
      </c>
      <c r="I681" s="2">
        <v>30</v>
      </c>
      <c r="J681" s="2" t="s">
        <v>1779</v>
      </c>
      <c r="K681" s="2">
        <v>35</v>
      </c>
      <c r="L681" s="2">
        <v>15</v>
      </c>
      <c r="M681" s="2">
        <v>0</v>
      </c>
      <c r="N681" s="2">
        <v>10</v>
      </c>
      <c r="O681" s="2">
        <v>5</v>
      </c>
      <c r="P681" s="2">
        <v>5</v>
      </c>
      <c r="Q681" s="2" t="s">
        <v>2329</v>
      </c>
      <c r="R681" s="2" t="s">
        <v>2329</v>
      </c>
      <c r="S681" s="4">
        <v>44837</v>
      </c>
    </row>
    <row r="682" spans="1:19" ht="12.5" x14ac:dyDescent="0.25">
      <c r="A682" s="14" t="str">
        <f>HYPERLINK("https://gerandofalcoes.my.salesforce.com/0014X00002VKCuwQAH", "0014X00002VKCuwQAH")</f>
        <v>0014X00002VKCuwQAH</v>
      </c>
      <c r="B682" s="2" t="s">
        <v>2378</v>
      </c>
      <c r="C682" s="2" t="s">
        <v>1800</v>
      </c>
      <c r="D682" s="2" t="s">
        <v>2</v>
      </c>
      <c r="E682" s="2">
        <v>26</v>
      </c>
      <c r="F682" s="2">
        <v>0</v>
      </c>
      <c r="G682" s="2">
        <v>2</v>
      </c>
      <c r="H682" s="2">
        <v>50000</v>
      </c>
      <c r="I682" s="2">
        <v>0</v>
      </c>
      <c r="J682" s="2" t="s">
        <v>1779</v>
      </c>
      <c r="K682" s="2">
        <v>31</v>
      </c>
      <c r="L682" s="2">
        <v>15</v>
      </c>
      <c r="M682" s="2">
        <v>0</v>
      </c>
      <c r="N682" s="2">
        <v>6</v>
      </c>
      <c r="O682" s="2">
        <v>10</v>
      </c>
      <c r="P682" s="2">
        <v>0</v>
      </c>
      <c r="Q682" s="2" t="s">
        <v>2379</v>
      </c>
      <c r="R682" s="2" t="s">
        <v>2380</v>
      </c>
      <c r="S682" s="4">
        <v>44837</v>
      </c>
    </row>
    <row r="683" spans="1:19" ht="12.5" x14ac:dyDescent="0.25">
      <c r="A683" s="14" t="str">
        <f>HYPERLINK("https://gerandofalcoes.my.salesforce.com/0014X00002VKCugQAH", "0014X00002VKCugQAH")</f>
        <v>0014X00002VKCugQAH</v>
      </c>
      <c r="B683" s="2" t="s">
        <v>2935</v>
      </c>
      <c r="C683" s="2" t="s">
        <v>1800</v>
      </c>
      <c r="D683" s="2" t="s">
        <v>2</v>
      </c>
      <c r="E683" s="2">
        <v>6</v>
      </c>
      <c r="F683" s="2">
        <v>0</v>
      </c>
      <c r="G683" s="2">
        <v>2</v>
      </c>
      <c r="H683" s="2">
        <v>3000</v>
      </c>
      <c r="I683" s="2">
        <v>0</v>
      </c>
      <c r="J683" s="2" t="s">
        <v>1779</v>
      </c>
      <c r="K683" s="2">
        <v>21</v>
      </c>
      <c r="L683" s="2">
        <v>10</v>
      </c>
      <c r="M683" s="2">
        <v>0</v>
      </c>
      <c r="N683" s="2">
        <v>6</v>
      </c>
      <c r="O683" s="2">
        <v>5</v>
      </c>
      <c r="P683" s="2">
        <v>0</v>
      </c>
      <c r="Q683" s="2" t="s">
        <v>2936</v>
      </c>
      <c r="R683" s="2" t="s">
        <v>2937</v>
      </c>
      <c r="S683" s="4">
        <v>44837</v>
      </c>
    </row>
    <row r="684" spans="1:19" ht="12.5" x14ac:dyDescent="0.25">
      <c r="A684" s="14" t="str">
        <f>HYPERLINK("https://gerandofalcoes.my.salesforce.com/0014X00002VKCtDQAX", "0014X00002VKCtDQAX")</f>
        <v>0014X00002VKCtDQAX</v>
      </c>
      <c r="B684" s="2" t="s">
        <v>2955</v>
      </c>
      <c r="C684" s="2" t="s">
        <v>423</v>
      </c>
      <c r="D684" s="2" t="s">
        <v>2</v>
      </c>
      <c r="E684" s="2">
        <v>13</v>
      </c>
      <c r="F684" s="2">
        <v>5</v>
      </c>
      <c r="G684" s="2">
        <v>0</v>
      </c>
      <c r="H684" s="2">
        <v>0</v>
      </c>
      <c r="I684" s="2">
        <v>50</v>
      </c>
      <c r="J684" s="2" t="s">
        <v>1779</v>
      </c>
      <c r="K684" s="2">
        <v>20</v>
      </c>
      <c r="L684" s="2">
        <v>10</v>
      </c>
      <c r="M684" s="2">
        <v>5</v>
      </c>
      <c r="N684" s="2">
        <v>0</v>
      </c>
      <c r="O684" s="2">
        <v>0</v>
      </c>
      <c r="P684" s="2">
        <v>5</v>
      </c>
      <c r="Q684" s="2" t="s">
        <v>2956</v>
      </c>
      <c r="R684" s="2" t="s">
        <v>2957</v>
      </c>
      <c r="S684" s="4">
        <v>44837</v>
      </c>
    </row>
    <row r="685" spans="1:19" ht="12.5" x14ac:dyDescent="0.25">
      <c r="A685" s="14" t="str">
        <f>HYPERLINK("https://gerandofalcoes.my.salesforce.com/0014X00002VKCuVQAX", "0014X00002VKCuVQAX")</f>
        <v>0014X00002VKCuVQAX</v>
      </c>
      <c r="B685" s="2" t="s">
        <v>2675</v>
      </c>
      <c r="C685" s="2" t="s">
        <v>1800</v>
      </c>
      <c r="D685" s="2" t="s">
        <v>2</v>
      </c>
      <c r="E685" s="2">
        <v>17</v>
      </c>
      <c r="F685" s="2">
        <v>0</v>
      </c>
      <c r="G685" s="2">
        <v>2</v>
      </c>
      <c r="H685" s="2">
        <v>12000</v>
      </c>
      <c r="I685" s="2">
        <v>0</v>
      </c>
      <c r="J685" s="2" t="s">
        <v>1779</v>
      </c>
      <c r="K685" s="2">
        <v>21</v>
      </c>
      <c r="L685" s="2">
        <v>10</v>
      </c>
      <c r="M685" s="2">
        <v>0</v>
      </c>
      <c r="N685" s="2">
        <v>6</v>
      </c>
      <c r="O685" s="2">
        <v>5</v>
      </c>
      <c r="P685" s="2">
        <v>0</v>
      </c>
      <c r="Q685" s="2" t="s">
        <v>2676</v>
      </c>
      <c r="R685" s="2" t="s">
        <v>2676</v>
      </c>
      <c r="S685" s="4">
        <v>44837</v>
      </c>
    </row>
    <row r="686" spans="1:19" ht="12.5" x14ac:dyDescent="0.25">
      <c r="A686" s="14" t="str">
        <f>HYPERLINK("https://gerandofalcoes.my.salesforce.com/0014X00002VKCsoQAH", "0014X00002VKCsoQAH")</f>
        <v>0014X00002VKCsoQAH</v>
      </c>
      <c r="B686" s="2" t="s">
        <v>1885</v>
      </c>
      <c r="C686" s="2" t="s">
        <v>1800</v>
      </c>
      <c r="D686" s="2" t="s">
        <v>2</v>
      </c>
      <c r="E686" s="2">
        <v>44</v>
      </c>
      <c r="F686" s="2">
        <v>0</v>
      </c>
      <c r="G686" s="2">
        <v>5</v>
      </c>
      <c r="H686" s="2">
        <v>35000</v>
      </c>
      <c r="I686" s="2">
        <v>240</v>
      </c>
      <c r="J686" s="2" t="s">
        <v>1671</v>
      </c>
      <c r="K686" s="2">
        <v>47</v>
      </c>
      <c r="L686" s="2">
        <v>15</v>
      </c>
      <c r="M686" s="2">
        <v>0</v>
      </c>
      <c r="N686" s="2">
        <v>10</v>
      </c>
      <c r="O686" s="2">
        <v>10</v>
      </c>
      <c r="P686" s="2">
        <v>12</v>
      </c>
      <c r="Q686" s="2" t="s">
        <v>1886</v>
      </c>
      <c r="R686" s="2" t="s">
        <v>1886</v>
      </c>
      <c r="S686" s="4">
        <v>44837</v>
      </c>
    </row>
    <row r="687" spans="1:19" ht="12.5" x14ac:dyDescent="0.25">
      <c r="A687" s="14" t="str">
        <f>HYPERLINK("https://gerandofalcoes.my.salesforce.com/0014X00002VKCqzQAH", "0014X00002VKCqzQAH")</f>
        <v>0014X00002VKCqzQAH</v>
      </c>
      <c r="B687" s="2" t="s">
        <v>2490</v>
      </c>
      <c r="C687" s="2" t="s">
        <v>1800</v>
      </c>
      <c r="D687" s="2" t="s">
        <v>2</v>
      </c>
      <c r="E687" s="2">
        <v>22</v>
      </c>
      <c r="F687" s="2">
        <v>0</v>
      </c>
      <c r="G687" s="2">
        <v>3</v>
      </c>
      <c r="H687" s="2">
        <v>3000</v>
      </c>
      <c r="I687" s="2">
        <v>0</v>
      </c>
      <c r="J687" s="2" t="s">
        <v>1779</v>
      </c>
      <c r="K687" s="2">
        <v>23</v>
      </c>
      <c r="L687" s="2">
        <v>10</v>
      </c>
      <c r="M687" s="2">
        <v>0</v>
      </c>
      <c r="N687" s="2">
        <v>8</v>
      </c>
      <c r="O687" s="2">
        <v>5</v>
      </c>
      <c r="P687" s="2">
        <v>0</v>
      </c>
      <c r="Q687" s="2" t="s">
        <v>2491</v>
      </c>
      <c r="R687" s="2" t="s">
        <v>2491</v>
      </c>
      <c r="S687" s="4">
        <v>44837</v>
      </c>
    </row>
    <row r="688" spans="1:19" ht="12.5" x14ac:dyDescent="0.25">
      <c r="A688" s="14" t="str">
        <f>HYPERLINK("https://gerandofalcoes.my.salesforce.com/0014X00002VKCtAQAX", "0014X00002VKCtAQAX")</f>
        <v>0014X00002VKCtAQAX</v>
      </c>
      <c r="B688" s="2" t="s">
        <v>2267</v>
      </c>
      <c r="C688" s="2" t="s">
        <v>1800</v>
      </c>
      <c r="D688" s="2" t="s">
        <v>2</v>
      </c>
      <c r="E688" s="2">
        <v>30</v>
      </c>
      <c r="F688" s="2">
        <v>0</v>
      </c>
      <c r="G688" s="2">
        <v>3</v>
      </c>
      <c r="H688" s="2">
        <v>12000</v>
      </c>
      <c r="I688" s="2">
        <v>140</v>
      </c>
      <c r="J688" s="2" t="s">
        <v>1779</v>
      </c>
      <c r="K688" s="2">
        <v>38</v>
      </c>
      <c r="L688" s="2">
        <v>15</v>
      </c>
      <c r="M688" s="2">
        <v>0</v>
      </c>
      <c r="N688" s="2">
        <v>8</v>
      </c>
      <c r="O688" s="2">
        <v>5</v>
      </c>
      <c r="P688" s="2">
        <v>10</v>
      </c>
      <c r="Q688" s="2" t="s">
        <v>2268</v>
      </c>
      <c r="R688" s="2" t="s">
        <v>2269</v>
      </c>
      <c r="S688" s="4">
        <v>44837</v>
      </c>
    </row>
    <row r="689" spans="1:19" ht="12.5" x14ac:dyDescent="0.25">
      <c r="A689" s="14" t="str">
        <f>HYPERLINK("https://gerandofalcoes.my.salesforce.com/0014X00002YggkqQAB", "0014X00002YggkqQAB")</f>
        <v>0014X00002YggkqQAB</v>
      </c>
      <c r="B689" s="2" t="s">
        <v>3035</v>
      </c>
      <c r="C689" s="2" t="s">
        <v>423</v>
      </c>
      <c r="D689" s="2" t="s">
        <v>2</v>
      </c>
      <c r="E689" s="2"/>
      <c r="F689" s="2">
        <v>0</v>
      </c>
      <c r="G689" s="2">
        <v>3</v>
      </c>
      <c r="H689" s="2">
        <v>11000</v>
      </c>
      <c r="I689" s="2">
        <v>530</v>
      </c>
      <c r="J689" s="2"/>
      <c r="K689" s="2">
        <v>33</v>
      </c>
      <c r="L689" s="2">
        <v>0</v>
      </c>
      <c r="M689" s="2">
        <v>0</v>
      </c>
      <c r="N689" s="2">
        <v>8</v>
      </c>
      <c r="O689" s="2">
        <v>5</v>
      </c>
      <c r="P689" s="2">
        <v>20</v>
      </c>
      <c r="Q689" s="2" t="s">
        <v>3036</v>
      </c>
      <c r="R689" s="2" t="s">
        <v>3037</v>
      </c>
      <c r="S689" s="4">
        <v>44945</v>
      </c>
    </row>
    <row r="690" spans="1:19" ht="12.5" x14ac:dyDescent="0.25">
      <c r="A690" s="14" t="str">
        <f>HYPERLINK("https://gerandofalcoes.my.salesforce.com/0014P00003YSp8hQAD", "0014P00003YSp8hQAD")</f>
        <v>0014P00003YSp8hQAD</v>
      </c>
      <c r="B690" s="2" t="s">
        <v>2842</v>
      </c>
      <c r="C690" s="2" t="s">
        <v>423</v>
      </c>
      <c r="D690" s="2" t="s">
        <v>2</v>
      </c>
      <c r="E690" s="2">
        <v>11</v>
      </c>
      <c r="F690" s="2">
        <v>10</v>
      </c>
      <c r="G690" s="2">
        <v>2</v>
      </c>
      <c r="H690" s="2">
        <v>90000</v>
      </c>
      <c r="I690" s="2">
        <v>0</v>
      </c>
      <c r="J690" s="2" t="s">
        <v>1779</v>
      </c>
      <c r="K690" s="2">
        <v>36</v>
      </c>
      <c r="L690" s="2">
        <v>10</v>
      </c>
      <c r="M690" s="2">
        <v>10</v>
      </c>
      <c r="N690" s="2">
        <v>6</v>
      </c>
      <c r="O690" s="2">
        <v>10</v>
      </c>
      <c r="P690" s="2">
        <v>0</v>
      </c>
      <c r="Q690" s="2" t="s">
        <v>2843</v>
      </c>
      <c r="R690" s="2" t="s">
        <v>2843</v>
      </c>
      <c r="S690" s="4">
        <v>44837</v>
      </c>
    </row>
    <row r="691" spans="1:19" ht="12.5" x14ac:dyDescent="0.25">
      <c r="A691" s="14" t="str">
        <f>HYPERLINK("https://gerandofalcoes.my.salesforce.com/0014P00003YSp8eQAD", "0014P00003YSp8eQAD")</f>
        <v>0014P00003YSp8eQAD</v>
      </c>
      <c r="B691" s="2" t="s">
        <v>2309</v>
      </c>
      <c r="C691" s="2" t="s">
        <v>1800</v>
      </c>
      <c r="D691" s="2" t="s">
        <v>2</v>
      </c>
      <c r="E691" s="2">
        <v>29</v>
      </c>
      <c r="F691" s="2">
        <v>0</v>
      </c>
      <c r="G691" s="2">
        <v>3</v>
      </c>
      <c r="H691" s="2">
        <v>350000</v>
      </c>
      <c r="I691" s="2">
        <v>0</v>
      </c>
      <c r="J691" s="2" t="s">
        <v>1671</v>
      </c>
      <c r="K691" s="2">
        <v>43</v>
      </c>
      <c r="L691" s="2">
        <v>15</v>
      </c>
      <c r="M691" s="2">
        <v>0</v>
      </c>
      <c r="N691" s="2">
        <v>8</v>
      </c>
      <c r="O691" s="2">
        <v>20</v>
      </c>
      <c r="P691" s="2">
        <v>0</v>
      </c>
      <c r="Q691" s="2" t="s">
        <v>2310</v>
      </c>
      <c r="R691" s="2" t="s">
        <v>2311</v>
      </c>
      <c r="S691" s="4">
        <v>44837</v>
      </c>
    </row>
    <row r="692" spans="1:19" ht="12.5" x14ac:dyDescent="0.25">
      <c r="A692" s="14" t="str">
        <f>HYPERLINK("https://gerandofalcoes.my.salesforce.com/0014P00003YSp8fQAD", "0014P00003YSp8fQAD")</f>
        <v>0014P00003YSp8fQAD</v>
      </c>
      <c r="B692" s="2" t="s">
        <v>1713</v>
      </c>
      <c r="C692" s="2" t="s">
        <v>423</v>
      </c>
      <c r="D692" s="2" t="s">
        <v>2</v>
      </c>
      <c r="E692" s="2">
        <v>38</v>
      </c>
      <c r="F692" s="2">
        <v>7</v>
      </c>
      <c r="G692" s="2">
        <v>5</v>
      </c>
      <c r="H692" s="2">
        <v>19685789</v>
      </c>
      <c r="I692" s="2">
        <v>215</v>
      </c>
      <c r="J692" s="2" t="s">
        <v>1650</v>
      </c>
      <c r="K692" s="2">
        <v>72</v>
      </c>
      <c r="L692" s="2">
        <v>15</v>
      </c>
      <c r="M692" s="2">
        <v>10</v>
      </c>
      <c r="N692" s="2">
        <v>10</v>
      </c>
      <c r="O692" s="2">
        <v>25</v>
      </c>
      <c r="P692" s="2">
        <v>12</v>
      </c>
      <c r="Q692" s="2" t="s">
        <v>1714</v>
      </c>
      <c r="R692" s="2" t="s">
        <v>1715</v>
      </c>
      <c r="S692" s="4">
        <v>44837</v>
      </c>
    </row>
    <row r="693" spans="1:19" ht="12.5" x14ac:dyDescent="0.25">
      <c r="A693" s="14" t="str">
        <f>HYPERLINK("https://gerandofalcoes.my.salesforce.com/0014P00003YSp8gQAD", "0014P00003YSp8gQAD")</f>
        <v>0014P00003YSp8gQAD</v>
      </c>
      <c r="B693" s="2" t="s">
        <v>2635</v>
      </c>
      <c r="C693" s="2" t="s">
        <v>1800</v>
      </c>
      <c r="D693" s="2" t="s">
        <v>2</v>
      </c>
      <c r="E693" s="2">
        <v>18</v>
      </c>
      <c r="F693" s="2">
        <v>4</v>
      </c>
      <c r="G693" s="2">
        <v>2</v>
      </c>
      <c r="H693" s="2">
        <v>2000</v>
      </c>
      <c r="I693" s="2">
        <v>70</v>
      </c>
      <c r="J693" s="2" t="s">
        <v>1779</v>
      </c>
      <c r="K693" s="2">
        <v>31</v>
      </c>
      <c r="L693" s="2">
        <v>10</v>
      </c>
      <c r="M693" s="2">
        <v>5</v>
      </c>
      <c r="N693" s="2">
        <v>6</v>
      </c>
      <c r="O693" s="2">
        <v>5</v>
      </c>
      <c r="P693" s="2">
        <v>5</v>
      </c>
      <c r="Q693" s="2" t="s">
        <v>2636</v>
      </c>
      <c r="R693" s="2" t="s">
        <v>2636</v>
      </c>
      <c r="S693" s="4">
        <v>44837</v>
      </c>
    </row>
    <row r="694" spans="1:19" ht="12.5" x14ac:dyDescent="0.25">
      <c r="A694" s="14" t="str">
        <f>HYPERLINK("https://gerandofalcoes.my.salesforce.com/0014P00003YSp8iQAD", "0014P00003YSp8iQAD")</f>
        <v>0014P00003YSp8iQAD</v>
      </c>
      <c r="B694" s="2" t="s">
        <v>1770</v>
      </c>
      <c r="C694" s="2" t="s">
        <v>423</v>
      </c>
      <c r="D694" s="2" t="s">
        <v>2</v>
      </c>
      <c r="E694" s="2">
        <v>41</v>
      </c>
      <c r="F694" s="2">
        <v>5</v>
      </c>
      <c r="G694" s="2">
        <v>5</v>
      </c>
      <c r="H694" s="2">
        <v>1386827</v>
      </c>
      <c r="I694" s="2">
        <v>40</v>
      </c>
      <c r="J694" s="2" t="s">
        <v>1671</v>
      </c>
      <c r="K694" s="2">
        <v>60</v>
      </c>
      <c r="L694" s="2">
        <v>15</v>
      </c>
      <c r="M694" s="2">
        <v>5</v>
      </c>
      <c r="N694" s="2">
        <v>10</v>
      </c>
      <c r="O694" s="2">
        <v>25</v>
      </c>
      <c r="P694" s="2">
        <v>5</v>
      </c>
      <c r="Q694" s="2" t="s">
        <v>1771</v>
      </c>
      <c r="R694" s="2" t="s">
        <v>1772</v>
      </c>
      <c r="S694" s="4">
        <v>44837</v>
      </c>
    </row>
    <row r="695" spans="1:19" ht="12.5" x14ac:dyDescent="0.25">
      <c r="A695" s="14" t="str">
        <f>HYPERLINK("https://gerandofalcoes.my.salesforce.com/0014P00003YSp8kQAD", "0014P00003YSp8kQAD")</f>
        <v>0014P00003YSp8kQAD</v>
      </c>
      <c r="B695" s="2" t="s">
        <v>2295</v>
      </c>
      <c r="C695" s="2" t="s">
        <v>1800</v>
      </c>
      <c r="D695" s="2" t="s">
        <v>2</v>
      </c>
      <c r="E695" s="2">
        <v>29</v>
      </c>
      <c r="F695" s="2">
        <v>2</v>
      </c>
      <c r="G695" s="2">
        <v>2</v>
      </c>
      <c r="H695" s="2">
        <v>12000</v>
      </c>
      <c r="I695" s="2">
        <v>300</v>
      </c>
      <c r="J695" s="2" t="s">
        <v>1671</v>
      </c>
      <c r="K695" s="2">
        <v>46</v>
      </c>
      <c r="L695" s="2">
        <v>15</v>
      </c>
      <c r="M695" s="2">
        <v>5</v>
      </c>
      <c r="N695" s="2">
        <v>6</v>
      </c>
      <c r="O695" s="2">
        <v>5</v>
      </c>
      <c r="P695" s="2">
        <v>15</v>
      </c>
      <c r="Q695" s="2" t="s">
        <v>2296</v>
      </c>
      <c r="R695" s="2" t="s">
        <v>2297</v>
      </c>
      <c r="S695" s="4">
        <v>44837</v>
      </c>
    </row>
    <row r="696" spans="1:19" ht="12.5" x14ac:dyDescent="0.25">
      <c r="A696" s="14" t="str">
        <f>HYPERLINK("https://gerandofalcoes.my.salesforce.com/0014P00003YSp8lQAD", "0014P00003YSp8lQAD")</f>
        <v>0014P00003YSp8lQAD</v>
      </c>
      <c r="B696" s="2" t="s">
        <v>2775</v>
      </c>
      <c r="C696" s="2" t="s">
        <v>423</v>
      </c>
      <c r="D696" s="2" t="s">
        <v>2</v>
      </c>
      <c r="E696" s="2">
        <v>33</v>
      </c>
      <c r="F696" s="2">
        <v>0</v>
      </c>
      <c r="G696" s="2">
        <v>5</v>
      </c>
      <c r="H696" s="2">
        <v>111840</v>
      </c>
      <c r="I696" s="2">
        <v>30</v>
      </c>
      <c r="J696" s="2" t="s">
        <v>1671</v>
      </c>
      <c r="K696" s="2">
        <v>45</v>
      </c>
      <c r="L696" s="2">
        <v>15</v>
      </c>
      <c r="M696" s="2">
        <v>0</v>
      </c>
      <c r="N696" s="2">
        <v>10</v>
      </c>
      <c r="O696" s="2">
        <v>15</v>
      </c>
      <c r="P696" s="2">
        <v>5</v>
      </c>
      <c r="Q696" s="2" t="s">
        <v>2776</v>
      </c>
      <c r="R696" s="2" t="s">
        <v>2776</v>
      </c>
      <c r="S696" s="4">
        <v>44837</v>
      </c>
    </row>
    <row r="697" spans="1:19" ht="12.5" x14ac:dyDescent="0.25">
      <c r="A697" s="14" t="str">
        <f>HYPERLINK("https://gerandofalcoes.my.salesforce.com/0014P00003YSp8mQAD", "0014P00003YSp8mQAD")</f>
        <v>0014P00003YSp8mQAD</v>
      </c>
      <c r="B697" s="2" t="s">
        <v>2599</v>
      </c>
      <c r="C697" s="2" t="s">
        <v>1800</v>
      </c>
      <c r="D697" s="2" t="s">
        <v>2</v>
      </c>
      <c r="E697" s="2">
        <v>19</v>
      </c>
      <c r="F697" s="2">
        <v>11</v>
      </c>
      <c r="G697" s="2">
        <v>4</v>
      </c>
      <c r="H697" s="2">
        <v>700</v>
      </c>
      <c r="I697" s="2">
        <v>160</v>
      </c>
      <c r="J697" s="2" t="s">
        <v>1671</v>
      </c>
      <c r="K697" s="2">
        <v>49</v>
      </c>
      <c r="L697" s="2">
        <v>10</v>
      </c>
      <c r="M697" s="2">
        <v>12</v>
      </c>
      <c r="N697" s="2">
        <v>10</v>
      </c>
      <c r="O697" s="2">
        <v>5</v>
      </c>
      <c r="P697" s="2">
        <v>12</v>
      </c>
      <c r="Q697" s="2" t="s">
        <v>2600</v>
      </c>
      <c r="R697" s="2" t="s">
        <v>2600</v>
      </c>
      <c r="S697" s="4">
        <v>44837</v>
      </c>
    </row>
    <row r="698" spans="1:19" ht="12.5" x14ac:dyDescent="0.25">
      <c r="A698" s="14" t="str">
        <f>HYPERLINK("https://gerandofalcoes.my.salesforce.com/0014P00003YSp8nQAD", "0014P00003YSp8nQAD")</f>
        <v>0014P00003YSp8nQAD</v>
      </c>
      <c r="B698" s="2" t="s">
        <v>2028</v>
      </c>
      <c r="C698" s="2" t="s">
        <v>423</v>
      </c>
      <c r="D698" s="2" t="s">
        <v>2</v>
      </c>
      <c r="E698" s="2">
        <v>37.01</v>
      </c>
      <c r="F698" s="2">
        <v>6</v>
      </c>
      <c r="G698" s="2">
        <v>2</v>
      </c>
      <c r="H698" s="2">
        <v>7307750</v>
      </c>
      <c r="I698" s="2">
        <v>55</v>
      </c>
      <c r="J698" s="2" t="s">
        <v>1671</v>
      </c>
      <c r="K698" s="2">
        <v>61</v>
      </c>
      <c r="L698" s="2">
        <v>15</v>
      </c>
      <c r="M698" s="2">
        <v>10</v>
      </c>
      <c r="N698" s="2">
        <v>6</v>
      </c>
      <c r="O698" s="2">
        <v>25</v>
      </c>
      <c r="P698" s="2">
        <v>5</v>
      </c>
      <c r="Q698" s="2" t="s">
        <v>2029</v>
      </c>
      <c r="R698" s="2" t="s">
        <v>2030</v>
      </c>
      <c r="S698" s="4">
        <v>44837</v>
      </c>
    </row>
    <row r="699" spans="1:19" ht="12.5" x14ac:dyDescent="0.25">
      <c r="A699" s="14" t="str">
        <f>HYPERLINK("https://gerandofalcoes.my.salesforce.com/0014P00003YSp8pQAD", "0014P00003YSp8pQAD")</f>
        <v>0014P00003YSp8pQAD</v>
      </c>
      <c r="B699" s="2" t="s">
        <v>2644</v>
      </c>
      <c r="C699" s="2" t="s">
        <v>423</v>
      </c>
      <c r="D699" s="2" t="s">
        <v>2</v>
      </c>
      <c r="E699" s="2">
        <v>18</v>
      </c>
      <c r="F699" s="2">
        <v>0</v>
      </c>
      <c r="G699" s="2">
        <v>2</v>
      </c>
      <c r="H699" s="2">
        <v>3000</v>
      </c>
      <c r="I699" s="2">
        <v>0</v>
      </c>
      <c r="J699" s="2" t="s">
        <v>1779</v>
      </c>
      <c r="K699" s="2">
        <v>21</v>
      </c>
      <c r="L699" s="2">
        <v>10</v>
      </c>
      <c r="M699" s="2">
        <v>0</v>
      </c>
      <c r="N699" s="2">
        <v>6</v>
      </c>
      <c r="O699" s="2">
        <v>5</v>
      </c>
      <c r="P699" s="2">
        <v>0</v>
      </c>
      <c r="Q699" s="2" t="s">
        <v>2645</v>
      </c>
      <c r="R699" s="2" t="s">
        <v>2646</v>
      </c>
      <c r="S699" s="4">
        <v>44837</v>
      </c>
    </row>
    <row r="700" spans="1:19" ht="12.5" x14ac:dyDescent="0.25">
      <c r="A700" s="14" t="str">
        <f>HYPERLINK("https://gerandofalcoes.my.salesforce.com/0014P00003YSp8qQAD", "0014P00003YSp8qQAD")</f>
        <v>0014P00003YSp8qQAD</v>
      </c>
      <c r="B700" s="2" t="s">
        <v>2890</v>
      </c>
      <c r="C700" s="2" t="s">
        <v>423</v>
      </c>
      <c r="D700" s="2" t="s">
        <v>2</v>
      </c>
      <c r="E700" s="2">
        <v>33</v>
      </c>
      <c r="F700" s="2">
        <v>0</v>
      </c>
      <c r="G700" s="2">
        <v>1</v>
      </c>
      <c r="H700" s="2">
        <v>1500</v>
      </c>
      <c r="I700" s="2">
        <v>80</v>
      </c>
      <c r="J700" s="2" t="s">
        <v>1779</v>
      </c>
      <c r="K700" s="2">
        <v>34</v>
      </c>
      <c r="L700" s="2">
        <v>15</v>
      </c>
      <c r="M700" s="2">
        <v>0</v>
      </c>
      <c r="N700" s="2">
        <v>4</v>
      </c>
      <c r="O700" s="2">
        <v>5</v>
      </c>
      <c r="P700" s="2">
        <v>10</v>
      </c>
      <c r="Q700" s="2" t="s">
        <v>2891</v>
      </c>
      <c r="R700" s="2" t="s">
        <v>2892</v>
      </c>
      <c r="S700" s="4">
        <v>44837</v>
      </c>
    </row>
    <row r="701" spans="1:19" ht="12.5" x14ac:dyDescent="0.25">
      <c r="A701" s="14" t="str">
        <f>HYPERLINK("https://gerandofalcoes.my.salesforce.com/0014P00003YSp8rQAD", "0014P00003YSp8rQAD")</f>
        <v>0014P00003YSp8rQAD</v>
      </c>
      <c r="B701" s="2" t="s">
        <v>2365</v>
      </c>
      <c r="C701" s="2" t="s">
        <v>423</v>
      </c>
      <c r="D701" s="2" t="s">
        <v>2</v>
      </c>
      <c r="E701" s="2">
        <v>36</v>
      </c>
      <c r="F701" s="2">
        <v>2</v>
      </c>
      <c r="G701" s="2">
        <v>3</v>
      </c>
      <c r="H701" s="2">
        <v>60000</v>
      </c>
      <c r="I701" s="2">
        <v>120</v>
      </c>
      <c r="J701" s="2" t="s">
        <v>1671</v>
      </c>
      <c r="K701" s="2">
        <v>48</v>
      </c>
      <c r="L701" s="2">
        <v>15</v>
      </c>
      <c r="M701" s="2">
        <v>5</v>
      </c>
      <c r="N701" s="2">
        <v>8</v>
      </c>
      <c r="O701" s="2">
        <v>10</v>
      </c>
      <c r="P701" s="2">
        <v>10</v>
      </c>
      <c r="Q701" s="2" t="s">
        <v>2366</v>
      </c>
      <c r="R701" s="2" t="s">
        <v>2367</v>
      </c>
      <c r="S701" s="4">
        <v>44837</v>
      </c>
    </row>
    <row r="702" spans="1:19" ht="12.5" x14ac:dyDescent="0.25">
      <c r="A702" s="14" t="str">
        <f>HYPERLINK("https://gerandofalcoes.my.salesforce.com/0014P00003YSp8tQAD", "0014P00003YSp8tQAD")</f>
        <v>0014P00003YSp8tQAD</v>
      </c>
      <c r="B702" s="2" t="s">
        <v>2622</v>
      </c>
      <c r="C702" s="2" t="s">
        <v>423</v>
      </c>
      <c r="D702" s="2" t="s">
        <v>2</v>
      </c>
      <c r="E702" s="2">
        <v>18.18</v>
      </c>
      <c r="F702" s="2">
        <v>0</v>
      </c>
      <c r="G702" s="2">
        <v>1</v>
      </c>
      <c r="H702" s="2">
        <v>420000</v>
      </c>
      <c r="I702" s="2">
        <v>0</v>
      </c>
      <c r="J702" s="2" t="s">
        <v>1779</v>
      </c>
      <c r="K702" s="2">
        <v>34</v>
      </c>
      <c r="L702" s="2">
        <v>10</v>
      </c>
      <c r="M702" s="2">
        <v>0</v>
      </c>
      <c r="N702" s="2">
        <v>4</v>
      </c>
      <c r="O702" s="2">
        <v>20</v>
      </c>
      <c r="P702" s="2">
        <v>0</v>
      </c>
      <c r="Q702" s="2" t="s">
        <v>2623</v>
      </c>
      <c r="R702" s="2" t="s">
        <v>2624</v>
      </c>
      <c r="S702" s="4">
        <v>44837</v>
      </c>
    </row>
    <row r="703" spans="1:19" ht="12.5" x14ac:dyDescent="0.25">
      <c r="A703" s="14" t="str">
        <f>HYPERLINK("https://gerandofalcoes.my.salesforce.com/0014P00003YSp8uQAD", "0014P00003YSp8uQAD")</f>
        <v>0014P00003YSp8uQAD</v>
      </c>
      <c r="B703" s="2" t="s">
        <v>2161</v>
      </c>
      <c r="C703" s="2" t="s">
        <v>1800</v>
      </c>
      <c r="D703" s="2" t="s">
        <v>2</v>
      </c>
      <c r="E703" s="2">
        <v>33</v>
      </c>
      <c r="F703" s="2">
        <v>38</v>
      </c>
      <c r="G703" s="2">
        <v>3</v>
      </c>
      <c r="H703" s="2">
        <v>1726721</v>
      </c>
      <c r="I703" s="2">
        <v>1200</v>
      </c>
      <c r="J703" s="2" t="s">
        <v>1654</v>
      </c>
      <c r="K703" s="2">
        <v>83</v>
      </c>
      <c r="L703" s="2">
        <v>15</v>
      </c>
      <c r="M703" s="2">
        <v>15</v>
      </c>
      <c r="N703" s="2">
        <v>8</v>
      </c>
      <c r="O703" s="2">
        <v>25</v>
      </c>
      <c r="P703" s="2">
        <v>20</v>
      </c>
      <c r="Q703" s="2" t="s">
        <v>2162</v>
      </c>
      <c r="R703" s="2" t="s">
        <v>2163</v>
      </c>
      <c r="S703" s="4">
        <v>44837</v>
      </c>
    </row>
    <row r="704" spans="1:19" ht="12.5" x14ac:dyDescent="0.25">
      <c r="A704" s="14" t="str">
        <f>HYPERLINK("https://gerandofalcoes.my.salesforce.com/0014X00002VKCsBQAX", "0014X00002VKCsBQAX")</f>
        <v>0014X00002VKCsBQAX</v>
      </c>
      <c r="B704" s="2" t="s">
        <v>2740</v>
      </c>
      <c r="C704" s="2" t="s">
        <v>423</v>
      </c>
      <c r="D704" s="2" t="s">
        <v>2</v>
      </c>
      <c r="E704" s="2">
        <v>14.54</v>
      </c>
      <c r="F704" s="2">
        <v>1</v>
      </c>
      <c r="G704" s="2">
        <v>1</v>
      </c>
      <c r="H704" s="2">
        <v>68583</v>
      </c>
      <c r="I704" s="2">
        <v>120</v>
      </c>
      <c r="J704" s="2" t="s">
        <v>1779</v>
      </c>
      <c r="K704" s="2">
        <v>39</v>
      </c>
      <c r="L704" s="2">
        <v>10</v>
      </c>
      <c r="M704" s="2">
        <v>5</v>
      </c>
      <c r="N704" s="2">
        <v>4</v>
      </c>
      <c r="O704" s="2">
        <v>10</v>
      </c>
      <c r="P704" s="2">
        <v>10</v>
      </c>
      <c r="Q704" s="2" t="s">
        <v>2741</v>
      </c>
      <c r="R704" s="2" t="s">
        <v>2742</v>
      </c>
      <c r="S704" s="4">
        <v>44837</v>
      </c>
    </row>
    <row r="705" spans="1:19" ht="12.5" x14ac:dyDescent="0.25">
      <c r="A705" s="14" t="str">
        <f>HYPERLINK("https://gerandofalcoes.my.salesforce.com/0014X00002VKCslQAH", "0014X00002VKCslQAH")</f>
        <v>0014X00002VKCslQAH</v>
      </c>
      <c r="B705" s="2" t="s">
        <v>2667</v>
      </c>
      <c r="C705" s="2" t="s">
        <v>1800</v>
      </c>
      <c r="D705" s="2" t="s">
        <v>2</v>
      </c>
      <c r="E705" s="2">
        <v>17</v>
      </c>
      <c r="F705" s="2">
        <v>0</v>
      </c>
      <c r="G705" s="2">
        <v>2</v>
      </c>
      <c r="H705" s="2">
        <v>18000</v>
      </c>
      <c r="I705" s="2">
        <v>10</v>
      </c>
      <c r="J705" s="2" t="s">
        <v>1779</v>
      </c>
      <c r="K705" s="2">
        <v>26</v>
      </c>
      <c r="L705" s="2">
        <v>10</v>
      </c>
      <c r="M705" s="2">
        <v>0</v>
      </c>
      <c r="N705" s="2">
        <v>6</v>
      </c>
      <c r="O705" s="2">
        <v>5</v>
      </c>
      <c r="P705" s="2">
        <v>5</v>
      </c>
      <c r="Q705" s="2" t="s">
        <v>2668</v>
      </c>
      <c r="R705" s="2" t="s">
        <v>2669</v>
      </c>
      <c r="S705" s="4">
        <v>44837</v>
      </c>
    </row>
    <row r="706" spans="1:19" ht="12.5" x14ac:dyDescent="0.25">
      <c r="A706" s="14" t="str">
        <f>HYPERLINK("https://gerandofalcoes.my.salesforce.com/0014P00003YSp8vQAD", "0014P00003YSp8vQAD")</f>
        <v>0014P00003YSp8vQAD</v>
      </c>
      <c r="B706" s="2" t="s">
        <v>2019</v>
      </c>
      <c r="C706" s="2" t="s">
        <v>1800</v>
      </c>
      <c r="D706" s="2" t="s">
        <v>2</v>
      </c>
      <c r="E706" s="2">
        <v>38</v>
      </c>
      <c r="F706" s="2">
        <v>2</v>
      </c>
      <c r="G706" s="2">
        <v>2</v>
      </c>
      <c r="H706" s="2">
        <v>5000</v>
      </c>
      <c r="I706" s="2">
        <v>0</v>
      </c>
      <c r="J706" s="2" t="s">
        <v>1779</v>
      </c>
      <c r="K706" s="2">
        <v>31</v>
      </c>
      <c r="L706" s="2">
        <v>15</v>
      </c>
      <c r="M706" s="2">
        <v>5</v>
      </c>
      <c r="N706" s="2">
        <v>6</v>
      </c>
      <c r="O706" s="2">
        <v>5</v>
      </c>
      <c r="P706" s="2">
        <v>0</v>
      </c>
      <c r="Q706" s="2" t="s">
        <v>2020</v>
      </c>
      <c r="R706" s="2" t="s">
        <v>2021</v>
      </c>
      <c r="S706" s="4">
        <v>44837</v>
      </c>
    </row>
    <row r="707" spans="1:19" ht="12.5" x14ac:dyDescent="0.25">
      <c r="A707" s="14" t="str">
        <f>HYPERLINK("https://gerandofalcoes.my.salesforce.com/0014P00003YSp8wQAD", "0014P00003YSp8wQAD")</f>
        <v>0014P00003YSp8wQAD</v>
      </c>
      <c r="B707" s="2" t="s">
        <v>2686</v>
      </c>
      <c r="C707" s="2" t="s">
        <v>423</v>
      </c>
      <c r="D707" s="2" t="s">
        <v>2</v>
      </c>
      <c r="E707" s="2">
        <v>16</v>
      </c>
      <c r="F707" s="2">
        <v>8</v>
      </c>
      <c r="G707" s="2">
        <v>2</v>
      </c>
      <c r="H707" s="2">
        <v>55000</v>
      </c>
      <c r="I707" s="2">
        <v>3000</v>
      </c>
      <c r="J707" s="2" t="s">
        <v>1671</v>
      </c>
      <c r="K707" s="2">
        <v>56</v>
      </c>
      <c r="L707" s="2">
        <v>10</v>
      </c>
      <c r="M707" s="2">
        <v>10</v>
      </c>
      <c r="N707" s="2">
        <v>6</v>
      </c>
      <c r="O707" s="2">
        <v>10</v>
      </c>
      <c r="P707" s="2">
        <v>20</v>
      </c>
      <c r="Q707" s="2" t="s">
        <v>2687</v>
      </c>
      <c r="R707" s="2" t="s">
        <v>2688</v>
      </c>
      <c r="S707" s="4">
        <v>44837</v>
      </c>
    </row>
    <row r="708" spans="1:19" ht="12.5" x14ac:dyDescent="0.25">
      <c r="A708" s="14" t="str">
        <f>HYPERLINK("https://gerandofalcoes.my.salesforce.com/0014P00003YSp8yQAD", "0014P00003YSp8yQAD")</f>
        <v>0014P00003YSp8yQAD</v>
      </c>
      <c r="B708" s="2" t="s">
        <v>2536</v>
      </c>
      <c r="C708" s="2" t="s">
        <v>1800</v>
      </c>
      <c r="D708" s="2" t="s">
        <v>2</v>
      </c>
      <c r="E708" s="2">
        <v>21</v>
      </c>
      <c r="F708" s="2">
        <v>2</v>
      </c>
      <c r="G708" s="2">
        <v>2</v>
      </c>
      <c r="H708" s="2">
        <v>0</v>
      </c>
      <c r="I708" s="2">
        <v>0</v>
      </c>
      <c r="J708" s="2" t="s">
        <v>1779</v>
      </c>
      <c r="K708" s="2">
        <v>21</v>
      </c>
      <c r="L708" s="2">
        <v>10</v>
      </c>
      <c r="M708" s="2">
        <v>5</v>
      </c>
      <c r="N708" s="2">
        <v>6</v>
      </c>
      <c r="O708" s="2">
        <v>0</v>
      </c>
      <c r="P708" s="2">
        <v>0</v>
      </c>
      <c r="Q708" s="2" t="s">
        <v>2537</v>
      </c>
      <c r="R708" s="2" t="s">
        <v>2538</v>
      </c>
      <c r="S708" s="4">
        <v>44837</v>
      </c>
    </row>
    <row r="709" spans="1:19" ht="12.5" x14ac:dyDescent="0.25">
      <c r="A709" s="14" t="str">
        <f>HYPERLINK("https://gerandofalcoes.my.salesforce.com/0014P00003YSp8zQAD", "0014P00003YSp8zQAD")</f>
        <v>0014P00003YSp8zQAD</v>
      </c>
      <c r="B709" s="2" t="s">
        <v>2087</v>
      </c>
      <c r="C709" s="2" t="s">
        <v>423</v>
      </c>
      <c r="D709" s="2" t="s">
        <v>2</v>
      </c>
      <c r="E709" s="2">
        <v>29</v>
      </c>
      <c r="F709" s="2">
        <v>10</v>
      </c>
      <c r="G709" s="2">
        <v>2</v>
      </c>
      <c r="H709" s="2">
        <v>600000</v>
      </c>
      <c r="I709" s="2">
        <v>115</v>
      </c>
      <c r="J709" s="2" t="s">
        <v>1671</v>
      </c>
      <c r="K709" s="2">
        <v>61</v>
      </c>
      <c r="L709" s="2">
        <v>15</v>
      </c>
      <c r="M709" s="2">
        <v>10</v>
      </c>
      <c r="N709" s="2">
        <v>6</v>
      </c>
      <c r="O709" s="2">
        <v>20</v>
      </c>
      <c r="P709" s="2">
        <v>10</v>
      </c>
      <c r="Q709" s="2" t="s">
        <v>2088</v>
      </c>
      <c r="R709" s="2" t="s">
        <v>2089</v>
      </c>
      <c r="S709" s="4">
        <v>44837</v>
      </c>
    </row>
    <row r="710" spans="1:19" ht="12.5" x14ac:dyDescent="0.25">
      <c r="A710" s="14" t="str">
        <f>HYPERLINK("https://gerandofalcoes.my.salesforce.com/0014P00003YSp90QAD", "0014P00003YSp90QAD")</f>
        <v>0014P00003YSp90QAD</v>
      </c>
      <c r="B710" s="2" t="s">
        <v>2175</v>
      </c>
      <c r="C710" s="2" t="s">
        <v>1800</v>
      </c>
      <c r="D710" s="2" t="s">
        <v>2</v>
      </c>
      <c r="E710" s="2">
        <v>33</v>
      </c>
      <c r="F710" s="2">
        <v>41</v>
      </c>
      <c r="G710" s="2">
        <v>4</v>
      </c>
      <c r="H710" s="2">
        <v>0</v>
      </c>
      <c r="I710" s="2">
        <v>98</v>
      </c>
      <c r="J710" s="2" t="s">
        <v>1671</v>
      </c>
      <c r="K710" s="2">
        <v>50</v>
      </c>
      <c r="L710" s="2">
        <v>15</v>
      </c>
      <c r="M710" s="2">
        <v>15</v>
      </c>
      <c r="N710" s="2">
        <v>10</v>
      </c>
      <c r="O710" s="2">
        <v>0</v>
      </c>
      <c r="P710" s="2">
        <v>10</v>
      </c>
      <c r="Q710" s="2" t="s">
        <v>2176</v>
      </c>
      <c r="R710" s="2" t="s">
        <v>2177</v>
      </c>
      <c r="S710" s="4">
        <v>44837</v>
      </c>
    </row>
    <row r="711" spans="1:19" ht="12.5" x14ac:dyDescent="0.25">
      <c r="A711" s="14" t="str">
        <f>HYPERLINK("https://gerandofalcoes.my.salesforce.com/0014P00003YSp91QAD", "0014P00003YSp91QAD")</f>
        <v>0014P00003YSp91QAD</v>
      </c>
      <c r="B711" s="2" t="s">
        <v>2697</v>
      </c>
      <c r="C711" s="2" t="s">
        <v>423</v>
      </c>
      <c r="D711" s="2" t="s">
        <v>2</v>
      </c>
      <c r="E711" s="2">
        <v>19</v>
      </c>
      <c r="F711" s="2">
        <v>8</v>
      </c>
      <c r="G711" s="2">
        <v>1</v>
      </c>
      <c r="H711" s="2">
        <v>24000</v>
      </c>
      <c r="I711" s="2">
        <v>200</v>
      </c>
      <c r="J711" s="2" t="s">
        <v>1671</v>
      </c>
      <c r="K711" s="2">
        <v>41</v>
      </c>
      <c r="L711" s="2">
        <v>10</v>
      </c>
      <c r="M711" s="2">
        <v>10</v>
      </c>
      <c r="N711" s="2">
        <v>4</v>
      </c>
      <c r="O711" s="2">
        <v>5</v>
      </c>
      <c r="P711" s="2">
        <v>12</v>
      </c>
      <c r="Q711" s="2" t="s">
        <v>2698</v>
      </c>
      <c r="R711" s="2" t="s">
        <v>2699</v>
      </c>
      <c r="S711" s="4">
        <v>44837</v>
      </c>
    </row>
    <row r="712" spans="1:19" ht="12.5" x14ac:dyDescent="0.25">
      <c r="A712" s="14" t="str">
        <f>HYPERLINK("https://gerandofalcoes.my.salesforce.com/0014P00003YSp92QAD", "0014P00003YSp92QAD")</f>
        <v>0014P00003YSp92QAD</v>
      </c>
      <c r="B712" s="2" t="s">
        <v>1892</v>
      </c>
      <c r="C712" s="2" t="s">
        <v>423</v>
      </c>
      <c r="D712" s="2" t="s">
        <v>2</v>
      </c>
      <c r="E712" s="2">
        <v>37</v>
      </c>
      <c r="F712" s="2">
        <v>2</v>
      </c>
      <c r="G712" s="2">
        <v>3</v>
      </c>
      <c r="H712" s="2">
        <v>109472</v>
      </c>
      <c r="I712" s="2">
        <v>40</v>
      </c>
      <c r="J712" s="2" t="s">
        <v>1671</v>
      </c>
      <c r="K712" s="2">
        <v>48</v>
      </c>
      <c r="L712" s="2">
        <v>15</v>
      </c>
      <c r="M712" s="2">
        <v>5</v>
      </c>
      <c r="N712" s="2">
        <v>8</v>
      </c>
      <c r="O712" s="2">
        <v>15</v>
      </c>
      <c r="P712" s="2">
        <v>5</v>
      </c>
      <c r="Q712" s="2" t="s">
        <v>1893</v>
      </c>
      <c r="R712" s="2" t="s">
        <v>1894</v>
      </c>
      <c r="S712" s="4">
        <v>44837</v>
      </c>
    </row>
    <row r="713" spans="1:19" ht="12.5" x14ac:dyDescent="0.25">
      <c r="A713" s="14" t="str">
        <f>HYPERLINK("https://gerandofalcoes.my.salesforce.com/0014X00002VKCpQQAX", "0014X00002VKCpQQAX")</f>
        <v>0014X00002VKCpQQAX</v>
      </c>
      <c r="B713" s="2" t="s">
        <v>2004</v>
      </c>
      <c r="C713" s="2" t="s">
        <v>423</v>
      </c>
      <c r="D713" s="2" t="s">
        <v>2</v>
      </c>
      <c r="E713" s="2">
        <v>38.72</v>
      </c>
      <c r="F713" s="2">
        <v>0</v>
      </c>
      <c r="G713" s="2">
        <v>5</v>
      </c>
      <c r="H713" s="2">
        <v>90250</v>
      </c>
      <c r="I713" s="2">
        <v>125</v>
      </c>
      <c r="J713" s="2" t="s">
        <v>1671</v>
      </c>
      <c r="K713" s="2">
        <v>45</v>
      </c>
      <c r="L713" s="2">
        <v>15</v>
      </c>
      <c r="M713" s="2">
        <v>0</v>
      </c>
      <c r="N713" s="2">
        <v>10</v>
      </c>
      <c r="O713" s="2">
        <v>10</v>
      </c>
      <c r="P713" s="2">
        <v>10</v>
      </c>
      <c r="Q713" s="2" t="s">
        <v>2005</v>
      </c>
      <c r="R713" s="2" t="s">
        <v>2006</v>
      </c>
      <c r="S713" s="4">
        <v>44837</v>
      </c>
    </row>
    <row r="714" spans="1:19" ht="12.5" x14ac:dyDescent="0.25">
      <c r="A714" s="14" t="str">
        <f>HYPERLINK("https://gerandofalcoes.my.salesforce.com/0014X00002VKCv8QAH", "0014X00002VKCv8QAH")</f>
        <v>0014X00002VKCv8QAH</v>
      </c>
      <c r="B714" s="2" t="s">
        <v>2343</v>
      </c>
      <c r="C714" s="2" t="s">
        <v>423</v>
      </c>
      <c r="D714" s="2" t="s">
        <v>2</v>
      </c>
      <c r="E714" s="2">
        <v>19</v>
      </c>
      <c r="F714" s="2">
        <v>0</v>
      </c>
      <c r="G714" s="2">
        <v>0</v>
      </c>
      <c r="H714" s="2">
        <v>0</v>
      </c>
      <c r="I714" s="2">
        <v>400</v>
      </c>
      <c r="J714" s="2" t="s">
        <v>1779</v>
      </c>
      <c r="K714" s="2">
        <v>25</v>
      </c>
      <c r="L714" s="2">
        <v>10</v>
      </c>
      <c r="M714" s="2">
        <v>0</v>
      </c>
      <c r="N714" s="2">
        <v>0</v>
      </c>
      <c r="O714" s="2">
        <v>0</v>
      </c>
      <c r="P714" s="2">
        <v>15</v>
      </c>
      <c r="Q714" s="2" t="s">
        <v>2344</v>
      </c>
      <c r="R714" s="2" t="s">
        <v>2345</v>
      </c>
      <c r="S714" s="4">
        <v>44837</v>
      </c>
    </row>
    <row r="715" spans="1:19" ht="12.5" x14ac:dyDescent="0.25">
      <c r="A715" s="14" t="str">
        <f>HYPERLINK("https://gerandofalcoes.my.salesforce.com/0014X00002VKCp4QAH", "0014X00002VKCp4QAH")</f>
        <v>0014X00002VKCp4QAH</v>
      </c>
      <c r="B715" s="2" t="s">
        <v>2518</v>
      </c>
      <c r="C715" s="2" t="s">
        <v>1800</v>
      </c>
      <c r="D715" s="2" t="s">
        <v>2</v>
      </c>
      <c r="E715" s="2">
        <v>21</v>
      </c>
      <c r="F715" s="2">
        <v>0</v>
      </c>
      <c r="G715" s="2">
        <v>2</v>
      </c>
      <c r="H715" s="2">
        <v>0</v>
      </c>
      <c r="I715" s="2">
        <v>70</v>
      </c>
      <c r="J715" s="2" t="s">
        <v>1779</v>
      </c>
      <c r="K715" s="2">
        <v>21</v>
      </c>
      <c r="L715" s="2">
        <v>10</v>
      </c>
      <c r="M715" s="2">
        <v>0</v>
      </c>
      <c r="N715" s="2">
        <v>6</v>
      </c>
      <c r="O715" s="2">
        <v>0</v>
      </c>
      <c r="P715" s="2">
        <v>5</v>
      </c>
      <c r="Q715" s="2" t="s">
        <v>2519</v>
      </c>
      <c r="R715" s="2" t="s">
        <v>2520</v>
      </c>
      <c r="S715" s="4">
        <v>44837</v>
      </c>
    </row>
    <row r="716" spans="1:19" ht="12.5" x14ac:dyDescent="0.25">
      <c r="A716" s="14" t="str">
        <f>HYPERLINK("https://gerandofalcoes.my.salesforce.com/0014X00002VKCucQAH", "0014X00002VKCucQAH")</f>
        <v>0014X00002VKCucQAH</v>
      </c>
      <c r="B716" s="2" t="s">
        <v>2944</v>
      </c>
      <c r="C716" s="2" t="s">
        <v>423</v>
      </c>
      <c r="D716" s="2" t="s">
        <v>2</v>
      </c>
      <c r="E716" s="2">
        <v>30</v>
      </c>
      <c r="F716" s="2">
        <v>0</v>
      </c>
      <c r="G716" s="2">
        <v>1</v>
      </c>
      <c r="H716" s="2">
        <v>300</v>
      </c>
      <c r="I716" s="2">
        <v>0</v>
      </c>
      <c r="J716" s="2" t="s">
        <v>1779</v>
      </c>
      <c r="K716" s="2">
        <v>24</v>
      </c>
      <c r="L716" s="2">
        <v>15</v>
      </c>
      <c r="M716" s="2">
        <v>0</v>
      </c>
      <c r="N716" s="2">
        <v>4</v>
      </c>
      <c r="O716" s="2">
        <v>5</v>
      </c>
      <c r="P716" s="2">
        <v>0</v>
      </c>
      <c r="Q716" s="2" t="s">
        <v>2945</v>
      </c>
      <c r="R716" s="2" t="s">
        <v>2946</v>
      </c>
      <c r="S716" s="4">
        <v>44837</v>
      </c>
    </row>
    <row r="717" spans="1:19" ht="12.5" x14ac:dyDescent="0.25">
      <c r="A717" s="14" t="str">
        <f>HYPERLINK("https://gerandofalcoes.my.salesforce.com/0014P00003YSp98QAD", "0014P00003YSp98QAD")</f>
        <v>0014P00003YSp98QAD</v>
      </c>
      <c r="B717" s="2" t="s">
        <v>2010</v>
      </c>
      <c r="C717" s="2" t="s">
        <v>423</v>
      </c>
      <c r="D717" s="2" t="s">
        <v>2</v>
      </c>
      <c r="E717" s="2">
        <v>38</v>
      </c>
      <c r="F717" s="2">
        <v>5</v>
      </c>
      <c r="G717" s="2">
        <v>2</v>
      </c>
      <c r="H717" s="2">
        <v>15000</v>
      </c>
      <c r="I717" s="2">
        <v>500</v>
      </c>
      <c r="J717" s="2" t="s">
        <v>1671</v>
      </c>
      <c r="K717" s="2">
        <v>51</v>
      </c>
      <c r="L717" s="2">
        <v>15</v>
      </c>
      <c r="M717" s="2">
        <v>5</v>
      </c>
      <c r="N717" s="2">
        <v>6</v>
      </c>
      <c r="O717" s="2">
        <v>5</v>
      </c>
      <c r="P717" s="2">
        <v>20</v>
      </c>
      <c r="Q717" s="2" t="s">
        <v>2011</v>
      </c>
      <c r="R717" s="2" t="s">
        <v>2012</v>
      </c>
      <c r="S717" s="4">
        <v>44837</v>
      </c>
    </row>
    <row r="718" spans="1:19" ht="12.5" x14ac:dyDescent="0.25">
      <c r="A718" s="14" t="str">
        <f>HYPERLINK("https://gerandofalcoes.my.salesforce.com/0014P00003YSp94QAD", "0014P00003YSp94QAD")</f>
        <v>0014P00003YSp94QAD</v>
      </c>
      <c r="B718" s="2" t="s">
        <v>2131</v>
      </c>
      <c r="C718" s="2" t="s">
        <v>1800</v>
      </c>
      <c r="D718" s="2" t="s">
        <v>2</v>
      </c>
      <c r="E718" s="2">
        <v>34</v>
      </c>
      <c r="F718" s="2">
        <v>0</v>
      </c>
      <c r="G718" s="2">
        <v>2</v>
      </c>
      <c r="H718" s="2">
        <v>25000</v>
      </c>
      <c r="I718" s="2">
        <v>600</v>
      </c>
      <c r="J718" s="2" t="s">
        <v>1671</v>
      </c>
      <c r="K718" s="2">
        <v>51</v>
      </c>
      <c r="L718" s="2">
        <v>15</v>
      </c>
      <c r="M718" s="2">
        <v>0</v>
      </c>
      <c r="N718" s="2">
        <v>6</v>
      </c>
      <c r="O718" s="2">
        <v>10</v>
      </c>
      <c r="P718" s="2">
        <v>20</v>
      </c>
      <c r="Q718" s="2" t="s">
        <v>2132</v>
      </c>
      <c r="R718" s="2" t="s">
        <v>2132</v>
      </c>
      <c r="S718" s="4">
        <v>44837</v>
      </c>
    </row>
    <row r="719" spans="1:19" ht="12.5" x14ac:dyDescent="0.25">
      <c r="A719" s="14" t="str">
        <f>HYPERLINK("https://gerandofalcoes.my.salesforce.com/0014P00003YSp95QAD", "0014P00003YSp95QAD")</f>
        <v>0014P00003YSp95QAD</v>
      </c>
      <c r="B719" s="2" t="s">
        <v>1861</v>
      </c>
      <c r="C719" s="2" t="s">
        <v>423</v>
      </c>
      <c r="D719" s="2" t="s">
        <v>2</v>
      </c>
      <c r="E719" s="2">
        <v>36</v>
      </c>
      <c r="F719" s="2">
        <v>8</v>
      </c>
      <c r="G719" s="2">
        <v>3</v>
      </c>
      <c r="H719" s="2">
        <v>60127</v>
      </c>
      <c r="I719" s="2">
        <v>841</v>
      </c>
      <c r="J719" s="2" t="s">
        <v>1671</v>
      </c>
      <c r="K719" s="2">
        <v>63</v>
      </c>
      <c r="L719" s="2">
        <v>15</v>
      </c>
      <c r="M719" s="2">
        <v>10</v>
      </c>
      <c r="N719" s="2">
        <v>8</v>
      </c>
      <c r="O719" s="2">
        <v>10</v>
      </c>
      <c r="P719" s="2">
        <v>20</v>
      </c>
      <c r="Q719" s="2" t="s">
        <v>1862</v>
      </c>
      <c r="R719" s="2" t="s">
        <v>1863</v>
      </c>
      <c r="S719" s="4">
        <v>44837</v>
      </c>
    </row>
    <row r="720" spans="1:19" ht="12.5" x14ac:dyDescent="0.25">
      <c r="A720" s="14" t="str">
        <f>HYPERLINK("https://gerandofalcoes.my.salesforce.com/0014P00003YSp97QAD", "0014P00003YSp97QAD")</f>
        <v>0014P00003YSp97QAD</v>
      </c>
      <c r="B720" s="2" t="s">
        <v>2013</v>
      </c>
      <c r="C720" s="2" t="s">
        <v>1800</v>
      </c>
      <c r="D720" s="2" t="s">
        <v>2</v>
      </c>
      <c r="E720" s="2">
        <v>38</v>
      </c>
      <c r="F720" s="2">
        <v>5</v>
      </c>
      <c r="G720" s="2">
        <v>3</v>
      </c>
      <c r="H720" s="2">
        <v>900000</v>
      </c>
      <c r="I720" s="2">
        <v>450</v>
      </c>
      <c r="J720" s="2" t="s">
        <v>1650</v>
      </c>
      <c r="K720" s="2">
        <v>73</v>
      </c>
      <c r="L720" s="2">
        <v>15</v>
      </c>
      <c r="M720" s="2">
        <v>5</v>
      </c>
      <c r="N720" s="2">
        <v>8</v>
      </c>
      <c r="O720" s="2">
        <v>25</v>
      </c>
      <c r="P720" s="2">
        <v>20</v>
      </c>
      <c r="Q720" s="2" t="s">
        <v>2014</v>
      </c>
      <c r="R720" s="2" t="s">
        <v>2015</v>
      </c>
      <c r="S720" s="4">
        <v>44837</v>
      </c>
    </row>
    <row r="721" spans="1:19" ht="12.5" x14ac:dyDescent="0.25">
      <c r="A721" s="14" t="str">
        <f>HYPERLINK("https://gerandofalcoes.my.salesforce.com/0014P00003YSp99QAD", "0014P00003YSp99QAD")</f>
        <v>0014P00003YSp99QAD</v>
      </c>
      <c r="B721" s="2" t="s">
        <v>1695</v>
      </c>
      <c r="C721" s="2" t="s">
        <v>423</v>
      </c>
      <c r="D721" s="2" t="s">
        <v>2</v>
      </c>
      <c r="E721" s="2">
        <v>41</v>
      </c>
      <c r="F721" s="2">
        <v>0</v>
      </c>
      <c r="G721" s="2">
        <v>5</v>
      </c>
      <c r="H721" s="2">
        <v>68450</v>
      </c>
      <c r="I721" s="2">
        <v>204</v>
      </c>
      <c r="J721" s="2" t="s">
        <v>1671</v>
      </c>
      <c r="K721" s="2">
        <v>47</v>
      </c>
      <c r="L721" s="2">
        <v>15</v>
      </c>
      <c r="M721" s="2">
        <v>0</v>
      </c>
      <c r="N721" s="2">
        <v>10</v>
      </c>
      <c r="O721" s="2">
        <v>10</v>
      </c>
      <c r="P721" s="2">
        <v>12</v>
      </c>
      <c r="Q721" s="2" t="s">
        <v>1696</v>
      </c>
      <c r="R721" s="2" t="s">
        <v>1697</v>
      </c>
      <c r="S721" s="4">
        <v>44837</v>
      </c>
    </row>
    <row r="722" spans="1:19" ht="12.5" x14ac:dyDescent="0.25">
      <c r="A722" s="14" t="str">
        <f>HYPERLINK("https://gerandofalcoes.my.salesforce.com/0014P00003YSp9AQAT", "0014P00003YSp9AQAT")</f>
        <v>0014P00003YSp9AQAT</v>
      </c>
      <c r="B722" s="2" t="s">
        <v>1957</v>
      </c>
      <c r="C722" s="2" t="s">
        <v>423</v>
      </c>
      <c r="D722" s="2" t="s">
        <v>2</v>
      </c>
      <c r="E722" s="2">
        <v>40.99</v>
      </c>
      <c r="F722" s="2">
        <v>0</v>
      </c>
      <c r="G722" s="2">
        <v>4</v>
      </c>
      <c r="H722" s="2">
        <v>45453</v>
      </c>
      <c r="I722" s="2">
        <v>355</v>
      </c>
      <c r="J722" s="2" t="s">
        <v>1671</v>
      </c>
      <c r="K722" s="2">
        <v>50</v>
      </c>
      <c r="L722" s="2">
        <v>15</v>
      </c>
      <c r="M722" s="2">
        <v>0</v>
      </c>
      <c r="N722" s="2">
        <v>10</v>
      </c>
      <c r="O722" s="2">
        <v>10</v>
      </c>
      <c r="P722" s="2">
        <v>15</v>
      </c>
      <c r="Q722" s="2" t="s">
        <v>1958</v>
      </c>
      <c r="R722" s="2" t="s">
        <v>1958</v>
      </c>
      <c r="S722" s="4">
        <v>44837</v>
      </c>
    </row>
    <row r="723" spans="1:19" ht="12.5" x14ac:dyDescent="0.25">
      <c r="A723" s="14" t="str">
        <f>HYPERLINK("https://gerandofalcoes.my.salesforce.com/0014P00003YSp9BQAT", "0014P00003YSp9BQAT")</f>
        <v>0014P00003YSp9BQAT</v>
      </c>
      <c r="B723" s="2" t="s">
        <v>2839</v>
      </c>
      <c r="C723" s="2" t="s">
        <v>1800</v>
      </c>
      <c r="D723" s="2" t="s">
        <v>2</v>
      </c>
      <c r="E723" s="2">
        <v>11</v>
      </c>
      <c r="F723" s="2">
        <v>24</v>
      </c>
      <c r="G723" s="2">
        <v>4</v>
      </c>
      <c r="H723" s="2">
        <v>200</v>
      </c>
      <c r="I723" s="2">
        <v>112</v>
      </c>
      <c r="J723" s="2" t="s">
        <v>1671</v>
      </c>
      <c r="K723" s="2">
        <v>47</v>
      </c>
      <c r="L723" s="2">
        <v>10</v>
      </c>
      <c r="M723" s="2">
        <v>12</v>
      </c>
      <c r="N723" s="2">
        <v>10</v>
      </c>
      <c r="O723" s="2">
        <v>5</v>
      </c>
      <c r="P723" s="2">
        <v>10</v>
      </c>
      <c r="Q723" s="2" t="s">
        <v>2840</v>
      </c>
      <c r="R723" s="2" t="s">
        <v>2841</v>
      </c>
      <c r="S723" s="4">
        <v>44837</v>
      </c>
    </row>
    <row r="724" spans="1:19" ht="12.5" x14ac:dyDescent="0.25">
      <c r="A724" s="14" t="str">
        <f>HYPERLINK("https://gerandofalcoes.my.salesforce.com/0014P00003YSp9CQAT", "0014P00003YSp9CQAT")</f>
        <v>0014P00003YSp9CQAT</v>
      </c>
      <c r="B724" s="2" t="s">
        <v>2103</v>
      </c>
      <c r="C724" s="2" t="s">
        <v>1800</v>
      </c>
      <c r="D724" s="2" t="s">
        <v>2</v>
      </c>
      <c r="E724" s="2">
        <v>35</v>
      </c>
      <c r="F724" s="2">
        <v>1</v>
      </c>
      <c r="G724" s="2">
        <v>2</v>
      </c>
      <c r="H724" s="2">
        <v>120000</v>
      </c>
      <c r="I724" s="2">
        <v>100</v>
      </c>
      <c r="J724" s="2" t="s">
        <v>1671</v>
      </c>
      <c r="K724" s="2">
        <v>51</v>
      </c>
      <c r="L724" s="2">
        <v>15</v>
      </c>
      <c r="M724" s="2">
        <v>5</v>
      </c>
      <c r="N724" s="2">
        <v>6</v>
      </c>
      <c r="O724" s="2">
        <v>15</v>
      </c>
      <c r="P724" s="2">
        <v>10</v>
      </c>
      <c r="Q724" s="2" t="s">
        <v>2104</v>
      </c>
      <c r="R724" s="2" t="s">
        <v>2105</v>
      </c>
      <c r="S724" s="4">
        <v>44837</v>
      </c>
    </row>
    <row r="725" spans="1:19" ht="12.5" x14ac:dyDescent="0.25">
      <c r="A725" s="14" t="str">
        <f>HYPERLINK("https://gerandofalcoes.my.salesforce.com/0014P00003YSp9DQAT", "0014P00003YSp9DQAT")</f>
        <v>0014P00003YSp9DQAT</v>
      </c>
      <c r="B725" s="2" t="s">
        <v>2539</v>
      </c>
      <c r="C725" s="2" t="s">
        <v>1684</v>
      </c>
      <c r="D725" s="2" t="s">
        <v>2</v>
      </c>
      <c r="E725" s="2">
        <v>21</v>
      </c>
      <c r="F725" s="2">
        <v>1</v>
      </c>
      <c r="G725" s="2">
        <v>0</v>
      </c>
      <c r="H725" s="2">
        <v>0</v>
      </c>
      <c r="I725" s="2">
        <v>0</v>
      </c>
      <c r="J725" s="2" t="s">
        <v>1779</v>
      </c>
      <c r="K725" s="2">
        <v>15</v>
      </c>
      <c r="L725" s="2">
        <v>10</v>
      </c>
      <c r="M725" s="2">
        <v>5</v>
      </c>
      <c r="N725" s="2">
        <v>0</v>
      </c>
      <c r="O725" s="2">
        <v>0</v>
      </c>
      <c r="P725" s="2">
        <v>0</v>
      </c>
      <c r="Q725" s="2" t="s">
        <v>2540</v>
      </c>
      <c r="R725" s="2" t="s">
        <v>2540</v>
      </c>
      <c r="S725" s="4">
        <v>44837</v>
      </c>
    </row>
    <row r="726" spans="1:19" ht="12.5" x14ac:dyDescent="0.25">
      <c r="A726" s="14" t="str">
        <f>HYPERLINK("https://gerandofalcoes.my.salesforce.com/0014P00003YSp9EQAT", "0014P00003YSp9EQAT")</f>
        <v>0014P00003YSp9EQAT</v>
      </c>
      <c r="B726" s="2" t="s">
        <v>2279</v>
      </c>
      <c r="C726" s="2" t="s">
        <v>423</v>
      </c>
      <c r="D726" s="2" t="s">
        <v>2</v>
      </c>
      <c r="E726" s="2">
        <v>29.85</v>
      </c>
      <c r="F726" s="2">
        <v>2</v>
      </c>
      <c r="G726" s="2">
        <v>0</v>
      </c>
      <c r="H726" s="2">
        <v>0</v>
      </c>
      <c r="I726" s="2">
        <v>30</v>
      </c>
      <c r="J726" s="2" t="s">
        <v>1779</v>
      </c>
      <c r="K726" s="2">
        <v>25</v>
      </c>
      <c r="L726" s="2">
        <v>15</v>
      </c>
      <c r="M726" s="2">
        <v>5</v>
      </c>
      <c r="N726" s="2">
        <v>0</v>
      </c>
      <c r="O726" s="2">
        <v>0</v>
      </c>
      <c r="P726" s="2">
        <v>5</v>
      </c>
      <c r="Q726" s="2" t="s">
        <v>2280</v>
      </c>
      <c r="R726" s="2" t="s">
        <v>2281</v>
      </c>
      <c r="S726" s="4">
        <v>44837</v>
      </c>
    </row>
    <row r="727" spans="1:19" ht="12.5" x14ac:dyDescent="0.25">
      <c r="A727" s="14" t="str">
        <f>HYPERLINK("https://gerandofalcoes.my.salesforce.com/0014P00003YSp9FQAT", "0014P00003YSp9FQAT")</f>
        <v>0014P00003YSp9FQAT</v>
      </c>
      <c r="B727" s="2" t="s">
        <v>1972</v>
      </c>
      <c r="C727" s="2" t="s">
        <v>423</v>
      </c>
      <c r="D727" s="2" t="s">
        <v>2</v>
      </c>
      <c r="E727" s="2">
        <v>43</v>
      </c>
      <c r="F727" s="2">
        <v>7</v>
      </c>
      <c r="G727" s="2">
        <v>1</v>
      </c>
      <c r="H727" s="2">
        <v>43800</v>
      </c>
      <c r="I727" s="2">
        <v>60</v>
      </c>
      <c r="J727" s="2" t="s">
        <v>1671</v>
      </c>
      <c r="K727" s="2">
        <v>44</v>
      </c>
      <c r="L727" s="2">
        <v>15</v>
      </c>
      <c r="M727" s="2">
        <v>10</v>
      </c>
      <c r="N727" s="2">
        <v>4</v>
      </c>
      <c r="O727" s="2">
        <v>10</v>
      </c>
      <c r="P727" s="2">
        <v>5</v>
      </c>
      <c r="Q727" s="2" t="s">
        <v>1973</v>
      </c>
      <c r="R727" s="2" t="s">
        <v>1974</v>
      </c>
      <c r="S727" s="4">
        <v>44837</v>
      </c>
    </row>
    <row r="728" spans="1:19" ht="12.5" x14ac:dyDescent="0.25">
      <c r="A728" s="14" t="str">
        <f>HYPERLINK("https://gerandofalcoes.my.salesforce.com/0014P00003YSp9HQAT", "0014P00003YSp9HQAT")</f>
        <v>0014P00003YSp9HQAT</v>
      </c>
      <c r="B728" s="2" t="s">
        <v>2147</v>
      </c>
      <c r="C728" s="2" t="s">
        <v>423</v>
      </c>
      <c r="D728" s="2" t="s">
        <v>2</v>
      </c>
      <c r="E728" s="2">
        <v>36.79</v>
      </c>
      <c r="F728" s="2">
        <v>0</v>
      </c>
      <c r="G728" s="2">
        <v>2</v>
      </c>
      <c r="H728" s="2">
        <v>6435</v>
      </c>
      <c r="I728" s="2">
        <v>0</v>
      </c>
      <c r="J728" s="2" t="s">
        <v>1779</v>
      </c>
      <c r="K728" s="2">
        <v>26</v>
      </c>
      <c r="L728" s="2">
        <v>15</v>
      </c>
      <c r="M728" s="2">
        <v>0</v>
      </c>
      <c r="N728" s="2">
        <v>6</v>
      </c>
      <c r="O728" s="2">
        <v>5</v>
      </c>
      <c r="P728" s="2">
        <v>0</v>
      </c>
      <c r="Q728" s="2" t="s">
        <v>2148</v>
      </c>
      <c r="R728" s="2" t="s">
        <v>2149</v>
      </c>
      <c r="S728" s="4">
        <v>44837</v>
      </c>
    </row>
    <row r="729" spans="1:19" ht="12.5" x14ac:dyDescent="0.25">
      <c r="A729" s="14" t="str">
        <f>HYPERLINK("https://gerandofalcoes.my.salesforce.com/0014P00003YSp9IQAT", "0014P00003YSp9IQAT")</f>
        <v>0014P00003YSp9IQAT</v>
      </c>
      <c r="B729" s="2" t="s">
        <v>2425</v>
      </c>
      <c r="C729" s="2" t="s">
        <v>1684</v>
      </c>
      <c r="D729" s="2" t="s">
        <v>2</v>
      </c>
      <c r="E729" s="2">
        <v>25</v>
      </c>
      <c r="F729" s="2">
        <v>0</v>
      </c>
      <c r="G729" s="2">
        <v>0</v>
      </c>
      <c r="H729" s="2">
        <v>0</v>
      </c>
      <c r="I729" s="2">
        <v>0</v>
      </c>
      <c r="J729" s="2" t="s">
        <v>1779</v>
      </c>
      <c r="K729" s="2">
        <v>15</v>
      </c>
      <c r="L729" s="2">
        <v>15</v>
      </c>
      <c r="M729" s="2">
        <v>0</v>
      </c>
      <c r="N729" s="2">
        <v>0</v>
      </c>
      <c r="O729" s="2">
        <v>0</v>
      </c>
      <c r="P729" s="2">
        <v>0</v>
      </c>
      <c r="Q729" s="2" t="s">
        <v>2426</v>
      </c>
      <c r="R729" s="2" t="s">
        <v>2427</v>
      </c>
      <c r="S729" s="4">
        <v>44837</v>
      </c>
    </row>
    <row r="730" spans="1:19" ht="12.5" x14ac:dyDescent="0.25">
      <c r="A730" s="14" t="str">
        <f>HYPERLINK("https://gerandofalcoes.my.salesforce.com/0014P00003YSp9JQAT", "0014P00003YSp9JQAT")</f>
        <v>0014P00003YSp9JQAT</v>
      </c>
      <c r="B730" s="2" t="s">
        <v>2046</v>
      </c>
      <c r="C730" s="2" t="s">
        <v>423</v>
      </c>
      <c r="D730" s="2" t="s">
        <v>2</v>
      </c>
      <c r="E730" s="2">
        <v>37</v>
      </c>
      <c r="F730" s="2">
        <v>4</v>
      </c>
      <c r="G730" s="2">
        <v>4</v>
      </c>
      <c r="H730" s="2">
        <v>125000</v>
      </c>
      <c r="I730" s="2">
        <v>60</v>
      </c>
      <c r="J730" s="2" t="s">
        <v>1671</v>
      </c>
      <c r="K730" s="2">
        <v>50</v>
      </c>
      <c r="L730" s="2">
        <v>15</v>
      </c>
      <c r="M730" s="2">
        <v>5</v>
      </c>
      <c r="N730" s="2">
        <v>10</v>
      </c>
      <c r="O730" s="2">
        <v>15</v>
      </c>
      <c r="P730" s="2">
        <v>5</v>
      </c>
      <c r="Q730" s="2" t="s">
        <v>2047</v>
      </c>
      <c r="R730" s="2" t="s">
        <v>2048</v>
      </c>
      <c r="S730" s="4">
        <v>44837</v>
      </c>
    </row>
    <row r="731" spans="1:19" ht="12.5" x14ac:dyDescent="0.25">
      <c r="A731" s="14" t="str">
        <f>HYPERLINK("https://gerandofalcoes.my.salesforce.com/0014P00003YSp9LQAT", "0014P00003YSp9LQAT")</f>
        <v>0014P00003YSp9LQAT</v>
      </c>
      <c r="B731" s="2" t="s">
        <v>1908</v>
      </c>
      <c r="C731" s="2" t="s">
        <v>423</v>
      </c>
      <c r="D731" s="2" t="s">
        <v>2</v>
      </c>
      <c r="E731" s="2">
        <v>43</v>
      </c>
      <c r="F731" s="2">
        <v>16</v>
      </c>
      <c r="G731" s="2">
        <v>6</v>
      </c>
      <c r="H731" s="2">
        <v>153000</v>
      </c>
      <c r="I731" s="2">
        <v>593</v>
      </c>
      <c r="J731" s="2" t="s">
        <v>1650</v>
      </c>
      <c r="K731" s="2">
        <v>72</v>
      </c>
      <c r="L731" s="2">
        <v>15</v>
      </c>
      <c r="M731" s="2">
        <v>12</v>
      </c>
      <c r="N731" s="2">
        <v>10</v>
      </c>
      <c r="O731" s="2">
        <v>15</v>
      </c>
      <c r="P731" s="2">
        <v>20</v>
      </c>
      <c r="Q731" s="2" t="s">
        <v>1909</v>
      </c>
      <c r="R731" s="2" t="s">
        <v>1909</v>
      </c>
      <c r="S731" s="4">
        <v>44837</v>
      </c>
    </row>
    <row r="732" spans="1:19" ht="12.5" x14ac:dyDescent="0.25">
      <c r="A732" s="14" t="str">
        <f>HYPERLINK("https://gerandofalcoes.my.salesforce.com/0014P00003YSp9MQAT", "0014P00003YSp9MQAT")</f>
        <v>0014P00003YSp9MQAT</v>
      </c>
      <c r="B732" s="2" t="s">
        <v>1887</v>
      </c>
      <c r="C732" s="2" t="s">
        <v>1800</v>
      </c>
      <c r="D732" s="2" t="s">
        <v>2</v>
      </c>
      <c r="E732" s="2">
        <v>44</v>
      </c>
      <c r="F732" s="2">
        <v>2</v>
      </c>
      <c r="G732" s="2">
        <v>2</v>
      </c>
      <c r="H732" s="2">
        <v>9000</v>
      </c>
      <c r="I732" s="2">
        <v>30</v>
      </c>
      <c r="J732" s="2" t="s">
        <v>1779</v>
      </c>
      <c r="K732" s="2">
        <v>36</v>
      </c>
      <c r="L732" s="2">
        <v>15</v>
      </c>
      <c r="M732" s="2">
        <v>5</v>
      </c>
      <c r="N732" s="2">
        <v>6</v>
      </c>
      <c r="O732" s="2">
        <v>5</v>
      </c>
      <c r="P732" s="2">
        <v>5</v>
      </c>
      <c r="Q732" s="2" t="s">
        <v>1888</v>
      </c>
      <c r="R732" s="2" t="s">
        <v>1888</v>
      </c>
      <c r="S732" s="4">
        <v>44837</v>
      </c>
    </row>
    <row r="733" spans="1:19" ht="12.5" x14ac:dyDescent="0.25">
      <c r="A733" s="14" t="str">
        <f>HYPERLINK("https://gerandofalcoes.my.salesforce.com/0014P00003YSp9NQAT", "0014P00003YSp9NQAT")</f>
        <v>0014P00003YSp9NQAT</v>
      </c>
      <c r="B733" s="2" t="s">
        <v>2275</v>
      </c>
      <c r="C733" s="2" t="s">
        <v>423</v>
      </c>
      <c r="D733" s="2" t="s">
        <v>2</v>
      </c>
      <c r="E733" s="2">
        <v>30</v>
      </c>
      <c r="F733" s="2">
        <v>0</v>
      </c>
      <c r="G733" s="2">
        <v>2</v>
      </c>
      <c r="H733" s="2">
        <v>11000</v>
      </c>
      <c r="I733" s="2">
        <v>20</v>
      </c>
      <c r="J733" s="2" t="s">
        <v>1779</v>
      </c>
      <c r="K733" s="2">
        <v>31</v>
      </c>
      <c r="L733" s="2">
        <v>15</v>
      </c>
      <c r="M733" s="2">
        <v>0</v>
      </c>
      <c r="N733" s="2">
        <v>6</v>
      </c>
      <c r="O733" s="2">
        <v>5</v>
      </c>
      <c r="P733" s="2">
        <v>5</v>
      </c>
      <c r="Q733" s="2" t="s">
        <v>2276</v>
      </c>
      <c r="R733" s="2" t="s">
        <v>2276</v>
      </c>
      <c r="S733" s="4">
        <v>44837</v>
      </c>
    </row>
    <row r="734" spans="1:19" ht="12.5" x14ac:dyDescent="0.25">
      <c r="A734" s="14" t="str">
        <f>HYPERLINK("https://gerandofalcoes.my.salesforce.com/0014P00003YSp9OQAT", "0014P00003YSp9OQAT")</f>
        <v>0014P00003YSp9OQAT</v>
      </c>
      <c r="B734" s="2" t="s">
        <v>2593</v>
      </c>
      <c r="C734" s="2" t="s">
        <v>1800</v>
      </c>
      <c r="D734" s="2" t="s">
        <v>2</v>
      </c>
      <c r="E734" s="2">
        <v>19</v>
      </c>
      <c r="F734" s="2">
        <v>0</v>
      </c>
      <c r="G734" s="2">
        <v>8</v>
      </c>
      <c r="H734" s="2">
        <v>15000</v>
      </c>
      <c r="I734" s="2">
        <v>958</v>
      </c>
      <c r="J734" s="2" t="s">
        <v>1671</v>
      </c>
      <c r="K734" s="2">
        <v>45</v>
      </c>
      <c r="L734" s="2">
        <v>10</v>
      </c>
      <c r="M734" s="2">
        <v>0</v>
      </c>
      <c r="N734" s="2">
        <v>10</v>
      </c>
      <c r="O734" s="2">
        <v>5</v>
      </c>
      <c r="P734" s="2">
        <v>20</v>
      </c>
      <c r="Q734" s="2" t="s">
        <v>2594</v>
      </c>
      <c r="R734" s="2" t="s">
        <v>2595</v>
      </c>
      <c r="S734" s="4">
        <v>44837</v>
      </c>
    </row>
    <row r="735" spans="1:19" ht="12.5" x14ac:dyDescent="0.25">
      <c r="A735" s="14" t="str">
        <f>HYPERLINK("https://gerandofalcoes.my.salesforce.com/0014P00003YSpA3QAL", "0014P00003YSpA3QAL")</f>
        <v>0014P00003YSpA3QAL</v>
      </c>
      <c r="B735" s="2" t="s">
        <v>1910</v>
      </c>
      <c r="C735" s="2" t="s">
        <v>1800</v>
      </c>
      <c r="D735" s="2" t="s">
        <v>2</v>
      </c>
      <c r="E735" s="2">
        <v>43</v>
      </c>
      <c r="F735" s="2">
        <v>10</v>
      </c>
      <c r="G735" s="2">
        <v>2</v>
      </c>
      <c r="H735" s="2">
        <v>15000</v>
      </c>
      <c r="I735" s="2">
        <v>100</v>
      </c>
      <c r="J735" s="2" t="s">
        <v>1671</v>
      </c>
      <c r="K735" s="2">
        <v>46</v>
      </c>
      <c r="L735" s="2">
        <v>15</v>
      </c>
      <c r="M735" s="2">
        <v>10</v>
      </c>
      <c r="N735" s="2">
        <v>6</v>
      </c>
      <c r="O735" s="2">
        <v>5</v>
      </c>
      <c r="P735" s="2">
        <v>10</v>
      </c>
      <c r="Q735" s="2" t="s">
        <v>1911</v>
      </c>
      <c r="R735" s="2" t="s">
        <v>1912</v>
      </c>
      <c r="S735" s="4">
        <v>44837</v>
      </c>
    </row>
    <row r="736" spans="1:19" ht="12.5" x14ac:dyDescent="0.25">
      <c r="A736" s="14" t="str">
        <f>HYPERLINK("https://gerandofalcoes.my.salesforce.com/0014P00003YSpA0QAL", "0014P00003YSpA0QAL")</f>
        <v>0014P00003YSpA0QAL</v>
      </c>
      <c r="B736" s="2" t="s">
        <v>2734</v>
      </c>
      <c r="C736" s="2" t="s">
        <v>423</v>
      </c>
      <c r="D736" s="2" t="s">
        <v>2</v>
      </c>
      <c r="E736" s="2">
        <v>8</v>
      </c>
      <c r="F736" s="2">
        <v>10</v>
      </c>
      <c r="G736" s="2">
        <v>0</v>
      </c>
      <c r="H736" s="2">
        <v>0</v>
      </c>
      <c r="I736" s="2">
        <v>52</v>
      </c>
      <c r="J736" s="2" t="s">
        <v>1779</v>
      </c>
      <c r="K736" s="2">
        <v>25</v>
      </c>
      <c r="L736" s="2">
        <v>10</v>
      </c>
      <c r="M736" s="2">
        <v>10</v>
      </c>
      <c r="N736" s="2">
        <v>0</v>
      </c>
      <c r="O736" s="2">
        <v>0</v>
      </c>
      <c r="P736" s="2">
        <v>5</v>
      </c>
      <c r="Q736" s="2" t="s">
        <v>2735</v>
      </c>
      <c r="R736" s="2" t="s">
        <v>2736</v>
      </c>
      <c r="S736" s="4">
        <v>44837</v>
      </c>
    </row>
    <row r="737" spans="1:19" ht="12.5" x14ac:dyDescent="0.25">
      <c r="A737" s="14" t="str">
        <f>HYPERLINK("https://gerandofalcoes.my.salesforce.com/0014P00003YSpA1QAL", "0014P00003YSpA1QAL")</f>
        <v>0014P00003YSpA1QAL</v>
      </c>
      <c r="B737" s="2" t="s">
        <v>2238</v>
      </c>
      <c r="C737" s="2" t="s">
        <v>1800</v>
      </c>
      <c r="D737" s="2" t="s">
        <v>2</v>
      </c>
      <c r="E737" s="2">
        <v>31</v>
      </c>
      <c r="F737" s="2">
        <v>0</v>
      </c>
      <c r="G737" s="2">
        <v>2</v>
      </c>
      <c r="H737" s="2">
        <v>50000</v>
      </c>
      <c r="I737" s="2">
        <v>41</v>
      </c>
      <c r="J737" s="2" t="s">
        <v>1779</v>
      </c>
      <c r="K737" s="2">
        <v>36</v>
      </c>
      <c r="L737" s="2">
        <v>15</v>
      </c>
      <c r="M737" s="2">
        <v>0</v>
      </c>
      <c r="N737" s="2">
        <v>6</v>
      </c>
      <c r="O737" s="2">
        <v>10</v>
      </c>
      <c r="P737" s="2">
        <v>5</v>
      </c>
      <c r="Q737" s="2" t="s">
        <v>2239</v>
      </c>
      <c r="R737" s="2" t="s">
        <v>2239</v>
      </c>
      <c r="S737" s="4">
        <v>44837</v>
      </c>
    </row>
    <row r="738" spans="1:19" ht="12.5" x14ac:dyDescent="0.25">
      <c r="A738" s="14" t="str">
        <f>HYPERLINK("https://gerandofalcoes.my.salesforce.com/0014P00003YSpA2QAL", "0014P00003YSpA2QAL")</f>
        <v>0014P00003YSpA2QAL</v>
      </c>
      <c r="B738" s="2" t="s">
        <v>2469</v>
      </c>
      <c r="C738" s="2" t="s">
        <v>423</v>
      </c>
      <c r="D738" s="2" t="s">
        <v>2</v>
      </c>
      <c r="E738" s="2">
        <v>23</v>
      </c>
      <c r="F738" s="2">
        <v>0</v>
      </c>
      <c r="G738" s="2">
        <v>2</v>
      </c>
      <c r="H738" s="2">
        <v>12000</v>
      </c>
      <c r="I738" s="2">
        <v>0</v>
      </c>
      <c r="J738" s="2" t="s">
        <v>1779</v>
      </c>
      <c r="K738" s="2">
        <v>21</v>
      </c>
      <c r="L738" s="2">
        <v>10</v>
      </c>
      <c r="M738" s="2">
        <v>0</v>
      </c>
      <c r="N738" s="2">
        <v>6</v>
      </c>
      <c r="O738" s="2">
        <v>5</v>
      </c>
      <c r="P738" s="2">
        <v>0</v>
      </c>
      <c r="Q738" s="2" t="s">
        <v>2470</v>
      </c>
      <c r="R738" s="2" t="s">
        <v>2471</v>
      </c>
      <c r="S738" s="4">
        <v>44837</v>
      </c>
    </row>
    <row r="739" spans="1:19" ht="12.5" x14ac:dyDescent="0.25">
      <c r="A739" s="14" t="str">
        <f>HYPERLINK("https://gerandofalcoes.my.salesforce.com/0014P00003YSpA5QAL", "0014P00003YSpA5QAL")</f>
        <v>0014P00003YSpA5QAL</v>
      </c>
      <c r="B739" s="2" t="s">
        <v>1983</v>
      </c>
      <c r="C739" s="2" t="s">
        <v>423</v>
      </c>
      <c r="D739" s="2" t="s">
        <v>2</v>
      </c>
      <c r="E739" s="2">
        <v>39</v>
      </c>
      <c r="F739" s="2">
        <v>2</v>
      </c>
      <c r="G739" s="2">
        <v>5</v>
      </c>
      <c r="H739" s="2">
        <v>90000</v>
      </c>
      <c r="I739" s="2">
        <v>350</v>
      </c>
      <c r="J739" s="2" t="s">
        <v>1671</v>
      </c>
      <c r="K739" s="2">
        <v>55</v>
      </c>
      <c r="L739" s="2">
        <v>15</v>
      </c>
      <c r="M739" s="2">
        <v>5</v>
      </c>
      <c r="N739" s="2">
        <v>10</v>
      </c>
      <c r="O739" s="2">
        <v>10</v>
      </c>
      <c r="P739" s="2">
        <v>15</v>
      </c>
      <c r="Q739" s="2" t="s">
        <v>1984</v>
      </c>
      <c r="R739" s="2" t="s">
        <v>1985</v>
      </c>
      <c r="S739" s="4">
        <v>44837</v>
      </c>
    </row>
    <row r="740" spans="1:19" ht="12.5" x14ac:dyDescent="0.25">
      <c r="A740" s="14" t="str">
        <f>HYPERLINK("https://gerandofalcoes.my.salesforce.com/0014P00003YSpA7QAL", "0014P00003YSpA7QAL")</f>
        <v>0014P00003YSpA7QAL</v>
      </c>
      <c r="B740" s="2" t="s">
        <v>2818</v>
      </c>
      <c r="C740" s="2" t="s">
        <v>423</v>
      </c>
      <c r="D740" s="2" t="s">
        <v>2</v>
      </c>
      <c r="E740" s="2">
        <v>12.03</v>
      </c>
      <c r="F740" s="2">
        <v>1</v>
      </c>
      <c r="G740" s="2">
        <v>1</v>
      </c>
      <c r="H740" s="2">
        <v>20000000</v>
      </c>
      <c r="I740" s="2">
        <v>120</v>
      </c>
      <c r="J740" s="2" t="s">
        <v>1671</v>
      </c>
      <c r="K740" s="2">
        <v>54</v>
      </c>
      <c r="L740" s="2">
        <v>10</v>
      </c>
      <c r="M740" s="2">
        <v>5</v>
      </c>
      <c r="N740" s="2">
        <v>4</v>
      </c>
      <c r="O740" s="2">
        <v>25</v>
      </c>
      <c r="P740" s="2">
        <v>10</v>
      </c>
      <c r="Q740" s="2" t="s">
        <v>2819</v>
      </c>
      <c r="R740" s="2" t="s">
        <v>2819</v>
      </c>
      <c r="S740" s="4">
        <v>44837</v>
      </c>
    </row>
    <row r="741" spans="1:19" ht="12.5" x14ac:dyDescent="0.25">
      <c r="A741" s="14" t="str">
        <f>HYPERLINK("https://gerandofalcoes.my.salesforce.com/0014P00003YSpA8QAL", "0014P00003YSpA8QAL")</f>
        <v>0014P00003YSpA8QAL</v>
      </c>
      <c r="B741" s="2" t="s">
        <v>2647</v>
      </c>
      <c r="C741" s="2" t="s">
        <v>1800</v>
      </c>
      <c r="D741" s="2" t="s">
        <v>2</v>
      </c>
      <c r="E741" s="2">
        <v>18</v>
      </c>
      <c r="F741" s="2">
        <v>0</v>
      </c>
      <c r="G741" s="2">
        <v>2</v>
      </c>
      <c r="H741" s="2">
        <v>0</v>
      </c>
      <c r="I741" s="2">
        <v>0</v>
      </c>
      <c r="J741" s="2" t="s">
        <v>1779</v>
      </c>
      <c r="K741" s="2">
        <v>16</v>
      </c>
      <c r="L741" s="2">
        <v>10</v>
      </c>
      <c r="M741" s="2">
        <v>0</v>
      </c>
      <c r="N741" s="2">
        <v>6</v>
      </c>
      <c r="O741" s="2">
        <v>0</v>
      </c>
      <c r="P741" s="2">
        <v>0</v>
      </c>
      <c r="Q741" s="2" t="s">
        <v>2648</v>
      </c>
      <c r="R741" s="2" t="s">
        <v>2648</v>
      </c>
      <c r="S741" s="4">
        <v>44837</v>
      </c>
    </row>
    <row r="742" spans="1:19" ht="12.5" x14ac:dyDescent="0.25">
      <c r="A742" s="14" t="str">
        <f>HYPERLINK("https://gerandofalcoes.my.salesforce.com/0014P00003YSp9xQAD", "0014P00003YSp9xQAD")</f>
        <v>0014P00003YSp9xQAD</v>
      </c>
      <c r="B742" s="2" t="s">
        <v>2330</v>
      </c>
      <c r="C742" s="2" t="s">
        <v>1800</v>
      </c>
      <c r="D742" s="2" t="s">
        <v>2</v>
      </c>
      <c r="E742" s="2">
        <v>28</v>
      </c>
      <c r="F742" s="2">
        <v>0</v>
      </c>
      <c r="G742" s="2">
        <v>2</v>
      </c>
      <c r="H742" s="2">
        <v>120000</v>
      </c>
      <c r="I742" s="2">
        <v>29</v>
      </c>
      <c r="J742" s="2" t="s">
        <v>1671</v>
      </c>
      <c r="K742" s="2">
        <v>41</v>
      </c>
      <c r="L742" s="2">
        <v>15</v>
      </c>
      <c r="M742" s="2">
        <v>0</v>
      </c>
      <c r="N742" s="2">
        <v>6</v>
      </c>
      <c r="O742" s="2">
        <v>15</v>
      </c>
      <c r="P742" s="2">
        <v>5</v>
      </c>
      <c r="Q742" s="2" t="s">
        <v>2331</v>
      </c>
      <c r="R742" s="2" t="s">
        <v>2331</v>
      </c>
      <c r="S742" s="4">
        <v>44837</v>
      </c>
    </row>
    <row r="743" spans="1:19" ht="12.5" x14ac:dyDescent="0.25">
      <c r="A743" s="14" t="str">
        <f>HYPERLINK("https://gerandofalcoes.my.salesforce.com/0014P00003YSpA9QAL", "0014P00003YSpA9QAL")</f>
        <v>0014P00003YSpA9QAL</v>
      </c>
      <c r="B743" s="2" t="s">
        <v>1835</v>
      </c>
      <c r="C743" s="2" t="s">
        <v>423</v>
      </c>
      <c r="D743" s="2" t="s">
        <v>2</v>
      </c>
      <c r="E743" s="2">
        <v>31</v>
      </c>
      <c r="F743" s="2">
        <v>0</v>
      </c>
      <c r="G743" s="2">
        <v>2</v>
      </c>
      <c r="H743" s="2">
        <v>21270</v>
      </c>
      <c r="I743" s="2">
        <v>25</v>
      </c>
      <c r="J743" s="2" t="s">
        <v>1779</v>
      </c>
      <c r="K743" s="2">
        <v>31</v>
      </c>
      <c r="L743" s="2">
        <v>15</v>
      </c>
      <c r="M743" s="2">
        <v>0</v>
      </c>
      <c r="N743" s="2">
        <v>6</v>
      </c>
      <c r="O743" s="2">
        <v>5</v>
      </c>
      <c r="P743" s="2">
        <v>5</v>
      </c>
      <c r="Q743" s="2" t="s">
        <v>1836</v>
      </c>
      <c r="R743" s="2" t="s">
        <v>7152</v>
      </c>
      <c r="S743" s="4">
        <v>44837</v>
      </c>
    </row>
    <row r="744" spans="1:19" ht="12.5" x14ac:dyDescent="0.25">
      <c r="A744" s="14" t="str">
        <f>HYPERLINK("https://gerandofalcoes.my.salesforce.com/0014P00003YSpAAQA1", "0014P00003YSpAAQA1")</f>
        <v>0014P00003YSpAAQA1</v>
      </c>
      <c r="B744" s="2" t="s">
        <v>2428</v>
      </c>
      <c r="C744" s="2" t="s">
        <v>1684</v>
      </c>
      <c r="D744" s="2" t="s">
        <v>2</v>
      </c>
      <c r="E744" s="2">
        <v>25</v>
      </c>
      <c r="F744" s="2">
        <v>0</v>
      </c>
      <c r="G744" s="2">
        <v>0</v>
      </c>
      <c r="H744" s="2">
        <v>0</v>
      </c>
      <c r="I744" s="2">
        <v>0</v>
      </c>
      <c r="J744" s="2" t="s">
        <v>1779</v>
      </c>
      <c r="K744" s="2">
        <v>15</v>
      </c>
      <c r="L744" s="2">
        <v>15</v>
      </c>
      <c r="M744" s="2">
        <v>0</v>
      </c>
      <c r="N744" s="2">
        <v>0</v>
      </c>
      <c r="O744" s="2">
        <v>0</v>
      </c>
      <c r="P744" s="2">
        <v>0</v>
      </c>
      <c r="Q744" s="2" t="s">
        <v>2429</v>
      </c>
      <c r="R744" s="2" t="s">
        <v>2430</v>
      </c>
      <c r="S744" s="4">
        <v>44837</v>
      </c>
    </row>
    <row r="745" spans="1:19" ht="12.5" x14ac:dyDescent="0.25">
      <c r="A745" s="14" t="str">
        <f>HYPERLINK("https://gerandofalcoes.my.salesforce.com/0014P00003YSp9yQAD", "0014P00003YSp9yQAD")</f>
        <v>0014P00003YSp9yQAD</v>
      </c>
      <c r="B745" s="2" t="s">
        <v>2007</v>
      </c>
      <c r="C745" s="2" t="s">
        <v>1800</v>
      </c>
      <c r="D745" s="2" t="s">
        <v>2</v>
      </c>
      <c r="E745" s="2">
        <v>38</v>
      </c>
      <c r="F745" s="2">
        <v>63</v>
      </c>
      <c r="G745" s="2">
        <v>3</v>
      </c>
      <c r="H745" s="2">
        <v>750106</v>
      </c>
      <c r="I745" s="2">
        <v>900</v>
      </c>
      <c r="J745" s="2" t="s">
        <v>1650</v>
      </c>
      <c r="K745" s="2">
        <v>78</v>
      </c>
      <c r="L745" s="2">
        <v>15</v>
      </c>
      <c r="M745" s="2">
        <v>15</v>
      </c>
      <c r="N745" s="2">
        <v>8</v>
      </c>
      <c r="O745" s="2">
        <v>20</v>
      </c>
      <c r="P745" s="2">
        <v>20</v>
      </c>
      <c r="Q745" s="2" t="s">
        <v>2008</v>
      </c>
      <c r="R745" s="2" t="s">
        <v>2009</v>
      </c>
      <c r="S745" s="4">
        <v>44837</v>
      </c>
    </row>
    <row r="746" spans="1:19" ht="12.5" x14ac:dyDescent="0.25">
      <c r="A746" s="14" t="str">
        <f>HYPERLINK("https://gerandofalcoes.my.salesforce.com/0014P00003YSp9zQAD", "0014P00003YSp9zQAD")</f>
        <v>0014P00003YSp9zQAD</v>
      </c>
      <c r="B746" s="2" t="s">
        <v>1776</v>
      </c>
      <c r="C746" s="2" t="s">
        <v>423</v>
      </c>
      <c r="D746" s="2" t="s">
        <v>2</v>
      </c>
      <c r="E746" s="2">
        <v>34</v>
      </c>
      <c r="F746" s="2">
        <v>0</v>
      </c>
      <c r="G746" s="2">
        <v>12</v>
      </c>
      <c r="H746" s="2">
        <v>17000000</v>
      </c>
      <c r="I746" s="2">
        <v>750</v>
      </c>
      <c r="J746" s="2" t="s">
        <v>1650</v>
      </c>
      <c r="K746" s="2">
        <v>70</v>
      </c>
      <c r="L746" s="2">
        <v>15</v>
      </c>
      <c r="M746" s="2">
        <v>0</v>
      </c>
      <c r="N746" s="2">
        <v>10</v>
      </c>
      <c r="O746" s="2">
        <v>25</v>
      </c>
      <c r="P746" s="2">
        <v>20</v>
      </c>
      <c r="Q746" s="2" t="s">
        <v>1777</v>
      </c>
      <c r="R746" s="2" t="s">
        <v>1777</v>
      </c>
      <c r="S746" s="4">
        <v>44837</v>
      </c>
    </row>
    <row r="747" spans="1:19" ht="12.5" x14ac:dyDescent="0.25">
      <c r="A747" s="14" t="str">
        <f>HYPERLINK("https://gerandofalcoes.my.salesforce.com/0014P00003YSpACQA1", "0014P00003YSpACQA1")</f>
        <v>0014P00003YSpACQA1</v>
      </c>
      <c r="B747" s="2" t="s">
        <v>2601</v>
      </c>
      <c r="C747" s="2" t="s">
        <v>1800</v>
      </c>
      <c r="D747" s="2" t="s">
        <v>2</v>
      </c>
      <c r="E747" s="2">
        <v>19</v>
      </c>
      <c r="F747" s="2">
        <v>2</v>
      </c>
      <c r="G747" s="2">
        <v>2</v>
      </c>
      <c r="H747" s="2">
        <v>0</v>
      </c>
      <c r="I747" s="2">
        <v>120</v>
      </c>
      <c r="J747" s="2" t="s">
        <v>1779</v>
      </c>
      <c r="K747" s="2">
        <v>31</v>
      </c>
      <c r="L747" s="2">
        <v>10</v>
      </c>
      <c r="M747" s="2">
        <v>5</v>
      </c>
      <c r="N747" s="2">
        <v>6</v>
      </c>
      <c r="O747" s="2">
        <v>0</v>
      </c>
      <c r="P747" s="2">
        <v>10</v>
      </c>
      <c r="Q747" s="2" t="s">
        <v>2602</v>
      </c>
      <c r="R747" s="2" t="s">
        <v>2602</v>
      </c>
      <c r="S747" s="4">
        <v>44837</v>
      </c>
    </row>
    <row r="748" spans="1:19" ht="12.5" x14ac:dyDescent="0.25">
      <c r="A748" s="14" t="str">
        <f>HYPERLINK("https://gerandofalcoes.my.salesforce.com/0014P00003YSpADQA1", "0014P00003YSpADQA1")</f>
        <v>0014P00003YSpADQA1</v>
      </c>
      <c r="B748" s="2" t="s">
        <v>1736</v>
      </c>
      <c r="C748" s="2" t="s">
        <v>423</v>
      </c>
      <c r="D748" s="2" t="s">
        <v>2</v>
      </c>
      <c r="E748" s="2">
        <v>41</v>
      </c>
      <c r="F748" s="2">
        <v>10</v>
      </c>
      <c r="G748" s="2">
        <v>7</v>
      </c>
      <c r="H748" s="2">
        <v>595384</v>
      </c>
      <c r="I748" s="2">
        <v>246</v>
      </c>
      <c r="J748" s="2" t="s">
        <v>1650</v>
      </c>
      <c r="K748" s="2">
        <v>67</v>
      </c>
      <c r="L748" s="2">
        <v>15</v>
      </c>
      <c r="M748" s="2">
        <v>10</v>
      </c>
      <c r="N748" s="2">
        <v>10</v>
      </c>
      <c r="O748" s="2">
        <v>20</v>
      </c>
      <c r="P748" s="2">
        <v>12</v>
      </c>
      <c r="Q748" s="2" t="s">
        <v>1737</v>
      </c>
      <c r="R748" s="2" t="s">
        <v>1737</v>
      </c>
      <c r="S748" s="4">
        <v>44837</v>
      </c>
    </row>
    <row r="749" spans="1:19" ht="12.5" x14ac:dyDescent="0.25">
      <c r="A749" s="14" t="str">
        <f>HYPERLINK("https://gerandofalcoes.my.salesforce.com/0014P00003YSpAEQA1", "0014P00003YSpAEQA1")</f>
        <v>0014P00003YSpAEQA1</v>
      </c>
      <c r="B749" s="2" t="s">
        <v>2962</v>
      </c>
      <c r="C749" s="2" t="s">
        <v>423</v>
      </c>
      <c r="D749" s="2" t="s">
        <v>2</v>
      </c>
      <c r="E749" s="2">
        <v>17</v>
      </c>
      <c r="F749" s="2">
        <v>0</v>
      </c>
      <c r="G749" s="2">
        <v>0</v>
      </c>
      <c r="H749" s="2">
        <v>0</v>
      </c>
      <c r="I749" s="2">
        <v>300</v>
      </c>
      <c r="J749" s="2" t="s">
        <v>1779</v>
      </c>
      <c r="K749" s="2">
        <v>25</v>
      </c>
      <c r="L749" s="2">
        <v>10</v>
      </c>
      <c r="M749" s="2">
        <v>0</v>
      </c>
      <c r="N749" s="2">
        <v>0</v>
      </c>
      <c r="O749" s="2">
        <v>0</v>
      </c>
      <c r="P749" s="2">
        <v>15</v>
      </c>
      <c r="Q749" s="2" t="s">
        <v>2963</v>
      </c>
      <c r="R749" s="2" t="s">
        <v>2964</v>
      </c>
      <c r="S749" s="4">
        <v>44837</v>
      </c>
    </row>
    <row r="750" spans="1:19" ht="12.5" x14ac:dyDescent="0.25">
      <c r="A750" s="14" t="str">
        <f>HYPERLINK("https://gerandofalcoes.my.salesforce.com/0014P00003YSpAFQA1", "0014P00003YSpAFQA1")</f>
        <v>0014P00003YSpAFQA1</v>
      </c>
      <c r="B750" s="2" t="s">
        <v>2191</v>
      </c>
      <c r="C750" s="2" t="s">
        <v>1684</v>
      </c>
      <c r="D750" s="2" t="s">
        <v>2</v>
      </c>
      <c r="E750" s="2">
        <v>33</v>
      </c>
      <c r="F750" s="2">
        <v>3</v>
      </c>
      <c r="G750" s="2">
        <v>0</v>
      </c>
      <c r="H750" s="2">
        <v>0</v>
      </c>
      <c r="I750" s="2">
        <v>0</v>
      </c>
      <c r="J750" s="2" t="s">
        <v>1779</v>
      </c>
      <c r="K750" s="2">
        <v>20</v>
      </c>
      <c r="L750" s="2">
        <v>15</v>
      </c>
      <c r="M750" s="2">
        <v>5</v>
      </c>
      <c r="N750" s="2">
        <v>0</v>
      </c>
      <c r="O750" s="2">
        <v>0</v>
      </c>
      <c r="P750" s="2">
        <v>0</v>
      </c>
      <c r="Q750" s="2" t="s">
        <v>2192</v>
      </c>
      <c r="R750" s="2" t="s">
        <v>2193</v>
      </c>
      <c r="S750" s="4">
        <v>44837</v>
      </c>
    </row>
    <row r="751" spans="1:19" ht="12.5" x14ac:dyDescent="0.25">
      <c r="A751" s="14" t="str">
        <f>HYPERLINK("https://gerandofalcoes.my.salesforce.com/0014P00003YSpAGQA1", "0014P00003YSpAGQA1")</f>
        <v>0014P00003YSpAGQA1</v>
      </c>
      <c r="B751" s="2" t="s">
        <v>2850</v>
      </c>
      <c r="C751" s="2" t="s">
        <v>423</v>
      </c>
      <c r="D751" s="2" t="s">
        <v>2</v>
      </c>
      <c r="E751" s="2">
        <v>20</v>
      </c>
      <c r="F751" s="2">
        <v>0</v>
      </c>
      <c r="G751" s="2">
        <v>2</v>
      </c>
      <c r="H751" s="2">
        <v>3156570</v>
      </c>
      <c r="I751" s="2">
        <v>120</v>
      </c>
      <c r="J751" s="2" t="s">
        <v>1671</v>
      </c>
      <c r="K751" s="2">
        <v>51</v>
      </c>
      <c r="L751" s="2">
        <v>10</v>
      </c>
      <c r="M751" s="2">
        <v>0</v>
      </c>
      <c r="N751" s="2">
        <v>6</v>
      </c>
      <c r="O751" s="2">
        <v>25</v>
      </c>
      <c r="P751" s="2">
        <v>10</v>
      </c>
      <c r="Q751" s="2" t="s">
        <v>2851</v>
      </c>
      <c r="R751" s="2" t="s">
        <v>2852</v>
      </c>
      <c r="S751" s="4">
        <v>44837</v>
      </c>
    </row>
    <row r="752" spans="1:19" ht="12.5" x14ac:dyDescent="0.25">
      <c r="A752" s="14" t="str">
        <f>HYPERLINK("https://gerandofalcoes.my.salesforce.com/0014P00003YSpAHQA1", "0014P00003YSpAHQA1")</f>
        <v>0014P00003YSpAHQA1</v>
      </c>
      <c r="B752" s="2" t="s">
        <v>1881</v>
      </c>
      <c r="C752" s="2" t="s">
        <v>423</v>
      </c>
      <c r="D752" s="2" t="s">
        <v>2</v>
      </c>
      <c r="E752" s="2">
        <v>44.09</v>
      </c>
      <c r="F752" s="2">
        <v>34</v>
      </c>
      <c r="G752" s="2">
        <v>3</v>
      </c>
      <c r="H752" s="2">
        <v>109250786</v>
      </c>
      <c r="I752" s="2">
        <v>15</v>
      </c>
      <c r="J752" s="2" t="s">
        <v>1650</v>
      </c>
      <c r="K752" s="2">
        <v>68</v>
      </c>
      <c r="L752" s="2">
        <v>15</v>
      </c>
      <c r="M752" s="2">
        <v>15</v>
      </c>
      <c r="N752" s="2">
        <v>8</v>
      </c>
      <c r="O752" s="2">
        <v>25</v>
      </c>
      <c r="P752" s="2">
        <v>5</v>
      </c>
      <c r="Q752" s="2" t="s">
        <v>1882</v>
      </c>
      <c r="R752" s="2" t="s">
        <v>1882</v>
      </c>
      <c r="S752" s="4">
        <v>44837</v>
      </c>
    </row>
    <row r="753" spans="1:19" ht="12.5" x14ac:dyDescent="0.25">
      <c r="A753" s="14" t="str">
        <f>HYPERLINK("https://gerandofalcoes.my.salesforce.com/0014P00003YSpAIQA1", "0014P00003YSpAIQA1")</f>
        <v>0014P00003YSpAIQA1</v>
      </c>
      <c r="B753" s="2" t="s">
        <v>1810</v>
      </c>
      <c r="C753" s="2" t="s">
        <v>423</v>
      </c>
      <c r="D753" s="2" t="s">
        <v>2</v>
      </c>
      <c r="E753" s="2">
        <v>52.5</v>
      </c>
      <c r="F753" s="2">
        <v>0</v>
      </c>
      <c r="G753" s="2">
        <v>3</v>
      </c>
      <c r="H753" s="2">
        <v>17707602</v>
      </c>
      <c r="I753" s="2">
        <v>0</v>
      </c>
      <c r="J753" s="2" t="s">
        <v>1671</v>
      </c>
      <c r="K753" s="2">
        <v>53</v>
      </c>
      <c r="L753" s="2">
        <v>20</v>
      </c>
      <c r="M753" s="2">
        <v>0</v>
      </c>
      <c r="N753" s="2">
        <v>8</v>
      </c>
      <c r="O753" s="2">
        <v>25</v>
      </c>
      <c r="P753" s="2">
        <v>0</v>
      </c>
      <c r="Q753" s="2" t="s">
        <v>1811</v>
      </c>
      <c r="R753" s="2" t="s">
        <v>1812</v>
      </c>
      <c r="S753" s="4">
        <v>44837</v>
      </c>
    </row>
    <row r="754" spans="1:19" ht="12.5" x14ac:dyDescent="0.25">
      <c r="A754" s="14" t="str">
        <f>HYPERLINK("https://gerandofalcoes.my.salesforce.com/0014X00002VKCqvQAH", "0014X00002VKCqvQAH")</f>
        <v>0014X00002VKCqvQAH</v>
      </c>
      <c r="B754" s="2" t="s">
        <v>2261</v>
      </c>
      <c r="C754" s="2" t="s">
        <v>1800</v>
      </c>
      <c r="D754" s="2" t="s">
        <v>2</v>
      </c>
      <c r="E754" s="2">
        <v>30</v>
      </c>
      <c r="F754" s="2">
        <v>0</v>
      </c>
      <c r="G754" s="2">
        <v>3</v>
      </c>
      <c r="H754" s="2">
        <v>10000</v>
      </c>
      <c r="I754" s="2">
        <v>300</v>
      </c>
      <c r="J754" s="2" t="s">
        <v>1671</v>
      </c>
      <c r="K754" s="2">
        <v>43</v>
      </c>
      <c r="L754" s="2">
        <v>15</v>
      </c>
      <c r="M754" s="2">
        <v>0</v>
      </c>
      <c r="N754" s="2">
        <v>8</v>
      </c>
      <c r="O754" s="2">
        <v>5</v>
      </c>
      <c r="P754" s="2">
        <v>15</v>
      </c>
      <c r="Q754" s="2" t="s">
        <v>2262</v>
      </c>
      <c r="R754" s="2" t="s">
        <v>2263</v>
      </c>
      <c r="S754" s="4">
        <v>44837</v>
      </c>
    </row>
    <row r="755" spans="1:19" ht="12.5" x14ac:dyDescent="0.25">
      <c r="A755" s="14" t="str">
        <f>HYPERLINK("https://gerandofalcoes.my.salesforce.com/0014X00002VKCp5QAH", "0014X00002VKCp5QAH")</f>
        <v>0014X00002VKCp5QAH</v>
      </c>
      <c r="B755" s="2" t="s">
        <v>2289</v>
      </c>
      <c r="C755" s="2" t="s">
        <v>423</v>
      </c>
      <c r="D755" s="2" t="s">
        <v>2</v>
      </c>
      <c r="E755" s="2">
        <v>29</v>
      </c>
      <c r="F755" s="2">
        <v>0</v>
      </c>
      <c r="G755" s="2">
        <v>8</v>
      </c>
      <c r="H755" s="2">
        <v>52000</v>
      </c>
      <c r="I755" s="2">
        <v>2500</v>
      </c>
      <c r="J755" s="2" t="s">
        <v>1671</v>
      </c>
      <c r="K755" s="2">
        <v>55</v>
      </c>
      <c r="L755" s="2">
        <v>15</v>
      </c>
      <c r="M755" s="2">
        <v>0</v>
      </c>
      <c r="N755" s="2">
        <v>10</v>
      </c>
      <c r="O755" s="2">
        <v>10</v>
      </c>
      <c r="P755" s="2">
        <v>20</v>
      </c>
      <c r="Q755" s="2" t="s">
        <v>2290</v>
      </c>
      <c r="R755" s="2" t="s">
        <v>2291</v>
      </c>
      <c r="S755" s="4">
        <v>44837</v>
      </c>
    </row>
    <row r="756" spans="1:19" ht="12.5" x14ac:dyDescent="0.25">
      <c r="A756" s="14" t="str">
        <f>HYPERLINK("https://gerandofalcoes.my.salesforce.com/0014X00002VKCqlQAH", "0014X00002VKCqlQAH")</f>
        <v>0014X00002VKCqlQAH</v>
      </c>
      <c r="B756" s="2" t="s">
        <v>1741</v>
      </c>
      <c r="C756" s="2" t="s">
        <v>423</v>
      </c>
      <c r="D756" s="2" t="s">
        <v>2</v>
      </c>
      <c r="E756" s="2">
        <v>71</v>
      </c>
      <c r="F756" s="2">
        <v>5</v>
      </c>
      <c r="G756" s="2">
        <v>3</v>
      </c>
      <c r="H756" s="2">
        <v>300000</v>
      </c>
      <c r="I756" s="2">
        <v>83</v>
      </c>
      <c r="J756" s="2" t="s">
        <v>1671</v>
      </c>
      <c r="K756" s="2">
        <v>63</v>
      </c>
      <c r="L756" s="2">
        <v>20</v>
      </c>
      <c r="M756" s="2">
        <v>5</v>
      </c>
      <c r="N756" s="2">
        <v>8</v>
      </c>
      <c r="O756" s="2">
        <v>20</v>
      </c>
      <c r="P756" s="2">
        <v>10</v>
      </c>
      <c r="Q756" s="2" t="s">
        <v>1742</v>
      </c>
      <c r="R756" s="2" t="s">
        <v>1743</v>
      </c>
      <c r="S756" s="4">
        <v>44837</v>
      </c>
    </row>
    <row r="757" spans="1:19" ht="12.5" x14ac:dyDescent="0.25">
      <c r="A757" s="14" t="str">
        <f>HYPERLINK("https://gerandofalcoes.my.salesforce.com/0014X00002VKCqaQAH", "0014X00002VKCqaQAH")</f>
        <v>0014X00002VKCqaQAH</v>
      </c>
      <c r="B757" s="2" t="s">
        <v>2277</v>
      </c>
      <c r="C757" s="2" t="s">
        <v>1800</v>
      </c>
      <c r="D757" s="2" t="s">
        <v>2</v>
      </c>
      <c r="E757" s="2">
        <v>30</v>
      </c>
      <c r="F757" s="2">
        <v>0</v>
      </c>
      <c r="G757" s="2">
        <v>2</v>
      </c>
      <c r="H757" s="2">
        <v>0</v>
      </c>
      <c r="I757" s="2">
        <v>10</v>
      </c>
      <c r="J757" s="2" t="s">
        <v>1779</v>
      </c>
      <c r="K757" s="2">
        <v>26</v>
      </c>
      <c r="L757" s="2">
        <v>15</v>
      </c>
      <c r="M757" s="2">
        <v>0</v>
      </c>
      <c r="N757" s="2">
        <v>6</v>
      </c>
      <c r="O757" s="2">
        <v>0</v>
      </c>
      <c r="P757" s="2">
        <v>5</v>
      </c>
      <c r="Q757" s="2" t="s">
        <v>2278</v>
      </c>
      <c r="R757" s="2" t="s">
        <v>2278</v>
      </c>
      <c r="S757" s="4">
        <v>44837</v>
      </c>
    </row>
    <row r="758" spans="1:19" ht="12.5" x14ac:dyDescent="0.25">
      <c r="A758" s="14" t="str">
        <f>HYPERLINK("https://gerandofalcoes.my.salesforce.com/0014X00002VKCtpQAH", "0014X00002VKCtpQAH")</f>
        <v>0014X00002VKCtpQAH</v>
      </c>
      <c r="B758" s="2" t="s">
        <v>2616</v>
      </c>
      <c r="C758" s="2" t="s">
        <v>423</v>
      </c>
      <c r="D758" s="2" t="s">
        <v>2</v>
      </c>
      <c r="E758" s="2">
        <v>19</v>
      </c>
      <c r="F758" s="2">
        <v>0</v>
      </c>
      <c r="G758" s="2">
        <v>2</v>
      </c>
      <c r="H758" s="2">
        <v>0</v>
      </c>
      <c r="I758" s="2">
        <v>0</v>
      </c>
      <c r="J758" s="2" t="s">
        <v>1779</v>
      </c>
      <c r="K758" s="2">
        <v>16</v>
      </c>
      <c r="L758" s="2">
        <v>10</v>
      </c>
      <c r="M758" s="2">
        <v>0</v>
      </c>
      <c r="N758" s="2">
        <v>6</v>
      </c>
      <c r="O758" s="2">
        <v>0</v>
      </c>
      <c r="P758" s="2">
        <v>0</v>
      </c>
      <c r="Q758" s="2" t="s">
        <v>2617</v>
      </c>
      <c r="R758" s="2" t="s">
        <v>2618</v>
      </c>
      <c r="S758" s="4">
        <v>44837</v>
      </c>
    </row>
    <row r="759" spans="1:19" ht="12.5" x14ac:dyDescent="0.25">
      <c r="A759" s="14" t="str">
        <f>HYPERLINK("https://gerandofalcoes.my.salesforce.com/0014X00002VKCpkQAH", "0014X00002VKCpkQAH")</f>
        <v>0014X00002VKCpkQAH</v>
      </c>
      <c r="B759" s="2" t="s">
        <v>2096</v>
      </c>
      <c r="C759" s="2" t="s">
        <v>423</v>
      </c>
      <c r="D759" s="2" t="s">
        <v>2</v>
      </c>
      <c r="E759" s="2">
        <v>35</v>
      </c>
      <c r="F759" s="2">
        <v>15</v>
      </c>
      <c r="G759" s="2">
        <v>4</v>
      </c>
      <c r="H759" s="2">
        <v>78000</v>
      </c>
      <c r="I759" s="2">
        <v>240</v>
      </c>
      <c r="J759" s="2" t="s">
        <v>1671</v>
      </c>
      <c r="K759" s="2">
        <v>59</v>
      </c>
      <c r="L759" s="2">
        <v>15</v>
      </c>
      <c r="M759" s="2">
        <v>12</v>
      </c>
      <c r="N759" s="2">
        <v>10</v>
      </c>
      <c r="O759" s="2">
        <v>10</v>
      </c>
      <c r="P759" s="2">
        <v>12</v>
      </c>
      <c r="Q759" s="2" t="s">
        <v>2097</v>
      </c>
      <c r="R759" s="2" t="s">
        <v>2097</v>
      </c>
      <c r="S759" s="4">
        <v>44837</v>
      </c>
    </row>
    <row r="760" spans="1:19" ht="12.5" x14ac:dyDescent="0.25">
      <c r="A760" s="14" t="str">
        <f>HYPERLINK("https://gerandofalcoes.my.salesforce.com/0014X00002VKCs5QAH", "0014X00002VKCs5QAH")</f>
        <v>0014X00002VKCs5QAH</v>
      </c>
      <c r="B760" s="2" t="s">
        <v>2588</v>
      </c>
      <c r="C760" s="2" t="s">
        <v>423</v>
      </c>
      <c r="D760" s="2" t="s">
        <v>2</v>
      </c>
      <c r="E760" s="2">
        <v>42</v>
      </c>
      <c r="F760" s="2">
        <v>0</v>
      </c>
      <c r="G760" s="2">
        <v>3</v>
      </c>
      <c r="H760" s="2">
        <v>140000</v>
      </c>
      <c r="I760" s="2">
        <v>0</v>
      </c>
      <c r="J760" s="2" t="s">
        <v>1779</v>
      </c>
      <c r="K760" s="2">
        <v>38</v>
      </c>
      <c r="L760" s="2">
        <v>15</v>
      </c>
      <c r="M760" s="2">
        <v>0</v>
      </c>
      <c r="N760" s="2">
        <v>8</v>
      </c>
      <c r="O760" s="2">
        <v>15</v>
      </c>
      <c r="P760" s="2">
        <v>0</v>
      </c>
      <c r="Q760" s="2" t="s">
        <v>2589</v>
      </c>
      <c r="R760" s="2" t="s">
        <v>2590</v>
      </c>
      <c r="S760" s="4">
        <v>44837</v>
      </c>
    </row>
    <row r="761" spans="1:19" ht="12.5" x14ac:dyDescent="0.25">
      <c r="A761" s="14" t="str">
        <f>HYPERLINK("https://gerandofalcoes.my.salesforce.com/0014X00002VKCqjQAH", "0014X00002VKCqjQAH")</f>
        <v>0014X00002VKCqjQAH</v>
      </c>
      <c r="B761" s="2" t="s">
        <v>2683</v>
      </c>
      <c r="C761" s="2" t="s">
        <v>423</v>
      </c>
      <c r="D761" s="2" t="s">
        <v>2</v>
      </c>
      <c r="E761" s="2">
        <v>23</v>
      </c>
      <c r="F761" s="2">
        <v>0</v>
      </c>
      <c r="G761" s="2">
        <v>3</v>
      </c>
      <c r="H761" s="2">
        <v>8000</v>
      </c>
      <c r="I761" s="2">
        <v>200</v>
      </c>
      <c r="J761" s="2" t="s">
        <v>1779</v>
      </c>
      <c r="K761" s="2">
        <v>35</v>
      </c>
      <c r="L761" s="2">
        <v>10</v>
      </c>
      <c r="M761" s="2">
        <v>0</v>
      </c>
      <c r="N761" s="2">
        <v>8</v>
      </c>
      <c r="O761" s="2">
        <v>5</v>
      </c>
      <c r="P761" s="2">
        <v>12</v>
      </c>
      <c r="Q761" s="2" t="s">
        <v>2684</v>
      </c>
      <c r="R761" s="2" t="s">
        <v>2685</v>
      </c>
      <c r="S761" s="4">
        <v>44837</v>
      </c>
    </row>
    <row r="762" spans="1:19" ht="12.5" x14ac:dyDescent="0.25">
      <c r="A762" s="14" t="str">
        <f>HYPERLINK("https://gerandofalcoes.my.salesforce.com/0014X00002VKCqoQAH", "0014X00002VKCqoQAH")</f>
        <v>0014X00002VKCqoQAH</v>
      </c>
      <c r="B762" s="2" t="s">
        <v>2076</v>
      </c>
      <c r="C762" s="2" t="s">
        <v>1800</v>
      </c>
      <c r="D762" s="2" t="s">
        <v>2</v>
      </c>
      <c r="E762" s="2">
        <v>36</v>
      </c>
      <c r="F762" s="2">
        <v>1</v>
      </c>
      <c r="G762" s="2">
        <v>7</v>
      </c>
      <c r="H762" s="2">
        <v>13800</v>
      </c>
      <c r="I762" s="2">
        <v>100</v>
      </c>
      <c r="J762" s="2" t="s">
        <v>1671</v>
      </c>
      <c r="K762" s="2">
        <v>45</v>
      </c>
      <c r="L762" s="2">
        <v>15</v>
      </c>
      <c r="M762" s="2">
        <v>5</v>
      </c>
      <c r="N762" s="2">
        <v>10</v>
      </c>
      <c r="O762" s="2">
        <v>5</v>
      </c>
      <c r="P762" s="2">
        <v>10</v>
      </c>
      <c r="Q762" s="2" t="s">
        <v>2077</v>
      </c>
      <c r="R762" s="2" t="s">
        <v>2077</v>
      </c>
      <c r="S762" s="4">
        <v>44837</v>
      </c>
    </row>
    <row r="763" spans="1:19" ht="12.5" x14ac:dyDescent="0.25">
      <c r="A763" s="14" t="str">
        <f>HYPERLINK("https://gerandofalcoes.my.salesforce.com/0014X00002VKCujQAH", "0014X00002VKCujQAH")</f>
        <v>0014X00002VKCujQAH</v>
      </c>
      <c r="B763" s="2" t="s">
        <v>1838</v>
      </c>
      <c r="C763" s="2" t="s">
        <v>423</v>
      </c>
      <c r="D763" s="2" t="s">
        <v>2</v>
      </c>
      <c r="E763" s="2">
        <v>74</v>
      </c>
      <c r="F763" s="2">
        <v>4</v>
      </c>
      <c r="G763" s="2">
        <v>1</v>
      </c>
      <c r="H763" s="2">
        <v>679520</v>
      </c>
      <c r="I763" s="2">
        <v>100</v>
      </c>
      <c r="J763" s="2" t="s">
        <v>1671</v>
      </c>
      <c r="K763" s="2">
        <v>59</v>
      </c>
      <c r="L763" s="2">
        <v>20</v>
      </c>
      <c r="M763" s="2">
        <v>5</v>
      </c>
      <c r="N763" s="2">
        <v>4</v>
      </c>
      <c r="O763" s="2">
        <v>20</v>
      </c>
      <c r="P763" s="2">
        <v>10</v>
      </c>
      <c r="Q763" s="2" t="s">
        <v>1839</v>
      </c>
      <c r="R763" s="2" t="s">
        <v>1840</v>
      </c>
      <c r="S763" s="4">
        <v>44837</v>
      </c>
    </row>
    <row r="764" spans="1:19" ht="12.5" x14ac:dyDescent="0.25">
      <c r="A764" s="14" t="str">
        <f>HYPERLINK("https://gerandofalcoes.my.salesforce.com/0014X00002VKCqOQAX", "0014X00002VKCqOQAX")</f>
        <v>0014X00002VKCqOQAX</v>
      </c>
      <c r="B764" s="2" t="s">
        <v>2521</v>
      </c>
      <c r="C764" s="2" t="s">
        <v>423</v>
      </c>
      <c r="D764" s="2" t="s">
        <v>2</v>
      </c>
      <c r="E764" s="2">
        <v>21</v>
      </c>
      <c r="F764" s="2">
        <v>2</v>
      </c>
      <c r="G764" s="2">
        <v>2</v>
      </c>
      <c r="H764" s="2">
        <v>0</v>
      </c>
      <c r="I764" s="2">
        <v>70</v>
      </c>
      <c r="J764" s="2" t="s">
        <v>1779</v>
      </c>
      <c r="K764" s="2">
        <v>26</v>
      </c>
      <c r="L764" s="2">
        <v>10</v>
      </c>
      <c r="M764" s="2">
        <v>5</v>
      </c>
      <c r="N764" s="2">
        <v>6</v>
      </c>
      <c r="O764" s="2">
        <v>0</v>
      </c>
      <c r="P764" s="2">
        <v>5</v>
      </c>
      <c r="Q764" s="2" t="s">
        <v>2522</v>
      </c>
      <c r="R764" s="2" t="s">
        <v>2522</v>
      </c>
      <c r="S764" s="4">
        <v>44837</v>
      </c>
    </row>
    <row r="765" spans="1:19" ht="12.5" x14ac:dyDescent="0.25">
      <c r="A765" s="14" t="str">
        <f>HYPERLINK("https://gerandofalcoes.my.salesforce.com/0014P00003Ck7X8QAJ", "0014P00003Ck7X8QAJ")</f>
        <v>0014P00003Ck7X8QAJ</v>
      </c>
      <c r="B765" s="2" t="s">
        <v>2809</v>
      </c>
      <c r="C765" s="2" t="s">
        <v>423</v>
      </c>
      <c r="D765" s="2" t="s">
        <v>2</v>
      </c>
      <c r="E765" s="2">
        <v>11</v>
      </c>
      <c r="F765" s="2">
        <v>0</v>
      </c>
      <c r="G765" s="2">
        <v>0</v>
      </c>
      <c r="H765" s="2">
        <v>12550</v>
      </c>
      <c r="I765" s="2">
        <v>50</v>
      </c>
      <c r="J765" s="2" t="s">
        <v>1779</v>
      </c>
      <c r="K765" s="2">
        <v>20</v>
      </c>
      <c r="L765" s="2">
        <v>10</v>
      </c>
      <c r="M765" s="2">
        <v>0</v>
      </c>
      <c r="N765" s="2">
        <v>0</v>
      </c>
      <c r="O765" s="2">
        <v>5</v>
      </c>
      <c r="P765" s="2">
        <v>5</v>
      </c>
      <c r="Q765" s="2" t="s">
        <v>891</v>
      </c>
      <c r="R765" s="2" t="s">
        <v>891</v>
      </c>
      <c r="S765" s="4">
        <v>44837</v>
      </c>
    </row>
    <row r="766" spans="1:19" ht="12.5" x14ac:dyDescent="0.25">
      <c r="A766" s="14" t="str">
        <f>HYPERLINK("https://gerandofalcoes.my.salesforce.com/0014X00002VKCuiQAH", "0014X00002VKCuiQAH")</f>
        <v>0014X00002VKCuiQAH</v>
      </c>
      <c r="B766" s="2" t="s">
        <v>1902</v>
      </c>
      <c r="C766" s="2" t="s">
        <v>423</v>
      </c>
      <c r="D766" s="2" t="s">
        <v>2</v>
      </c>
      <c r="E766" s="2">
        <v>51</v>
      </c>
      <c r="F766" s="2">
        <v>17</v>
      </c>
      <c r="G766" s="2">
        <v>7</v>
      </c>
      <c r="H766" s="2">
        <v>359673</v>
      </c>
      <c r="I766" s="2">
        <v>32</v>
      </c>
      <c r="J766" s="2" t="s">
        <v>1650</v>
      </c>
      <c r="K766" s="2">
        <v>67</v>
      </c>
      <c r="L766" s="2">
        <v>20</v>
      </c>
      <c r="M766" s="2">
        <v>12</v>
      </c>
      <c r="N766" s="2">
        <v>10</v>
      </c>
      <c r="O766" s="2">
        <v>20</v>
      </c>
      <c r="P766" s="2">
        <v>5</v>
      </c>
      <c r="Q766" s="2" t="s">
        <v>1903</v>
      </c>
      <c r="R766" s="2" t="s">
        <v>1904</v>
      </c>
      <c r="S766" s="4">
        <v>44837</v>
      </c>
    </row>
    <row r="767" spans="1:19" ht="12.5" x14ac:dyDescent="0.25">
      <c r="A767" s="14" t="str">
        <f>HYPERLINK("https://gerandofalcoes.my.salesforce.com/0014X00002VKCqJQAX", "0014X00002VKCqJQAX")</f>
        <v>0014X00002VKCqJQAX</v>
      </c>
      <c r="B767" s="2" t="s">
        <v>2868</v>
      </c>
      <c r="C767" s="2" t="s">
        <v>423</v>
      </c>
      <c r="D767" s="2" t="s">
        <v>2</v>
      </c>
      <c r="E767" s="2">
        <v>27</v>
      </c>
      <c r="F767" s="2">
        <v>0</v>
      </c>
      <c r="G767" s="2">
        <v>1</v>
      </c>
      <c r="H767" s="2">
        <v>16278</v>
      </c>
      <c r="I767" s="2">
        <v>100</v>
      </c>
      <c r="J767" s="2" t="s">
        <v>1779</v>
      </c>
      <c r="K767" s="2">
        <v>34</v>
      </c>
      <c r="L767" s="2">
        <v>15</v>
      </c>
      <c r="M767" s="2">
        <v>0</v>
      </c>
      <c r="N767" s="2">
        <v>4</v>
      </c>
      <c r="O767" s="2">
        <v>5</v>
      </c>
      <c r="P767" s="2">
        <v>10</v>
      </c>
      <c r="Q767" s="2" t="s">
        <v>2869</v>
      </c>
      <c r="R767" s="2" t="s">
        <v>2870</v>
      </c>
      <c r="S767" s="4">
        <v>44837</v>
      </c>
    </row>
    <row r="768" spans="1:19" ht="12.5" x14ac:dyDescent="0.25">
      <c r="A768" s="14" t="str">
        <f>HYPERLINK("https://gerandofalcoes.my.salesforce.com/0014X00002VKCu7QAH", "0014X00002VKCu7QAH")</f>
        <v>0014X00002VKCu7QAH</v>
      </c>
      <c r="B768" s="2" t="s">
        <v>2777</v>
      </c>
      <c r="C768" s="2" t="s">
        <v>423</v>
      </c>
      <c r="D768" s="2" t="s">
        <v>2</v>
      </c>
      <c r="E768" s="2">
        <v>20</v>
      </c>
      <c r="F768" s="2">
        <v>4</v>
      </c>
      <c r="G768" s="2">
        <v>2</v>
      </c>
      <c r="H768" s="2">
        <v>64700000</v>
      </c>
      <c r="I768" s="2">
        <v>210</v>
      </c>
      <c r="J768" s="2" t="s">
        <v>1671</v>
      </c>
      <c r="K768" s="2">
        <v>58</v>
      </c>
      <c r="L768" s="2">
        <v>10</v>
      </c>
      <c r="M768" s="2">
        <v>5</v>
      </c>
      <c r="N768" s="2">
        <v>6</v>
      </c>
      <c r="O768" s="2">
        <v>25</v>
      </c>
      <c r="P768" s="2">
        <v>12</v>
      </c>
      <c r="Q768" s="2" t="s">
        <v>2778</v>
      </c>
      <c r="R768" s="2" t="s">
        <v>2779</v>
      </c>
      <c r="S768" s="4">
        <v>44837</v>
      </c>
    </row>
    <row r="769" spans="1:19" ht="12.5" x14ac:dyDescent="0.25">
      <c r="A769" s="14" t="str">
        <f>HYPERLINK("https://gerandofalcoes.my.salesforce.com/0014X00002VKCs0QAH", "0014X00002VKCs0QAH")</f>
        <v>0014X00002VKCs0QAH</v>
      </c>
      <c r="B769" s="2" t="s">
        <v>1918</v>
      </c>
      <c r="C769" s="2" t="s">
        <v>423</v>
      </c>
      <c r="D769" s="2" t="s">
        <v>2</v>
      </c>
      <c r="E769" s="2">
        <v>42.91</v>
      </c>
      <c r="F769" s="2">
        <v>0</v>
      </c>
      <c r="G769" s="2">
        <v>2</v>
      </c>
      <c r="H769" s="2">
        <v>500000</v>
      </c>
      <c r="I769" s="2">
        <v>130</v>
      </c>
      <c r="J769" s="2" t="s">
        <v>1671</v>
      </c>
      <c r="K769" s="2">
        <v>51</v>
      </c>
      <c r="L769" s="2">
        <v>15</v>
      </c>
      <c r="M769" s="2">
        <v>0</v>
      </c>
      <c r="N769" s="2">
        <v>6</v>
      </c>
      <c r="O769" s="2">
        <v>20</v>
      </c>
      <c r="P769" s="2">
        <v>10</v>
      </c>
      <c r="Q769" s="2" t="s">
        <v>1919</v>
      </c>
      <c r="R769" s="2" t="s">
        <v>1920</v>
      </c>
      <c r="S769" s="4">
        <v>44837</v>
      </c>
    </row>
    <row r="770" spans="1:19" ht="12.5" x14ac:dyDescent="0.25">
      <c r="A770" s="14" t="str">
        <f>HYPERLINK("https://gerandofalcoes.my.salesforce.com/0014X00002VKCq8QAH", "0014X00002VKCq8QAH")</f>
        <v>0014X00002VKCq8QAH</v>
      </c>
      <c r="B770" s="2" t="s">
        <v>2721</v>
      </c>
      <c r="C770" s="2" t="s">
        <v>1800</v>
      </c>
      <c r="D770" s="2" t="s">
        <v>2</v>
      </c>
      <c r="E770" s="2">
        <v>15</v>
      </c>
      <c r="F770" s="2">
        <v>0</v>
      </c>
      <c r="G770" s="2">
        <v>3</v>
      </c>
      <c r="H770" s="2">
        <v>7000</v>
      </c>
      <c r="I770" s="2">
        <v>70</v>
      </c>
      <c r="J770" s="2" t="s">
        <v>1779</v>
      </c>
      <c r="K770" s="2">
        <v>28</v>
      </c>
      <c r="L770" s="2">
        <v>10</v>
      </c>
      <c r="M770" s="2">
        <v>0</v>
      </c>
      <c r="N770" s="2">
        <v>8</v>
      </c>
      <c r="O770" s="2">
        <v>5</v>
      </c>
      <c r="P770" s="2">
        <v>5</v>
      </c>
      <c r="Q770" s="2" t="s">
        <v>2722</v>
      </c>
      <c r="R770" s="2" t="s">
        <v>2723</v>
      </c>
      <c r="S770" s="4">
        <v>44837</v>
      </c>
    </row>
    <row r="771" spans="1:19" ht="12.5" x14ac:dyDescent="0.25">
      <c r="A771" s="14" t="str">
        <f>HYPERLINK("https://gerandofalcoes.my.salesforce.com/0014X00002VKCpuQAH", "0014X00002VKCpuQAH")</f>
        <v>0014X00002VKCpuQAH</v>
      </c>
      <c r="B771" s="2" t="s">
        <v>2387</v>
      </c>
      <c r="C771" s="2" t="s">
        <v>423</v>
      </c>
      <c r="D771" s="2" t="s">
        <v>2</v>
      </c>
      <c r="E771" s="2">
        <v>36</v>
      </c>
      <c r="F771" s="2">
        <v>0</v>
      </c>
      <c r="G771" s="2">
        <v>2</v>
      </c>
      <c r="H771" s="2">
        <v>40000</v>
      </c>
      <c r="I771" s="2">
        <v>50</v>
      </c>
      <c r="J771" s="2" t="s">
        <v>1779</v>
      </c>
      <c r="K771" s="2">
        <v>36</v>
      </c>
      <c r="L771" s="2">
        <v>15</v>
      </c>
      <c r="M771" s="2">
        <v>0</v>
      </c>
      <c r="N771" s="2">
        <v>6</v>
      </c>
      <c r="O771" s="2">
        <v>10</v>
      </c>
      <c r="P771" s="2">
        <v>5</v>
      </c>
      <c r="Q771" s="2" t="s">
        <v>2388</v>
      </c>
      <c r="R771" s="2" t="s">
        <v>2389</v>
      </c>
      <c r="S771" s="4">
        <v>44837</v>
      </c>
    </row>
    <row r="772" spans="1:19" ht="12.5" x14ac:dyDescent="0.25">
      <c r="A772" s="14" t="str">
        <f>HYPERLINK("https://gerandofalcoes.my.salesforce.com/0014X00002VKCp1QAH", "0014X00002VKCp1QAH")</f>
        <v>0014X00002VKCp1QAH</v>
      </c>
      <c r="B772" s="2" t="s">
        <v>2223</v>
      </c>
      <c r="C772" s="2" t="s">
        <v>1800</v>
      </c>
      <c r="D772" s="2" t="s">
        <v>2</v>
      </c>
      <c r="E772" s="2">
        <v>32</v>
      </c>
      <c r="F772" s="2">
        <v>5</v>
      </c>
      <c r="G772" s="2">
        <v>9</v>
      </c>
      <c r="H772" s="2">
        <v>12000</v>
      </c>
      <c r="I772" s="2">
        <v>60</v>
      </c>
      <c r="J772" s="2" t="s">
        <v>1671</v>
      </c>
      <c r="K772" s="2">
        <v>40</v>
      </c>
      <c r="L772" s="2">
        <v>15</v>
      </c>
      <c r="M772" s="2">
        <v>5</v>
      </c>
      <c r="N772" s="2">
        <v>10</v>
      </c>
      <c r="O772" s="2">
        <v>5</v>
      </c>
      <c r="P772" s="2">
        <v>5</v>
      </c>
      <c r="Q772" s="2" t="s">
        <v>2224</v>
      </c>
      <c r="R772" s="2" t="s">
        <v>2224</v>
      </c>
      <c r="S772" s="4">
        <v>44837</v>
      </c>
    </row>
    <row r="773" spans="1:19" ht="12.5" x14ac:dyDescent="0.25">
      <c r="A773" s="14" t="str">
        <f>HYPERLINK("https://gerandofalcoes.my.salesforce.com/0014X00002VKCtzQAH", "0014X00002VKCtzQAH")</f>
        <v>0014X00002VKCtzQAH</v>
      </c>
      <c r="B773" s="2" t="s">
        <v>2557</v>
      </c>
      <c r="C773" s="2" t="s">
        <v>423</v>
      </c>
      <c r="D773" s="2" t="s">
        <v>2</v>
      </c>
      <c r="E773" s="2">
        <v>20</v>
      </c>
      <c r="F773" s="2">
        <v>0</v>
      </c>
      <c r="G773" s="2">
        <v>2</v>
      </c>
      <c r="H773" s="2">
        <v>55000</v>
      </c>
      <c r="I773" s="2">
        <v>50</v>
      </c>
      <c r="J773" s="2" t="s">
        <v>1779</v>
      </c>
      <c r="K773" s="2">
        <v>31</v>
      </c>
      <c r="L773" s="2">
        <v>10</v>
      </c>
      <c r="M773" s="2">
        <v>0</v>
      </c>
      <c r="N773" s="2">
        <v>6</v>
      </c>
      <c r="O773" s="2">
        <v>10</v>
      </c>
      <c r="P773" s="2">
        <v>5</v>
      </c>
      <c r="Q773" s="2" t="s">
        <v>2558</v>
      </c>
      <c r="R773" s="2" t="s">
        <v>2558</v>
      </c>
      <c r="S773" s="4">
        <v>44837</v>
      </c>
    </row>
    <row r="774" spans="1:19" ht="12.5" x14ac:dyDescent="0.25">
      <c r="A774" s="14" t="str">
        <f>HYPERLINK("https://gerandofalcoes.my.salesforce.com/0014X00002VKCoyQAH", "0014X00002VKCoyQAH")</f>
        <v>0014X00002VKCoyQAH</v>
      </c>
      <c r="B774" s="2" t="s">
        <v>1935</v>
      </c>
      <c r="C774" s="2" t="s">
        <v>423</v>
      </c>
      <c r="D774" s="2" t="s">
        <v>2</v>
      </c>
      <c r="E774" s="2">
        <v>45</v>
      </c>
      <c r="F774" s="2">
        <v>1</v>
      </c>
      <c r="G774" s="2">
        <v>3</v>
      </c>
      <c r="H774" s="2">
        <v>360000</v>
      </c>
      <c r="I774" s="2">
        <v>105</v>
      </c>
      <c r="J774" s="2" t="s">
        <v>1671</v>
      </c>
      <c r="K774" s="2">
        <v>58</v>
      </c>
      <c r="L774" s="2">
        <v>15</v>
      </c>
      <c r="M774" s="2">
        <v>5</v>
      </c>
      <c r="N774" s="2">
        <v>8</v>
      </c>
      <c r="O774" s="2">
        <v>20</v>
      </c>
      <c r="P774" s="2">
        <v>10</v>
      </c>
      <c r="Q774" s="2" t="s">
        <v>1936</v>
      </c>
      <c r="R774" s="2" t="s">
        <v>1937</v>
      </c>
      <c r="S774" s="4">
        <v>44837</v>
      </c>
    </row>
    <row r="775" spans="1:19" ht="12.5" x14ac:dyDescent="0.25">
      <c r="A775" s="14" t="str">
        <f>HYPERLINK("https://gerandofalcoes.my.salesforce.com/0014X00002VKCs4QAH", "0014X00002VKCs4QAH")</f>
        <v>0014X00002VKCs4QAH</v>
      </c>
      <c r="B775" s="2" t="s">
        <v>2487</v>
      </c>
      <c r="C775" s="2" t="s">
        <v>1800</v>
      </c>
      <c r="D775" s="2" t="s">
        <v>2</v>
      </c>
      <c r="E775" s="2">
        <v>22</v>
      </c>
      <c r="F775" s="2">
        <v>0</v>
      </c>
      <c r="G775" s="2">
        <v>2</v>
      </c>
      <c r="H775" s="2">
        <v>0</v>
      </c>
      <c r="I775" s="2">
        <v>10</v>
      </c>
      <c r="J775" s="2" t="s">
        <v>1779</v>
      </c>
      <c r="K775" s="2">
        <v>21</v>
      </c>
      <c r="L775" s="2">
        <v>10</v>
      </c>
      <c r="M775" s="2">
        <v>0</v>
      </c>
      <c r="N775" s="2">
        <v>6</v>
      </c>
      <c r="O775" s="2">
        <v>0</v>
      </c>
      <c r="P775" s="2">
        <v>5</v>
      </c>
      <c r="Q775" s="2" t="s">
        <v>2488</v>
      </c>
      <c r="R775" s="2" t="s">
        <v>2489</v>
      </c>
      <c r="S775" s="4">
        <v>44837</v>
      </c>
    </row>
    <row r="776" spans="1:19" ht="12.5" x14ac:dyDescent="0.25">
      <c r="A776" s="14" t="str">
        <f>HYPERLINK("https://gerandofalcoes.my.salesforce.com/0014X00002VKCpEQAX", "0014X00002VKCpEQAX")</f>
        <v>0014X00002VKCpEQAX</v>
      </c>
      <c r="B776" s="2" t="s">
        <v>2404</v>
      </c>
      <c r="C776" s="2" t="s">
        <v>423</v>
      </c>
      <c r="D776" s="2" t="s">
        <v>2</v>
      </c>
      <c r="E776" s="2">
        <v>25</v>
      </c>
      <c r="F776" s="2">
        <v>11</v>
      </c>
      <c r="G776" s="2">
        <v>2</v>
      </c>
      <c r="H776" s="2">
        <v>40000</v>
      </c>
      <c r="I776" s="2">
        <v>276</v>
      </c>
      <c r="J776" s="2" t="s">
        <v>1671</v>
      </c>
      <c r="K776" s="2">
        <v>55</v>
      </c>
      <c r="L776" s="2">
        <v>15</v>
      </c>
      <c r="M776" s="2">
        <v>12</v>
      </c>
      <c r="N776" s="2">
        <v>6</v>
      </c>
      <c r="O776" s="2">
        <v>10</v>
      </c>
      <c r="P776" s="2">
        <v>12</v>
      </c>
      <c r="Q776" s="2" t="s">
        <v>2405</v>
      </c>
      <c r="R776" s="2" t="s">
        <v>2406</v>
      </c>
      <c r="S776" s="4">
        <v>44837</v>
      </c>
    </row>
    <row r="777" spans="1:19" ht="12.5" x14ac:dyDescent="0.25">
      <c r="A777" s="14" t="str">
        <f>HYPERLINK("https://gerandofalcoes.my.salesforce.com/0014X00002VKCrKQAX", "0014X00002VKCrKQAX")</f>
        <v>0014X00002VKCrKQAX</v>
      </c>
      <c r="B777" s="2" t="s">
        <v>2562</v>
      </c>
      <c r="C777" s="2" t="s">
        <v>1800</v>
      </c>
      <c r="D777" s="2" t="s">
        <v>2</v>
      </c>
      <c r="E777" s="2">
        <v>20</v>
      </c>
      <c r="F777" s="2">
        <v>7</v>
      </c>
      <c r="G777" s="2">
        <v>5</v>
      </c>
      <c r="H777" s="2">
        <v>2000</v>
      </c>
      <c r="I777" s="2">
        <v>20</v>
      </c>
      <c r="J777" s="2" t="s">
        <v>1671</v>
      </c>
      <c r="K777" s="2">
        <v>40</v>
      </c>
      <c r="L777" s="2">
        <v>10</v>
      </c>
      <c r="M777" s="2">
        <v>10</v>
      </c>
      <c r="N777" s="2">
        <v>10</v>
      </c>
      <c r="O777" s="2">
        <v>5</v>
      </c>
      <c r="P777" s="2">
        <v>5</v>
      </c>
      <c r="Q777" s="2" t="s">
        <v>2563</v>
      </c>
      <c r="R777" s="2" t="s">
        <v>2564</v>
      </c>
      <c r="S777" s="4">
        <v>44837</v>
      </c>
    </row>
    <row r="778" spans="1:19" ht="12.5" x14ac:dyDescent="0.25">
      <c r="A778" s="14" t="str">
        <f>HYPERLINK("https://gerandofalcoes.my.salesforce.com/0014X00002VKCt6QAH", "0014X00002VKCt6QAH")</f>
        <v>0014X00002VKCt6QAH</v>
      </c>
      <c r="B778" s="2" t="s">
        <v>2531</v>
      </c>
      <c r="C778" s="2" t="s">
        <v>1800</v>
      </c>
      <c r="D778" s="2" t="s">
        <v>2</v>
      </c>
      <c r="E778" s="2">
        <v>21</v>
      </c>
      <c r="F778" s="2">
        <v>15</v>
      </c>
      <c r="G778" s="2">
        <v>3</v>
      </c>
      <c r="H778" s="2">
        <v>4500</v>
      </c>
      <c r="I778" s="2">
        <v>10</v>
      </c>
      <c r="J778" s="2" t="s">
        <v>1671</v>
      </c>
      <c r="K778" s="2">
        <v>40</v>
      </c>
      <c r="L778" s="2">
        <v>10</v>
      </c>
      <c r="M778" s="2">
        <v>12</v>
      </c>
      <c r="N778" s="2">
        <v>8</v>
      </c>
      <c r="O778" s="2">
        <v>5</v>
      </c>
      <c r="P778" s="2">
        <v>5</v>
      </c>
      <c r="Q778" s="2" t="s">
        <v>2532</v>
      </c>
      <c r="R778" s="2" t="s">
        <v>2533</v>
      </c>
      <c r="S778" s="4">
        <v>44837</v>
      </c>
    </row>
    <row r="779" spans="1:19" ht="12.5" x14ac:dyDescent="0.25">
      <c r="A779" s="14" t="str">
        <f>HYPERLINK("https://gerandofalcoes.my.salesforce.com/0014X00002VKCq6QAH", "0014X00002VKCq6QAH")</f>
        <v>0014X00002VKCq6QAH</v>
      </c>
      <c r="B779" s="2" t="s">
        <v>1773</v>
      </c>
      <c r="C779" s="2" t="s">
        <v>423</v>
      </c>
      <c r="D779" s="2" t="s">
        <v>2</v>
      </c>
      <c r="E779" s="2">
        <v>58.49</v>
      </c>
      <c r="F779" s="2">
        <v>0</v>
      </c>
      <c r="G779" s="2">
        <v>3</v>
      </c>
      <c r="H779" s="2">
        <v>6124615</v>
      </c>
      <c r="I779" s="2">
        <v>0</v>
      </c>
      <c r="J779" s="2" t="s">
        <v>1671</v>
      </c>
      <c r="K779" s="2">
        <v>53</v>
      </c>
      <c r="L779" s="2">
        <v>20</v>
      </c>
      <c r="M779" s="2">
        <v>0</v>
      </c>
      <c r="N779" s="2">
        <v>8</v>
      </c>
      <c r="O779" s="2">
        <v>25</v>
      </c>
      <c r="P779" s="2">
        <v>0</v>
      </c>
      <c r="Q779" s="2" t="s">
        <v>1774</v>
      </c>
      <c r="R779" s="2" t="s">
        <v>1775</v>
      </c>
      <c r="S779" s="4">
        <v>44837</v>
      </c>
    </row>
    <row r="780" spans="1:19" ht="12.5" x14ac:dyDescent="0.25">
      <c r="A780" s="14" t="str">
        <f>HYPERLINK("https://gerandofalcoes.my.salesforce.com/0014X00002VKCqBQAX", "0014X00002VKCqBQAX")</f>
        <v>0014X00002VKCqBQAX</v>
      </c>
      <c r="B780" s="2" t="s">
        <v>1949</v>
      </c>
      <c r="C780" s="2" t="s">
        <v>423</v>
      </c>
      <c r="D780" s="2" t="s">
        <v>2</v>
      </c>
      <c r="E780" s="2">
        <v>41</v>
      </c>
      <c r="F780" s="2">
        <v>6</v>
      </c>
      <c r="G780" s="2">
        <v>1</v>
      </c>
      <c r="H780" s="2">
        <v>109000</v>
      </c>
      <c r="I780" s="2">
        <v>154</v>
      </c>
      <c r="J780" s="2" t="s">
        <v>1671</v>
      </c>
      <c r="K780" s="2">
        <v>56</v>
      </c>
      <c r="L780" s="2">
        <v>15</v>
      </c>
      <c r="M780" s="2">
        <v>10</v>
      </c>
      <c r="N780" s="2">
        <v>4</v>
      </c>
      <c r="O780" s="2">
        <v>15</v>
      </c>
      <c r="P780" s="2">
        <v>12</v>
      </c>
      <c r="Q780" s="2" t="s">
        <v>1950</v>
      </c>
      <c r="R780" s="2" t="s">
        <v>1951</v>
      </c>
      <c r="S780" s="4">
        <v>44837</v>
      </c>
    </row>
    <row r="781" spans="1:19" ht="12.5" x14ac:dyDescent="0.25">
      <c r="A781" s="14" t="str">
        <f>HYPERLINK("https://gerandofalcoes.my.salesforce.com/0014P00003YSpAMQA1", "0014P00003YSpAMQA1")</f>
        <v>0014P00003YSpAMQA1</v>
      </c>
      <c r="B781" s="2" t="s">
        <v>2240</v>
      </c>
      <c r="C781" s="2" t="s">
        <v>1800</v>
      </c>
      <c r="D781" s="2" t="s">
        <v>2</v>
      </c>
      <c r="E781" s="2">
        <v>31</v>
      </c>
      <c r="F781" s="2">
        <v>0</v>
      </c>
      <c r="G781" s="2">
        <v>2</v>
      </c>
      <c r="H781" s="2">
        <v>8000</v>
      </c>
      <c r="I781" s="2">
        <v>21</v>
      </c>
      <c r="J781" s="2" t="s">
        <v>1779</v>
      </c>
      <c r="K781" s="2">
        <v>31</v>
      </c>
      <c r="L781" s="2">
        <v>15</v>
      </c>
      <c r="M781" s="2">
        <v>0</v>
      </c>
      <c r="N781" s="2">
        <v>6</v>
      </c>
      <c r="O781" s="2">
        <v>5</v>
      </c>
      <c r="P781" s="2">
        <v>5</v>
      </c>
      <c r="Q781" s="2" t="s">
        <v>2241</v>
      </c>
      <c r="R781" s="2" t="s">
        <v>2242</v>
      </c>
      <c r="S781" s="4">
        <v>44837</v>
      </c>
    </row>
    <row r="782" spans="1:19" ht="12.5" x14ac:dyDescent="0.25">
      <c r="A782" s="14" t="str">
        <f>HYPERLINK("https://gerandofalcoes.my.salesforce.com/0014P00003YSpAJQA1", "0014P00003YSpAJQA1")</f>
        <v>0014P00003YSpAJQA1</v>
      </c>
      <c r="B782" s="2" t="s">
        <v>1822</v>
      </c>
      <c r="C782" s="2" t="s">
        <v>423</v>
      </c>
      <c r="D782" s="2" t="s">
        <v>2</v>
      </c>
      <c r="E782" s="2">
        <v>39</v>
      </c>
      <c r="F782" s="2">
        <v>3</v>
      </c>
      <c r="G782" s="2">
        <v>6</v>
      </c>
      <c r="H782" s="2">
        <v>1556030</v>
      </c>
      <c r="I782" s="2">
        <v>200</v>
      </c>
      <c r="J782" s="2" t="s">
        <v>1650</v>
      </c>
      <c r="K782" s="2">
        <v>67</v>
      </c>
      <c r="L782" s="2">
        <v>15</v>
      </c>
      <c r="M782" s="2">
        <v>5</v>
      </c>
      <c r="N782" s="2">
        <v>10</v>
      </c>
      <c r="O782" s="2">
        <v>25</v>
      </c>
      <c r="P782" s="2">
        <v>12</v>
      </c>
      <c r="Q782" s="2" t="s">
        <v>1823</v>
      </c>
      <c r="R782" s="2" t="s">
        <v>1823</v>
      </c>
      <c r="S782" s="4">
        <v>44837</v>
      </c>
    </row>
    <row r="783" spans="1:19" ht="12.5" x14ac:dyDescent="0.25">
      <c r="A783" s="14" t="str">
        <f>HYPERLINK("https://gerandofalcoes.my.salesforce.com/0014P00003YSpAKQA1", "0014P00003YSpAKQA1")</f>
        <v>0014P00003YSpAKQA1</v>
      </c>
      <c r="B783" s="2" t="s">
        <v>2245</v>
      </c>
      <c r="C783" s="2" t="s">
        <v>1800</v>
      </c>
      <c r="D783" s="2" t="s">
        <v>2</v>
      </c>
      <c r="E783" s="2">
        <v>31</v>
      </c>
      <c r="F783" s="2">
        <v>0</v>
      </c>
      <c r="G783" s="2">
        <v>2</v>
      </c>
      <c r="H783" s="2">
        <v>15000</v>
      </c>
      <c r="I783" s="2">
        <v>0</v>
      </c>
      <c r="J783" s="2" t="s">
        <v>1779</v>
      </c>
      <c r="K783" s="2">
        <v>26</v>
      </c>
      <c r="L783" s="2">
        <v>15</v>
      </c>
      <c r="M783" s="2">
        <v>0</v>
      </c>
      <c r="N783" s="2">
        <v>6</v>
      </c>
      <c r="O783" s="2">
        <v>5</v>
      </c>
      <c r="P783" s="2">
        <v>0</v>
      </c>
      <c r="Q783" s="2" t="s">
        <v>2246</v>
      </c>
      <c r="R783" s="2" t="s">
        <v>2246</v>
      </c>
      <c r="S783" s="4">
        <v>44837</v>
      </c>
    </row>
    <row r="784" spans="1:19" ht="12.5" x14ac:dyDescent="0.25">
      <c r="A784" s="14" t="str">
        <f>HYPERLINK("https://gerandofalcoes.my.salesforce.com/0014P00003YSpALQA1", "0014P00003YSpALQA1")</f>
        <v>0014P00003YSpALQA1</v>
      </c>
      <c r="B784" s="2" t="s">
        <v>2106</v>
      </c>
      <c r="C784" s="2" t="s">
        <v>423</v>
      </c>
      <c r="D784" s="2" t="s">
        <v>2</v>
      </c>
      <c r="E784" s="2">
        <v>35</v>
      </c>
      <c r="F784" s="2">
        <v>7</v>
      </c>
      <c r="G784" s="2">
        <v>6</v>
      </c>
      <c r="H784" s="2">
        <v>83455</v>
      </c>
      <c r="I784" s="2">
        <v>81</v>
      </c>
      <c r="J784" s="2" t="s">
        <v>1671</v>
      </c>
      <c r="K784" s="2">
        <v>55</v>
      </c>
      <c r="L784" s="2">
        <v>15</v>
      </c>
      <c r="M784" s="2">
        <v>10</v>
      </c>
      <c r="N784" s="2">
        <v>10</v>
      </c>
      <c r="O784" s="2">
        <v>10</v>
      </c>
      <c r="P784" s="2">
        <v>10</v>
      </c>
      <c r="Q784" s="2" t="s">
        <v>2107</v>
      </c>
      <c r="R784" s="2" t="s">
        <v>2108</v>
      </c>
      <c r="S784" s="4">
        <v>44837</v>
      </c>
    </row>
    <row r="785" spans="1:19" ht="12.5" x14ac:dyDescent="0.25">
      <c r="A785" s="14" t="str">
        <f>HYPERLINK("https://gerandofalcoes.my.salesforce.com/0014P00003YSpA6QAL", "0014P00003YSpA6QAL")</f>
        <v>0014P00003YSpA6QAL</v>
      </c>
      <c r="B785" s="2" t="s">
        <v>2060</v>
      </c>
      <c r="C785" s="2" t="s">
        <v>1800</v>
      </c>
      <c r="D785" s="2" t="s">
        <v>2</v>
      </c>
      <c r="E785" s="2">
        <v>37</v>
      </c>
      <c r="F785" s="2">
        <v>27</v>
      </c>
      <c r="G785" s="2">
        <v>3</v>
      </c>
      <c r="H785" s="2">
        <v>132000</v>
      </c>
      <c r="I785" s="2">
        <v>0</v>
      </c>
      <c r="J785" s="2" t="s">
        <v>1671</v>
      </c>
      <c r="K785" s="2">
        <v>50</v>
      </c>
      <c r="L785" s="2">
        <v>15</v>
      </c>
      <c r="M785" s="2">
        <v>12</v>
      </c>
      <c r="N785" s="2">
        <v>8</v>
      </c>
      <c r="O785" s="2">
        <v>15</v>
      </c>
      <c r="P785" s="2">
        <v>0</v>
      </c>
      <c r="Q785" s="2" t="s">
        <v>2061</v>
      </c>
      <c r="R785" s="2" t="s">
        <v>2061</v>
      </c>
      <c r="S785" s="4">
        <v>44837</v>
      </c>
    </row>
    <row r="786" spans="1:19" ht="12.5" x14ac:dyDescent="0.25">
      <c r="A786" s="14" t="str">
        <f>HYPERLINK("https://gerandofalcoes.my.salesforce.com/0014P00003YSpP9QAL", "0014P00003YSpP9QAL")</f>
        <v>0014P00003YSpP9QAL</v>
      </c>
      <c r="B786" s="2" t="s">
        <v>2752</v>
      </c>
      <c r="C786" s="2" t="s">
        <v>423</v>
      </c>
      <c r="D786" s="2" t="s">
        <v>2</v>
      </c>
      <c r="E786" s="2">
        <v>14</v>
      </c>
      <c r="F786" s="2">
        <v>0</v>
      </c>
      <c r="G786" s="2">
        <v>12</v>
      </c>
      <c r="H786" s="2">
        <v>13000</v>
      </c>
      <c r="I786" s="2">
        <v>208</v>
      </c>
      <c r="J786" s="2" t="s">
        <v>1779</v>
      </c>
      <c r="K786" s="2">
        <v>37</v>
      </c>
      <c r="L786" s="2">
        <v>10</v>
      </c>
      <c r="M786" s="2">
        <v>0</v>
      </c>
      <c r="N786" s="2">
        <v>10</v>
      </c>
      <c r="O786" s="2">
        <v>5</v>
      </c>
      <c r="P786" s="2">
        <v>12</v>
      </c>
      <c r="Q786" s="2" t="s">
        <v>2753</v>
      </c>
      <c r="R786" s="2" t="s">
        <v>2754</v>
      </c>
      <c r="S786" s="4">
        <v>44837</v>
      </c>
    </row>
    <row r="787" spans="1:19" ht="12.5" x14ac:dyDescent="0.25">
      <c r="A787" s="14" t="str">
        <f>HYPERLINK("https://gerandofalcoes.my.salesforce.com/0014P00003AN2GIQA1", "0014P00003AN2GIQA1")</f>
        <v>0014P00003AN2GIQA1</v>
      </c>
      <c r="B787" s="2" t="s">
        <v>1661</v>
      </c>
      <c r="C787" s="2" t="s">
        <v>423</v>
      </c>
      <c r="D787" s="2" t="s">
        <v>27</v>
      </c>
      <c r="E787" s="2">
        <v>95</v>
      </c>
      <c r="F787" s="2">
        <v>5</v>
      </c>
      <c r="G787" s="2">
        <v>3</v>
      </c>
      <c r="H787" s="2">
        <v>133580.48000000001</v>
      </c>
      <c r="I787" s="2">
        <v>82</v>
      </c>
      <c r="J787" s="2" t="s">
        <v>1650</v>
      </c>
      <c r="K787" s="2">
        <v>68</v>
      </c>
      <c r="L787" s="2">
        <v>30</v>
      </c>
      <c r="M787" s="2">
        <v>5</v>
      </c>
      <c r="N787" s="2">
        <v>8</v>
      </c>
      <c r="O787" s="2">
        <v>15</v>
      </c>
      <c r="P787" s="2">
        <v>10</v>
      </c>
      <c r="Q787" s="2" t="s">
        <v>31</v>
      </c>
      <c r="R787" s="2" t="s">
        <v>1662</v>
      </c>
      <c r="S787" s="4">
        <v>44837</v>
      </c>
    </row>
    <row r="788" spans="1:19" ht="12.5" x14ac:dyDescent="0.25">
      <c r="A788" s="14" t="str">
        <f>HYPERLINK("https://gerandofalcoes.my.salesforce.com/0014P00003AN2GJQA1", "0014P00003AN2GJQA1")</f>
        <v>0014P00003AN2GJQA1</v>
      </c>
      <c r="B788" s="2" t="s">
        <v>1720</v>
      </c>
      <c r="C788" s="2" t="s">
        <v>423</v>
      </c>
      <c r="D788" s="2" t="s">
        <v>27</v>
      </c>
      <c r="E788" s="2">
        <v>76</v>
      </c>
      <c r="F788" s="2">
        <v>10</v>
      </c>
      <c r="G788" s="2">
        <v>2</v>
      </c>
      <c r="H788" s="2">
        <v>786451.23</v>
      </c>
      <c r="I788" s="2">
        <v>99</v>
      </c>
      <c r="J788" s="2" t="s">
        <v>1650</v>
      </c>
      <c r="K788" s="2">
        <v>71</v>
      </c>
      <c r="L788" s="2">
        <v>25</v>
      </c>
      <c r="M788" s="2">
        <v>10</v>
      </c>
      <c r="N788" s="2">
        <v>6</v>
      </c>
      <c r="O788" s="2">
        <v>20</v>
      </c>
      <c r="P788" s="2">
        <v>10</v>
      </c>
      <c r="Q788" s="2" t="s">
        <v>35</v>
      </c>
      <c r="R788" s="2" t="s">
        <v>1721</v>
      </c>
      <c r="S788" s="4">
        <v>44837</v>
      </c>
    </row>
    <row r="789" spans="1:19" ht="12.5" x14ac:dyDescent="0.25">
      <c r="A789" s="14" t="str">
        <f>HYPERLINK("https://gerandofalcoes.my.salesforce.com/0014P00003AN2GKQA1", "0014P00003AN2GKQA1")</f>
        <v>0014P00003AN2GKQA1</v>
      </c>
      <c r="B789" s="2" t="s">
        <v>1687</v>
      </c>
      <c r="C789" s="2" t="s">
        <v>423</v>
      </c>
      <c r="D789" s="2" t="s">
        <v>27</v>
      </c>
      <c r="E789" s="2">
        <v>85</v>
      </c>
      <c r="F789" s="2">
        <v>22</v>
      </c>
      <c r="G789" s="2">
        <v>5</v>
      </c>
      <c r="H789" s="2">
        <v>1314918.45</v>
      </c>
      <c r="I789" s="2">
        <v>358</v>
      </c>
      <c r="J789" s="2" t="s">
        <v>1654</v>
      </c>
      <c r="K789" s="2">
        <v>87</v>
      </c>
      <c r="L789" s="2">
        <v>25</v>
      </c>
      <c r="M789" s="2">
        <v>12</v>
      </c>
      <c r="N789" s="2">
        <v>10</v>
      </c>
      <c r="O789" s="2">
        <v>25</v>
      </c>
      <c r="P789" s="2">
        <v>15</v>
      </c>
      <c r="Q789" s="2" t="s">
        <v>28</v>
      </c>
      <c r="R789" s="2" t="s">
        <v>28</v>
      </c>
      <c r="S789" s="4">
        <v>44837</v>
      </c>
    </row>
    <row r="790" spans="1:19" ht="12.5" x14ac:dyDescent="0.25">
      <c r="A790" s="14" t="str">
        <f>HYPERLINK("https://gerandofalcoes.my.salesforce.com/0014X00002VKCscQAH", "0014X00002VKCscQAH")</f>
        <v>0014X00002VKCscQAH</v>
      </c>
      <c r="B790" s="2" t="s">
        <v>2771</v>
      </c>
      <c r="C790" s="2" t="s">
        <v>423</v>
      </c>
      <c r="D790" s="2" t="s">
        <v>2</v>
      </c>
      <c r="E790" s="2">
        <v>38</v>
      </c>
      <c r="F790" s="2">
        <v>6</v>
      </c>
      <c r="G790" s="2">
        <v>0</v>
      </c>
      <c r="H790" s="2">
        <v>0</v>
      </c>
      <c r="I790" s="2">
        <v>150</v>
      </c>
      <c r="J790" s="2" t="s">
        <v>1779</v>
      </c>
      <c r="K790" s="2">
        <v>37</v>
      </c>
      <c r="L790" s="2">
        <v>15</v>
      </c>
      <c r="M790" s="2">
        <v>10</v>
      </c>
      <c r="N790" s="2">
        <v>0</v>
      </c>
      <c r="O790" s="2">
        <v>0</v>
      </c>
      <c r="P790" s="2">
        <v>12</v>
      </c>
      <c r="Q790" s="2" t="s">
        <v>2772</v>
      </c>
      <c r="R790" s="2" t="s">
        <v>2773</v>
      </c>
      <c r="S790" s="4">
        <v>44837</v>
      </c>
    </row>
    <row r="791" spans="1:19" ht="12.5" x14ac:dyDescent="0.25">
      <c r="A791" s="14" t="str">
        <f>HYPERLINK("https://gerandofalcoes.my.salesforce.com/0014X00002VKCu2QAH", "0014X00002VKCu2QAH")</f>
        <v>0014X00002VKCu2QAH</v>
      </c>
      <c r="B791" s="2" t="s">
        <v>2810</v>
      </c>
      <c r="C791" s="2" t="s">
        <v>423</v>
      </c>
      <c r="D791" s="2" t="s">
        <v>2</v>
      </c>
      <c r="E791" s="2">
        <v>41</v>
      </c>
      <c r="F791" s="2">
        <v>0</v>
      </c>
      <c r="G791" s="2">
        <v>2</v>
      </c>
      <c r="H791" s="2">
        <v>3</v>
      </c>
      <c r="I791" s="2">
        <v>300</v>
      </c>
      <c r="J791" s="2" t="s">
        <v>1671</v>
      </c>
      <c r="K791" s="2">
        <v>41</v>
      </c>
      <c r="L791" s="2">
        <v>15</v>
      </c>
      <c r="M791" s="2">
        <v>0</v>
      </c>
      <c r="N791" s="2">
        <v>6</v>
      </c>
      <c r="O791" s="2">
        <v>5</v>
      </c>
      <c r="P791" s="2">
        <v>15</v>
      </c>
      <c r="Q791" s="2" t="s">
        <v>2811</v>
      </c>
      <c r="R791" s="2" t="s">
        <v>2812</v>
      </c>
      <c r="S791" s="4">
        <v>44837</v>
      </c>
    </row>
    <row r="792" spans="1:19" ht="12.5" x14ac:dyDescent="0.25">
      <c r="A792" s="14" t="str">
        <f>HYPERLINK("https://gerandofalcoes.my.salesforce.com/0014X00002VKCsCQAX", "0014X00002VKCsCQAX")</f>
        <v>0014X00002VKCsCQAX</v>
      </c>
      <c r="B792" s="2" t="s">
        <v>2826</v>
      </c>
      <c r="C792" s="2" t="s">
        <v>423</v>
      </c>
      <c r="D792" s="2" t="s">
        <v>2</v>
      </c>
      <c r="E792" s="2">
        <v>11.65</v>
      </c>
      <c r="F792" s="2">
        <v>0</v>
      </c>
      <c r="G792" s="2">
        <v>2</v>
      </c>
      <c r="H792" s="2">
        <v>30000</v>
      </c>
      <c r="I792" s="2">
        <v>70</v>
      </c>
      <c r="J792" s="2" t="s">
        <v>1779</v>
      </c>
      <c r="K792" s="2">
        <v>31</v>
      </c>
      <c r="L792" s="2">
        <v>10</v>
      </c>
      <c r="M792" s="2">
        <v>0</v>
      </c>
      <c r="N792" s="2">
        <v>6</v>
      </c>
      <c r="O792" s="2">
        <v>10</v>
      </c>
      <c r="P792" s="2">
        <v>5</v>
      </c>
      <c r="Q792" s="2" t="s">
        <v>2827</v>
      </c>
      <c r="R792" s="2" t="s">
        <v>2827</v>
      </c>
      <c r="S792" s="4">
        <v>44837</v>
      </c>
    </row>
    <row r="793" spans="1:19" ht="12.5" x14ac:dyDescent="0.25">
      <c r="A793" s="14" t="str">
        <f>HYPERLINK("https://gerandofalcoes.my.salesforce.com/0014X00002VKCseQAH", "0014X00002VKCseQAH")</f>
        <v>0014X00002VKCseQAH</v>
      </c>
      <c r="B793" s="2" t="s">
        <v>2516</v>
      </c>
      <c r="C793" s="2" t="s">
        <v>1800</v>
      </c>
      <c r="D793" s="2" t="s">
        <v>2</v>
      </c>
      <c r="E793" s="2">
        <v>21</v>
      </c>
      <c r="F793" s="2">
        <v>0</v>
      </c>
      <c r="G793" s="2">
        <v>4</v>
      </c>
      <c r="H793" s="2">
        <v>6000</v>
      </c>
      <c r="I793" s="2">
        <v>100</v>
      </c>
      <c r="J793" s="2" t="s">
        <v>1779</v>
      </c>
      <c r="K793" s="2">
        <v>35</v>
      </c>
      <c r="L793" s="2">
        <v>10</v>
      </c>
      <c r="M793" s="2">
        <v>0</v>
      </c>
      <c r="N793" s="2">
        <v>10</v>
      </c>
      <c r="O793" s="2">
        <v>5</v>
      </c>
      <c r="P793" s="2">
        <v>10</v>
      </c>
      <c r="Q793" s="2" t="s">
        <v>2517</v>
      </c>
      <c r="R793" s="2" t="s">
        <v>2517</v>
      </c>
      <c r="S793" s="4">
        <v>44837</v>
      </c>
    </row>
    <row r="794" spans="1:19" ht="12.5" x14ac:dyDescent="0.25">
      <c r="A794" s="14" t="str">
        <f>HYPERLINK("https://gerandofalcoes.my.salesforce.com/0014X00002VKCt1QAH", "0014X00002VKCt1QAH")</f>
        <v>0014X00002VKCt1QAH</v>
      </c>
      <c r="B794" s="2" t="s">
        <v>2452</v>
      </c>
      <c r="C794" s="2" t="s">
        <v>423</v>
      </c>
      <c r="D794" s="2" t="s">
        <v>2</v>
      </c>
      <c r="E794" s="2">
        <v>23.64</v>
      </c>
      <c r="F794" s="2">
        <v>0</v>
      </c>
      <c r="G794" s="2">
        <v>1</v>
      </c>
      <c r="H794" s="2">
        <v>48000</v>
      </c>
      <c r="I794" s="2">
        <v>125</v>
      </c>
      <c r="J794" s="2" t="s">
        <v>1779</v>
      </c>
      <c r="K794" s="2">
        <v>34</v>
      </c>
      <c r="L794" s="2">
        <v>10</v>
      </c>
      <c r="M794" s="2">
        <v>0</v>
      </c>
      <c r="N794" s="2">
        <v>4</v>
      </c>
      <c r="O794" s="2">
        <v>10</v>
      </c>
      <c r="P794" s="2">
        <v>10</v>
      </c>
      <c r="Q794" s="2" t="s">
        <v>2453</v>
      </c>
      <c r="R794" s="2" t="s">
        <v>2453</v>
      </c>
      <c r="S794" s="4">
        <v>44837</v>
      </c>
    </row>
    <row r="795" spans="1:19" ht="12.5" x14ac:dyDescent="0.25">
      <c r="A795" s="14" t="str">
        <f>HYPERLINK("https://gerandofalcoes.my.salesforce.com/0014X00002VKCpyQAH", "0014X00002VKCpyQAH")</f>
        <v>0014X00002VKCpyQAH</v>
      </c>
      <c r="B795" s="2" t="s">
        <v>2340</v>
      </c>
      <c r="C795" s="2" t="s">
        <v>423</v>
      </c>
      <c r="D795" s="2" t="s">
        <v>2</v>
      </c>
      <c r="E795" s="2">
        <v>27.22</v>
      </c>
      <c r="F795" s="2">
        <v>0</v>
      </c>
      <c r="G795" s="2">
        <v>3</v>
      </c>
      <c r="H795" s="2">
        <v>20030</v>
      </c>
      <c r="I795" s="2">
        <v>294</v>
      </c>
      <c r="J795" s="2" t="s">
        <v>1671</v>
      </c>
      <c r="K795" s="2">
        <v>40</v>
      </c>
      <c r="L795" s="2">
        <v>15</v>
      </c>
      <c r="M795" s="2">
        <v>0</v>
      </c>
      <c r="N795" s="2">
        <v>8</v>
      </c>
      <c r="O795" s="2">
        <v>5</v>
      </c>
      <c r="P795" s="2">
        <v>12</v>
      </c>
      <c r="Q795" s="2" t="s">
        <v>2341</v>
      </c>
      <c r="R795" s="2" t="s">
        <v>2342</v>
      </c>
      <c r="S795" s="4">
        <v>44837</v>
      </c>
    </row>
    <row r="796" spans="1:19" ht="12.5" x14ac:dyDescent="0.25">
      <c r="A796" s="14" t="str">
        <f>HYPERLINK("https://gerandofalcoes.my.salesforce.com/0014X00002VKCstQAH", "0014X00002VKCstQAH")</f>
        <v>0014X00002VKCstQAH</v>
      </c>
      <c r="B796" s="2" t="s">
        <v>2259</v>
      </c>
      <c r="C796" s="2" t="s">
        <v>423</v>
      </c>
      <c r="D796" s="2" t="s">
        <v>2</v>
      </c>
      <c r="E796" s="2">
        <v>27</v>
      </c>
      <c r="F796" s="2">
        <v>2</v>
      </c>
      <c r="G796" s="2">
        <v>1</v>
      </c>
      <c r="H796" s="2">
        <v>5000</v>
      </c>
      <c r="I796" s="2">
        <v>50</v>
      </c>
      <c r="J796" s="2" t="s">
        <v>1779</v>
      </c>
      <c r="K796" s="2">
        <v>34</v>
      </c>
      <c r="L796" s="2">
        <v>15</v>
      </c>
      <c r="M796" s="2">
        <v>5</v>
      </c>
      <c r="N796" s="2">
        <v>4</v>
      </c>
      <c r="O796" s="2">
        <v>5</v>
      </c>
      <c r="P796" s="2">
        <v>5</v>
      </c>
      <c r="Q796" s="2" t="s">
        <v>2260</v>
      </c>
      <c r="R796" s="2" t="s">
        <v>2260</v>
      </c>
      <c r="S796" s="4">
        <v>44837</v>
      </c>
    </row>
    <row r="797" spans="1:19" ht="12.5" x14ac:dyDescent="0.25">
      <c r="A797" s="14" t="str">
        <f>HYPERLINK("https://gerandofalcoes.my.salesforce.com/0014X00002VKCqKQAX", "0014X00002VKCqKQAX")</f>
        <v>0014X00002VKCqKQAX</v>
      </c>
      <c r="B797" s="2" t="s">
        <v>2919</v>
      </c>
      <c r="C797" s="2" t="s">
        <v>423</v>
      </c>
      <c r="D797" s="2" t="s">
        <v>2</v>
      </c>
      <c r="E797" s="2">
        <v>21</v>
      </c>
      <c r="F797" s="2">
        <v>0</v>
      </c>
      <c r="G797" s="2">
        <v>1</v>
      </c>
      <c r="H797" s="2">
        <v>7500</v>
      </c>
      <c r="I797" s="2">
        <v>26</v>
      </c>
      <c r="J797" s="2" t="s">
        <v>1779</v>
      </c>
      <c r="K797" s="2">
        <v>24</v>
      </c>
      <c r="L797" s="2">
        <v>10</v>
      </c>
      <c r="M797" s="2">
        <v>0</v>
      </c>
      <c r="N797" s="2">
        <v>4</v>
      </c>
      <c r="O797" s="2">
        <v>5</v>
      </c>
      <c r="P797" s="2">
        <v>5</v>
      </c>
      <c r="Q797" s="2" t="s">
        <v>2920</v>
      </c>
      <c r="R797" s="2" t="s">
        <v>2921</v>
      </c>
      <c r="S797" s="4">
        <v>44837</v>
      </c>
    </row>
    <row r="798" spans="1:19" ht="12.5" x14ac:dyDescent="0.25">
      <c r="A798" s="14" t="str">
        <f>HYPERLINK("https://gerandofalcoes.my.salesforce.com/0014X00002VKCqEQAX", "0014X00002VKCqEQAX")</f>
        <v>0014X00002VKCqEQAX</v>
      </c>
      <c r="B798" s="2" t="s">
        <v>2349</v>
      </c>
      <c r="C798" s="2" t="s">
        <v>1800</v>
      </c>
      <c r="D798" s="2" t="s">
        <v>2</v>
      </c>
      <c r="E798" s="2">
        <v>27</v>
      </c>
      <c r="F798" s="2">
        <v>0</v>
      </c>
      <c r="G798" s="2">
        <v>6</v>
      </c>
      <c r="H798" s="2">
        <v>18500</v>
      </c>
      <c r="I798" s="2">
        <v>116</v>
      </c>
      <c r="J798" s="2" t="s">
        <v>1671</v>
      </c>
      <c r="K798" s="2">
        <v>40</v>
      </c>
      <c r="L798" s="2">
        <v>15</v>
      </c>
      <c r="M798" s="2">
        <v>0</v>
      </c>
      <c r="N798" s="2">
        <v>10</v>
      </c>
      <c r="O798" s="2">
        <v>5</v>
      </c>
      <c r="P798" s="2">
        <v>10</v>
      </c>
      <c r="Q798" s="2" t="s">
        <v>2350</v>
      </c>
      <c r="R798" s="2" t="s">
        <v>2351</v>
      </c>
      <c r="S798" s="4">
        <v>44837</v>
      </c>
    </row>
    <row r="799" spans="1:19" ht="12.5" x14ac:dyDescent="0.25">
      <c r="A799" s="14" t="str">
        <f>HYPERLINK("https://gerandofalcoes.my.salesforce.com/0014X00002VKCuMQAX", "0014X00002VKCuMQAX")</f>
        <v>0014X00002VKCuMQAX</v>
      </c>
      <c r="B799" s="2" t="s">
        <v>2947</v>
      </c>
      <c r="C799" s="2" t="s">
        <v>423</v>
      </c>
      <c r="D799" s="2" t="s">
        <v>2</v>
      </c>
      <c r="E799" s="2">
        <v>5.54</v>
      </c>
      <c r="F799" s="2">
        <v>0</v>
      </c>
      <c r="G799" s="2">
        <v>1</v>
      </c>
      <c r="H799" s="2">
        <v>0</v>
      </c>
      <c r="I799" s="2">
        <v>420</v>
      </c>
      <c r="J799" s="2" t="s">
        <v>1779</v>
      </c>
      <c r="K799" s="2">
        <v>29</v>
      </c>
      <c r="L799" s="2">
        <v>10</v>
      </c>
      <c r="M799" s="2">
        <v>0</v>
      </c>
      <c r="N799" s="2">
        <v>4</v>
      </c>
      <c r="O799" s="2">
        <v>0</v>
      </c>
      <c r="P799" s="2">
        <v>15</v>
      </c>
      <c r="Q799" s="2" t="s">
        <v>2948</v>
      </c>
      <c r="R799" s="2" t="s">
        <v>2949</v>
      </c>
      <c r="S799" s="4">
        <v>44837</v>
      </c>
    </row>
    <row r="800" spans="1:19" ht="12.5" x14ac:dyDescent="0.25">
      <c r="A800" s="14" t="str">
        <f>HYPERLINK("https://gerandofalcoes.my.salesforce.com/0014X00002VKCqhQAH", "0014X00002VKCqhQAH")</f>
        <v>0014X00002VKCqhQAH</v>
      </c>
      <c r="B800" s="2" t="s">
        <v>2786</v>
      </c>
      <c r="C800" s="2" t="s">
        <v>423</v>
      </c>
      <c r="D800" s="2" t="s">
        <v>2</v>
      </c>
      <c r="E800" s="2">
        <v>48</v>
      </c>
      <c r="F800" s="2">
        <v>0</v>
      </c>
      <c r="G800" s="2">
        <v>0</v>
      </c>
      <c r="H800" s="2">
        <v>0</v>
      </c>
      <c r="I800" s="2">
        <v>300</v>
      </c>
      <c r="J800" s="2" t="s">
        <v>1779</v>
      </c>
      <c r="K800" s="2">
        <v>30</v>
      </c>
      <c r="L800" s="2">
        <v>15</v>
      </c>
      <c r="M800" s="2">
        <v>0</v>
      </c>
      <c r="N800" s="2">
        <v>0</v>
      </c>
      <c r="O800" s="2">
        <v>0</v>
      </c>
      <c r="P800" s="2">
        <v>15</v>
      </c>
      <c r="Q800" s="2" t="s">
        <v>2787</v>
      </c>
      <c r="R800" s="2" t="s">
        <v>2788</v>
      </c>
      <c r="S800" s="4">
        <v>44837</v>
      </c>
    </row>
    <row r="801" spans="1:19" ht="12.5" x14ac:dyDescent="0.25">
      <c r="A801" s="14" t="str">
        <f>HYPERLINK("https://gerandofalcoes.my.salesforce.com/0014X00002VKCqDQAX", "0014X00002VKCqDQAX")</f>
        <v>0014X00002VKCqDQAX</v>
      </c>
      <c r="B801" s="2" t="s">
        <v>2078</v>
      </c>
      <c r="C801" s="2" t="s">
        <v>423</v>
      </c>
      <c r="D801" s="2" t="s">
        <v>2</v>
      </c>
      <c r="E801" s="2">
        <v>36</v>
      </c>
      <c r="F801" s="2">
        <v>0</v>
      </c>
      <c r="G801" s="2">
        <v>2</v>
      </c>
      <c r="H801" s="2">
        <v>12000</v>
      </c>
      <c r="I801" s="2">
        <v>70</v>
      </c>
      <c r="J801" s="2" t="s">
        <v>1779</v>
      </c>
      <c r="K801" s="2">
        <v>31</v>
      </c>
      <c r="L801" s="2">
        <v>15</v>
      </c>
      <c r="M801" s="2">
        <v>0</v>
      </c>
      <c r="N801" s="2">
        <v>6</v>
      </c>
      <c r="O801" s="2">
        <v>5</v>
      </c>
      <c r="P801" s="2">
        <v>5</v>
      </c>
      <c r="Q801" s="2" t="s">
        <v>2079</v>
      </c>
      <c r="R801" s="2" t="s">
        <v>2080</v>
      </c>
      <c r="S801" s="4">
        <v>44837</v>
      </c>
    </row>
    <row r="802" spans="1:19" ht="12.5" x14ac:dyDescent="0.25">
      <c r="A802" s="14" t="str">
        <f>HYPERLINK("https://gerandofalcoes.my.salesforce.com/0014X00002VKCplQAH", "0014X00002VKCplQAH")</f>
        <v>0014X00002VKCplQAH</v>
      </c>
      <c r="B802" s="2" t="s">
        <v>2081</v>
      </c>
      <c r="C802" s="2" t="s">
        <v>1800</v>
      </c>
      <c r="D802" s="2" t="s">
        <v>2</v>
      </c>
      <c r="E802" s="2">
        <v>36</v>
      </c>
      <c r="F802" s="2">
        <v>20</v>
      </c>
      <c r="G802" s="2">
        <v>2</v>
      </c>
      <c r="H802" s="2">
        <v>300000</v>
      </c>
      <c r="I802" s="2">
        <v>50</v>
      </c>
      <c r="J802" s="2" t="s">
        <v>1671</v>
      </c>
      <c r="K802" s="2">
        <v>58</v>
      </c>
      <c r="L802" s="2">
        <v>15</v>
      </c>
      <c r="M802" s="2">
        <v>12</v>
      </c>
      <c r="N802" s="2">
        <v>6</v>
      </c>
      <c r="O802" s="2">
        <v>20</v>
      </c>
      <c r="P802" s="2">
        <v>5</v>
      </c>
      <c r="Q802" s="2" t="s">
        <v>2082</v>
      </c>
      <c r="R802" s="2" t="s">
        <v>2083</v>
      </c>
      <c r="S802" s="4">
        <v>44837</v>
      </c>
    </row>
    <row r="803" spans="1:19" ht="12.5" x14ac:dyDescent="0.25">
      <c r="A803" s="14" t="str">
        <f>HYPERLINK("https://gerandofalcoes.my.salesforce.com/0014X00002VKCq4QAH", "0014X00002VKCq4QAH")</f>
        <v>0014X00002VKCq4QAH</v>
      </c>
      <c r="B803" s="2" t="s">
        <v>1980</v>
      </c>
      <c r="C803" s="2" t="s">
        <v>423</v>
      </c>
      <c r="D803" s="2" t="s">
        <v>2</v>
      </c>
      <c r="E803" s="2">
        <v>39</v>
      </c>
      <c r="F803" s="2">
        <v>0</v>
      </c>
      <c r="G803" s="2">
        <v>3</v>
      </c>
      <c r="H803" s="2">
        <v>30000</v>
      </c>
      <c r="I803" s="2">
        <v>700</v>
      </c>
      <c r="J803" s="2" t="s">
        <v>1671</v>
      </c>
      <c r="K803" s="2">
        <v>53</v>
      </c>
      <c r="L803" s="2">
        <v>15</v>
      </c>
      <c r="M803" s="2">
        <v>0</v>
      </c>
      <c r="N803" s="2">
        <v>8</v>
      </c>
      <c r="O803" s="2">
        <v>10</v>
      </c>
      <c r="P803" s="2">
        <v>20</v>
      </c>
      <c r="Q803" s="2" t="s">
        <v>1981</v>
      </c>
      <c r="R803" s="2" t="s">
        <v>1982</v>
      </c>
      <c r="S803" s="4">
        <v>44837</v>
      </c>
    </row>
    <row r="804" spans="1:19" ht="12.5" x14ac:dyDescent="0.25">
      <c r="A804" s="14" t="str">
        <f>HYPERLINK("https://gerandofalcoes.my.salesforce.com/0014X00002VKCpfQAH", "0014X00002VKCpfQAH")</f>
        <v>0014X00002VKCpfQAH</v>
      </c>
      <c r="B804" s="2" t="s">
        <v>1868</v>
      </c>
      <c r="C804" s="2" t="s">
        <v>423</v>
      </c>
      <c r="D804" s="2" t="s">
        <v>2</v>
      </c>
      <c r="E804" s="2">
        <v>40</v>
      </c>
      <c r="F804" s="2">
        <v>0</v>
      </c>
      <c r="G804" s="2">
        <v>3</v>
      </c>
      <c r="H804" s="2">
        <v>41307</v>
      </c>
      <c r="I804" s="2">
        <v>120</v>
      </c>
      <c r="J804" s="2" t="s">
        <v>1671</v>
      </c>
      <c r="K804" s="2">
        <v>43</v>
      </c>
      <c r="L804" s="2">
        <v>15</v>
      </c>
      <c r="M804" s="2">
        <v>0</v>
      </c>
      <c r="N804" s="2">
        <v>8</v>
      </c>
      <c r="O804" s="2">
        <v>10</v>
      </c>
      <c r="P804" s="2">
        <v>10</v>
      </c>
      <c r="Q804" s="2" t="s">
        <v>1869</v>
      </c>
      <c r="R804" s="2" t="s">
        <v>1870</v>
      </c>
      <c r="S804" s="4">
        <v>44837</v>
      </c>
    </row>
    <row r="805" spans="1:19" ht="12.5" x14ac:dyDescent="0.25">
      <c r="A805" s="14" t="str">
        <f>HYPERLINK("https://gerandofalcoes.my.salesforce.com/0014X00002VKCtKQAX", "0014X00002VKCtKQAX")</f>
        <v>0014X00002VKCtKQAX</v>
      </c>
      <c r="B805" s="2" t="s">
        <v>2828</v>
      </c>
      <c r="C805" s="2" t="s">
        <v>423</v>
      </c>
      <c r="D805" s="2" t="s">
        <v>2</v>
      </c>
      <c r="E805" s="2">
        <v>25</v>
      </c>
      <c r="F805" s="2">
        <v>8</v>
      </c>
      <c r="G805" s="2">
        <v>12</v>
      </c>
      <c r="H805" s="2">
        <v>5479</v>
      </c>
      <c r="I805" s="2">
        <v>80</v>
      </c>
      <c r="J805" s="2" t="s">
        <v>1671</v>
      </c>
      <c r="K805" s="2">
        <v>50</v>
      </c>
      <c r="L805" s="2">
        <v>15</v>
      </c>
      <c r="M805" s="2">
        <v>10</v>
      </c>
      <c r="N805" s="2">
        <v>10</v>
      </c>
      <c r="O805" s="2">
        <v>5</v>
      </c>
      <c r="P805" s="2">
        <v>10</v>
      </c>
      <c r="Q805" s="2" t="s">
        <v>2829</v>
      </c>
      <c r="R805" s="2" t="s">
        <v>2829</v>
      </c>
      <c r="S805" s="4">
        <v>44837</v>
      </c>
    </row>
    <row r="806" spans="1:19" ht="12.5" x14ac:dyDescent="0.25">
      <c r="A806" s="14" t="str">
        <f>HYPERLINK("https://gerandofalcoes.my.salesforce.com/0014X00002VKCtmQAH", "0014X00002VKCtmQAH")</f>
        <v>0014X00002VKCtmQAH</v>
      </c>
      <c r="B806" s="2" t="s">
        <v>2571</v>
      </c>
      <c r="C806" s="2" t="s">
        <v>1800</v>
      </c>
      <c r="D806" s="2" t="s">
        <v>2</v>
      </c>
      <c r="E806" s="2">
        <v>20</v>
      </c>
      <c r="F806" s="2">
        <v>0</v>
      </c>
      <c r="G806" s="2">
        <v>2</v>
      </c>
      <c r="H806" s="2">
        <v>30000</v>
      </c>
      <c r="I806" s="2">
        <v>0</v>
      </c>
      <c r="J806" s="2" t="s">
        <v>1779</v>
      </c>
      <c r="K806" s="2">
        <v>26</v>
      </c>
      <c r="L806" s="2">
        <v>10</v>
      </c>
      <c r="M806" s="2">
        <v>0</v>
      </c>
      <c r="N806" s="2">
        <v>6</v>
      </c>
      <c r="O806" s="2">
        <v>10</v>
      </c>
      <c r="P806" s="2">
        <v>0</v>
      </c>
      <c r="Q806" s="2" t="s">
        <v>2572</v>
      </c>
      <c r="R806" s="2" t="s">
        <v>2572</v>
      </c>
      <c r="S806" s="4">
        <v>44837</v>
      </c>
    </row>
    <row r="807" spans="1:19" ht="12.5" x14ac:dyDescent="0.25">
      <c r="A807" s="14" t="str">
        <f>HYPERLINK("https://gerandofalcoes.my.salesforce.com/0014X00002VKCq0QAH", "0014X00002VKCq0QAH")</f>
        <v>0014X00002VKCq0QAH</v>
      </c>
      <c r="B807" s="2" t="s">
        <v>2930</v>
      </c>
      <c r="C807" s="2" t="s">
        <v>1800</v>
      </c>
      <c r="D807" s="2" t="s">
        <v>2</v>
      </c>
      <c r="E807" s="2">
        <v>6</v>
      </c>
      <c r="F807" s="2">
        <v>2</v>
      </c>
      <c r="G807" s="2">
        <v>3</v>
      </c>
      <c r="H807" s="2">
        <v>929000</v>
      </c>
      <c r="I807" s="2">
        <v>300</v>
      </c>
      <c r="J807" s="2" t="s">
        <v>1671</v>
      </c>
      <c r="K807" s="2">
        <v>63</v>
      </c>
      <c r="L807" s="2">
        <v>10</v>
      </c>
      <c r="M807" s="2">
        <v>5</v>
      </c>
      <c r="N807" s="2">
        <v>8</v>
      </c>
      <c r="O807" s="2">
        <v>25</v>
      </c>
      <c r="P807" s="2">
        <v>15</v>
      </c>
      <c r="Q807" s="2" t="s">
        <v>2931</v>
      </c>
      <c r="R807" s="2" t="s">
        <v>2932</v>
      </c>
      <c r="S807" s="4">
        <v>44837</v>
      </c>
    </row>
    <row r="808" spans="1:19" ht="12.5" x14ac:dyDescent="0.25">
      <c r="A808" s="14" t="str">
        <f>HYPERLINK("https://gerandofalcoes.my.salesforce.com/0014X00002VKCrRQAX", "0014X00002VKCrRQAX")</f>
        <v>0014X00002VKCrRQAX</v>
      </c>
      <c r="B808" s="2" t="s">
        <v>1864</v>
      </c>
      <c r="C808" s="2" t="s">
        <v>423</v>
      </c>
      <c r="D808" s="2" t="s">
        <v>2</v>
      </c>
      <c r="E808" s="2">
        <v>43</v>
      </c>
      <c r="F808" s="2">
        <v>0</v>
      </c>
      <c r="G808" s="2">
        <v>2</v>
      </c>
      <c r="H808" s="2">
        <v>140300</v>
      </c>
      <c r="I808" s="2">
        <v>238</v>
      </c>
      <c r="J808" s="2" t="s">
        <v>1671</v>
      </c>
      <c r="K808" s="2">
        <v>48</v>
      </c>
      <c r="L808" s="2">
        <v>15</v>
      </c>
      <c r="M808" s="2">
        <v>0</v>
      </c>
      <c r="N808" s="2">
        <v>6</v>
      </c>
      <c r="O808" s="2">
        <v>15</v>
      </c>
      <c r="P808" s="2">
        <v>12</v>
      </c>
      <c r="Q808" s="2" t="s">
        <v>1865</v>
      </c>
      <c r="R808" s="2" t="s">
        <v>1866</v>
      </c>
      <c r="S808" s="4">
        <v>44837</v>
      </c>
    </row>
    <row r="809" spans="1:19" ht="12.5" x14ac:dyDescent="0.25">
      <c r="A809" s="14" t="str">
        <f>HYPERLINK("https://gerandofalcoes.my.salesforce.com/0014X00002VKCutQAH", "0014X00002VKCutQAH")</f>
        <v>0014X00002VKCutQAH</v>
      </c>
      <c r="B809" s="2" t="s">
        <v>2205</v>
      </c>
      <c r="C809" s="2" t="s">
        <v>423</v>
      </c>
      <c r="D809" s="2" t="s">
        <v>2</v>
      </c>
      <c r="E809" s="2">
        <v>45</v>
      </c>
      <c r="F809" s="2">
        <v>8</v>
      </c>
      <c r="G809" s="2">
        <v>3</v>
      </c>
      <c r="H809" s="2">
        <v>60000</v>
      </c>
      <c r="I809" s="2">
        <v>120</v>
      </c>
      <c r="J809" s="2" t="s">
        <v>1671</v>
      </c>
      <c r="K809" s="2">
        <v>53</v>
      </c>
      <c r="L809" s="2">
        <v>15</v>
      </c>
      <c r="M809" s="2">
        <v>10</v>
      </c>
      <c r="N809" s="2">
        <v>8</v>
      </c>
      <c r="O809" s="2">
        <v>10</v>
      </c>
      <c r="P809" s="2">
        <v>10</v>
      </c>
      <c r="Q809" s="2" t="s">
        <v>2206</v>
      </c>
      <c r="R809" s="2" t="s">
        <v>2207</v>
      </c>
      <c r="S809" s="4">
        <v>44837</v>
      </c>
    </row>
    <row r="810" spans="1:19" ht="12.5" x14ac:dyDescent="0.25">
      <c r="A810" s="14" t="str">
        <f>HYPERLINK("https://gerandofalcoes.my.salesforce.com/0014X00002VKCpgQAH", "0014X00002VKCpgQAH")</f>
        <v>0014X00002VKCpgQAH</v>
      </c>
      <c r="B810" s="2" t="s">
        <v>2898</v>
      </c>
      <c r="C810" s="2" t="s">
        <v>423</v>
      </c>
      <c r="D810" s="2" t="s">
        <v>2</v>
      </c>
      <c r="E810" s="2">
        <v>8.61</v>
      </c>
      <c r="F810" s="2">
        <v>1</v>
      </c>
      <c r="G810" s="2">
        <v>1</v>
      </c>
      <c r="H810" s="2">
        <v>1224</v>
      </c>
      <c r="I810" s="2">
        <v>25</v>
      </c>
      <c r="J810" s="2" t="s">
        <v>1779</v>
      </c>
      <c r="K810" s="2">
        <v>29</v>
      </c>
      <c r="L810" s="2">
        <v>10</v>
      </c>
      <c r="M810" s="2">
        <v>5</v>
      </c>
      <c r="N810" s="2">
        <v>4</v>
      </c>
      <c r="O810" s="2">
        <v>5</v>
      </c>
      <c r="P810" s="2">
        <v>5</v>
      </c>
      <c r="Q810" s="2" t="s">
        <v>2899</v>
      </c>
      <c r="R810" s="2" t="s">
        <v>2899</v>
      </c>
      <c r="S810" s="4">
        <v>44837</v>
      </c>
    </row>
    <row r="811" spans="1:19" ht="12.5" x14ac:dyDescent="0.25">
      <c r="A811" s="14" t="str">
        <f>HYPERLINK("https://gerandofalcoes.my.salesforce.com/0014X00002VKCtGQAX", "0014X00002VKCtGQAX")</f>
        <v>0014X00002VKCtGQAX</v>
      </c>
      <c r="B811" s="2" t="s">
        <v>2459</v>
      </c>
      <c r="C811" s="2" t="s">
        <v>423</v>
      </c>
      <c r="D811" s="2" t="s">
        <v>2</v>
      </c>
      <c r="E811" s="2">
        <v>23</v>
      </c>
      <c r="F811" s="2">
        <v>0</v>
      </c>
      <c r="G811" s="2">
        <v>4</v>
      </c>
      <c r="H811" s="2">
        <v>2000</v>
      </c>
      <c r="I811" s="2">
        <v>90</v>
      </c>
      <c r="J811" s="2" t="s">
        <v>1779</v>
      </c>
      <c r="K811" s="2">
        <v>35</v>
      </c>
      <c r="L811" s="2">
        <v>10</v>
      </c>
      <c r="M811" s="2">
        <v>0</v>
      </c>
      <c r="N811" s="2">
        <v>10</v>
      </c>
      <c r="O811" s="2">
        <v>5</v>
      </c>
      <c r="P811" s="2">
        <v>10</v>
      </c>
      <c r="Q811" s="2" t="s">
        <v>2460</v>
      </c>
      <c r="R811" s="2" t="s">
        <v>2461</v>
      </c>
      <c r="S811" s="4">
        <v>44837</v>
      </c>
    </row>
    <row r="812" spans="1:19" ht="12.5" x14ac:dyDescent="0.25">
      <c r="A812" s="14" t="str">
        <f>HYPERLINK("https://gerandofalcoes.my.salesforce.com/0014X00002VKCrWQAX", "0014X00002VKCrWQAX")</f>
        <v>0014X00002VKCrWQAX</v>
      </c>
      <c r="B812" s="2" t="s">
        <v>2235</v>
      </c>
      <c r="C812" s="2" t="s">
        <v>1800</v>
      </c>
      <c r="D812" s="2" t="s">
        <v>2</v>
      </c>
      <c r="E812" s="2">
        <v>31</v>
      </c>
      <c r="F812" s="2">
        <v>700</v>
      </c>
      <c r="G812" s="2">
        <v>3</v>
      </c>
      <c r="H812" s="2">
        <v>100000</v>
      </c>
      <c r="I812" s="2">
        <v>850</v>
      </c>
      <c r="J812" s="2" t="s">
        <v>1650</v>
      </c>
      <c r="K812" s="2">
        <v>73</v>
      </c>
      <c r="L812" s="2">
        <v>15</v>
      </c>
      <c r="M812" s="2">
        <v>15</v>
      </c>
      <c r="N812" s="2">
        <v>8</v>
      </c>
      <c r="O812" s="2">
        <v>15</v>
      </c>
      <c r="P812" s="2">
        <v>20</v>
      </c>
      <c r="Q812" s="2" t="s">
        <v>2236</v>
      </c>
      <c r="R812" s="2" t="s">
        <v>2237</v>
      </c>
      <c r="S812" s="4">
        <v>44837</v>
      </c>
    </row>
    <row r="813" spans="1:19" ht="12.5" x14ac:dyDescent="0.25">
      <c r="A813" s="14" t="str">
        <f>HYPERLINK("https://gerandofalcoes.my.salesforce.com/0014X00002VKCtkQAH", "0014X00002VKCtkQAH")</f>
        <v>0014X00002VKCtkQAH</v>
      </c>
      <c r="B813" s="2" t="s">
        <v>2200</v>
      </c>
      <c r="C813" s="2" t="s">
        <v>423</v>
      </c>
      <c r="D813" s="2" t="s">
        <v>2</v>
      </c>
      <c r="E813" s="2">
        <v>32.909999999999997</v>
      </c>
      <c r="F813" s="2">
        <v>14</v>
      </c>
      <c r="G813" s="2">
        <v>0</v>
      </c>
      <c r="H813" s="2">
        <v>345000</v>
      </c>
      <c r="I813" s="2">
        <v>300</v>
      </c>
      <c r="J813" s="2" t="s">
        <v>1671</v>
      </c>
      <c r="K813" s="2">
        <v>62</v>
      </c>
      <c r="L813" s="2">
        <v>15</v>
      </c>
      <c r="M813" s="2">
        <v>12</v>
      </c>
      <c r="N813" s="2">
        <v>0</v>
      </c>
      <c r="O813" s="2">
        <v>20</v>
      </c>
      <c r="P813" s="2">
        <v>15</v>
      </c>
      <c r="Q813" s="2" t="s">
        <v>2201</v>
      </c>
      <c r="R813" s="2" t="s">
        <v>2202</v>
      </c>
      <c r="S813" s="4">
        <v>44837</v>
      </c>
    </row>
    <row r="814" spans="1:19" ht="12.5" x14ac:dyDescent="0.25">
      <c r="A814" s="14" t="str">
        <f>HYPERLINK("https://gerandofalcoes.my.salesforce.com/0014X00002VKCpdQAH", "0014X00002VKCpdQAH")</f>
        <v>0014X00002VKCpdQAH</v>
      </c>
      <c r="B814" s="2" t="s">
        <v>1731</v>
      </c>
      <c r="C814" s="2" t="s">
        <v>423</v>
      </c>
      <c r="D814" s="2" t="s">
        <v>2</v>
      </c>
      <c r="E814" s="2">
        <v>71</v>
      </c>
      <c r="F814" s="2">
        <v>22</v>
      </c>
      <c r="G814" s="2">
        <v>3</v>
      </c>
      <c r="H814" s="2">
        <v>1200000</v>
      </c>
      <c r="I814" s="2">
        <v>520</v>
      </c>
      <c r="J814" s="2" t="s">
        <v>1654</v>
      </c>
      <c r="K814" s="2">
        <v>85</v>
      </c>
      <c r="L814" s="2">
        <v>20</v>
      </c>
      <c r="M814" s="2">
        <v>12</v>
      </c>
      <c r="N814" s="2">
        <v>8</v>
      </c>
      <c r="O814" s="2">
        <v>25</v>
      </c>
      <c r="P814" s="2">
        <v>20</v>
      </c>
      <c r="Q814" s="2" t="s">
        <v>1732</v>
      </c>
      <c r="R814" s="2" t="s">
        <v>1733</v>
      </c>
      <c r="S814" s="4">
        <v>44837</v>
      </c>
    </row>
    <row r="815" spans="1:19" ht="12.5" x14ac:dyDescent="0.25">
      <c r="A815" s="14" t="str">
        <f>HYPERLINK("https://gerandofalcoes.my.salesforce.com/0014X00002VKCtyQAH", "0014X00002VKCtyQAH")</f>
        <v>0014X00002VKCtyQAH</v>
      </c>
      <c r="B815" s="2" t="s">
        <v>1750</v>
      </c>
      <c r="C815" s="2" t="s">
        <v>423</v>
      </c>
      <c r="D815" s="2" t="s">
        <v>2</v>
      </c>
      <c r="E815" s="2">
        <v>63</v>
      </c>
      <c r="F815" s="2">
        <v>0</v>
      </c>
      <c r="G815" s="2">
        <v>4</v>
      </c>
      <c r="H815" s="2">
        <v>50000</v>
      </c>
      <c r="I815" s="2">
        <v>45</v>
      </c>
      <c r="J815" s="2" t="s">
        <v>1671</v>
      </c>
      <c r="K815" s="2">
        <v>45</v>
      </c>
      <c r="L815" s="2">
        <v>20</v>
      </c>
      <c r="M815" s="2">
        <v>0</v>
      </c>
      <c r="N815" s="2">
        <v>10</v>
      </c>
      <c r="O815" s="2">
        <v>10</v>
      </c>
      <c r="P815" s="2">
        <v>5</v>
      </c>
      <c r="Q815" s="2" t="s">
        <v>1751</v>
      </c>
      <c r="R815" s="2" t="s">
        <v>1752</v>
      </c>
      <c r="S815" s="4">
        <v>44837</v>
      </c>
    </row>
    <row r="816" spans="1:19" ht="12.5" x14ac:dyDescent="0.25">
      <c r="A816" s="14" t="str">
        <f>HYPERLINK("https://gerandofalcoes.my.salesforce.com/0014X00002VKCrkQAH", "0014X00002VKCrkQAH")</f>
        <v>0014X00002VKCrkQAH</v>
      </c>
      <c r="B816" s="2" t="s">
        <v>2093</v>
      </c>
      <c r="C816" s="2" t="s">
        <v>423</v>
      </c>
      <c r="D816" s="2" t="s">
        <v>2</v>
      </c>
      <c r="E816" s="2">
        <v>50</v>
      </c>
      <c r="F816" s="2">
        <v>10</v>
      </c>
      <c r="G816" s="2">
        <v>3</v>
      </c>
      <c r="H816" s="2">
        <v>7986449</v>
      </c>
      <c r="I816" s="2">
        <v>30</v>
      </c>
      <c r="J816" s="2" t="s">
        <v>1650</v>
      </c>
      <c r="K816" s="2">
        <v>68</v>
      </c>
      <c r="L816" s="2">
        <v>20</v>
      </c>
      <c r="M816" s="2">
        <v>10</v>
      </c>
      <c r="N816" s="2">
        <v>8</v>
      </c>
      <c r="O816" s="2">
        <v>25</v>
      </c>
      <c r="P816" s="2">
        <v>5</v>
      </c>
      <c r="Q816" s="2" t="s">
        <v>2094</v>
      </c>
      <c r="R816" s="2" t="s">
        <v>2095</v>
      </c>
      <c r="S816" s="4">
        <v>44837</v>
      </c>
    </row>
    <row r="817" spans="1:19" ht="12.5" x14ac:dyDescent="0.25">
      <c r="A817" s="14" t="str">
        <f>HYPERLINK("https://gerandofalcoes.my.salesforce.com/0014P00003YSp9WQAT", "0014P00003YSp9WQAT")</f>
        <v>0014P00003YSp9WQAT</v>
      </c>
      <c r="B817" s="2" t="s">
        <v>2286</v>
      </c>
      <c r="C817" s="2" t="s">
        <v>423</v>
      </c>
      <c r="D817" s="2" t="s">
        <v>2</v>
      </c>
      <c r="E817" s="2">
        <v>35</v>
      </c>
      <c r="F817" s="2">
        <v>0</v>
      </c>
      <c r="G817" s="2">
        <v>2</v>
      </c>
      <c r="H817" s="2">
        <v>0</v>
      </c>
      <c r="I817" s="2">
        <v>353</v>
      </c>
      <c r="J817" s="2" t="s">
        <v>1779</v>
      </c>
      <c r="K817" s="2">
        <v>36</v>
      </c>
      <c r="L817" s="2">
        <v>15</v>
      </c>
      <c r="M817" s="2">
        <v>0</v>
      </c>
      <c r="N817" s="2">
        <v>6</v>
      </c>
      <c r="O817" s="2">
        <v>0</v>
      </c>
      <c r="P817" s="2">
        <v>15</v>
      </c>
      <c r="Q817" s="2" t="s">
        <v>2287</v>
      </c>
      <c r="R817" s="2" t="s">
        <v>2287</v>
      </c>
      <c r="S817" s="4">
        <v>44837</v>
      </c>
    </row>
    <row r="818" spans="1:19" ht="12.5" x14ac:dyDescent="0.25">
      <c r="A818" s="14" t="str">
        <f>HYPERLINK("https://gerandofalcoes.my.salesforce.com/0014P00003YSp9PQAT", "0014P00003YSp9PQAT")</f>
        <v>0014P00003YSp9PQAT</v>
      </c>
      <c r="B818" s="2" t="s">
        <v>2312</v>
      </c>
      <c r="C818" s="2" t="s">
        <v>423</v>
      </c>
      <c r="D818" s="2" t="s">
        <v>2</v>
      </c>
      <c r="E818" s="2">
        <v>28.92</v>
      </c>
      <c r="F818" s="2">
        <v>1</v>
      </c>
      <c r="G818" s="2">
        <v>2</v>
      </c>
      <c r="H818" s="2">
        <v>105000</v>
      </c>
      <c r="I818" s="2">
        <v>0</v>
      </c>
      <c r="J818" s="2" t="s">
        <v>1671</v>
      </c>
      <c r="K818" s="2">
        <v>41</v>
      </c>
      <c r="L818" s="2">
        <v>15</v>
      </c>
      <c r="M818" s="2">
        <v>5</v>
      </c>
      <c r="N818" s="2">
        <v>6</v>
      </c>
      <c r="O818" s="2">
        <v>15</v>
      </c>
      <c r="P818" s="2">
        <v>0</v>
      </c>
      <c r="Q818" s="2" t="s">
        <v>2313</v>
      </c>
      <c r="R818" s="2" t="s">
        <v>2313</v>
      </c>
      <c r="S818" s="4">
        <v>44837</v>
      </c>
    </row>
    <row r="819" spans="1:19" ht="12.5" x14ac:dyDescent="0.25">
      <c r="A819" s="14" t="str">
        <f>HYPERLINK("https://gerandofalcoes.my.salesforce.com/0014P00003YSp9TQAT", "0014P00003YSp9TQAT")</f>
        <v>0014P00003YSp9TQAT</v>
      </c>
      <c r="B819" s="2" t="s">
        <v>2194</v>
      </c>
      <c r="C819" s="2" t="s">
        <v>423</v>
      </c>
      <c r="D819" s="2" t="s">
        <v>2</v>
      </c>
      <c r="E819" s="2">
        <v>33</v>
      </c>
      <c r="F819" s="2">
        <v>0</v>
      </c>
      <c r="G819" s="2">
        <v>3</v>
      </c>
      <c r="H819" s="2">
        <v>55000</v>
      </c>
      <c r="I819" s="2">
        <v>0</v>
      </c>
      <c r="J819" s="2" t="s">
        <v>1779</v>
      </c>
      <c r="K819" s="2">
        <v>33</v>
      </c>
      <c r="L819" s="2">
        <v>15</v>
      </c>
      <c r="M819" s="2">
        <v>0</v>
      </c>
      <c r="N819" s="2">
        <v>8</v>
      </c>
      <c r="O819" s="2">
        <v>10</v>
      </c>
      <c r="P819" s="2">
        <v>0</v>
      </c>
      <c r="Q819" s="2" t="s">
        <v>2195</v>
      </c>
      <c r="R819" s="2" t="s">
        <v>2196</v>
      </c>
      <c r="S819" s="4">
        <v>44837</v>
      </c>
    </row>
    <row r="820" spans="1:19" ht="12.5" x14ac:dyDescent="0.25">
      <c r="A820" s="14" t="str">
        <f>HYPERLINK("https://gerandofalcoes.my.salesforce.com/0014P00003YSp9UQAT", "0014P00003YSp9UQAT")</f>
        <v>0014P00003YSp9UQAT</v>
      </c>
      <c r="B820" s="2" t="s">
        <v>2133</v>
      </c>
      <c r="C820" s="2" t="s">
        <v>1800</v>
      </c>
      <c r="D820" s="2" t="s">
        <v>2</v>
      </c>
      <c r="E820" s="2">
        <v>34</v>
      </c>
      <c r="F820" s="2">
        <v>39</v>
      </c>
      <c r="G820" s="2">
        <v>2</v>
      </c>
      <c r="H820" s="2">
        <v>2000</v>
      </c>
      <c r="I820" s="2">
        <v>280</v>
      </c>
      <c r="J820" s="2" t="s">
        <v>1671</v>
      </c>
      <c r="K820" s="2">
        <v>53</v>
      </c>
      <c r="L820" s="2">
        <v>15</v>
      </c>
      <c r="M820" s="2">
        <v>15</v>
      </c>
      <c r="N820" s="2">
        <v>6</v>
      </c>
      <c r="O820" s="2">
        <v>5</v>
      </c>
      <c r="P820" s="2">
        <v>12</v>
      </c>
      <c r="Q820" s="2" t="s">
        <v>2134</v>
      </c>
      <c r="R820" s="2" t="s">
        <v>2135</v>
      </c>
      <c r="S820" s="4">
        <v>44837</v>
      </c>
    </row>
    <row r="821" spans="1:19" ht="12.5" x14ac:dyDescent="0.25">
      <c r="A821" s="14" t="str">
        <f>HYPERLINK("https://gerandofalcoes.my.salesforce.com/0014P00003YSp9XQAT", "0014P00003YSp9XQAT")</f>
        <v>0014P00003YSp9XQAT</v>
      </c>
      <c r="B821" s="2" t="s">
        <v>1833</v>
      </c>
      <c r="C821" s="2" t="s">
        <v>423</v>
      </c>
      <c r="D821" s="2" t="s">
        <v>2</v>
      </c>
      <c r="E821" s="2">
        <v>46</v>
      </c>
      <c r="F821" s="2">
        <v>53</v>
      </c>
      <c r="G821" s="2">
        <v>6</v>
      </c>
      <c r="H821" s="2">
        <v>526341644</v>
      </c>
      <c r="I821" s="2">
        <v>501</v>
      </c>
      <c r="J821" s="2" t="s">
        <v>1654</v>
      </c>
      <c r="K821" s="2">
        <v>85</v>
      </c>
      <c r="L821" s="2">
        <v>15</v>
      </c>
      <c r="M821" s="2">
        <v>15</v>
      </c>
      <c r="N821" s="2">
        <v>10</v>
      </c>
      <c r="O821" s="2">
        <v>25</v>
      </c>
      <c r="P821" s="2">
        <v>20</v>
      </c>
      <c r="Q821" s="2" t="s">
        <v>1834</v>
      </c>
      <c r="R821" s="2"/>
      <c r="S821" s="4">
        <v>44837</v>
      </c>
    </row>
    <row r="822" spans="1:19" ht="12.5" x14ac:dyDescent="0.25">
      <c r="A822" s="14" t="str">
        <f>HYPERLINK("https://gerandofalcoes.my.salesforce.com/0014P00003YSp9YQAT", "0014P00003YSp9YQAT")</f>
        <v>0014P00003YSp9YQAT</v>
      </c>
      <c r="B822" s="2" t="s">
        <v>2203</v>
      </c>
      <c r="C822" s="2" t="s">
        <v>423</v>
      </c>
      <c r="D822" s="2" t="s">
        <v>2</v>
      </c>
      <c r="E822" s="2">
        <v>32</v>
      </c>
      <c r="F822" s="2">
        <v>0</v>
      </c>
      <c r="G822" s="2">
        <v>2</v>
      </c>
      <c r="H822" s="2">
        <v>25822</v>
      </c>
      <c r="I822" s="2">
        <v>300</v>
      </c>
      <c r="J822" s="2" t="s">
        <v>1671</v>
      </c>
      <c r="K822" s="2">
        <v>46</v>
      </c>
      <c r="L822" s="2">
        <v>15</v>
      </c>
      <c r="M822" s="2">
        <v>0</v>
      </c>
      <c r="N822" s="2">
        <v>6</v>
      </c>
      <c r="O822" s="2">
        <v>10</v>
      </c>
      <c r="P822" s="2">
        <v>15</v>
      </c>
      <c r="Q822" s="2" t="s">
        <v>2204</v>
      </c>
      <c r="R822" s="2" t="s">
        <v>2204</v>
      </c>
      <c r="S822" s="4">
        <v>44837</v>
      </c>
    </row>
    <row r="823" spans="1:19" ht="12.5" x14ac:dyDescent="0.25">
      <c r="A823" s="14" t="str">
        <f>HYPERLINK("https://gerandofalcoes.my.salesforce.com/0014P00003YSp9ZQAT", "0014P00003YSp9ZQAT")</f>
        <v>0014P00003YSp9ZQAT</v>
      </c>
      <c r="B823" s="2" t="s">
        <v>2381</v>
      </c>
      <c r="C823" s="2" t="s">
        <v>1800</v>
      </c>
      <c r="D823" s="2" t="s">
        <v>2</v>
      </c>
      <c r="E823" s="2">
        <v>26</v>
      </c>
      <c r="F823" s="2">
        <v>2</v>
      </c>
      <c r="G823" s="2">
        <v>0</v>
      </c>
      <c r="H823" s="2">
        <v>0</v>
      </c>
      <c r="I823" s="2">
        <v>0</v>
      </c>
      <c r="J823" s="2" t="s">
        <v>1779</v>
      </c>
      <c r="K823" s="2">
        <v>20</v>
      </c>
      <c r="L823" s="2">
        <v>15</v>
      </c>
      <c r="M823" s="2">
        <v>5</v>
      </c>
      <c r="N823" s="2">
        <v>0</v>
      </c>
      <c r="O823" s="2">
        <v>0</v>
      </c>
      <c r="P823" s="2">
        <v>0</v>
      </c>
      <c r="Q823" s="2" t="s">
        <v>2382</v>
      </c>
      <c r="R823" s="2" t="s">
        <v>2383</v>
      </c>
      <c r="S823" s="4">
        <v>44837</v>
      </c>
    </row>
    <row r="824" spans="1:19" ht="12.5" x14ac:dyDescent="0.25">
      <c r="A824" s="14" t="str">
        <f>HYPERLINK("https://gerandofalcoes.my.salesforce.com/0014P00003YSp9aQAD", "0014P00003YSp9aQAD")</f>
        <v>0014P00003YSp9aQAD</v>
      </c>
      <c r="B824" s="2" t="s">
        <v>2249</v>
      </c>
      <c r="C824" s="2" t="s">
        <v>423</v>
      </c>
      <c r="D824" s="2" t="s">
        <v>2</v>
      </c>
      <c r="E824" s="2">
        <v>30.96</v>
      </c>
      <c r="F824" s="2">
        <v>0</v>
      </c>
      <c r="G824" s="2">
        <v>1</v>
      </c>
      <c r="H824" s="2">
        <v>2500</v>
      </c>
      <c r="I824" s="2">
        <v>50</v>
      </c>
      <c r="J824" s="2" t="s">
        <v>1779</v>
      </c>
      <c r="K824" s="2">
        <v>29</v>
      </c>
      <c r="L824" s="2">
        <v>15</v>
      </c>
      <c r="M824" s="2">
        <v>0</v>
      </c>
      <c r="N824" s="2">
        <v>4</v>
      </c>
      <c r="O824" s="2">
        <v>5</v>
      </c>
      <c r="P824" s="2">
        <v>5</v>
      </c>
      <c r="Q824" s="2" t="s">
        <v>2250</v>
      </c>
      <c r="R824" s="2" t="s">
        <v>2251</v>
      </c>
      <c r="S824" s="4">
        <v>44837</v>
      </c>
    </row>
    <row r="825" spans="1:19" ht="12.5" x14ac:dyDescent="0.25">
      <c r="A825" s="14" t="str">
        <f>HYPERLINK("https://gerandofalcoes.my.salesforce.com/0014P00003YSp9bQAD", "0014P00003YSp9bQAD")</f>
        <v>0014P00003YSp9bQAD</v>
      </c>
      <c r="B825" s="2" t="s">
        <v>2016</v>
      </c>
      <c r="C825" s="2" t="s">
        <v>1800</v>
      </c>
      <c r="D825" s="2" t="s">
        <v>2</v>
      </c>
      <c r="E825" s="2">
        <v>38</v>
      </c>
      <c r="F825" s="2">
        <v>8</v>
      </c>
      <c r="G825" s="2">
        <v>3</v>
      </c>
      <c r="H825" s="2">
        <v>400216</v>
      </c>
      <c r="I825" s="2">
        <v>340</v>
      </c>
      <c r="J825" s="2" t="s">
        <v>1650</v>
      </c>
      <c r="K825" s="2">
        <v>68</v>
      </c>
      <c r="L825" s="2">
        <v>15</v>
      </c>
      <c r="M825" s="2">
        <v>10</v>
      </c>
      <c r="N825" s="2">
        <v>8</v>
      </c>
      <c r="O825" s="2">
        <v>20</v>
      </c>
      <c r="P825" s="2">
        <v>15</v>
      </c>
      <c r="Q825" s="2" t="s">
        <v>2017</v>
      </c>
      <c r="R825" s="2" t="s">
        <v>2018</v>
      </c>
      <c r="S825" s="4">
        <v>44837</v>
      </c>
    </row>
    <row r="826" spans="1:19" ht="12.5" x14ac:dyDescent="0.25">
      <c r="A826" s="14" t="str">
        <f>HYPERLINK("https://gerandofalcoes.my.salesforce.com/0014P00003YSp9cQAD", "0014P00003YSp9cQAD")</f>
        <v>0014P00003YSp9cQAD</v>
      </c>
      <c r="B826" s="2" t="s">
        <v>2603</v>
      </c>
      <c r="C826" s="2" t="s">
        <v>1800</v>
      </c>
      <c r="D826" s="2" t="s">
        <v>2</v>
      </c>
      <c r="E826" s="2">
        <v>19</v>
      </c>
      <c r="F826" s="2">
        <v>2</v>
      </c>
      <c r="G826" s="2">
        <v>4</v>
      </c>
      <c r="H826" s="2">
        <v>2000</v>
      </c>
      <c r="I826" s="2">
        <v>60</v>
      </c>
      <c r="J826" s="2" t="s">
        <v>1779</v>
      </c>
      <c r="K826" s="2">
        <v>35</v>
      </c>
      <c r="L826" s="2">
        <v>10</v>
      </c>
      <c r="M826" s="2">
        <v>5</v>
      </c>
      <c r="N826" s="2">
        <v>10</v>
      </c>
      <c r="O826" s="2">
        <v>5</v>
      </c>
      <c r="P826" s="2">
        <v>5</v>
      </c>
      <c r="Q826" s="2" t="s">
        <v>2604</v>
      </c>
      <c r="R826" s="2" t="s">
        <v>2605</v>
      </c>
      <c r="S826" s="4">
        <v>44837</v>
      </c>
    </row>
    <row r="827" spans="1:19" ht="12.5" x14ac:dyDescent="0.25">
      <c r="A827" s="14" t="str">
        <f>HYPERLINK("https://gerandofalcoes.my.salesforce.com/0014P00003YSp9dQAD", "0014P00003YSp9dQAD")</f>
        <v>0014P00003YSp9dQAD</v>
      </c>
      <c r="B827" s="2" t="s">
        <v>2691</v>
      </c>
      <c r="C827" s="2" t="s">
        <v>1800</v>
      </c>
      <c r="D827" s="2" t="s">
        <v>2</v>
      </c>
      <c r="E827" s="2">
        <v>16</v>
      </c>
      <c r="F827" s="2">
        <v>0</v>
      </c>
      <c r="G827" s="2">
        <v>2</v>
      </c>
      <c r="H827" s="2">
        <v>10000</v>
      </c>
      <c r="I827" s="2">
        <v>0</v>
      </c>
      <c r="J827" s="2" t="s">
        <v>1779</v>
      </c>
      <c r="K827" s="2">
        <v>21</v>
      </c>
      <c r="L827" s="2">
        <v>10</v>
      </c>
      <c r="M827" s="2">
        <v>0</v>
      </c>
      <c r="N827" s="2">
        <v>6</v>
      </c>
      <c r="O827" s="2">
        <v>5</v>
      </c>
      <c r="P827" s="2">
        <v>0</v>
      </c>
      <c r="Q827" s="2" t="s">
        <v>2692</v>
      </c>
      <c r="R827" s="2" t="s">
        <v>2693</v>
      </c>
      <c r="S827" s="4">
        <v>44837</v>
      </c>
    </row>
    <row r="828" spans="1:19" ht="12.5" x14ac:dyDescent="0.25">
      <c r="A828" s="14" t="str">
        <f>HYPERLINK("https://gerandofalcoes.my.salesforce.com/0014P00003YSp9eQAD", "0014P00003YSp9eQAD")</f>
        <v>0014P00003YSp9eQAD</v>
      </c>
      <c r="B828" s="2" t="s">
        <v>2084</v>
      </c>
      <c r="C828" s="2" t="s">
        <v>1800</v>
      </c>
      <c r="D828" s="2" t="s">
        <v>2</v>
      </c>
      <c r="E828" s="2">
        <v>36</v>
      </c>
      <c r="F828" s="2">
        <v>4</v>
      </c>
      <c r="G828" s="2">
        <v>4</v>
      </c>
      <c r="H828" s="2">
        <v>270000</v>
      </c>
      <c r="I828" s="2">
        <v>0</v>
      </c>
      <c r="J828" s="2" t="s">
        <v>1671</v>
      </c>
      <c r="K828" s="2">
        <v>45</v>
      </c>
      <c r="L828" s="2">
        <v>15</v>
      </c>
      <c r="M828" s="2">
        <v>5</v>
      </c>
      <c r="N828" s="2">
        <v>10</v>
      </c>
      <c r="O828" s="2">
        <v>15</v>
      </c>
      <c r="P828" s="2">
        <v>0</v>
      </c>
      <c r="Q828" s="2" t="s">
        <v>2085</v>
      </c>
      <c r="R828" s="2" t="s">
        <v>2086</v>
      </c>
      <c r="S828" s="4">
        <v>44837</v>
      </c>
    </row>
    <row r="829" spans="1:19" ht="12.5" x14ac:dyDescent="0.25">
      <c r="A829" s="14" t="str">
        <f>HYPERLINK("https://gerandofalcoes.my.salesforce.com/0014P00003YSp9RQAT", "0014P00003YSp9RQAT")</f>
        <v>0014P00003YSp9RQAT</v>
      </c>
      <c r="B829" s="2" t="s">
        <v>2208</v>
      </c>
      <c r="C829" s="2" t="s">
        <v>1800</v>
      </c>
      <c r="D829" s="2" t="s">
        <v>2</v>
      </c>
      <c r="E829" s="2">
        <v>32</v>
      </c>
      <c r="F829" s="2">
        <v>0</v>
      </c>
      <c r="G829" s="2">
        <v>4</v>
      </c>
      <c r="H829" s="2">
        <v>45000</v>
      </c>
      <c r="I829" s="2">
        <v>1700</v>
      </c>
      <c r="J829" s="2" t="s">
        <v>1671</v>
      </c>
      <c r="K829" s="2">
        <v>55</v>
      </c>
      <c r="L829" s="2">
        <v>15</v>
      </c>
      <c r="M829" s="2">
        <v>0</v>
      </c>
      <c r="N829" s="2">
        <v>10</v>
      </c>
      <c r="O829" s="2">
        <v>10</v>
      </c>
      <c r="P829" s="2">
        <v>20</v>
      </c>
      <c r="Q829" s="2" t="s">
        <v>2209</v>
      </c>
      <c r="R829" s="2" t="s">
        <v>2210</v>
      </c>
      <c r="S829" s="4">
        <v>44837</v>
      </c>
    </row>
    <row r="830" spans="1:19" ht="12.5" x14ac:dyDescent="0.25">
      <c r="A830" s="14" t="str">
        <f>HYPERLINK("https://gerandofalcoes.my.salesforce.com/0014P00003YSp9SQAT", "0014P00003YSp9SQAT")</f>
        <v>0014P00003YSp9SQAT</v>
      </c>
      <c r="B830" s="2" t="s">
        <v>1844</v>
      </c>
      <c r="C830" s="2" t="s">
        <v>423</v>
      </c>
      <c r="D830" s="2" t="s">
        <v>2</v>
      </c>
      <c r="E830" s="2">
        <v>20</v>
      </c>
      <c r="F830" s="2">
        <v>3</v>
      </c>
      <c r="G830" s="2">
        <v>4</v>
      </c>
      <c r="H830" s="2">
        <v>2855703</v>
      </c>
      <c r="I830" s="2">
        <v>150</v>
      </c>
      <c r="J830" s="2" t="s">
        <v>1671</v>
      </c>
      <c r="K830" s="2">
        <v>62</v>
      </c>
      <c r="L830" s="2">
        <v>10</v>
      </c>
      <c r="M830" s="2">
        <v>5</v>
      </c>
      <c r="N830" s="2">
        <v>10</v>
      </c>
      <c r="O830" s="2">
        <v>25</v>
      </c>
      <c r="P830" s="2">
        <v>12</v>
      </c>
      <c r="Q830" s="2" t="s">
        <v>1845</v>
      </c>
      <c r="R830" s="2" t="s">
        <v>1846</v>
      </c>
      <c r="S830" s="4">
        <v>44837</v>
      </c>
    </row>
    <row r="831" spans="1:19" ht="12.5" x14ac:dyDescent="0.25">
      <c r="A831" s="14" t="str">
        <f>HYPERLINK("https://gerandofalcoes.my.salesforce.com/0014P00003YSp9fQAD", "0014P00003YSp9fQAD")</f>
        <v>0014P00003YSp9fQAD</v>
      </c>
      <c r="B831" s="2" t="s">
        <v>2436</v>
      </c>
      <c r="C831" s="2" t="s">
        <v>423</v>
      </c>
      <c r="D831" s="2" t="s">
        <v>2</v>
      </c>
      <c r="E831" s="2">
        <v>24.24</v>
      </c>
      <c r="F831" s="2">
        <v>0</v>
      </c>
      <c r="G831" s="2">
        <v>0</v>
      </c>
      <c r="H831" s="2">
        <v>0</v>
      </c>
      <c r="I831" s="2">
        <v>114</v>
      </c>
      <c r="J831" s="2" t="s">
        <v>1779</v>
      </c>
      <c r="K831" s="2">
        <v>20</v>
      </c>
      <c r="L831" s="2">
        <v>10</v>
      </c>
      <c r="M831" s="2">
        <v>0</v>
      </c>
      <c r="N831" s="2">
        <v>0</v>
      </c>
      <c r="O831" s="2">
        <v>0</v>
      </c>
      <c r="P831" s="2">
        <v>10</v>
      </c>
      <c r="Q831" s="2" t="s">
        <v>2437</v>
      </c>
      <c r="R831" s="2" t="s">
        <v>2437</v>
      </c>
      <c r="S831" s="4">
        <v>44837</v>
      </c>
    </row>
    <row r="832" spans="1:19" ht="12.5" x14ac:dyDescent="0.25">
      <c r="A832" s="14" t="str">
        <f>HYPERLINK("https://gerandofalcoes.my.salesforce.com/0014P00003YSp9gQAD", "0014P00003YSp9gQAD")</f>
        <v>0014P00003YSp9gQAD</v>
      </c>
      <c r="B832" s="2" t="s">
        <v>2559</v>
      </c>
      <c r="C832" s="2" t="s">
        <v>1800</v>
      </c>
      <c r="D832" s="2" t="s">
        <v>2</v>
      </c>
      <c r="E832" s="2">
        <v>20</v>
      </c>
      <c r="F832" s="2">
        <v>5</v>
      </c>
      <c r="G832" s="2">
        <v>2</v>
      </c>
      <c r="H832" s="2">
        <v>2000</v>
      </c>
      <c r="I832" s="2">
        <v>50</v>
      </c>
      <c r="J832" s="2" t="s">
        <v>1779</v>
      </c>
      <c r="K832" s="2">
        <v>31</v>
      </c>
      <c r="L832" s="2">
        <v>10</v>
      </c>
      <c r="M832" s="2">
        <v>5</v>
      </c>
      <c r="N832" s="2">
        <v>6</v>
      </c>
      <c r="O832" s="2">
        <v>5</v>
      </c>
      <c r="P832" s="2">
        <v>5</v>
      </c>
      <c r="Q832" s="2" t="s">
        <v>2560</v>
      </c>
      <c r="R832" s="2" t="s">
        <v>2561</v>
      </c>
      <c r="S832" s="4">
        <v>44837</v>
      </c>
    </row>
    <row r="833" spans="1:19" ht="12.5" x14ac:dyDescent="0.25">
      <c r="A833" s="14" t="str">
        <f>HYPERLINK("https://gerandofalcoes.my.salesforce.com/0014P00003YSp9hQAD", "0014P00003YSp9hQAD")</f>
        <v>0014P00003YSp9hQAD</v>
      </c>
      <c r="B833" s="2" t="s">
        <v>2433</v>
      </c>
      <c r="C833" s="2" t="s">
        <v>423</v>
      </c>
      <c r="D833" s="2" t="s">
        <v>2</v>
      </c>
      <c r="E833" s="2">
        <v>15</v>
      </c>
      <c r="F833" s="2">
        <v>15</v>
      </c>
      <c r="G833" s="2">
        <v>5</v>
      </c>
      <c r="H833" s="2">
        <v>3886816</v>
      </c>
      <c r="I833" s="2">
        <v>100</v>
      </c>
      <c r="J833" s="2" t="s">
        <v>1650</v>
      </c>
      <c r="K833" s="2">
        <v>67</v>
      </c>
      <c r="L833" s="2">
        <v>10</v>
      </c>
      <c r="M833" s="2">
        <v>12</v>
      </c>
      <c r="N833" s="2">
        <v>10</v>
      </c>
      <c r="O833" s="2">
        <v>25</v>
      </c>
      <c r="P833" s="2">
        <v>10</v>
      </c>
      <c r="Q833" s="2" t="s">
        <v>2434</v>
      </c>
      <c r="R833" s="2" t="s">
        <v>2435</v>
      </c>
      <c r="S833" s="4">
        <v>44837</v>
      </c>
    </row>
    <row r="834" spans="1:19" ht="12.5" x14ac:dyDescent="0.25">
      <c r="A834" s="14" t="str">
        <f>HYPERLINK("https://gerandofalcoes.my.salesforce.com/0014P00003YSp9iQAD", "0014P00003YSp9iQAD")</f>
        <v>0014P00003YSp9iQAD</v>
      </c>
      <c r="B834" s="2" t="s">
        <v>2253</v>
      </c>
      <c r="C834" s="2" t="s">
        <v>423</v>
      </c>
      <c r="D834" s="2" t="s">
        <v>2</v>
      </c>
      <c r="E834" s="2">
        <v>36</v>
      </c>
      <c r="F834" s="2">
        <v>0</v>
      </c>
      <c r="G834" s="2">
        <v>3</v>
      </c>
      <c r="H834" s="2">
        <v>27240</v>
      </c>
      <c r="I834" s="2">
        <v>0</v>
      </c>
      <c r="J834" s="2" t="s">
        <v>1779</v>
      </c>
      <c r="K834" s="2">
        <v>33</v>
      </c>
      <c r="L834" s="2">
        <v>15</v>
      </c>
      <c r="M834" s="2">
        <v>0</v>
      </c>
      <c r="N834" s="2">
        <v>8</v>
      </c>
      <c r="O834" s="2">
        <v>10</v>
      </c>
      <c r="P834" s="2">
        <v>0</v>
      </c>
      <c r="Q834" s="2" t="s">
        <v>2254</v>
      </c>
      <c r="R834" s="2" t="s">
        <v>2255</v>
      </c>
      <c r="S834" s="4">
        <v>44837</v>
      </c>
    </row>
    <row r="835" spans="1:19" ht="12.5" x14ac:dyDescent="0.25">
      <c r="A835" s="14" t="str">
        <f>HYPERLINK("https://gerandofalcoes.my.salesforce.com/0014P00003YSp9jQAD", "0014P00003YSp9jQAD")</f>
        <v>0014P00003YSp9jQAD</v>
      </c>
      <c r="B835" s="2" t="s">
        <v>2270</v>
      </c>
      <c r="C835" s="2" t="s">
        <v>423</v>
      </c>
      <c r="D835" s="2" t="s">
        <v>2</v>
      </c>
      <c r="E835" s="2">
        <v>30</v>
      </c>
      <c r="F835" s="2">
        <v>1</v>
      </c>
      <c r="G835" s="2">
        <v>1</v>
      </c>
      <c r="H835" s="2">
        <v>6000</v>
      </c>
      <c r="I835" s="2">
        <v>110</v>
      </c>
      <c r="J835" s="2" t="s">
        <v>1779</v>
      </c>
      <c r="K835" s="2">
        <v>39</v>
      </c>
      <c r="L835" s="2">
        <v>15</v>
      </c>
      <c r="M835" s="2">
        <v>5</v>
      </c>
      <c r="N835" s="2">
        <v>4</v>
      </c>
      <c r="O835" s="2">
        <v>5</v>
      </c>
      <c r="P835" s="2">
        <v>10</v>
      </c>
      <c r="Q835" s="2" t="s">
        <v>2271</v>
      </c>
      <c r="R835" s="2" t="s">
        <v>2271</v>
      </c>
      <c r="S835" s="4">
        <v>44837</v>
      </c>
    </row>
    <row r="836" spans="1:19" ht="12.5" x14ac:dyDescent="0.25">
      <c r="A836" s="14" t="str">
        <f>HYPERLINK("https://gerandofalcoes.my.salesforce.com/0014P00003YSp9kQAD", "0014P00003YSp9kQAD")</f>
        <v>0014P00003YSp9kQAD</v>
      </c>
      <c r="B836" s="2" t="s">
        <v>1852</v>
      </c>
      <c r="C836" s="2" t="s">
        <v>423</v>
      </c>
      <c r="D836" s="2" t="s">
        <v>2</v>
      </c>
      <c r="E836" s="2">
        <v>29</v>
      </c>
      <c r="F836" s="2">
        <v>8</v>
      </c>
      <c r="G836" s="2">
        <v>3</v>
      </c>
      <c r="H836" s="2">
        <v>668446</v>
      </c>
      <c r="I836" s="2">
        <v>851</v>
      </c>
      <c r="J836" s="2" t="s">
        <v>1650</v>
      </c>
      <c r="K836" s="2">
        <v>73</v>
      </c>
      <c r="L836" s="2">
        <v>15</v>
      </c>
      <c r="M836" s="2">
        <v>10</v>
      </c>
      <c r="N836" s="2">
        <v>8</v>
      </c>
      <c r="O836" s="2">
        <v>20</v>
      </c>
      <c r="P836" s="2">
        <v>20</v>
      </c>
      <c r="Q836" s="2" t="s">
        <v>1853</v>
      </c>
      <c r="R836" s="2" t="s">
        <v>1854</v>
      </c>
      <c r="S836" s="4">
        <v>44837</v>
      </c>
    </row>
    <row r="837" spans="1:19" ht="12.5" x14ac:dyDescent="0.25">
      <c r="A837" s="14" t="str">
        <f>HYPERLINK("https://gerandofalcoes.my.salesforce.com/0014P00003YSp9lQAD", "0014P00003YSp9lQAD")</f>
        <v>0014P00003YSp9lQAD</v>
      </c>
      <c r="B837" s="2" t="s">
        <v>2573</v>
      </c>
      <c r="C837" s="2" t="s">
        <v>423</v>
      </c>
      <c r="D837" s="2" t="s">
        <v>2</v>
      </c>
      <c r="E837" s="2">
        <v>20</v>
      </c>
      <c r="F837" s="2">
        <v>8</v>
      </c>
      <c r="G837" s="2">
        <v>2</v>
      </c>
      <c r="H837" s="2">
        <v>12000</v>
      </c>
      <c r="I837" s="2">
        <v>0</v>
      </c>
      <c r="J837" s="2" t="s">
        <v>1779</v>
      </c>
      <c r="K837" s="2">
        <v>31</v>
      </c>
      <c r="L837" s="2">
        <v>10</v>
      </c>
      <c r="M837" s="2">
        <v>10</v>
      </c>
      <c r="N837" s="2">
        <v>6</v>
      </c>
      <c r="O837" s="2">
        <v>5</v>
      </c>
      <c r="P837" s="2">
        <v>0</v>
      </c>
      <c r="Q837" s="2" t="s">
        <v>2574</v>
      </c>
      <c r="R837" s="2" t="s">
        <v>2575</v>
      </c>
      <c r="S837" s="4">
        <v>44837</v>
      </c>
    </row>
    <row r="838" spans="1:19" ht="12.5" x14ac:dyDescent="0.25">
      <c r="A838" s="14" t="str">
        <f>HYPERLINK("https://gerandofalcoes.my.salesforce.com/0014P00003YSp9mQAD", "0014P00003YSp9mQAD")</f>
        <v>0014P00003YSp9mQAD</v>
      </c>
      <c r="B838" s="2" t="s">
        <v>1665</v>
      </c>
      <c r="C838" s="2" t="s">
        <v>423</v>
      </c>
      <c r="D838" s="2" t="s">
        <v>27</v>
      </c>
      <c r="E838" s="2">
        <v>88.16</v>
      </c>
      <c r="F838" s="2">
        <v>15</v>
      </c>
      <c r="G838" s="2">
        <v>6</v>
      </c>
      <c r="H838" s="2">
        <v>1000000</v>
      </c>
      <c r="I838" s="2">
        <v>767</v>
      </c>
      <c r="J838" s="2" t="s">
        <v>1654</v>
      </c>
      <c r="K838" s="2">
        <v>92</v>
      </c>
      <c r="L838" s="2">
        <v>25</v>
      </c>
      <c r="M838" s="2">
        <v>12</v>
      </c>
      <c r="N838" s="2">
        <v>10</v>
      </c>
      <c r="O838" s="2">
        <v>25</v>
      </c>
      <c r="P838" s="2">
        <v>20</v>
      </c>
      <c r="Q838" s="2" t="s">
        <v>1666</v>
      </c>
      <c r="R838" s="2" t="s">
        <v>1667</v>
      </c>
      <c r="S838" s="4">
        <v>44837</v>
      </c>
    </row>
    <row r="839" spans="1:19" ht="12.5" x14ac:dyDescent="0.25">
      <c r="A839" s="14" t="str">
        <f>HYPERLINK("https://gerandofalcoes.my.salesforce.com/0014P00003YSp9qQAD", "0014P00003YSp9qQAD")</f>
        <v>0014P00003YSp9qQAD</v>
      </c>
      <c r="B839" s="2" t="s">
        <v>2792</v>
      </c>
      <c r="C839" s="2" t="s">
        <v>1800</v>
      </c>
      <c r="D839" s="2" t="s">
        <v>2</v>
      </c>
      <c r="E839" s="2">
        <v>13</v>
      </c>
      <c r="F839" s="2">
        <v>0</v>
      </c>
      <c r="G839" s="2">
        <v>4</v>
      </c>
      <c r="H839" s="2">
        <v>3000</v>
      </c>
      <c r="I839" s="2">
        <v>60</v>
      </c>
      <c r="J839" s="2" t="s">
        <v>1779</v>
      </c>
      <c r="K839" s="2">
        <v>30</v>
      </c>
      <c r="L839" s="2">
        <v>10</v>
      </c>
      <c r="M839" s="2">
        <v>0</v>
      </c>
      <c r="N839" s="2">
        <v>10</v>
      </c>
      <c r="O839" s="2">
        <v>5</v>
      </c>
      <c r="P839" s="2">
        <v>5</v>
      </c>
      <c r="Q839" s="2" t="s">
        <v>2793</v>
      </c>
      <c r="R839" s="2" t="s">
        <v>2794</v>
      </c>
      <c r="S839" s="4">
        <v>44837</v>
      </c>
    </row>
    <row r="840" spans="1:19" ht="12.5" x14ac:dyDescent="0.25">
      <c r="A840" s="14" t="str">
        <f>HYPERLINK("https://gerandofalcoes.my.salesforce.com/0014P00003YSp9rQAD", "0014P00003YSp9rQAD")</f>
        <v>0014P00003YSp9rQAD</v>
      </c>
      <c r="B840" s="2" t="s">
        <v>2070</v>
      </c>
      <c r="C840" s="2" t="s">
        <v>1800</v>
      </c>
      <c r="D840" s="2" t="s">
        <v>2</v>
      </c>
      <c r="E840" s="2">
        <v>36</v>
      </c>
      <c r="F840" s="2">
        <v>7</v>
      </c>
      <c r="G840" s="2">
        <v>3</v>
      </c>
      <c r="H840" s="2">
        <v>0</v>
      </c>
      <c r="I840" s="2">
        <v>120</v>
      </c>
      <c r="J840" s="2" t="s">
        <v>1671</v>
      </c>
      <c r="K840" s="2">
        <v>43</v>
      </c>
      <c r="L840" s="2">
        <v>15</v>
      </c>
      <c r="M840" s="2">
        <v>10</v>
      </c>
      <c r="N840" s="2">
        <v>8</v>
      </c>
      <c r="O840" s="2">
        <v>0</v>
      </c>
      <c r="P840" s="2">
        <v>10</v>
      </c>
      <c r="Q840" s="2" t="s">
        <v>2071</v>
      </c>
      <c r="R840" s="2" t="s">
        <v>2072</v>
      </c>
      <c r="S840" s="4">
        <v>44837</v>
      </c>
    </row>
    <row r="841" spans="1:19" ht="12.5" x14ac:dyDescent="0.25">
      <c r="A841" s="14" t="str">
        <f>HYPERLINK("https://gerandofalcoes.my.salesforce.com/0014P00003YSp9tQAD", "0014P00003YSp9tQAD")</f>
        <v>0014P00003YSp9tQAD</v>
      </c>
      <c r="B841" s="2" t="s">
        <v>2022</v>
      </c>
      <c r="C841" s="2" t="s">
        <v>1684</v>
      </c>
      <c r="D841" s="2" t="s">
        <v>2</v>
      </c>
      <c r="E841" s="2">
        <v>38</v>
      </c>
      <c r="F841" s="2">
        <v>0</v>
      </c>
      <c r="G841" s="2">
        <v>0</v>
      </c>
      <c r="H841" s="2">
        <v>0</v>
      </c>
      <c r="I841" s="2">
        <v>0</v>
      </c>
      <c r="J841" s="2" t="s">
        <v>1779</v>
      </c>
      <c r="K841" s="2">
        <v>15</v>
      </c>
      <c r="L841" s="2">
        <v>15</v>
      </c>
      <c r="M841" s="2">
        <v>0</v>
      </c>
      <c r="N841" s="2">
        <v>0</v>
      </c>
      <c r="O841" s="2">
        <v>0</v>
      </c>
      <c r="P841" s="2">
        <v>0</v>
      </c>
      <c r="Q841" s="2" t="s">
        <v>2023</v>
      </c>
      <c r="R841" s="2" t="s">
        <v>2024</v>
      </c>
      <c r="S841" s="4">
        <v>44837</v>
      </c>
    </row>
    <row r="842" spans="1:19" ht="12.5" x14ac:dyDescent="0.25">
      <c r="A842" s="14" t="str">
        <f>HYPERLINK("https://gerandofalcoes.my.salesforce.com/0014P00003YSp9vQAD", "0014P00003YSp9vQAD")</f>
        <v>0014P00003YSp9vQAD</v>
      </c>
      <c r="B842" s="2" t="s">
        <v>2884</v>
      </c>
      <c r="C842" s="2" t="s">
        <v>423</v>
      </c>
      <c r="D842" s="2" t="s">
        <v>2</v>
      </c>
      <c r="E842" s="2">
        <v>9</v>
      </c>
      <c r="F842" s="2">
        <v>0</v>
      </c>
      <c r="G842" s="2">
        <v>2</v>
      </c>
      <c r="H842" s="2">
        <v>11000</v>
      </c>
      <c r="I842" s="2">
        <v>759</v>
      </c>
      <c r="J842" s="2" t="s">
        <v>1671</v>
      </c>
      <c r="K842" s="2">
        <v>41</v>
      </c>
      <c r="L842" s="2">
        <v>10</v>
      </c>
      <c r="M842" s="2">
        <v>0</v>
      </c>
      <c r="N842" s="2">
        <v>6</v>
      </c>
      <c r="O842" s="2">
        <v>5</v>
      </c>
      <c r="P842" s="2">
        <v>20</v>
      </c>
      <c r="Q842" s="2" t="s">
        <v>2885</v>
      </c>
      <c r="R842" s="2" t="s">
        <v>2886</v>
      </c>
      <c r="S842" s="4">
        <v>44837</v>
      </c>
    </row>
    <row r="843" spans="1:19" ht="12.5" x14ac:dyDescent="0.25">
      <c r="A843" s="14" t="str">
        <f>HYPERLINK("https://gerandofalcoes.my.salesforce.com/0014P00003YSp9wQAD", "0014P00003YSp9wQAD")</f>
        <v>0014P00003YSp9wQAD</v>
      </c>
      <c r="B843" s="2" t="s">
        <v>2497</v>
      </c>
      <c r="C843" s="2" t="s">
        <v>423</v>
      </c>
      <c r="D843" s="2" t="s">
        <v>2</v>
      </c>
      <c r="E843" s="2">
        <v>25</v>
      </c>
      <c r="F843" s="2">
        <v>6</v>
      </c>
      <c r="G843" s="2">
        <v>2</v>
      </c>
      <c r="H843" s="2">
        <v>2600000</v>
      </c>
      <c r="I843" s="2">
        <v>200</v>
      </c>
      <c r="J843" s="2" t="s">
        <v>1650</v>
      </c>
      <c r="K843" s="2">
        <v>68</v>
      </c>
      <c r="L843" s="2">
        <v>15</v>
      </c>
      <c r="M843" s="2">
        <v>10</v>
      </c>
      <c r="N843" s="2">
        <v>6</v>
      </c>
      <c r="O843" s="2">
        <v>25</v>
      </c>
      <c r="P843" s="2">
        <v>12</v>
      </c>
      <c r="Q843" s="2" t="s">
        <v>2498</v>
      </c>
      <c r="R843" s="2" t="s">
        <v>2498</v>
      </c>
      <c r="S843" s="4">
        <v>44837</v>
      </c>
    </row>
    <row r="844" spans="1:19" ht="12.5" x14ac:dyDescent="0.25">
      <c r="A844" s="14" t="str">
        <f>HYPERLINK("https://gerandofalcoes.my.salesforce.com/0014P00003AN2GOQA1", "0014P00003AN2GOQA1")</f>
        <v>0014P00003AN2GOQA1</v>
      </c>
      <c r="B844" s="2" t="s">
        <v>1710</v>
      </c>
      <c r="C844" s="2" t="s">
        <v>423</v>
      </c>
      <c r="D844" s="2" t="s">
        <v>27</v>
      </c>
      <c r="E844" s="2">
        <v>79</v>
      </c>
      <c r="F844" s="2">
        <v>10</v>
      </c>
      <c r="G844" s="2">
        <v>3</v>
      </c>
      <c r="H844" s="2">
        <v>230836.02</v>
      </c>
      <c r="I844" s="2">
        <v>124</v>
      </c>
      <c r="J844" s="2" t="s">
        <v>1650</v>
      </c>
      <c r="K844" s="2">
        <v>68</v>
      </c>
      <c r="L844" s="2">
        <v>25</v>
      </c>
      <c r="M844" s="2">
        <v>10</v>
      </c>
      <c r="N844" s="2">
        <v>8</v>
      </c>
      <c r="O844" s="2">
        <v>15</v>
      </c>
      <c r="P844" s="2">
        <v>10</v>
      </c>
      <c r="Q844" s="2" t="s">
        <v>46</v>
      </c>
      <c r="R844" s="2" t="s">
        <v>1711</v>
      </c>
      <c r="S844" s="4">
        <v>44837</v>
      </c>
    </row>
    <row r="845" spans="1:19" ht="12.5" x14ac:dyDescent="0.25">
      <c r="A845" s="14" t="str">
        <f>HYPERLINK("https://gerandofalcoes.my.salesforce.com/0014P00003AN2GLQA1", "0014P00003AN2GLQA1")</f>
        <v>0014P00003AN2GLQA1</v>
      </c>
      <c r="B845" s="2" t="s">
        <v>1691</v>
      </c>
      <c r="C845" s="2" t="s">
        <v>423</v>
      </c>
      <c r="D845" s="2" t="s">
        <v>27</v>
      </c>
      <c r="E845" s="2">
        <v>85</v>
      </c>
      <c r="F845" s="2">
        <v>13</v>
      </c>
      <c r="G845" s="2">
        <v>4</v>
      </c>
      <c r="H845" s="2">
        <v>154904.04</v>
      </c>
      <c r="I845" s="2">
        <v>172</v>
      </c>
      <c r="J845" s="2" t="s">
        <v>1650</v>
      </c>
      <c r="K845" s="2">
        <v>74</v>
      </c>
      <c r="L845" s="2">
        <v>25</v>
      </c>
      <c r="M845" s="2">
        <v>12</v>
      </c>
      <c r="N845" s="2">
        <v>10</v>
      </c>
      <c r="O845" s="2">
        <v>15</v>
      </c>
      <c r="P845" s="2">
        <v>12</v>
      </c>
      <c r="Q845" s="2" t="s">
        <v>29</v>
      </c>
      <c r="R845" s="2" t="s">
        <v>29</v>
      </c>
      <c r="S845" s="4">
        <v>44837</v>
      </c>
    </row>
    <row r="846" spans="1:19" ht="12.5" x14ac:dyDescent="0.25">
      <c r="A846" s="14" t="str">
        <f>HYPERLINK("https://gerandofalcoes.my.salesforce.com/0014P00003AN2GMQA1", "0014P00003AN2GMQA1")</f>
        <v>0014P00003AN2GMQA1</v>
      </c>
      <c r="B846" s="2" t="s">
        <v>1730</v>
      </c>
      <c r="C846" s="2" t="s">
        <v>423</v>
      </c>
      <c r="D846" s="2" t="s">
        <v>27</v>
      </c>
      <c r="E846" s="2">
        <v>71</v>
      </c>
      <c r="F846" s="2">
        <v>7</v>
      </c>
      <c r="G846" s="2">
        <v>2</v>
      </c>
      <c r="H846" s="2">
        <v>225804.57</v>
      </c>
      <c r="I846" s="2">
        <v>93</v>
      </c>
      <c r="J846" s="2" t="s">
        <v>1671</v>
      </c>
      <c r="K846" s="2">
        <v>61</v>
      </c>
      <c r="L846" s="2">
        <v>20</v>
      </c>
      <c r="M846" s="2">
        <v>10</v>
      </c>
      <c r="N846" s="2">
        <v>6</v>
      </c>
      <c r="O846" s="2">
        <v>15</v>
      </c>
      <c r="P846" s="2">
        <v>10</v>
      </c>
      <c r="Q846" s="2" t="s">
        <v>39</v>
      </c>
      <c r="R846" s="2" t="s">
        <v>39</v>
      </c>
      <c r="S846" s="4">
        <v>44837</v>
      </c>
    </row>
    <row r="847" spans="1:19" ht="12.5" x14ac:dyDescent="0.25">
      <c r="A847" s="14" t="str">
        <f>HYPERLINK("https://gerandofalcoes.my.salesforce.com/0014P00003AN2GNQA1", "0014P00003AN2GNQA1")</f>
        <v>0014P00003AN2GNQA1</v>
      </c>
      <c r="B847" s="2" t="s">
        <v>1655</v>
      </c>
      <c r="C847" s="2" t="s">
        <v>423</v>
      </c>
      <c r="D847" s="2" t="s">
        <v>27</v>
      </c>
      <c r="E847" s="2">
        <v>96</v>
      </c>
      <c r="F847" s="2">
        <v>22</v>
      </c>
      <c r="G847" s="2">
        <v>4</v>
      </c>
      <c r="H847" s="2">
        <v>392688.36</v>
      </c>
      <c r="I847" s="2">
        <v>341</v>
      </c>
      <c r="J847" s="2" t="s">
        <v>1654</v>
      </c>
      <c r="K847" s="2">
        <v>87</v>
      </c>
      <c r="L847" s="2">
        <v>30</v>
      </c>
      <c r="M847" s="2">
        <v>12</v>
      </c>
      <c r="N847" s="2">
        <v>10</v>
      </c>
      <c r="O847" s="2">
        <v>20</v>
      </c>
      <c r="P847" s="2">
        <v>15</v>
      </c>
      <c r="Q847" s="2" t="s">
        <v>43</v>
      </c>
      <c r="R847" s="2" t="s">
        <v>43</v>
      </c>
      <c r="S847" s="4">
        <v>44837</v>
      </c>
    </row>
    <row r="848" spans="1:19" ht="12.5" x14ac:dyDescent="0.25">
      <c r="A848" s="14" t="str">
        <f>HYPERLINK("https://gerandofalcoes.my.salesforce.com/0014P00003AN2GPQA1", "0014P00003AN2GPQA1")</f>
        <v>0014P00003AN2GPQA1</v>
      </c>
      <c r="B848" s="2" t="s">
        <v>1653</v>
      </c>
      <c r="C848" s="2" t="s">
        <v>423</v>
      </c>
      <c r="D848" s="2" t="s">
        <v>27</v>
      </c>
      <c r="E848" s="2">
        <v>97</v>
      </c>
      <c r="F848" s="2">
        <v>33</v>
      </c>
      <c r="G848" s="2">
        <v>4</v>
      </c>
      <c r="H848" s="2">
        <v>1500734.93</v>
      </c>
      <c r="I848" s="2">
        <v>378</v>
      </c>
      <c r="J848" s="2" t="s">
        <v>1654</v>
      </c>
      <c r="K848" s="2">
        <v>95</v>
      </c>
      <c r="L848" s="2">
        <v>30</v>
      </c>
      <c r="M848" s="2">
        <v>15</v>
      </c>
      <c r="N848" s="2">
        <v>10</v>
      </c>
      <c r="O848" s="2">
        <v>25</v>
      </c>
      <c r="P848" s="2">
        <v>15</v>
      </c>
      <c r="Q848" s="2" t="s">
        <v>36</v>
      </c>
      <c r="R848" s="2" t="s">
        <v>553</v>
      </c>
      <c r="S848" s="4">
        <v>44837</v>
      </c>
    </row>
    <row r="849" spans="1:19" ht="12.5" x14ac:dyDescent="0.25">
      <c r="A849" s="14" t="str">
        <f>HYPERLINK("https://gerandofalcoes.my.salesforce.com/0014P00003AN2etQAD", "0014P00003AN2etQAD")</f>
        <v>0014P00003AN2etQAD</v>
      </c>
      <c r="B849" s="2" t="s">
        <v>2288</v>
      </c>
      <c r="C849" s="2" t="s">
        <v>423</v>
      </c>
      <c r="D849" s="2" t="s">
        <v>2</v>
      </c>
      <c r="E849" s="2">
        <v>85</v>
      </c>
      <c r="F849" s="2">
        <v>10</v>
      </c>
      <c r="G849" s="2">
        <v>4</v>
      </c>
      <c r="H849" s="2">
        <v>180000</v>
      </c>
      <c r="I849" s="2">
        <v>320</v>
      </c>
      <c r="J849" s="2" t="s">
        <v>1650</v>
      </c>
      <c r="K849" s="2">
        <v>75</v>
      </c>
      <c r="L849" s="2">
        <v>25</v>
      </c>
      <c r="M849" s="2">
        <v>10</v>
      </c>
      <c r="N849" s="2">
        <v>10</v>
      </c>
      <c r="O849" s="2">
        <v>15</v>
      </c>
      <c r="P849" s="2">
        <v>15</v>
      </c>
      <c r="Q849" s="2" t="s">
        <v>572</v>
      </c>
      <c r="R849" s="2" t="s">
        <v>572</v>
      </c>
      <c r="S849" s="4">
        <v>44837</v>
      </c>
    </row>
    <row r="850" spans="1:19" ht="12.5" x14ac:dyDescent="0.25">
      <c r="A850" s="14" t="str">
        <f>HYPERLINK("https://gerandofalcoes.my.salesforce.com/0014X00002VKCuEQAX", "0014X00002VKCuEQAX")</f>
        <v>0014X00002VKCuEQAX</v>
      </c>
      <c r="B850" s="2" t="s">
        <v>1977</v>
      </c>
      <c r="C850" s="2" t="s">
        <v>423</v>
      </c>
      <c r="D850" s="2" t="s">
        <v>2</v>
      </c>
      <c r="E850" s="2">
        <v>39.159999999999997</v>
      </c>
      <c r="F850" s="2">
        <v>5</v>
      </c>
      <c r="G850" s="2">
        <v>4</v>
      </c>
      <c r="H850" s="2">
        <v>120000</v>
      </c>
      <c r="I850" s="2">
        <v>5</v>
      </c>
      <c r="J850" s="2" t="s">
        <v>1671</v>
      </c>
      <c r="K850" s="2">
        <v>50</v>
      </c>
      <c r="L850" s="2">
        <v>15</v>
      </c>
      <c r="M850" s="2">
        <v>5</v>
      </c>
      <c r="N850" s="2">
        <v>10</v>
      </c>
      <c r="O850" s="2">
        <v>15</v>
      </c>
      <c r="P850" s="2">
        <v>5</v>
      </c>
      <c r="Q850" s="2" t="s">
        <v>1978</v>
      </c>
      <c r="R850" s="2" t="s">
        <v>1979</v>
      </c>
      <c r="S850" s="4">
        <v>44837</v>
      </c>
    </row>
    <row r="851" spans="1:19" ht="12.5" x14ac:dyDescent="0.25">
      <c r="A851" s="14" t="str">
        <f>HYPERLINK("https://gerandofalcoes.my.salesforce.com/0014X00002VKCp3QAH", "0014X00002VKCp3QAH")</f>
        <v>0014X00002VKCp3QAH</v>
      </c>
      <c r="B851" s="2" t="s">
        <v>2247</v>
      </c>
      <c r="C851" s="2" t="s">
        <v>1800</v>
      </c>
      <c r="D851" s="2" t="s">
        <v>2</v>
      </c>
      <c r="E851" s="2">
        <v>31</v>
      </c>
      <c r="F851" s="2">
        <v>0</v>
      </c>
      <c r="G851" s="2">
        <v>3</v>
      </c>
      <c r="H851" s="2">
        <v>0</v>
      </c>
      <c r="I851" s="2">
        <v>0</v>
      </c>
      <c r="J851" s="2" t="s">
        <v>1779</v>
      </c>
      <c r="K851" s="2">
        <v>23</v>
      </c>
      <c r="L851" s="2">
        <v>15</v>
      </c>
      <c r="M851" s="2">
        <v>0</v>
      </c>
      <c r="N851" s="2">
        <v>8</v>
      </c>
      <c r="O851" s="2">
        <v>0</v>
      </c>
      <c r="P851" s="2">
        <v>0</v>
      </c>
      <c r="Q851" s="2" t="s">
        <v>2248</v>
      </c>
      <c r="R851" s="2" t="s">
        <v>2248</v>
      </c>
      <c r="S851" s="4">
        <v>44837</v>
      </c>
    </row>
    <row r="852" spans="1:19" ht="12.5" x14ac:dyDescent="0.25">
      <c r="A852" s="14" t="str">
        <f>HYPERLINK("https://gerandofalcoes.my.salesforce.com/0014X00002VKCsIQAX", "0014X00002VKCsIQAX")</f>
        <v>0014X00002VKCsIQAX</v>
      </c>
      <c r="B852" s="2" t="s">
        <v>2585</v>
      </c>
      <c r="C852" s="2" t="s">
        <v>423</v>
      </c>
      <c r="D852" s="2" t="s">
        <v>2</v>
      </c>
      <c r="E852" s="2">
        <v>28</v>
      </c>
      <c r="F852" s="2">
        <v>0</v>
      </c>
      <c r="G852" s="2">
        <v>890</v>
      </c>
      <c r="H852" s="2">
        <v>14400</v>
      </c>
      <c r="I852" s="2">
        <v>80</v>
      </c>
      <c r="J852" s="2" t="s">
        <v>1671</v>
      </c>
      <c r="K852" s="2">
        <v>40</v>
      </c>
      <c r="L852" s="2">
        <v>15</v>
      </c>
      <c r="M852" s="2">
        <v>0</v>
      </c>
      <c r="N852" s="2">
        <v>10</v>
      </c>
      <c r="O852" s="2">
        <v>5</v>
      </c>
      <c r="P852" s="2">
        <v>10</v>
      </c>
      <c r="Q852" s="2" t="s">
        <v>2586</v>
      </c>
      <c r="R852" s="2" t="s">
        <v>2587</v>
      </c>
      <c r="S852" s="4">
        <v>44837</v>
      </c>
    </row>
    <row r="853" spans="1:19" ht="12.5" x14ac:dyDescent="0.25">
      <c r="A853" s="14" t="str">
        <f>HYPERLINK("https://gerandofalcoes.my.salesforce.com/0014X00002VKCshQAH", "0014X00002VKCshQAH")</f>
        <v>0014X00002VKCshQAH</v>
      </c>
      <c r="B853" s="2" t="s">
        <v>2893</v>
      </c>
      <c r="C853" s="2" t="s">
        <v>423</v>
      </c>
      <c r="D853" s="2" t="s">
        <v>2</v>
      </c>
      <c r="E853" s="2">
        <v>25</v>
      </c>
      <c r="F853" s="2">
        <v>0</v>
      </c>
      <c r="G853" s="2">
        <v>2</v>
      </c>
      <c r="H853" s="2">
        <v>25000</v>
      </c>
      <c r="I853" s="2">
        <v>83</v>
      </c>
      <c r="J853" s="2" t="s">
        <v>1671</v>
      </c>
      <c r="K853" s="2">
        <v>41</v>
      </c>
      <c r="L853" s="2">
        <v>15</v>
      </c>
      <c r="M853" s="2">
        <v>0</v>
      </c>
      <c r="N853" s="2">
        <v>6</v>
      </c>
      <c r="O853" s="2">
        <v>10</v>
      </c>
      <c r="P853" s="2">
        <v>10</v>
      </c>
      <c r="Q853" s="2" t="s">
        <v>2894</v>
      </c>
      <c r="R853" s="2" t="s">
        <v>2895</v>
      </c>
      <c r="S853" s="4">
        <v>44837</v>
      </c>
    </row>
    <row r="854" spans="1:19" ht="12.5" x14ac:dyDescent="0.25">
      <c r="A854" s="14" t="str">
        <f>HYPERLINK("https://gerandofalcoes.my.salesforce.com/0014X00002VKCsjQAH", "0014X00002VKCsjQAH")</f>
        <v>0014X00002VKCsjQAH</v>
      </c>
      <c r="B854" s="2" t="s">
        <v>2576</v>
      </c>
      <c r="C854" s="2" t="s">
        <v>423</v>
      </c>
      <c r="D854" s="2" t="s">
        <v>2</v>
      </c>
      <c r="E854" s="2">
        <v>49</v>
      </c>
      <c r="F854" s="2">
        <v>0</v>
      </c>
      <c r="G854" s="2">
        <v>1</v>
      </c>
      <c r="H854" s="2">
        <v>1251382</v>
      </c>
      <c r="I854" s="2">
        <v>0</v>
      </c>
      <c r="J854" s="2" t="s">
        <v>1779</v>
      </c>
      <c r="K854" s="2">
        <v>29</v>
      </c>
      <c r="L854" s="2">
        <v>0</v>
      </c>
      <c r="M854" s="2">
        <v>0</v>
      </c>
      <c r="N854" s="2">
        <v>4</v>
      </c>
      <c r="O854" s="2">
        <v>25</v>
      </c>
      <c r="P854" s="2">
        <v>0</v>
      </c>
      <c r="Q854" s="2" t="s">
        <v>2577</v>
      </c>
      <c r="R854" s="2" t="s">
        <v>2578</v>
      </c>
      <c r="S854" s="4">
        <v>44837</v>
      </c>
    </row>
    <row r="855" spans="1:19" ht="12.5" x14ac:dyDescent="0.25">
      <c r="A855" s="14" t="str">
        <f>HYPERLINK("https://gerandofalcoes.my.salesforce.com/0014X00002VKCsyQAH", "0014X00002VKCsyQAH")</f>
        <v>0014X00002VKCsyQAH</v>
      </c>
      <c r="B855" s="2" t="s">
        <v>1877</v>
      </c>
      <c r="C855" s="2" t="s">
        <v>423</v>
      </c>
      <c r="D855" s="2" t="s">
        <v>2</v>
      </c>
      <c r="E855" s="2">
        <v>44.41</v>
      </c>
      <c r="F855" s="2">
        <v>0</v>
      </c>
      <c r="G855" s="2">
        <v>2</v>
      </c>
      <c r="H855" s="2">
        <v>9000</v>
      </c>
      <c r="I855" s="2">
        <v>157</v>
      </c>
      <c r="J855" s="2" t="s">
        <v>1779</v>
      </c>
      <c r="K855" s="2">
        <v>38</v>
      </c>
      <c r="L855" s="2">
        <v>15</v>
      </c>
      <c r="M855" s="2">
        <v>0</v>
      </c>
      <c r="N855" s="2">
        <v>6</v>
      </c>
      <c r="O855" s="2">
        <v>5</v>
      </c>
      <c r="P855" s="2">
        <v>12</v>
      </c>
      <c r="Q855" s="2" t="s">
        <v>1878</v>
      </c>
      <c r="R855" s="2" t="s">
        <v>1878</v>
      </c>
      <c r="S855" s="4">
        <v>44837</v>
      </c>
    </row>
    <row r="856" spans="1:19" ht="12.5" x14ac:dyDescent="0.25">
      <c r="A856" s="14" t="str">
        <f>HYPERLINK("https://gerandofalcoes.my.salesforce.com/0014X00002VKCt7QAH", "0014X00002VKCt7QAH")</f>
        <v>0014X00002VKCt7QAH</v>
      </c>
      <c r="B856" s="2" t="s">
        <v>2410</v>
      </c>
      <c r="C856" s="2" t="s">
        <v>1800</v>
      </c>
      <c r="D856" s="2" t="s">
        <v>2</v>
      </c>
      <c r="E856" s="2">
        <v>25</v>
      </c>
      <c r="F856" s="2">
        <v>0</v>
      </c>
      <c r="G856" s="2">
        <v>3</v>
      </c>
      <c r="H856" s="2">
        <v>11000</v>
      </c>
      <c r="I856" s="2">
        <v>100</v>
      </c>
      <c r="J856" s="2" t="s">
        <v>1779</v>
      </c>
      <c r="K856" s="2">
        <v>38</v>
      </c>
      <c r="L856" s="2">
        <v>15</v>
      </c>
      <c r="M856" s="2">
        <v>0</v>
      </c>
      <c r="N856" s="2">
        <v>8</v>
      </c>
      <c r="O856" s="2">
        <v>5</v>
      </c>
      <c r="P856" s="2">
        <v>10</v>
      </c>
      <c r="Q856" s="2" t="s">
        <v>2411</v>
      </c>
      <c r="R856" s="2" t="s">
        <v>2412</v>
      </c>
      <c r="S856" s="4">
        <v>44837</v>
      </c>
    </row>
    <row r="857" spans="1:19" ht="12.5" x14ac:dyDescent="0.25">
      <c r="A857" s="14" t="str">
        <f>HYPERLINK("https://gerandofalcoes.my.salesforce.com/0014X00002VKCtYQAX", "0014X00002VKCtYQAX")</f>
        <v>0014X00002VKCtYQAX</v>
      </c>
      <c r="B857" s="2" t="s">
        <v>2125</v>
      </c>
      <c r="C857" s="2" t="s">
        <v>423</v>
      </c>
      <c r="D857" s="2" t="s">
        <v>2</v>
      </c>
      <c r="E857" s="2">
        <v>34.43</v>
      </c>
      <c r="F857" s="2">
        <v>3</v>
      </c>
      <c r="G857" s="2">
        <v>2</v>
      </c>
      <c r="H857" s="2">
        <v>7000</v>
      </c>
      <c r="I857" s="2">
        <v>70</v>
      </c>
      <c r="J857" s="2" t="s">
        <v>1779</v>
      </c>
      <c r="K857" s="2">
        <v>36</v>
      </c>
      <c r="L857" s="2">
        <v>15</v>
      </c>
      <c r="M857" s="2">
        <v>5</v>
      </c>
      <c r="N857" s="2">
        <v>6</v>
      </c>
      <c r="O857" s="2">
        <v>5</v>
      </c>
      <c r="P857" s="2">
        <v>5</v>
      </c>
      <c r="Q857" s="2" t="s">
        <v>2126</v>
      </c>
      <c r="R857" s="2" t="s">
        <v>2126</v>
      </c>
      <c r="S857" s="4">
        <v>44837</v>
      </c>
    </row>
    <row r="858" spans="1:19" ht="12.5" x14ac:dyDescent="0.25">
      <c r="A858" s="14" t="str">
        <f>HYPERLINK("https://gerandofalcoes.my.salesforce.com/0014X00002VKCp9QAH", "0014X00002VKCp9QAH")</f>
        <v>0014X00002VKCp9QAH</v>
      </c>
      <c r="B858" s="2" t="s">
        <v>2384</v>
      </c>
      <c r="C858" s="2" t="s">
        <v>423</v>
      </c>
      <c r="D858" s="2" t="s">
        <v>2</v>
      </c>
      <c r="E858" s="2">
        <v>26</v>
      </c>
      <c r="F858" s="2">
        <v>17</v>
      </c>
      <c r="G858" s="2">
        <v>5</v>
      </c>
      <c r="H858" s="2">
        <v>0</v>
      </c>
      <c r="I858" s="2">
        <v>0</v>
      </c>
      <c r="J858" s="2" t="s">
        <v>1779</v>
      </c>
      <c r="K858" s="2">
        <v>37</v>
      </c>
      <c r="L858" s="2">
        <v>15</v>
      </c>
      <c r="M858" s="2">
        <v>12</v>
      </c>
      <c r="N858" s="2">
        <v>10</v>
      </c>
      <c r="O858" s="2">
        <v>0</v>
      </c>
      <c r="P858" s="2">
        <v>0</v>
      </c>
      <c r="Q858" s="2" t="s">
        <v>2385</v>
      </c>
      <c r="R858" s="2" t="s">
        <v>2386</v>
      </c>
      <c r="S858" s="4">
        <v>44837</v>
      </c>
    </row>
    <row r="859" spans="1:19" ht="12.5" x14ac:dyDescent="0.25">
      <c r="A859" s="14" t="str">
        <f>HYPERLINK("https://gerandofalcoes.my.salesforce.com/0014X00002VKCqCQAX", "0014X00002VKCqCQAX")</f>
        <v>0014X00002VKCqCQAX</v>
      </c>
      <c r="B859" s="2" t="s">
        <v>2853</v>
      </c>
      <c r="C859" s="2" t="s">
        <v>423</v>
      </c>
      <c r="D859" s="2" t="s">
        <v>2</v>
      </c>
      <c r="E859" s="2">
        <v>18</v>
      </c>
      <c r="F859" s="2">
        <v>0</v>
      </c>
      <c r="G859" s="2">
        <v>0</v>
      </c>
      <c r="H859" s="2">
        <v>63000</v>
      </c>
      <c r="I859" s="2">
        <v>49</v>
      </c>
      <c r="J859" s="2" t="s">
        <v>1779</v>
      </c>
      <c r="K859" s="2">
        <v>25</v>
      </c>
      <c r="L859" s="2">
        <v>10</v>
      </c>
      <c r="M859" s="2">
        <v>0</v>
      </c>
      <c r="N859" s="2">
        <v>0</v>
      </c>
      <c r="O859" s="2">
        <v>10</v>
      </c>
      <c r="P859" s="2">
        <v>5</v>
      </c>
      <c r="Q859" s="2" t="s">
        <v>2854</v>
      </c>
      <c r="R859" s="2" t="s">
        <v>2855</v>
      </c>
      <c r="S859" s="4">
        <v>44837</v>
      </c>
    </row>
    <row r="860" spans="1:19" ht="12.5" x14ac:dyDescent="0.25">
      <c r="A860" s="14" t="str">
        <f>HYPERLINK("https://gerandofalcoes.my.salesforce.com/0014X00002VKCqAQAX", "0014X00002VKCqAQAX")</f>
        <v>0014X00002VKCqAQAX</v>
      </c>
      <c r="B860" s="2" t="s">
        <v>2912</v>
      </c>
      <c r="C860" s="2" t="s">
        <v>423</v>
      </c>
      <c r="D860" s="2" t="s">
        <v>2</v>
      </c>
      <c r="E860" s="2">
        <v>30</v>
      </c>
      <c r="F860" s="2">
        <v>7</v>
      </c>
      <c r="G860" s="2">
        <v>1</v>
      </c>
      <c r="H860" s="2">
        <v>78000</v>
      </c>
      <c r="I860" s="2">
        <v>250</v>
      </c>
      <c r="J860" s="2" t="s">
        <v>1671</v>
      </c>
      <c r="K860" s="2">
        <v>51</v>
      </c>
      <c r="L860" s="2">
        <v>15</v>
      </c>
      <c r="M860" s="2">
        <v>10</v>
      </c>
      <c r="N860" s="2">
        <v>4</v>
      </c>
      <c r="O860" s="2">
        <v>10</v>
      </c>
      <c r="P860" s="2">
        <v>12</v>
      </c>
      <c r="Q860" s="2" t="s">
        <v>2913</v>
      </c>
      <c r="R860" s="2" t="s">
        <v>2913</v>
      </c>
      <c r="S860" s="4">
        <v>44837</v>
      </c>
    </row>
    <row r="861" spans="1:19" ht="12.5" x14ac:dyDescent="0.25">
      <c r="A861" s="14" t="str">
        <f>HYPERLINK("https://gerandofalcoes.my.salesforce.com/0014X00002VKCsEQAX", "0014X00002VKCsEQAX")</f>
        <v>0014X00002VKCsEQAX</v>
      </c>
      <c r="B861" s="2" t="s">
        <v>2051</v>
      </c>
      <c r="C861" s="2" t="s">
        <v>1800</v>
      </c>
      <c r="D861" s="2" t="s">
        <v>2</v>
      </c>
      <c r="E861" s="2">
        <v>37</v>
      </c>
      <c r="F861" s="2">
        <v>2</v>
      </c>
      <c r="G861" s="2">
        <v>3</v>
      </c>
      <c r="H861" s="2">
        <v>1000</v>
      </c>
      <c r="I861" s="2">
        <v>30</v>
      </c>
      <c r="J861" s="2" t="s">
        <v>1779</v>
      </c>
      <c r="K861" s="2">
        <v>38</v>
      </c>
      <c r="L861" s="2">
        <v>15</v>
      </c>
      <c r="M861" s="2">
        <v>5</v>
      </c>
      <c r="N861" s="2">
        <v>8</v>
      </c>
      <c r="O861" s="2">
        <v>5</v>
      </c>
      <c r="P861" s="2">
        <v>5</v>
      </c>
      <c r="Q861" s="2" t="s">
        <v>2052</v>
      </c>
      <c r="R861" s="2" t="s">
        <v>2053</v>
      </c>
      <c r="S861" s="4">
        <v>44837</v>
      </c>
    </row>
    <row r="862" spans="1:19" ht="12.5" x14ac:dyDescent="0.25">
      <c r="A862" s="14" t="str">
        <f>HYPERLINK("https://gerandofalcoes.my.salesforce.com/0014X00002VKCr6QAH", "0014X00002VKCr6QAH")</f>
        <v>0014X00002VKCr6QAH</v>
      </c>
      <c r="B862" s="2" t="s">
        <v>1932</v>
      </c>
      <c r="C862" s="2" t="s">
        <v>423</v>
      </c>
      <c r="D862" s="2" t="s">
        <v>2</v>
      </c>
      <c r="E862" s="2">
        <v>37</v>
      </c>
      <c r="F862" s="2">
        <v>7</v>
      </c>
      <c r="G862" s="2">
        <v>1</v>
      </c>
      <c r="H862" s="2">
        <v>720000</v>
      </c>
      <c r="I862" s="2">
        <v>200</v>
      </c>
      <c r="J862" s="2" t="s">
        <v>1671</v>
      </c>
      <c r="K862" s="2">
        <v>61</v>
      </c>
      <c r="L862" s="2">
        <v>15</v>
      </c>
      <c r="M862" s="2">
        <v>10</v>
      </c>
      <c r="N862" s="2">
        <v>4</v>
      </c>
      <c r="O862" s="2">
        <v>20</v>
      </c>
      <c r="P862" s="2">
        <v>12</v>
      </c>
      <c r="Q862" s="2" t="s">
        <v>1933</v>
      </c>
      <c r="R862" s="2" t="s">
        <v>1934</v>
      </c>
      <c r="S862" s="4">
        <v>44837</v>
      </c>
    </row>
    <row r="863" spans="1:19" ht="12.5" x14ac:dyDescent="0.25">
      <c r="A863" s="14" t="str">
        <f>HYPERLINK("https://gerandofalcoes.my.salesforce.com/0014X00002VKCphQAH", "0014X00002VKCphQAH")</f>
        <v>0014X00002VKCphQAH</v>
      </c>
      <c r="B863" s="2" t="s">
        <v>2298</v>
      </c>
      <c r="C863" s="2" t="s">
        <v>1800</v>
      </c>
      <c r="D863" s="2" t="s">
        <v>2</v>
      </c>
      <c r="E863" s="2">
        <v>29</v>
      </c>
      <c r="F863" s="2">
        <v>0</v>
      </c>
      <c r="G863" s="2">
        <v>3</v>
      </c>
      <c r="H863" s="2">
        <v>30000</v>
      </c>
      <c r="I863" s="2">
        <v>150</v>
      </c>
      <c r="J863" s="2" t="s">
        <v>1671</v>
      </c>
      <c r="K863" s="2">
        <v>45</v>
      </c>
      <c r="L863" s="2">
        <v>15</v>
      </c>
      <c r="M863" s="2">
        <v>0</v>
      </c>
      <c r="N863" s="2">
        <v>8</v>
      </c>
      <c r="O863" s="2">
        <v>10</v>
      </c>
      <c r="P863" s="2">
        <v>12</v>
      </c>
      <c r="Q863" s="2" t="s">
        <v>2299</v>
      </c>
      <c r="R863" s="2" t="s">
        <v>2300</v>
      </c>
      <c r="S863" s="4">
        <v>44837</v>
      </c>
    </row>
    <row r="864" spans="1:19" ht="12.5" x14ac:dyDescent="0.25">
      <c r="A864" s="14" t="str">
        <f>HYPERLINK("https://gerandofalcoes.my.salesforce.com/0014X00002VKCp8QAH", "0014X00002VKCp8QAH")</f>
        <v>0014X00002VKCp8QAH</v>
      </c>
      <c r="B864" s="2" t="s">
        <v>1819</v>
      </c>
      <c r="C864" s="2" t="s">
        <v>423</v>
      </c>
      <c r="D864" s="2" t="s">
        <v>2</v>
      </c>
      <c r="E864" s="2">
        <v>55</v>
      </c>
      <c r="F864" s="2">
        <v>2</v>
      </c>
      <c r="G864" s="2">
        <v>2</v>
      </c>
      <c r="H864" s="2">
        <v>63000</v>
      </c>
      <c r="I864" s="2">
        <v>100</v>
      </c>
      <c r="J864" s="2" t="s">
        <v>1671</v>
      </c>
      <c r="K864" s="2">
        <v>51</v>
      </c>
      <c r="L864" s="2">
        <v>20</v>
      </c>
      <c r="M864" s="2">
        <v>5</v>
      </c>
      <c r="N864" s="2">
        <v>6</v>
      </c>
      <c r="O864" s="2">
        <v>10</v>
      </c>
      <c r="P864" s="2">
        <v>10</v>
      </c>
      <c r="Q864" s="2" t="s">
        <v>1820</v>
      </c>
      <c r="R864" s="2" t="s">
        <v>1821</v>
      </c>
      <c r="S864" s="4">
        <v>44837</v>
      </c>
    </row>
    <row r="865" spans="1:19" ht="12.5" x14ac:dyDescent="0.25">
      <c r="A865" s="14" t="str">
        <f>HYPERLINK("https://gerandofalcoes.my.salesforce.com/0014X00002VKCszQAH", "0014X00002VKCszQAH")</f>
        <v>0014X00002VKCszQAH</v>
      </c>
      <c r="B865" s="2" t="s">
        <v>2473</v>
      </c>
      <c r="C865" s="2" t="s">
        <v>423</v>
      </c>
      <c r="D865" s="2" t="s">
        <v>2</v>
      </c>
      <c r="E865" s="2">
        <v>22.35</v>
      </c>
      <c r="F865" s="2">
        <v>0</v>
      </c>
      <c r="G865" s="2">
        <v>3</v>
      </c>
      <c r="H865" s="2">
        <v>116114</v>
      </c>
      <c r="I865" s="2">
        <v>35</v>
      </c>
      <c r="J865" s="2" t="s">
        <v>1779</v>
      </c>
      <c r="K865" s="2">
        <v>38</v>
      </c>
      <c r="L865" s="2">
        <v>10</v>
      </c>
      <c r="M865" s="2">
        <v>0</v>
      </c>
      <c r="N865" s="2">
        <v>8</v>
      </c>
      <c r="O865" s="2">
        <v>15</v>
      </c>
      <c r="P865" s="2">
        <v>5</v>
      </c>
      <c r="Q865" s="2" t="s">
        <v>2474</v>
      </c>
      <c r="R865" s="2" t="s">
        <v>2475</v>
      </c>
      <c r="S865" s="4">
        <v>44837</v>
      </c>
    </row>
    <row r="866" spans="1:19" ht="12.5" x14ac:dyDescent="0.25">
      <c r="A866" s="14" t="str">
        <f>HYPERLINK("https://gerandofalcoes.my.salesforce.com/0014X00002VKCpBQAX", "0014X00002VKCpBQAX")</f>
        <v>0014X00002VKCpBQAX</v>
      </c>
      <c r="B866" s="2" t="s">
        <v>2504</v>
      </c>
      <c r="C866" s="2" t="s">
        <v>423</v>
      </c>
      <c r="D866" s="2" t="s">
        <v>2</v>
      </c>
      <c r="E866" s="2">
        <v>24</v>
      </c>
      <c r="F866" s="2">
        <v>0</v>
      </c>
      <c r="G866" s="2">
        <v>3</v>
      </c>
      <c r="H866" s="2">
        <v>128350</v>
      </c>
      <c r="I866" s="2">
        <v>160</v>
      </c>
      <c r="J866" s="2" t="s">
        <v>1671</v>
      </c>
      <c r="K866" s="2">
        <v>45</v>
      </c>
      <c r="L866" s="2">
        <v>10</v>
      </c>
      <c r="M866" s="2">
        <v>0</v>
      </c>
      <c r="N866" s="2">
        <v>8</v>
      </c>
      <c r="O866" s="2">
        <v>15</v>
      </c>
      <c r="P866" s="2">
        <v>12</v>
      </c>
      <c r="Q866" s="2" t="s">
        <v>2505</v>
      </c>
      <c r="R866" s="2" t="s">
        <v>2505</v>
      </c>
      <c r="S866" s="4">
        <v>44837</v>
      </c>
    </row>
    <row r="867" spans="1:19" ht="12.5" x14ac:dyDescent="0.25">
      <c r="A867" s="14" t="str">
        <f>HYPERLINK("https://gerandofalcoes.my.salesforce.com/0014X00002VKCtrQAH", "0014X00002VKCtrQAH")</f>
        <v>0014X00002VKCtrQAH</v>
      </c>
      <c r="B867" s="2" t="s">
        <v>1969</v>
      </c>
      <c r="C867" s="2" t="s">
        <v>1800</v>
      </c>
      <c r="D867" s="2" t="s">
        <v>2</v>
      </c>
      <c r="E867" s="2">
        <v>40</v>
      </c>
      <c r="F867" s="2">
        <v>0</v>
      </c>
      <c r="G867" s="2">
        <v>2</v>
      </c>
      <c r="H867" s="2">
        <v>0</v>
      </c>
      <c r="I867" s="2">
        <v>0</v>
      </c>
      <c r="J867" s="2" t="s">
        <v>1779</v>
      </c>
      <c r="K867" s="2">
        <v>21</v>
      </c>
      <c r="L867" s="2">
        <v>15</v>
      </c>
      <c r="M867" s="2">
        <v>0</v>
      </c>
      <c r="N867" s="2">
        <v>6</v>
      </c>
      <c r="O867" s="2">
        <v>0</v>
      </c>
      <c r="P867" s="2">
        <v>0</v>
      </c>
      <c r="Q867" s="2" t="s">
        <v>1970</v>
      </c>
      <c r="R867" s="2" t="s">
        <v>1971</v>
      </c>
      <c r="S867" s="4">
        <v>44837</v>
      </c>
    </row>
    <row r="868" spans="1:19" ht="12.5" x14ac:dyDescent="0.25">
      <c r="A868" s="14" t="str">
        <f>HYPERLINK("https://gerandofalcoes.my.salesforce.com/0014X00002VKCuHQAX", "0014X00002VKCuHQAX")</f>
        <v>0014X00002VKCuHQAX</v>
      </c>
      <c r="B868" s="2" t="s">
        <v>2606</v>
      </c>
      <c r="C868" s="2" t="s">
        <v>423</v>
      </c>
      <c r="D868" s="2" t="s">
        <v>2</v>
      </c>
      <c r="E868" s="2">
        <v>19</v>
      </c>
      <c r="F868" s="2">
        <v>0</v>
      </c>
      <c r="G868" s="2">
        <v>2</v>
      </c>
      <c r="H868" s="2">
        <v>25500</v>
      </c>
      <c r="I868" s="2">
        <v>30</v>
      </c>
      <c r="J868" s="2" t="s">
        <v>1779</v>
      </c>
      <c r="K868" s="2">
        <v>31</v>
      </c>
      <c r="L868" s="2">
        <v>10</v>
      </c>
      <c r="M868" s="2">
        <v>0</v>
      </c>
      <c r="N868" s="2">
        <v>6</v>
      </c>
      <c r="O868" s="2">
        <v>10</v>
      </c>
      <c r="P868" s="2">
        <v>5</v>
      </c>
      <c r="Q868" s="2" t="s">
        <v>2607</v>
      </c>
      <c r="R868" s="2" t="s">
        <v>2608</v>
      </c>
      <c r="S868" s="4">
        <v>44837</v>
      </c>
    </row>
    <row r="869" spans="1:19" ht="12.5" x14ac:dyDescent="0.25">
      <c r="A869" s="14" t="str">
        <f>HYPERLINK("https://gerandofalcoes.my.salesforce.com/0014X00002VKCqbQAH", "0014X00002VKCqbQAH")</f>
        <v>0014X00002VKCqbQAH</v>
      </c>
      <c r="B869" s="2" t="s">
        <v>2040</v>
      </c>
      <c r="C869" s="2" t="s">
        <v>423</v>
      </c>
      <c r="D869" s="2" t="s">
        <v>2</v>
      </c>
      <c r="E869" s="2">
        <v>37</v>
      </c>
      <c r="F869" s="2">
        <v>0</v>
      </c>
      <c r="G869" s="2">
        <v>3</v>
      </c>
      <c r="H869" s="2">
        <v>70000</v>
      </c>
      <c r="I869" s="2">
        <v>100</v>
      </c>
      <c r="J869" s="2" t="s">
        <v>1671</v>
      </c>
      <c r="K869" s="2">
        <v>43</v>
      </c>
      <c r="L869" s="2">
        <v>15</v>
      </c>
      <c r="M869" s="2">
        <v>0</v>
      </c>
      <c r="N869" s="2">
        <v>8</v>
      </c>
      <c r="O869" s="2">
        <v>10</v>
      </c>
      <c r="P869" s="2">
        <v>10</v>
      </c>
      <c r="Q869" s="2" t="s">
        <v>2041</v>
      </c>
      <c r="R869" s="2" t="s">
        <v>2042</v>
      </c>
      <c r="S869" s="4">
        <v>44837</v>
      </c>
    </row>
    <row r="870" spans="1:19" ht="12.5" x14ac:dyDescent="0.25">
      <c r="A870" s="14" t="str">
        <f>HYPERLINK("https://gerandofalcoes.my.salesforce.com/0014X00002VKCsnQAH", "0014X00002VKCsnQAH")</f>
        <v>0014X00002VKCsnQAH</v>
      </c>
      <c r="B870" s="2" t="s">
        <v>1899</v>
      </c>
      <c r="C870" s="2" t="s">
        <v>423</v>
      </c>
      <c r="D870" s="2" t="s">
        <v>2</v>
      </c>
      <c r="E870" s="2">
        <v>55</v>
      </c>
      <c r="F870" s="2">
        <v>7</v>
      </c>
      <c r="G870" s="2">
        <v>6</v>
      </c>
      <c r="H870" s="2">
        <v>130175</v>
      </c>
      <c r="I870" s="2">
        <v>120</v>
      </c>
      <c r="J870" s="2" t="s">
        <v>1650</v>
      </c>
      <c r="K870" s="2">
        <v>65</v>
      </c>
      <c r="L870" s="2">
        <v>20</v>
      </c>
      <c r="M870" s="2">
        <v>10</v>
      </c>
      <c r="N870" s="2">
        <v>10</v>
      </c>
      <c r="O870" s="2">
        <v>15</v>
      </c>
      <c r="P870" s="2">
        <v>10</v>
      </c>
      <c r="Q870" s="2" t="s">
        <v>1900</v>
      </c>
      <c r="R870" s="2" t="s">
        <v>1901</v>
      </c>
      <c r="S870" s="4">
        <v>44837</v>
      </c>
    </row>
    <row r="871" spans="1:19" ht="12.5" x14ac:dyDescent="0.25">
      <c r="A871" s="14" t="str">
        <f>HYPERLINK("https://gerandofalcoes.my.salesforce.com/0014X00002VKCqSQAX", "0014X00002VKCqSQAX")</f>
        <v>0014X00002VKCqSQAX</v>
      </c>
      <c r="B871" s="2" t="s">
        <v>2197</v>
      </c>
      <c r="C871" s="2" t="s">
        <v>1800</v>
      </c>
      <c r="D871" s="2" t="s">
        <v>2</v>
      </c>
      <c r="E871" s="2">
        <v>33</v>
      </c>
      <c r="F871" s="2">
        <v>0</v>
      </c>
      <c r="G871" s="2">
        <v>3</v>
      </c>
      <c r="H871" s="2">
        <v>2160</v>
      </c>
      <c r="I871" s="2">
        <v>0</v>
      </c>
      <c r="J871" s="2" t="s">
        <v>1779</v>
      </c>
      <c r="K871" s="2">
        <v>28</v>
      </c>
      <c r="L871" s="2">
        <v>15</v>
      </c>
      <c r="M871" s="2">
        <v>0</v>
      </c>
      <c r="N871" s="2">
        <v>8</v>
      </c>
      <c r="O871" s="2">
        <v>5</v>
      </c>
      <c r="P871" s="2">
        <v>0</v>
      </c>
      <c r="Q871" s="2" t="s">
        <v>2198</v>
      </c>
      <c r="R871" s="2" t="s">
        <v>2199</v>
      </c>
      <c r="S871" s="4">
        <v>44837</v>
      </c>
    </row>
    <row r="872" spans="1:19" ht="12.5" x14ac:dyDescent="0.25">
      <c r="A872" s="14" t="str">
        <f>HYPERLINK("https://gerandofalcoes.my.salesforce.com/0014X00002VKCubQAH", "0014X00002VKCubQAH")</f>
        <v>0014X00002VKCubQAH</v>
      </c>
      <c r="B872" s="2" t="s">
        <v>2062</v>
      </c>
      <c r="C872" s="2" t="s">
        <v>423</v>
      </c>
      <c r="D872" s="2" t="s">
        <v>2</v>
      </c>
      <c r="E872" s="2">
        <v>37</v>
      </c>
      <c r="F872" s="2">
        <v>3</v>
      </c>
      <c r="G872" s="2">
        <v>3</v>
      </c>
      <c r="H872" s="2">
        <v>3000</v>
      </c>
      <c r="I872" s="2">
        <v>0</v>
      </c>
      <c r="J872" s="2" t="s">
        <v>1779</v>
      </c>
      <c r="K872" s="2">
        <v>33</v>
      </c>
      <c r="L872" s="2">
        <v>15</v>
      </c>
      <c r="M872" s="2">
        <v>5</v>
      </c>
      <c r="N872" s="2">
        <v>8</v>
      </c>
      <c r="O872" s="2">
        <v>5</v>
      </c>
      <c r="P872" s="2">
        <v>0</v>
      </c>
      <c r="Q872" s="2" t="s">
        <v>2063</v>
      </c>
      <c r="R872" s="2" t="s">
        <v>2064</v>
      </c>
      <c r="S872" s="4">
        <v>44837</v>
      </c>
    </row>
    <row r="873" spans="1:19" ht="12.5" x14ac:dyDescent="0.25">
      <c r="A873" s="14" t="str">
        <f>HYPERLINK("https://gerandofalcoes.my.salesforce.com/0014X00002VKCsOQAX", "0014X00002VKCsOQAX")</f>
        <v>0014X00002VKCsOQAX</v>
      </c>
      <c r="B873" s="2" t="s">
        <v>1858</v>
      </c>
      <c r="C873" s="2" t="s">
        <v>423</v>
      </c>
      <c r="D873" s="2" t="s">
        <v>2</v>
      </c>
      <c r="E873" s="2">
        <v>46</v>
      </c>
      <c r="F873" s="2">
        <v>0</v>
      </c>
      <c r="G873" s="2">
        <v>3</v>
      </c>
      <c r="H873" s="2">
        <v>10000</v>
      </c>
      <c r="I873" s="2">
        <v>110</v>
      </c>
      <c r="J873" s="2" t="s">
        <v>1779</v>
      </c>
      <c r="K873" s="2">
        <v>38</v>
      </c>
      <c r="L873" s="2">
        <v>15</v>
      </c>
      <c r="M873" s="2">
        <v>0</v>
      </c>
      <c r="N873" s="2">
        <v>8</v>
      </c>
      <c r="O873" s="2">
        <v>5</v>
      </c>
      <c r="P873" s="2">
        <v>10</v>
      </c>
      <c r="Q873" s="2" t="s">
        <v>1859</v>
      </c>
      <c r="R873" s="2" t="s">
        <v>1860</v>
      </c>
      <c r="S873" s="4">
        <v>44837</v>
      </c>
    </row>
    <row r="874" spans="1:19" ht="12.5" x14ac:dyDescent="0.25">
      <c r="A874" s="14" t="str">
        <f>HYPERLINK("https://gerandofalcoes.my.salesforce.com/0014X00002VKCuuQAH", "0014X00002VKCuuQAH")</f>
        <v>0014X00002VKCuuQAH</v>
      </c>
      <c r="B874" s="2" t="s">
        <v>2933</v>
      </c>
      <c r="C874" s="2" t="s">
        <v>423</v>
      </c>
      <c r="D874" s="2" t="s">
        <v>2</v>
      </c>
      <c r="E874" s="2">
        <v>6</v>
      </c>
      <c r="F874" s="2">
        <v>5</v>
      </c>
      <c r="G874" s="2">
        <v>5</v>
      </c>
      <c r="H874" s="2">
        <v>0</v>
      </c>
      <c r="I874" s="2">
        <v>220</v>
      </c>
      <c r="J874" s="2" t="s">
        <v>1779</v>
      </c>
      <c r="K874" s="2">
        <v>37</v>
      </c>
      <c r="L874" s="2">
        <v>10</v>
      </c>
      <c r="M874" s="2">
        <v>5</v>
      </c>
      <c r="N874" s="2">
        <v>10</v>
      </c>
      <c r="O874" s="2">
        <v>0</v>
      </c>
      <c r="P874" s="2">
        <v>12</v>
      </c>
      <c r="Q874" s="2" t="s">
        <v>2934</v>
      </c>
      <c r="R874" s="2" t="s">
        <v>2934</v>
      </c>
      <c r="S874" s="4">
        <v>44837</v>
      </c>
    </row>
    <row r="875" spans="1:19" ht="12.5" x14ac:dyDescent="0.25">
      <c r="A875" s="14" t="str">
        <f>HYPERLINK("https://gerandofalcoes.my.salesforce.com/0014X00002VKCv6QAH", "0014X00002VKCv6QAH")</f>
        <v>0014X00002VKCv6QAH</v>
      </c>
      <c r="B875" s="2" t="s">
        <v>2941</v>
      </c>
      <c r="C875" s="2" t="s">
        <v>423</v>
      </c>
      <c r="D875" s="2" t="s">
        <v>2</v>
      </c>
      <c r="E875" s="2">
        <v>29</v>
      </c>
      <c r="F875" s="2">
        <v>0</v>
      </c>
      <c r="G875" s="2">
        <v>0</v>
      </c>
      <c r="H875" s="2">
        <v>0</v>
      </c>
      <c r="I875" s="2">
        <v>44</v>
      </c>
      <c r="J875" s="2" t="s">
        <v>1779</v>
      </c>
      <c r="K875" s="2">
        <v>20</v>
      </c>
      <c r="L875" s="2">
        <v>15</v>
      </c>
      <c r="M875" s="2">
        <v>0</v>
      </c>
      <c r="N875" s="2">
        <v>0</v>
      </c>
      <c r="O875" s="2">
        <v>0</v>
      </c>
      <c r="P875" s="2">
        <v>5</v>
      </c>
      <c r="Q875" s="2" t="s">
        <v>2942</v>
      </c>
      <c r="R875" s="2" t="s">
        <v>2943</v>
      </c>
      <c r="S875" s="4">
        <v>44837</v>
      </c>
    </row>
    <row r="876" spans="1:19" ht="12.5" x14ac:dyDescent="0.25">
      <c r="A876" s="14" t="str">
        <f>HYPERLINK("https://gerandofalcoes.my.salesforce.com/0014P00003AN2h4QAD", "0014P00003AN2h4QAD")</f>
        <v>0014P00003AN2h4QAD</v>
      </c>
      <c r="B876" s="2" t="s">
        <v>1698</v>
      </c>
      <c r="C876" s="2" t="s">
        <v>423</v>
      </c>
      <c r="D876" s="2" t="s">
        <v>2</v>
      </c>
      <c r="E876" s="2">
        <v>84.3</v>
      </c>
      <c r="F876" s="2">
        <v>10</v>
      </c>
      <c r="G876" s="2">
        <v>5</v>
      </c>
      <c r="H876" s="2">
        <v>450000</v>
      </c>
      <c r="I876" s="2">
        <v>106</v>
      </c>
      <c r="J876" s="2" t="s">
        <v>1650</v>
      </c>
      <c r="K876" s="2">
        <v>75</v>
      </c>
      <c r="L876" s="2">
        <v>25</v>
      </c>
      <c r="M876" s="2">
        <v>10</v>
      </c>
      <c r="N876" s="2">
        <v>10</v>
      </c>
      <c r="O876" s="2">
        <v>20</v>
      </c>
      <c r="P876" s="2">
        <v>10</v>
      </c>
      <c r="Q876" s="2" t="s">
        <v>595</v>
      </c>
      <c r="R876" s="2" t="s">
        <v>595</v>
      </c>
      <c r="S876" s="4">
        <v>44837</v>
      </c>
    </row>
    <row r="877" spans="1:19" ht="12.5" x14ac:dyDescent="0.25">
      <c r="A877" s="14" t="str">
        <f>HYPERLINK("https://gerandofalcoes.my.salesforce.com/0014P00003AN2h5QAD", "0014P00003AN2h5QAD")</f>
        <v>0014P00003AN2h5QAD</v>
      </c>
      <c r="B877" s="2" t="s">
        <v>1660</v>
      </c>
      <c r="C877" s="2" t="s">
        <v>423</v>
      </c>
      <c r="D877" s="2" t="s">
        <v>27</v>
      </c>
      <c r="E877" s="2">
        <v>95</v>
      </c>
      <c r="F877" s="2">
        <v>25</v>
      </c>
      <c r="G877" s="2">
        <v>3</v>
      </c>
      <c r="H877" s="2">
        <v>1106859.57</v>
      </c>
      <c r="I877" s="2">
        <v>164</v>
      </c>
      <c r="J877" s="2" t="s">
        <v>1654</v>
      </c>
      <c r="K877" s="2">
        <v>87</v>
      </c>
      <c r="L877" s="2">
        <v>30</v>
      </c>
      <c r="M877" s="2">
        <v>12</v>
      </c>
      <c r="N877" s="2">
        <v>8</v>
      </c>
      <c r="O877" s="2">
        <v>25</v>
      </c>
      <c r="P877" s="2">
        <v>12</v>
      </c>
      <c r="Q877" s="2" t="s">
        <v>54</v>
      </c>
      <c r="R877" s="2" t="s">
        <v>54</v>
      </c>
      <c r="S877" s="4">
        <v>44837</v>
      </c>
    </row>
    <row r="878" spans="1:19" ht="12.5" x14ac:dyDescent="0.25">
      <c r="A878" s="14" t="str">
        <f>HYPERLINK("https://gerandofalcoes.my.salesforce.com/0014P00003AN2h6QAD", "0014P00003AN2h6QAD")</f>
        <v>0014P00003AN2h6QAD</v>
      </c>
      <c r="B878" s="2" t="s">
        <v>1649</v>
      </c>
      <c r="C878" s="2" t="s">
        <v>423</v>
      </c>
      <c r="D878" s="2" t="s">
        <v>27</v>
      </c>
      <c r="E878" s="2">
        <v>98</v>
      </c>
      <c r="F878" s="2">
        <v>13</v>
      </c>
      <c r="G878" s="2">
        <v>3</v>
      </c>
      <c r="H878" s="2">
        <v>245092.99</v>
      </c>
      <c r="I878" s="2">
        <v>182</v>
      </c>
      <c r="J878" s="2" t="s">
        <v>1650</v>
      </c>
      <c r="K878" s="2">
        <v>77</v>
      </c>
      <c r="L878" s="2">
        <v>30</v>
      </c>
      <c r="M878" s="2">
        <v>12</v>
      </c>
      <c r="N878" s="2">
        <v>8</v>
      </c>
      <c r="O878" s="2">
        <v>15</v>
      </c>
      <c r="P878" s="2">
        <v>12</v>
      </c>
      <c r="Q878" s="2" t="s">
        <v>1651</v>
      </c>
      <c r="R878" s="2" t="s">
        <v>1652</v>
      </c>
      <c r="S878" s="4">
        <v>44837</v>
      </c>
    </row>
    <row r="879" spans="1:19" ht="12.5" x14ac:dyDescent="0.25">
      <c r="A879" s="14" t="str">
        <f>HYPERLINK("https://gerandofalcoes.my.salesforce.com/0014P00003AN2h7QAD", "0014P00003AN2h7QAD")</f>
        <v>0014P00003AN2h7QAD</v>
      </c>
      <c r="B879" s="2" t="s">
        <v>2988</v>
      </c>
      <c r="C879" s="2" t="s">
        <v>1684</v>
      </c>
      <c r="D879" s="2" t="s">
        <v>2</v>
      </c>
      <c r="E879" s="2"/>
      <c r="F879" s="2">
        <v>0</v>
      </c>
      <c r="G879" s="2">
        <v>0</v>
      </c>
      <c r="H879" s="2">
        <v>0</v>
      </c>
      <c r="I879" s="2">
        <v>130</v>
      </c>
      <c r="J879" s="2" t="s">
        <v>1779</v>
      </c>
      <c r="K879" s="2">
        <v>10</v>
      </c>
      <c r="L879" s="2">
        <v>0</v>
      </c>
      <c r="M879" s="2">
        <v>0</v>
      </c>
      <c r="N879" s="2">
        <v>0</v>
      </c>
      <c r="O879" s="2">
        <v>0</v>
      </c>
      <c r="P879" s="2">
        <v>10</v>
      </c>
      <c r="Q879" s="2" t="s">
        <v>2989</v>
      </c>
      <c r="R879" s="2" t="s">
        <v>602</v>
      </c>
      <c r="S879" s="4">
        <v>44837</v>
      </c>
    </row>
    <row r="880" spans="1:19" ht="12.5" x14ac:dyDescent="0.25">
      <c r="A880" s="14" t="str">
        <f>HYPERLINK("https://gerandofalcoes.my.salesforce.com/0014P00003AN6yVQAT", "0014P00003AN6yVQAT")</f>
        <v>0014P00003AN6yVQAT</v>
      </c>
      <c r="B880" s="2" t="s">
        <v>1798</v>
      </c>
      <c r="C880" s="2" t="s">
        <v>423</v>
      </c>
      <c r="D880" s="2" t="s">
        <v>2</v>
      </c>
      <c r="E880" s="2">
        <v>68</v>
      </c>
      <c r="F880" s="2">
        <v>0</v>
      </c>
      <c r="G880" s="2">
        <v>2</v>
      </c>
      <c r="H880" s="2">
        <v>9586512</v>
      </c>
      <c r="I880" s="2">
        <v>151</v>
      </c>
      <c r="J880" s="2" t="s">
        <v>1671</v>
      </c>
      <c r="K880" s="2">
        <v>63</v>
      </c>
      <c r="L880" s="2">
        <v>20</v>
      </c>
      <c r="M880" s="2">
        <v>0</v>
      </c>
      <c r="N880" s="2">
        <v>6</v>
      </c>
      <c r="O880" s="2">
        <v>25</v>
      </c>
      <c r="P880" s="2">
        <v>12</v>
      </c>
      <c r="Q880" s="2" t="s">
        <v>560</v>
      </c>
      <c r="R880" s="2" t="s">
        <v>560</v>
      </c>
      <c r="S880" s="4">
        <v>44837</v>
      </c>
    </row>
    <row r="881" spans="1:19" ht="12.5" x14ac:dyDescent="0.25">
      <c r="A881" s="14" t="str">
        <f>HYPERLINK("https://gerandofalcoes.my.salesforce.com/0014P00003AN72DQAT", "0014P00003AN72DQAT")</f>
        <v>0014P00003AN72DQAT</v>
      </c>
      <c r="B881" s="2" t="s">
        <v>1722</v>
      </c>
      <c r="C881" s="2" t="s">
        <v>423</v>
      </c>
      <c r="D881" s="2" t="s">
        <v>2</v>
      </c>
      <c r="E881" s="2">
        <v>74</v>
      </c>
      <c r="F881" s="2">
        <v>35</v>
      </c>
      <c r="G881" s="2">
        <v>5</v>
      </c>
      <c r="H881" s="2">
        <v>1000000</v>
      </c>
      <c r="I881" s="2">
        <v>506</v>
      </c>
      <c r="J881" s="2" t="s">
        <v>1654</v>
      </c>
      <c r="K881" s="2">
        <v>90</v>
      </c>
      <c r="L881" s="2">
        <v>20</v>
      </c>
      <c r="M881" s="2">
        <v>15</v>
      </c>
      <c r="N881" s="2">
        <v>10</v>
      </c>
      <c r="O881" s="2">
        <v>25</v>
      </c>
      <c r="P881" s="2">
        <v>20</v>
      </c>
      <c r="Q881" s="2" t="s">
        <v>565</v>
      </c>
      <c r="R881" s="2" t="s">
        <v>565</v>
      </c>
      <c r="S881" s="4">
        <v>44837</v>
      </c>
    </row>
    <row r="882" spans="1:19" ht="12.5" x14ac:dyDescent="0.25">
      <c r="A882" s="14" t="str">
        <f>HYPERLINK("https://gerandofalcoes.my.salesforce.com/0014P00003AN76yQAD", "0014P00003AN76yQAD")</f>
        <v>0014P00003AN76yQAD</v>
      </c>
      <c r="B882" s="2" t="s">
        <v>49</v>
      </c>
      <c r="C882" s="2" t="s">
        <v>423</v>
      </c>
      <c r="D882" s="2" t="s">
        <v>27</v>
      </c>
      <c r="E882" s="2">
        <v>68.069999999999993</v>
      </c>
      <c r="F882" s="2">
        <v>6</v>
      </c>
      <c r="G882" s="2">
        <v>2</v>
      </c>
      <c r="H882" s="2">
        <v>80000</v>
      </c>
      <c r="I882" s="2">
        <v>80</v>
      </c>
      <c r="J882" s="2" t="s">
        <v>1671</v>
      </c>
      <c r="K882" s="2">
        <v>56</v>
      </c>
      <c r="L882" s="2">
        <v>20</v>
      </c>
      <c r="M882" s="2">
        <v>10</v>
      </c>
      <c r="N882" s="2">
        <v>6</v>
      </c>
      <c r="O882" s="2">
        <v>10</v>
      </c>
      <c r="P882" s="2">
        <v>10</v>
      </c>
      <c r="Q882" s="2" t="s">
        <v>1716</v>
      </c>
      <c r="R882" s="2" t="s">
        <v>1716</v>
      </c>
      <c r="S882" s="4">
        <v>44837</v>
      </c>
    </row>
    <row r="883" spans="1:19" ht="12.5" x14ac:dyDescent="0.25">
      <c r="A883" s="14" t="str">
        <f>HYPERLINK("https://gerandofalcoes.my.salesforce.com/0014P00003ERUfsQAH", "0014P00003ERUfsQAH")</f>
        <v>0014P00003ERUfsQAH</v>
      </c>
      <c r="B883" s="2" t="s">
        <v>1668</v>
      </c>
      <c r="C883" s="2" t="s">
        <v>423</v>
      </c>
      <c r="D883" s="2" t="s">
        <v>27</v>
      </c>
      <c r="E883" s="2">
        <v>91</v>
      </c>
      <c r="F883" s="2">
        <v>30</v>
      </c>
      <c r="G883" s="2">
        <v>4</v>
      </c>
      <c r="H883" s="2">
        <v>155230.70000000001</v>
      </c>
      <c r="I883" s="2">
        <v>782</v>
      </c>
      <c r="J883" s="2" t="s">
        <v>1654</v>
      </c>
      <c r="K883" s="2">
        <v>87</v>
      </c>
      <c r="L883" s="2">
        <v>30</v>
      </c>
      <c r="M883" s="2">
        <v>12</v>
      </c>
      <c r="N883" s="2">
        <v>10</v>
      </c>
      <c r="O883" s="2">
        <v>15</v>
      </c>
      <c r="P883" s="2">
        <v>20</v>
      </c>
      <c r="Q883" s="2" t="s">
        <v>73</v>
      </c>
      <c r="R883" s="2" t="s">
        <v>73</v>
      </c>
      <c r="S883" s="4">
        <v>44837</v>
      </c>
    </row>
    <row r="884" spans="1:19" ht="12.5" x14ac:dyDescent="0.25">
      <c r="A884" s="14" t="str">
        <f>HYPERLINK("https://gerandofalcoes.my.salesforce.com/0014P00003ERakHQAT", "0014P00003ERakHQAT")</f>
        <v>0014P00003ERakHQAT</v>
      </c>
      <c r="B884" s="2" t="s">
        <v>2983</v>
      </c>
      <c r="C884" s="2" t="s">
        <v>1684</v>
      </c>
      <c r="D884" s="2" t="s">
        <v>2</v>
      </c>
      <c r="E884" s="2"/>
      <c r="F884" s="2">
        <v>0</v>
      </c>
      <c r="G884" s="2">
        <v>0</v>
      </c>
      <c r="H884" s="2">
        <v>0</v>
      </c>
      <c r="I884" s="2">
        <v>300</v>
      </c>
      <c r="J884" s="2" t="s">
        <v>1779</v>
      </c>
      <c r="K884" s="2">
        <v>15</v>
      </c>
      <c r="L884" s="2">
        <v>0</v>
      </c>
      <c r="M884" s="2">
        <v>0</v>
      </c>
      <c r="N884" s="2">
        <v>0</v>
      </c>
      <c r="O884" s="2">
        <v>0</v>
      </c>
      <c r="P884" s="2">
        <v>15</v>
      </c>
      <c r="Q884" s="2" t="s">
        <v>2984</v>
      </c>
      <c r="R884" s="2" t="s">
        <v>2984</v>
      </c>
      <c r="S884" s="4">
        <v>44837</v>
      </c>
    </row>
    <row r="885" spans="1:19" ht="12.5" x14ac:dyDescent="0.25">
      <c r="A885" s="14" t="str">
        <f>HYPERLINK("https://gerandofalcoes.my.salesforce.com/0014P00003ERavoQAD", "0014P00003ERavoQAD")</f>
        <v>0014P00003ERavoQAD</v>
      </c>
      <c r="B885" s="2" t="s">
        <v>77</v>
      </c>
      <c r="C885" s="2" t="s">
        <v>423</v>
      </c>
      <c r="D885" s="2" t="s">
        <v>27</v>
      </c>
      <c r="E885" s="2">
        <v>86</v>
      </c>
      <c r="F885" s="2">
        <v>5</v>
      </c>
      <c r="G885" s="2">
        <v>4</v>
      </c>
      <c r="H885" s="2">
        <v>275378.40000000002</v>
      </c>
      <c r="I885" s="2">
        <v>184</v>
      </c>
      <c r="J885" s="2" t="s">
        <v>1650</v>
      </c>
      <c r="K885" s="2">
        <v>67</v>
      </c>
      <c r="L885" s="2">
        <v>25</v>
      </c>
      <c r="M885" s="2">
        <v>5</v>
      </c>
      <c r="N885" s="2">
        <v>10</v>
      </c>
      <c r="O885" s="2">
        <v>15</v>
      </c>
      <c r="P885" s="2">
        <v>12</v>
      </c>
      <c r="Q885" s="2" t="s">
        <v>78</v>
      </c>
      <c r="R885" s="2" t="s">
        <v>78</v>
      </c>
      <c r="S885" s="4">
        <v>44837</v>
      </c>
    </row>
    <row r="886" spans="1:19" ht="12.5" x14ac:dyDescent="0.25">
      <c r="A886" s="14" t="str">
        <f>HYPERLINK("https://gerandofalcoes.my.salesforce.com/0014P00003MjNTIQA3", "0014P00003MjNTIQA3")</f>
        <v>0014P00003MjNTIQA3</v>
      </c>
      <c r="B886" s="2" t="s">
        <v>2976</v>
      </c>
      <c r="C886" s="2" t="s">
        <v>423</v>
      </c>
      <c r="D886" s="2" t="s">
        <v>66</v>
      </c>
      <c r="E886" s="2">
        <v>0</v>
      </c>
      <c r="F886" s="2">
        <v>10</v>
      </c>
      <c r="G886" s="2">
        <v>0</v>
      </c>
      <c r="H886" s="2">
        <v>0</v>
      </c>
      <c r="I886" s="2">
        <v>0</v>
      </c>
      <c r="J886" s="2" t="s">
        <v>1779</v>
      </c>
      <c r="K886" s="2">
        <v>10</v>
      </c>
      <c r="L886" s="2">
        <v>0</v>
      </c>
      <c r="M886" s="2">
        <v>10</v>
      </c>
      <c r="N886" s="2">
        <v>0</v>
      </c>
      <c r="O886" s="2">
        <v>0</v>
      </c>
      <c r="P886" s="2">
        <v>0</v>
      </c>
      <c r="Q886" s="2" t="s">
        <v>862</v>
      </c>
      <c r="R886" s="2" t="s">
        <v>862</v>
      </c>
      <c r="S886" s="4">
        <v>44837</v>
      </c>
    </row>
    <row r="887" spans="1:19" ht="12.5" x14ac:dyDescent="0.25">
      <c r="A887" s="14" t="str">
        <f>HYPERLINK("https://gerandofalcoes.my.salesforce.com/0014P00003MjOsqQAF", "0014P00003MjOsqQAF")</f>
        <v>0014P00003MjOsqQAF</v>
      </c>
      <c r="B887" s="2" t="s">
        <v>2977</v>
      </c>
      <c r="C887" s="2" t="s">
        <v>1684</v>
      </c>
      <c r="D887" s="2" t="s">
        <v>66</v>
      </c>
      <c r="E887" s="2">
        <v>0</v>
      </c>
      <c r="F887" s="2">
        <v>6</v>
      </c>
      <c r="G887" s="2">
        <v>1</v>
      </c>
      <c r="H887" s="2">
        <v>0</v>
      </c>
      <c r="I887" s="2">
        <v>0</v>
      </c>
      <c r="J887" s="2" t="s">
        <v>1779</v>
      </c>
      <c r="K887" s="2">
        <v>14</v>
      </c>
      <c r="L887" s="2">
        <v>0</v>
      </c>
      <c r="M887" s="2">
        <v>10</v>
      </c>
      <c r="N887" s="2">
        <v>4</v>
      </c>
      <c r="O887" s="2">
        <v>0</v>
      </c>
      <c r="P887" s="2">
        <v>0</v>
      </c>
      <c r="Q887" s="2" t="s">
        <v>71</v>
      </c>
      <c r="R887" s="2" t="s">
        <v>870</v>
      </c>
      <c r="S887" s="4">
        <v>44837</v>
      </c>
    </row>
    <row r="888" spans="1:19" ht="12.5" x14ac:dyDescent="0.25">
      <c r="A888" s="14" t="str">
        <f>HYPERLINK("https://gerandofalcoes.my.salesforce.com/0014P00003MjR9oQAF", "0014P00003MjR9oQAF")</f>
        <v>0014P00003MjR9oQAF</v>
      </c>
      <c r="B888" s="2" t="s">
        <v>2978</v>
      </c>
      <c r="C888" s="2" t="s">
        <v>423</v>
      </c>
      <c r="D888" s="2" t="s">
        <v>66</v>
      </c>
      <c r="E888" s="2">
        <v>0</v>
      </c>
      <c r="F888" s="2">
        <v>23</v>
      </c>
      <c r="G888" s="2">
        <v>1</v>
      </c>
      <c r="H888" s="2">
        <v>0</v>
      </c>
      <c r="I888" s="2">
        <v>0</v>
      </c>
      <c r="J888" s="2" t="s">
        <v>1779</v>
      </c>
      <c r="K888" s="2">
        <v>16</v>
      </c>
      <c r="L888" s="2">
        <v>0</v>
      </c>
      <c r="M888" s="2">
        <v>12</v>
      </c>
      <c r="N888" s="2">
        <v>4</v>
      </c>
      <c r="O888" s="2">
        <v>0</v>
      </c>
      <c r="P888" s="2">
        <v>0</v>
      </c>
      <c r="Q888" s="2" t="s">
        <v>67</v>
      </c>
      <c r="R888" s="2" t="s">
        <v>2979</v>
      </c>
      <c r="S888" s="4">
        <v>44837</v>
      </c>
    </row>
    <row r="889" spans="1:19" ht="12.5" x14ac:dyDescent="0.25">
      <c r="A889" s="14" t="str">
        <f>HYPERLINK("https://gerandofalcoes.my.salesforce.com/0014X00002YggltQAB", "0014X00002YggltQAB")</f>
        <v>0014X00002YggltQAB</v>
      </c>
      <c r="B889" s="2" t="s">
        <v>3142</v>
      </c>
      <c r="C889" s="2" t="s">
        <v>423</v>
      </c>
      <c r="D889" s="2" t="s">
        <v>2</v>
      </c>
      <c r="E889" s="2"/>
      <c r="F889" s="2">
        <v>0</v>
      </c>
      <c r="G889" s="2">
        <v>5</v>
      </c>
      <c r="H889" s="2">
        <v>3000</v>
      </c>
      <c r="I889" s="2">
        <v>10</v>
      </c>
      <c r="J889" s="2"/>
      <c r="K889" s="2">
        <v>20</v>
      </c>
      <c r="L889" s="2">
        <v>0</v>
      </c>
      <c r="M889" s="2">
        <v>0</v>
      </c>
      <c r="N889" s="2">
        <v>10</v>
      </c>
      <c r="O889" s="2">
        <v>5</v>
      </c>
      <c r="P889" s="2">
        <v>5</v>
      </c>
      <c r="Q889" s="2" t="s">
        <v>3143</v>
      </c>
      <c r="R889" s="2" t="s">
        <v>3143</v>
      </c>
      <c r="S889" s="4">
        <v>44949</v>
      </c>
    </row>
    <row r="890" spans="1:19" ht="12.5" x14ac:dyDescent="0.25">
      <c r="A890" s="14" t="str">
        <f>HYPERLINK("https://gerandofalcoes.my.salesforce.com/0014X00002YggooQAB", "0014X00002YggooQAB")</f>
        <v>0014X00002YggooQAB</v>
      </c>
      <c r="B890" s="2" t="s">
        <v>3047</v>
      </c>
      <c r="C890" s="2" t="s">
        <v>423</v>
      </c>
      <c r="D890" s="2" t="s">
        <v>2</v>
      </c>
      <c r="E890" s="2"/>
      <c r="F890" s="2">
        <v>1</v>
      </c>
      <c r="G890" s="2">
        <v>3</v>
      </c>
      <c r="H890" s="2">
        <v>19000</v>
      </c>
      <c r="I890" s="2">
        <v>30</v>
      </c>
      <c r="J890" s="2"/>
      <c r="K890" s="2">
        <v>23</v>
      </c>
      <c r="L890" s="2">
        <v>0</v>
      </c>
      <c r="M890" s="2">
        <v>5</v>
      </c>
      <c r="N890" s="2">
        <v>8</v>
      </c>
      <c r="O890" s="2">
        <v>5</v>
      </c>
      <c r="P890" s="2">
        <v>5</v>
      </c>
      <c r="Q890" s="2" t="s">
        <v>3048</v>
      </c>
      <c r="R890" s="2" t="s">
        <v>3049</v>
      </c>
      <c r="S890" s="4">
        <v>44946</v>
      </c>
    </row>
    <row r="891" spans="1:19" ht="12.5" x14ac:dyDescent="0.25">
      <c r="A891" s="14" t="str">
        <f>HYPERLINK("https://gerandofalcoes.my.salesforce.com/0014X00002YggpbQAB", "0014X00002YggpbQAB")</f>
        <v>0014X00002YggpbQAB</v>
      </c>
      <c r="B891" s="2" t="s">
        <v>3038</v>
      </c>
      <c r="C891" s="2" t="s">
        <v>423</v>
      </c>
      <c r="D891" s="2" t="s">
        <v>2</v>
      </c>
      <c r="E891" s="2"/>
      <c r="F891" s="2">
        <v>10</v>
      </c>
      <c r="G891" s="2">
        <v>2</v>
      </c>
      <c r="H891" s="2">
        <v>15000</v>
      </c>
      <c r="I891" s="2">
        <v>240</v>
      </c>
      <c r="J891" s="2"/>
      <c r="K891" s="2">
        <v>33</v>
      </c>
      <c r="L891" s="2">
        <v>0</v>
      </c>
      <c r="M891" s="2">
        <v>10</v>
      </c>
      <c r="N891" s="2">
        <v>6</v>
      </c>
      <c r="O891" s="2">
        <v>5</v>
      </c>
      <c r="P891" s="2">
        <v>12</v>
      </c>
      <c r="Q891" s="2" t="s">
        <v>3039</v>
      </c>
      <c r="R891" s="2" t="s">
        <v>3039</v>
      </c>
      <c r="S891" s="4">
        <v>44945</v>
      </c>
    </row>
    <row r="892" spans="1:19" ht="12.5" x14ac:dyDescent="0.25">
      <c r="A892" s="14" t="str">
        <f>HYPERLINK("https://gerandofalcoes.my.salesforce.com/0014X00002YggmBQAR", "0014X00002YggmBQAR")</f>
        <v>0014X00002YggmBQAR</v>
      </c>
      <c r="B892" s="2" t="s">
        <v>3125</v>
      </c>
      <c r="C892" s="2" t="s">
        <v>423</v>
      </c>
      <c r="D892" s="2" t="s">
        <v>2</v>
      </c>
      <c r="E892" s="2"/>
      <c r="F892" s="2">
        <v>5</v>
      </c>
      <c r="G892" s="2">
        <v>8</v>
      </c>
      <c r="H892" s="2">
        <v>35000</v>
      </c>
      <c r="I892" s="2">
        <v>120</v>
      </c>
      <c r="J892" s="2"/>
      <c r="K892" s="2">
        <v>35</v>
      </c>
      <c r="L892" s="2">
        <v>0</v>
      </c>
      <c r="M892" s="2">
        <v>5</v>
      </c>
      <c r="N892" s="2">
        <v>10</v>
      </c>
      <c r="O892" s="2">
        <v>10</v>
      </c>
      <c r="P892" s="2">
        <v>10</v>
      </c>
      <c r="Q892" s="2" t="s">
        <v>3126</v>
      </c>
      <c r="R892" s="2" t="s">
        <v>3127</v>
      </c>
      <c r="S892" s="4">
        <v>44949</v>
      </c>
    </row>
    <row r="893" spans="1:19" ht="12.5" x14ac:dyDescent="0.25">
      <c r="A893" s="14" t="str">
        <f>HYPERLINK("https://gerandofalcoes.my.salesforce.com/0014X00002Yggj9QAB", "0014X00002Yggj9QAB")</f>
        <v>0014X00002Yggj9QAB</v>
      </c>
      <c r="B893" s="2" t="s">
        <v>3090</v>
      </c>
      <c r="C893" s="2" t="s">
        <v>423</v>
      </c>
      <c r="D893" s="2" t="s">
        <v>2</v>
      </c>
      <c r="E893" s="2"/>
      <c r="F893" s="2">
        <v>30</v>
      </c>
      <c r="G893" s="2">
        <v>3</v>
      </c>
      <c r="H893" s="2">
        <v>1200000</v>
      </c>
      <c r="I893" s="2">
        <v>0</v>
      </c>
      <c r="J893" s="2"/>
      <c r="K893" s="2">
        <v>45</v>
      </c>
      <c r="L893" s="2">
        <v>0</v>
      </c>
      <c r="M893" s="2">
        <v>12</v>
      </c>
      <c r="N893" s="2">
        <v>8</v>
      </c>
      <c r="O893" s="2">
        <v>25</v>
      </c>
      <c r="P893" s="2">
        <v>0</v>
      </c>
      <c r="Q893" s="2" t="s">
        <v>3091</v>
      </c>
      <c r="R893" s="2" t="s">
        <v>3092</v>
      </c>
      <c r="S893" s="4">
        <v>44946</v>
      </c>
    </row>
    <row r="894" spans="1:19" ht="12.5" x14ac:dyDescent="0.25">
      <c r="A894" s="14" t="str">
        <f>HYPERLINK("https://gerandofalcoes.my.salesforce.com/0014X00002Yggr1QAB", "0014X00002Yggr1QAB")</f>
        <v>0014X00002Yggr1QAB</v>
      </c>
      <c r="B894" s="2" t="s">
        <v>3002</v>
      </c>
      <c r="C894" s="2" t="s">
        <v>423</v>
      </c>
      <c r="D894" s="2" t="s">
        <v>2</v>
      </c>
      <c r="E894" s="2"/>
      <c r="F894" s="2">
        <v>24</v>
      </c>
      <c r="G894" s="2">
        <v>5</v>
      </c>
      <c r="H894" s="2">
        <v>35000</v>
      </c>
      <c r="I894" s="2">
        <v>85</v>
      </c>
      <c r="J894" s="2"/>
      <c r="K894" s="2">
        <v>42</v>
      </c>
      <c r="L894" s="2">
        <v>0</v>
      </c>
      <c r="M894" s="2">
        <v>12</v>
      </c>
      <c r="N894" s="2">
        <v>10</v>
      </c>
      <c r="O894" s="2">
        <v>10</v>
      </c>
      <c r="P894" s="2">
        <v>10</v>
      </c>
      <c r="Q894" s="2" t="s">
        <v>3003</v>
      </c>
      <c r="R894" s="2" t="s">
        <v>3004</v>
      </c>
      <c r="S894" s="4">
        <v>44944</v>
      </c>
    </row>
    <row r="895" spans="1:19" ht="12.5" x14ac:dyDescent="0.25">
      <c r="A895" s="14" t="str">
        <f>HYPERLINK("https://gerandofalcoes.my.salesforce.com/0014X00002YggpOQAR", "0014X00002YggpOQAR")</f>
        <v>0014X00002YggpOQAR</v>
      </c>
      <c r="B895" s="2" t="s">
        <v>3053</v>
      </c>
      <c r="C895" s="2" t="s">
        <v>423</v>
      </c>
      <c r="D895" s="2" t="s">
        <v>2</v>
      </c>
      <c r="E895" s="2"/>
      <c r="F895" s="2">
        <v>34</v>
      </c>
      <c r="G895" s="2">
        <v>2</v>
      </c>
      <c r="H895" s="2">
        <v>343</v>
      </c>
      <c r="I895" s="2">
        <v>64</v>
      </c>
      <c r="J895" s="2"/>
      <c r="K895" s="2">
        <v>31</v>
      </c>
      <c r="L895" s="2">
        <v>0</v>
      </c>
      <c r="M895" s="2">
        <v>15</v>
      </c>
      <c r="N895" s="2">
        <v>6</v>
      </c>
      <c r="O895" s="2">
        <v>5</v>
      </c>
      <c r="P895" s="2">
        <v>5</v>
      </c>
      <c r="Q895" s="2" t="s">
        <v>3054</v>
      </c>
      <c r="R895" s="2" t="s">
        <v>3055</v>
      </c>
      <c r="S895" s="4">
        <v>44946</v>
      </c>
    </row>
    <row r="896" spans="1:19" ht="12.5" x14ac:dyDescent="0.25">
      <c r="A896" s="14" t="str">
        <f>HYPERLINK("https://gerandofalcoes.my.salesforce.com/0014X00002YggkiQAB", "0014X00002YggkiQAB")</f>
        <v>0014X00002YggkiQAB</v>
      </c>
      <c r="B896" s="2" t="s">
        <v>3067</v>
      </c>
      <c r="C896" s="2" t="s">
        <v>423</v>
      </c>
      <c r="D896" s="2" t="s">
        <v>2</v>
      </c>
      <c r="E896" s="2"/>
      <c r="F896" s="2">
        <v>0</v>
      </c>
      <c r="G896" s="2">
        <v>2</v>
      </c>
      <c r="H896" s="2">
        <v>0</v>
      </c>
      <c r="I896" s="2">
        <v>80</v>
      </c>
      <c r="J896" s="2"/>
      <c r="K896" s="2">
        <v>16</v>
      </c>
      <c r="L896" s="2">
        <v>0</v>
      </c>
      <c r="M896" s="2">
        <v>0</v>
      </c>
      <c r="N896" s="2">
        <v>6</v>
      </c>
      <c r="O896" s="2">
        <v>0</v>
      </c>
      <c r="P896" s="2">
        <v>10</v>
      </c>
      <c r="Q896" s="2" t="s">
        <v>3068</v>
      </c>
      <c r="R896" s="2" t="s">
        <v>3068</v>
      </c>
      <c r="S896" s="4">
        <v>44946</v>
      </c>
    </row>
    <row r="897" spans="1:19" ht="12.5" x14ac:dyDescent="0.25">
      <c r="A897" s="14" t="str">
        <f>HYPERLINK("https://gerandofalcoes.my.salesforce.com/0014X00002YggntQAB", "0014X00002YggntQAB")</f>
        <v>0014X00002YggntQAB</v>
      </c>
      <c r="B897" s="2" t="s">
        <v>3109</v>
      </c>
      <c r="C897" s="2" t="s">
        <v>423</v>
      </c>
      <c r="D897" s="2" t="s">
        <v>2</v>
      </c>
      <c r="E897" s="2"/>
      <c r="F897" s="2">
        <v>0</v>
      </c>
      <c r="G897" s="2">
        <v>2</v>
      </c>
      <c r="H897" s="2">
        <v>40000</v>
      </c>
      <c r="I897" s="2">
        <v>0</v>
      </c>
      <c r="J897" s="2"/>
      <c r="K897" s="2">
        <v>16</v>
      </c>
      <c r="L897" s="2">
        <v>0</v>
      </c>
      <c r="M897" s="2">
        <v>0</v>
      </c>
      <c r="N897" s="2">
        <v>6</v>
      </c>
      <c r="O897" s="2">
        <v>10</v>
      </c>
      <c r="P897" s="2">
        <v>0</v>
      </c>
      <c r="Q897" s="2" t="s">
        <v>3110</v>
      </c>
      <c r="R897" s="2" t="s">
        <v>3110</v>
      </c>
      <c r="S897" s="4">
        <v>44948</v>
      </c>
    </row>
    <row r="898" spans="1:19" ht="12.5" x14ac:dyDescent="0.25">
      <c r="A898" s="14" t="str">
        <f>HYPERLINK("https://gerandofalcoes.my.salesforce.com/0014X00002YggmlQAB", "0014X00002YggmlQAB")</f>
        <v>0014X00002YggmlQAB</v>
      </c>
      <c r="B898" s="2" t="s">
        <v>3078</v>
      </c>
      <c r="C898" s="2" t="s">
        <v>423</v>
      </c>
      <c r="D898" s="2" t="s">
        <v>2</v>
      </c>
      <c r="E898" s="2"/>
      <c r="F898" s="2">
        <v>1</v>
      </c>
      <c r="G898" s="2">
        <v>2</v>
      </c>
      <c r="H898" s="2">
        <v>30000</v>
      </c>
      <c r="I898" s="2">
        <v>90</v>
      </c>
      <c r="J898" s="2"/>
      <c r="K898" s="2">
        <v>31</v>
      </c>
      <c r="L898" s="2">
        <v>0</v>
      </c>
      <c r="M898" s="2">
        <v>5</v>
      </c>
      <c r="N898" s="2">
        <v>6</v>
      </c>
      <c r="O898" s="2">
        <v>10</v>
      </c>
      <c r="P898" s="2">
        <v>10</v>
      </c>
      <c r="Q898" s="2" t="s">
        <v>3079</v>
      </c>
      <c r="R898" s="2" t="s">
        <v>3080</v>
      </c>
      <c r="S898" s="4">
        <v>44946</v>
      </c>
    </row>
    <row r="899" spans="1:19" ht="12.5" x14ac:dyDescent="0.25">
      <c r="A899" s="14" t="str">
        <f>HYPERLINK("https://gerandofalcoes.my.salesforce.com/0014X00002YgghgQAB", "0014X00002YgghgQAB")</f>
        <v>0014X00002YgghgQAB</v>
      </c>
      <c r="B899" s="2" t="s">
        <v>3093</v>
      </c>
      <c r="C899" s="2" t="s">
        <v>423</v>
      </c>
      <c r="D899" s="2" t="s">
        <v>2</v>
      </c>
      <c r="E899" s="2"/>
      <c r="F899" s="2">
        <v>0</v>
      </c>
      <c r="G899" s="2">
        <v>10</v>
      </c>
      <c r="H899" s="2">
        <v>5000</v>
      </c>
      <c r="I899" s="2">
        <v>132</v>
      </c>
      <c r="J899" s="2"/>
      <c r="K899" s="2">
        <v>25</v>
      </c>
      <c r="L899" s="2">
        <v>0</v>
      </c>
      <c r="M899" s="2">
        <v>0</v>
      </c>
      <c r="N899" s="2">
        <v>10</v>
      </c>
      <c r="O899" s="2">
        <v>5</v>
      </c>
      <c r="P899" s="2">
        <v>10</v>
      </c>
      <c r="Q899" s="2" t="s">
        <v>3094</v>
      </c>
      <c r="R899" s="2" t="s">
        <v>3095</v>
      </c>
      <c r="S899" s="4">
        <v>44947</v>
      </c>
    </row>
    <row r="900" spans="1:19" ht="12.5" x14ac:dyDescent="0.25">
      <c r="A900" s="14" t="str">
        <f>HYPERLINK("https://gerandofalcoes.my.salesforce.com/0014X00002YgggQQAR", "0014X00002YgggQQAR")</f>
        <v>0014X00002YgggQQAR</v>
      </c>
      <c r="B900" s="2" t="s">
        <v>3111</v>
      </c>
      <c r="C900" s="2" t="s">
        <v>423</v>
      </c>
      <c r="D900" s="2" t="s">
        <v>2</v>
      </c>
      <c r="E900" s="2"/>
      <c r="F900" s="2">
        <v>2</v>
      </c>
      <c r="G900" s="2">
        <v>2</v>
      </c>
      <c r="H900" s="2">
        <v>55000</v>
      </c>
      <c r="I900" s="2">
        <v>20</v>
      </c>
      <c r="J900" s="2"/>
      <c r="K900" s="2">
        <v>26</v>
      </c>
      <c r="L900" s="2">
        <v>0</v>
      </c>
      <c r="M900" s="2">
        <v>5</v>
      </c>
      <c r="N900" s="2">
        <v>6</v>
      </c>
      <c r="O900" s="2">
        <v>10</v>
      </c>
      <c r="P900" s="2">
        <v>5</v>
      </c>
      <c r="Q900" s="2" t="s">
        <v>3112</v>
      </c>
      <c r="R900" s="2" t="s">
        <v>3113</v>
      </c>
      <c r="S900" s="4">
        <v>44949</v>
      </c>
    </row>
    <row r="901" spans="1:19" ht="12.5" x14ac:dyDescent="0.25">
      <c r="A901" s="14" t="str">
        <f>HYPERLINK("https://gerandofalcoes.my.salesforce.com/0014X00002YggjvQAB", "0014X00002YggjvQAB")</f>
        <v>0014X00002YggjvQAB</v>
      </c>
      <c r="B901" s="2" t="s">
        <v>3365</v>
      </c>
      <c r="C901" s="2" t="s">
        <v>423</v>
      </c>
      <c r="D901" s="2" t="s">
        <v>2</v>
      </c>
      <c r="E901" s="2"/>
      <c r="F901" s="2">
        <v>6</v>
      </c>
      <c r="G901" s="2">
        <v>2</v>
      </c>
      <c r="H901" s="2">
        <v>13000</v>
      </c>
      <c r="I901" s="2">
        <v>60</v>
      </c>
      <c r="J901" s="2"/>
      <c r="K901" s="2">
        <v>26</v>
      </c>
      <c r="L901" s="2">
        <v>0</v>
      </c>
      <c r="M901" s="2">
        <v>10</v>
      </c>
      <c r="N901" s="2">
        <v>6</v>
      </c>
      <c r="O901" s="2">
        <v>5</v>
      </c>
      <c r="P901" s="2">
        <v>5</v>
      </c>
      <c r="Q901" s="2" t="s">
        <v>3366</v>
      </c>
      <c r="R901" s="2" t="s">
        <v>3366</v>
      </c>
      <c r="S901" s="4">
        <v>44953</v>
      </c>
    </row>
    <row r="902" spans="1:19" ht="12.5" x14ac:dyDescent="0.25">
      <c r="A902" s="14" t="str">
        <f>HYPERLINK("https://gerandofalcoes.my.salesforce.com/0014X00002YggpCQAR", "0014X00002YggpCQAR")</f>
        <v>0014X00002YggpCQAR</v>
      </c>
      <c r="B902" s="2" t="s">
        <v>3120</v>
      </c>
      <c r="C902" s="2" t="s">
        <v>423</v>
      </c>
      <c r="D902" s="2" t="s">
        <v>2</v>
      </c>
      <c r="E902" s="2"/>
      <c r="F902" s="2">
        <v>0</v>
      </c>
      <c r="G902" s="2">
        <v>10</v>
      </c>
      <c r="H902" s="2">
        <v>1100</v>
      </c>
      <c r="I902" s="2">
        <v>0</v>
      </c>
      <c r="J902" s="2"/>
      <c r="K902" s="2">
        <v>15</v>
      </c>
      <c r="L902" s="2">
        <v>0</v>
      </c>
      <c r="M902" s="2">
        <v>0</v>
      </c>
      <c r="N902" s="2">
        <v>10</v>
      </c>
      <c r="O902" s="2">
        <v>5</v>
      </c>
      <c r="P902" s="2">
        <v>0</v>
      </c>
      <c r="Q902" s="2" t="s">
        <v>3121</v>
      </c>
      <c r="R902" s="2" t="s">
        <v>3121</v>
      </c>
      <c r="S902" s="4">
        <v>44949</v>
      </c>
    </row>
    <row r="903" spans="1:19" ht="12.5" x14ac:dyDescent="0.25">
      <c r="A903" s="14" t="str">
        <f>HYPERLINK("https://gerandofalcoes.my.salesforce.com/0014X00002VKCp2QAH", "0014X00002VKCp2QAH")</f>
        <v>0014X00002VKCp2QAH</v>
      </c>
      <c r="B903" s="2" t="s">
        <v>3828</v>
      </c>
      <c r="C903" s="2" t="s">
        <v>423</v>
      </c>
      <c r="D903" s="2" t="s">
        <v>2</v>
      </c>
      <c r="E903" s="2">
        <v>19</v>
      </c>
      <c r="F903" s="2">
        <v>10</v>
      </c>
      <c r="G903" s="2">
        <v>1</v>
      </c>
      <c r="H903" s="2">
        <v>3300000</v>
      </c>
      <c r="I903" s="2">
        <v>0</v>
      </c>
      <c r="J903" s="2" t="s">
        <v>1671</v>
      </c>
      <c r="K903" s="2">
        <v>49</v>
      </c>
      <c r="L903" s="2">
        <v>10</v>
      </c>
      <c r="M903" s="2">
        <v>10</v>
      </c>
      <c r="N903" s="2">
        <v>4</v>
      </c>
      <c r="O903" s="2">
        <v>25</v>
      </c>
      <c r="P903" s="2">
        <v>0</v>
      </c>
      <c r="Q903" s="2" t="s">
        <v>2917</v>
      </c>
      <c r="R903" s="2" t="s">
        <v>2917</v>
      </c>
      <c r="S903" s="4">
        <v>45015</v>
      </c>
    </row>
    <row r="904" spans="1:19" ht="12.5" x14ac:dyDescent="0.25">
      <c r="A904" s="14" t="str">
        <f>HYPERLINK("https://gerandofalcoes.my.salesforce.com/0014X00002VKCtZQAX", "0014X00002VKCtZQAX")</f>
        <v>0014X00002VKCtZQAX</v>
      </c>
      <c r="B904" s="2" t="s">
        <v>3833</v>
      </c>
      <c r="C904" s="2" t="s">
        <v>423</v>
      </c>
      <c r="D904" s="2" t="s">
        <v>2</v>
      </c>
      <c r="E904" s="2">
        <v>10</v>
      </c>
      <c r="F904" s="2">
        <v>0</v>
      </c>
      <c r="G904" s="2">
        <v>0</v>
      </c>
      <c r="H904" s="2">
        <v>200000000</v>
      </c>
      <c r="I904" s="2">
        <v>150</v>
      </c>
      <c r="J904" s="2" t="s">
        <v>1671</v>
      </c>
      <c r="K904" s="2">
        <v>47</v>
      </c>
      <c r="L904" s="2">
        <v>10</v>
      </c>
      <c r="M904" s="2">
        <v>0</v>
      </c>
      <c r="N904" s="2">
        <v>0</v>
      </c>
      <c r="O904" s="2">
        <v>25</v>
      </c>
      <c r="P904" s="2">
        <v>12</v>
      </c>
      <c r="Q904" s="2" t="s">
        <v>3834</v>
      </c>
      <c r="R904" s="2" t="s">
        <v>3834</v>
      </c>
      <c r="S904" s="4">
        <v>45015</v>
      </c>
    </row>
    <row r="905" spans="1:19" ht="12.5" x14ac:dyDescent="0.25">
      <c r="A905" s="14" t="str">
        <f>HYPERLINK("https://gerandofalcoes.my.salesforce.com/0014X00002YggqdQAB", "0014X00002YggqdQAB")</f>
        <v>0014X00002YggqdQAB</v>
      </c>
      <c r="B905" s="2" t="s">
        <v>3117</v>
      </c>
      <c r="C905" s="2" t="s">
        <v>423</v>
      </c>
      <c r="D905" s="2" t="s">
        <v>2</v>
      </c>
      <c r="E905" s="2"/>
      <c r="F905" s="2">
        <v>1</v>
      </c>
      <c r="G905" s="2">
        <v>3</v>
      </c>
      <c r="H905" s="2">
        <v>1000</v>
      </c>
      <c r="I905" s="2">
        <v>0</v>
      </c>
      <c r="J905" s="2"/>
      <c r="K905" s="2">
        <v>18</v>
      </c>
      <c r="L905" s="2">
        <v>0</v>
      </c>
      <c r="M905" s="2">
        <v>5</v>
      </c>
      <c r="N905" s="2">
        <v>8</v>
      </c>
      <c r="O905" s="2">
        <v>5</v>
      </c>
      <c r="P905" s="2">
        <v>0</v>
      </c>
      <c r="Q905" s="2" t="s">
        <v>3118</v>
      </c>
      <c r="R905" s="2" t="s">
        <v>3119</v>
      </c>
      <c r="S905" s="4">
        <v>44949</v>
      </c>
    </row>
    <row r="906" spans="1:19" ht="12.5" x14ac:dyDescent="0.25">
      <c r="A906" s="14" t="str">
        <f>HYPERLINK("https://gerandofalcoes.my.salesforce.com/0014X00002YggojQAB", "0014X00002YggojQAB")</f>
        <v>0014X00002YggojQAB</v>
      </c>
      <c r="B906" s="2" t="s">
        <v>3136</v>
      </c>
      <c r="C906" s="2" t="s">
        <v>423</v>
      </c>
      <c r="D906" s="2" t="s">
        <v>2</v>
      </c>
      <c r="E906" s="2"/>
      <c r="F906" s="2">
        <v>0</v>
      </c>
      <c r="G906" s="2">
        <v>4</v>
      </c>
      <c r="H906" s="2">
        <v>0</v>
      </c>
      <c r="I906" s="2">
        <v>44</v>
      </c>
      <c r="J906" s="2"/>
      <c r="K906" s="2">
        <v>15</v>
      </c>
      <c r="L906" s="2">
        <v>0</v>
      </c>
      <c r="M906" s="2">
        <v>0</v>
      </c>
      <c r="N906" s="2">
        <v>10</v>
      </c>
      <c r="O906" s="2">
        <v>0</v>
      </c>
      <c r="P906" s="2">
        <v>5</v>
      </c>
      <c r="Q906" s="2" t="s">
        <v>3137</v>
      </c>
      <c r="R906" s="2" t="s">
        <v>3138</v>
      </c>
      <c r="S906" s="4">
        <v>44949</v>
      </c>
    </row>
    <row r="907" spans="1:19" ht="12.5" x14ac:dyDescent="0.25">
      <c r="A907" s="14" t="str">
        <f>HYPERLINK("https://gerandofalcoes.my.salesforce.com/0014X00002YggleQAB", "0014X00002YggleQAB")</f>
        <v>0014X00002YggleQAB</v>
      </c>
      <c r="B907" s="2" t="s">
        <v>3083</v>
      </c>
      <c r="C907" s="2" t="s">
        <v>423</v>
      </c>
      <c r="D907" s="2" t="s">
        <v>2</v>
      </c>
      <c r="E907" s="2"/>
      <c r="F907" s="2">
        <v>0</v>
      </c>
      <c r="G907" s="2">
        <v>2</v>
      </c>
      <c r="H907" s="2">
        <v>50000</v>
      </c>
      <c r="I907" s="2">
        <v>50</v>
      </c>
      <c r="J907" s="2"/>
      <c r="K907" s="2">
        <v>21</v>
      </c>
      <c r="L907" s="2">
        <v>0</v>
      </c>
      <c r="M907" s="2">
        <v>0</v>
      </c>
      <c r="N907" s="2">
        <v>6</v>
      </c>
      <c r="O907" s="2">
        <v>10</v>
      </c>
      <c r="P907" s="2">
        <v>5</v>
      </c>
      <c r="Q907" s="2" t="s">
        <v>3084</v>
      </c>
      <c r="R907" s="2" t="s">
        <v>3084</v>
      </c>
      <c r="S907" s="4">
        <v>44946</v>
      </c>
    </row>
    <row r="908" spans="1:19" ht="12.5" x14ac:dyDescent="0.25">
      <c r="A908" s="14" t="str">
        <f>HYPERLINK("https://gerandofalcoes.my.salesforce.com/0014X00002YggkDQAR", "0014X00002YggkDQAR")</f>
        <v>0014X00002YggkDQAR</v>
      </c>
      <c r="B908" s="2" t="s">
        <v>3023</v>
      </c>
      <c r="C908" s="2" t="s">
        <v>423</v>
      </c>
      <c r="D908" s="2" t="s">
        <v>2</v>
      </c>
      <c r="E908" s="2"/>
      <c r="F908" s="2">
        <v>0</v>
      </c>
      <c r="G908" s="2">
        <v>4</v>
      </c>
      <c r="H908" s="2">
        <v>78654</v>
      </c>
      <c r="I908" s="2">
        <v>0</v>
      </c>
      <c r="J908" s="2"/>
      <c r="K908" s="2">
        <v>20</v>
      </c>
      <c r="L908" s="2">
        <v>0</v>
      </c>
      <c r="M908" s="2">
        <v>0</v>
      </c>
      <c r="N908" s="2">
        <v>10</v>
      </c>
      <c r="O908" s="2">
        <v>10</v>
      </c>
      <c r="P908" s="2">
        <v>0</v>
      </c>
      <c r="Q908" s="2" t="s">
        <v>3024</v>
      </c>
      <c r="R908" s="2" t="s">
        <v>3025</v>
      </c>
      <c r="S908" s="4">
        <v>44945</v>
      </c>
    </row>
    <row r="909" spans="1:19" ht="12.5" x14ac:dyDescent="0.25">
      <c r="A909" s="14" t="str">
        <f>HYPERLINK("https://gerandofalcoes.my.salesforce.com/0014X00002YggoVQAR", "0014X00002YggoVQAR")</f>
        <v>0014X00002YggoVQAR</v>
      </c>
      <c r="B909" s="2" t="s">
        <v>3101</v>
      </c>
      <c r="C909" s="2" t="s">
        <v>423</v>
      </c>
      <c r="D909" s="2" t="s">
        <v>2</v>
      </c>
      <c r="E909" s="2"/>
      <c r="F909" s="2">
        <v>0</v>
      </c>
      <c r="G909" s="2">
        <v>4</v>
      </c>
      <c r="H909" s="2">
        <v>300</v>
      </c>
      <c r="I909" s="2">
        <v>30</v>
      </c>
      <c r="J909" s="2"/>
      <c r="K909" s="2">
        <v>20</v>
      </c>
      <c r="L909" s="2">
        <v>0</v>
      </c>
      <c r="M909" s="2">
        <v>0</v>
      </c>
      <c r="N909" s="2">
        <v>10</v>
      </c>
      <c r="O909" s="2">
        <v>5</v>
      </c>
      <c r="P909" s="2">
        <v>5</v>
      </c>
      <c r="Q909" s="2" t="s">
        <v>3102</v>
      </c>
      <c r="R909" s="2" t="s">
        <v>3102</v>
      </c>
      <c r="S909" s="4">
        <v>44948</v>
      </c>
    </row>
    <row r="910" spans="1:19" ht="12.5" x14ac:dyDescent="0.25">
      <c r="A910" s="14" t="str">
        <f>HYPERLINK("https://gerandofalcoes.my.salesforce.com/0014X00002YggjeQAB", "0014X00002YggjeQAB")</f>
        <v>0014X00002YggjeQAB</v>
      </c>
      <c r="B910" s="2" t="s">
        <v>3098</v>
      </c>
      <c r="C910" s="2" t="s">
        <v>423</v>
      </c>
      <c r="D910" s="2" t="s">
        <v>2</v>
      </c>
      <c r="E910" s="2"/>
      <c r="F910" s="2">
        <v>5</v>
      </c>
      <c r="G910" s="2">
        <v>3</v>
      </c>
      <c r="H910" s="2">
        <v>26000</v>
      </c>
      <c r="I910" s="2">
        <v>150</v>
      </c>
      <c r="J910" s="2"/>
      <c r="K910" s="2">
        <v>35</v>
      </c>
      <c r="L910" s="2">
        <v>0</v>
      </c>
      <c r="M910" s="2">
        <v>5</v>
      </c>
      <c r="N910" s="2">
        <v>8</v>
      </c>
      <c r="O910" s="2">
        <v>10</v>
      </c>
      <c r="P910" s="2">
        <v>12</v>
      </c>
      <c r="Q910" s="2" t="s">
        <v>3099</v>
      </c>
      <c r="R910" s="2" t="s">
        <v>3100</v>
      </c>
      <c r="S910" s="4">
        <v>44948</v>
      </c>
    </row>
    <row r="911" spans="1:19" ht="12.5" x14ac:dyDescent="0.25">
      <c r="A911" s="14" t="str">
        <f>HYPERLINK("https://gerandofalcoes.my.salesforce.com/0014X00002YgglqQAB", "0014X00002YgglqQAB")</f>
        <v>0014X00002YgglqQAB</v>
      </c>
      <c r="B911" s="2" t="s">
        <v>3062</v>
      </c>
      <c r="C911" s="2" t="s">
        <v>423</v>
      </c>
      <c r="D911" s="2" t="s">
        <v>2</v>
      </c>
      <c r="E911" s="2"/>
      <c r="F911" s="2">
        <v>0</v>
      </c>
      <c r="G911" s="2">
        <v>3</v>
      </c>
      <c r="H911" s="2">
        <v>200</v>
      </c>
      <c r="I911" s="2">
        <v>0</v>
      </c>
      <c r="J911" s="2"/>
      <c r="K911" s="2">
        <v>13</v>
      </c>
      <c r="L911" s="2">
        <v>0</v>
      </c>
      <c r="M911" s="2">
        <v>0</v>
      </c>
      <c r="N911" s="2">
        <v>8</v>
      </c>
      <c r="O911" s="2">
        <v>5</v>
      </c>
      <c r="P911" s="2">
        <v>0</v>
      </c>
      <c r="Q911" s="2" t="s">
        <v>3063</v>
      </c>
      <c r="R911" s="2" t="s">
        <v>3064</v>
      </c>
      <c r="S911" s="4">
        <v>44946</v>
      </c>
    </row>
    <row r="912" spans="1:19" ht="12.5" x14ac:dyDescent="0.25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4"/>
    </row>
    <row r="913" spans="2:19" ht="12.5" x14ac:dyDescent="0.25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4"/>
    </row>
  </sheetData>
  <pageMargins left="0.511811024" right="0.511811024" top="0.78740157499999996" bottom="0.78740157499999996" header="0.31496062000000002" footer="0.31496062000000002"/>
  <pageSetup paperSize="9" orientation="portrait" verticalDpi="597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B0"/>
    <outlinePr summaryBelow="0" summaryRight="0"/>
  </sheetPr>
  <dimension ref="A1:Z913"/>
  <sheetViews>
    <sheetView workbookViewId="0">
      <pane ySplit="2" topLeftCell="A3" activePane="bottomLeft" state="frozen"/>
      <selection pane="bottomLeft" activeCell="B4" sqref="B4"/>
    </sheetView>
  </sheetViews>
  <sheetFormatPr defaultColWidth="12.6328125" defaultRowHeight="15.75" customHeight="1" x14ac:dyDescent="0.25"/>
  <cols>
    <col min="1" max="1" width="20.08984375" customWidth="1"/>
    <col min="2" max="2" width="37.6328125" customWidth="1"/>
    <col min="3" max="3" width="13.08984375" customWidth="1"/>
    <col min="4" max="4" width="16.08984375" customWidth="1"/>
    <col min="5" max="5" width="14.08984375" customWidth="1"/>
    <col min="6" max="6" width="17.08984375" customWidth="1"/>
    <col min="7" max="8" width="19.08984375" customWidth="1"/>
    <col min="9" max="9" width="14.08984375" customWidth="1"/>
    <col min="10" max="10" width="16.36328125" customWidth="1"/>
    <col min="11" max="11" width="11.08984375" customWidth="1"/>
    <col min="12" max="12" width="18.08984375" customWidth="1"/>
    <col min="13" max="13" width="21.08984375" customWidth="1"/>
    <col min="14" max="15" width="23.08984375" customWidth="1"/>
    <col min="16" max="16" width="18.08984375" customWidth="1"/>
    <col min="17" max="18" width="37.6328125" customWidth="1"/>
    <col min="19" max="19" width="30.08984375" customWidth="1"/>
  </cols>
  <sheetData>
    <row r="1" spans="1:26" ht="33.75" customHeight="1" x14ac:dyDescent="0.25">
      <c r="A1" s="17" t="s">
        <v>7175</v>
      </c>
      <c r="B1" s="17" t="s">
        <v>1632</v>
      </c>
      <c r="C1" s="17" t="s">
        <v>1632</v>
      </c>
      <c r="D1" s="17" t="s">
        <v>1632</v>
      </c>
      <c r="E1" s="17" t="s">
        <v>1632</v>
      </c>
      <c r="F1" s="17" t="s">
        <v>1632</v>
      </c>
      <c r="G1" s="17" t="s">
        <v>1632</v>
      </c>
      <c r="H1" s="17" t="s">
        <v>1632</v>
      </c>
      <c r="I1" s="17" t="s">
        <v>1632</v>
      </c>
      <c r="J1" s="17" t="s">
        <v>1632</v>
      </c>
      <c r="K1" s="17" t="s">
        <v>1632</v>
      </c>
      <c r="L1" s="17" t="s">
        <v>1632</v>
      </c>
      <c r="M1" s="17" t="s">
        <v>1632</v>
      </c>
      <c r="N1" s="17" t="s">
        <v>1632</v>
      </c>
      <c r="O1" s="17" t="s">
        <v>1632</v>
      </c>
      <c r="P1" s="17" t="s">
        <v>1632</v>
      </c>
      <c r="Q1" s="17" t="s">
        <v>1632</v>
      </c>
      <c r="R1" s="17" t="s">
        <v>1632</v>
      </c>
      <c r="S1" s="17" t="s">
        <v>1632</v>
      </c>
      <c r="T1" s="17"/>
      <c r="U1" s="17"/>
      <c r="V1" s="17"/>
      <c r="W1" s="17"/>
      <c r="X1" s="17"/>
      <c r="Y1" s="17"/>
      <c r="Z1" s="17"/>
    </row>
    <row r="2" spans="1:26" ht="22.5" customHeight="1" x14ac:dyDescent="0.25">
      <c r="A2" s="15" t="s">
        <v>1633</v>
      </c>
      <c r="B2" s="15" t="s">
        <v>1634</v>
      </c>
      <c r="C2" s="15" t="s">
        <v>1635</v>
      </c>
      <c r="D2" s="15" t="s">
        <v>0</v>
      </c>
      <c r="E2" s="15" t="s">
        <v>1636</v>
      </c>
      <c r="F2" s="15" t="s">
        <v>1637</v>
      </c>
      <c r="G2" s="15" t="s">
        <v>1638</v>
      </c>
      <c r="H2" s="15" t="s">
        <v>1639</v>
      </c>
      <c r="I2" s="15" t="s">
        <v>1640</v>
      </c>
      <c r="J2" s="15" t="s">
        <v>1625</v>
      </c>
      <c r="K2" s="15" t="s">
        <v>1641</v>
      </c>
      <c r="L2" s="15" t="s">
        <v>1642</v>
      </c>
      <c r="M2" s="15" t="s">
        <v>1643</v>
      </c>
      <c r="N2" s="15" t="s">
        <v>1644</v>
      </c>
      <c r="O2" s="15" t="s">
        <v>1645</v>
      </c>
      <c r="P2" s="15" t="s">
        <v>1646</v>
      </c>
      <c r="Q2" s="15" t="s">
        <v>1647</v>
      </c>
      <c r="R2" s="15" t="s">
        <v>387</v>
      </c>
      <c r="S2" s="15" t="s">
        <v>1648</v>
      </c>
      <c r="T2" s="16"/>
      <c r="U2" s="16"/>
      <c r="V2" s="16"/>
      <c r="W2" s="16"/>
      <c r="X2" s="16"/>
      <c r="Y2" s="16"/>
      <c r="Z2" s="16"/>
    </row>
    <row r="3" spans="1:26" ht="12.5" x14ac:dyDescent="0.25">
      <c r="A3" s="14" t="str">
        <f>HYPERLINK("https://gerandofalcoes.my.salesforce.com/0014X00002YgglYQAR", "0014X00002YgglYQAR")</f>
        <v>0014X00002YgglYQAR</v>
      </c>
      <c r="B3" s="2" t="s">
        <v>3154</v>
      </c>
      <c r="C3" s="2" t="s">
        <v>423</v>
      </c>
      <c r="D3" s="2" t="s">
        <v>2</v>
      </c>
      <c r="E3" s="2"/>
      <c r="F3" s="2">
        <v>0</v>
      </c>
      <c r="G3" s="2">
        <v>2</v>
      </c>
      <c r="H3" s="2">
        <v>5000</v>
      </c>
      <c r="I3" s="2">
        <v>30</v>
      </c>
      <c r="J3" s="2"/>
      <c r="K3" s="2">
        <v>16</v>
      </c>
      <c r="L3" s="2">
        <v>0</v>
      </c>
      <c r="M3" s="2">
        <v>0</v>
      </c>
      <c r="N3" s="2">
        <v>6</v>
      </c>
      <c r="O3" s="2">
        <v>5</v>
      </c>
      <c r="P3" s="2">
        <v>5</v>
      </c>
      <c r="Q3" s="2" t="s">
        <v>3155</v>
      </c>
      <c r="R3" s="2" t="s">
        <v>3156</v>
      </c>
      <c r="S3" s="4">
        <v>44950</v>
      </c>
    </row>
    <row r="4" spans="1:26" ht="12.5" x14ac:dyDescent="0.25">
      <c r="A4" s="14" t="str">
        <f>HYPERLINK("https://gerandofalcoes.my.salesforce.com/0014X00002YgglpQAB", "0014X00002YgglpQAB")</f>
        <v>0014X00002YgglpQAB</v>
      </c>
      <c r="B4" s="2" t="s">
        <v>3360</v>
      </c>
      <c r="C4" s="2" t="s">
        <v>423</v>
      </c>
      <c r="D4" s="2" t="s">
        <v>2</v>
      </c>
      <c r="E4" s="2"/>
      <c r="F4" s="2">
        <v>24</v>
      </c>
      <c r="G4" s="2">
        <v>8</v>
      </c>
      <c r="H4" s="2">
        <v>12828162</v>
      </c>
      <c r="I4" s="2">
        <v>60</v>
      </c>
      <c r="J4" s="2"/>
      <c r="K4" s="2">
        <v>52</v>
      </c>
      <c r="L4" s="2">
        <v>0</v>
      </c>
      <c r="M4" s="2">
        <v>12</v>
      </c>
      <c r="N4" s="2">
        <v>10</v>
      </c>
      <c r="O4" s="2">
        <v>25</v>
      </c>
      <c r="P4" s="2">
        <v>5</v>
      </c>
      <c r="Q4" s="2" t="s">
        <v>3361</v>
      </c>
      <c r="R4" s="2" t="s">
        <v>3362</v>
      </c>
      <c r="S4" s="4">
        <v>44953</v>
      </c>
    </row>
    <row r="5" spans="1:26" ht="12.5" x14ac:dyDescent="0.25">
      <c r="A5" s="14" t="str">
        <f>HYPERLINK("https://gerandofalcoes.my.salesforce.com/0014X00002YggmKQAR", "0014X00002YggmKQAR")</f>
        <v>0014X00002YggmKQAR</v>
      </c>
      <c r="B5" s="2" t="s">
        <v>3043</v>
      </c>
      <c r="C5" s="2" t="s">
        <v>423</v>
      </c>
      <c r="D5" s="2" t="s">
        <v>2</v>
      </c>
      <c r="E5" s="2"/>
      <c r="F5" s="2">
        <v>0</v>
      </c>
      <c r="G5" s="2">
        <v>2</v>
      </c>
      <c r="H5" s="2">
        <v>10000</v>
      </c>
      <c r="I5" s="2">
        <v>0</v>
      </c>
      <c r="J5" s="2"/>
      <c r="K5" s="2">
        <v>11</v>
      </c>
      <c r="L5" s="2">
        <v>0</v>
      </c>
      <c r="M5" s="2">
        <v>0</v>
      </c>
      <c r="N5" s="2">
        <v>6</v>
      </c>
      <c r="O5" s="2">
        <v>5</v>
      </c>
      <c r="P5" s="2">
        <v>0</v>
      </c>
      <c r="Q5" s="2" t="s">
        <v>3044</v>
      </c>
      <c r="R5" s="2" t="s">
        <v>3044</v>
      </c>
      <c r="S5" s="4">
        <v>44945</v>
      </c>
    </row>
    <row r="6" spans="1:26" ht="12.5" x14ac:dyDescent="0.25">
      <c r="A6" s="14" t="str">
        <f>HYPERLINK("https://gerandofalcoes.my.salesforce.com/0014X00002YggjJQAR", "0014X00002YggjJQAR")</f>
        <v>0014X00002YggjJQAR</v>
      </c>
      <c r="B6" s="2" t="s">
        <v>3011</v>
      </c>
      <c r="C6" s="2" t="s">
        <v>423</v>
      </c>
      <c r="D6" s="2" t="s">
        <v>2</v>
      </c>
      <c r="E6" s="2"/>
      <c r="F6" s="2">
        <v>24</v>
      </c>
      <c r="G6" s="2">
        <v>4</v>
      </c>
      <c r="H6" s="2">
        <v>89800000</v>
      </c>
      <c r="I6" s="2">
        <v>250</v>
      </c>
      <c r="J6" s="2"/>
      <c r="K6" s="2">
        <v>59</v>
      </c>
      <c r="L6" s="2">
        <v>0</v>
      </c>
      <c r="M6" s="2">
        <v>12</v>
      </c>
      <c r="N6" s="2">
        <v>10</v>
      </c>
      <c r="O6" s="2">
        <v>25</v>
      </c>
      <c r="P6" s="2">
        <v>12</v>
      </c>
      <c r="Q6" s="2" t="s">
        <v>3012</v>
      </c>
      <c r="R6" s="2" t="s">
        <v>3012</v>
      </c>
      <c r="S6" s="4">
        <v>44945</v>
      </c>
    </row>
    <row r="7" spans="1:26" ht="12.5" x14ac:dyDescent="0.25">
      <c r="A7" s="14" t="str">
        <f>HYPERLINK("https://gerandofalcoes.my.salesforce.com/0014X00002YgghKQAR", "0014X00002YgghKQAR")</f>
        <v>0014X00002YgghKQAR</v>
      </c>
      <c r="B7" s="2" t="s">
        <v>3065</v>
      </c>
      <c r="C7" s="2" t="s">
        <v>423</v>
      </c>
      <c r="D7" s="2" t="s">
        <v>2</v>
      </c>
      <c r="E7" s="2"/>
      <c r="F7" s="2">
        <v>0</v>
      </c>
      <c r="G7" s="2">
        <v>5</v>
      </c>
      <c r="H7" s="2">
        <v>500</v>
      </c>
      <c r="I7" s="2">
        <v>0</v>
      </c>
      <c r="J7" s="2"/>
      <c r="K7" s="2">
        <v>15</v>
      </c>
      <c r="L7" s="2">
        <v>0</v>
      </c>
      <c r="M7" s="2">
        <v>0</v>
      </c>
      <c r="N7" s="2">
        <v>10</v>
      </c>
      <c r="O7" s="2">
        <v>5</v>
      </c>
      <c r="P7" s="2">
        <v>0</v>
      </c>
      <c r="Q7" s="2" t="s">
        <v>3066</v>
      </c>
      <c r="R7" s="2" t="s">
        <v>3066</v>
      </c>
      <c r="S7" s="4">
        <v>44946</v>
      </c>
    </row>
    <row r="8" spans="1:26" ht="12.5" x14ac:dyDescent="0.25">
      <c r="A8" s="14" t="str">
        <f>HYPERLINK("https://gerandofalcoes.my.salesforce.com/0014X00002YgggwQAB", "0014X00002YgggwQAB")</f>
        <v>0014X00002YgggwQAB</v>
      </c>
      <c r="B8" s="2" t="s">
        <v>3106</v>
      </c>
      <c r="C8" s="2" t="s">
        <v>423</v>
      </c>
      <c r="D8" s="2" t="s">
        <v>2</v>
      </c>
      <c r="E8" s="2"/>
      <c r="F8" s="2">
        <v>0</v>
      </c>
      <c r="G8" s="2">
        <v>3</v>
      </c>
      <c r="H8" s="2">
        <v>1000</v>
      </c>
      <c r="I8" s="2">
        <v>0</v>
      </c>
      <c r="J8" s="2"/>
      <c r="K8" s="2">
        <v>13</v>
      </c>
      <c r="L8" s="2">
        <v>0</v>
      </c>
      <c r="M8" s="2">
        <v>0</v>
      </c>
      <c r="N8" s="2">
        <v>8</v>
      </c>
      <c r="O8" s="2">
        <v>5</v>
      </c>
      <c r="P8" s="2">
        <v>0</v>
      </c>
      <c r="Q8" s="2" t="s">
        <v>3107</v>
      </c>
      <c r="R8" s="2" t="s">
        <v>3108</v>
      </c>
      <c r="S8" s="4">
        <v>44948</v>
      </c>
    </row>
    <row r="9" spans="1:26" ht="12.5" x14ac:dyDescent="0.25">
      <c r="A9" s="14" t="str">
        <f>HYPERLINK("https://gerandofalcoes.my.salesforce.com/0014X00002YgghdQAB", "0014X00002YgghdQAB")</f>
        <v>0014X00002YgghdQAB</v>
      </c>
      <c r="B9" s="2" t="s">
        <v>3163</v>
      </c>
      <c r="C9" s="2" t="s">
        <v>423</v>
      </c>
      <c r="D9" s="2" t="s">
        <v>2</v>
      </c>
      <c r="E9" s="2"/>
      <c r="F9" s="2">
        <v>0</v>
      </c>
      <c r="G9" s="2">
        <v>4</v>
      </c>
      <c r="H9" s="2">
        <v>2000</v>
      </c>
      <c r="I9" s="2">
        <v>300</v>
      </c>
      <c r="J9" s="2"/>
      <c r="K9" s="2">
        <v>30</v>
      </c>
      <c r="L9" s="2">
        <v>0</v>
      </c>
      <c r="M9" s="2">
        <v>0</v>
      </c>
      <c r="N9" s="2">
        <v>10</v>
      </c>
      <c r="O9" s="2">
        <v>5</v>
      </c>
      <c r="P9" s="2">
        <v>15</v>
      </c>
      <c r="Q9" s="2" t="s">
        <v>3164</v>
      </c>
      <c r="R9" s="2" t="s">
        <v>3165</v>
      </c>
      <c r="S9" s="4">
        <v>44950</v>
      </c>
    </row>
    <row r="10" spans="1:26" ht="12.5" x14ac:dyDescent="0.25">
      <c r="A10" s="14" t="str">
        <f>HYPERLINK("https://gerandofalcoes.my.salesforce.com/0014X00002YggoAQAR", "0014X00002YggoAQAR")</f>
        <v>0014X00002YggoAQAR</v>
      </c>
      <c r="B10" s="2" t="s">
        <v>3377</v>
      </c>
      <c r="C10" s="2" t="s">
        <v>423</v>
      </c>
      <c r="D10" s="2" t="s">
        <v>2</v>
      </c>
      <c r="E10" s="2"/>
      <c r="F10" s="2">
        <v>0</v>
      </c>
      <c r="G10" s="2">
        <v>310</v>
      </c>
      <c r="H10" s="2">
        <v>3000</v>
      </c>
      <c r="I10" s="2">
        <v>0</v>
      </c>
      <c r="J10" s="2"/>
      <c r="K10" s="2">
        <v>15</v>
      </c>
      <c r="L10" s="2">
        <v>0</v>
      </c>
      <c r="M10" s="2">
        <v>0</v>
      </c>
      <c r="N10" s="2">
        <v>10</v>
      </c>
      <c r="O10" s="2">
        <v>5</v>
      </c>
      <c r="P10" s="2">
        <v>0</v>
      </c>
      <c r="Q10" s="2" t="s">
        <v>3378</v>
      </c>
      <c r="R10" s="2" t="s">
        <v>3378</v>
      </c>
      <c r="S10" s="4">
        <v>44953</v>
      </c>
    </row>
    <row r="11" spans="1:26" ht="12.5" x14ac:dyDescent="0.25">
      <c r="A11" s="14" t="str">
        <f>HYPERLINK("https://gerandofalcoes.my.salesforce.com/0014X00002YgghEQAR", "0014X00002YgghEQAR")</f>
        <v>0014X00002YgghEQAR</v>
      </c>
      <c r="B11" s="2" t="s">
        <v>3314</v>
      </c>
      <c r="C11" s="2" t="s">
        <v>423</v>
      </c>
      <c r="D11" s="2" t="s">
        <v>2</v>
      </c>
      <c r="E11" s="2"/>
      <c r="F11" s="2">
        <v>22</v>
      </c>
      <c r="G11" s="2">
        <v>5</v>
      </c>
      <c r="H11" s="2">
        <v>100000</v>
      </c>
      <c r="I11" s="2">
        <v>150</v>
      </c>
      <c r="J11" s="2"/>
      <c r="K11" s="2">
        <v>49</v>
      </c>
      <c r="L11" s="2">
        <v>0</v>
      </c>
      <c r="M11" s="2">
        <v>12</v>
      </c>
      <c r="N11" s="2">
        <v>10</v>
      </c>
      <c r="O11" s="2">
        <v>15</v>
      </c>
      <c r="P11" s="2">
        <v>12</v>
      </c>
      <c r="Q11" s="2" t="s">
        <v>3315</v>
      </c>
      <c r="R11" s="2" t="s">
        <v>3315</v>
      </c>
      <c r="S11" s="4">
        <v>44953</v>
      </c>
    </row>
    <row r="12" spans="1:26" ht="12.5" x14ac:dyDescent="0.25">
      <c r="A12" s="14" t="str">
        <f>HYPERLINK("https://gerandofalcoes.my.salesforce.com/0014X00002YggoaQAB", "0014X00002YggoaQAB")</f>
        <v>0014X00002YggoaQAB</v>
      </c>
      <c r="B12" s="2" t="s">
        <v>3340</v>
      </c>
      <c r="C12" s="2" t="s">
        <v>423</v>
      </c>
      <c r="D12" s="2" t="s">
        <v>2</v>
      </c>
      <c r="E12" s="2"/>
      <c r="F12" s="2">
        <v>10</v>
      </c>
      <c r="G12" s="2">
        <v>4</v>
      </c>
      <c r="H12" s="2">
        <v>581000</v>
      </c>
      <c r="I12" s="2">
        <v>323</v>
      </c>
      <c r="J12" s="2"/>
      <c r="K12" s="2">
        <v>55</v>
      </c>
      <c r="L12" s="2">
        <v>0</v>
      </c>
      <c r="M12" s="2">
        <v>10</v>
      </c>
      <c r="N12" s="2">
        <v>10</v>
      </c>
      <c r="O12" s="2">
        <v>20</v>
      </c>
      <c r="P12" s="2">
        <v>15</v>
      </c>
      <c r="Q12" s="2" t="s">
        <v>3341</v>
      </c>
      <c r="R12" s="2" t="s">
        <v>3342</v>
      </c>
      <c r="S12" s="4">
        <v>44953</v>
      </c>
    </row>
    <row r="13" spans="1:26" ht="12.5" x14ac:dyDescent="0.25">
      <c r="A13" s="14" t="str">
        <f>HYPERLINK("https://gerandofalcoes.my.salesforce.com/0014X00002YggiSQAR", "0014X00002YggiSQAR")</f>
        <v>0014X00002YggiSQAR</v>
      </c>
      <c r="B13" s="2" t="s">
        <v>3075</v>
      </c>
      <c r="C13" s="2" t="s">
        <v>423</v>
      </c>
      <c r="D13" s="2" t="s">
        <v>2</v>
      </c>
      <c r="E13" s="2"/>
      <c r="F13" s="2">
        <v>0</v>
      </c>
      <c r="G13" s="2">
        <v>3</v>
      </c>
      <c r="H13" s="2">
        <v>10000</v>
      </c>
      <c r="I13" s="2">
        <v>100</v>
      </c>
      <c r="J13" s="2"/>
      <c r="K13" s="2">
        <v>23</v>
      </c>
      <c r="L13" s="2">
        <v>0</v>
      </c>
      <c r="M13" s="2">
        <v>0</v>
      </c>
      <c r="N13" s="2">
        <v>8</v>
      </c>
      <c r="O13" s="2">
        <v>5</v>
      </c>
      <c r="P13" s="2">
        <v>10</v>
      </c>
      <c r="Q13" s="2" t="s">
        <v>3076</v>
      </c>
      <c r="R13" s="2" t="s">
        <v>3077</v>
      </c>
      <c r="S13" s="4">
        <v>44946</v>
      </c>
    </row>
    <row r="14" spans="1:26" ht="12.5" x14ac:dyDescent="0.25">
      <c r="A14" s="14" t="str">
        <f>HYPERLINK("https://gerandofalcoes.my.salesforce.com/0014X00002YggpmQAB", "0014X00002YggpmQAB")</f>
        <v>0014X00002YggpmQAB</v>
      </c>
      <c r="B14" s="2" t="s">
        <v>3244</v>
      </c>
      <c r="C14" s="2" t="s">
        <v>423</v>
      </c>
      <c r="D14" s="2" t="s">
        <v>2</v>
      </c>
      <c r="E14" s="2"/>
      <c r="F14" s="2">
        <v>0</v>
      </c>
      <c r="G14" s="2">
        <v>3</v>
      </c>
      <c r="H14" s="2">
        <v>20000</v>
      </c>
      <c r="I14" s="2">
        <v>190</v>
      </c>
      <c r="J14" s="2"/>
      <c r="K14" s="2">
        <v>25</v>
      </c>
      <c r="L14" s="2">
        <v>0</v>
      </c>
      <c r="M14" s="2">
        <v>0</v>
      </c>
      <c r="N14" s="2">
        <v>8</v>
      </c>
      <c r="O14" s="2">
        <v>5</v>
      </c>
      <c r="P14" s="2">
        <v>12</v>
      </c>
      <c r="Q14" s="2" t="s">
        <v>3245</v>
      </c>
      <c r="R14" s="2" t="s">
        <v>3246</v>
      </c>
      <c r="S14" s="4">
        <v>44952</v>
      </c>
    </row>
    <row r="15" spans="1:26" ht="12.5" x14ac:dyDescent="0.25">
      <c r="A15" s="14" t="str">
        <f>HYPERLINK("https://gerandofalcoes.my.salesforce.com/0014X00002YggnjQAB", "0014X00002YggnjQAB")</f>
        <v>0014X00002YggnjQAB</v>
      </c>
      <c r="B15" s="2" t="s">
        <v>3346</v>
      </c>
      <c r="C15" s="2" t="s">
        <v>423</v>
      </c>
      <c r="D15" s="2" t="s">
        <v>2</v>
      </c>
      <c r="E15" s="2"/>
      <c r="F15" s="2">
        <v>9</v>
      </c>
      <c r="G15" s="2">
        <v>3</v>
      </c>
      <c r="H15" s="2">
        <v>2500</v>
      </c>
      <c r="I15" s="2">
        <v>120</v>
      </c>
      <c r="J15" s="2"/>
      <c r="K15" s="2">
        <v>33</v>
      </c>
      <c r="L15" s="2">
        <v>0</v>
      </c>
      <c r="M15" s="2">
        <v>10</v>
      </c>
      <c r="N15" s="2">
        <v>8</v>
      </c>
      <c r="O15" s="2">
        <v>5</v>
      </c>
      <c r="P15" s="2">
        <v>10</v>
      </c>
      <c r="Q15" s="2" t="s">
        <v>3347</v>
      </c>
      <c r="R15" s="2" t="s">
        <v>3348</v>
      </c>
      <c r="S15" s="4">
        <v>44953</v>
      </c>
    </row>
    <row r="16" spans="1:26" ht="12.5" x14ac:dyDescent="0.25">
      <c r="A16" s="14" t="str">
        <f>HYPERLINK("https://gerandofalcoes.my.salesforce.com/0014X00002YggjdQAB", "0014X00002YggjdQAB")</f>
        <v>0014X00002YggjdQAB</v>
      </c>
      <c r="B16" s="2" t="s">
        <v>3085</v>
      </c>
      <c r="C16" s="2" t="s">
        <v>423</v>
      </c>
      <c r="D16" s="2" t="s">
        <v>2</v>
      </c>
      <c r="E16" s="2"/>
      <c r="F16" s="2">
        <v>3</v>
      </c>
      <c r="G16" s="2">
        <v>2</v>
      </c>
      <c r="H16" s="2">
        <v>1000</v>
      </c>
      <c r="I16" s="2">
        <v>30</v>
      </c>
      <c r="J16" s="2"/>
      <c r="K16" s="2">
        <v>21</v>
      </c>
      <c r="L16" s="2">
        <v>0</v>
      </c>
      <c r="M16" s="2">
        <v>5</v>
      </c>
      <c r="N16" s="2">
        <v>6</v>
      </c>
      <c r="O16" s="2">
        <v>5</v>
      </c>
      <c r="P16" s="2">
        <v>5</v>
      </c>
      <c r="Q16" s="2" t="s">
        <v>3086</v>
      </c>
      <c r="R16" s="2" t="s">
        <v>3086</v>
      </c>
      <c r="S16" s="4">
        <v>44946</v>
      </c>
    </row>
    <row r="17" spans="1:19" ht="12.5" x14ac:dyDescent="0.25">
      <c r="A17" s="14" t="str">
        <f>HYPERLINK("https://gerandofalcoes.my.salesforce.com/0014X00002YgggRQAR", "0014X00002YgggRQAR")</f>
        <v>0014X00002YgggRQAR</v>
      </c>
      <c r="B17" s="2" t="s">
        <v>4913</v>
      </c>
      <c r="C17" s="2" t="s">
        <v>423</v>
      </c>
      <c r="D17" s="2" t="s">
        <v>2</v>
      </c>
      <c r="E17" s="2"/>
      <c r="F17" s="2">
        <v>200</v>
      </c>
      <c r="G17" s="2">
        <v>5</v>
      </c>
      <c r="H17" s="2">
        <v>1000</v>
      </c>
      <c r="I17" s="2">
        <v>100</v>
      </c>
      <c r="J17" s="2"/>
      <c r="K17" s="2">
        <v>40</v>
      </c>
      <c r="L17" s="2">
        <v>0</v>
      </c>
      <c r="M17" s="2">
        <v>15</v>
      </c>
      <c r="N17" s="2">
        <v>10</v>
      </c>
      <c r="O17" s="2">
        <v>5</v>
      </c>
      <c r="P17" s="2">
        <v>10</v>
      </c>
      <c r="Q17" s="2" t="s">
        <v>3739</v>
      </c>
      <c r="R17" s="2" t="s">
        <v>3739</v>
      </c>
      <c r="S17" s="4">
        <v>44967</v>
      </c>
    </row>
    <row r="18" spans="1:19" ht="12.5" x14ac:dyDescent="0.25">
      <c r="A18" s="14" t="str">
        <f>HYPERLINK("https://gerandofalcoes.my.salesforce.com/0014X00002YgggEQAR", "0014X00002YgggEQAR")</f>
        <v>0014X00002YgggEQAR</v>
      </c>
      <c r="B18" s="2" t="s">
        <v>3008</v>
      </c>
      <c r="C18" s="2" t="s">
        <v>423</v>
      </c>
      <c r="D18" s="2" t="s">
        <v>2</v>
      </c>
      <c r="E18" s="2"/>
      <c r="F18" s="2">
        <v>112</v>
      </c>
      <c r="G18" s="2">
        <v>3</v>
      </c>
      <c r="H18" s="2">
        <v>6</v>
      </c>
      <c r="I18" s="2">
        <v>50</v>
      </c>
      <c r="J18" s="2"/>
      <c r="K18" s="2">
        <v>33</v>
      </c>
      <c r="L18" s="2">
        <v>0</v>
      </c>
      <c r="M18" s="2">
        <v>15</v>
      </c>
      <c r="N18" s="2">
        <v>8</v>
      </c>
      <c r="O18" s="2">
        <v>5</v>
      </c>
      <c r="P18" s="2">
        <v>5</v>
      </c>
      <c r="Q18" s="2" t="s">
        <v>3009</v>
      </c>
      <c r="R18" s="2" t="s">
        <v>3010</v>
      </c>
      <c r="S18" s="4">
        <v>44944</v>
      </c>
    </row>
    <row r="19" spans="1:19" ht="12.5" x14ac:dyDescent="0.25">
      <c r="A19" s="14" t="str">
        <f>HYPERLINK("https://gerandofalcoes.my.salesforce.com/0014X00002YggmgQAB", "0014X00002YggmgQAB")</f>
        <v>0014X00002YggmgQAB</v>
      </c>
      <c r="B19" s="2" t="s">
        <v>3005</v>
      </c>
      <c r="C19" s="2" t="s">
        <v>423</v>
      </c>
      <c r="D19" s="2" t="s">
        <v>2</v>
      </c>
      <c r="E19" s="2"/>
      <c r="F19" s="2">
        <v>0</v>
      </c>
      <c r="G19" s="2">
        <v>4</v>
      </c>
      <c r="H19" s="2">
        <v>600</v>
      </c>
      <c r="I19" s="2">
        <v>150</v>
      </c>
      <c r="J19" s="2"/>
      <c r="K19" s="2">
        <v>27</v>
      </c>
      <c r="L19" s="2">
        <v>0</v>
      </c>
      <c r="M19" s="2">
        <v>0</v>
      </c>
      <c r="N19" s="2">
        <v>10</v>
      </c>
      <c r="O19" s="2">
        <v>5</v>
      </c>
      <c r="P19" s="2">
        <v>12</v>
      </c>
      <c r="Q19" s="2" t="s">
        <v>2987</v>
      </c>
      <c r="R19" s="2" t="s">
        <v>2987</v>
      </c>
      <c r="S19" s="4">
        <v>44944</v>
      </c>
    </row>
    <row r="20" spans="1:19" ht="12.5" x14ac:dyDescent="0.25">
      <c r="A20" s="14" t="str">
        <f>HYPERLINK("https://gerandofalcoes.my.salesforce.com/0014X00002YggkfQAB", "0014X00002YggkfQAB")</f>
        <v>0014X00002YggkfQAB</v>
      </c>
      <c r="B20" s="2" t="s">
        <v>3006</v>
      </c>
      <c r="C20" s="2" t="s">
        <v>423</v>
      </c>
      <c r="D20" s="2" t="s">
        <v>2</v>
      </c>
      <c r="E20" s="2"/>
      <c r="F20" s="2">
        <v>8</v>
      </c>
      <c r="G20" s="2">
        <v>2</v>
      </c>
      <c r="H20" s="2">
        <v>700</v>
      </c>
      <c r="I20" s="2">
        <v>400</v>
      </c>
      <c r="J20" s="2"/>
      <c r="K20" s="2">
        <v>36</v>
      </c>
      <c r="L20" s="2">
        <v>0</v>
      </c>
      <c r="M20" s="2">
        <v>10</v>
      </c>
      <c r="N20" s="2">
        <v>6</v>
      </c>
      <c r="O20" s="2">
        <v>5</v>
      </c>
      <c r="P20" s="2">
        <v>15</v>
      </c>
      <c r="Q20" s="2" t="s">
        <v>3007</v>
      </c>
      <c r="R20" s="2" t="s">
        <v>3007</v>
      </c>
      <c r="S20" s="4">
        <v>44944</v>
      </c>
    </row>
    <row r="21" spans="1:19" ht="12.5" x14ac:dyDescent="0.25">
      <c r="A21" s="14" t="str">
        <f>HYPERLINK("https://gerandofalcoes.my.salesforce.com/0014X00002YggiuQAB", "0014X00002YggiuQAB")</f>
        <v>0014X00002YggiuQAB</v>
      </c>
      <c r="B21" s="2" t="s">
        <v>3031</v>
      </c>
      <c r="C21" s="2" t="s">
        <v>423</v>
      </c>
      <c r="D21" s="2" t="s">
        <v>2</v>
      </c>
      <c r="E21" s="2"/>
      <c r="F21" s="2">
        <v>0</v>
      </c>
      <c r="G21" s="2">
        <v>2</v>
      </c>
      <c r="H21" s="2">
        <v>7000</v>
      </c>
      <c r="I21" s="2">
        <v>100</v>
      </c>
      <c r="J21" s="2"/>
      <c r="K21" s="2">
        <v>21</v>
      </c>
      <c r="L21" s="2">
        <v>0</v>
      </c>
      <c r="M21" s="2">
        <v>0</v>
      </c>
      <c r="N21" s="2">
        <v>6</v>
      </c>
      <c r="O21" s="2">
        <v>5</v>
      </c>
      <c r="P21" s="2">
        <v>10</v>
      </c>
      <c r="Q21" s="2" t="s">
        <v>3032</v>
      </c>
      <c r="R21" s="2" t="s">
        <v>3032</v>
      </c>
      <c r="S21" s="4">
        <v>44945</v>
      </c>
    </row>
    <row r="22" spans="1:19" ht="12.5" x14ac:dyDescent="0.25">
      <c r="A22" s="14" t="str">
        <f>HYPERLINK("https://gerandofalcoes.my.salesforce.com/0014X00002YggiXQAR", "0014X00002YggiXQAR")</f>
        <v>0014X00002YggiXQAR</v>
      </c>
      <c r="B22" s="2" t="s">
        <v>3114</v>
      </c>
      <c r="C22" s="2" t="s">
        <v>423</v>
      </c>
      <c r="D22" s="2" t="s">
        <v>2</v>
      </c>
      <c r="E22" s="2"/>
      <c r="F22" s="2">
        <v>1</v>
      </c>
      <c r="G22" s="2">
        <v>3</v>
      </c>
      <c r="H22" s="2">
        <v>24000</v>
      </c>
      <c r="I22" s="2">
        <v>64</v>
      </c>
      <c r="J22" s="2"/>
      <c r="K22" s="2">
        <v>23</v>
      </c>
      <c r="L22" s="2">
        <v>0</v>
      </c>
      <c r="M22" s="2">
        <v>5</v>
      </c>
      <c r="N22" s="2">
        <v>8</v>
      </c>
      <c r="O22" s="2">
        <v>5</v>
      </c>
      <c r="P22" s="2">
        <v>5</v>
      </c>
      <c r="Q22" s="2" t="s">
        <v>3115</v>
      </c>
      <c r="R22" s="2" t="s">
        <v>3116</v>
      </c>
      <c r="S22" s="4">
        <v>44949</v>
      </c>
    </row>
    <row r="23" spans="1:19" ht="12.5" x14ac:dyDescent="0.25">
      <c r="A23" s="14" t="str">
        <f>HYPERLINK("https://gerandofalcoes.my.salesforce.com/0014X00002Yggo3QAB", "0014X00002Yggo3QAB")</f>
        <v>0014X00002Yggo3QAB</v>
      </c>
      <c r="B23" s="2" t="s">
        <v>3103</v>
      </c>
      <c r="C23" s="2" t="s">
        <v>423</v>
      </c>
      <c r="D23" s="2" t="s">
        <v>2</v>
      </c>
      <c r="E23" s="2"/>
      <c r="F23" s="2">
        <v>0</v>
      </c>
      <c r="G23" s="2">
        <v>2</v>
      </c>
      <c r="H23" s="2">
        <v>10000</v>
      </c>
      <c r="I23" s="2">
        <v>0</v>
      </c>
      <c r="J23" s="2"/>
      <c r="K23" s="2">
        <v>11</v>
      </c>
      <c r="L23" s="2">
        <v>0</v>
      </c>
      <c r="M23" s="2">
        <v>0</v>
      </c>
      <c r="N23" s="2">
        <v>6</v>
      </c>
      <c r="O23" s="2">
        <v>5</v>
      </c>
      <c r="P23" s="2">
        <v>0</v>
      </c>
      <c r="Q23" s="2" t="s">
        <v>3104</v>
      </c>
      <c r="R23" s="2" t="s">
        <v>3105</v>
      </c>
      <c r="S23" s="4">
        <v>44948</v>
      </c>
    </row>
    <row r="24" spans="1:19" ht="12.5" x14ac:dyDescent="0.25">
      <c r="A24" s="14" t="str">
        <f>HYPERLINK("https://gerandofalcoes.my.salesforce.com/0014X00002YggmXQAR", "0014X00002YggmXQAR")</f>
        <v>0014X00002YggmXQAR</v>
      </c>
      <c r="B24" s="2" t="s">
        <v>3056</v>
      </c>
      <c r="C24" s="2" t="s">
        <v>423</v>
      </c>
      <c r="D24" s="2" t="s">
        <v>2</v>
      </c>
      <c r="E24" s="2"/>
      <c r="F24" s="2">
        <v>0</v>
      </c>
      <c r="G24" s="2">
        <v>2</v>
      </c>
      <c r="H24" s="2">
        <v>1000</v>
      </c>
      <c r="I24" s="2">
        <v>73</v>
      </c>
      <c r="J24" s="2"/>
      <c r="K24" s="2">
        <v>16</v>
      </c>
      <c r="L24" s="2">
        <v>0</v>
      </c>
      <c r="M24" s="2">
        <v>0</v>
      </c>
      <c r="N24" s="2">
        <v>6</v>
      </c>
      <c r="O24" s="2">
        <v>5</v>
      </c>
      <c r="P24" s="2">
        <v>5</v>
      </c>
      <c r="Q24" s="2" t="s">
        <v>3057</v>
      </c>
      <c r="R24" s="2" t="s">
        <v>3058</v>
      </c>
      <c r="S24" s="4">
        <v>44946</v>
      </c>
    </row>
    <row r="25" spans="1:19" ht="12.5" x14ac:dyDescent="0.25">
      <c r="A25" s="14" t="str">
        <f>HYPERLINK("https://gerandofalcoes.my.salesforce.com/0014X00002YggpVQAR", "0014X00002YggpVQAR")</f>
        <v>0014X00002YggpVQAR</v>
      </c>
      <c r="B25" s="2" t="s">
        <v>3072</v>
      </c>
      <c r="C25" s="2" t="s">
        <v>423</v>
      </c>
      <c r="D25" s="2" t="s">
        <v>2</v>
      </c>
      <c r="E25" s="2"/>
      <c r="F25" s="2">
        <v>0</v>
      </c>
      <c r="G25" s="2">
        <v>2</v>
      </c>
      <c r="H25" s="2">
        <v>13000</v>
      </c>
      <c r="I25" s="2">
        <v>190</v>
      </c>
      <c r="J25" s="2"/>
      <c r="K25" s="2">
        <v>23</v>
      </c>
      <c r="L25" s="2">
        <v>0</v>
      </c>
      <c r="M25" s="2">
        <v>0</v>
      </c>
      <c r="N25" s="2">
        <v>6</v>
      </c>
      <c r="O25" s="2">
        <v>5</v>
      </c>
      <c r="P25" s="2">
        <v>12</v>
      </c>
      <c r="Q25" s="2" t="s">
        <v>3073</v>
      </c>
      <c r="R25" s="2" t="s">
        <v>3074</v>
      </c>
      <c r="S25" s="4">
        <v>44946</v>
      </c>
    </row>
    <row r="26" spans="1:19" ht="12.5" x14ac:dyDescent="0.25">
      <c r="A26" s="14" t="str">
        <f>HYPERLINK("https://gerandofalcoes.my.salesforce.com/0014X00002YggibQAB", "0014X00002YggibQAB")</f>
        <v>0014X00002YggibQAB</v>
      </c>
      <c r="B26" s="2" t="s">
        <v>3026</v>
      </c>
      <c r="C26" s="2" t="s">
        <v>423</v>
      </c>
      <c r="D26" s="2" t="s">
        <v>2</v>
      </c>
      <c r="E26" s="2"/>
      <c r="F26" s="2">
        <v>0</v>
      </c>
      <c r="G26" s="2">
        <v>6</v>
      </c>
      <c r="H26" s="2">
        <v>8000</v>
      </c>
      <c r="I26" s="2">
        <v>16</v>
      </c>
      <c r="J26" s="2"/>
      <c r="K26" s="2">
        <v>20</v>
      </c>
      <c r="L26" s="2">
        <v>0</v>
      </c>
      <c r="M26" s="2">
        <v>0</v>
      </c>
      <c r="N26" s="2">
        <v>10</v>
      </c>
      <c r="O26" s="2">
        <v>5</v>
      </c>
      <c r="P26" s="2">
        <v>5</v>
      </c>
      <c r="Q26" s="2" t="s">
        <v>3027</v>
      </c>
      <c r="R26" s="2" t="s">
        <v>3027</v>
      </c>
      <c r="S26" s="4">
        <v>44945</v>
      </c>
    </row>
    <row r="27" spans="1:19" ht="12.5" x14ac:dyDescent="0.25">
      <c r="A27" s="14" t="str">
        <f>HYPERLINK("https://gerandofalcoes.my.salesforce.com/0014X00002YggqMQAR", "0014X00002YggqMQAR")</f>
        <v>0014X00002YggqMQAR</v>
      </c>
      <c r="B27" s="2" t="s">
        <v>3045</v>
      </c>
      <c r="C27" s="2" t="s">
        <v>423</v>
      </c>
      <c r="D27" s="2" t="s">
        <v>2</v>
      </c>
      <c r="E27" s="2"/>
      <c r="F27" s="2">
        <v>0</v>
      </c>
      <c r="G27" s="2">
        <v>2</v>
      </c>
      <c r="H27" s="2">
        <v>0</v>
      </c>
      <c r="I27" s="2">
        <v>0</v>
      </c>
      <c r="J27" s="2"/>
      <c r="K27" s="2">
        <v>6</v>
      </c>
      <c r="L27" s="2">
        <v>0</v>
      </c>
      <c r="M27" s="2">
        <v>0</v>
      </c>
      <c r="N27" s="2">
        <v>6</v>
      </c>
      <c r="O27" s="2">
        <v>0</v>
      </c>
      <c r="P27" s="2">
        <v>0</v>
      </c>
      <c r="Q27" s="2" t="s">
        <v>3046</v>
      </c>
      <c r="R27" s="2" t="s">
        <v>3046</v>
      </c>
      <c r="S27" s="4">
        <v>44945</v>
      </c>
    </row>
    <row r="28" spans="1:19" ht="12.5" x14ac:dyDescent="0.25">
      <c r="A28" s="14" t="str">
        <f>HYPERLINK("https://gerandofalcoes.my.salesforce.com/0014X00002Yggh6QAB", "0014X00002Yggh6QAB")</f>
        <v>0014X00002Yggh6QAB</v>
      </c>
      <c r="B28" s="2" t="s">
        <v>3122</v>
      </c>
      <c r="C28" s="2" t="s">
        <v>423</v>
      </c>
      <c r="D28" s="2" t="s">
        <v>2</v>
      </c>
      <c r="E28" s="2"/>
      <c r="F28" s="2">
        <v>6</v>
      </c>
      <c r="G28" s="2">
        <v>2</v>
      </c>
      <c r="H28" s="2">
        <v>481000</v>
      </c>
      <c r="I28" s="2">
        <v>200</v>
      </c>
      <c r="J28" s="2"/>
      <c r="K28" s="2">
        <v>48</v>
      </c>
      <c r="L28" s="2">
        <v>0</v>
      </c>
      <c r="M28" s="2">
        <v>10</v>
      </c>
      <c r="N28" s="2">
        <v>6</v>
      </c>
      <c r="O28" s="2">
        <v>20</v>
      </c>
      <c r="P28" s="2">
        <v>12</v>
      </c>
      <c r="Q28" s="2" t="s">
        <v>3123</v>
      </c>
      <c r="R28" s="2" t="s">
        <v>3124</v>
      </c>
      <c r="S28" s="4">
        <v>44949</v>
      </c>
    </row>
    <row r="29" spans="1:19" ht="12.5" x14ac:dyDescent="0.25">
      <c r="A29" s="14" t="str">
        <f>HYPERLINK("https://gerandofalcoes.my.salesforce.com/0014X00002YggopQAB", "0014X00002YggopQAB")</f>
        <v>0014X00002YggopQAB</v>
      </c>
      <c r="B29" s="2" t="s">
        <v>3614</v>
      </c>
      <c r="C29" s="2" t="s">
        <v>423</v>
      </c>
      <c r="D29" s="2" t="s">
        <v>2</v>
      </c>
      <c r="E29" s="2"/>
      <c r="F29" s="2">
        <v>10</v>
      </c>
      <c r="G29" s="2">
        <v>2</v>
      </c>
      <c r="H29" s="2">
        <v>900</v>
      </c>
      <c r="I29" s="2">
        <v>20</v>
      </c>
      <c r="J29" s="2"/>
      <c r="K29" s="2">
        <v>26</v>
      </c>
      <c r="L29" s="2">
        <v>0</v>
      </c>
      <c r="M29" s="2">
        <v>10</v>
      </c>
      <c r="N29" s="2">
        <v>6</v>
      </c>
      <c r="O29" s="2">
        <v>5</v>
      </c>
      <c r="P29" s="2">
        <v>5</v>
      </c>
      <c r="Q29" s="2" t="s">
        <v>3615</v>
      </c>
      <c r="R29" s="2" t="s">
        <v>3616</v>
      </c>
      <c r="S29" s="4">
        <v>44963</v>
      </c>
    </row>
    <row r="30" spans="1:19" ht="12.5" x14ac:dyDescent="0.25">
      <c r="A30" s="14" t="str">
        <f>HYPERLINK("https://gerandofalcoes.my.salesforce.com/0014X00002YgghzQAB", "0014X00002YgghzQAB")</f>
        <v>0014X00002YgghzQAB</v>
      </c>
      <c r="B30" s="2" t="s">
        <v>3139</v>
      </c>
      <c r="C30" s="2" t="s">
        <v>423</v>
      </c>
      <c r="D30" s="2" t="s">
        <v>2</v>
      </c>
      <c r="E30" s="2"/>
      <c r="F30" s="2">
        <v>1</v>
      </c>
      <c r="G30" s="2">
        <v>4</v>
      </c>
      <c r="H30" s="2">
        <v>2500</v>
      </c>
      <c r="I30" s="2">
        <v>25</v>
      </c>
      <c r="J30" s="2"/>
      <c r="K30" s="2">
        <v>25</v>
      </c>
      <c r="L30" s="2">
        <v>0</v>
      </c>
      <c r="M30" s="2">
        <v>5</v>
      </c>
      <c r="N30" s="2">
        <v>10</v>
      </c>
      <c r="O30" s="2">
        <v>5</v>
      </c>
      <c r="P30" s="2">
        <v>5</v>
      </c>
      <c r="Q30" s="2" t="s">
        <v>3140</v>
      </c>
      <c r="R30" s="2" t="s">
        <v>3141</v>
      </c>
      <c r="S30" s="4">
        <v>44949</v>
      </c>
    </row>
    <row r="31" spans="1:19" ht="12.5" x14ac:dyDescent="0.25">
      <c r="A31" s="14" t="str">
        <f>HYPERLINK("https://gerandofalcoes.my.salesforce.com/0014X00002YggpnQAB", "0014X00002YggpnQAB")</f>
        <v>0014X00002YggpnQAB</v>
      </c>
      <c r="B31" s="2" t="s">
        <v>3128</v>
      </c>
      <c r="C31" s="2" t="s">
        <v>423</v>
      </c>
      <c r="D31" s="2" t="s">
        <v>2</v>
      </c>
      <c r="E31" s="2"/>
      <c r="F31" s="2">
        <v>0</v>
      </c>
      <c r="G31" s="2">
        <v>2</v>
      </c>
      <c r="H31" s="2">
        <v>2000</v>
      </c>
      <c r="I31" s="2">
        <v>90</v>
      </c>
      <c r="J31" s="2"/>
      <c r="K31" s="2">
        <v>21</v>
      </c>
      <c r="L31" s="2">
        <v>0</v>
      </c>
      <c r="M31" s="2">
        <v>0</v>
      </c>
      <c r="N31" s="2">
        <v>6</v>
      </c>
      <c r="O31" s="2">
        <v>5</v>
      </c>
      <c r="P31" s="2">
        <v>10</v>
      </c>
      <c r="Q31" s="2" t="s">
        <v>3129</v>
      </c>
      <c r="R31" s="2" t="s">
        <v>3129</v>
      </c>
      <c r="S31" s="4">
        <v>44949</v>
      </c>
    </row>
    <row r="32" spans="1:19" ht="12.5" x14ac:dyDescent="0.25">
      <c r="A32" s="14" t="str">
        <f>HYPERLINK("https://gerandofalcoes.my.salesforce.com/0014P00003YSp7jQAD", "0014P00003YSp7jQAD")</f>
        <v>0014P00003YSp7jQAD</v>
      </c>
      <c r="B32" s="2" t="s">
        <v>3000</v>
      </c>
      <c r="C32" s="2" t="s">
        <v>1684</v>
      </c>
      <c r="D32" s="2" t="s">
        <v>2</v>
      </c>
      <c r="E32" s="2">
        <v>41</v>
      </c>
      <c r="F32" s="2">
        <v>12</v>
      </c>
      <c r="G32" s="2">
        <v>3</v>
      </c>
      <c r="H32" s="2">
        <v>200000</v>
      </c>
      <c r="I32" s="2">
        <v>0</v>
      </c>
      <c r="J32" s="2" t="s">
        <v>1671</v>
      </c>
      <c r="K32" s="2">
        <v>50</v>
      </c>
      <c r="L32" s="2">
        <v>15</v>
      </c>
      <c r="M32" s="2">
        <v>12</v>
      </c>
      <c r="N32" s="2">
        <v>8</v>
      </c>
      <c r="O32" s="2">
        <v>15</v>
      </c>
      <c r="P32" s="2">
        <v>0</v>
      </c>
      <c r="Q32" s="2" t="s">
        <v>3001</v>
      </c>
      <c r="R32" s="2"/>
      <c r="S32" s="4">
        <v>44911</v>
      </c>
    </row>
    <row r="33" spans="1:19" ht="12.5" x14ac:dyDescent="0.25">
      <c r="A33" s="14" t="str">
        <f>HYPERLINK("https://gerandofalcoes.my.salesforce.com/0014X00002YggqSQAR", "0014X00002YggqSQAR")</f>
        <v>0014X00002YggqSQAR</v>
      </c>
      <c r="B33" s="2" t="s">
        <v>3021</v>
      </c>
      <c r="C33" s="2" t="s">
        <v>423</v>
      </c>
      <c r="D33" s="2" t="s">
        <v>2</v>
      </c>
      <c r="E33" s="2"/>
      <c r="F33" s="2">
        <v>0</v>
      </c>
      <c r="G33" s="2">
        <v>3</v>
      </c>
      <c r="H33" s="2">
        <v>7000</v>
      </c>
      <c r="I33" s="2">
        <v>100</v>
      </c>
      <c r="J33" s="2"/>
      <c r="K33" s="2">
        <v>23</v>
      </c>
      <c r="L33" s="2">
        <v>0</v>
      </c>
      <c r="M33" s="2">
        <v>0</v>
      </c>
      <c r="N33" s="2">
        <v>8</v>
      </c>
      <c r="O33" s="2">
        <v>5</v>
      </c>
      <c r="P33" s="2">
        <v>10</v>
      </c>
      <c r="Q33" s="2" t="s">
        <v>3022</v>
      </c>
      <c r="R33" s="2" t="s">
        <v>3022</v>
      </c>
      <c r="S33" s="4">
        <v>44945</v>
      </c>
    </row>
    <row r="34" spans="1:19" ht="12.5" x14ac:dyDescent="0.25">
      <c r="A34" s="14" t="str">
        <f>HYPERLINK("https://gerandofalcoes.my.salesforce.com/0014X00002Yggi8QAB", "0014X00002Yggi8QAB")</f>
        <v>0014X00002Yggi8QAB</v>
      </c>
      <c r="B34" s="2" t="s">
        <v>3081</v>
      </c>
      <c r="C34" s="2" t="s">
        <v>423</v>
      </c>
      <c r="D34" s="2" t="s">
        <v>2</v>
      </c>
      <c r="E34" s="2"/>
      <c r="F34" s="2">
        <v>0</v>
      </c>
      <c r="G34" s="2">
        <v>2</v>
      </c>
      <c r="H34" s="2">
        <v>50</v>
      </c>
      <c r="I34" s="2">
        <v>50</v>
      </c>
      <c r="J34" s="2"/>
      <c r="K34" s="2">
        <v>16</v>
      </c>
      <c r="L34" s="2">
        <v>0</v>
      </c>
      <c r="M34" s="2">
        <v>0</v>
      </c>
      <c r="N34" s="2">
        <v>6</v>
      </c>
      <c r="O34" s="2">
        <v>5</v>
      </c>
      <c r="P34" s="2">
        <v>5</v>
      </c>
      <c r="Q34" s="2" t="s">
        <v>3082</v>
      </c>
      <c r="R34" s="2" t="s">
        <v>3082</v>
      </c>
      <c r="S34" s="4">
        <v>44946</v>
      </c>
    </row>
    <row r="35" spans="1:19" ht="12.5" x14ac:dyDescent="0.25">
      <c r="A35" s="14" t="str">
        <f>HYPERLINK("https://gerandofalcoes.my.salesforce.com/0014X00002YgglFQAR", "0014X00002YgglFQAR")</f>
        <v>0014X00002YgglFQAR</v>
      </c>
      <c r="B35" s="2" t="s">
        <v>3087</v>
      </c>
      <c r="C35" s="2" t="s">
        <v>423</v>
      </c>
      <c r="D35" s="2" t="s">
        <v>2</v>
      </c>
      <c r="E35" s="2"/>
      <c r="F35" s="2">
        <v>0</v>
      </c>
      <c r="G35" s="2">
        <v>5</v>
      </c>
      <c r="H35" s="2">
        <v>0</v>
      </c>
      <c r="I35" s="2">
        <v>0</v>
      </c>
      <c r="J35" s="2"/>
      <c r="K35" s="2">
        <v>10</v>
      </c>
      <c r="L35" s="2">
        <v>0</v>
      </c>
      <c r="M35" s="2">
        <v>0</v>
      </c>
      <c r="N35" s="2">
        <v>10</v>
      </c>
      <c r="O35" s="2">
        <v>0</v>
      </c>
      <c r="P35" s="2">
        <v>0</v>
      </c>
      <c r="Q35" s="2" t="s">
        <v>3088</v>
      </c>
      <c r="R35" s="2" t="s">
        <v>3089</v>
      </c>
      <c r="S35" s="4">
        <v>44946</v>
      </c>
    </row>
    <row r="36" spans="1:19" ht="12.5" x14ac:dyDescent="0.25">
      <c r="A36" s="14" t="str">
        <f>HYPERLINK("https://gerandofalcoes.my.salesforce.com/0014X00002YggmGQAR", "0014X00002YggmGQAR")</f>
        <v>0014X00002YggmGQAR</v>
      </c>
      <c r="B36" s="2" t="s">
        <v>3130</v>
      </c>
      <c r="C36" s="2" t="s">
        <v>423</v>
      </c>
      <c r="D36" s="2" t="s">
        <v>2</v>
      </c>
      <c r="E36" s="2"/>
      <c r="F36" s="2">
        <v>10</v>
      </c>
      <c r="G36" s="2">
        <v>2</v>
      </c>
      <c r="H36" s="2">
        <v>3000</v>
      </c>
      <c r="I36" s="2">
        <v>60</v>
      </c>
      <c r="J36" s="2"/>
      <c r="K36" s="2">
        <v>26</v>
      </c>
      <c r="L36" s="2">
        <v>0</v>
      </c>
      <c r="M36" s="2">
        <v>10</v>
      </c>
      <c r="N36" s="2">
        <v>6</v>
      </c>
      <c r="O36" s="2">
        <v>5</v>
      </c>
      <c r="P36" s="2">
        <v>5</v>
      </c>
      <c r="Q36" s="2" t="s">
        <v>3131</v>
      </c>
      <c r="R36" s="2" t="s">
        <v>3132</v>
      </c>
      <c r="S36" s="4">
        <v>44949</v>
      </c>
    </row>
    <row r="37" spans="1:19" ht="12.5" x14ac:dyDescent="0.25">
      <c r="A37" s="14" t="str">
        <f>HYPERLINK("https://gerandofalcoes.my.salesforce.com/0014X00002YggglQAB", "0014X00002YggglQAB")</f>
        <v>0014X00002YggglQAB</v>
      </c>
      <c r="B37" s="2" t="s">
        <v>7154</v>
      </c>
      <c r="C37" s="2" t="s">
        <v>423</v>
      </c>
      <c r="D37" s="2" t="s">
        <v>2</v>
      </c>
      <c r="E37" s="2"/>
      <c r="F37" s="2">
        <v>0</v>
      </c>
      <c r="G37" s="2">
        <v>2</v>
      </c>
      <c r="H37" s="2">
        <v>15000</v>
      </c>
      <c r="I37" s="2">
        <v>0</v>
      </c>
      <c r="J37" s="2"/>
      <c r="K37" s="2">
        <v>11</v>
      </c>
      <c r="L37" s="2">
        <v>0</v>
      </c>
      <c r="M37" s="2">
        <v>0</v>
      </c>
      <c r="N37" s="2">
        <v>6</v>
      </c>
      <c r="O37" s="2">
        <v>5</v>
      </c>
      <c r="P37" s="2">
        <v>0</v>
      </c>
      <c r="Q37" s="2" t="s">
        <v>7155</v>
      </c>
      <c r="R37" s="2" t="s">
        <v>3145</v>
      </c>
      <c r="S37" s="4">
        <v>44949</v>
      </c>
    </row>
    <row r="38" spans="1:19" ht="12.5" x14ac:dyDescent="0.25">
      <c r="A38" s="14" t="str">
        <f>HYPERLINK("https://gerandofalcoes.my.salesforce.com/0014X00002Yggp5QAB", "0014X00002Yggp5QAB")</f>
        <v>0014X00002Yggp5QAB</v>
      </c>
      <c r="B38" s="2" t="s">
        <v>3050</v>
      </c>
      <c r="C38" s="2" t="s">
        <v>423</v>
      </c>
      <c r="D38" s="2" t="s">
        <v>2</v>
      </c>
      <c r="E38" s="2"/>
      <c r="F38" s="2">
        <v>0</v>
      </c>
      <c r="G38" s="2">
        <v>2</v>
      </c>
      <c r="H38" s="2">
        <v>0</v>
      </c>
      <c r="I38" s="2">
        <v>0</v>
      </c>
      <c r="J38" s="2"/>
      <c r="K38" s="2">
        <v>6</v>
      </c>
      <c r="L38" s="2">
        <v>0</v>
      </c>
      <c r="M38" s="2">
        <v>0</v>
      </c>
      <c r="N38" s="2">
        <v>6</v>
      </c>
      <c r="O38" s="2">
        <v>0</v>
      </c>
      <c r="P38" s="2">
        <v>0</v>
      </c>
      <c r="Q38" s="2" t="s">
        <v>3051</v>
      </c>
      <c r="R38" s="2" t="s">
        <v>3052</v>
      </c>
      <c r="S38" s="4">
        <v>44946</v>
      </c>
    </row>
    <row r="39" spans="1:19" ht="12.5" x14ac:dyDescent="0.25">
      <c r="A39" s="14" t="str">
        <f>HYPERLINK("https://gerandofalcoes.my.salesforce.com/0014X00002YgbknQAB", "0014X00002YgbknQAB")</f>
        <v>0014X00002YgbknQAB</v>
      </c>
      <c r="B39" s="2" t="s">
        <v>3096</v>
      </c>
      <c r="C39" s="2" t="s">
        <v>423</v>
      </c>
      <c r="D39" s="2" t="s">
        <v>2</v>
      </c>
      <c r="E39" s="2"/>
      <c r="F39" s="2">
        <v>0</v>
      </c>
      <c r="G39" s="2">
        <v>0</v>
      </c>
      <c r="H39" s="2">
        <v>0</v>
      </c>
      <c r="I39" s="2">
        <v>0</v>
      </c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 t="s">
        <v>3097</v>
      </c>
      <c r="R39" s="2" t="s">
        <v>3097</v>
      </c>
      <c r="S39" s="4">
        <v>44947</v>
      </c>
    </row>
    <row r="40" spans="1:19" ht="12.5" x14ac:dyDescent="0.25">
      <c r="A40" s="14" t="str">
        <f>HYPERLINK("https://gerandofalcoes.my.salesforce.com/0014X00002YggimQAB", "0014X00002YggimQAB")</f>
        <v>0014X00002YggimQAB</v>
      </c>
      <c r="B40" s="2" t="s">
        <v>7170</v>
      </c>
      <c r="C40" s="2" t="s">
        <v>423</v>
      </c>
      <c r="D40" s="2" t="s">
        <v>2</v>
      </c>
      <c r="E40" s="2"/>
      <c r="F40" s="2">
        <v>0</v>
      </c>
      <c r="G40" s="2">
        <v>2</v>
      </c>
      <c r="H40" s="2">
        <v>200</v>
      </c>
      <c r="I40" s="2">
        <v>0</v>
      </c>
      <c r="J40" s="2"/>
      <c r="K40" s="2">
        <v>11</v>
      </c>
      <c r="L40" s="2">
        <v>0</v>
      </c>
      <c r="M40" s="2">
        <v>0</v>
      </c>
      <c r="N40" s="2">
        <v>6</v>
      </c>
      <c r="O40" s="2">
        <v>5</v>
      </c>
      <c r="P40" s="2">
        <v>0</v>
      </c>
      <c r="Q40" s="2" t="s">
        <v>3147</v>
      </c>
      <c r="R40" s="2" t="s">
        <v>3148</v>
      </c>
      <c r="S40" s="4">
        <v>44949</v>
      </c>
    </row>
    <row r="41" spans="1:19" ht="12.5" x14ac:dyDescent="0.25">
      <c r="A41" s="14" t="str">
        <f>HYPERLINK("https://gerandofalcoes.my.salesforce.com/0014X00002YggoKQAR", "0014X00002YggoKQAR")</f>
        <v>0014X00002YggoKQAR</v>
      </c>
      <c r="B41" s="2" t="s">
        <v>3019</v>
      </c>
      <c r="C41" s="2" t="s">
        <v>423</v>
      </c>
      <c r="D41" s="2" t="s">
        <v>2</v>
      </c>
      <c r="E41" s="2"/>
      <c r="F41" s="2">
        <v>1</v>
      </c>
      <c r="G41" s="2">
        <v>2</v>
      </c>
      <c r="H41" s="2">
        <v>7000</v>
      </c>
      <c r="I41" s="2">
        <v>0</v>
      </c>
      <c r="J41" s="2"/>
      <c r="K41" s="2">
        <v>16</v>
      </c>
      <c r="L41" s="2">
        <v>0</v>
      </c>
      <c r="M41" s="2">
        <v>5</v>
      </c>
      <c r="N41" s="2">
        <v>6</v>
      </c>
      <c r="O41" s="2">
        <v>5</v>
      </c>
      <c r="P41" s="2">
        <v>0</v>
      </c>
      <c r="Q41" s="2" t="s">
        <v>3020</v>
      </c>
      <c r="R41" s="2" t="s">
        <v>3020</v>
      </c>
      <c r="S41" s="4">
        <v>44945</v>
      </c>
    </row>
    <row r="42" spans="1:19" ht="12.5" x14ac:dyDescent="0.25">
      <c r="A42" s="14" t="str">
        <f>HYPERLINK("https://gerandofalcoes.my.salesforce.com/0014X00002YggjpQAB", "0014X00002YggjpQAB")</f>
        <v>0014X00002YggjpQAB</v>
      </c>
      <c r="B42" s="2" t="s">
        <v>3800</v>
      </c>
      <c r="C42" s="2" t="s">
        <v>423</v>
      </c>
      <c r="D42" s="2" t="s">
        <v>2</v>
      </c>
      <c r="E42" s="2"/>
      <c r="F42" s="2">
        <v>4</v>
      </c>
      <c r="G42" s="2">
        <v>5</v>
      </c>
      <c r="H42" s="2">
        <v>8500</v>
      </c>
      <c r="I42" s="2">
        <v>7</v>
      </c>
      <c r="J42" s="2"/>
      <c r="K42" s="2">
        <v>25</v>
      </c>
      <c r="L42" s="2">
        <v>0</v>
      </c>
      <c r="M42" s="2">
        <v>5</v>
      </c>
      <c r="N42" s="2">
        <v>10</v>
      </c>
      <c r="O42" s="2">
        <v>5</v>
      </c>
      <c r="P42" s="2">
        <v>5</v>
      </c>
      <c r="Q42" s="2" t="s">
        <v>3801</v>
      </c>
      <c r="R42" s="2" t="s">
        <v>3801</v>
      </c>
      <c r="S42" s="4">
        <v>44970</v>
      </c>
    </row>
    <row r="43" spans="1:19" ht="12.5" x14ac:dyDescent="0.25">
      <c r="A43" s="14" t="str">
        <f>HYPERLINK("https://gerandofalcoes.my.salesforce.com/0014X00002YggmSQAR", "0014X00002YggmSQAR")</f>
        <v>0014X00002YggmSQAR</v>
      </c>
      <c r="B43" s="2" t="s">
        <v>4626</v>
      </c>
      <c r="C43" s="2" t="s">
        <v>423</v>
      </c>
      <c r="D43" s="2" t="s">
        <v>2</v>
      </c>
      <c r="E43" s="2"/>
      <c r="F43" s="2">
        <v>4</v>
      </c>
      <c r="G43" s="2">
        <v>5</v>
      </c>
      <c r="H43" s="2">
        <v>12000</v>
      </c>
      <c r="I43" s="2">
        <v>0</v>
      </c>
      <c r="J43" s="2"/>
      <c r="K43" s="2">
        <v>20</v>
      </c>
      <c r="L43" s="2">
        <v>0</v>
      </c>
      <c r="M43" s="2">
        <v>5</v>
      </c>
      <c r="N43" s="2">
        <v>10</v>
      </c>
      <c r="O43" s="2">
        <v>5</v>
      </c>
      <c r="P43" s="2">
        <v>0</v>
      </c>
      <c r="Q43" s="2" t="s">
        <v>3060</v>
      </c>
      <c r="R43" s="2" t="s">
        <v>3061</v>
      </c>
      <c r="S43" s="4">
        <v>44946</v>
      </c>
    </row>
    <row r="44" spans="1:19" ht="12.5" x14ac:dyDescent="0.25">
      <c r="A44" s="14" t="str">
        <f>HYPERLINK("https://gerandofalcoes.my.salesforce.com/0014X00002YggmHQAR", "0014X00002YggmHQAR")</f>
        <v>0014X00002YggmHQAR</v>
      </c>
      <c r="B44" s="2" t="s">
        <v>3016</v>
      </c>
      <c r="C44" s="2" t="s">
        <v>423</v>
      </c>
      <c r="D44" s="2" t="s">
        <v>2</v>
      </c>
      <c r="E44" s="2"/>
      <c r="F44" s="2">
        <v>0</v>
      </c>
      <c r="G44" s="2">
        <v>5</v>
      </c>
      <c r="H44" s="2">
        <v>280524</v>
      </c>
      <c r="I44" s="2">
        <v>100</v>
      </c>
      <c r="J44" s="2"/>
      <c r="K44" s="2">
        <v>35</v>
      </c>
      <c r="L44" s="2">
        <v>0</v>
      </c>
      <c r="M44" s="2">
        <v>0</v>
      </c>
      <c r="N44" s="2">
        <v>10</v>
      </c>
      <c r="O44" s="2">
        <v>15</v>
      </c>
      <c r="P44" s="2">
        <v>10</v>
      </c>
      <c r="Q44" s="2" t="s">
        <v>3017</v>
      </c>
      <c r="R44" s="2" t="s">
        <v>3018</v>
      </c>
      <c r="S44" s="4">
        <v>44945</v>
      </c>
    </row>
    <row r="45" spans="1:19" ht="12.5" x14ac:dyDescent="0.25">
      <c r="A45" s="14" t="str">
        <f>HYPERLINK("https://gerandofalcoes.my.salesforce.com/0014X00002YggjKQAR", "0014X00002YggjKQAR")</f>
        <v>0014X00002YggjKQAR</v>
      </c>
      <c r="B45" s="2" t="s">
        <v>3133</v>
      </c>
      <c r="C45" s="2" t="s">
        <v>423</v>
      </c>
      <c r="D45" s="2" t="s">
        <v>2</v>
      </c>
      <c r="E45" s="2"/>
      <c r="F45" s="2">
        <v>4</v>
      </c>
      <c r="G45" s="2">
        <v>3</v>
      </c>
      <c r="H45" s="2">
        <v>18000</v>
      </c>
      <c r="I45" s="2">
        <v>50</v>
      </c>
      <c r="J45" s="2"/>
      <c r="K45" s="2">
        <v>23</v>
      </c>
      <c r="L45" s="2">
        <v>0</v>
      </c>
      <c r="M45" s="2">
        <v>5</v>
      </c>
      <c r="N45" s="2">
        <v>8</v>
      </c>
      <c r="O45" s="2">
        <v>5</v>
      </c>
      <c r="P45" s="2">
        <v>5</v>
      </c>
      <c r="Q45" s="2" t="s">
        <v>3134</v>
      </c>
      <c r="R45" s="2" t="s">
        <v>3135</v>
      </c>
      <c r="S45" s="4">
        <v>44949</v>
      </c>
    </row>
    <row r="46" spans="1:19" ht="12.5" x14ac:dyDescent="0.25">
      <c r="A46" s="14" t="str">
        <f>HYPERLINK("https://gerandofalcoes.my.salesforce.com/0014X00002YggnDQAR", "0014X00002YggnDQAR")</f>
        <v>0014X00002YggnDQAR</v>
      </c>
      <c r="B46" s="2" t="s">
        <v>3334</v>
      </c>
      <c r="C46" s="2" t="s">
        <v>423</v>
      </c>
      <c r="D46" s="2" t="s">
        <v>2</v>
      </c>
      <c r="E46" s="2"/>
      <c r="F46" s="2">
        <v>0</v>
      </c>
      <c r="G46" s="2">
        <v>3</v>
      </c>
      <c r="H46" s="2">
        <v>5000</v>
      </c>
      <c r="I46" s="2">
        <v>2000</v>
      </c>
      <c r="J46" s="2"/>
      <c r="K46" s="2">
        <v>33</v>
      </c>
      <c r="L46" s="2">
        <v>0</v>
      </c>
      <c r="M46" s="2">
        <v>0</v>
      </c>
      <c r="N46" s="2">
        <v>8</v>
      </c>
      <c r="O46" s="2">
        <v>5</v>
      </c>
      <c r="P46" s="2">
        <v>20</v>
      </c>
      <c r="Q46" s="2" t="s">
        <v>3335</v>
      </c>
      <c r="R46" s="2" t="s">
        <v>3336</v>
      </c>
      <c r="S46" s="4">
        <v>44953</v>
      </c>
    </row>
    <row r="47" spans="1:19" ht="12.5" x14ac:dyDescent="0.25">
      <c r="A47" s="14" t="str">
        <f>HYPERLINK("https://gerandofalcoes.my.salesforce.com/0014X00002YggnIQAR", "0014X00002YggnIQAR")</f>
        <v>0014X00002YggnIQAR</v>
      </c>
      <c r="B47" s="2" t="s">
        <v>3789</v>
      </c>
      <c r="C47" s="2" t="s">
        <v>423</v>
      </c>
      <c r="D47" s="2" t="s">
        <v>2</v>
      </c>
      <c r="E47" s="2"/>
      <c r="F47" s="2">
        <v>0</v>
      </c>
      <c r="G47" s="2">
        <v>2</v>
      </c>
      <c r="H47" s="2">
        <v>1000</v>
      </c>
      <c r="I47" s="2">
        <v>20</v>
      </c>
      <c r="J47" s="2"/>
      <c r="K47" s="2">
        <v>16</v>
      </c>
      <c r="L47" s="2">
        <v>0</v>
      </c>
      <c r="M47" s="2">
        <v>0</v>
      </c>
      <c r="N47" s="2">
        <v>6</v>
      </c>
      <c r="O47" s="2">
        <v>5</v>
      </c>
      <c r="P47" s="2">
        <v>5</v>
      </c>
      <c r="Q47" s="2" t="s">
        <v>3790</v>
      </c>
      <c r="R47" s="2" t="s">
        <v>3791</v>
      </c>
      <c r="S47" s="4">
        <v>44968</v>
      </c>
    </row>
    <row r="48" spans="1:19" ht="12.5" x14ac:dyDescent="0.25">
      <c r="A48" s="14" t="str">
        <f>HYPERLINK("https://gerandofalcoes.my.salesforce.com/0014X00002YgbkdQAB", "0014X00002YgbkdQAB")</f>
        <v>0014X00002YgbkdQAB</v>
      </c>
      <c r="B48" s="2" t="s">
        <v>3157</v>
      </c>
      <c r="C48" s="2" t="s">
        <v>423</v>
      </c>
      <c r="D48" s="2" t="s">
        <v>2</v>
      </c>
      <c r="E48" s="2"/>
      <c r="F48" s="2">
        <v>0</v>
      </c>
      <c r="G48" s="2">
        <v>0</v>
      </c>
      <c r="H48" s="2">
        <v>0</v>
      </c>
      <c r="I48" s="2">
        <v>0</v>
      </c>
      <c r="J48" s="2"/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 t="s">
        <v>3158</v>
      </c>
      <c r="R48" s="2" t="s">
        <v>3159</v>
      </c>
      <c r="S48" s="4">
        <v>44950</v>
      </c>
    </row>
    <row r="49" spans="1:19" ht="12.5" x14ac:dyDescent="0.25">
      <c r="A49" s="14" t="str">
        <f>HYPERLINK("https://gerandofalcoes.my.salesforce.com/0014X00002YggquQAB", "0014X00002YggquQAB")</f>
        <v>0014X00002YggquQAB</v>
      </c>
      <c r="B49" s="2" t="s">
        <v>3171</v>
      </c>
      <c r="C49" s="2" t="s">
        <v>423</v>
      </c>
      <c r="D49" s="2" t="s">
        <v>2</v>
      </c>
      <c r="E49" s="2"/>
      <c r="F49" s="2">
        <v>4</v>
      </c>
      <c r="G49" s="2">
        <v>11</v>
      </c>
      <c r="H49" s="2">
        <v>0</v>
      </c>
      <c r="I49" s="2">
        <v>0</v>
      </c>
      <c r="J49" s="2"/>
      <c r="K49" s="2">
        <v>15</v>
      </c>
      <c r="L49" s="2">
        <v>0</v>
      </c>
      <c r="M49" s="2">
        <v>5</v>
      </c>
      <c r="N49" s="2">
        <v>10</v>
      </c>
      <c r="O49" s="2">
        <v>0</v>
      </c>
      <c r="P49" s="2">
        <v>0</v>
      </c>
      <c r="Q49" s="2" t="s">
        <v>3172</v>
      </c>
      <c r="R49" s="2" t="s">
        <v>3172</v>
      </c>
      <c r="S49" s="4">
        <v>44950</v>
      </c>
    </row>
    <row r="50" spans="1:19" ht="12.5" x14ac:dyDescent="0.25">
      <c r="A50" s="14" t="str">
        <f>HYPERLINK("https://gerandofalcoes.my.salesforce.com/0014X00002YggprQAB", "0014X00002YggprQAB")</f>
        <v>0014X00002YggprQAB</v>
      </c>
      <c r="B50" s="2" t="s">
        <v>3168</v>
      </c>
      <c r="C50" s="2" t="s">
        <v>423</v>
      </c>
      <c r="D50" s="2" t="s">
        <v>2</v>
      </c>
      <c r="E50" s="2"/>
      <c r="F50" s="2">
        <v>0</v>
      </c>
      <c r="G50" s="2">
        <v>2</v>
      </c>
      <c r="H50" s="2">
        <v>300</v>
      </c>
      <c r="I50" s="2">
        <v>60</v>
      </c>
      <c r="J50" s="2"/>
      <c r="K50" s="2">
        <v>16</v>
      </c>
      <c r="L50" s="2">
        <v>0</v>
      </c>
      <c r="M50" s="2">
        <v>0</v>
      </c>
      <c r="N50" s="2">
        <v>6</v>
      </c>
      <c r="O50" s="2">
        <v>5</v>
      </c>
      <c r="P50" s="2">
        <v>5</v>
      </c>
      <c r="Q50" s="2" t="s">
        <v>3169</v>
      </c>
      <c r="R50" s="2" t="s">
        <v>3170</v>
      </c>
      <c r="S50" s="4">
        <v>44950</v>
      </c>
    </row>
    <row r="51" spans="1:19" ht="12.5" x14ac:dyDescent="0.25">
      <c r="A51" s="14" t="str">
        <f>HYPERLINK("https://gerandofalcoes.my.salesforce.com/0014X00002Yggi2QAB", "0014X00002Yggi2QAB")</f>
        <v>0014X00002Yggi2QAB</v>
      </c>
      <c r="B51" s="2" t="s">
        <v>3152</v>
      </c>
      <c r="C51" s="2" t="s">
        <v>423</v>
      </c>
      <c r="D51" s="2" t="s">
        <v>2</v>
      </c>
      <c r="E51" s="2"/>
      <c r="F51" s="2">
        <v>0</v>
      </c>
      <c r="G51" s="2">
        <v>2</v>
      </c>
      <c r="H51" s="2">
        <v>1200</v>
      </c>
      <c r="I51" s="2">
        <v>320</v>
      </c>
      <c r="J51" s="2"/>
      <c r="K51" s="2">
        <v>26</v>
      </c>
      <c r="L51" s="2">
        <v>0</v>
      </c>
      <c r="M51" s="2">
        <v>0</v>
      </c>
      <c r="N51" s="2">
        <v>6</v>
      </c>
      <c r="O51" s="2">
        <v>5</v>
      </c>
      <c r="P51" s="2">
        <v>15</v>
      </c>
      <c r="Q51" s="2" t="s">
        <v>3153</v>
      </c>
      <c r="R51" s="2" t="s">
        <v>3153</v>
      </c>
      <c r="S51" s="4">
        <v>44950</v>
      </c>
    </row>
    <row r="52" spans="1:19" ht="12.5" x14ac:dyDescent="0.25">
      <c r="A52" s="14" t="str">
        <f>HYPERLINK("https://gerandofalcoes.my.salesforce.com/0014X00002YggnfQAB", "0014X00002YggnfQAB")</f>
        <v>0014X00002YggnfQAB</v>
      </c>
      <c r="B52" s="2" t="s">
        <v>3166</v>
      </c>
      <c r="C52" s="2" t="s">
        <v>423</v>
      </c>
      <c r="D52" s="2" t="s">
        <v>2</v>
      </c>
      <c r="E52" s="2"/>
      <c r="F52" s="2">
        <v>1</v>
      </c>
      <c r="G52" s="2">
        <v>4</v>
      </c>
      <c r="H52" s="2">
        <v>4000</v>
      </c>
      <c r="I52" s="2">
        <v>90</v>
      </c>
      <c r="J52" s="2"/>
      <c r="K52" s="2">
        <v>30</v>
      </c>
      <c r="L52" s="2">
        <v>0</v>
      </c>
      <c r="M52" s="2">
        <v>5</v>
      </c>
      <c r="N52" s="2">
        <v>10</v>
      </c>
      <c r="O52" s="2">
        <v>5</v>
      </c>
      <c r="P52" s="2">
        <v>10</v>
      </c>
      <c r="Q52" s="2" t="s">
        <v>3167</v>
      </c>
      <c r="R52" s="2" t="s">
        <v>3167</v>
      </c>
      <c r="S52" s="4">
        <v>44950</v>
      </c>
    </row>
    <row r="53" spans="1:19" ht="12.5" x14ac:dyDescent="0.25">
      <c r="A53" s="14" t="str">
        <f>HYPERLINK("https://gerandofalcoes.my.salesforce.com/0014X00002YggiVQAR", "0014X00002YggiVQAR")</f>
        <v>0014X00002YggiVQAR</v>
      </c>
      <c r="B53" s="2" t="s">
        <v>3182</v>
      </c>
      <c r="C53" s="2" t="s">
        <v>423</v>
      </c>
      <c r="D53" s="2" t="s">
        <v>2</v>
      </c>
      <c r="E53" s="2"/>
      <c r="F53" s="2">
        <v>10</v>
      </c>
      <c r="G53" s="2">
        <v>2</v>
      </c>
      <c r="H53" s="2">
        <v>8000</v>
      </c>
      <c r="I53" s="2">
        <v>40</v>
      </c>
      <c r="J53" s="2"/>
      <c r="K53" s="2">
        <v>26</v>
      </c>
      <c r="L53" s="2">
        <v>0</v>
      </c>
      <c r="M53" s="2">
        <v>10</v>
      </c>
      <c r="N53" s="2">
        <v>6</v>
      </c>
      <c r="O53" s="2">
        <v>5</v>
      </c>
      <c r="P53" s="2">
        <v>5</v>
      </c>
      <c r="Q53" s="2" t="s">
        <v>3183</v>
      </c>
      <c r="R53" s="2" t="s">
        <v>3184</v>
      </c>
      <c r="S53" s="4">
        <v>44951</v>
      </c>
    </row>
    <row r="54" spans="1:19" ht="12.5" x14ac:dyDescent="0.25">
      <c r="A54" s="14" t="str">
        <f>HYPERLINK("https://gerandofalcoes.my.salesforce.com/0014X00002YggoXQAR", "0014X00002YggoXQAR")</f>
        <v>0014X00002YggoXQAR</v>
      </c>
      <c r="B54" s="2" t="s">
        <v>3195</v>
      </c>
      <c r="C54" s="2" t="s">
        <v>423</v>
      </c>
      <c r="D54" s="2" t="s">
        <v>2</v>
      </c>
      <c r="E54" s="2"/>
      <c r="F54" s="2">
        <v>10</v>
      </c>
      <c r="G54" s="2">
        <v>2</v>
      </c>
      <c r="H54" s="2">
        <v>8000</v>
      </c>
      <c r="I54" s="2">
        <v>60</v>
      </c>
      <c r="J54" s="2"/>
      <c r="K54" s="2">
        <v>26</v>
      </c>
      <c r="L54" s="2">
        <v>0</v>
      </c>
      <c r="M54" s="2">
        <v>10</v>
      </c>
      <c r="N54" s="2">
        <v>6</v>
      </c>
      <c r="O54" s="2">
        <v>5</v>
      </c>
      <c r="P54" s="2">
        <v>5</v>
      </c>
      <c r="Q54" s="2" t="s">
        <v>3196</v>
      </c>
      <c r="R54" s="2" t="s">
        <v>3197</v>
      </c>
      <c r="S54" s="4">
        <v>44951</v>
      </c>
    </row>
    <row r="55" spans="1:19" ht="12.5" x14ac:dyDescent="0.25">
      <c r="A55" s="14" t="str">
        <f>HYPERLINK("https://gerandofalcoes.my.salesforce.com/0014X00002YggmRQAR", "0014X00002YggmRQAR")</f>
        <v>0014X00002YggmRQAR</v>
      </c>
      <c r="B55" s="2" t="s">
        <v>3198</v>
      </c>
      <c r="C55" s="2" t="s">
        <v>423</v>
      </c>
      <c r="D55" s="2" t="s">
        <v>2</v>
      </c>
      <c r="E55" s="2"/>
      <c r="F55" s="2">
        <v>0</v>
      </c>
      <c r="G55" s="2">
        <v>2</v>
      </c>
      <c r="H55" s="2">
        <v>5000</v>
      </c>
      <c r="I55" s="2">
        <v>20</v>
      </c>
      <c r="J55" s="2"/>
      <c r="K55" s="2">
        <v>16</v>
      </c>
      <c r="L55" s="2">
        <v>0</v>
      </c>
      <c r="M55" s="2">
        <v>0</v>
      </c>
      <c r="N55" s="2">
        <v>6</v>
      </c>
      <c r="O55" s="2">
        <v>5</v>
      </c>
      <c r="P55" s="2">
        <v>5</v>
      </c>
      <c r="Q55" s="2" t="s">
        <v>3199</v>
      </c>
      <c r="R55" s="2" t="s">
        <v>3199</v>
      </c>
      <c r="S55" s="4">
        <v>44951</v>
      </c>
    </row>
    <row r="56" spans="1:19" ht="12.5" x14ac:dyDescent="0.25">
      <c r="A56" s="14" t="str">
        <f>HYPERLINK("https://gerandofalcoes.my.salesforce.com/0014X00002YggnzQAB", "0014X00002YggnzQAB")</f>
        <v>0014X00002YggnzQAB</v>
      </c>
      <c r="B56" s="2" t="s">
        <v>3228</v>
      </c>
      <c r="C56" s="2" t="s">
        <v>423</v>
      </c>
      <c r="D56" s="2" t="s">
        <v>2</v>
      </c>
      <c r="E56" s="2"/>
      <c r="F56" s="2">
        <v>3</v>
      </c>
      <c r="G56" s="2">
        <v>3</v>
      </c>
      <c r="H56" s="2">
        <v>19000</v>
      </c>
      <c r="I56" s="2">
        <v>25</v>
      </c>
      <c r="J56" s="2"/>
      <c r="K56" s="2">
        <v>23</v>
      </c>
      <c r="L56" s="2">
        <v>0</v>
      </c>
      <c r="M56" s="2">
        <v>5</v>
      </c>
      <c r="N56" s="2">
        <v>8</v>
      </c>
      <c r="O56" s="2">
        <v>5</v>
      </c>
      <c r="P56" s="2">
        <v>5</v>
      </c>
      <c r="Q56" s="2" t="s">
        <v>3229</v>
      </c>
      <c r="R56" s="2" t="s">
        <v>3229</v>
      </c>
      <c r="S56" s="4">
        <v>44951</v>
      </c>
    </row>
    <row r="57" spans="1:19" ht="12.5" x14ac:dyDescent="0.25">
      <c r="A57" s="14" t="str">
        <f>HYPERLINK("https://gerandofalcoes.my.salesforce.com/0014X00002YggpQQAR", "0014X00002YggpQQAR")</f>
        <v>0014X00002YggpQQAR</v>
      </c>
      <c r="B57" s="2" t="s">
        <v>3202</v>
      </c>
      <c r="C57" s="2" t="s">
        <v>423</v>
      </c>
      <c r="D57" s="2" t="s">
        <v>2</v>
      </c>
      <c r="E57" s="2"/>
      <c r="F57" s="2">
        <v>1</v>
      </c>
      <c r="G57" s="2">
        <v>3</v>
      </c>
      <c r="H57" s="2">
        <v>3000</v>
      </c>
      <c r="I57" s="2">
        <v>50</v>
      </c>
      <c r="J57" s="2"/>
      <c r="K57" s="2">
        <v>23</v>
      </c>
      <c r="L57" s="2">
        <v>0</v>
      </c>
      <c r="M57" s="2">
        <v>5</v>
      </c>
      <c r="N57" s="2">
        <v>8</v>
      </c>
      <c r="O57" s="2">
        <v>5</v>
      </c>
      <c r="P57" s="2">
        <v>5</v>
      </c>
      <c r="Q57" s="2" t="s">
        <v>3203</v>
      </c>
      <c r="R57" s="2" t="s">
        <v>3203</v>
      </c>
      <c r="S57" s="4">
        <v>44951</v>
      </c>
    </row>
    <row r="58" spans="1:19" ht="12.5" x14ac:dyDescent="0.25">
      <c r="A58" s="14" t="str">
        <f>HYPERLINK("https://gerandofalcoes.my.salesforce.com/0014X00002YgglMQAR", "0014X00002YgglMQAR")</f>
        <v>0014X00002YgglMQAR</v>
      </c>
      <c r="B58" s="2" t="s">
        <v>3188</v>
      </c>
      <c r="C58" s="2" t="s">
        <v>423</v>
      </c>
      <c r="D58" s="2" t="s">
        <v>2</v>
      </c>
      <c r="E58" s="2"/>
      <c r="F58" s="2">
        <v>1</v>
      </c>
      <c r="G58" s="2">
        <v>2</v>
      </c>
      <c r="H58" s="2">
        <v>12000</v>
      </c>
      <c r="I58" s="2">
        <v>3</v>
      </c>
      <c r="J58" s="2"/>
      <c r="K58" s="2">
        <v>21</v>
      </c>
      <c r="L58" s="2">
        <v>0</v>
      </c>
      <c r="M58" s="2">
        <v>5</v>
      </c>
      <c r="N58" s="2">
        <v>6</v>
      </c>
      <c r="O58" s="2">
        <v>5</v>
      </c>
      <c r="P58" s="2">
        <v>5</v>
      </c>
      <c r="Q58" s="2" t="s">
        <v>3189</v>
      </c>
      <c r="R58" s="2" t="s">
        <v>3190</v>
      </c>
      <c r="S58" s="4">
        <v>44951</v>
      </c>
    </row>
    <row r="59" spans="1:19" ht="12.5" x14ac:dyDescent="0.25">
      <c r="A59" s="14" t="str">
        <f>HYPERLINK("https://gerandofalcoes.my.salesforce.com/0014X00002YggjZQAR", "0014X00002YggjZQAR")</f>
        <v>0014X00002YggjZQAR</v>
      </c>
      <c r="B59" s="2" t="s">
        <v>3281</v>
      </c>
      <c r="C59" s="2" t="s">
        <v>423</v>
      </c>
      <c r="D59" s="2" t="s">
        <v>2</v>
      </c>
      <c r="E59" s="2"/>
      <c r="F59" s="2">
        <v>0</v>
      </c>
      <c r="G59" s="2">
        <v>3</v>
      </c>
      <c r="H59" s="2">
        <v>9000</v>
      </c>
      <c r="I59" s="2">
        <v>75</v>
      </c>
      <c r="J59" s="2"/>
      <c r="K59" s="2">
        <v>18</v>
      </c>
      <c r="L59" s="2">
        <v>0</v>
      </c>
      <c r="M59" s="2">
        <v>0</v>
      </c>
      <c r="N59" s="2">
        <v>8</v>
      </c>
      <c r="O59" s="2">
        <v>5</v>
      </c>
      <c r="P59" s="2">
        <v>5</v>
      </c>
      <c r="Q59" s="2" t="s">
        <v>3282</v>
      </c>
      <c r="R59" s="2" t="s">
        <v>3282</v>
      </c>
      <c r="S59" s="4">
        <v>44952</v>
      </c>
    </row>
    <row r="60" spans="1:19" ht="12.5" x14ac:dyDescent="0.25">
      <c r="A60" s="14" t="str">
        <f>HYPERLINK("https://gerandofalcoes.my.salesforce.com/0014X00002YggjoQAB", "0014X00002YggjoQAB")</f>
        <v>0014X00002YggjoQAB</v>
      </c>
      <c r="B60" s="2" t="s">
        <v>3283</v>
      </c>
      <c r="C60" s="2" t="s">
        <v>423</v>
      </c>
      <c r="D60" s="2" t="s">
        <v>2</v>
      </c>
      <c r="E60" s="2"/>
      <c r="F60" s="2">
        <v>3</v>
      </c>
      <c r="G60" s="2">
        <v>2</v>
      </c>
      <c r="H60" s="2">
        <v>280000</v>
      </c>
      <c r="I60" s="2">
        <v>50</v>
      </c>
      <c r="J60" s="2"/>
      <c r="K60" s="2">
        <v>31</v>
      </c>
      <c r="L60" s="2">
        <v>0</v>
      </c>
      <c r="M60" s="2">
        <v>5</v>
      </c>
      <c r="N60" s="2">
        <v>6</v>
      </c>
      <c r="O60" s="2">
        <v>15</v>
      </c>
      <c r="P60" s="2">
        <v>5</v>
      </c>
      <c r="Q60" s="2" t="s">
        <v>3284</v>
      </c>
      <c r="R60" s="2" t="s">
        <v>3285</v>
      </c>
      <c r="S60" s="4">
        <v>44952</v>
      </c>
    </row>
    <row r="61" spans="1:19" ht="12.5" x14ac:dyDescent="0.25">
      <c r="A61" s="14" t="str">
        <f>HYPERLINK("https://gerandofalcoes.my.salesforce.com/0014X00002YggiiQAB", "0014X00002YggiiQAB")</f>
        <v>0014X00002YggiiQAB</v>
      </c>
      <c r="B61" s="2" t="s">
        <v>3265</v>
      </c>
      <c r="C61" s="2" t="s">
        <v>423</v>
      </c>
      <c r="D61" s="2" t="s">
        <v>2</v>
      </c>
      <c r="E61" s="2"/>
      <c r="F61" s="2">
        <v>0</v>
      </c>
      <c r="G61" s="2">
        <v>2</v>
      </c>
      <c r="H61" s="2">
        <v>1500</v>
      </c>
      <c r="I61" s="2">
        <v>30</v>
      </c>
      <c r="J61" s="2"/>
      <c r="K61" s="2">
        <v>16</v>
      </c>
      <c r="L61" s="2">
        <v>0</v>
      </c>
      <c r="M61" s="2">
        <v>0</v>
      </c>
      <c r="N61" s="2">
        <v>6</v>
      </c>
      <c r="O61" s="2">
        <v>5</v>
      </c>
      <c r="P61" s="2">
        <v>5</v>
      </c>
      <c r="Q61" s="2" t="s">
        <v>3267</v>
      </c>
      <c r="R61" s="2" t="s">
        <v>3267</v>
      </c>
      <c r="S61" s="4">
        <v>44952</v>
      </c>
    </row>
    <row r="62" spans="1:19" ht="12.5" x14ac:dyDescent="0.25">
      <c r="A62" s="14" t="str">
        <f>HYPERLINK("https://gerandofalcoes.my.salesforce.com/0014X00002YggivQAB", "0014X00002YggivQAB")</f>
        <v>0014X00002YggivQAB</v>
      </c>
      <c r="B62" s="2" t="s">
        <v>3931</v>
      </c>
      <c r="C62" s="2" t="s">
        <v>423</v>
      </c>
      <c r="D62" s="2" t="s">
        <v>2</v>
      </c>
      <c r="E62" s="2"/>
      <c r="F62" s="2">
        <v>4</v>
      </c>
      <c r="G62" s="2">
        <v>6</v>
      </c>
      <c r="H62" s="2">
        <v>20</v>
      </c>
      <c r="I62" s="2">
        <v>200</v>
      </c>
      <c r="J62" s="2"/>
      <c r="K62" s="2">
        <v>32</v>
      </c>
      <c r="L62" s="2">
        <v>0</v>
      </c>
      <c r="M62" s="2">
        <v>5</v>
      </c>
      <c r="N62" s="2">
        <v>10</v>
      </c>
      <c r="O62" s="2">
        <v>5</v>
      </c>
      <c r="P62" s="2">
        <v>12</v>
      </c>
      <c r="Q62" s="2" t="s">
        <v>3932</v>
      </c>
      <c r="R62" s="2" t="s">
        <v>3932</v>
      </c>
      <c r="S62" s="4">
        <v>44952</v>
      </c>
    </row>
    <row r="63" spans="1:19" ht="12.5" x14ac:dyDescent="0.25">
      <c r="A63" s="14" t="str">
        <f>HYPERLINK("https://gerandofalcoes.my.salesforce.com/0014X00002YgggtQAB", "0014X00002YgggtQAB")</f>
        <v>0014X00002YgggtQAB</v>
      </c>
      <c r="B63" s="2" t="s">
        <v>3275</v>
      </c>
      <c r="C63" s="2" t="s">
        <v>423</v>
      </c>
      <c r="D63" s="2" t="s">
        <v>2</v>
      </c>
      <c r="E63" s="2"/>
      <c r="F63" s="2">
        <v>6</v>
      </c>
      <c r="G63" s="2">
        <v>4</v>
      </c>
      <c r="H63" s="2">
        <v>142000</v>
      </c>
      <c r="I63" s="2">
        <v>120</v>
      </c>
      <c r="J63" s="2"/>
      <c r="K63" s="2">
        <v>45</v>
      </c>
      <c r="L63" s="2">
        <v>0</v>
      </c>
      <c r="M63" s="2">
        <v>10</v>
      </c>
      <c r="N63" s="2">
        <v>10</v>
      </c>
      <c r="O63" s="2">
        <v>15</v>
      </c>
      <c r="P63" s="2">
        <v>10</v>
      </c>
      <c r="Q63" s="2" t="s">
        <v>3276</v>
      </c>
      <c r="R63" s="2" t="s">
        <v>3277</v>
      </c>
      <c r="S63" s="4">
        <v>44952</v>
      </c>
    </row>
    <row r="64" spans="1:19" ht="12.5" x14ac:dyDescent="0.25">
      <c r="A64" s="14" t="str">
        <f>HYPERLINK("https://gerandofalcoes.my.salesforce.com/0014X00002YggpMQAR", "0014X00002YggpMQAR")</f>
        <v>0014X00002YggpMQAR</v>
      </c>
      <c r="B64" s="2" t="s">
        <v>3261</v>
      </c>
      <c r="C64" s="2" t="s">
        <v>423</v>
      </c>
      <c r="D64" s="2" t="s">
        <v>2</v>
      </c>
      <c r="E64" s="2"/>
      <c r="F64" s="2">
        <v>0</v>
      </c>
      <c r="G64" s="2">
        <v>5</v>
      </c>
      <c r="H64" s="2">
        <v>2000</v>
      </c>
      <c r="I64" s="2">
        <v>15</v>
      </c>
      <c r="J64" s="2"/>
      <c r="K64" s="2">
        <v>20</v>
      </c>
      <c r="L64" s="2">
        <v>0</v>
      </c>
      <c r="M64" s="2">
        <v>0</v>
      </c>
      <c r="N64" s="2">
        <v>10</v>
      </c>
      <c r="O64" s="2">
        <v>5</v>
      </c>
      <c r="P64" s="2">
        <v>5</v>
      </c>
      <c r="Q64" s="2" t="s">
        <v>3262</v>
      </c>
      <c r="R64" s="2" t="s">
        <v>3262</v>
      </c>
      <c r="S64" s="4">
        <v>44952</v>
      </c>
    </row>
    <row r="65" spans="1:19" ht="12.5" x14ac:dyDescent="0.25">
      <c r="A65" s="14" t="str">
        <f>HYPERLINK("https://gerandofalcoes.my.salesforce.com/0014X00002YggkaQAB", "0014X00002YggkaQAB")</f>
        <v>0014X00002YggkaQAB</v>
      </c>
      <c r="B65" s="2" t="s">
        <v>3253</v>
      </c>
      <c r="C65" s="2" t="s">
        <v>423</v>
      </c>
      <c r="D65" s="2" t="s">
        <v>2</v>
      </c>
      <c r="E65" s="2"/>
      <c r="F65" s="2">
        <v>0</v>
      </c>
      <c r="G65" s="2">
        <v>2</v>
      </c>
      <c r="H65" s="2">
        <v>0</v>
      </c>
      <c r="I65" s="2">
        <v>40</v>
      </c>
      <c r="J65" s="2"/>
      <c r="K65" s="2">
        <v>11</v>
      </c>
      <c r="L65" s="2">
        <v>0</v>
      </c>
      <c r="M65" s="2">
        <v>0</v>
      </c>
      <c r="N65" s="2">
        <v>6</v>
      </c>
      <c r="O65" s="2">
        <v>0</v>
      </c>
      <c r="P65" s="2">
        <v>5</v>
      </c>
      <c r="Q65" s="2" t="s">
        <v>3254</v>
      </c>
      <c r="R65" s="2" t="s">
        <v>3254</v>
      </c>
      <c r="S65" s="4">
        <v>44952</v>
      </c>
    </row>
    <row r="66" spans="1:19" ht="12.5" x14ac:dyDescent="0.25">
      <c r="A66" s="14" t="str">
        <f>HYPERLINK("https://gerandofalcoes.my.salesforce.com/0014X00002YggjIQAR", "0014X00002YggjIQAR")</f>
        <v>0014X00002YggjIQAR</v>
      </c>
      <c r="B66" s="2" t="s">
        <v>3272</v>
      </c>
      <c r="C66" s="2" t="s">
        <v>423</v>
      </c>
      <c r="D66" s="2" t="s">
        <v>2</v>
      </c>
      <c r="E66" s="2"/>
      <c r="F66" s="2">
        <v>3</v>
      </c>
      <c r="G66" s="2">
        <v>2</v>
      </c>
      <c r="H66" s="2">
        <v>2000</v>
      </c>
      <c r="I66" s="2">
        <v>125</v>
      </c>
      <c r="J66" s="2"/>
      <c r="K66" s="2">
        <v>26</v>
      </c>
      <c r="L66" s="2">
        <v>0</v>
      </c>
      <c r="M66" s="2">
        <v>5</v>
      </c>
      <c r="N66" s="2">
        <v>6</v>
      </c>
      <c r="O66" s="2">
        <v>5</v>
      </c>
      <c r="P66" s="2">
        <v>10</v>
      </c>
      <c r="Q66" s="2" t="s">
        <v>3273</v>
      </c>
      <c r="R66" s="2" t="s">
        <v>3274</v>
      </c>
      <c r="S66" s="4">
        <v>44952</v>
      </c>
    </row>
    <row r="67" spans="1:19" ht="12.5" x14ac:dyDescent="0.25">
      <c r="A67" s="14" t="str">
        <f>HYPERLINK("https://gerandofalcoes.my.salesforce.com/0014X00002YggoMQAR", "0014X00002YggoMQAR")</f>
        <v>0014X00002YggoMQAR</v>
      </c>
      <c r="B67" s="2" t="s">
        <v>3299</v>
      </c>
      <c r="C67" s="2" t="s">
        <v>423</v>
      </c>
      <c r="D67" s="2" t="s">
        <v>2</v>
      </c>
      <c r="E67" s="2"/>
      <c r="F67" s="2">
        <v>6</v>
      </c>
      <c r="G67" s="2">
        <v>3</v>
      </c>
      <c r="H67" s="2">
        <v>250000</v>
      </c>
      <c r="I67" s="2">
        <v>550</v>
      </c>
      <c r="J67" s="2"/>
      <c r="K67" s="2">
        <v>53</v>
      </c>
      <c r="L67" s="2">
        <v>0</v>
      </c>
      <c r="M67" s="2">
        <v>10</v>
      </c>
      <c r="N67" s="2">
        <v>8</v>
      </c>
      <c r="O67" s="2">
        <v>15</v>
      </c>
      <c r="P67" s="2">
        <v>20</v>
      </c>
      <c r="Q67" s="2" t="s">
        <v>3300</v>
      </c>
      <c r="R67" s="2" t="s">
        <v>3301</v>
      </c>
      <c r="S67" s="4">
        <v>44953</v>
      </c>
    </row>
    <row r="68" spans="1:19" ht="12.5" x14ac:dyDescent="0.25">
      <c r="A68" s="14" t="str">
        <f>HYPERLINK("https://gerandofalcoes.my.salesforce.com/0014X00002YggiEQAR", "0014X00002YggiEQAR")</f>
        <v>0014X00002YggiEQAR</v>
      </c>
      <c r="B68" s="2" t="s">
        <v>3241</v>
      </c>
      <c r="C68" s="2" t="s">
        <v>423</v>
      </c>
      <c r="D68" s="2" t="s">
        <v>2</v>
      </c>
      <c r="E68" s="2"/>
      <c r="F68" s="2">
        <v>23</v>
      </c>
      <c r="G68" s="2">
        <v>4</v>
      </c>
      <c r="H68" s="2">
        <v>750000</v>
      </c>
      <c r="I68" s="2">
        <v>0</v>
      </c>
      <c r="J68" s="2"/>
      <c r="K68" s="2">
        <v>42</v>
      </c>
      <c r="L68" s="2">
        <v>0</v>
      </c>
      <c r="M68" s="2">
        <v>12</v>
      </c>
      <c r="N68" s="2">
        <v>10</v>
      </c>
      <c r="O68" s="2">
        <v>20</v>
      </c>
      <c r="P68" s="2">
        <v>0</v>
      </c>
      <c r="Q68" s="2" t="s">
        <v>3242</v>
      </c>
      <c r="R68" s="2" t="s">
        <v>3243</v>
      </c>
      <c r="S68" s="4">
        <v>44952</v>
      </c>
    </row>
    <row r="69" spans="1:19" ht="12.5" x14ac:dyDescent="0.25">
      <c r="A69" s="14" t="str">
        <f>HYPERLINK("https://gerandofalcoes.my.salesforce.com/0014X00002YgghXQAR", "0014X00002YgghXQAR")</f>
        <v>0014X00002YgghXQAR</v>
      </c>
      <c r="B69" s="2" t="s">
        <v>3258</v>
      </c>
      <c r="C69" s="2" t="s">
        <v>423</v>
      </c>
      <c r="D69" s="2" t="s">
        <v>2</v>
      </c>
      <c r="E69" s="2"/>
      <c r="F69" s="2">
        <v>20</v>
      </c>
      <c r="G69" s="2">
        <v>4</v>
      </c>
      <c r="H69" s="2">
        <v>5000</v>
      </c>
      <c r="I69" s="2">
        <v>75</v>
      </c>
      <c r="J69" s="2"/>
      <c r="K69" s="2">
        <v>32</v>
      </c>
      <c r="L69" s="2">
        <v>0</v>
      </c>
      <c r="M69" s="2">
        <v>12</v>
      </c>
      <c r="N69" s="2">
        <v>10</v>
      </c>
      <c r="O69" s="2">
        <v>5</v>
      </c>
      <c r="P69" s="2">
        <v>5</v>
      </c>
      <c r="Q69" s="2" t="s">
        <v>3259</v>
      </c>
      <c r="R69" s="2" t="s">
        <v>3260</v>
      </c>
      <c r="S69" s="4">
        <v>44952</v>
      </c>
    </row>
    <row r="70" spans="1:19" ht="12.5" x14ac:dyDescent="0.25">
      <c r="A70" s="14" t="str">
        <f>HYPERLINK("https://gerandofalcoes.my.salesforce.com/0014X00002YggqwQAB", "0014X00002YggqwQAB")</f>
        <v>0014X00002YggqwQAB</v>
      </c>
      <c r="B70" s="2" t="s">
        <v>3319</v>
      </c>
      <c r="C70" s="2" t="s">
        <v>423</v>
      </c>
      <c r="D70" s="2" t="s">
        <v>2</v>
      </c>
      <c r="E70" s="2"/>
      <c r="F70" s="2">
        <v>4</v>
      </c>
      <c r="G70" s="2">
        <v>2</v>
      </c>
      <c r="H70" s="2">
        <v>6082</v>
      </c>
      <c r="I70" s="2">
        <v>50</v>
      </c>
      <c r="J70" s="2"/>
      <c r="K70" s="2">
        <v>21</v>
      </c>
      <c r="L70" s="2">
        <v>0</v>
      </c>
      <c r="M70" s="2">
        <v>5</v>
      </c>
      <c r="N70" s="2">
        <v>6</v>
      </c>
      <c r="O70" s="2">
        <v>5</v>
      </c>
      <c r="P70" s="2">
        <v>5</v>
      </c>
      <c r="Q70" s="2" t="s">
        <v>3320</v>
      </c>
      <c r="R70" s="2" t="s">
        <v>3321</v>
      </c>
      <c r="S70" s="4">
        <v>44953</v>
      </c>
    </row>
    <row r="71" spans="1:19" ht="12.5" x14ac:dyDescent="0.25">
      <c r="A71" s="14" t="str">
        <f>HYPERLINK("https://gerandofalcoes.my.salesforce.com/0014X00002Yggj3QAB", "0014X00002Yggj3QAB")</f>
        <v>0014X00002Yggj3QAB</v>
      </c>
      <c r="B71" s="2" t="s">
        <v>3357</v>
      </c>
      <c r="C71" s="2" t="s">
        <v>423</v>
      </c>
      <c r="D71" s="2" t="s">
        <v>2</v>
      </c>
      <c r="E71" s="2"/>
      <c r="F71" s="2">
        <v>0</v>
      </c>
      <c r="G71" s="2">
        <v>5</v>
      </c>
      <c r="H71" s="2">
        <v>1000</v>
      </c>
      <c r="I71" s="2">
        <v>80</v>
      </c>
      <c r="J71" s="2"/>
      <c r="K71" s="2">
        <v>25</v>
      </c>
      <c r="L71" s="2">
        <v>0</v>
      </c>
      <c r="M71" s="2">
        <v>0</v>
      </c>
      <c r="N71" s="2">
        <v>10</v>
      </c>
      <c r="O71" s="2">
        <v>5</v>
      </c>
      <c r="P71" s="2">
        <v>10</v>
      </c>
      <c r="Q71" s="2" t="s">
        <v>3358</v>
      </c>
      <c r="R71" s="2" t="s">
        <v>3359</v>
      </c>
      <c r="S71" s="4">
        <v>44953</v>
      </c>
    </row>
    <row r="72" spans="1:19" ht="12.5" x14ac:dyDescent="0.25">
      <c r="A72" s="14" t="str">
        <f>HYPERLINK("https://gerandofalcoes.my.salesforce.com/0014X00002YgbkTQAR", "0014X00002YgbkTQAR")</f>
        <v>0014X00002YgbkTQAR</v>
      </c>
      <c r="B72" s="2" t="s">
        <v>3337</v>
      </c>
      <c r="C72" s="2" t="s">
        <v>423</v>
      </c>
      <c r="D72" s="2" t="s">
        <v>2</v>
      </c>
      <c r="E72" s="2"/>
      <c r="F72" s="2">
        <v>0</v>
      </c>
      <c r="G72" s="2">
        <v>0</v>
      </c>
      <c r="H72" s="2">
        <v>0</v>
      </c>
      <c r="I72" s="2">
        <v>0</v>
      </c>
      <c r="J72" s="2"/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 t="s">
        <v>3338</v>
      </c>
      <c r="R72" s="2" t="s">
        <v>3339</v>
      </c>
      <c r="S72" s="4">
        <v>44953</v>
      </c>
    </row>
    <row r="73" spans="1:19" ht="12.5" x14ac:dyDescent="0.25">
      <c r="A73" s="14" t="str">
        <f>HYPERLINK("https://gerandofalcoes.my.salesforce.com/0014X00002YggqKQAR", "0014X00002YggqKQAR")</f>
        <v>0014X00002YggqKQAR</v>
      </c>
      <c r="B73" s="2" t="s">
        <v>3372</v>
      </c>
      <c r="C73" s="2" t="s">
        <v>423</v>
      </c>
      <c r="D73" s="2" t="s">
        <v>2</v>
      </c>
      <c r="E73" s="2"/>
      <c r="F73" s="2">
        <v>0</v>
      </c>
      <c r="G73" s="2">
        <v>4</v>
      </c>
      <c r="H73" s="2">
        <v>11000</v>
      </c>
      <c r="I73" s="2">
        <v>10</v>
      </c>
      <c r="J73" s="2"/>
      <c r="K73" s="2">
        <v>20</v>
      </c>
      <c r="L73" s="2">
        <v>0</v>
      </c>
      <c r="M73" s="2">
        <v>0</v>
      </c>
      <c r="N73" s="2">
        <v>10</v>
      </c>
      <c r="O73" s="2">
        <v>5</v>
      </c>
      <c r="P73" s="2">
        <v>5</v>
      </c>
      <c r="Q73" s="2" t="s">
        <v>3373</v>
      </c>
      <c r="R73" s="2" t="s">
        <v>3374</v>
      </c>
      <c r="S73" s="4">
        <v>44953</v>
      </c>
    </row>
    <row r="74" spans="1:19" ht="12.5" x14ac:dyDescent="0.25">
      <c r="A74" s="14" t="str">
        <f>HYPERLINK("https://gerandofalcoes.my.salesforce.com/0014X00002YggoDQAR", "0014X00002YggoDQAR")</f>
        <v>0014X00002YggoDQAR</v>
      </c>
      <c r="B74" s="2" t="s">
        <v>3662</v>
      </c>
      <c r="C74" s="2" t="s">
        <v>423</v>
      </c>
      <c r="D74" s="2" t="s">
        <v>2</v>
      </c>
      <c r="E74" s="2"/>
      <c r="F74" s="2">
        <v>0</v>
      </c>
      <c r="G74" s="2">
        <v>2</v>
      </c>
      <c r="H74" s="2">
        <v>0</v>
      </c>
      <c r="I74" s="2">
        <v>20</v>
      </c>
      <c r="J74" s="2"/>
      <c r="K74" s="2">
        <v>11</v>
      </c>
      <c r="L74" s="2">
        <v>0</v>
      </c>
      <c r="M74" s="2">
        <v>0</v>
      </c>
      <c r="N74" s="2">
        <v>6</v>
      </c>
      <c r="O74" s="2">
        <v>0</v>
      </c>
      <c r="P74" s="2">
        <v>5</v>
      </c>
      <c r="Q74" s="2" t="s">
        <v>3664</v>
      </c>
      <c r="R74" s="2" t="s">
        <v>3664</v>
      </c>
      <c r="S74" s="4">
        <v>44964</v>
      </c>
    </row>
    <row r="75" spans="1:19" ht="12.5" x14ac:dyDescent="0.25">
      <c r="A75" s="14" t="str">
        <f>HYPERLINK("https://gerandofalcoes.my.salesforce.com/0014X00002YggjqQAB", "0014X00002YggjqQAB")</f>
        <v>0014X00002YggjqQAB</v>
      </c>
      <c r="B75" s="2" t="s">
        <v>3617</v>
      </c>
      <c r="C75" s="2" t="s">
        <v>423</v>
      </c>
      <c r="D75" s="2" t="s">
        <v>2</v>
      </c>
      <c r="E75" s="2"/>
      <c r="F75" s="2">
        <v>2</v>
      </c>
      <c r="G75" s="2">
        <v>7</v>
      </c>
      <c r="H75" s="2">
        <v>100000</v>
      </c>
      <c r="I75" s="2">
        <v>120</v>
      </c>
      <c r="J75" s="2"/>
      <c r="K75" s="2">
        <v>40</v>
      </c>
      <c r="L75" s="2">
        <v>0</v>
      </c>
      <c r="M75" s="2">
        <v>5</v>
      </c>
      <c r="N75" s="2">
        <v>10</v>
      </c>
      <c r="O75" s="2">
        <v>15</v>
      </c>
      <c r="P75" s="2">
        <v>10</v>
      </c>
      <c r="Q75" s="2" t="s">
        <v>3618</v>
      </c>
      <c r="R75" s="2" t="s">
        <v>3619</v>
      </c>
      <c r="S75" s="4">
        <v>44963</v>
      </c>
    </row>
    <row r="76" spans="1:19" ht="12.5" x14ac:dyDescent="0.25">
      <c r="A76" s="14" t="str">
        <f>HYPERLINK("https://gerandofalcoes.my.salesforce.com/0014X00002YggiwQAB", "0014X00002YggiwQAB")</f>
        <v>0014X00002YggiwQAB</v>
      </c>
      <c r="B76" s="2" t="s">
        <v>3452</v>
      </c>
      <c r="C76" s="2" t="s">
        <v>423</v>
      </c>
      <c r="D76" s="2" t="s">
        <v>2</v>
      </c>
      <c r="E76" s="2"/>
      <c r="F76" s="2">
        <v>22</v>
      </c>
      <c r="G76" s="2">
        <v>5</v>
      </c>
      <c r="H76" s="2">
        <v>14400</v>
      </c>
      <c r="I76" s="2">
        <v>60</v>
      </c>
      <c r="J76" s="2"/>
      <c r="K76" s="2">
        <v>32</v>
      </c>
      <c r="L76" s="2">
        <v>0</v>
      </c>
      <c r="M76" s="2">
        <v>12</v>
      </c>
      <c r="N76" s="2">
        <v>10</v>
      </c>
      <c r="O76" s="2">
        <v>5</v>
      </c>
      <c r="P76" s="2">
        <v>5</v>
      </c>
      <c r="Q76" s="2" t="s">
        <v>3453</v>
      </c>
      <c r="R76" s="2" t="s">
        <v>3454</v>
      </c>
      <c r="S76" s="4">
        <v>44958</v>
      </c>
    </row>
    <row r="77" spans="1:19" ht="12.5" x14ac:dyDescent="0.25">
      <c r="A77" s="14" t="str">
        <f>HYPERLINK("https://gerandofalcoes.my.salesforce.com/0014X00002YggoRQAR", "0014X00002YggoRQAR")</f>
        <v>0014X00002YggoRQAR</v>
      </c>
      <c r="B77" s="2" t="s">
        <v>4299</v>
      </c>
      <c r="C77" s="2" t="s">
        <v>423</v>
      </c>
      <c r="D77" s="2" t="s">
        <v>2</v>
      </c>
      <c r="E77" s="2"/>
      <c r="F77" s="2">
        <v>0</v>
      </c>
      <c r="G77" s="2">
        <v>2</v>
      </c>
      <c r="H77" s="2">
        <v>0</v>
      </c>
      <c r="I77" s="2">
        <v>0</v>
      </c>
      <c r="J77" s="2"/>
      <c r="K77" s="2">
        <v>6</v>
      </c>
      <c r="L77" s="2">
        <v>0</v>
      </c>
      <c r="M77" s="2">
        <v>0</v>
      </c>
      <c r="N77" s="2">
        <v>6</v>
      </c>
      <c r="O77" s="2">
        <v>0</v>
      </c>
      <c r="P77" s="2">
        <v>0</v>
      </c>
      <c r="Q77" s="2" t="s">
        <v>3511</v>
      </c>
      <c r="R77" s="2" t="s">
        <v>3511</v>
      </c>
      <c r="S77" s="4">
        <v>44958</v>
      </c>
    </row>
    <row r="78" spans="1:19" ht="12.5" x14ac:dyDescent="0.25">
      <c r="A78" s="14" t="str">
        <f>HYPERLINK("https://gerandofalcoes.my.salesforce.com/0014X00002YgglLQAR", "0014X00002YgglLQAR")</f>
        <v>0014X00002YgglLQAR</v>
      </c>
      <c r="B78" s="2" t="s">
        <v>3547</v>
      </c>
      <c r="C78" s="2" t="s">
        <v>423</v>
      </c>
      <c r="D78" s="2" t="s">
        <v>2</v>
      </c>
      <c r="E78" s="2"/>
      <c r="F78" s="2">
        <v>7</v>
      </c>
      <c r="G78" s="2">
        <v>2</v>
      </c>
      <c r="H78" s="2">
        <v>1800</v>
      </c>
      <c r="I78" s="2">
        <v>48</v>
      </c>
      <c r="J78" s="2"/>
      <c r="K78" s="2">
        <v>26</v>
      </c>
      <c r="L78" s="2">
        <v>0</v>
      </c>
      <c r="M78" s="2">
        <v>10</v>
      </c>
      <c r="N78" s="2">
        <v>6</v>
      </c>
      <c r="O78" s="2">
        <v>5</v>
      </c>
      <c r="P78" s="2">
        <v>5</v>
      </c>
      <c r="Q78" s="2" t="s">
        <v>3548</v>
      </c>
      <c r="R78" s="2" t="s">
        <v>3548</v>
      </c>
      <c r="S78" s="4">
        <v>44959</v>
      </c>
    </row>
    <row r="79" spans="1:19" ht="12.5" x14ac:dyDescent="0.25">
      <c r="A79" s="14" t="str">
        <f>HYPERLINK("https://gerandofalcoes.my.salesforce.com/0014X00002YgbkQQAR", "0014X00002YgbkQQAR")</f>
        <v>0014X00002YgbkQQAR</v>
      </c>
      <c r="B79" s="2" t="s">
        <v>3542</v>
      </c>
      <c r="C79" s="2" t="s">
        <v>423</v>
      </c>
      <c r="D79" s="2" t="s">
        <v>2</v>
      </c>
      <c r="E79" s="2"/>
      <c r="F79" s="2">
        <v>0</v>
      </c>
      <c r="G79" s="2">
        <v>0</v>
      </c>
      <c r="H79" s="2">
        <v>0</v>
      </c>
      <c r="I79" s="2">
        <v>0</v>
      </c>
      <c r="J79" s="2"/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 t="s">
        <v>3543</v>
      </c>
      <c r="R79" s="2" t="s">
        <v>3544</v>
      </c>
      <c r="S79" s="4">
        <v>44959</v>
      </c>
    </row>
    <row r="80" spans="1:19" ht="12.5" x14ac:dyDescent="0.25">
      <c r="A80" s="14" t="str">
        <f>HYPERLINK("https://gerandofalcoes.my.salesforce.com/0014X00002Yggj6QAB", "0014X00002Yggj6QAB")</f>
        <v>0014X00002Yggj6QAB</v>
      </c>
      <c r="B80" s="2" t="s">
        <v>3535</v>
      </c>
      <c r="C80" s="2" t="s">
        <v>423</v>
      </c>
      <c r="D80" s="2" t="s">
        <v>2</v>
      </c>
      <c r="E80" s="2"/>
      <c r="F80" s="2">
        <v>1</v>
      </c>
      <c r="G80" s="2">
        <v>2</v>
      </c>
      <c r="H80" s="2">
        <v>4000</v>
      </c>
      <c r="I80" s="2">
        <v>50</v>
      </c>
      <c r="J80" s="2"/>
      <c r="K80" s="2">
        <v>21</v>
      </c>
      <c r="L80" s="2">
        <v>0</v>
      </c>
      <c r="M80" s="2">
        <v>5</v>
      </c>
      <c r="N80" s="2">
        <v>6</v>
      </c>
      <c r="O80" s="2">
        <v>5</v>
      </c>
      <c r="P80" s="2">
        <v>5</v>
      </c>
      <c r="Q80" s="2" t="s">
        <v>3536</v>
      </c>
      <c r="R80" s="2" t="s">
        <v>3536</v>
      </c>
      <c r="S80" s="4">
        <v>44959</v>
      </c>
    </row>
    <row r="81" spans="1:19" ht="12.5" x14ac:dyDescent="0.25">
      <c r="A81" s="14" t="str">
        <f>HYPERLINK("https://gerandofalcoes.my.salesforce.com/0014X00002YggkTQAR", "0014X00002YggkTQAR")</f>
        <v>0014X00002YggkTQAR</v>
      </c>
      <c r="B81" s="2" t="s">
        <v>3777</v>
      </c>
      <c r="C81" s="2" t="s">
        <v>423</v>
      </c>
      <c r="D81" s="2" t="s">
        <v>2</v>
      </c>
      <c r="E81" s="2"/>
      <c r="F81" s="2">
        <v>1</v>
      </c>
      <c r="G81" s="2">
        <v>4</v>
      </c>
      <c r="H81" s="2">
        <v>7134525</v>
      </c>
      <c r="I81" s="2">
        <v>20</v>
      </c>
      <c r="J81" s="2"/>
      <c r="K81" s="2">
        <v>45</v>
      </c>
      <c r="L81" s="2">
        <v>0</v>
      </c>
      <c r="M81" s="2">
        <v>5</v>
      </c>
      <c r="N81" s="2">
        <v>10</v>
      </c>
      <c r="O81" s="2">
        <v>25</v>
      </c>
      <c r="P81" s="2">
        <v>5</v>
      </c>
      <c r="Q81" s="2" t="s">
        <v>3778</v>
      </c>
      <c r="R81" s="2" t="s">
        <v>3778</v>
      </c>
      <c r="S81" s="4">
        <v>44968</v>
      </c>
    </row>
    <row r="82" spans="1:19" ht="12.5" x14ac:dyDescent="0.25">
      <c r="A82" s="14" t="str">
        <f>HYPERLINK("https://gerandofalcoes.my.salesforce.com/0014X00002YgghTQAR", "0014X00002YgghTQAR")</f>
        <v>0014X00002YgghTQAR</v>
      </c>
      <c r="B82" s="2" t="s">
        <v>3792</v>
      </c>
      <c r="C82" s="2" t="s">
        <v>423</v>
      </c>
      <c r="D82" s="2" t="s">
        <v>2</v>
      </c>
      <c r="E82" s="2"/>
      <c r="F82" s="2">
        <v>2</v>
      </c>
      <c r="G82" s="2">
        <v>2</v>
      </c>
      <c r="H82" s="2">
        <v>4500</v>
      </c>
      <c r="I82" s="2">
        <v>77</v>
      </c>
      <c r="J82" s="2"/>
      <c r="K82" s="2">
        <v>21</v>
      </c>
      <c r="L82" s="2">
        <v>0</v>
      </c>
      <c r="M82" s="2">
        <v>5</v>
      </c>
      <c r="N82" s="2">
        <v>6</v>
      </c>
      <c r="O82" s="2">
        <v>5</v>
      </c>
      <c r="P82" s="2">
        <v>5</v>
      </c>
      <c r="Q82" s="2" t="s">
        <v>3793</v>
      </c>
      <c r="R82" s="2" t="s">
        <v>3793</v>
      </c>
      <c r="S82" s="4">
        <v>44968</v>
      </c>
    </row>
    <row r="83" spans="1:19" ht="12.5" x14ac:dyDescent="0.25">
      <c r="A83" s="14" t="str">
        <f>HYPERLINK("https://gerandofalcoes.my.salesforce.com/0014X00002YggiQQAR", "0014X00002YggiQQAR")</f>
        <v>0014X00002YggiQQAR</v>
      </c>
      <c r="B83" s="2" t="s">
        <v>3149</v>
      </c>
      <c r="C83" s="2" t="s">
        <v>423</v>
      </c>
      <c r="D83" s="2" t="s">
        <v>2</v>
      </c>
      <c r="E83" s="2"/>
      <c r="F83" s="2">
        <v>30</v>
      </c>
      <c r="G83" s="2">
        <v>5</v>
      </c>
      <c r="H83" s="2">
        <v>190000</v>
      </c>
      <c r="I83" s="2">
        <v>178</v>
      </c>
      <c r="J83" s="2"/>
      <c r="K83" s="2">
        <v>49</v>
      </c>
      <c r="L83" s="2">
        <v>0</v>
      </c>
      <c r="M83" s="2">
        <v>12</v>
      </c>
      <c r="N83" s="2">
        <v>10</v>
      </c>
      <c r="O83" s="2">
        <v>15</v>
      </c>
      <c r="P83" s="2">
        <v>12</v>
      </c>
      <c r="Q83" s="2" t="s">
        <v>3150</v>
      </c>
      <c r="R83" s="2" t="s">
        <v>3151</v>
      </c>
      <c r="S83" s="4">
        <v>44950</v>
      </c>
    </row>
    <row r="84" spans="1:19" ht="12.5" x14ac:dyDescent="0.25">
      <c r="A84" s="14" t="str">
        <f>HYPERLINK("https://gerandofalcoes.my.salesforce.com/0014X00002YggmUQAR", "0014X00002YggmUQAR")</f>
        <v>0014X00002YggmUQAR</v>
      </c>
      <c r="B84" s="2" t="s">
        <v>3160</v>
      </c>
      <c r="C84" s="2" t="s">
        <v>423</v>
      </c>
      <c r="D84" s="2" t="s">
        <v>2</v>
      </c>
      <c r="E84" s="2"/>
      <c r="F84" s="2">
        <v>2</v>
      </c>
      <c r="G84" s="2">
        <v>2</v>
      </c>
      <c r="H84" s="2">
        <v>24750</v>
      </c>
      <c r="I84" s="2">
        <v>190</v>
      </c>
      <c r="J84" s="2"/>
      <c r="K84" s="2">
        <v>28</v>
      </c>
      <c r="L84" s="2">
        <v>0</v>
      </c>
      <c r="M84" s="2">
        <v>5</v>
      </c>
      <c r="N84" s="2">
        <v>6</v>
      </c>
      <c r="O84" s="2">
        <v>5</v>
      </c>
      <c r="P84" s="2">
        <v>12</v>
      </c>
      <c r="Q84" s="2" t="s">
        <v>3161</v>
      </c>
      <c r="R84" s="2" t="s">
        <v>3162</v>
      </c>
      <c r="S84" s="4">
        <v>44950</v>
      </c>
    </row>
    <row r="85" spans="1:19" ht="12.5" x14ac:dyDescent="0.25">
      <c r="A85" s="14" t="str">
        <f>HYPERLINK("https://gerandofalcoes.my.salesforce.com/0014X00002YgbkmQAB", "0014X00002YgbkmQAB")</f>
        <v>0014X00002YgbkmQAB</v>
      </c>
      <c r="B85" s="2" t="s">
        <v>3796</v>
      </c>
      <c r="C85" s="2" t="s">
        <v>423</v>
      </c>
      <c r="D85" s="2" t="s">
        <v>2</v>
      </c>
      <c r="E85" s="2"/>
      <c r="F85" s="2">
        <v>0</v>
      </c>
      <c r="G85" s="2">
        <v>0</v>
      </c>
      <c r="H85" s="2">
        <v>0</v>
      </c>
      <c r="I85" s="2">
        <v>0</v>
      </c>
      <c r="J85" s="2"/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 t="s">
        <v>3797</v>
      </c>
      <c r="R85" s="2" t="s">
        <v>3797</v>
      </c>
      <c r="S85" s="4">
        <v>44968</v>
      </c>
    </row>
    <row r="86" spans="1:19" ht="12.5" x14ac:dyDescent="0.25">
      <c r="A86" s="14" t="str">
        <f>HYPERLINK("https://gerandofalcoes.my.salesforce.com/0014X00002YgbktQAB", "0014X00002YgbktQAB")</f>
        <v>0014X00002YgbktQAB</v>
      </c>
      <c r="B86" s="2" t="s">
        <v>3787</v>
      </c>
      <c r="C86" s="2" t="s">
        <v>423</v>
      </c>
      <c r="D86" s="2" t="s">
        <v>2</v>
      </c>
      <c r="E86" s="2"/>
      <c r="F86" s="2">
        <v>0</v>
      </c>
      <c r="G86" s="2">
        <v>0</v>
      </c>
      <c r="H86" s="2">
        <v>0</v>
      </c>
      <c r="I86" s="2">
        <v>0</v>
      </c>
      <c r="J86" s="2"/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 t="s">
        <v>3788</v>
      </c>
      <c r="R86" s="2" t="s">
        <v>3788</v>
      </c>
      <c r="S86" s="4">
        <v>44968</v>
      </c>
    </row>
    <row r="87" spans="1:19" ht="12.5" x14ac:dyDescent="0.25">
      <c r="A87" s="14" t="str">
        <f>HYPERLINK("https://gerandofalcoes.my.salesforce.com/0014X00002YggirQAB", "0014X00002YggirQAB")</f>
        <v>0014X00002YggirQAB</v>
      </c>
      <c r="B87" s="2" t="s">
        <v>3213</v>
      </c>
      <c r="C87" s="2" t="s">
        <v>423</v>
      </c>
      <c r="D87" s="2" t="s">
        <v>2</v>
      </c>
      <c r="E87" s="2"/>
      <c r="F87" s="2">
        <v>0</v>
      </c>
      <c r="G87" s="2">
        <v>2</v>
      </c>
      <c r="H87" s="2">
        <v>5000</v>
      </c>
      <c r="I87" s="2">
        <v>100</v>
      </c>
      <c r="J87" s="2"/>
      <c r="K87" s="2">
        <v>21</v>
      </c>
      <c r="L87" s="2">
        <v>0</v>
      </c>
      <c r="M87" s="2">
        <v>0</v>
      </c>
      <c r="N87" s="2">
        <v>6</v>
      </c>
      <c r="O87" s="2">
        <v>5</v>
      </c>
      <c r="P87" s="2">
        <v>10</v>
      </c>
      <c r="Q87" s="2" t="s">
        <v>3214</v>
      </c>
      <c r="R87" s="2" t="s">
        <v>3214</v>
      </c>
      <c r="S87" s="4">
        <v>44951</v>
      </c>
    </row>
    <row r="88" spans="1:19" ht="12.5" x14ac:dyDescent="0.25">
      <c r="A88" s="14" t="str">
        <f>HYPERLINK("https://gerandofalcoes.my.salesforce.com/0014X00002YggnQQAR", "0014X00002YggnQQAR")</f>
        <v>0014X00002YggnQQAR</v>
      </c>
      <c r="B88" s="2" t="s">
        <v>3210</v>
      </c>
      <c r="C88" s="2" t="s">
        <v>423</v>
      </c>
      <c r="D88" s="2" t="s">
        <v>2</v>
      </c>
      <c r="E88" s="2"/>
      <c r="F88" s="2">
        <v>12</v>
      </c>
      <c r="G88" s="2">
        <v>5</v>
      </c>
      <c r="H88" s="2">
        <v>226000</v>
      </c>
      <c r="I88" s="2">
        <v>323</v>
      </c>
      <c r="J88" s="2"/>
      <c r="K88" s="2">
        <v>52</v>
      </c>
      <c r="L88" s="2">
        <v>0</v>
      </c>
      <c r="M88" s="2">
        <v>12</v>
      </c>
      <c r="N88" s="2">
        <v>10</v>
      </c>
      <c r="O88" s="2">
        <v>15</v>
      </c>
      <c r="P88" s="2">
        <v>15</v>
      </c>
      <c r="Q88" s="2" t="s">
        <v>3211</v>
      </c>
      <c r="R88" s="2" t="s">
        <v>3212</v>
      </c>
      <c r="S88" s="4">
        <v>44951</v>
      </c>
    </row>
    <row r="89" spans="1:19" ht="12.5" x14ac:dyDescent="0.25">
      <c r="A89" s="14" t="str">
        <f>HYPERLINK("https://gerandofalcoes.my.salesforce.com/0014X00002YgglxQAB", "0014X00002YgglxQAB")</f>
        <v>0014X00002YgglxQAB</v>
      </c>
      <c r="B89" s="2" t="s">
        <v>3222</v>
      </c>
      <c r="C89" s="2" t="s">
        <v>423</v>
      </c>
      <c r="D89" s="2" t="s">
        <v>2</v>
      </c>
      <c r="E89" s="2"/>
      <c r="F89" s="2">
        <v>0</v>
      </c>
      <c r="G89" s="2">
        <v>2</v>
      </c>
      <c r="H89" s="2">
        <v>2500</v>
      </c>
      <c r="I89" s="2">
        <v>40</v>
      </c>
      <c r="J89" s="2"/>
      <c r="K89" s="2">
        <v>16</v>
      </c>
      <c r="L89" s="2">
        <v>0</v>
      </c>
      <c r="M89" s="2">
        <v>0</v>
      </c>
      <c r="N89" s="2">
        <v>6</v>
      </c>
      <c r="O89" s="2">
        <v>5</v>
      </c>
      <c r="P89" s="2">
        <v>5</v>
      </c>
      <c r="Q89" s="2" t="s">
        <v>3223</v>
      </c>
      <c r="R89" s="2" t="s">
        <v>3224</v>
      </c>
      <c r="S89" s="4">
        <v>44951</v>
      </c>
    </row>
    <row r="90" spans="1:19" ht="12.5" x14ac:dyDescent="0.25">
      <c r="A90" s="14" t="str">
        <f>HYPERLINK("https://gerandofalcoes.my.salesforce.com/0014X00002Yggl7QAB", "0014X00002Yggl7QAB")</f>
        <v>0014X00002Yggl7QAB</v>
      </c>
      <c r="B90" s="2" t="s">
        <v>3204</v>
      </c>
      <c r="C90" s="2" t="s">
        <v>423</v>
      </c>
      <c r="D90" s="2" t="s">
        <v>2</v>
      </c>
      <c r="E90" s="2"/>
      <c r="F90" s="2">
        <v>0</v>
      </c>
      <c r="G90" s="2">
        <v>4</v>
      </c>
      <c r="H90" s="2">
        <v>20000</v>
      </c>
      <c r="I90" s="2">
        <v>2000</v>
      </c>
      <c r="J90" s="2"/>
      <c r="K90" s="2">
        <v>35</v>
      </c>
      <c r="L90" s="2">
        <v>0</v>
      </c>
      <c r="M90" s="2">
        <v>0</v>
      </c>
      <c r="N90" s="2">
        <v>10</v>
      </c>
      <c r="O90" s="2">
        <v>5</v>
      </c>
      <c r="P90" s="2">
        <v>20</v>
      </c>
      <c r="Q90" s="2" t="s">
        <v>3205</v>
      </c>
      <c r="R90" s="2" t="s">
        <v>3206</v>
      </c>
      <c r="S90" s="4">
        <v>44951</v>
      </c>
    </row>
    <row r="91" spans="1:19" ht="12.5" x14ac:dyDescent="0.25">
      <c r="A91" s="14" t="str">
        <f>HYPERLINK("https://gerandofalcoes.my.salesforce.com/0014X00002YggolQAB", "0014X00002YggolQAB")</f>
        <v>0014X00002YggolQAB</v>
      </c>
      <c r="B91" s="2" t="s">
        <v>3215</v>
      </c>
      <c r="C91" s="2" t="s">
        <v>423</v>
      </c>
      <c r="D91" s="2" t="s">
        <v>2</v>
      </c>
      <c r="E91" s="2"/>
      <c r="F91" s="2">
        <v>0</v>
      </c>
      <c r="G91" s="2">
        <v>2</v>
      </c>
      <c r="H91" s="2">
        <v>0</v>
      </c>
      <c r="I91" s="2">
        <v>100</v>
      </c>
      <c r="J91" s="2"/>
      <c r="K91" s="2">
        <v>16</v>
      </c>
      <c r="L91" s="2">
        <v>0</v>
      </c>
      <c r="M91" s="2">
        <v>0</v>
      </c>
      <c r="N91" s="2">
        <v>6</v>
      </c>
      <c r="O91" s="2">
        <v>0</v>
      </c>
      <c r="P91" s="2">
        <v>10</v>
      </c>
      <c r="Q91" s="2" t="s">
        <v>3216</v>
      </c>
      <c r="R91" s="2" t="s">
        <v>3217</v>
      </c>
      <c r="S91" s="4">
        <v>44951</v>
      </c>
    </row>
    <row r="92" spans="1:19" ht="12.5" x14ac:dyDescent="0.25">
      <c r="A92" s="14" t="str">
        <f>HYPERLINK("https://gerandofalcoes.my.salesforce.com/0014X00002YgghFQAR", "0014X00002YgghFQAR")</f>
        <v>0014X00002YgghFQAR</v>
      </c>
      <c r="B92" s="2" t="s">
        <v>3247</v>
      </c>
      <c r="C92" s="2" t="s">
        <v>423</v>
      </c>
      <c r="D92" s="2" t="s">
        <v>2</v>
      </c>
      <c r="E92" s="2"/>
      <c r="F92" s="2">
        <v>0</v>
      </c>
      <c r="G92" s="2">
        <v>2</v>
      </c>
      <c r="H92" s="2">
        <v>5000</v>
      </c>
      <c r="I92" s="2">
        <v>27</v>
      </c>
      <c r="J92" s="2"/>
      <c r="K92" s="2">
        <v>16</v>
      </c>
      <c r="L92" s="2">
        <v>0</v>
      </c>
      <c r="M92" s="2">
        <v>0</v>
      </c>
      <c r="N92" s="2">
        <v>6</v>
      </c>
      <c r="O92" s="2">
        <v>5</v>
      </c>
      <c r="P92" s="2">
        <v>5</v>
      </c>
      <c r="Q92" s="2" t="s">
        <v>3248</v>
      </c>
      <c r="R92" s="2" t="s">
        <v>3249</v>
      </c>
      <c r="S92" s="4">
        <v>44952</v>
      </c>
    </row>
    <row r="93" spans="1:19" ht="12.5" x14ac:dyDescent="0.25">
      <c r="A93" s="14" t="str">
        <f>HYPERLINK("https://gerandofalcoes.my.salesforce.com/0014X00002YggqZQAR", "0014X00002YggqZQAR")</f>
        <v>0014X00002YggqZQAR</v>
      </c>
      <c r="B93" s="2" t="s">
        <v>3289</v>
      </c>
      <c r="C93" s="2" t="s">
        <v>423</v>
      </c>
      <c r="D93" s="2" t="s">
        <v>2</v>
      </c>
      <c r="E93" s="2"/>
      <c r="F93" s="2">
        <v>5</v>
      </c>
      <c r="G93" s="2">
        <v>3</v>
      </c>
      <c r="H93" s="2">
        <v>1000</v>
      </c>
      <c r="I93" s="2">
        <v>23</v>
      </c>
      <c r="J93" s="2"/>
      <c r="K93" s="2">
        <v>23</v>
      </c>
      <c r="L93" s="2">
        <v>0</v>
      </c>
      <c r="M93" s="2">
        <v>5</v>
      </c>
      <c r="N93" s="2">
        <v>8</v>
      </c>
      <c r="O93" s="2">
        <v>5</v>
      </c>
      <c r="P93" s="2">
        <v>5</v>
      </c>
      <c r="Q93" s="2" t="s">
        <v>3290</v>
      </c>
      <c r="R93" s="2" t="s">
        <v>3290</v>
      </c>
      <c r="S93" s="4">
        <v>44952</v>
      </c>
    </row>
    <row r="94" spans="1:19" ht="12.5" x14ac:dyDescent="0.25">
      <c r="A94" s="14" t="str">
        <f>HYPERLINK("https://gerandofalcoes.my.salesforce.com/0014X00002YgghhQAB", "0014X00002YgghhQAB")</f>
        <v>0014X00002YgghhQAB</v>
      </c>
      <c r="B94" s="2" t="s">
        <v>3286</v>
      </c>
      <c r="C94" s="2" t="s">
        <v>423</v>
      </c>
      <c r="D94" s="2" t="s">
        <v>2</v>
      </c>
      <c r="E94" s="2"/>
      <c r="F94" s="2">
        <v>1</v>
      </c>
      <c r="G94" s="2">
        <v>2</v>
      </c>
      <c r="H94" s="2">
        <v>0</v>
      </c>
      <c r="I94" s="2">
        <v>46</v>
      </c>
      <c r="J94" s="2"/>
      <c r="K94" s="2">
        <v>16</v>
      </c>
      <c r="L94" s="2">
        <v>0</v>
      </c>
      <c r="M94" s="2">
        <v>5</v>
      </c>
      <c r="N94" s="2">
        <v>6</v>
      </c>
      <c r="O94" s="2">
        <v>0</v>
      </c>
      <c r="P94" s="2">
        <v>5</v>
      </c>
      <c r="Q94" s="2" t="s">
        <v>3287</v>
      </c>
      <c r="R94" s="2" t="s">
        <v>3288</v>
      </c>
      <c r="S94" s="4">
        <v>44952</v>
      </c>
    </row>
    <row r="95" spans="1:19" ht="12.5" x14ac:dyDescent="0.25">
      <c r="A95" s="14" t="str">
        <f>HYPERLINK("https://gerandofalcoes.my.salesforce.com/0014X00002YggkAQAR", "0014X00002YggkAQAR")</f>
        <v>0014X00002YggkAQAR</v>
      </c>
      <c r="B95" s="2" t="s">
        <v>4569</v>
      </c>
      <c r="C95" s="2" t="s">
        <v>423</v>
      </c>
      <c r="D95" s="2" t="s">
        <v>2</v>
      </c>
      <c r="E95" s="2"/>
      <c r="F95" s="2">
        <v>12</v>
      </c>
      <c r="G95" s="2">
        <v>2</v>
      </c>
      <c r="H95" s="2">
        <v>4000</v>
      </c>
      <c r="I95" s="2">
        <v>0</v>
      </c>
      <c r="J95" s="2"/>
      <c r="K95" s="2">
        <v>23</v>
      </c>
      <c r="L95" s="2">
        <v>0</v>
      </c>
      <c r="M95" s="2">
        <v>12</v>
      </c>
      <c r="N95" s="2">
        <v>6</v>
      </c>
      <c r="O95" s="2">
        <v>5</v>
      </c>
      <c r="P95" s="2">
        <v>0</v>
      </c>
      <c r="Q95" s="2" t="s">
        <v>3256</v>
      </c>
      <c r="R95" s="2" t="s">
        <v>3257</v>
      </c>
      <c r="S95" s="4">
        <v>44952</v>
      </c>
    </row>
    <row r="96" spans="1:19" ht="12.5" x14ac:dyDescent="0.25">
      <c r="A96" s="14" t="str">
        <f>HYPERLINK("https://gerandofalcoes.my.salesforce.com/0014X00002YggnkQAB", "0014X00002YggnkQAB")</f>
        <v>0014X00002YggnkQAB</v>
      </c>
      <c r="B96" s="2" t="s">
        <v>3263</v>
      </c>
      <c r="C96" s="2" t="s">
        <v>423</v>
      </c>
      <c r="D96" s="2" t="s">
        <v>2</v>
      </c>
      <c r="E96" s="2"/>
      <c r="F96" s="2">
        <v>0</v>
      </c>
      <c r="G96" s="2">
        <v>2</v>
      </c>
      <c r="H96" s="2">
        <v>0</v>
      </c>
      <c r="I96" s="2">
        <v>120</v>
      </c>
      <c r="J96" s="2"/>
      <c r="K96" s="2">
        <v>16</v>
      </c>
      <c r="L96" s="2">
        <v>0</v>
      </c>
      <c r="M96" s="2">
        <v>0</v>
      </c>
      <c r="N96" s="2">
        <v>6</v>
      </c>
      <c r="O96" s="2">
        <v>0</v>
      </c>
      <c r="P96" s="2">
        <v>10</v>
      </c>
      <c r="Q96" s="2" t="s">
        <v>3264</v>
      </c>
      <c r="R96" s="2" t="s">
        <v>3264</v>
      </c>
      <c r="S96" s="4">
        <v>44952</v>
      </c>
    </row>
    <row r="97" spans="1:19" ht="12.5" x14ac:dyDescent="0.25">
      <c r="A97" s="14" t="str">
        <f>HYPERLINK("https://gerandofalcoes.my.salesforce.com/0014X00002YgghNQAR", "0014X00002YgghNQAR")</f>
        <v>0014X00002YgghNQAR</v>
      </c>
      <c r="B97" s="2" t="s">
        <v>3268</v>
      </c>
      <c r="C97" s="2" t="s">
        <v>423</v>
      </c>
      <c r="D97" s="2" t="s">
        <v>2</v>
      </c>
      <c r="E97" s="2"/>
      <c r="F97" s="2">
        <v>0</v>
      </c>
      <c r="G97" s="2">
        <v>5</v>
      </c>
      <c r="H97" s="2">
        <v>150</v>
      </c>
      <c r="I97" s="2">
        <v>350</v>
      </c>
      <c r="J97" s="2"/>
      <c r="K97" s="2">
        <v>30</v>
      </c>
      <c r="L97" s="2">
        <v>0</v>
      </c>
      <c r="M97" s="2">
        <v>0</v>
      </c>
      <c r="N97" s="2">
        <v>10</v>
      </c>
      <c r="O97" s="2">
        <v>5</v>
      </c>
      <c r="P97" s="2">
        <v>15</v>
      </c>
      <c r="Q97" s="2" t="s">
        <v>3269</v>
      </c>
      <c r="R97" s="2" t="s">
        <v>3269</v>
      </c>
      <c r="S97" s="4">
        <v>44952</v>
      </c>
    </row>
    <row r="98" spans="1:19" ht="12.5" x14ac:dyDescent="0.25">
      <c r="A98" s="14" t="str">
        <f>HYPERLINK("https://gerandofalcoes.my.salesforce.com/0014X00002Yggo7QAB", "0014X00002Yggo7QAB")</f>
        <v>0014X00002Yggo7QAB</v>
      </c>
      <c r="B98" s="2" t="s">
        <v>3270</v>
      </c>
      <c r="C98" s="2" t="s">
        <v>423</v>
      </c>
      <c r="D98" s="2" t="s">
        <v>2</v>
      </c>
      <c r="E98" s="2"/>
      <c r="F98" s="2">
        <v>0</v>
      </c>
      <c r="G98" s="2">
        <v>2</v>
      </c>
      <c r="H98" s="2">
        <v>9000</v>
      </c>
      <c r="I98" s="2">
        <v>300</v>
      </c>
      <c r="J98" s="2"/>
      <c r="K98" s="2">
        <v>26</v>
      </c>
      <c r="L98" s="2">
        <v>0</v>
      </c>
      <c r="M98" s="2">
        <v>0</v>
      </c>
      <c r="N98" s="2">
        <v>6</v>
      </c>
      <c r="O98" s="2">
        <v>5</v>
      </c>
      <c r="P98" s="2">
        <v>15</v>
      </c>
      <c r="Q98" s="2" t="s">
        <v>3271</v>
      </c>
      <c r="R98" s="2" t="s">
        <v>3271</v>
      </c>
      <c r="S98" s="4">
        <v>44952</v>
      </c>
    </row>
    <row r="99" spans="1:19" ht="12.5" x14ac:dyDescent="0.25">
      <c r="A99" s="14" t="str">
        <f>HYPERLINK("https://gerandofalcoes.my.salesforce.com/0014X00002YggmJQAR", "0014X00002YggmJQAR")</f>
        <v>0014X00002YggmJQAR</v>
      </c>
      <c r="B99" s="2" t="s">
        <v>3343</v>
      </c>
      <c r="C99" s="2" t="s">
        <v>423</v>
      </c>
      <c r="D99" s="2" t="s">
        <v>2</v>
      </c>
      <c r="E99" s="2"/>
      <c r="F99" s="2">
        <v>0</v>
      </c>
      <c r="G99" s="2">
        <v>2</v>
      </c>
      <c r="H99" s="2">
        <v>15000</v>
      </c>
      <c r="I99" s="2">
        <v>130</v>
      </c>
      <c r="J99" s="2"/>
      <c r="K99" s="2">
        <v>21</v>
      </c>
      <c r="L99" s="2">
        <v>0</v>
      </c>
      <c r="M99" s="2">
        <v>0</v>
      </c>
      <c r="N99" s="2">
        <v>6</v>
      </c>
      <c r="O99" s="2">
        <v>5</v>
      </c>
      <c r="P99" s="2">
        <v>10</v>
      </c>
      <c r="Q99" s="2" t="s">
        <v>3344</v>
      </c>
      <c r="R99" s="2" t="s">
        <v>3345</v>
      </c>
      <c r="S99" s="4">
        <v>44953</v>
      </c>
    </row>
    <row r="100" spans="1:19" ht="12.5" x14ac:dyDescent="0.25">
      <c r="A100" s="14" t="str">
        <f>HYPERLINK("https://gerandofalcoes.my.salesforce.com/0014X00002Yggq6QAB", "0014X00002Yggq6QAB")</f>
        <v>0014X00002Yggq6QAB</v>
      </c>
      <c r="B100" s="2" t="s">
        <v>3328</v>
      </c>
      <c r="C100" s="2" t="s">
        <v>423</v>
      </c>
      <c r="D100" s="2" t="s">
        <v>2</v>
      </c>
      <c r="E100" s="2"/>
      <c r="F100" s="2">
        <v>0</v>
      </c>
      <c r="G100" s="2">
        <v>3</v>
      </c>
      <c r="H100" s="2">
        <v>3500</v>
      </c>
      <c r="I100" s="2">
        <v>30</v>
      </c>
      <c r="J100" s="2"/>
      <c r="K100" s="2">
        <v>18</v>
      </c>
      <c r="L100" s="2">
        <v>0</v>
      </c>
      <c r="M100" s="2">
        <v>0</v>
      </c>
      <c r="N100" s="2">
        <v>8</v>
      </c>
      <c r="O100" s="2">
        <v>5</v>
      </c>
      <c r="P100" s="2">
        <v>5</v>
      </c>
      <c r="Q100" s="2" t="s">
        <v>3329</v>
      </c>
      <c r="R100" s="2" t="s">
        <v>3330</v>
      </c>
      <c r="S100" s="4">
        <v>44953</v>
      </c>
    </row>
    <row r="101" spans="1:19" ht="12.5" x14ac:dyDescent="0.25">
      <c r="A101" s="14" t="str">
        <f>HYPERLINK("https://gerandofalcoes.my.salesforce.com/0014X00002Yggk6QAB", "0014X00002Yggk6QAB")</f>
        <v>0014X00002Yggk6QAB</v>
      </c>
      <c r="B101" s="2" t="s">
        <v>3370</v>
      </c>
      <c r="C101" s="2" t="s">
        <v>423</v>
      </c>
      <c r="D101" s="2" t="s">
        <v>2</v>
      </c>
      <c r="E101" s="2"/>
      <c r="F101" s="2">
        <v>0</v>
      </c>
      <c r="G101" s="2">
        <v>2</v>
      </c>
      <c r="H101" s="2">
        <v>1000</v>
      </c>
      <c r="I101" s="2">
        <v>20</v>
      </c>
      <c r="J101" s="2"/>
      <c r="K101" s="2">
        <v>16</v>
      </c>
      <c r="L101" s="2">
        <v>0</v>
      </c>
      <c r="M101" s="2">
        <v>0</v>
      </c>
      <c r="N101" s="2">
        <v>6</v>
      </c>
      <c r="O101" s="2">
        <v>5</v>
      </c>
      <c r="P101" s="2">
        <v>5</v>
      </c>
      <c r="Q101" s="2" t="s">
        <v>3371</v>
      </c>
      <c r="R101" s="2" t="s">
        <v>3371</v>
      </c>
      <c r="S101" s="4">
        <v>44953</v>
      </c>
    </row>
    <row r="102" spans="1:19" ht="12.5" x14ac:dyDescent="0.25">
      <c r="A102" s="14" t="str">
        <f>HYPERLINK("https://gerandofalcoes.my.salesforce.com/0014X00002YggguQAB", "0014X00002YggguQAB")</f>
        <v>0014X00002YggguQAB</v>
      </c>
      <c r="B102" s="2" t="s">
        <v>3367</v>
      </c>
      <c r="C102" s="2" t="s">
        <v>423</v>
      </c>
      <c r="D102" s="2" t="s">
        <v>2</v>
      </c>
      <c r="E102" s="2"/>
      <c r="F102" s="2">
        <v>5</v>
      </c>
      <c r="G102" s="2">
        <v>80</v>
      </c>
      <c r="H102" s="2">
        <v>15000</v>
      </c>
      <c r="I102" s="2">
        <v>30</v>
      </c>
      <c r="J102" s="2"/>
      <c r="K102" s="2">
        <v>25</v>
      </c>
      <c r="L102" s="2">
        <v>0</v>
      </c>
      <c r="M102" s="2">
        <v>5</v>
      </c>
      <c r="N102" s="2">
        <v>10</v>
      </c>
      <c r="O102" s="2">
        <v>5</v>
      </c>
      <c r="P102" s="2">
        <v>5</v>
      </c>
      <c r="Q102" s="2" t="s">
        <v>3368</v>
      </c>
      <c r="R102" s="2" t="s">
        <v>3369</v>
      </c>
      <c r="S102" s="4">
        <v>44953</v>
      </c>
    </row>
    <row r="103" spans="1:19" ht="12.5" x14ac:dyDescent="0.25">
      <c r="A103" s="14" t="str">
        <f>HYPERLINK("https://gerandofalcoes.my.salesforce.com/0014X00002YggiBQAR", "0014X00002YggiBQAR")</f>
        <v>0014X00002YggiBQAR</v>
      </c>
      <c r="B103" s="2" t="s">
        <v>3322</v>
      </c>
      <c r="C103" s="2" t="s">
        <v>423</v>
      </c>
      <c r="D103" s="2" t="s">
        <v>2</v>
      </c>
      <c r="E103" s="2"/>
      <c r="F103" s="2">
        <v>123</v>
      </c>
      <c r="G103" s="2">
        <v>5</v>
      </c>
      <c r="H103" s="2">
        <v>20000</v>
      </c>
      <c r="I103" s="2">
        <v>100</v>
      </c>
      <c r="J103" s="2"/>
      <c r="K103" s="2">
        <v>40</v>
      </c>
      <c r="L103" s="2">
        <v>0</v>
      </c>
      <c r="M103" s="2">
        <v>15</v>
      </c>
      <c r="N103" s="2">
        <v>10</v>
      </c>
      <c r="O103" s="2">
        <v>5</v>
      </c>
      <c r="P103" s="2">
        <v>10</v>
      </c>
      <c r="Q103" s="2" t="s">
        <v>3323</v>
      </c>
      <c r="R103" s="2" t="s">
        <v>3324</v>
      </c>
      <c r="S103" s="4">
        <v>44953</v>
      </c>
    </row>
    <row r="104" spans="1:19" ht="12.5" x14ac:dyDescent="0.25">
      <c r="A104" s="14" t="str">
        <f>HYPERLINK("https://gerandofalcoes.my.salesforce.com/0014X00002YggnRQAR", "0014X00002YggnRQAR")</f>
        <v>0014X00002YggnRQAR</v>
      </c>
      <c r="B104" s="2" t="s">
        <v>3392</v>
      </c>
      <c r="C104" s="2" t="s">
        <v>423</v>
      </c>
      <c r="D104" s="2" t="s">
        <v>2</v>
      </c>
      <c r="E104" s="2"/>
      <c r="F104" s="2">
        <v>4</v>
      </c>
      <c r="G104" s="2">
        <v>4</v>
      </c>
      <c r="H104" s="2">
        <v>10000</v>
      </c>
      <c r="I104" s="2">
        <v>400</v>
      </c>
      <c r="J104" s="2"/>
      <c r="K104" s="2">
        <v>35</v>
      </c>
      <c r="L104" s="2">
        <v>0</v>
      </c>
      <c r="M104" s="2">
        <v>5</v>
      </c>
      <c r="N104" s="2">
        <v>10</v>
      </c>
      <c r="O104" s="2">
        <v>5</v>
      </c>
      <c r="P104" s="2">
        <v>15</v>
      </c>
      <c r="Q104" s="2" t="s">
        <v>3393</v>
      </c>
      <c r="R104" s="2" t="s">
        <v>3394</v>
      </c>
      <c r="S104" s="4">
        <v>44958</v>
      </c>
    </row>
    <row r="105" spans="1:19" ht="12.5" x14ac:dyDescent="0.25">
      <c r="A105" s="14" t="str">
        <f>HYPERLINK("https://gerandofalcoes.my.salesforce.com/0014X00002YgbkPQAR", "0014X00002YgbkPQAR")</f>
        <v>0014X00002YgbkPQAR</v>
      </c>
      <c r="B105" s="2" t="s">
        <v>3515</v>
      </c>
      <c r="C105" s="2" t="s">
        <v>423</v>
      </c>
      <c r="D105" s="2" t="s">
        <v>2</v>
      </c>
      <c r="E105" s="2"/>
      <c r="F105" s="2">
        <v>0</v>
      </c>
      <c r="G105" s="2">
        <v>0</v>
      </c>
      <c r="H105" s="2">
        <v>0</v>
      </c>
      <c r="I105" s="2">
        <v>0</v>
      </c>
      <c r="J105" s="2"/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 t="s">
        <v>3516</v>
      </c>
      <c r="R105" s="2" t="s">
        <v>3516</v>
      </c>
      <c r="S105" s="4">
        <v>44958</v>
      </c>
    </row>
    <row r="106" spans="1:19" ht="12.5" x14ac:dyDescent="0.25">
      <c r="A106" s="14" t="str">
        <f>HYPERLINK("https://gerandofalcoes.my.salesforce.com/0014X00002YgggLQAR", "0014X00002YgggLQAR")</f>
        <v>0014X00002YgggLQAR</v>
      </c>
      <c r="B106" s="2" t="s">
        <v>3486</v>
      </c>
      <c r="C106" s="2" t="s">
        <v>423</v>
      </c>
      <c r="D106" s="2" t="s">
        <v>2</v>
      </c>
      <c r="E106" s="2"/>
      <c r="F106" s="2">
        <v>10</v>
      </c>
      <c r="G106" s="2">
        <v>4</v>
      </c>
      <c r="H106" s="2">
        <v>208</v>
      </c>
      <c r="I106" s="2">
        <v>108</v>
      </c>
      <c r="J106" s="2"/>
      <c r="K106" s="2">
        <v>35</v>
      </c>
      <c r="L106" s="2">
        <v>0</v>
      </c>
      <c r="M106" s="2">
        <v>10</v>
      </c>
      <c r="N106" s="2">
        <v>10</v>
      </c>
      <c r="O106" s="2">
        <v>5</v>
      </c>
      <c r="P106" s="2">
        <v>10</v>
      </c>
      <c r="Q106" s="2" t="s">
        <v>3487</v>
      </c>
      <c r="R106" s="2" t="s">
        <v>3488</v>
      </c>
      <c r="S106" s="4">
        <v>44958</v>
      </c>
    </row>
    <row r="107" spans="1:19" ht="12.5" x14ac:dyDescent="0.25">
      <c r="A107" s="14" t="str">
        <f>HYPERLINK("https://gerandofalcoes.my.salesforce.com/0014X00002YgbkgQAB", "0014X00002YgbkgQAB")</f>
        <v>0014X00002YgbkgQAB</v>
      </c>
      <c r="B107" s="2" t="s">
        <v>3517</v>
      </c>
      <c r="C107" s="2" t="s">
        <v>423</v>
      </c>
      <c r="D107" s="2" t="s">
        <v>2</v>
      </c>
      <c r="E107" s="2"/>
      <c r="F107" s="2">
        <v>0</v>
      </c>
      <c r="G107" s="2">
        <v>0</v>
      </c>
      <c r="H107" s="2">
        <v>0</v>
      </c>
      <c r="I107" s="2">
        <v>0</v>
      </c>
      <c r="J107" s="2"/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 t="s">
        <v>3518</v>
      </c>
      <c r="R107" s="2" t="s">
        <v>3518</v>
      </c>
      <c r="S107" s="4">
        <v>44958</v>
      </c>
    </row>
    <row r="108" spans="1:19" ht="12.5" x14ac:dyDescent="0.25">
      <c r="A108" s="14" t="str">
        <f>HYPERLINK("https://gerandofalcoes.my.salesforce.com/0014X00002Yggh4QAB", "0014X00002Yggh4QAB")</f>
        <v>0014X00002Yggh4QAB</v>
      </c>
      <c r="B108" s="2" t="s">
        <v>3505</v>
      </c>
      <c r="C108" s="2" t="s">
        <v>423</v>
      </c>
      <c r="D108" s="2" t="s">
        <v>2</v>
      </c>
      <c r="E108" s="2"/>
      <c r="F108" s="2">
        <v>0</v>
      </c>
      <c r="G108" s="2">
        <v>2</v>
      </c>
      <c r="H108" s="2">
        <v>45000</v>
      </c>
      <c r="I108" s="2">
        <v>20</v>
      </c>
      <c r="J108" s="2"/>
      <c r="K108" s="2">
        <v>21</v>
      </c>
      <c r="L108" s="2">
        <v>0</v>
      </c>
      <c r="M108" s="2">
        <v>0</v>
      </c>
      <c r="N108" s="2">
        <v>6</v>
      </c>
      <c r="O108" s="2">
        <v>10</v>
      </c>
      <c r="P108" s="2">
        <v>5</v>
      </c>
      <c r="Q108" s="2" t="s">
        <v>3506</v>
      </c>
      <c r="R108" s="2" t="s">
        <v>3507</v>
      </c>
      <c r="S108" s="4">
        <v>44958</v>
      </c>
    </row>
    <row r="109" spans="1:19" ht="12.5" x14ac:dyDescent="0.25">
      <c r="A109" s="14" t="str">
        <f>HYPERLINK("https://gerandofalcoes.my.salesforce.com/0014X00002Yggh5QAB", "0014X00002Yggh5QAB")</f>
        <v>0014X00002Yggh5QAB</v>
      </c>
      <c r="B109" s="2" t="s">
        <v>3397</v>
      </c>
      <c r="C109" s="2" t="s">
        <v>423</v>
      </c>
      <c r="D109" s="2" t="s">
        <v>2</v>
      </c>
      <c r="E109" s="2"/>
      <c r="F109" s="2">
        <v>0</v>
      </c>
      <c r="G109" s="2">
        <v>2</v>
      </c>
      <c r="H109" s="2">
        <v>300000</v>
      </c>
      <c r="I109" s="2">
        <v>500</v>
      </c>
      <c r="J109" s="2" t="s">
        <v>1671</v>
      </c>
      <c r="K109" s="2">
        <v>46</v>
      </c>
      <c r="L109" s="2">
        <v>0</v>
      </c>
      <c r="M109" s="2">
        <v>0</v>
      </c>
      <c r="N109" s="2">
        <v>6</v>
      </c>
      <c r="O109" s="2">
        <v>20</v>
      </c>
      <c r="P109" s="2">
        <v>20</v>
      </c>
      <c r="Q109" s="2" t="s">
        <v>3398</v>
      </c>
      <c r="R109" s="2" t="s">
        <v>3399</v>
      </c>
      <c r="S109" s="4">
        <v>44958</v>
      </c>
    </row>
    <row r="110" spans="1:19" ht="12.5" x14ac:dyDescent="0.25">
      <c r="A110" s="14" t="str">
        <f>HYPERLINK("https://gerandofalcoes.my.salesforce.com/0014X00002YgghlQAB", "0014X00002YgghlQAB")</f>
        <v>0014X00002YgghlQAB</v>
      </c>
      <c r="B110" s="2" t="s">
        <v>3458</v>
      </c>
      <c r="C110" s="2" t="s">
        <v>423</v>
      </c>
      <c r="D110" s="2" t="s">
        <v>2</v>
      </c>
      <c r="E110" s="2"/>
      <c r="F110" s="2">
        <v>4</v>
      </c>
      <c r="G110" s="2">
        <v>5</v>
      </c>
      <c r="H110" s="2">
        <v>4000</v>
      </c>
      <c r="I110" s="2">
        <v>0</v>
      </c>
      <c r="J110" s="2"/>
      <c r="K110" s="2">
        <v>20</v>
      </c>
      <c r="L110" s="2">
        <v>0</v>
      </c>
      <c r="M110" s="2">
        <v>5</v>
      </c>
      <c r="N110" s="2">
        <v>10</v>
      </c>
      <c r="O110" s="2">
        <v>5</v>
      </c>
      <c r="P110" s="2">
        <v>0</v>
      </c>
      <c r="Q110" s="2" t="s">
        <v>3459</v>
      </c>
      <c r="R110" s="2" t="s">
        <v>3460</v>
      </c>
      <c r="S110" s="4">
        <v>44958</v>
      </c>
    </row>
    <row r="111" spans="1:19" ht="12.5" x14ac:dyDescent="0.25">
      <c r="A111" s="14" t="str">
        <f>HYPERLINK("https://gerandofalcoes.my.salesforce.com/0014X00002bCk8nQAC", "0014X00002bCk8nQAC")</f>
        <v>0014X00002bCk8nQAC</v>
      </c>
      <c r="B111" s="2" t="s">
        <v>3479</v>
      </c>
      <c r="C111" s="2" t="s">
        <v>423</v>
      </c>
      <c r="D111" s="2" t="s">
        <v>2</v>
      </c>
      <c r="E111" s="2"/>
      <c r="F111" s="2">
        <v>0</v>
      </c>
      <c r="G111" s="2">
        <v>2</v>
      </c>
      <c r="H111" s="2">
        <v>5000</v>
      </c>
      <c r="I111" s="2">
        <v>200</v>
      </c>
      <c r="J111" s="2"/>
      <c r="K111" s="2">
        <v>23</v>
      </c>
      <c r="L111" s="2">
        <v>0</v>
      </c>
      <c r="M111" s="2">
        <v>0</v>
      </c>
      <c r="N111" s="2">
        <v>6</v>
      </c>
      <c r="O111" s="2">
        <v>5</v>
      </c>
      <c r="P111" s="2">
        <v>12</v>
      </c>
      <c r="Q111" s="2" t="s">
        <v>3480</v>
      </c>
      <c r="R111" s="2" t="s">
        <v>3480</v>
      </c>
      <c r="S111" s="4">
        <v>44958</v>
      </c>
    </row>
    <row r="112" spans="1:19" ht="12.5" x14ac:dyDescent="0.25">
      <c r="A112" s="14" t="str">
        <f>HYPERLINK("https://gerandofalcoes.my.salesforce.com/0014X00002YggnCQAR", "0014X00002YggnCQAR")</f>
        <v>0014X00002YggnCQAR</v>
      </c>
      <c r="B112" s="2" t="s">
        <v>3427</v>
      </c>
      <c r="C112" s="2" t="s">
        <v>423</v>
      </c>
      <c r="D112" s="2" t="s">
        <v>2</v>
      </c>
      <c r="E112" s="2"/>
      <c r="F112" s="2">
        <v>10</v>
      </c>
      <c r="G112" s="2">
        <v>6</v>
      </c>
      <c r="H112" s="2">
        <v>11000</v>
      </c>
      <c r="I112" s="2">
        <v>30</v>
      </c>
      <c r="J112" s="2"/>
      <c r="K112" s="2">
        <v>30</v>
      </c>
      <c r="L112" s="2">
        <v>0</v>
      </c>
      <c r="M112" s="2">
        <v>10</v>
      </c>
      <c r="N112" s="2">
        <v>10</v>
      </c>
      <c r="O112" s="2">
        <v>5</v>
      </c>
      <c r="P112" s="2">
        <v>5</v>
      </c>
      <c r="Q112" s="2" t="s">
        <v>3428</v>
      </c>
      <c r="R112" s="2" t="s">
        <v>3428</v>
      </c>
      <c r="S112" s="4">
        <v>44958</v>
      </c>
    </row>
    <row r="113" spans="1:19" ht="12.5" x14ac:dyDescent="0.25">
      <c r="A113" s="14" t="str">
        <f>HYPERLINK("https://gerandofalcoes.my.salesforce.com/0014X00002YggqaQAB", "0014X00002YggqaQAB")</f>
        <v>0014X00002YggqaQAB</v>
      </c>
      <c r="B113" s="2" t="s">
        <v>3424</v>
      </c>
      <c r="C113" s="2" t="s">
        <v>423</v>
      </c>
      <c r="D113" s="2" t="s">
        <v>2</v>
      </c>
      <c r="E113" s="2"/>
      <c r="F113" s="2">
        <v>0</v>
      </c>
      <c r="G113" s="2">
        <v>2</v>
      </c>
      <c r="H113" s="2">
        <v>2000</v>
      </c>
      <c r="I113" s="2">
        <v>400</v>
      </c>
      <c r="J113" s="2"/>
      <c r="K113" s="2">
        <v>26</v>
      </c>
      <c r="L113" s="2">
        <v>0</v>
      </c>
      <c r="M113" s="2">
        <v>0</v>
      </c>
      <c r="N113" s="2">
        <v>6</v>
      </c>
      <c r="O113" s="2">
        <v>5</v>
      </c>
      <c r="P113" s="2">
        <v>15</v>
      </c>
      <c r="Q113" s="2" t="s">
        <v>3425</v>
      </c>
      <c r="R113" s="2" t="s">
        <v>3426</v>
      </c>
      <c r="S113" s="4">
        <v>44958</v>
      </c>
    </row>
    <row r="114" spans="1:19" ht="12.5" x14ac:dyDescent="0.25">
      <c r="A114" s="14" t="str">
        <f>HYPERLINK("https://gerandofalcoes.my.salesforce.com/0014X00002YggqqQAB", "0014X00002YggqqQAB")</f>
        <v>0014X00002YggqqQAB</v>
      </c>
      <c r="B114" s="2" t="s">
        <v>3503</v>
      </c>
      <c r="C114" s="2" t="s">
        <v>423</v>
      </c>
      <c r="D114" s="2" t="s">
        <v>2</v>
      </c>
      <c r="E114" s="2"/>
      <c r="F114" s="2">
        <v>1</v>
      </c>
      <c r="G114" s="2">
        <v>2</v>
      </c>
      <c r="H114" s="2">
        <v>5000</v>
      </c>
      <c r="I114" s="2">
        <v>25</v>
      </c>
      <c r="J114" s="2"/>
      <c r="K114" s="2">
        <v>21</v>
      </c>
      <c r="L114" s="2">
        <v>0</v>
      </c>
      <c r="M114" s="2">
        <v>5</v>
      </c>
      <c r="N114" s="2">
        <v>6</v>
      </c>
      <c r="O114" s="2">
        <v>5</v>
      </c>
      <c r="P114" s="2">
        <v>5</v>
      </c>
      <c r="Q114" s="2" t="s">
        <v>3504</v>
      </c>
      <c r="R114" s="2" t="s">
        <v>3504</v>
      </c>
      <c r="S114" s="4">
        <v>44958</v>
      </c>
    </row>
    <row r="115" spans="1:19" ht="12.5" x14ac:dyDescent="0.25">
      <c r="A115" s="14" t="str">
        <f>HYPERLINK("https://gerandofalcoes.my.salesforce.com/0014X00002YggqvQAB", "0014X00002YggqvQAB")</f>
        <v>0014X00002YggqvQAB</v>
      </c>
      <c r="B115" s="2" t="s">
        <v>3435</v>
      </c>
      <c r="C115" s="2" t="s">
        <v>423</v>
      </c>
      <c r="D115" s="2" t="s">
        <v>2</v>
      </c>
      <c r="E115" s="2"/>
      <c r="F115" s="2">
        <v>0</v>
      </c>
      <c r="G115" s="2">
        <v>3</v>
      </c>
      <c r="H115" s="2">
        <v>24000</v>
      </c>
      <c r="I115" s="2">
        <v>0</v>
      </c>
      <c r="J115" s="2"/>
      <c r="K115" s="2">
        <v>13</v>
      </c>
      <c r="L115" s="2">
        <v>0</v>
      </c>
      <c r="M115" s="2">
        <v>0</v>
      </c>
      <c r="N115" s="2">
        <v>8</v>
      </c>
      <c r="O115" s="2">
        <v>5</v>
      </c>
      <c r="P115" s="2">
        <v>0</v>
      </c>
      <c r="Q115" s="2" t="s">
        <v>3436</v>
      </c>
      <c r="R115" s="2" t="s">
        <v>3437</v>
      </c>
      <c r="S115" s="4">
        <v>44958</v>
      </c>
    </row>
    <row r="116" spans="1:19" ht="12.5" x14ac:dyDescent="0.25">
      <c r="A116" s="14" t="str">
        <f>HYPERLINK("https://gerandofalcoes.my.salesforce.com/0014X00002YgggWQAR", "0014X00002YgggWQAR")</f>
        <v>0014X00002YgggWQAR</v>
      </c>
      <c r="B116" s="2" t="s">
        <v>3476</v>
      </c>
      <c r="C116" s="2" t="s">
        <v>423</v>
      </c>
      <c r="D116" s="2" t="s">
        <v>2</v>
      </c>
      <c r="E116" s="2"/>
      <c r="F116" s="2">
        <v>0</v>
      </c>
      <c r="G116" s="2">
        <v>2</v>
      </c>
      <c r="H116" s="2">
        <v>0</v>
      </c>
      <c r="I116" s="2">
        <v>250</v>
      </c>
      <c r="J116" s="2"/>
      <c r="K116" s="2">
        <v>18</v>
      </c>
      <c r="L116" s="2">
        <v>0</v>
      </c>
      <c r="M116" s="2">
        <v>0</v>
      </c>
      <c r="N116" s="2">
        <v>6</v>
      </c>
      <c r="O116" s="2">
        <v>0</v>
      </c>
      <c r="P116" s="2">
        <v>12</v>
      </c>
      <c r="Q116" s="2" t="s">
        <v>3477</v>
      </c>
      <c r="R116" s="2" t="s">
        <v>3478</v>
      </c>
      <c r="S116" s="4">
        <v>44958</v>
      </c>
    </row>
    <row r="117" spans="1:19" ht="12.5" x14ac:dyDescent="0.25">
      <c r="A117" s="14" t="str">
        <f>HYPERLINK("https://gerandofalcoes.my.salesforce.com/0014X00002YggmkQAB", "0014X00002YggmkQAB")</f>
        <v>0014X00002YggmkQAB</v>
      </c>
      <c r="B117" s="2" t="s">
        <v>3408</v>
      </c>
      <c r="C117" s="2" t="s">
        <v>423</v>
      </c>
      <c r="D117" s="2" t="s">
        <v>2</v>
      </c>
      <c r="E117" s="2"/>
      <c r="F117" s="2">
        <v>8</v>
      </c>
      <c r="G117" s="2">
        <v>6</v>
      </c>
      <c r="H117" s="2">
        <v>30000</v>
      </c>
      <c r="I117" s="2">
        <v>80</v>
      </c>
      <c r="J117" s="2"/>
      <c r="K117" s="2">
        <v>40</v>
      </c>
      <c r="L117" s="2">
        <v>0</v>
      </c>
      <c r="M117" s="2">
        <v>10</v>
      </c>
      <c r="N117" s="2">
        <v>10</v>
      </c>
      <c r="O117" s="2">
        <v>10</v>
      </c>
      <c r="P117" s="2">
        <v>10</v>
      </c>
      <c r="Q117" s="2" t="s">
        <v>3409</v>
      </c>
      <c r="R117" s="2" t="s">
        <v>3409</v>
      </c>
      <c r="S117" s="4">
        <v>44958</v>
      </c>
    </row>
    <row r="118" spans="1:19" ht="12.5" x14ac:dyDescent="0.25">
      <c r="A118" s="14" t="str">
        <f>HYPERLINK("https://gerandofalcoes.my.salesforce.com/0014X00002YgghyQAB", "0014X00002YgghyQAB")</f>
        <v>0014X00002YgghyQAB</v>
      </c>
      <c r="B118" s="2" t="s">
        <v>3421</v>
      </c>
      <c r="C118" s="2" t="s">
        <v>423</v>
      </c>
      <c r="D118" s="2" t="s">
        <v>2</v>
      </c>
      <c r="E118" s="2"/>
      <c r="F118" s="2">
        <v>3</v>
      </c>
      <c r="G118" s="2">
        <v>4</v>
      </c>
      <c r="H118" s="2">
        <v>50000</v>
      </c>
      <c r="I118" s="2">
        <v>100</v>
      </c>
      <c r="J118" s="2"/>
      <c r="K118" s="2">
        <v>35</v>
      </c>
      <c r="L118" s="2">
        <v>0</v>
      </c>
      <c r="M118" s="2">
        <v>5</v>
      </c>
      <c r="N118" s="2">
        <v>10</v>
      </c>
      <c r="O118" s="2">
        <v>10</v>
      </c>
      <c r="P118" s="2">
        <v>10</v>
      </c>
      <c r="Q118" s="2" t="s">
        <v>3422</v>
      </c>
      <c r="R118" s="2" t="s">
        <v>3423</v>
      </c>
      <c r="S118" s="4">
        <v>44958</v>
      </c>
    </row>
    <row r="119" spans="1:19" ht="12.5" x14ac:dyDescent="0.25">
      <c r="A119" s="14" t="str">
        <f>HYPERLINK("https://gerandofalcoes.my.salesforce.com/0014X00002YggqLQAR", "0014X00002YggqLQAR")</f>
        <v>0014X00002YggqLQAR</v>
      </c>
      <c r="B119" s="2" t="s">
        <v>3500</v>
      </c>
      <c r="C119" s="2" t="s">
        <v>423</v>
      </c>
      <c r="D119" s="2" t="s">
        <v>2</v>
      </c>
      <c r="E119" s="2"/>
      <c r="F119" s="2">
        <v>0</v>
      </c>
      <c r="G119" s="2">
        <v>2</v>
      </c>
      <c r="H119" s="2">
        <v>400</v>
      </c>
      <c r="I119" s="2">
        <v>30</v>
      </c>
      <c r="J119" s="2"/>
      <c r="K119" s="2">
        <v>16</v>
      </c>
      <c r="L119" s="2">
        <v>0</v>
      </c>
      <c r="M119" s="2">
        <v>0</v>
      </c>
      <c r="N119" s="2">
        <v>6</v>
      </c>
      <c r="O119" s="2">
        <v>5</v>
      </c>
      <c r="P119" s="2">
        <v>5</v>
      </c>
      <c r="Q119" s="2" t="s">
        <v>3501</v>
      </c>
      <c r="R119" s="2" t="s">
        <v>3502</v>
      </c>
      <c r="S119" s="4">
        <v>44958</v>
      </c>
    </row>
    <row r="120" spans="1:19" ht="12.5" x14ac:dyDescent="0.25">
      <c r="A120" s="14" t="str">
        <f>HYPERLINK("https://gerandofalcoes.my.salesforce.com/0014X00002Yggi1QAB", "0014X00002Yggi1QAB")</f>
        <v>0014X00002Yggi1QAB</v>
      </c>
      <c r="B120" s="2" t="s">
        <v>3444</v>
      </c>
      <c r="C120" s="2" t="s">
        <v>423</v>
      </c>
      <c r="D120" s="2" t="s">
        <v>2</v>
      </c>
      <c r="E120" s="2"/>
      <c r="F120" s="2">
        <v>0</v>
      </c>
      <c r="G120" s="2">
        <v>2</v>
      </c>
      <c r="H120" s="2">
        <v>500</v>
      </c>
      <c r="I120" s="2">
        <v>0</v>
      </c>
      <c r="J120" s="2"/>
      <c r="K120" s="2">
        <v>11</v>
      </c>
      <c r="L120" s="2">
        <v>0</v>
      </c>
      <c r="M120" s="2">
        <v>0</v>
      </c>
      <c r="N120" s="2">
        <v>6</v>
      </c>
      <c r="O120" s="2">
        <v>5</v>
      </c>
      <c r="P120" s="2">
        <v>0</v>
      </c>
      <c r="Q120" s="2" t="s">
        <v>3445</v>
      </c>
      <c r="R120" s="2" t="s">
        <v>3446</v>
      </c>
      <c r="S120" s="4">
        <v>44958</v>
      </c>
    </row>
    <row r="121" spans="1:19" ht="12.5" x14ac:dyDescent="0.25">
      <c r="A121" s="14" t="str">
        <f>HYPERLINK("https://gerandofalcoes.my.salesforce.com/0014X00002YggiHQAR", "0014X00002YggiHQAR")</f>
        <v>0014X00002YggiHQAR</v>
      </c>
      <c r="B121" s="2" t="s">
        <v>3410</v>
      </c>
      <c r="C121" s="2" t="s">
        <v>423</v>
      </c>
      <c r="D121" s="2" t="s">
        <v>2</v>
      </c>
      <c r="E121" s="2"/>
      <c r="F121" s="2">
        <v>3</v>
      </c>
      <c r="G121" s="2">
        <v>2</v>
      </c>
      <c r="H121" s="2">
        <v>198540</v>
      </c>
      <c r="I121" s="2">
        <v>30</v>
      </c>
      <c r="J121" s="2"/>
      <c r="K121" s="2">
        <v>31</v>
      </c>
      <c r="L121" s="2">
        <v>0</v>
      </c>
      <c r="M121" s="2">
        <v>5</v>
      </c>
      <c r="N121" s="2">
        <v>6</v>
      </c>
      <c r="O121" s="2">
        <v>15</v>
      </c>
      <c r="P121" s="2">
        <v>5</v>
      </c>
      <c r="Q121" s="2" t="s">
        <v>3411</v>
      </c>
      <c r="R121" s="2" t="s">
        <v>3412</v>
      </c>
      <c r="S121" s="4">
        <v>44958</v>
      </c>
    </row>
    <row r="122" spans="1:19" ht="12.5" x14ac:dyDescent="0.25">
      <c r="A122" s="14" t="str">
        <f>HYPERLINK("https://gerandofalcoes.my.salesforce.com/0014X00002YgbkZQAR", "0014X00002YgbkZQAR")</f>
        <v>0014X00002YgbkZQAR</v>
      </c>
      <c r="B122" s="2" t="s">
        <v>3455</v>
      </c>
      <c r="C122" s="2" t="s">
        <v>423</v>
      </c>
      <c r="D122" s="2" t="s">
        <v>2</v>
      </c>
      <c r="E122" s="2"/>
      <c r="F122" s="2">
        <v>0</v>
      </c>
      <c r="G122" s="2">
        <v>0</v>
      </c>
      <c r="H122" s="2">
        <v>0</v>
      </c>
      <c r="I122" s="2">
        <v>0</v>
      </c>
      <c r="J122" s="2"/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 t="s">
        <v>3456</v>
      </c>
      <c r="R122" s="2" t="s">
        <v>3457</v>
      </c>
      <c r="S122" s="4">
        <v>44958</v>
      </c>
    </row>
    <row r="123" spans="1:19" ht="12.5" x14ac:dyDescent="0.25">
      <c r="A123" s="14" t="str">
        <f>HYPERLINK("https://gerandofalcoes.my.salesforce.com/0014X00002YggkHQAR", "0014X00002YggkHQAR")</f>
        <v>0014X00002YggkHQAR</v>
      </c>
      <c r="B123" s="2" t="s">
        <v>3467</v>
      </c>
      <c r="C123" s="2" t="s">
        <v>423</v>
      </c>
      <c r="D123" s="2" t="s">
        <v>2</v>
      </c>
      <c r="E123" s="2"/>
      <c r="F123" s="2">
        <v>0</v>
      </c>
      <c r="G123" s="2">
        <v>5</v>
      </c>
      <c r="H123" s="2">
        <v>8000</v>
      </c>
      <c r="I123" s="2">
        <v>0</v>
      </c>
      <c r="J123" s="2"/>
      <c r="K123" s="2">
        <v>15</v>
      </c>
      <c r="L123" s="2">
        <v>0</v>
      </c>
      <c r="M123" s="2">
        <v>0</v>
      </c>
      <c r="N123" s="2">
        <v>10</v>
      </c>
      <c r="O123" s="2">
        <v>5</v>
      </c>
      <c r="P123" s="2">
        <v>0</v>
      </c>
      <c r="Q123" s="2" t="s">
        <v>3468</v>
      </c>
      <c r="R123" s="2" t="s">
        <v>3469</v>
      </c>
      <c r="S123" s="4">
        <v>44958</v>
      </c>
    </row>
    <row r="124" spans="1:19" ht="12.5" x14ac:dyDescent="0.25">
      <c r="A124" s="14" t="str">
        <f>HYPERLINK("https://gerandofalcoes.my.salesforce.com/0014X00002Yggl2QAB", "0014X00002Yggl2QAB")</f>
        <v>0014X00002Yggl2QAB</v>
      </c>
      <c r="B124" s="2" t="s">
        <v>3540</v>
      </c>
      <c r="C124" s="2" t="s">
        <v>423</v>
      </c>
      <c r="D124" s="2" t="s">
        <v>2</v>
      </c>
      <c r="E124" s="2"/>
      <c r="F124" s="2">
        <v>0</v>
      </c>
      <c r="G124" s="2">
        <v>2</v>
      </c>
      <c r="H124" s="2">
        <v>0</v>
      </c>
      <c r="I124" s="2">
        <v>0</v>
      </c>
      <c r="J124" s="2"/>
      <c r="K124" s="2">
        <v>6</v>
      </c>
      <c r="L124" s="2">
        <v>0</v>
      </c>
      <c r="M124" s="2">
        <v>0</v>
      </c>
      <c r="N124" s="2">
        <v>6</v>
      </c>
      <c r="O124" s="2">
        <v>0</v>
      </c>
      <c r="P124" s="2">
        <v>0</v>
      </c>
      <c r="Q124" s="2" t="s">
        <v>7171</v>
      </c>
      <c r="R124" s="2" t="s">
        <v>7172</v>
      </c>
      <c r="S124" s="4">
        <v>44959</v>
      </c>
    </row>
    <row r="125" spans="1:19" ht="12.5" x14ac:dyDescent="0.25">
      <c r="A125" s="14" t="str">
        <f>HYPERLINK("https://gerandofalcoes.my.salesforce.com/0014X00002YggkGQAR", "0014X00002YggkGQAR")</f>
        <v>0014X00002YggkGQAR</v>
      </c>
      <c r="B125" s="2" t="s">
        <v>3566</v>
      </c>
      <c r="C125" s="2" t="s">
        <v>423</v>
      </c>
      <c r="D125" s="2" t="s">
        <v>2</v>
      </c>
      <c r="E125" s="2"/>
      <c r="F125" s="2">
        <v>5</v>
      </c>
      <c r="G125" s="2">
        <v>3</v>
      </c>
      <c r="H125" s="2">
        <v>6000</v>
      </c>
      <c r="I125" s="2">
        <v>230</v>
      </c>
      <c r="J125" s="2"/>
      <c r="K125" s="2">
        <v>30</v>
      </c>
      <c r="L125" s="2">
        <v>0</v>
      </c>
      <c r="M125" s="2">
        <v>5</v>
      </c>
      <c r="N125" s="2">
        <v>8</v>
      </c>
      <c r="O125" s="2">
        <v>5</v>
      </c>
      <c r="P125" s="2">
        <v>12</v>
      </c>
      <c r="Q125" s="2" t="s">
        <v>3567</v>
      </c>
      <c r="R125" s="2" t="s">
        <v>3568</v>
      </c>
      <c r="S125" s="4">
        <v>44960</v>
      </c>
    </row>
    <row r="126" spans="1:19" ht="12.5" x14ac:dyDescent="0.25">
      <c r="A126" s="14" t="str">
        <f>HYPERLINK("https://gerandofalcoes.my.salesforce.com/0014X00002YgggNQAR", "0014X00002YgggNQAR")</f>
        <v>0014X00002YgggNQAR</v>
      </c>
      <c r="B126" s="2" t="s">
        <v>3600</v>
      </c>
      <c r="C126" s="2" t="s">
        <v>423</v>
      </c>
      <c r="D126" s="2" t="s">
        <v>2</v>
      </c>
      <c r="E126" s="2"/>
      <c r="F126" s="2">
        <v>0</v>
      </c>
      <c r="G126" s="2">
        <v>2</v>
      </c>
      <c r="H126" s="2">
        <v>2000</v>
      </c>
      <c r="I126" s="2">
        <v>150</v>
      </c>
      <c r="J126" s="2"/>
      <c r="K126" s="2">
        <v>23</v>
      </c>
      <c r="L126" s="2">
        <v>0</v>
      </c>
      <c r="M126" s="2">
        <v>0</v>
      </c>
      <c r="N126" s="2">
        <v>6</v>
      </c>
      <c r="O126" s="2">
        <v>5</v>
      </c>
      <c r="P126" s="2">
        <v>12</v>
      </c>
      <c r="Q126" s="2" t="s">
        <v>3601</v>
      </c>
      <c r="R126" s="2" t="s">
        <v>3602</v>
      </c>
      <c r="S126" s="4">
        <v>44962</v>
      </c>
    </row>
    <row r="127" spans="1:19" ht="12.5" x14ac:dyDescent="0.25">
      <c r="A127" s="14" t="str">
        <f>HYPERLINK("https://gerandofalcoes.my.salesforce.com/0014X00002YgghPQAR", "0014X00002YgghPQAR")</f>
        <v>0014X00002YgghPQAR</v>
      </c>
      <c r="B127" s="2" t="s">
        <v>3628</v>
      </c>
      <c r="C127" s="2" t="s">
        <v>423</v>
      </c>
      <c r="D127" s="2" t="s">
        <v>2</v>
      </c>
      <c r="E127" s="2"/>
      <c r="F127" s="2">
        <v>0</v>
      </c>
      <c r="G127" s="2">
        <v>2</v>
      </c>
      <c r="H127" s="2">
        <v>1100000</v>
      </c>
      <c r="I127" s="2">
        <v>70</v>
      </c>
      <c r="J127" s="2"/>
      <c r="K127" s="2">
        <v>36</v>
      </c>
      <c r="L127" s="2">
        <v>0</v>
      </c>
      <c r="M127" s="2">
        <v>0</v>
      </c>
      <c r="N127" s="2">
        <v>6</v>
      </c>
      <c r="O127" s="2">
        <v>25</v>
      </c>
      <c r="P127" s="2">
        <v>5</v>
      </c>
      <c r="Q127" s="2" t="s">
        <v>3629</v>
      </c>
      <c r="R127" s="2" t="s">
        <v>3630</v>
      </c>
      <c r="S127" s="4">
        <v>44963</v>
      </c>
    </row>
    <row r="128" spans="1:19" ht="12.5" x14ac:dyDescent="0.25">
      <c r="A128" s="14" t="str">
        <f>HYPERLINK("https://gerandofalcoes.my.salesforce.com/0014X00002YgghuQAB", "0014X00002YgghuQAB")</f>
        <v>0014X00002YgghuQAB</v>
      </c>
      <c r="B128" s="2" t="s">
        <v>3667</v>
      </c>
      <c r="C128" s="2" t="s">
        <v>423</v>
      </c>
      <c r="D128" s="2" t="s">
        <v>2</v>
      </c>
      <c r="E128" s="2"/>
      <c r="F128" s="2">
        <v>6</v>
      </c>
      <c r="G128" s="2">
        <v>4</v>
      </c>
      <c r="H128" s="2">
        <v>20000</v>
      </c>
      <c r="I128" s="2">
        <v>100</v>
      </c>
      <c r="J128" s="2"/>
      <c r="K128" s="2">
        <v>35</v>
      </c>
      <c r="L128" s="2">
        <v>0</v>
      </c>
      <c r="M128" s="2">
        <v>10</v>
      </c>
      <c r="N128" s="2">
        <v>10</v>
      </c>
      <c r="O128" s="2">
        <v>5</v>
      </c>
      <c r="P128" s="2">
        <v>10</v>
      </c>
      <c r="Q128" s="2" t="s">
        <v>3668</v>
      </c>
      <c r="R128" s="2" t="s">
        <v>3669</v>
      </c>
      <c r="S128" s="4">
        <v>44964</v>
      </c>
    </row>
    <row r="129" spans="1:19" ht="12.5" x14ac:dyDescent="0.25">
      <c r="A129" s="14" t="str">
        <f>HYPERLINK("https://gerandofalcoes.my.salesforce.com/0014X00002Yggj5QAB", "0014X00002Yggj5QAB")</f>
        <v>0014X00002Yggj5QAB</v>
      </c>
      <c r="B129" s="2" t="s">
        <v>3714</v>
      </c>
      <c r="C129" s="2" t="s">
        <v>423</v>
      </c>
      <c r="D129" s="2" t="s">
        <v>2</v>
      </c>
      <c r="E129" s="2"/>
      <c r="F129" s="2">
        <v>0</v>
      </c>
      <c r="G129" s="2">
        <v>2</v>
      </c>
      <c r="H129" s="2">
        <v>3000</v>
      </c>
      <c r="I129" s="2">
        <v>0</v>
      </c>
      <c r="J129" s="2"/>
      <c r="K129" s="2">
        <v>11</v>
      </c>
      <c r="L129" s="2">
        <v>0</v>
      </c>
      <c r="M129" s="2">
        <v>0</v>
      </c>
      <c r="N129" s="2">
        <v>6</v>
      </c>
      <c r="O129" s="2">
        <v>5</v>
      </c>
      <c r="P129" s="2">
        <v>0</v>
      </c>
      <c r="Q129" s="2" t="s">
        <v>3715</v>
      </c>
      <c r="R129" s="2" t="s">
        <v>3715</v>
      </c>
      <c r="S129" s="4">
        <v>44967</v>
      </c>
    </row>
    <row r="130" spans="1:19" ht="12.5" x14ac:dyDescent="0.25">
      <c r="A130" s="14" t="str">
        <f>HYPERLINK("https://gerandofalcoes.my.salesforce.com/0014X00002YgggOQAR", "0014X00002YgggOQAR")</f>
        <v>0014X00002YgggOQAR</v>
      </c>
      <c r="B130" s="2" t="s">
        <v>3755</v>
      </c>
      <c r="C130" s="2" t="s">
        <v>423</v>
      </c>
      <c r="D130" s="2" t="s">
        <v>2</v>
      </c>
      <c r="E130" s="2"/>
      <c r="F130" s="2">
        <v>0</v>
      </c>
      <c r="G130" s="2">
        <v>2</v>
      </c>
      <c r="H130" s="2">
        <v>1000</v>
      </c>
      <c r="I130" s="2">
        <v>20</v>
      </c>
      <c r="J130" s="2"/>
      <c r="K130" s="2">
        <v>16</v>
      </c>
      <c r="L130" s="2">
        <v>0</v>
      </c>
      <c r="M130" s="2">
        <v>0</v>
      </c>
      <c r="N130" s="2">
        <v>6</v>
      </c>
      <c r="O130" s="2">
        <v>5</v>
      </c>
      <c r="P130" s="2">
        <v>5</v>
      </c>
      <c r="Q130" s="2" t="s">
        <v>3756</v>
      </c>
      <c r="R130" s="2" t="s">
        <v>3757</v>
      </c>
      <c r="S130" s="4">
        <v>44967</v>
      </c>
    </row>
    <row r="131" spans="1:19" ht="12.5" x14ac:dyDescent="0.25">
      <c r="A131" s="14" t="str">
        <f>HYPERLINK("https://gerandofalcoes.my.salesforce.com/0014X00002YggnwQAB", "0014X00002YggnwQAB")</f>
        <v>0014X00002YggnwQAB</v>
      </c>
      <c r="B131" s="2" t="s">
        <v>3724</v>
      </c>
      <c r="C131" s="2" t="s">
        <v>423</v>
      </c>
      <c r="D131" s="2" t="s">
        <v>2</v>
      </c>
      <c r="E131" s="2"/>
      <c r="F131" s="2">
        <v>1</v>
      </c>
      <c r="G131" s="2">
        <v>2</v>
      </c>
      <c r="H131" s="2">
        <v>86196</v>
      </c>
      <c r="I131" s="2">
        <v>10</v>
      </c>
      <c r="J131" s="2"/>
      <c r="K131" s="2">
        <v>26</v>
      </c>
      <c r="L131" s="2">
        <v>0</v>
      </c>
      <c r="M131" s="2">
        <v>5</v>
      </c>
      <c r="N131" s="2">
        <v>6</v>
      </c>
      <c r="O131" s="2">
        <v>10</v>
      </c>
      <c r="P131" s="2">
        <v>5</v>
      </c>
      <c r="Q131" s="2" t="s">
        <v>3725</v>
      </c>
      <c r="R131" s="2" t="s">
        <v>3726</v>
      </c>
      <c r="S131" s="4">
        <v>44967</v>
      </c>
    </row>
    <row r="132" spans="1:19" ht="12.5" x14ac:dyDescent="0.25">
      <c r="A132" s="14" t="str">
        <f>HYPERLINK("https://gerandofalcoes.my.salesforce.com/0014X00002YggiyQAB", "0014X00002YggiyQAB")</f>
        <v>0014X00002YggiyQAB</v>
      </c>
      <c r="B132" s="2" t="s">
        <v>3815</v>
      </c>
      <c r="C132" s="2" t="s">
        <v>423</v>
      </c>
      <c r="D132" s="2" t="s">
        <v>2</v>
      </c>
      <c r="E132" s="2"/>
      <c r="F132" s="2">
        <v>1</v>
      </c>
      <c r="G132" s="2">
        <v>3</v>
      </c>
      <c r="H132" s="2">
        <v>29000</v>
      </c>
      <c r="I132" s="2">
        <v>120</v>
      </c>
      <c r="J132" s="2"/>
      <c r="K132" s="2">
        <v>33</v>
      </c>
      <c r="L132" s="2">
        <v>0</v>
      </c>
      <c r="M132" s="2">
        <v>5</v>
      </c>
      <c r="N132" s="2">
        <v>8</v>
      </c>
      <c r="O132" s="2">
        <v>10</v>
      </c>
      <c r="P132" s="2">
        <v>10</v>
      </c>
      <c r="Q132" s="2" t="s">
        <v>3816</v>
      </c>
      <c r="R132" s="2" t="s">
        <v>3817</v>
      </c>
      <c r="S132" s="4">
        <v>44992</v>
      </c>
    </row>
    <row r="133" spans="1:19" ht="12.5" x14ac:dyDescent="0.25">
      <c r="A133" s="14" t="str">
        <f>HYPERLINK("https://gerandofalcoes.my.salesforce.com/0014X00002YggnOQAR", "0014X00002YggnOQAR")</f>
        <v>0014X00002YggnOQAR</v>
      </c>
      <c r="B133" s="2" t="s">
        <v>3316</v>
      </c>
      <c r="C133" s="2" t="s">
        <v>423</v>
      </c>
      <c r="D133" s="2" t="s">
        <v>2</v>
      </c>
      <c r="E133" s="2"/>
      <c r="F133" s="2">
        <v>0</v>
      </c>
      <c r="G133" s="2">
        <v>2</v>
      </c>
      <c r="H133" s="2">
        <v>0</v>
      </c>
      <c r="I133" s="2">
        <v>128</v>
      </c>
      <c r="J133" s="2"/>
      <c r="K133" s="2">
        <v>16</v>
      </c>
      <c r="L133" s="2">
        <v>0</v>
      </c>
      <c r="M133" s="2">
        <v>0</v>
      </c>
      <c r="N133" s="2">
        <v>6</v>
      </c>
      <c r="O133" s="2">
        <v>0</v>
      </c>
      <c r="P133" s="2">
        <v>10</v>
      </c>
      <c r="Q133" s="2" t="s">
        <v>3317</v>
      </c>
      <c r="R133" s="2" t="s">
        <v>3318</v>
      </c>
      <c r="S133" s="4">
        <v>44953</v>
      </c>
    </row>
    <row r="134" spans="1:19" ht="12.5" x14ac:dyDescent="0.25">
      <c r="A134" s="14" t="str">
        <f>HYPERLINK("https://gerandofalcoes.my.salesforce.com/0014X00002Yggl5QAB", "0014X00002Yggl5QAB")</f>
        <v>0014X00002Yggl5QAB</v>
      </c>
      <c r="B134" s="2" t="s">
        <v>3484</v>
      </c>
      <c r="C134" s="2" t="s">
        <v>423</v>
      </c>
      <c r="D134" s="2" t="s">
        <v>2</v>
      </c>
      <c r="E134" s="2"/>
      <c r="F134" s="2">
        <v>4</v>
      </c>
      <c r="G134" s="2">
        <v>4</v>
      </c>
      <c r="H134" s="2">
        <v>700</v>
      </c>
      <c r="I134" s="2">
        <v>120</v>
      </c>
      <c r="J134" s="2"/>
      <c r="K134" s="2">
        <v>30</v>
      </c>
      <c r="L134" s="2">
        <v>0</v>
      </c>
      <c r="M134" s="2">
        <v>5</v>
      </c>
      <c r="N134" s="2">
        <v>10</v>
      </c>
      <c r="O134" s="2">
        <v>5</v>
      </c>
      <c r="P134" s="2">
        <v>10</v>
      </c>
      <c r="Q134" s="2" t="s">
        <v>3485</v>
      </c>
      <c r="R134" s="2" t="s">
        <v>3485</v>
      </c>
      <c r="S134" s="4">
        <v>44958</v>
      </c>
    </row>
    <row r="135" spans="1:19" ht="12.5" x14ac:dyDescent="0.25">
      <c r="A135" s="14" t="str">
        <f>HYPERLINK("https://gerandofalcoes.my.salesforce.com/0014X00002Yggh2QAB", "0014X00002Yggh2QAB")</f>
        <v>0014X00002Yggh2QAB</v>
      </c>
      <c r="B135" s="2" t="s">
        <v>3449</v>
      </c>
      <c r="C135" s="2" t="s">
        <v>423</v>
      </c>
      <c r="D135" s="2" t="s">
        <v>2</v>
      </c>
      <c r="E135" s="2"/>
      <c r="F135" s="2">
        <v>0</v>
      </c>
      <c r="G135" s="2">
        <v>2</v>
      </c>
      <c r="H135" s="2">
        <v>500</v>
      </c>
      <c r="I135" s="2">
        <v>50</v>
      </c>
      <c r="J135" s="2"/>
      <c r="K135" s="2">
        <v>16</v>
      </c>
      <c r="L135" s="2">
        <v>0</v>
      </c>
      <c r="M135" s="2">
        <v>0</v>
      </c>
      <c r="N135" s="2">
        <v>6</v>
      </c>
      <c r="O135" s="2">
        <v>5</v>
      </c>
      <c r="P135" s="2">
        <v>5</v>
      </c>
      <c r="Q135" s="2" t="s">
        <v>3450</v>
      </c>
      <c r="R135" s="2" t="s">
        <v>3451</v>
      </c>
      <c r="S135" s="4">
        <v>44958</v>
      </c>
    </row>
    <row r="136" spans="1:19" ht="12.5" x14ac:dyDescent="0.25">
      <c r="A136" s="14" t="str">
        <f>HYPERLINK("https://gerandofalcoes.my.salesforce.com/0014X00002YggkwQAB", "0014X00002YggkwQAB")</f>
        <v>0014X00002YggkwQAB</v>
      </c>
      <c r="B136" s="2" t="s">
        <v>3440</v>
      </c>
      <c r="C136" s="2" t="s">
        <v>423</v>
      </c>
      <c r="D136" s="2" t="s">
        <v>2</v>
      </c>
      <c r="E136" s="2"/>
      <c r="F136" s="2">
        <v>0</v>
      </c>
      <c r="G136" s="2">
        <v>2</v>
      </c>
      <c r="H136" s="2">
        <v>100</v>
      </c>
      <c r="I136" s="2">
        <v>30</v>
      </c>
      <c r="J136" s="2"/>
      <c r="K136" s="2">
        <v>16</v>
      </c>
      <c r="L136" s="2">
        <v>0</v>
      </c>
      <c r="M136" s="2">
        <v>0</v>
      </c>
      <c r="N136" s="2">
        <v>6</v>
      </c>
      <c r="O136" s="2">
        <v>5</v>
      </c>
      <c r="P136" s="2">
        <v>5</v>
      </c>
      <c r="Q136" s="2" t="s">
        <v>3441</v>
      </c>
      <c r="R136" s="2" t="s">
        <v>3441</v>
      </c>
      <c r="S136" s="4">
        <v>44958</v>
      </c>
    </row>
    <row r="137" spans="1:19" ht="12.5" x14ac:dyDescent="0.25">
      <c r="A137" s="14" t="str">
        <f>HYPERLINK("https://gerandofalcoes.my.salesforce.com/0014X00002YggiDQAR", "0014X00002YggiDQAR")</f>
        <v>0014X00002YggiDQAR</v>
      </c>
      <c r="B137" s="2" t="s">
        <v>3400</v>
      </c>
      <c r="C137" s="2" t="s">
        <v>423</v>
      </c>
      <c r="D137" s="2" t="s">
        <v>2</v>
      </c>
      <c r="E137" s="2"/>
      <c r="F137" s="2">
        <v>3</v>
      </c>
      <c r="G137" s="2">
        <v>6</v>
      </c>
      <c r="H137" s="2">
        <v>315738</v>
      </c>
      <c r="I137" s="2">
        <v>8</v>
      </c>
      <c r="J137" s="2"/>
      <c r="K137" s="2">
        <v>40</v>
      </c>
      <c r="L137" s="2">
        <v>0</v>
      </c>
      <c r="M137" s="2">
        <v>5</v>
      </c>
      <c r="N137" s="2">
        <v>10</v>
      </c>
      <c r="O137" s="2">
        <v>20</v>
      </c>
      <c r="P137" s="2">
        <v>5</v>
      </c>
      <c r="Q137" s="2" t="s">
        <v>3401</v>
      </c>
      <c r="R137" s="2" t="s">
        <v>3402</v>
      </c>
      <c r="S137" s="4">
        <v>44958</v>
      </c>
    </row>
    <row r="138" spans="1:19" ht="12.5" x14ac:dyDescent="0.25">
      <c r="A138" s="14" t="str">
        <f>HYPERLINK("https://gerandofalcoes.my.salesforce.com/0014X00002YgglwQAB", "0014X00002YgglwQAB")</f>
        <v>0014X00002YgglwQAB</v>
      </c>
      <c r="B138" s="2" t="s">
        <v>3416</v>
      </c>
      <c r="C138" s="2" t="s">
        <v>423</v>
      </c>
      <c r="D138" s="2" t="s">
        <v>2</v>
      </c>
      <c r="E138" s="2"/>
      <c r="F138" s="2">
        <v>6</v>
      </c>
      <c r="G138" s="2">
        <v>6</v>
      </c>
      <c r="H138" s="2">
        <v>60000</v>
      </c>
      <c r="I138" s="2">
        <v>30</v>
      </c>
      <c r="J138" s="2"/>
      <c r="K138" s="2">
        <v>35</v>
      </c>
      <c r="L138" s="2">
        <v>0</v>
      </c>
      <c r="M138" s="2">
        <v>10</v>
      </c>
      <c r="N138" s="2">
        <v>10</v>
      </c>
      <c r="O138" s="2">
        <v>10</v>
      </c>
      <c r="P138" s="2">
        <v>5</v>
      </c>
      <c r="Q138" s="2" t="s">
        <v>3417</v>
      </c>
      <c r="R138" s="2" t="s">
        <v>3418</v>
      </c>
      <c r="S138" s="4">
        <v>44958</v>
      </c>
    </row>
    <row r="139" spans="1:19" ht="12.5" x14ac:dyDescent="0.25">
      <c r="A139" s="14" t="str">
        <f>HYPERLINK("https://gerandofalcoes.my.salesforce.com/0014X00002YggnyQAB", "0014X00002YggnyQAB")</f>
        <v>0014X00002YggnyQAB</v>
      </c>
      <c r="B139" s="2" t="s">
        <v>3519</v>
      </c>
      <c r="C139" s="2" t="s">
        <v>423</v>
      </c>
      <c r="D139" s="2" t="s">
        <v>2</v>
      </c>
      <c r="E139" s="2"/>
      <c r="F139" s="2">
        <v>25</v>
      </c>
      <c r="G139" s="2">
        <v>3</v>
      </c>
      <c r="H139" s="2">
        <v>49000</v>
      </c>
      <c r="I139" s="2">
        <v>0</v>
      </c>
      <c r="J139" s="2"/>
      <c r="K139" s="2">
        <v>30</v>
      </c>
      <c r="L139" s="2">
        <v>0</v>
      </c>
      <c r="M139" s="2">
        <v>12</v>
      </c>
      <c r="N139" s="2">
        <v>8</v>
      </c>
      <c r="O139" s="2">
        <v>10</v>
      </c>
      <c r="P139" s="2">
        <v>0</v>
      </c>
      <c r="Q139" s="2" t="s">
        <v>3520</v>
      </c>
      <c r="R139" s="2" t="s">
        <v>3521</v>
      </c>
      <c r="S139" s="4">
        <v>44958</v>
      </c>
    </row>
    <row r="140" spans="1:19" ht="12.5" x14ac:dyDescent="0.25">
      <c r="A140" s="14" t="str">
        <f>HYPERLINK("https://gerandofalcoes.my.salesforce.com/0014X00002YggjLQAR", "0014X00002YggjLQAR")</f>
        <v>0014X00002YggjLQAR</v>
      </c>
      <c r="B140" s="2" t="s">
        <v>3489</v>
      </c>
      <c r="C140" s="2" t="s">
        <v>423</v>
      </c>
      <c r="D140" s="2" t="s">
        <v>2</v>
      </c>
      <c r="E140" s="2"/>
      <c r="F140" s="2">
        <v>0</v>
      </c>
      <c r="G140" s="2">
        <v>2</v>
      </c>
      <c r="H140" s="2">
        <v>1000</v>
      </c>
      <c r="I140" s="2">
        <v>70</v>
      </c>
      <c r="J140" s="2"/>
      <c r="K140" s="2">
        <v>16</v>
      </c>
      <c r="L140" s="2">
        <v>0</v>
      </c>
      <c r="M140" s="2">
        <v>0</v>
      </c>
      <c r="N140" s="2">
        <v>6</v>
      </c>
      <c r="O140" s="2">
        <v>5</v>
      </c>
      <c r="P140" s="2">
        <v>5</v>
      </c>
      <c r="Q140" s="2" t="s">
        <v>3490</v>
      </c>
      <c r="R140" s="2" t="s">
        <v>3491</v>
      </c>
      <c r="S140" s="4">
        <v>44958</v>
      </c>
    </row>
    <row r="141" spans="1:19" ht="12.5" x14ac:dyDescent="0.25">
      <c r="A141" s="14" t="str">
        <f>HYPERLINK("https://gerandofalcoes.my.salesforce.com/0014X00002YggnnQAB", "0014X00002YggnnQAB")</f>
        <v>0014X00002YggnnQAB</v>
      </c>
      <c r="B141" s="2" t="s">
        <v>3405</v>
      </c>
      <c r="C141" s="2" t="s">
        <v>423</v>
      </c>
      <c r="D141" s="2" t="s">
        <v>2</v>
      </c>
      <c r="E141" s="2"/>
      <c r="F141" s="2">
        <v>0</v>
      </c>
      <c r="G141" s="2">
        <v>3</v>
      </c>
      <c r="H141" s="2">
        <v>135000</v>
      </c>
      <c r="I141" s="2">
        <v>50</v>
      </c>
      <c r="J141" s="2"/>
      <c r="K141" s="2">
        <v>28</v>
      </c>
      <c r="L141" s="2">
        <v>0</v>
      </c>
      <c r="M141" s="2">
        <v>0</v>
      </c>
      <c r="N141" s="2">
        <v>8</v>
      </c>
      <c r="O141" s="2">
        <v>15</v>
      </c>
      <c r="P141" s="2">
        <v>5</v>
      </c>
      <c r="Q141" s="2" t="s">
        <v>3406</v>
      </c>
      <c r="R141" s="2" t="s">
        <v>3407</v>
      </c>
      <c r="S141" s="4">
        <v>44958</v>
      </c>
    </row>
    <row r="142" spans="1:19" ht="12.5" x14ac:dyDescent="0.25">
      <c r="A142" s="14" t="str">
        <f>HYPERLINK("https://gerandofalcoes.my.salesforce.com/0014X00002Yggp4QAB", "0014X00002Yggp4QAB")</f>
        <v>0014X00002Yggp4QAB</v>
      </c>
      <c r="B142" s="2" t="s">
        <v>3447</v>
      </c>
      <c r="C142" s="2" t="s">
        <v>423</v>
      </c>
      <c r="D142" s="2" t="s">
        <v>2</v>
      </c>
      <c r="E142" s="2"/>
      <c r="F142" s="2">
        <v>0</v>
      </c>
      <c r="G142" s="2">
        <v>5</v>
      </c>
      <c r="H142" s="2">
        <v>2000</v>
      </c>
      <c r="I142" s="2">
        <v>150</v>
      </c>
      <c r="J142" s="2"/>
      <c r="K142" s="2">
        <v>27</v>
      </c>
      <c r="L142" s="2">
        <v>0</v>
      </c>
      <c r="M142" s="2">
        <v>0</v>
      </c>
      <c r="N142" s="2">
        <v>10</v>
      </c>
      <c r="O142" s="2">
        <v>5</v>
      </c>
      <c r="P142" s="2">
        <v>12</v>
      </c>
      <c r="Q142" s="2" t="s">
        <v>3448</v>
      </c>
      <c r="R142" s="2" t="s">
        <v>3448</v>
      </c>
      <c r="S142" s="4">
        <v>44958</v>
      </c>
    </row>
    <row r="143" spans="1:19" ht="12.5" x14ac:dyDescent="0.25">
      <c r="A143" s="14" t="str">
        <f>HYPERLINK("https://gerandofalcoes.my.salesforce.com/0014X00002YgghnQAB", "0014X00002YgghnQAB")</f>
        <v>0014X00002YgghnQAB</v>
      </c>
      <c r="B143" s="2" t="s">
        <v>3470</v>
      </c>
      <c r="C143" s="2" t="s">
        <v>423</v>
      </c>
      <c r="D143" s="2" t="s">
        <v>2</v>
      </c>
      <c r="E143" s="2"/>
      <c r="F143" s="2">
        <v>20</v>
      </c>
      <c r="G143" s="2">
        <v>3</v>
      </c>
      <c r="H143" s="2">
        <v>263610</v>
      </c>
      <c r="I143" s="2">
        <v>180</v>
      </c>
      <c r="J143" s="2"/>
      <c r="K143" s="2">
        <v>47</v>
      </c>
      <c r="L143" s="2">
        <v>0</v>
      </c>
      <c r="M143" s="2">
        <v>12</v>
      </c>
      <c r="N143" s="2">
        <v>8</v>
      </c>
      <c r="O143" s="2">
        <v>15</v>
      </c>
      <c r="P143" s="2">
        <v>12</v>
      </c>
      <c r="Q143" s="2" t="s">
        <v>3471</v>
      </c>
      <c r="R143" s="2" t="s">
        <v>3472</v>
      </c>
      <c r="S143" s="4">
        <v>44958</v>
      </c>
    </row>
    <row r="144" spans="1:19" ht="12.5" x14ac:dyDescent="0.25">
      <c r="A144" s="14" t="str">
        <f>HYPERLINK("https://gerandofalcoes.my.salesforce.com/0014X00002YggjDQAR", "0014X00002YggjDQAR")</f>
        <v>0014X00002YggjDQAR</v>
      </c>
      <c r="B144" s="2" t="s">
        <v>3419</v>
      </c>
      <c r="C144" s="2" t="s">
        <v>423</v>
      </c>
      <c r="D144" s="2" t="s">
        <v>2</v>
      </c>
      <c r="E144" s="2"/>
      <c r="F144" s="2">
        <v>6</v>
      </c>
      <c r="G144" s="2">
        <v>4</v>
      </c>
      <c r="H144" s="2">
        <v>2000</v>
      </c>
      <c r="I144" s="2">
        <v>60</v>
      </c>
      <c r="J144" s="2"/>
      <c r="K144" s="2">
        <v>30</v>
      </c>
      <c r="L144" s="2">
        <v>0</v>
      </c>
      <c r="M144" s="2">
        <v>10</v>
      </c>
      <c r="N144" s="2">
        <v>10</v>
      </c>
      <c r="O144" s="2">
        <v>5</v>
      </c>
      <c r="P144" s="2">
        <v>5</v>
      </c>
      <c r="Q144" s="2" t="s">
        <v>3420</v>
      </c>
      <c r="R144" s="2" t="s">
        <v>3420</v>
      </c>
      <c r="S144" s="4">
        <v>44958</v>
      </c>
    </row>
    <row r="145" spans="1:19" ht="12.5" x14ac:dyDescent="0.25">
      <c r="A145" s="14" t="str">
        <f>HYPERLINK("https://gerandofalcoes.my.salesforce.com/0014X00002YgggdQAB", "0014X00002YgggdQAB")</f>
        <v>0014X00002YgggdQAB</v>
      </c>
      <c r="B145" s="2" t="s">
        <v>3492</v>
      </c>
      <c r="C145" s="2" t="s">
        <v>423</v>
      </c>
      <c r="D145" s="2" t="s">
        <v>2</v>
      </c>
      <c r="E145" s="2"/>
      <c r="F145" s="2">
        <v>0</v>
      </c>
      <c r="G145" s="2">
        <v>2</v>
      </c>
      <c r="H145" s="2">
        <v>6000</v>
      </c>
      <c r="I145" s="2">
        <v>52</v>
      </c>
      <c r="J145" s="2"/>
      <c r="K145" s="2">
        <v>16</v>
      </c>
      <c r="L145" s="2">
        <v>0</v>
      </c>
      <c r="M145" s="2">
        <v>0</v>
      </c>
      <c r="N145" s="2">
        <v>6</v>
      </c>
      <c r="O145" s="2">
        <v>5</v>
      </c>
      <c r="P145" s="2">
        <v>5</v>
      </c>
      <c r="Q145" s="2" t="s">
        <v>3493</v>
      </c>
      <c r="R145" s="2" t="s">
        <v>3493</v>
      </c>
      <c r="S145" s="4">
        <v>44958</v>
      </c>
    </row>
    <row r="146" spans="1:19" ht="12.5" x14ac:dyDescent="0.25">
      <c r="A146" s="14" t="str">
        <f>HYPERLINK("https://gerandofalcoes.my.salesforce.com/0014X00002YggmhQAB", "0014X00002YggmhQAB")</f>
        <v>0014X00002YggmhQAB</v>
      </c>
      <c r="B146" s="2" t="s">
        <v>3442</v>
      </c>
      <c r="C146" s="2" t="s">
        <v>423</v>
      </c>
      <c r="D146" s="2" t="s">
        <v>2</v>
      </c>
      <c r="E146" s="2"/>
      <c r="F146" s="2">
        <v>0</v>
      </c>
      <c r="G146" s="2">
        <v>3</v>
      </c>
      <c r="H146" s="2">
        <v>100000</v>
      </c>
      <c r="I146" s="2">
        <v>200</v>
      </c>
      <c r="J146" s="2"/>
      <c r="K146" s="2">
        <v>35</v>
      </c>
      <c r="L146" s="2">
        <v>0</v>
      </c>
      <c r="M146" s="2">
        <v>0</v>
      </c>
      <c r="N146" s="2">
        <v>8</v>
      </c>
      <c r="O146" s="2">
        <v>15</v>
      </c>
      <c r="P146" s="2">
        <v>12</v>
      </c>
      <c r="Q146" s="2" t="s">
        <v>3443</v>
      </c>
      <c r="R146" s="2" t="s">
        <v>3443</v>
      </c>
      <c r="S146" s="4">
        <v>44958</v>
      </c>
    </row>
    <row r="147" spans="1:19" ht="12.5" x14ac:dyDescent="0.25">
      <c r="A147" s="14" t="str">
        <f>HYPERLINK("https://gerandofalcoes.my.salesforce.com/0014X00002YgggjQAB", "0014X00002YgggjQAB")</f>
        <v>0014X00002YgggjQAB</v>
      </c>
      <c r="B147" s="2" t="s">
        <v>3481</v>
      </c>
      <c r="C147" s="2" t="s">
        <v>423</v>
      </c>
      <c r="D147" s="2" t="s">
        <v>2</v>
      </c>
      <c r="E147" s="2"/>
      <c r="F147" s="2">
        <v>0</v>
      </c>
      <c r="G147" s="2">
        <v>2</v>
      </c>
      <c r="H147" s="2">
        <v>200000</v>
      </c>
      <c r="I147" s="2">
        <v>198</v>
      </c>
      <c r="J147" s="2"/>
      <c r="K147" s="2">
        <v>33</v>
      </c>
      <c r="L147" s="2">
        <v>0</v>
      </c>
      <c r="M147" s="2">
        <v>0</v>
      </c>
      <c r="N147" s="2">
        <v>6</v>
      </c>
      <c r="O147" s="2">
        <v>15</v>
      </c>
      <c r="P147" s="2">
        <v>12</v>
      </c>
      <c r="Q147" s="2" t="s">
        <v>3482</v>
      </c>
      <c r="R147" s="2" t="s">
        <v>3483</v>
      </c>
      <c r="S147" s="4">
        <v>44958</v>
      </c>
    </row>
    <row r="148" spans="1:19" ht="12.5" x14ac:dyDescent="0.25">
      <c r="A148" s="14" t="str">
        <f>HYPERLINK("https://gerandofalcoes.my.salesforce.com/0014X00002YgggqQAB", "0014X00002YgggqQAB")</f>
        <v>0014X00002YgggqQAB</v>
      </c>
      <c r="B148" s="2" t="s">
        <v>3522</v>
      </c>
      <c r="C148" s="2" t="s">
        <v>423</v>
      </c>
      <c r="D148" s="2" t="s">
        <v>2</v>
      </c>
      <c r="E148" s="2"/>
      <c r="F148" s="2">
        <v>0</v>
      </c>
      <c r="G148" s="2">
        <v>3</v>
      </c>
      <c r="H148" s="2">
        <v>30000</v>
      </c>
      <c r="I148" s="2">
        <v>0</v>
      </c>
      <c r="J148" s="2"/>
      <c r="K148" s="2">
        <v>18</v>
      </c>
      <c r="L148" s="2">
        <v>0</v>
      </c>
      <c r="M148" s="2">
        <v>0</v>
      </c>
      <c r="N148" s="2">
        <v>8</v>
      </c>
      <c r="O148" s="2">
        <v>10</v>
      </c>
      <c r="P148" s="2">
        <v>0</v>
      </c>
      <c r="Q148" s="2" t="s">
        <v>3523</v>
      </c>
      <c r="R148" s="2" t="s">
        <v>3523</v>
      </c>
      <c r="S148" s="4">
        <v>44958</v>
      </c>
    </row>
    <row r="149" spans="1:19" ht="12.5" x14ac:dyDescent="0.25">
      <c r="A149" s="14" t="str">
        <f>HYPERLINK("https://gerandofalcoes.my.salesforce.com/0014X00002YggocQAB", "0014X00002YggocQAB")</f>
        <v>0014X00002YggocQAB</v>
      </c>
      <c r="B149" s="2" t="s">
        <v>3432</v>
      </c>
      <c r="C149" s="2" t="s">
        <v>423</v>
      </c>
      <c r="D149" s="2" t="s">
        <v>2</v>
      </c>
      <c r="E149" s="2"/>
      <c r="F149" s="2">
        <v>0</v>
      </c>
      <c r="G149" s="2">
        <v>3</v>
      </c>
      <c r="H149" s="2">
        <v>5000</v>
      </c>
      <c r="I149" s="2">
        <v>150</v>
      </c>
      <c r="J149" s="2"/>
      <c r="K149" s="2">
        <v>25</v>
      </c>
      <c r="L149" s="2">
        <v>0</v>
      </c>
      <c r="M149" s="2">
        <v>0</v>
      </c>
      <c r="N149" s="2">
        <v>8</v>
      </c>
      <c r="O149" s="2">
        <v>5</v>
      </c>
      <c r="P149" s="2">
        <v>12</v>
      </c>
      <c r="Q149" s="2" t="s">
        <v>3433</v>
      </c>
      <c r="R149" s="2" t="s">
        <v>3434</v>
      </c>
      <c r="S149" s="4">
        <v>44958</v>
      </c>
    </row>
    <row r="150" spans="1:19" ht="12.5" x14ac:dyDescent="0.25">
      <c r="A150" s="14" t="str">
        <f>HYPERLINK("https://gerandofalcoes.my.salesforce.com/0014X00002YggnNQAR", "0014X00002YggnNQAR")</f>
        <v>0014X00002YggnNQAR</v>
      </c>
      <c r="B150" s="2" t="s">
        <v>3403</v>
      </c>
      <c r="C150" s="2" t="s">
        <v>423</v>
      </c>
      <c r="D150" s="2" t="s">
        <v>2</v>
      </c>
      <c r="E150" s="2"/>
      <c r="F150" s="2">
        <v>5</v>
      </c>
      <c r="G150" s="2">
        <v>2</v>
      </c>
      <c r="H150" s="2">
        <v>5400</v>
      </c>
      <c r="I150" s="2">
        <v>0</v>
      </c>
      <c r="J150" s="2"/>
      <c r="K150" s="2">
        <v>16</v>
      </c>
      <c r="L150" s="2">
        <v>0</v>
      </c>
      <c r="M150" s="2">
        <v>5</v>
      </c>
      <c r="N150" s="2">
        <v>6</v>
      </c>
      <c r="O150" s="2">
        <v>5</v>
      </c>
      <c r="P150" s="2">
        <v>0</v>
      </c>
      <c r="Q150" s="2" t="s">
        <v>3404</v>
      </c>
      <c r="R150" s="2" t="s">
        <v>3404</v>
      </c>
      <c r="S150" s="4">
        <v>44958</v>
      </c>
    </row>
    <row r="151" spans="1:19" ht="12.5" x14ac:dyDescent="0.25">
      <c r="A151" s="14" t="str">
        <f>HYPERLINK("https://gerandofalcoes.my.salesforce.com/0014X00002YggkvQAB", "0014X00002YggkvQAB")</f>
        <v>0014X00002YggkvQAB</v>
      </c>
      <c r="B151" s="2" t="s">
        <v>3494</v>
      </c>
      <c r="C151" s="2" t="s">
        <v>423</v>
      </c>
      <c r="D151" s="2" t="s">
        <v>2</v>
      </c>
      <c r="E151" s="2"/>
      <c r="F151" s="2">
        <v>5</v>
      </c>
      <c r="G151" s="2">
        <v>2</v>
      </c>
      <c r="H151" s="2">
        <v>250</v>
      </c>
      <c r="I151" s="2">
        <v>50</v>
      </c>
      <c r="J151" s="2"/>
      <c r="K151" s="2">
        <v>21</v>
      </c>
      <c r="L151" s="2">
        <v>0</v>
      </c>
      <c r="M151" s="2">
        <v>5</v>
      </c>
      <c r="N151" s="2">
        <v>6</v>
      </c>
      <c r="O151" s="2">
        <v>5</v>
      </c>
      <c r="P151" s="2">
        <v>5</v>
      </c>
      <c r="Q151" s="2" t="s">
        <v>3495</v>
      </c>
      <c r="R151" s="2" t="s">
        <v>3496</v>
      </c>
      <c r="S151" s="4">
        <v>44958</v>
      </c>
    </row>
    <row r="152" spans="1:19" ht="12.5" x14ac:dyDescent="0.25">
      <c r="A152" s="14" t="str">
        <f>HYPERLINK("https://gerandofalcoes.my.salesforce.com/0014X00002Yggp8QAB", "0014X00002Yggp8QAB")</f>
        <v>0014X00002Yggp8QAB</v>
      </c>
      <c r="B152" s="2" t="s">
        <v>3508</v>
      </c>
      <c r="C152" s="2" t="s">
        <v>423</v>
      </c>
      <c r="D152" s="2" t="s">
        <v>2</v>
      </c>
      <c r="E152" s="2"/>
      <c r="F152" s="2">
        <v>17</v>
      </c>
      <c r="G152" s="2">
        <v>5</v>
      </c>
      <c r="H152" s="2">
        <v>75898</v>
      </c>
      <c r="I152" s="2">
        <v>15</v>
      </c>
      <c r="J152" s="2"/>
      <c r="K152" s="2">
        <v>37</v>
      </c>
      <c r="L152" s="2">
        <v>0</v>
      </c>
      <c r="M152" s="2">
        <v>12</v>
      </c>
      <c r="N152" s="2">
        <v>10</v>
      </c>
      <c r="O152" s="2">
        <v>10</v>
      </c>
      <c r="P152" s="2">
        <v>5</v>
      </c>
      <c r="Q152" s="2" t="s">
        <v>3509</v>
      </c>
      <c r="R152" s="2" t="s">
        <v>3509</v>
      </c>
      <c r="S152" s="4">
        <v>44958</v>
      </c>
    </row>
    <row r="153" spans="1:19" ht="12.5" x14ac:dyDescent="0.25">
      <c r="A153" s="14" t="str">
        <f>HYPERLINK("https://gerandofalcoes.my.salesforce.com/0014X00002YgglUQAR", "0014X00002YgglUQAR")</f>
        <v>0014X00002YgglUQAR</v>
      </c>
      <c r="B153" s="2" t="s">
        <v>3473</v>
      </c>
      <c r="C153" s="2" t="s">
        <v>423</v>
      </c>
      <c r="D153" s="2" t="s">
        <v>2</v>
      </c>
      <c r="E153" s="2"/>
      <c r="F153" s="2">
        <v>0</v>
      </c>
      <c r="G153" s="2">
        <v>2</v>
      </c>
      <c r="H153" s="2">
        <v>0</v>
      </c>
      <c r="I153" s="2">
        <v>0</v>
      </c>
      <c r="J153" s="2"/>
      <c r="K153" s="2">
        <v>6</v>
      </c>
      <c r="L153" s="2">
        <v>0</v>
      </c>
      <c r="M153" s="2">
        <v>0</v>
      </c>
      <c r="N153" s="2">
        <v>6</v>
      </c>
      <c r="O153" s="2">
        <v>0</v>
      </c>
      <c r="P153" s="2">
        <v>0</v>
      </c>
      <c r="Q153" s="2" t="s">
        <v>3474</v>
      </c>
      <c r="R153" s="2" t="s">
        <v>3475</v>
      </c>
      <c r="S153" s="4">
        <v>44958</v>
      </c>
    </row>
    <row r="154" spans="1:19" ht="12.5" x14ac:dyDescent="0.25">
      <c r="A154" s="14" t="str">
        <f>HYPERLINK("https://gerandofalcoes.my.salesforce.com/0014X00002YggluQAB", "0014X00002YggluQAB")</f>
        <v>0014X00002YggluQAB</v>
      </c>
      <c r="B154" s="2" t="s">
        <v>3524</v>
      </c>
      <c r="C154" s="2" t="s">
        <v>423</v>
      </c>
      <c r="D154" s="2" t="s">
        <v>2</v>
      </c>
      <c r="E154" s="2"/>
      <c r="F154" s="2">
        <v>0</v>
      </c>
      <c r="G154" s="2">
        <v>2</v>
      </c>
      <c r="H154" s="2">
        <v>3745000</v>
      </c>
      <c r="I154" s="2">
        <v>0</v>
      </c>
      <c r="J154" s="2"/>
      <c r="K154" s="2">
        <v>31</v>
      </c>
      <c r="L154" s="2">
        <v>0</v>
      </c>
      <c r="M154" s="2">
        <v>0</v>
      </c>
      <c r="N154" s="2">
        <v>6</v>
      </c>
      <c r="O154" s="2">
        <v>25</v>
      </c>
      <c r="P154" s="2">
        <v>0</v>
      </c>
      <c r="Q154" s="2" t="s">
        <v>3525</v>
      </c>
      <c r="R154" s="2" t="s">
        <v>3526</v>
      </c>
      <c r="S154" s="4">
        <v>44958</v>
      </c>
    </row>
    <row r="155" spans="1:19" ht="12.5" x14ac:dyDescent="0.25">
      <c r="A155" s="14" t="str">
        <f>HYPERLINK("https://gerandofalcoes.my.salesforce.com/0014X00002YggkQQAR", "0014X00002YggkQQAR")</f>
        <v>0014X00002YggkQQAR</v>
      </c>
      <c r="B155" s="2" t="s">
        <v>3461</v>
      </c>
      <c r="C155" s="2" t="s">
        <v>423</v>
      </c>
      <c r="D155" s="2" t="s">
        <v>2</v>
      </c>
      <c r="E155" s="2"/>
      <c r="F155" s="2">
        <v>5</v>
      </c>
      <c r="G155" s="2">
        <v>5</v>
      </c>
      <c r="H155" s="2">
        <v>3000</v>
      </c>
      <c r="I155" s="2">
        <v>250</v>
      </c>
      <c r="J155" s="2"/>
      <c r="K155" s="2">
        <v>32</v>
      </c>
      <c r="L155" s="2">
        <v>0</v>
      </c>
      <c r="M155" s="2">
        <v>5</v>
      </c>
      <c r="N155" s="2">
        <v>10</v>
      </c>
      <c r="O155" s="2">
        <v>5</v>
      </c>
      <c r="P155" s="2">
        <v>12</v>
      </c>
      <c r="Q155" s="2" t="s">
        <v>3462</v>
      </c>
      <c r="R155" s="2" t="s">
        <v>3463</v>
      </c>
      <c r="S155" s="4">
        <v>44958</v>
      </c>
    </row>
    <row r="156" spans="1:19" ht="12.5" x14ac:dyDescent="0.25">
      <c r="A156" s="14" t="str">
        <f>HYPERLINK("https://gerandofalcoes.my.salesforce.com/0014X00002Yggn8QAB", "0014X00002Yggn8QAB")</f>
        <v>0014X00002Yggn8QAB</v>
      </c>
      <c r="B156" s="2" t="s">
        <v>3497</v>
      </c>
      <c r="C156" s="2" t="s">
        <v>423</v>
      </c>
      <c r="D156" s="2" t="s">
        <v>2</v>
      </c>
      <c r="E156" s="2"/>
      <c r="F156" s="2">
        <v>0</v>
      </c>
      <c r="G156" s="2">
        <v>2</v>
      </c>
      <c r="H156" s="2">
        <v>0</v>
      </c>
      <c r="I156" s="2">
        <v>30</v>
      </c>
      <c r="J156" s="2"/>
      <c r="K156" s="2">
        <v>11</v>
      </c>
      <c r="L156" s="2">
        <v>0</v>
      </c>
      <c r="M156" s="2">
        <v>0</v>
      </c>
      <c r="N156" s="2">
        <v>6</v>
      </c>
      <c r="O156" s="2">
        <v>0</v>
      </c>
      <c r="P156" s="2">
        <v>5</v>
      </c>
      <c r="Q156" s="2" t="s">
        <v>3498</v>
      </c>
      <c r="R156" s="2" t="s">
        <v>3499</v>
      </c>
      <c r="S156" s="4">
        <v>44958</v>
      </c>
    </row>
    <row r="157" spans="1:19" ht="12.5" x14ac:dyDescent="0.25">
      <c r="A157" s="14" t="str">
        <f>HYPERLINK("https://gerandofalcoes.my.salesforce.com/0014X00002YggpTQAR", "0014X00002YggpTQAR")</f>
        <v>0014X00002YggpTQAR</v>
      </c>
      <c r="B157" s="2" t="s">
        <v>3438</v>
      </c>
      <c r="C157" s="2" t="s">
        <v>423</v>
      </c>
      <c r="D157" s="2" t="s">
        <v>2</v>
      </c>
      <c r="E157" s="2"/>
      <c r="F157" s="2">
        <v>0</v>
      </c>
      <c r="G157" s="2">
        <v>2</v>
      </c>
      <c r="H157" s="2">
        <v>0</v>
      </c>
      <c r="I157" s="2">
        <v>0</v>
      </c>
      <c r="J157" s="2"/>
      <c r="K157" s="2">
        <v>6</v>
      </c>
      <c r="L157" s="2">
        <v>0</v>
      </c>
      <c r="M157" s="2">
        <v>0</v>
      </c>
      <c r="N157" s="2">
        <v>6</v>
      </c>
      <c r="O157" s="2">
        <v>0</v>
      </c>
      <c r="P157" s="2">
        <v>0</v>
      </c>
      <c r="Q157" s="2" t="s">
        <v>3439</v>
      </c>
      <c r="R157" s="2" t="s">
        <v>3439</v>
      </c>
      <c r="S157" s="4">
        <v>44958</v>
      </c>
    </row>
    <row r="158" spans="1:19" ht="12.5" x14ac:dyDescent="0.25">
      <c r="A158" s="14" t="str">
        <f>HYPERLINK("https://gerandofalcoes.my.salesforce.com/0014X00002Yggm2QAB", "0014X00002Yggm2QAB")</f>
        <v>0014X00002Yggm2QAB</v>
      </c>
      <c r="B158" s="2" t="s">
        <v>3527</v>
      </c>
      <c r="C158" s="2" t="s">
        <v>423</v>
      </c>
      <c r="D158" s="2" t="s">
        <v>2</v>
      </c>
      <c r="E158" s="2"/>
      <c r="F158" s="2">
        <v>0</v>
      </c>
      <c r="G158" s="2">
        <v>2</v>
      </c>
      <c r="H158" s="2">
        <v>2000</v>
      </c>
      <c r="I158" s="2">
        <v>0</v>
      </c>
      <c r="J158" s="2"/>
      <c r="K158" s="2">
        <v>11</v>
      </c>
      <c r="L158" s="2">
        <v>0</v>
      </c>
      <c r="M158" s="2">
        <v>0</v>
      </c>
      <c r="N158" s="2">
        <v>6</v>
      </c>
      <c r="O158" s="2">
        <v>5</v>
      </c>
      <c r="P158" s="2">
        <v>0</v>
      </c>
      <c r="Q158" s="2" t="s">
        <v>3528</v>
      </c>
      <c r="R158" s="2" t="s">
        <v>3529</v>
      </c>
      <c r="S158" s="4">
        <v>44958</v>
      </c>
    </row>
    <row r="159" spans="1:19" ht="12.5" x14ac:dyDescent="0.25">
      <c r="A159" s="14" t="str">
        <f>HYPERLINK("https://gerandofalcoes.my.salesforce.com/0014X00002YggmuQAB", "0014X00002YggmuQAB")</f>
        <v>0014X00002YggmuQAB</v>
      </c>
      <c r="B159" s="2" t="s">
        <v>3464</v>
      </c>
      <c r="C159" s="2" t="s">
        <v>423</v>
      </c>
      <c r="D159" s="2" t="s">
        <v>2</v>
      </c>
      <c r="E159" s="2"/>
      <c r="F159" s="2">
        <v>0</v>
      </c>
      <c r="G159" s="2">
        <v>3</v>
      </c>
      <c r="H159" s="2">
        <v>11000</v>
      </c>
      <c r="I159" s="2">
        <v>67</v>
      </c>
      <c r="J159" s="2"/>
      <c r="K159" s="2">
        <v>18</v>
      </c>
      <c r="L159" s="2">
        <v>0</v>
      </c>
      <c r="M159" s="2">
        <v>0</v>
      </c>
      <c r="N159" s="2">
        <v>8</v>
      </c>
      <c r="O159" s="2">
        <v>5</v>
      </c>
      <c r="P159" s="2">
        <v>5</v>
      </c>
      <c r="Q159" s="2" t="s">
        <v>3465</v>
      </c>
      <c r="R159" s="2" t="s">
        <v>3466</v>
      </c>
      <c r="S159" s="4">
        <v>44958</v>
      </c>
    </row>
    <row r="160" spans="1:19" ht="12.5" x14ac:dyDescent="0.25">
      <c r="A160" s="14" t="str">
        <f>HYPERLINK("https://gerandofalcoes.my.salesforce.com/0014X00002Yggk5QAB", "0014X00002Yggk5QAB")</f>
        <v>0014X00002Yggk5QAB</v>
      </c>
      <c r="B160" s="2" t="s">
        <v>3413</v>
      </c>
      <c r="C160" s="2" t="s">
        <v>423</v>
      </c>
      <c r="D160" s="2" t="s">
        <v>2</v>
      </c>
      <c r="E160" s="2"/>
      <c r="F160" s="2">
        <v>27</v>
      </c>
      <c r="G160" s="2">
        <v>4</v>
      </c>
      <c r="H160" s="2">
        <v>30000</v>
      </c>
      <c r="I160" s="2">
        <v>25</v>
      </c>
      <c r="J160" s="2"/>
      <c r="K160" s="2">
        <v>37</v>
      </c>
      <c r="L160" s="2">
        <v>0</v>
      </c>
      <c r="M160" s="2">
        <v>12</v>
      </c>
      <c r="N160" s="2">
        <v>10</v>
      </c>
      <c r="O160" s="2">
        <v>10</v>
      </c>
      <c r="P160" s="2">
        <v>5</v>
      </c>
      <c r="Q160" s="2" t="s">
        <v>3414</v>
      </c>
      <c r="R160" s="2" t="s">
        <v>3415</v>
      </c>
      <c r="S160" s="4">
        <v>44958</v>
      </c>
    </row>
    <row r="161" spans="1:19" ht="12.5" x14ac:dyDescent="0.25">
      <c r="A161" s="14" t="str">
        <f>HYPERLINK("https://gerandofalcoes.my.salesforce.com/0014X00002Yggl1QAB", "0014X00002Yggl1QAB")</f>
        <v>0014X00002Yggl1QAB</v>
      </c>
      <c r="B161" s="2" t="s">
        <v>3530</v>
      </c>
      <c r="C161" s="2" t="s">
        <v>423</v>
      </c>
      <c r="D161" s="2" t="s">
        <v>2</v>
      </c>
      <c r="E161" s="2"/>
      <c r="F161" s="2">
        <v>0</v>
      </c>
      <c r="G161" s="2">
        <v>2</v>
      </c>
      <c r="H161" s="2">
        <v>1000</v>
      </c>
      <c r="I161" s="2">
        <v>0</v>
      </c>
      <c r="J161" s="2"/>
      <c r="K161" s="2">
        <v>11</v>
      </c>
      <c r="L161" s="2">
        <v>0</v>
      </c>
      <c r="M161" s="2">
        <v>0</v>
      </c>
      <c r="N161" s="2">
        <v>6</v>
      </c>
      <c r="O161" s="2">
        <v>5</v>
      </c>
      <c r="P161" s="2">
        <v>0</v>
      </c>
      <c r="Q161" s="2" t="s">
        <v>3531</v>
      </c>
      <c r="R161" s="2" t="s">
        <v>3531</v>
      </c>
      <c r="S161" s="4">
        <v>44958</v>
      </c>
    </row>
    <row r="162" spans="1:19" ht="12.5" x14ac:dyDescent="0.25">
      <c r="A162" s="14" t="str">
        <f>HYPERLINK("https://gerandofalcoes.my.salesforce.com/0014X00002YggmxQAB", "0014X00002YggmxQAB")</f>
        <v>0014X00002YggmxQAB</v>
      </c>
      <c r="B162" s="2" t="s">
        <v>3429</v>
      </c>
      <c r="C162" s="2" t="s">
        <v>423</v>
      </c>
      <c r="D162" s="2" t="s">
        <v>2</v>
      </c>
      <c r="E162" s="2"/>
      <c r="F162" s="2">
        <v>0</v>
      </c>
      <c r="G162" s="2">
        <v>2</v>
      </c>
      <c r="H162" s="2">
        <v>30000</v>
      </c>
      <c r="I162" s="2">
        <v>120</v>
      </c>
      <c r="J162" s="2"/>
      <c r="K162" s="2">
        <v>26</v>
      </c>
      <c r="L162" s="2">
        <v>0</v>
      </c>
      <c r="M162" s="2">
        <v>0</v>
      </c>
      <c r="N162" s="2">
        <v>6</v>
      </c>
      <c r="O162" s="2">
        <v>10</v>
      </c>
      <c r="P162" s="2">
        <v>10</v>
      </c>
      <c r="Q162" s="2" t="s">
        <v>3430</v>
      </c>
      <c r="R162" s="2" t="s">
        <v>3431</v>
      </c>
      <c r="S162" s="4">
        <v>44958</v>
      </c>
    </row>
    <row r="163" spans="1:19" ht="12.5" x14ac:dyDescent="0.25">
      <c r="A163" s="14" t="str">
        <f>HYPERLINK("https://gerandofalcoes.my.salesforce.com/0014X00002YggqsQAB", "0014X00002YggqsQAB")</f>
        <v>0014X00002YggqsQAB</v>
      </c>
      <c r="B163" s="2" t="s">
        <v>3395</v>
      </c>
      <c r="C163" s="2" t="s">
        <v>423</v>
      </c>
      <c r="D163" s="2" t="s">
        <v>2</v>
      </c>
      <c r="E163" s="2"/>
      <c r="F163" s="2">
        <v>230</v>
      </c>
      <c r="G163" s="2">
        <v>3</v>
      </c>
      <c r="H163" s="2">
        <v>10000</v>
      </c>
      <c r="I163" s="2">
        <v>180</v>
      </c>
      <c r="J163" s="2"/>
      <c r="K163" s="2">
        <v>40</v>
      </c>
      <c r="L163" s="2">
        <v>0</v>
      </c>
      <c r="M163" s="2">
        <v>15</v>
      </c>
      <c r="N163" s="2">
        <v>8</v>
      </c>
      <c r="O163" s="2">
        <v>5</v>
      </c>
      <c r="P163" s="2">
        <v>12</v>
      </c>
      <c r="Q163" s="2" t="s">
        <v>3396</v>
      </c>
      <c r="R163" s="2" t="s">
        <v>3396</v>
      </c>
      <c r="S163" s="4">
        <v>44958</v>
      </c>
    </row>
    <row r="164" spans="1:19" ht="12.5" x14ac:dyDescent="0.25">
      <c r="A164" s="14" t="str">
        <f>HYPERLINK("https://gerandofalcoes.my.salesforce.com/0014X00002YgggHQAR", "0014X00002YgggHQAR")</f>
        <v>0014X00002YgggHQAR</v>
      </c>
      <c r="B164" s="2" t="s">
        <v>3512</v>
      </c>
      <c r="C164" s="2" t="s">
        <v>423</v>
      </c>
      <c r="D164" s="2" t="s">
        <v>2</v>
      </c>
      <c r="E164" s="2"/>
      <c r="F164" s="2">
        <v>15</v>
      </c>
      <c r="G164" s="2">
        <v>4</v>
      </c>
      <c r="H164" s="2">
        <v>23000</v>
      </c>
      <c r="I164" s="2">
        <v>0</v>
      </c>
      <c r="J164" s="2"/>
      <c r="K164" s="2">
        <v>27</v>
      </c>
      <c r="L164" s="2">
        <v>0</v>
      </c>
      <c r="M164" s="2">
        <v>12</v>
      </c>
      <c r="N164" s="2">
        <v>10</v>
      </c>
      <c r="O164" s="2">
        <v>5</v>
      </c>
      <c r="P164" s="2">
        <v>0</v>
      </c>
      <c r="Q164" s="2" t="s">
        <v>3513</v>
      </c>
      <c r="R164" s="2" t="s">
        <v>3514</v>
      </c>
      <c r="S164" s="4">
        <v>44958</v>
      </c>
    </row>
    <row r="165" spans="1:19" ht="12.5" x14ac:dyDescent="0.25">
      <c r="A165" s="14" t="str">
        <f>HYPERLINK("https://gerandofalcoes.my.salesforce.com/0014X00002Yggi3QAB", "0014X00002Yggi3QAB")</f>
        <v>0014X00002Yggi3QAB</v>
      </c>
      <c r="B165" s="2" t="s">
        <v>3558</v>
      </c>
      <c r="C165" s="2" t="s">
        <v>423</v>
      </c>
      <c r="D165" s="2" t="s">
        <v>2</v>
      </c>
      <c r="E165" s="2"/>
      <c r="F165" s="2">
        <v>0</v>
      </c>
      <c r="G165" s="2">
        <v>2</v>
      </c>
      <c r="H165" s="2">
        <v>3000</v>
      </c>
      <c r="I165" s="2">
        <v>0</v>
      </c>
      <c r="J165" s="2"/>
      <c r="K165" s="2">
        <v>11</v>
      </c>
      <c r="L165" s="2">
        <v>0</v>
      </c>
      <c r="M165" s="2">
        <v>0</v>
      </c>
      <c r="N165" s="2">
        <v>6</v>
      </c>
      <c r="O165" s="2">
        <v>5</v>
      </c>
      <c r="P165" s="2">
        <v>0</v>
      </c>
      <c r="Q165" s="2" t="s">
        <v>3559</v>
      </c>
      <c r="R165" s="2" t="s">
        <v>3559</v>
      </c>
      <c r="S165" s="4">
        <v>44959</v>
      </c>
    </row>
    <row r="166" spans="1:19" ht="12.5" x14ac:dyDescent="0.25">
      <c r="A166" s="14" t="str">
        <f>HYPERLINK("https://gerandofalcoes.my.salesforce.com/0014X00002YgghYQAR", "0014X00002YgghYQAR")</f>
        <v>0014X00002YgghYQAR</v>
      </c>
      <c r="B166" s="2" t="s">
        <v>3545</v>
      </c>
      <c r="C166" s="2" t="s">
        <v>423</v>
      </c>
      <c r="D166" s="2" t="s">
        <v>2</v>
      </c>
      <c r="E166" s="2"/>
      <c r="F166" s="2">
        <v>10</v>
      </c>
      <c r="G166" s="2">
        <v>3</v>
      </c>
      <c r="H166" s="2">
        <v>5000</v>
      </c>
      <c r="I166" s="2">
        <v>0</v>
      </c>
      <c r="J166" s="2"/>
      <c r="K166" s="2">
        <v>23</v>
      </c>
      <c r="L166" s="2">
        <v>0</v>
      </c>
      <c r="M166" s="2">
        <v>10</v>
      </c>
      <c r="N166" s="2">
        <v>8</v>
      </c>
      <c r="O166" s="2">
        <v>5</v>
      </c>
      <c r="P166" s="2">
        <v>0</v>
      </c>
      <c r="Q166" s="2" t="s">
        <v>3546</v>
      </c>
      <c r="R166" s="2" t="s">
        <v>3546</v>
      </c>
      <c r="S166" s="4">
        <v>44959</v>
      </c>
    </row>
    <row r="167" spans="1:19" ht="12.5" x14ac:dyDescent="0.25">
      <c r="A167" s="14" t="str">
        <f>HYPERLINK("https://gerandofalcoes.my.salesforce.com/0014X00002YggmwQAB", "0014X00002YggmwQAB")</f>
        <v>0014X00002YggmwQAB</v>
      </c>
      <c r="B167" s="2" t="s">
        <v>3532</v>
      </c>
      <c r="C167" s="2" t="s">
        <v>423</v>
      </c>
      <c r="D167" s="2" t="s">
        <v>2</v>
      </c>
      <c r="E167" s="2"/>
      <c r="F167" s="2">
        <v>0</v>
      </c>
      <c r="G167" s="2">
        <v>3</v>
      </c>
      <c r="H167" s="2">
        <v>320618</v>
      </c>
      <c r="I167" s="2">
        <v>200</v>
      </c>
      <c r="J167" s="2"/>
      <c r="K167" s="2">
        <v>40</v>
      </c>
      <c r="L167" s="2">
        <v>0</v>
      </c>
      <c r="M167" s="2">
        <v>0</v>
      </c>
      <c r="N167" s="2">
        <v>8</v>
      </c>
      <c r="O167" s="2">
        <v>20</v>
      </c>
      <c r="P167" s="2">
        <v>12</v>
      </c>
      <c r="Q167" s="2" t="s">
        <v>3533</v>
      </c>
      <c r="R167" s="2" t="s">
        <v>3534</v>
      </c>
      <c r="S167" s="4">
        <v>44959</v>
      </c>
    </row>
    <row r="168" spans="1:19" ht="12.5" x14ac:dyDescent="0.25">
      <c r="A168" s="14" t="str">
        <f>HYPERLINK("https://gerandofalcoes.my.salesforce.com/0014X00002YggqFQAR", "0014X00002YggqFQAR")</f>
        <v>0014X00002YggqFQAR</v>
      </c>
      <c r="B168" s="2" t="s">
        <v>3571</v>
      </c>
      <c r="C168" s="2" t="s">
        <v>423</v>
      </c>
      <c r="D168" s="2" t="s">
        <v>2</v>
      </c>
      <c r="E168" s="2"/>
      <c r="F168" s="2">
        <v>20</v>
      </c>
      <c r="G168" s="2">
        <v>5</v>
      </c>
      <c r="H168" s="2">
        <v>128992691</v>
      </c>
      <c r="I168" s="2">
        <v>314</v>
      </c>
      <c r="J168" s="2"/>
      <c r="K168" s="2">
        <v>62</v>
      </c>
      <c r="L168" s="2">
        <v>0</v>
      </c>
      <c r="M168" s="2">
        <v>12</v>
      </c>
      <c r="N168" s="2">
        <v>10</v>
      </c>
      <c r="O168" s="2">
        <v>25</v>
      </c>
      <c r="P168" s="2">
        <v>15</v>
      </c>
      <c r="Q168" s="2" t="s">
        <v>3572</v>
      </c>
      <c r="R168" s="2" t="s">
        <v>3573</v>
      </c>
      <c r="S168" s="4">
        <v>44960</v>
      </c>
    </row>
    <row r="169" spans="1:19" ht="12.5" x14ac:dyDescent="0.25">
      <c r="A169" s="14" t="str">
        <f>HYPERLINK("https://gerandofalcoes.my.salesforce.com/0014X00002YggqWQAR", "0014X00002YggqWQAR")</f>
        <v>0014X00002YggqWQAR</v>
      </c>
      <c r="B169" s="2" t="s">
        <v>3574</v>
      </c>
      <c r="C169" s="2" t="s">
        <v>423</v>
      </c>
      <c r="D169" s="2" t="s">
        <v>2</v>
      </c>
      <c r="E169" s="2"/>
      <c r="F169" s="2">
        <v>18</v>
      </c>
      <c r="G169" s="2">
        <v>12</v>
      </c>
      <c r="H169" s="2">
        <v>10000</v>
      </c>
      <c r="I169" s="2">
        <v>200</v>
      </c>
      <c r="J169" s="2"/>
      <c r="K169" s="2">
        <v>39</v>
      </c>
      <c r="L169" s="2">
        <v>0</v>
      </c>
      <c r="M169" s="2">
        <v>12</v>
      </c>
      <c r="N169" s="2">
        <v>10</v>
      </c>
      <c r="O169" s="2">
        <v>5</v>
      </c>
      <c r="P169" s="2">
        <v>12</v>
      </c>
      <c r="Q169" s="2" t="s">
        <v>3575</v>
      </c>
      <c r="R169" s="2" t="s">
        <v>3576</v>
      </c>
      <c r="S169" s="4">
        <v>44960</v>
      </c>
    </row>
    <row r="170" spans="1:19" ht="12.5" x14ac:dyDescent="0.25">
      <c r="A170" s="14" t="str">
        <f>HYPERLINK("https://gerandofalcoes.my.salesforce.com/0014X00002Yggo6QAB", "0014X00002Yggo6QAB")</f>
        <v>0014X00002Yggo6QAB</v>
      </c>
      <c r="B170" s="2" t="s">
        <v>3560</v>
      </c>
      <c r="C170" s="2" t="s">
        <v>423</v>
      </c>
      <c r="D170" s="2" t="s">
        <v>2</v>
      </c>
      <c r="E170" s="2"/>
      <c r="F170" s="2">
        <v>2</v>
      </c>
      <c r="G170" s="2">
        <v>4</v>
      </c>
      <c r="H170" s="2">
        <v>38000</v>
      </c>
      <c r="I170" s="2">
        <v>30</v>
      </c>
      <c r="J170" s="2"/>
      <c r="K170" s="2">
        <v>30</v>
      </c>
      <c r="L170" s="2">
        <v>0</v>
      </c>
      <c r="M170" s="2">
        <v>5</v>
      </c>
      <c r="N170" s="2">
        <v>10</v>
      </c>
      <c r="O170" s="2">
        <v>10</v>
      </c>
      <c r="P170" s="2">
        <v>5</v>
      </c>
      <c r="Q170" s="2" t="s">
        <v>3561</v>
      </c>
      <c r="R170" s="2" t="s">
        <v>3562</v>
      </c>
      <c r="S170" s="4">
        <v>44960</v>
      </c>
    </row>
    <row r="171" spans="1:19" ht="12.5" x14ac:dyDescent="0.25">
      <c r="A171" s="14" t="str">
        <f>HYPERLINK("https://gerandofalcoes.my.salesforce.com/0014X00002YgghaQAB", "0014X00002YgghaQAB")</f>
        <v>0014X00002YgghaQAB</v>
      </c>
      <c r="B171" s="2" t="s">
        <v>7173</v>
      </c>
      <c r="C171" s="2" t="s">
        <v>423</v>
      </c>
      <c r="D171" s="2" t="s">
        <v>2</v>
      </c>
      <c r="E171" s="2"/>
      <c r="F171" s="2">
        <v>0</v>
      </c>
      <c r="G171" s="2">
        <v>3</v>
      </c>
      <c r="H171" s="2">
        <v>11000</v>
      </c>
      <c r="I171" s="2">
        <v>100</v>
      </c>
      <c r="J171" s="2"/>
      <c r="K171" s="2">
        <v>23</v>
      </c>
      <c r="L171" s="2">
        <v>0</v>
      </c>
      <c r="M171" s="2">
        <v>0</v>
      </c>
      <c r="N171" s="2">
        <v>8</v>
      </c>
      <c r="O171" s="2">
        <v>5</v>
      </c>
      <c r="P171" s="2">
        <v>10</v>
      </c>
      <c r="Q171" s="2" t="s">
        <v>3581</v>
      </c>
      <c r="R171" s="2" t="s">
        <v>3582</v>
      </c>
      <c r="S171" s="4">
        <v>44961</v>
      </c>
    </row>
    <row r="172" spans="1:19" ht="12.5" x14ac:dyDescent="0.25">
      <c r="A172" s="14" t="str">
        <f>HYPERLINK("https://gerandofalcoes.my.salesforce.com/0014X00002YggqEQAR", "0014X00002YggqEQAR")</f>
        <v>0014X00002YggqEQAR</v>
      </c>
      <c r="B172" s="2" t="s">
        <v>3577</v>
      </c>
      <c r="C172" s="2" t="s">
        <v>423</v>
      </c>
      <c r="D172" s="2" t="s">
        <v>2</v>
      </c>
      <c r="E172" s="2"/>
      <c r="F172" s="2">
        <v>16</v>
      </c>
      <c r="G172" s="2">
        <v>2</v>
      </c>
      <c r="H172" s="2">
        <v>450000</v>
      </c>
      <c r="I172" s="2">
        <v>300</v>
      </c>
      <c r="J172" s="2"/>
      <c r="K172" s="2">
        <v>53</v>
      </c>
      <c r="L172" s="2">
        <v>0</v>
      </c>
      <c r="M172" s="2">
        <v>12</v>
      </c>
      <c r="N172" s="2">
        <v>6</v>
      </c>
      <c r="O172" s="2">
        <v>20</v>
      </c>
      <c r="P172" s="2">
        <v>15</v>
      </c>
      <c r="Q172" s="2" t="s">
        <v>3578</v>
      </c>
      <c r="R172" s="2" t="s">
        <v>3579</v>
      </c>
      <c r="S172" s="4">
        <v>44961</v>
      </c>
    </row>
    <row r="173" spans="1:19" ht="12.5" x14ac:dyDescent="0.25">
      <c r="A173" s="14" t="str">
        <f>HYPERLINK("https://gerandofalcoes.my.salesforce.com/0014X00002YggnZQAR", "0014X00002YggnZQAR")</f>
        <v>0014X00002YggnZQAR</v>
      </c>
      <c r="B173" s="2" t="s">
        <v>3603</v>
      </c>
      <c r="C173" s="2" t="s">
        <v>423</v>
      </c>
      <c r="D173" s="2" t="s">
        <v>2</v>
      </c>
      <c r="E173" s="2"/>
      <c r="F173" s="2">
        <v>15</v>
      </c>
      <c r="G173" s="2">
        <v>2</v>
      </c>
      <c r="H173" s="2">
        <v>0</v>
      </c>
      <c r="I173" s="2">
        <v>60</v>
      </c>
      <c r="J173" s="2"/>
      <c r="K173" s="2">
        <v>23</v>
      </c>
      <c r="L173" s="2">
        <v>0</v>
      </c>
      <c r="M173" s="2">
        <v>12</v>
      </c>
      <c r="N173" s="2">
        <v>6</v>
      </c>
      <c r="O173" s="2">
        <v>0</v>
      </c>
      <c r="P173" s="2">
        <v>5</v>
      </c>
      <c r="Q173" s="2" t="s">
        <v>3604</v>
      </c>
      <c r="R173" s="2" t="s">
        <v>3604</v>
      </c>
      <c r="S173" s="4">
        <v>44962</v>
      </c>
    </row>
    <row r="174" spans="1:19" ht="12.5" x14ac:dyDescent="0.25">
      <c r="A174" s="14" t="str">
        <f>HYPERLINK("https://gerandofalcoes.my.salesforce.com/0014X00002Yggq4QAB", "0014X00002Yggq4QAB")</f>
        <v>0014X00002Yggq4QAB</v>
      </c>
      <c r="B174" s="2" t="s">
        <v>3594</v>
      </c>
      <c r="C174" s="2" t="s">
        <v>423</v>
      </c>
      <c r="D174" s="2" t="s">
        <v>2</v>
      </c>
      <c r="E174" s="2"/>
      <c r="F174" s="2">
        <v>4</v>
      </c>
      <c r="G174" s="2">
        <v>5</v>
      </c>
      <c r="H174" s="2">
        <v>57800</v>
      </c>
      <c r="I174" s="2">
        <v>60</v>
      </c>
      <c r="J174" s="2"/>
      <c r="K174" s="2">
        <v>30</v>
      </c>
      <c r="L174" s="2">
        <v>0</v>
      </c>
      <c r="M174" s="2">
        <v>5</v>
      </c>
      <c r="N174" s="2">
        <v>10</v>
      </c>
      <c r="O174" s="2">
        <v>10</v>
      </c>
      <c r="P174" s="2">
        <v>5</v>
      </c>
      <c r="Q174" s="2" t="s">
        <v>3595</v>
      </c>
      <c r="R174" s="2" t="s">
        <v>3596</v>
      </c>
      <c r="S174" s="4">
        <v>44962</v>
      </c>
    </row>
    <row r="175" spans="1:19" ht="12.5" x14ac:dyDescent="0.25">
      <c r="A175" s="14" t="str">
        <f>HYPERLINK("https://gerandofalcoes.my.salesforce.com/0014X00002YggqpQAB", "0014X00002YggqpQAB")</f>
        <v>0014X00002YggqpQAB</v>
      </c>
      <c r="B175" s="2" t="s">
        <v>3626</v>
      </c>
      <c r="C175" s="2" t="s">
        <v>423</v>
      </c>
      <c r="D175" s="2" t="s">
        <v>2</v>
      </c>
      <c r="E175" s="2"/>
      <c r="F175" s="2">
        <v>0</v>
      </c>
      <c r="G175" s="2">
        <v>2</v>
      </c>
      <c r="H175" s="2">
        <v>146129</v>
      </c>
      <c r="I175" s="2">
        <v>250</v>
      </c>
      <c r="J175" s="2"/>
      <c r="K175" s="2">
        <v>33</v>
      </c>
      <c r="L175" s="2">
        <v>0</v>
      </c>
      <c r="M175" s="2">
        <v>0</v>
      </c>
      <c r="N175" s="2">
        <v>6</v>
      </c>
      <c r="O175" s="2">
        <v>15</v>
      </c>
      <c r="P175" s="2">
        <v>12</v>
      </c>
      <c r="Q175" s="2" t="s">
        <v>3627</v>
      </c>
      <c r="R175" s="2" t="s">
        <v>2993</v>
      </c>
      <c r="S175" s="4">
        <v>44963</v>
      </c>
    </row>
    <row r="176" spans="1:19" ht="12.5" x14ac:dyDescent="0.25">
      <c r="A176" s="14" t="str">
        <f>HYPERLINK("https://gerandofalcoes.my.salesforce.com/0014X00002YggphQAB", "0014X00002YggphQAB")</f>
        <v>0014X00002YggphQAB</v>
      </c>
      <c r="B176" s="2" t="s">
        <v>3620</v>
      </c>
      <c r="C176" s="2" t="s">
        <v>423</v>
      </c>
      <c r="D176" s="2" t="s">
        <v>2</v>
      </c>
      <c r="E176" s="2"/>
      <c r="F176" s="2">
        <v>9</v>
      </c>
      <c r="G176" s="2">
        <v>27</v>
      </c>
      <c r="H176" s="2">
        <v>15000</v>
      </c>
      <c r="I176" s="2">
        <v>20</v>
      </c>
      <c r="J176" s="2"/>
      <c r="K176" s="2">
        <v>30</v>
      </c>
      <c r="L176" s="2">
        <v>0</v>
      </c>
      <c r="M176" s="2">
        <v>10</v>
      </c>
      <c r="N176" s="2">
        <v>10</v>
      </c>
      <c r="O176" s="2">
        <v>5</v>
      </c>
      <c r="P176" s="2">
        <v>5</v>
      </c>
      <c r="Q176" s="2" t="s">
        <v>3621</v>
      </c>
      <c r="R176" s="2" t="s">
        <v>3622</v>
      </c>
      <c r="S176" s="4">
        <v>44963</v>
      </c>
    </row>
    <row r="177" spans="1:19" ht="12.5" x14ac:dyDescent="0.25">
      <c r="A177" s="14" t="str">
        <f>HYPERLINK("https://gerandofalcoes.my.salesforce.com/0014X00002YggpqQAB", "0014X00002YggpqQAB")</f>
        <v>0014X00002YggpqQAB</v>
      </c>
      <c r="B177" s="2" t="s">
        <v>3623</v>
      </c>
      <c r="C177" s="2" t="s">
        <v>423</v>
      </c>
      <c r="D177" s="2" t="s">
        <v>2</v>
      </c>
      <c r="E177" s="2"/>
      <c r="F177" s="2">
        <v>0</v>
      </c>
      <c r="G177" s="2">
        <v>4</v>
      </c>
      <c r="H177" s="2">
        <v>0</v>
      </c>
      <c r="I177" s="2">
        <v>300</v>
      </c>
      <c r="J177" s="2"/>
      <c r="K177" s="2">
        <v>25</v>
      </c>
      <c r="L177" s="2">
        <v>0</v>
      </c>
      <c r="M177" s="2">
        <v>0</v>
      </c>
      <c r="N177" s="2">
        <v>10</v>
      </c>
      <c r="O177" s="2">
        <v>0</v>
      </c>
      <c r="P177" s="2">
        <v>15</v>
      </c>
      <c r="Q177" s="2" t="s">
        <v>3624</v>
      </c>
      <c r="R177" s="2" t="s">
        <v>3625</v>
      </c>
      <c r="S177" s="4">
        <v>44963</v>
      </c>
    </row>
    <row r="178" spans="1:19" ht="12.5" x14ac:dyDescent="0.25">
      <c r="A178" s="14" t="str">
        <f>HYPERLINK("https://gerandofalcoes.my.salesforce.com/0014X00002YggkeQAB", "0014X00002YggkeQAB")</f>
        <v>0014X00002YggkeQAB</v>
      </c>
      <c r="B178" s="2" t="s">
        <v>3660</v>
      </c>
      <c r="C178" s="2" t="s">
        <v>423</v>
      </c>
      <c r="D178" s="2" t="s">
        <v>2</v>
      </c>
      <c r="E178" s="2"/>
      <c r="F178" s="2">
        <v>1</v>
      </c>
      <c r="G178" s="2">
        <v>2</v>
      </c>
      <c r="H178" s="2">
        <v>0</v>
      </c>
      <c r="I178" s="2">
        <v>80</v>
      </c>
      <c r="J178" s="2"/>
      <c r="K178" s="2">
        <v>21</v>
      </c>
      <c r="L178" s="2">
        <v>0</v>
      </c>
      <c r="M178" s="2">
        <v>5</v>
      </c>
      <c r="N178" s="2">
        <v>6</v>
      </c>
      <c r="O178" s="2">
        <v>0</v>
      </c>
      <c r="P178" s="2">
        <v>10</v>
      </c>
      <c r="Q178" s="2" t="s">
        <v>3661</v>
      </c>
      <c r="R178" s="2" t="s">
        <v>3661</v>
      </c>
      <c r="S178" s="4">
        <v>44964</v>
      </c>
    </row>
    <row r="179" spans="1:19" ht="12.5" x14ac:dyDescent="0.25">
      <c r="A179" s="14" t="str">
        <f>HYPERLINK("https://gerandofalcoes.my.salesforce.com/0014X00002YggqTQAR", "0014X00002YggqTQAR")</f>
        <v>0014X00002YggqTQAR</v>
      </c>
      <c r="B179" s="2" t="s">
        <v>3683</v>
      </c>
      <c r="C179" s="2" t="s">
        <v>423</v>
      </c>
      <c r="D179" s="2" t="s">
        <v>2</v>
      </c>
      <c r="E179" s="2"/>
      <c r="F179" s="2">
        <v>0</v>
      </c>
      <c r="G179" s="2">
        <v>3</v>
      </c>
      <c r="H179" s="2">
        <v>0</v>
      </c>
      <c r="I179" s="2">
        <v>0</v>
      </c>
      <c r="J179" s="2"/>
      <c r="K179" s="2">
        <v>8</v>
      </c>
      <c r="L179" s="2">
        <v>0</v>
      </c>
      <c r="M179" s="2">
        <v>0</v>
      </c>
      <c r="N179" s="2">
        <v>8</v>
      </c>
      <c r="O179" s="2">
        <v>0</v>
      </c>
      <c r="P179" s="2">
        <v>0</v>
      </c>
      <c r="Q179" s="2" t="s">
        <v>3684</v>
      </c>
      <c r="R179" s="2" t="s">
        <v>3685</v>
      </c>
      <c r="S179" s="4">
        <v>44964</v>
      </c>
    </row>
    <row r="180" spans="1:19" ht="12.5" x14ac:dyDescent="0.25">
      <c r="A180" s="14" t="str">
        <f>HYPERLINK("https://gerandofalcoes.my.salesforce.com/0014X00002bCkLgQAK", "0014X00002bCkLgQAK")</f>
        <v>0014X00002bCkLgQAK</v>
      </c>
      <c r="B180" s="2" t="s">
        <v>3657</v>
      </c>
      <c r="C180" s="2" t="s">
        <v>423</v>
      </c>
      <c r="D180" s="2" t="s">
        <v>2</v>
      </c>
      <c r="E180" s="2"/>
      <c r="F180" s="2">
        <v>6</v>
      </c>
      <c r="G180" s="2">
        <v>7</v>
      </c>
      <c r="H180" s="2">
        <v>20000</v>
      </c>
      <c r="I180" s="2">
        <v>0</v>
      </c>
      <c r="J180" s="2"/>
      <c r="K180" s="2">
        <v>25</v>
      </c>
      <c r="L180" s="2">
        <v>0</v>
      </c>
      <c r="M180" s="2">
        <v>10</v>
      </c>
      <c r="N180" s="2">
        <v>10</v>
      </c>
      <c r="O180" s="2">
        <v>5</v>
      </c>
      <c r="P180" s="2">
        <v>0</v>
      </c>
      <c r="Q180" s="2" t="s">
        <v>3658</v>
      </c>
      <c r="R180" s="2" t="s">
        <v>3659</v>
      </c>
      <c r="S180" s="4">
        <v>44964</v>
      </c>
    </row>
    <row r="181" spans="1:19" ht="12.5" x14ac:dyDescent="0.25">
      <c r="A181" s="14" t="str">
        <f>HYPERLINK("https://gerandofalcoes.my.salesforce.com/0014X00002YgghDQAR", "0014X00002YgghDQAR")</f>
        <v>0014X00002YgghDQAR</v>
      </c>
      <c r="B181" s="2" t="s">
        <v>3681</v>
      </c>
      <c r="C181" s="2" t="s">
        <v>423</v>
      </c>
      <c r="D181" s="2" t="s">
        <v>2</v>
      </c>
      <c r="E181" s="2"/>
      <c r="F181" s="2">
        <v>0</v>
      </c>
      <c r="G181" s="2">
        <v>4</v>
      </c>
      <c r="H181" s="2">
        <v>3000</v>
      </c>
      <c r="I181" s="2">
        <v>30</v>
      </c>
      <c r="J181" s="2"/>
      <c r="K181" s="2">
        <v>20</v>
      </c>
      <c r="L181" s="2">
        <v>0</v>
      </c>
      <c r="M181" s="2">
        <v>0</v>
      </c>
      <c r="N181" s="2">
        <v>10</v>
      </c>
      <c r="O181" s="2">
        <v>5</v>
      </c>
      <c r="P181" s="2">
        <v>5</v>
      </c>
      <c r="Q181" s="2" t="s">
        <v>3682</v>
      </c>
      <c r="R181" s="2" t="s">
        <v>3682</v>
      </c>
      <c r="S181" s="4">
        <v>44964</v>
      </c>
    </row>
    <row r="182" spans="1:19" ht="12.5" x14ac:dyDescent="0.25">
      <c r="A182" s="14" t="str">
        <f>HYPERLINK("https://gerandofalcoes.my.salesforce.com/0014X00002YggnoQAB", "0014X00002YggnoQAB")</f>
        <v>0014X00002YggnoQAB</v>
      </c>
      <c r="B182" s="2" t="s">
        <v>3644</v>
      </c>
      <c r="C182" s="2" t="s">
        <v>423</v>
      </c>
      <c r="D182" s="2" t="s">
        <v>2</v>
      </c>
      <c r="E182" s="2"/>
      <c r="F182" s="2">
        <v>11</v>
      </c>
      <c r="G182" s="2">
        <v>5</v>
      </c>
      <c r="H182" s="2">
        <v>442412</v>
      </c>
      <c r="I182" s="2">
        <v>200</v>
      </c>
      <c r="J182" s="2"/>
      <c r="K182" s="2">
        <v>54</v>
      </c>
      <c r="L182" s="2">
        <v>0</v>
      </c>
      <c r="M182" s="2">
        <v>12</v>
      </c>
      <c r="N182" s="2">
        <v>10</v>
      </c>
      <c r="O182" s="2">
        <v>20</v>
      </c>
      <c r="P182" s="2">
        <v>12</v>
      </c>
      <c r="Q182" s="2" t="s">
        <v>3645</v>
      </c>
      <c r="R182" s="2" t="s">
        <v>3646</v>
      </c>
      <c r="S182" s="4">
        <v>44964</v>
      </c>
    </row>
    <row r="183" spans="1:19" ht="12.5" x14ac:dyDescent="0.25">
      <c r="A183" s="14" t="str">
        <f>HYPERLINK("https://gerandofalcoes.my.salesforce.com/0014X00002YggowQAB", "0014X00002YggowQAB")</f>
        <v>0014X00002YggowQAB</v>
      </c>
      <c r="B183" s="2" t="s">
        <v>3750</v>
      </c>
      <c r="C183" s="2" t="s">
        <v>423</v>
      </c>
      <c r="D183" s="2" t="s">
        <v>2</v>
      </c>
      <c r="E183" s="2"/>
      <c r="F183" s="2">
        <v>0</v>
      </c>
      <c r="G183" s="2">
        <v>2</v>
      </c>
      <c r="H183" s="2">
        <v>0</v>
      </c>
      <c r="I183" s="2">
        <v>30</v>
      </c>
      <c r="J183" s="2"/>
      <c r="K183" s="2">
        <v>11</v>
      </c>
      <c r="L183" s="2">
        <v>0</v>
      </c>
      <c r="M183" s="2">
        <v>0</v>
      </c>
      <c r="N183" s="2">
        <v>6</v>
      </c>
      <c r="O183" s="2">
        <v>0</v>
      </c>
      <c r="P183" s="2">
        <v>5</v>
      </c>
      <c r="Q183" s="2" t="s">
        <v>3751</v>
      </c>
      <c r="R183" s="2" t="s">
        <v>3751</v>
      </c>
      <c r="S183" s="4">
        <v>44967</v>
      </c>
    </row>
    <row r="184" spans="1:19" ht="12.5" x14ac:dyDescent="0.25">
      <c r="A184" s="14" t="str">
        <f>HYPERLINK("https://gerandofalcoes.my.salesforce.com/0014X00002YggkFQAR", "0014X00002YggkFQAR")</f>
        <v>0014X00002YggkFQAR</v>
      </c>
      <c r="B184" s="2" t="s">
        <v>3716</v>
      </c>
      <c r="C184" s="2" t="s">
        <v>423</v>
      </c>
      <c r="D184" s="2" t="s">
        <v>2</v>
      </c>
      <c r="E184" s="2"/>
      <c r="F184" s="2">
        <v>0</v>
      </c>
      <c r="G184" s="2">
        <v>5</v>
      </c>
      <c r="H184" s="2">
        <v>8000</v>
      </c>
      <c r="I184" s="2">
        <v>50</v>
      </c>
      <c r="J184" s="2"/>
      <c r="K184" s="2">
        <v>20</v>
      </c>
      <c r="L184" s="2">
        <v>0</v>
      </c>
      <c r="M184" s="2">
        <v>0</v>
      </c>
      <c r="N184" s="2">
        <v>10</v>
      </c>
      <c r="O184" s="2">
        <v>5</v>
      </c>
      <c r="P184" s="2">
        <v>5</v>
      </c>
      <c r="Q184" s="2" t="s">
        <v>3717</v>
      </c>
      <c r="R184" s="2" t="s">
        <v>3718</v>
      </c>
      <c r="S184" s="4">
        <v>44967</v>
      </c>
    </row>
    <row r="185" spans="1:19" ht="12.5" x14ac:dyDescent="0.25">
      <c r="A185" s="14" t="str">
        <f>HYPERLINK("https://gerandofalcoes.my.salesforce.com/0014X00002YggpjQAB", "0014X00002YggpjQAB")</f>
        <v>0014X00002YggpjQAB</v>
      </c>
      <c r="B185" s="2" t="s">
        <v>3703</v>
      </c>
      <c r="C185" s="2" t="s">
        <v>423</v>
      </c>
      <c r="D185" s="2" t="s">
        <v>2</v>
      </c>
      <c r="E185" s="2"/>
      <c r="F185" s="2">
        <v>0</v>
      </c>
      <c r="G185" s="2">
        <v>3</v>
      </c>
      <c r="H185" s="2">
        <v>2000</v>
      </c>
      <c r="I185" s="2">
        <v>0</v>
      </c>
      <c r="J185" s="2"/>
      <c r="K185" s="2">
        <v>13</v>
      </c>
      <c r="L185" s="2">
        <v>0</v>
      </c>
      <c r="M185" s="2">
        <v>0</v>
      </c>
      <c r="N185" s="2">
        <v>8</v>
      </c>
      <c r="O185" s="2">
        <v>5</v>
      </c>
      <c r="P185" s="2">
        <v>0</v>
      </c>
      <c r="Q185" s="2" t="s">
        <v>3704</v>
      </c>
      <c r="R185" s="2" t="s">
        <v>3704</v>
      </c>
      <c r="S185" s="4">
        <v>44967</v>
      </c>
    </row>
    <row r="186" spans="1:19" ht="12.5" x14ac:dyDescent="0.25">
      <c r="A186" s="14" t="str">
        <f>HYPERLINK("https://gerandofalcoes.my.salesforce.com/0014X00002YgglcQAB", "0014X00002YgglcQAB")</f>
        <v>0014X00002YgglcQAB</v>
      </c>
      <c r="B186" s="2" t="s">
        <v>3709</v>
      </c>
      <c r="C186" s="2" t="s">
        <v>423</v>
      </c>
      <c r="D186" s="2" t="s">
        <v>2</v>
      </c>
      <c r="E186" s="2"/>
      <c r="F186" s="2">
        <v>0</v>
      </c>
      <c r="G186" s="2">
        <v>2</v>
      </c>
      <c r="H186" s="2">
        <v>60000</v>
      </c>
      <c r="I186" s="2">
        <v>0</v>
      </c>
      <c r="J186" s="2"/>
      <c r="K186" s="2">
        <v>16</v>
      </c>
      <c r="L186" s="2">
        <v>0</v>
      </c>
      <c r="M186" s="2">
        <v>0</v>
      </c>
      <c r="N186" s="2">
        <v>6</v>
      </c>
      <c r="O186" s="2">
        <v>10</v>
      </c>
      <c r="P186" s="2">
        <v>0</v>
      </c>
      <c r="Q186" s="2" t="s">
        <v>3710</v>
      </c>
      <c r="R186" s="2" t="s">
        <v>3710</v>
      </c>
      <c r="S186" s="4">
        <v>44967</v>
      </c>
    </row>
    <row r="187" spans="1:19" ht="12.5" x14ac:dyDescent="0.25">
      <c r="A187" s="14" t="str">
        <f>HYPERLINK("https://gerandofalcoes.my.salesforce.com/0014X00002YggnYQAR", "0014X00002YggnYQAR")</f>
        <v>0014X00002YggnYQAR</v>
      </c>
      <c r="B187" s="2" t="s">
        <v>3763</v>
      </c>
      <c r="C187" s="2" t="s">
        <v>423</v>
      </c>
      <c r="D187" s="2" t="s">
        <v>2</v>
      </c>
      <c r="E187" s="2"/>
      <c r="F187" s="2">
        <v>127</v>
      </c>
      <c r="G187" s="2">
        <v>4</v>
      </c>
      <c r="H187" s="2">
        <v>0</v>
      </c>
      <c r="I187" s="2">
        <v>0</v>
      </c>
      <c r="J187" s="2"/>
      <c r="K187" s="2">
        <v>25</v>
      </c>
      <c r="L187" s="2">
        <v>0</v>
      </c>
      <c r="M187" s="2">
        <v>15</v>
      </c>
      <c r="N187" s="2">
        <v>10</v>
      </c>
      <c r="O187" s="2">
        <v>0</v>
      </c>
      <c r="P187" s="2">
        <v>0</v>
      </c>
      <c r="Q187" s="2" t="s">
        <v>3764</v>
      </c>
      <c r="R187" s="2" t="s">
        <v>3764</v>
      </c>
      <c r="S187" s="4">
        <v>44967</v>
      </c>
    </row>
    <row r="188" spans="1:19" ht="12.5" x14ac:dyDescent="0.25">
      <c r="A188" s="14" t="str">
        <f>HYPERLINK("https://gerandofalcoes.my.salesforce.com/0014X00002YggonQAB", "0014X00002YggonQAB")</f>
        <v>0014X00002YggonQAB</v>
      </c>
      <c r="B188" s="2" t="s">
        <v>3705</v>
      </c>
      <c r="C188" s="2" t="s">
        <v>423</v>
      </c>
      <c r="D188" s="2" t="s">
        <v>2</v>
      </c>
      <c r="E188" s="2"/>
      <c r="F188" s="2">
        <v>0</v>
      </c>
      <c r="G188" s="2">
        <v>2</v>
      </c>
      <c r="H188" s="2">
        <v>0</v>
      </c>
      <c r="I188" s="2">
        <v>10</v>
      </c>
      <c r="J188" s="2"/>
      <c r="K188" s="2">
        <v>11</v>
      </c>
      <c r="L188" s="2">
        <v>0</v>
      </c>
      <c r="M188" s="2">
        <v>0</v>
      </c>
      <c r="N188" s="2">
        <v>6</v>
      </c>
      <c r="O188" s="2">
        <v>0</v>
      </c>
      <c r="P188" s="2">
        <v>5</v>
      </c>
      <c r="Q188" s="2" t="s">
        <v>3706</v>
      </c>
      <c r="R188" s="2" t="s">
        <v>3706</v>
      </c>
      <c r="S188" s="4">
        <v>44967</v>
      </c>
    </row>
    <row r="189" spans="1:19" ht="12.5" x14ac:dyDescent="0.25">
      <c r="A189" s="14" t="str">
        <f>HYPERLINK("https://gerandofalcoes.my.salesforce.com/0014X00002Yggr0QAB", "0014X00002Yggr0QAB")</f>
        <v>0014X00002Yggr0QAB</v>
      </c>
      <c r="B189" s="2" t="s">
        <v>3765</v>
      </c>
      <c r="C189" s="2" t="s">
        <v>423</v>
      </c>
      <c r="D189" s="2" t="s">
        <v>2</v>
      </c>
      <c r="E189" s="2"/>
      <c r="F189" s="2">
        <v>3</v>
      </c>
      <c r="G189" s="2">
        <v>122</v>
      </c>
      <c r="H189" s="2">
        <v>10000</v>
      </c>
      <c r="I189" s="2">
        <v>0</v>
      </c>
      <c r="J189" s="2"/>
      <c r="K189" s="2">
        <v>20</v>
      </c>
      <c r="L189" s="2">
        <v>0</v>
      </c>
      <c r="M189" s="2">
        <v>5</v>
      </c>
      <c r="N189" s="2">
        <v>10</v>
      </c>
      <c r="O189" s="2">
        <v>5</v>
      </c>
      <c r="P189" s="2">
        <v>0</v>
      </c>
      <c r="Q189" s="2" t="s">
        <v>3766</v>
      </c>
      <c r="R189" s="2" t="s">
        <v>3767</v>
      </c>
      <c r="S189" s="4">
        <v>44967</v>
      </c>
    </row>
    <row r="190" spans="1:19" ht="12.5" x14ac:dyDescent="0.25">
      <c r="A190" s="14" t="str">
        <f>HYPERLINK("https://gerandofalcoes.my.salesforce.com/0014X00002YgghRQAR", "0014X00002YgghRQAR")</f>
        <v>0014X00002YgghRQAR</v>
      </c>
      <c r="B190" s="2" t="s">
        <v>3689</v>
      </c>
      <c r="C190" s="2" t="s">
        <v>423</v>
      </c>
      <c r="D190" s="2" t="s">
        <v>2</v>
      </c>
      <c r="E190" s="2"/>
      <c r="F190" s="2">
        <v>220</v>
      </c>
      <c r="G190" s="2">
        <v>9</v>
      </c>
      <c r="H190" s="2">
        <v>9000000</v>
      </c>
      <c r="I190" s="2">
        <v>1600</v>
      </c>
      <c r="J190" s="2"/>
      <c r="K190" s="2">
        <v>70</v>
      </c>
      <c r="L190" s="2">
        <v>0</v>
      </c>
      <c r="M190" s="2">
        <v>15</v>
      </c>
      <c r="N190" s="2">
        <v>10</v>
      </c>
      <c r="O190" s="2">
        <v>25</v>
      </c>
      <c r="P190" s="2">
        <v>20</v>
      </c>
      <c r="Q190" s="2" t="s">
        <v>3690</v>
      </c>
      <c r="R190" s="2" t="s">
        <v>3691</v>
      </c>
      <c r="S190" s="4">
        <v>44967</v>
      </c>
    </row>
    <row r="191" spans="1:19" ht="12.5" x14ac:dyDescent="0.25">
      <c r="A191" s="14" t="str">
        <f>HYPERLINK("https://gerandofalcoes.my.salesforce.com/0014X00002YgggkQAB", "0014X00002YgggkQAB")</f>
        <v>0014X00002YgggkQAB</v>
      </c>
      <c r="B191" s="2" t="s">
        <v>3692</v>
      </c>
      <c r="C191" s="2" t="s">
        <v>423</v>
      </c>
      <c r="D191" s="2" t="s">
        <v>2</v>
      </c>
      <c r="E191" s="2"/>
      <c r="F191" s="2">
        <v>1</v>
      </c>
      <c r="G191" s="2">
        <v>3</v>
      </c>
      <c r="H191" s="2">
        <v>51325</v>
      </c>
      <c r="I191" s="2">
        <v>600</v>
      </c>
      <c r="J191" s="2"/>
      <c r="K191" s="2">
        <v>43</v>
      </c>
      <c r="L191" s="2">
        <v>0</v>
      </c>
      <c r="M191" s="2">
        <v>5</v>
      </c>
      <c r="N191" s="2">
        <v>8</v>
      </c>
      <c r="O191" s="2">
        <v>10</v>
      </c>
      <c r="P191" s="2">
        <v>20</v>
      </c>
      <c r="Q191" s="2" t="s">
        <v>3693</v>
      </c>
      <c r="R191" s="2" t="s">
        <v>3694</v>
      </c>
      <c r="S191" s="4">
        <v>44967</v>
      </c>
    </row>
    <row r="192" spans="1:19" ht="12.5" x14ac:dyDescent="0.25">
      <c r="A192" s="14" t="str">
        <f>HYPERLINK("https://gerandofalcoes.my.salesforce.com/0014X00002YggmTQAR", "0014X00002YggmTQAR")</f>
        <v>0014X00002YggmTQAR</v>
      </c>
      <c r="B192" s="2" t="s">
        <v>3758</v>
      </c>
      <c r="C192" s="2" t="s">
        <v>423</v>
      </c>
      <c r="D192" s="2" t="s">
        <v>2</v>
      </c>
      <c r="E192" s="2"/>
      <c r="F192" s="2">
        <v>1</v>
      </c>
      <c r="G192" s="2">
        <v>2</v>
      </c>
      <c r="H192" s="2">
        <v>0</v>
      </c>
      <c r="I192" s="2">
        <v>15</v>
      </c>
      <c r="J192" s="2"/>
      <c r="K192" s="2">
        <v>16</v>
      </c>
      <c r="L192" s="2">
        <v>0</v>
      </c>
      <c r="M192" s="2">
        <v>5</v>
      </c>
      <c r="N192" s="2">
        <v>6</v>
      </c>
      <c r="O192" s="2">
        <v>0</v>
      </c>
      <c r="P192" s="2">
        <v>5</v>
      </c>
      <c r="Q192" s="2" t="s">
        <v>3759</v>
      </c>
      <c r="R192" s="2" t="s">
        <v>3759</v>
      </c>
      <c r="S192" s="4">
        <v>44967</v>
      </c>
    </row>
    <row r="193" spans="1:19" ht="12.5" x14ac:dyDescent="0.25">
      <c r="A193" s="14" t="str">
        <f>HYPERLINK("https://gerandofalcoes.my.salesforce.com/0014X00002YggpxQAB", "0014X00002YggpxQAB")</f>
        <v>0014X00002YggpxQAB</v>
      </c>
      <c r="B193" s="2" t="s">
        <v>3760</v>
      </c>
      <c r="C193" s="2" t="s">
        <v>423</v>
      </c>
      <c r="D193" s="2" t="s">
        <v>2</v>
      </c>
      <c r="E193" s="2"/>
      <c r="F193" s="2">
        <v>6</v>
      </c>
      <c r="G193" s="2">
        <v>2</v>
      </c>
      <c r="H193" s="2">
        <v>235000</v>
      </c>
      <c r="I193" s="2">
        <v>10</v>
      </c>
      <c r="J193" s="2"/>
      <c r="K193" s="2">
        <v>36</v>
      </c>
      <c r="L193" s="2">
        <v>0</v>
      </c>
      <c r="M193" s="2">
        <v>10</v>
      </c>
      <c r="N193" s="2">
        <v>6</v>
      </c>
      <c r="O193" s="2">
        <v>15</v>
      </c>
      <c r="P193" s="2">
        <v>5</v>
      </c>
      <c r="Q193" s="2" t="s">
        <v>3761</v>
      </c>
      <c r="R193" s="2" t="s">
        <v>3762</v>
      </c>
      <c r="S193" s="4">
        <v>44967</v>
      </c>
    </row>
    <row r="194" spans="1:19" ht="12.5" x14ac:dyDescent="0.25">
      <c r="A194" s="14" t="str">
        <f>HYPERLINK("https://gerandofalcoes.my.salesforce.com/0014X00002YgghxQAB", "0014X00002YgghxQAB")</f>
        <v>0014X00002YgghxQAB</v>
      </c>
      <c r="B194" s="2" t="s">
        <v>3747</v>
      </c>
      <c r="C194" s="2" t="s">
        <v>423</v>
      </c>
      <c r="D194" s="2" t="s">
        <v>2</v>
      </c>
      <c r="E194" s="2"/>
      <c r="F194" s="2">
        <v>12</v>
      </c>
      <c r="G194" s="2">
        <v>3</v>
      </c>
      <c r="H194" s="2">
        <v>3000</v>
      </c>
      <c r="I194" s="2">
        <v>59</v>
      </c>
      <c r="J194" s="2"/>
      <c r="K194" s="2">
        <v>30</v>
      </c>
      <c r="L194" s="2">
        <v>0</v>
      </c>
      <c r="M194" s="2">
        <v>12</v>
      </c>
      <c r="N194" s="2">
        <v>8</v>
      </c>
      <c r="O194" s="2">
        <v>5</v>
      </c>
      <c r="P194" s="2">
        <v>5</v>
      </c>
      <c r="Q194" s="2" t="s">
        <v>3748</v>
      </c>
      <c r="R194" s="2" t="s">
        <v>3749</v>
      </c>
      <c r="S194" s="4">
        <v>44967</v>
      </c>
    </row>
    <row r="195" spans="1:19" ht="12.5" x14ac:dyDescent="0.25">
      <c r="A195" s="14" t="str">
        <f>HYPERLINK("https://gerandofalcoes.my.salesforce.com/0014X00002YgglkQAB", "0014X00002YgglkQAB")</f>
        <v>0014X00002YgglkQAB</v>
      </c>
      <c r="B195" s="2" t="s">
        <v>3711</v>
      </c>
      <c r="C195" s="2" t="s">
        <v>423</v>
      </c>
      <c r="D195" s="2" t="s">
        <v>2</v>
      </c>
      <c r="E195" s="2"/>
      <c r="F195" s="2">
        <v>2</v>
      </c>
      <c r="G195" s="2">
        <v>4</v>
      </c>
      <c r="H195" s="2">
        <v>95000</v>
      </c>
      <c r="I195" s="2">
        <v>15</v>
      </c>
      <c r="J195" s="2"/>
      <c r="K195" s="2">
        <v>30</v>
      </c>
      <c r="L195" s="2">
        <v>0</v>
      </c>
      <c r="M195" s="2">
        <v>5</v>
      </c>
      <c r="N195" s="2">
        <v>10</v>
      </c>
      <c r="O195" s="2">
        <v>10</v>
      </c>
      <c r="P195" s="2">
        <v>5</v>
      </c>
      <c r="Q195" s="2" t="s">
        <v>3712</v>
      </c>
      <c r="R195" s="2" t="s">
        <v>3713</v>
      </c>
      <c r="S195" s="4">
        <v>44967</v>
      </c>
    </row>
    <row r="196" spans="1:19" ht="12.5" x14ac:dyDescent="0.25">
      <c r="A196" s="14" t="str">
        <f>HYPERLINK("https://gerandofalcoes.my.salesforce.com/0014X00002YggpyQAB", "0014X00002YggpyQAB")</f>
        <v>0014X00002YggpyQAB</v>
      </c>
      <c r="B196" s="2" t="s">
        <v>3740</v>
      </c>
      <c r="C196" s="2" t="s">
        <v>423</v>
      </c>
      <c r="D196" s="2" t="s">
        <v>2</v>
      </c>
      <c r="E196" s="2"/>
      <c r="F196" s="2">
        <v>3</v>
      </c>
      <c r="G196" s="2">
        <v>3</v>
      </c>
      <c r="H196" s="2">
        <v>7000</v>
      </c>
      <c r="I196" s="2">
        <v>100</v>
      </c>
      <c r="J196" s="2"/>
      <c r="K196" s="2">
        <v>28</v>
      </c>
      <c r="L196" s="2">
        <v>0</v>
      </c>
      <c r="M196" s="2">
        <v>5</v>
      </c>
      <c r="N196" s="2">
        <v>8</v>
      </c>
      <c r="O196" s="2">
        <v>5</v>
      </c>
      <c r="P196" s="2">
        <v>10</v>
      </c>
      <c r="Q196" s="2" t="s">
        <v>3741</v>
      </c>
      <c r="R196" s="2" t="s">
        <v>3742</v>
      </c>
      <c r="S196" s="4">
        <v>44967</v>
      </c>
    </row>
    <row r="197" spans="1:19" ht="12.5" x14ac:dyDescent="0.25">
      <c r="A197" s="14" t="str">
        <f>HYPERLINK("https://gerandofalcoes.my.salesforce.com/0014X00002YggqbQAB", "0014X00002YggqbQAB")</f>
        <v>0014X00002YggqbQAB</v>
      </c>
      <c r="B197" s="2" t="s">
        <v>3735</v>
      </c>
      <c r="C197" s="2" t="s">
        <v>423</v>
      </c>
      <c r="D197" s="2" t="s">
        <v>2</v>
      </c>
      <c r="E197" s="2"/>
      <c r="F197" s="2">
        <v>4</v>
      </c>
      <c r="G197" s="2">
        <v>4</v>
      </c>
      <c r="H197" s="2">
        <v>300</v>
      </c>
      <c r="I197" s="2">
        <v>130</v>
      </c>
      <c r="J197" s="2"/>
      <c r="K197" s="2">
        <v>30</v>
      </c>
      <c r="L197" s="2">
        <v>0</v>
      </c>
      <c r="M197" s="2">
        <v>5</v>
      </c>
      <c r="N197" s="2">
        <v>10</v>
      </c>
      <c r="O197" s="2">
        <v>5</v>
      </c>
      <c r="P197" s="2">
        <v>10</v>
      </c>
      <c r="Q197" s="2" t="s">
        <v>3736</v>
      </c>
      <c r="R197" s="2" t="s">
        <v>3737</v>
      </c>
      <c r="S197" s="4">
        <v>44967</v>
      </c>
    </row>
    <row r="198" spans="1:19" ht="12.5" x14ac:dyDescent="0.25">
      <c r="A198" s="14" t="str">
        <f>HYPERLINK("https://gerandofalcoes.my.salesforce.com/0014X00002YggomQAB", "0014X00002YggomQAB")</f>
        <v>0014X00002YggomQAB</v>
      </c>
      <c r="B198" s="2" t="s">
        <v>6803</v>
      </c>
      <c r="C198" s="2" t="s">
        <v>423</v>
      </c>
      <c r="D198" s="2" t="s">
        <v>2</v>
      </c>
      <c r="E198" s="2"/>
      <c r="F198" s="2">
        <v>0</v>
      </c>
      <c r="G198" s="2">
        <v>3</v>
      </c>
      <c r="H198" s="2">
        <v>44682</v>
      </c>
      <c r="I198" s="2">
        <v>0</v>
      </c>
      <c r="J198" s="2"/>
      <c r="K198" s="2">
        <v>18</v>
      </c>
      <c r="L198" s="2">
        <v>0</v>
      </c>
      <c r="M198" s="2">
        <v>0</v>
      </c>
      <c r="N198" s="2">
        <v>8</v>
      </c>
      <c r="O198" s="2">
        <v>10</v>
      </c>
      <c r="P198" s="2">
        <v>0</v>
      </c>
      <c r="Q198" s="2" t="s">
        <v>3769</v>
      </c>
      <c r="R198" s="2" t="s">
        <v>3770</v>
      </c>
      <c r="S198" s="4">
        <v>44967</v>
      </c>
    </row>
    <row r="199" spans="1:19" ht="12.5" x14ac:dyDescent="0.25">
      <c r="A199" s="14" t="str">
        <f>HYPERLINK("https://gerandofalcoes.my.salesforce.com/0014X00002YggngQAB", "0014X00002YggngQAB")</f>
        <v>0014X00002YggngQAB</v>
      </c>
      <c r="B199" s="2" t="s">
        <v>3722</v>
      </c>
      <c r="C199" s="2" t="s">
        <v>423</v>
      </c>
      <c r="D199" s="2" t="s">
        <v>2</v>
      </c>
      <c r="E199" s="2"/>
      <c r="F199" s="2">
        <v>0</v>
      </c>
      <c r="G199" s="2">
        <v>4</v>
      </c>
      <c r="H199" s="2">
        <v>13562</v>
      </c>
      <c r="I199" s="2">
        <v>0</v>
      </c>
      <c r="J199" s="2"/>
      <c r="K199" s="2">
        <v>15</v>
      </c>
      <c r="L199" s="2">
        <v>0</v>
      </c>
      <c r="M199" s="2">
        <v>0</v>
      </c>
      <c r="N199" s="2">
        <v>10</v>
      </c>
      <c r="O199" s="2">
        <v>5</v>
      </c>
      <c r="P199" s="2">
        <v>0</v>
      </c>
      <c r="Q199" s="2" t="s">
        <v>3723</v>
      </c>
      <c r="R199" s="2" t="s">
        <v>3723</v>
      </c>
      <c r="S199" s="4">
        <v>44967</v>
      </c>
    </row>
    <row r="200" spans="1:19" ht="12.5" x14ac:dyDescent="0.25">
      <c r="A200" s="14" t="str">
        <f>HYPERLINK("https://gerandofalcoes.my.salesforce.com/0014X00002YgglaQAB", "0014X00002YgglaQAB")</f>
        <v>0014X00002YgglaQAB</v>
      </c>
      <c r="B200" s="2" t="s">
        <v>6658</v>
      </c>
      <c r="C200" s="2" t="s">
        <v>423</v>
      </c>
      <c r="D200" s="2" t="s">
        <v>2</v>
      </c>
      <c r="E200" s="2"/>
      <c r="F200" s="2">
        <v>10</v>
      </c>
      <c r="G200" s="2">
        <v>2</v>
      </c>
      <c r="H200" s="2">
        <v>6000</v>
      </c>
      <c r="I200" s="2">
        <v>25</v>
      </c>
      <c r="J200" s="2"/>
      <c r="K200" s="2">
        <v>26</v>
      </c>
      <c r="L200" s="2">
        <v>0</v>
      </c>
      <c r="M200" s="2">
        <v>10</v>
      </c>
      <c r="N200" s="2">
        <v>6</v>
      </c>
      <c r="O200" s="2">
        <v>5</v>
      </c>
      <c r="P200" s="2">
        <v>5</v>
      </c>
      <c r="Q200" s="2" t="s">
        <v>3803</v>
      </c>
      <c r="R200" s="2" t="s">
        <v>3804</v>
      </c>
      <c r="S200" s="4">
        <v>44970</v>
      </c>
    </row>
    <row r="201" spans="1:19" ht="12.5" x14ac:dyDescent="0.25">
      <c r="A201" s="14" t="str">
        <f>HYPERLINK("https://gerandofalcoes.my.salesforce.com/0014X00002YggoZQAR", "0014X00002YggoZQAR")</f>
        <v>0014X00002YggoZQAR</v>
      </c>
      <c r="B201" s="2" t="s">
        <v>6975</v>
      </c>
      <c r="C201" s="2" t="s">
        <v>423</v>
      </c>
      <c r="D201" s="2" t="s">
        <v>2</v>
      </c>
      <c r="E201" s="2"/>
      <c r="F201" s="2">
        <v>1</v>
      </c>
      <c r="G201" s="2">
        <v>2</v>
      </c>
      <c r="H201" s="2">
        <v>5000</v>
      </c>
      <c r="I201" s="2">
        <v>40</v>
      </c>
      <c r="J201" s="2"/>
      <c r="K201" s="2">
        <v>21</v>
      </c>
      <c r="L201" s="2">
        <v>0</v>
      </c>
      <c r="M201" s="2">
        <v>5</v>
      </c>
      <c r="N201" s="2">
        <v>6</v>
      </c>
      <c r="O201" s="2">
        <v>5</v>
      </c>
      <c r="P201" s="2">
        <v>5</v>
      </c>
      <c r="Q201" s="2" t="s">
        <v>3811</v>
      </c>
      <c r="R201" s="2" t="s">
        <v>3811</v>
      </c>
      <c r="S201" s="4">
        <v>44988</v>
      </c>
    </row>
    <row r="202" spans="1:19" ht="12.5" x14ac:dyDescent="0.25">
      <c r="A202" s="14" t="str">
        <f>HYPERLINK("https://gerandofalcoes.my.salesforce.com/0014X00002VKCqyQAH", "0014X00002VKCqyQAH")</f>
        <v>0014X00002VKCqyQAH</v>
      </c>
      <c r="B202" s="2" t="s">
        <v>3807</v>
      </c>
      <c r="C202" s="2" t="s">
        <v>423</v>
      </c>
      <c r="D202" s="2" t="s">
        <v>2</v>
      </c>
      <c r="E202" s="2">
        <v>40</v>
      </c>
      <c r="F202" s="2">
        <v>20</v>
      </c>
      <c r="G202" s="2">
        <v>3</v>
      </c>
      <c r="H202" s="2">
        <v>5000</v>
      </c>
      <c r="I202" s="2">
        <v>200</v>
      </c>
      <c r="J202" s="2" t="s">
        <v>1671</v>
      </c>
      <c r="K202" s="2">
        <v>52</v>
      </c>
      <c r="L202" s="2">
        <v>15</v>
      </c>
      <c r="M202" s="2">
        <v>12</v>
      </c>
      <c r="N202" s="2">
        <v>8</v>
      </c>
      <c r="O202" s="2">
        <v>5</v>
      </c>
      <c r="P202" s="2">
        <v>12</v>
      </c>
      <c r="Q202" s="2" t="s">
        <v>3808</v>
      </c>
      <c r="R202" s="2" t="s">
        <v>3809</v>
      </c>
      <c r="S202" s="4">
        <v>44986</v>
      </c>
    </row>
    <row r="203" spans="1:19" ht="12.5" x14ac:dyDescent="0.25">
      <c r="A203" s="14" t="str">
        <f>HYPERLINK("https://gerandofalcoes.my.salesforce.com/0014X00002YgglbQAB", "0014X00002YgglbQAB")</f>
        <v>0014X00002YgglbQAB</v>
      </c>
      <c r="B203" s="2" t="s">
        <v>3218</v>
      </c>
      <c r="C203" s="2" t="s">
        <v>423</v>
      </c>
      <c r="D203" s="2" t="s">
        <v>2</v>
      </c>
      <c r="E203" s="2"/>
      <c r="F203" s="2">
        <v>0</v>
      </c>
      <c r="G203" s="2">
        <v>3</v>
      </c>
      <c r="H203" s="2">
        <v>100000</v>
      </c>
      <c r="I203" s="2">
        <v>75</v>
      </c>
      <c r="J203" s="2"/>
      <c r="K203" s="2">
        <v>28</v>
      </c>
      <c r="L203" s="2">
        <v>0</v>
      </c>
      <c r="M203" s="2">
        <v>0</v>
      </c>
      <c r="N203" s="2">
        <v>8</v>
      </c>
      <c r="O203" s="2">
        <v>15</v>
      </c>
      <c r="P203" s="2">
        <v>5</v>
      </c>
      <c r="Q203" s="2" t="s">
        <v>3219</v>
      </c>
      <c r="R203" s="2" t="s">
        <v>3219</v>
      </c>
      <c r="S203" s="4">
        <v>44951</v>
      </c>
    </row>
    <row r="204" spans="1:19" ht="12.5" x14ac:dyDescent="0.25">
      <c r="A204" s="14" t="str">
        <f>HYPERLINK("https://gerandofalcoes.my.salesforce.com/0014X00002YgbkpQAB", "0014X00002YgbkpQAB")</f>
        <v>0014X00002YgbkpQAB</v>
      </c>
      <c r="B204" s="2" t="s">
        <v>3200</v>
      </c>
      <c r="C204" s="2" t="s">
        <v>423</v>
      </c>
      <c r="D204" s="2" t="s">
        <v>2</v>
      </c>
      <c r="E204" s="2"/>
      <c r="F204" s="2">
        <v>0</v>
      </c>
      <c r="G204" s="2">
        <v>0</v>
      </c>
      <c r="H204" s="2">
        <v>0</v>
      </c>
      <c r="I204" s="2">
        <v>0</v>
      </c>
      <c r="J204" s="2"/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 t="s">
        <v>3201</v>
      </c>
      <c r="R204" s="2" t="s">
        <v>3201</v>
      </c>
      <c r="S204" s="4">
        <v>44951</v>
      </c>
    </row>
    <row r="205" spans="1:19" ht="12.5" x14ac:dyDescent="0.25">
      <c r="A205" s="14" t="str">
        <f>HYPERLINK("https://gerandofalcoes.my.salesforce.com/0014X00002YggjEQAR", "0014X00002YggjEQAR")</f>
        <v>0014X00002YggjEQAR</v>
      </c>
      <c r="B205" s="2" t="s">
        <v>3235</v>
      </c>
      <c r="C205" s="2" t="s">
        <v>423</v>
      </c>
      <c r="D205" s="2" t="s">
        <v>2</v>
      </c>
      <c r="E205" s="2"/>
      <c r="F205" s="2">
        <v>5</v>
      </c>
      <c r="G205" s="2">
        <v>3</v>
      </c>
      <c r="H205" s="2">
        <v>238000</v>
      </c>
      <c r="I205" s="2">
        <v>340</v>
      </c>
      <c r="J205" s="2"/>
      <c r="K205" s="2">
        <v>43</v>
      </c>
      <c r="L205" s="2">
        <v>0</v>
      </c>
      <c r="M205" s="2">
        <v>5</v>
      </c>
      <c r="N205" s="2">
        <v>8</v>
      </c>
      <c r="O205" s="2">
        <v>15</v>
      </c>
      <c r="P205" s="2">
        <v>15</v>
      </c>
      <c r="Q205" s="2" t="s">
        <v>3236</v>
      </c>
      <c r="R205" s="2" t="s">
        <v>3237</v>
      </c>
      <c r="S205" s="4">
        <v>44952</v>
      </c>
    </row>
    <row r="206" spans="1:19" ht="12.5" x14ac:dyDescent="0.25">
      <c r="A206" s="14" t="str">
        <f>HYPERLINK("https://gerandofalcoes.my.salesforce.com/0014X00002YgggZQAR", "0014X00002YgggZQAR")</f>
        <v>0014X00002YgggZQAR</v>
      </c>
      <c r="B206" s="2" t="s">
        <v>3278</v>
      </c>
      <c r="C206" s="2" t="s">
        <v>423</v>
      </c>
      <c r="D206" s="2" t="s">
        <v>2</v>
      </c>
      <c r="E206" s="2"/>
      <c r="F206" s="2">
        <v>7</v>
      </c>
      <c r="G206" s="2">
        <v>3</v>
      </c>
      <c r="H206" s="2">
        <v>116906</v>
      </c>
      <c r="I206" s="2">
        <v>110</v>
      </c>
      <c r="J206" s="2"/>
      <c r="K206" s="2">
        <v>43</v>
      </c>
      <c r="L206" s="2">
        <v>0</v>
      </c>
      <c r="M206" s="2">
        <v>10</v>
      </c>
      <c r="N206" s="2">
        <v>8</v>
      </c>
      <c r="O206" s="2">
        <v>15</v>
      </c>
      <c r="P206" s="2">
        <v>10</v>
      </c>
      <c r="Q206" s="2" t="s">
        <v>3279</v>
      </c>
      <c r="R206" s="2" t="s">
        <v>3280</v>
      </c>
      <c r="S206" s="4">
        <v>44952</v>
      </c>
    </row>
    <row r="207" spans="1:19" ht="12.5" x14ac:dyDescent="0.25">
      <c r="A207" s="14" t="str">
        <f>HYPERLINK("https://gerandofalcoes.my.salesforce.com/0014X00002YgglrQAB", "0014X00002YgglrQAB")</f>
        <v>0014X00002YgglrQAB</v>
      </c>
      <c r="B207" s="2" t="s">
        <v>7174</v>
      </c>
      <c r="C207" s="2" t="s">
        <v>423</v>
      </c>
      <c r="D207" s="2" t="s">
        <v>2</v>
      </c>
      <c r="E207" s="2"/>
      <c r="F207" s="2">
        <v>0</v>
      </c>
      <c r="G207" s="2">
        <v>5</v>
      </c>
      <c r="H207" s="2">
        <v>10000</v>
      </c>
      <c r="I207" s="2">
        <v>0</v>
      </c>
      <c r="J207" s="2"/>
      <c r="K207" s="2">
        <v>15</v>
      </c>
      <c r="L207" s="2">
        <v>0</v>
      </c>
      <c r="M207" s="2">
        <v>0</v>
      </c>
      <c r="N207" s="2">
        <v>10</v>
      </c>
      <c r="O207" s="2">
        <v>5</v>
      </c>
      <c r="P207" s="2">
        <v>0</v>
      </c>
      <c r="Q207" s="2" t="s">
        <v>3385</v>
      </c>
      <c r="R207" s="2" t="s">
        <v>3386</v>
      </c>
      <c r="S207" s="4">
        <v>44953</v>
      </c>
    </row>
    <row r="208" spans="1:19" ht="12.5" x14ac:dyDescent="0.25">
      <c r="A208" s="14" t="str">
        <f>HYPERLINK("https://gerandofalcoes.my.salesforce.com/0014X00002YggnXQAR", "0014X00002YggnXQAR")</f>
        <v>0014X00002YggnXQAR</v>
      </c>
      <c r="B208" s="2" t="s">
        <v>3387</v>
      </c>
      <c r="C208" s="2" t="s">
        <v>423</v>
      </c>
      <c r="D208" s="2" t="s">
        <v>2</v>
      </c>
      <c r="E208" s="2"/>
      <c r="F208" s="2">
        <v>4</v>
      </c>
      <c r="G208" s="2">
        <v>3</v>
      </c>
      <c r="H208" s="2">
        <v>120</v>
      </c>
      <c r="I208" s="2">
        <v>0</v>
      </c>
      <c r="J208" s="2"/>
      <c r="K208" s="2">
        <v>18</v>
      </c>
      <c r="L208" s="2">
        <v>0</v>
      </c>
      <c r="M208" s="2">
        <v>5</v>
      </c>
      <c r="N208" s="2">
        <v>8</v>
      </c>
      <c r="O208" s="2">
        <v>5</v>
      </c>
      <c r="P208" s="2">
        <v>0</v>
      </c>
      <c r="Q208" s="2" t="s">
        <v>7163</v>
      </c>
      <c r="R208" s="2" t="s">
        <v>7163</v>
      </c>
      <c r="S208" s="4">
        <v>44953</v>
      </c>
    </row>
    <row r="209" spans="1:19" ht="12.5" x14ac:dyDescent="0.25">
      <c r="A209" s="14" t="str">
        <f>HYPERLINK("https://gerandofalcoes.my.salesforce.com/0014X00002YggpuQAB", "0014X00002YggpuQAB")</f>
        <v>0014X00002YggpuQAB</v>
      </c>
      <c r="B209" s="2" t="s">
        <v>3555</v>
      </c>
      <c r="C209" s="2" t="s">
        <v>423</v>
      </c>
      <c r="D209" s="2" t="s">
        <v>2</v>
      </c>
      <c r="E209" s="2"/>
      <c r="F209" s="2">
        <v>0</v>
      </c>
      <c r="G209" s="2">
        <v>3</v>
      </c>
      <c r="H209" s="2">
        <v>864</v>
      </c>
      <c r="I209" s="2">
        <v>70</v>
      </c>
      <c r="J209" s="2"/>
      <c r="K209" s="2">
        <v>18</v>
      </c>
      <c r="L209" s="2">
        <v>0</v>
      </c>
      <c r="M209" s="2">
        <v>0</v>
      </c>
      <c r="N209" s="2">
        <v>8</v>
      </c>
      <c r="O209" s="2">
        <v>5</v>
      </c>
      <c r="P209" s="2">
        <v>5</v>
      </c>
      <c r="Q209" s="2" t="s">
        <v>3556</v>
      </c>
      <c r="R209" s="2" t="s">
        <v>3557</v>
      </c>
      <c r="S209" s="4">
        <v>44959</v>
      </c>
    </row>
    <row r="210" spans="1:19" ht="12.5" x14ac:dyDescent="0.25">
      <c r="A210" s="14" t="str">
        <f>HYPERLINK("https://gerandofalcoes.my.salesforce.com/0014X00002YggmbQAB", "0014X00002YggmbQAB")</f>
        <v>0014X00002YggmbQAB</v>
      </c>
      <c r="B210" s="2" t="s">
        <v>3586</v>
      </c>
      <c r="C210" s="2" t="s">
        <v>423</v>
      </c>
      <c r="D210" s="2" t="s">
        <v>2</v>
      </c>
      <c r="E210" s="2"/>
      <c r="F210" s="2">
        <v>1</v>
      </c>
      <c r="G210" s="2">
        <v>4</v>
      </c>
      <c r="H210" s="2">
        <v>24000</v>
      </c>
      <c r="I210" s="2">
        <v>15</v>
      </c>
      <c r="J210" s="2"/>
      <c r="K210" s="2">
        <v>25</v>
      </c>
      <c r="L210" s="2">
        <v>0</v>
      </c>
      <c r="M210" s="2">
        <v>5</v>
      </c>
      <c r="N210" s="2">
        <v>10</v>
      </c>
      <c r="O210" s="2">
        <v>5</v>
      </c>
      <c r="P210" s="2">
        <v>5</v>
      </c>
      <c r="Q210" s="2" t="s">
        <v>3587</v>
      </c>
      <c r="R210" s="2" t="s">
        <v>3587</v>
      </c>
      <c r="S210" s="4">
        <v>44961</v>
      </c>
    </row>
    <row r="211" spans="1:19" ht="12.5" x14ac:dyDescent="0.25">
      <c r="A211" s="14" t="str">
        <f>HYPERLINK("https://gerandofalcoes.my.salesforce.com/0014X00002YggkzQAB", "0014X00002YggkzQAB")</f>
        <v>0014X00002YggkzQAB</v>
      </c>
      <c r="B211" s="2" t="s">
        <v>3637</v>
      </c>
      <c r="C211" s="2" t="s">
        <v>423</v>
      </c>
      <c r="D211" s="2" t="s">
        <v>2</v>
      </c>
      <c r="E211" s="2"/>
      <c r="F211" s="2">
        <v>0</v>
      </c>
      <c r="G211" s="2">
        <v>3</v>
      </c>
      <c r="H211" s="2">
        <v>3410</v>
      </c>
      <c r="I211" s="2">
        <v>0</v>
      </c>
      <c r="J211" s="2"/>
      <c r="K211" s="2">
        <v>13</v>
      </c>
      <c r="L211" s="2">
        <v>0</v>
      </c>
      <c r="M211" s="2">
        <v>0</v>
      </c>
      <c r="N211" s="2">
        <v>8</v>
      </c>
      <c r="O211" s="2">
        <v>5</v>
      </c>
      <c r="P211" s="2">
        <v>0</v>
      </c>
      <c r="Q211" s="2" t="s">
        <v>3638</v>
      </c>
      <c r="R211" s="2" t="s">
        <v>3639</v>
      </c>
      <c r="S211" s="4">
        <v>44963</v>
      </c>
    </row>
    <row r="212" spans="1:19" ht="12.5" x14ac:dyDescent="0.25">
      <c r="A212" s="14" t="str">
        <f>HYPERLINK("https://gerandofalcoes.my.salesforce.com/0014X00002YggnEQAR", "0014X00002YggnEQAR")</f>
        <v>0014X00002YggnEQAR</v>
      </c>
      <c r="B212" s="2" t="s">
        <v>3673</v>
      </c>
      <c r="C212" s="2" t="s">
        <v>423</v>
      </c>
      <c r="D212" s="2" t="s">
        <v>2</v>
      </c>
      <c r="E212" s="2"/>
      <c r="F212" s="2">
        <v>4</v>
      </c>
      <c r="G212" s="2">
        <v>2</v>
      </c>
      <c r="H212" s="2">
        <v>10000</v>
      </c>
      <c r="I212" s="2">
        <v>60</v>
      </c>
      <c r="J212" s="2"/>
      <c r="K212" s="2">
        <v>21</v>
      </c>
      <c r="L212" s="2">
        <v>0</v>
      </c>
      <c r="M212" s="2">
        <v>5</v>
      </c>
      <c r="N212" s="2">
        <v>6</v>
      </c>
      <c r="O212" s="2">
        <v>5</v>
      </c>
      <c r="P212" s="2">
        <v>5</v>
      </c>
      <c r="Q212" s="2" t="s">
        <v>3674</v>
      </c>
      <c r="R212" s="2" t="s">
        <v>3674</v>
      </c>
      <c r="S212" s="4">
        <v>44964</v>
      </c>
    </row>
    <row r="213" spans="1:19" ht="12.5" x14ac:dyDescent="0.25">
      <c r="A213" s="14" t="str">
        <f>HYPERLINK("https://gerandofalcoes.my.salesforce.com/0014X00002Yggj7QAB", "0014X00002Yggj7QAB")</f>
        <v>0014X00002Yggj7QAB</v>
      </c>
      <c r="B213" s="2" t="s">
        <v>3650</v>
      </c>
      <c r="C213" s="2" t="s">
        <v>423</v>
      </c>
      <c r="D213" s="2" t="s">
        <v>2</v>
      </c>
      <c r="E213" s="2"/>
      <c r="F213" s="2">
        <v>0</v>
      </c>
      <c r="G213" s="2">
        <v>2</v>
      </c>
      <c r="H213" s="2">
        <v>90000</v>
      </c>
      <c r="I213" s="2">
        <v>40</v>
      </c>
      <c r="J213" s="2"/>
      <c r="K213" s="2">
        <v>21</v>
      </c>
      <c r="L213" s="2">
        <v>0</v>
      </c>
      <c r="M213" s="2">
        <v>0</v>
      </c>
      <c r="N213" s="2">
        <v>6</v>
      </c>
      <c r="O213" s="2">
        <v>10</v>
      </c>
      <c r="P213" s="2">
        <v>5</v>
      </c>
      <c r="Q213" s="2" t="s">
        <v>3651</v>
      </c>
      <c r="R213" s="2" t="s">
        <v>3651</v>
      </c>
      <c r="S213" s="4">
        <v>44964</v>
      </c>
    </row>
    <row r="214" spans="1:19" ht="12.5" x14ac:dyDescent="0.25">
      <c r="A214" s="14" t="str">
        <f>HYPERLINK("https://gerandofalcoes.my.salesforce.com/0014X00002YggjFQAR", "0014X00002YggjFQAR")</f>
        <v>0014X00002YggjFQAR</v>
      </c>
      <c r="B214" s="2" t="s">
        <v>3686</v>
      </c>
      <c r="C214" s="2" t="s">
        <v>423</v>
      </c>
      <c r="D214" s="2" t="s">
        <v>2</v>
      </c>
      <c r="E214" s="2"/>
      <c r="F214" s="2">
        <v>0</v>
      </c>
      <c r="G214" s="2">
        <v>2</v>
      </c>
      <c r="H214" s="2">
        <v>0</v>
      </c>
      <c r="I214" s="2">
        <v>0</v>
      </c>
      <c r="J214" s="2"/>
      <c r="K214" s="2">
        <v>6</v>
      </c>
      <c r="L214" s="2">
        <v>0</v>
      </c>
      <c r="M214" s="2">
        <v>0</v>
      </c>
      <c r="N214" s="2">
        <v>6</v>
      </c>
      <c r="O214" s="2">
        <v>0</v>
      </c>
      <c r="P214" s="2">
        <v>0</v>
      </c>
      <c r="Q214" s="2" t="s">
        <v>3687</v>
      </c>
      <c r="R214" s="2" t="s">
        <v>3688</v>
      </c>
      <c r="S214" s="4">
        <v>44964</v>
      </c>
    </row>
    <row r="215" spans="1:19" ht="12.5" x14ac:dyDescent="0.25">
      <c r="A215" s="14" t="str">
        <f>HYPERLINK("https://gerandofalcoes.my.salesforce.com/0014X00002YggmvQAB", "0014X00002YggmvQAB")</f>
        <v>0014X00002YggmvQAB</v>
      </c>
      <c r="B215" s="2" t="s">
        <v>3654</v>
      </c>
      <c r="C215" s="2" t="s">
        <v>423</v>
      </c>
      <c r="D215" s="2" t="s">
        <v>2</v>
      </c>
      <c r="E215" s="2"/>
      <c r="F215" s="2">
        <v>0</v>
      </c>
      <c r="G215" s="2">
        <v>2</v>
      </c>
      <c r="H215" s="2">
        <v>17500000</v>
      </c>
      <c r="I215" s="2">
        <v>84</v>
      </c>
      <c r="J215" s="2"/>
      <c r="K215" s="2">
        <v>41</v>
      </c>
      <c r="L215" s="2">
        <v>0</v>
      </c>
      <c r="M215" s="2">
        <v>0</v>
      </c>
      <c r="N215" s="2">
        <v>6</v>
      </c>
      <c r="O215" s="2">
        <v>25</v>
      </c>
      <c r="P215" s="2">
        <v>10</v>
      </c>
      <c r="Q215" s="2" t="s">
        <v>3655</v>
      </c>
      <c r="R215" s="2" t="s">
        <v>3656</v>
      </c>
      <c r="S215" s="4">
        <v>44964</v>
      </c>
    </row>
    <row r="216" spans="1:19" ht="12.5" x14ac:dyDescent="0.25">
      <c r="A216" s="14" t="str">
        <f>HYPERLINK("https://gerandofalcoes.my.salesforce.com/0014X00002YggpeQAB", "0014X00002YggpeQAB")</f>
        <v>0014X00002YggpeQAB</v>
      </c>
      <c r="B216" s="2" t="s">
        <v>3670</v>
      </c>
      <c r="C216" s="2" t="s">
        <v>423</v>
      </c>
      <c r="D216" s="2" t="s">
        <v>2</v>
      </c>
      <c r="E216" s="2"/>
      <c r="F216" s="2">
        <v>0</v>
      </c>
      <c r="G216" s="2">
        <v>4</v>
      </c>
      <c r="H216" s="2">
        <v>32100</v>
      </c>
      <c r="I216" s="2">
        <v>0</v>
      </c>
      <c r="J216" s="2"/>
      <c r="K216" s="2">
        <v>20</v>
      </c>
      <c r="L216" s="2">
        <v>0</v>
      </c>
      <c r="M216" s="2">
        <v>0</v>
      </c>
      <c r="N216" s="2">
        <v>10</v>
      </c>
      <c r="O216" s="2">
        <v>10</v>
      </c>
      <c r="P216" s="2">
        <v>0</v>
      </c>
      <c r="Q216" s="2" t="s">
        <v>3671</v>
      </c>
      <c r="R216" s="2" t="s">
        <v>7149</v>
      </c>
      <c r="S216" s="4">
        <v>44964</v>
      </c>
    </row>
    <row r="217" spans="1:19" ht="12.5" x14ac:dyDescent="0.25">
      <c r="A217" s="14" t="str">
        <f>HYPERLINK("https://gerandofalcoes.my.salesforce.com/0014X00002Yggo4QAB", "0014X00002Yggo4QAB")</f>
        <v>0014X00002Yggo4QAB</v>
      </c>
      <c r="B217" s="2" t="s">
        <v>3707</v>
      </c>
      <c r="C217" s="2" t="s">
        <v>423</v>
      </c>
      <c r="D217" s="2" t="s">
        <v>2</v>
      </c>
      <c r="E217" s="2"/>
      <c r="F217" s="2">
        <v>0</v>
      </c>
      <c r="G217" s="2">
        <v>3</v>
      </c>
      <c r="H217" s="2">
        <v>3000</v>
      </c>
      <c r="I217" s="2">
        <v>0</v>
      </c>
      <c r="J217" s="2"/>
      <c r="K217" s="2">
        <v>13</v>
      </c>
      <c r="L217" s="2">
        <v>0</v>
      </c>
      <c r="M217" s="2">
        <v>0</v>
      </c>
      <c r="N217" s="2">
        <v>8</v>
      </c>
      <c r="O217" s="2">
        <v>5</v>
      </c>
      <c r="P217" s="2">
        <v>0</v>
      </c>
      <c r="Q217" s="2" t="s">
        <v>3708</v>
      </c>
      <c r="R217" s="2" t="s">
        <v>3708</v>
      </c>
      <c r="S217" s="4">
        <v>44967</v>
      </c>
    </row>
    <row r="218" spans="1:19" ht="12.5" x14ac:dyDescent="0.25">
      <c r="A218" s="14" t="str">
        <f>HYPERLINK("https://gerandofalcoes.my.salesforce.com/0014X00002YgggVQAR", "0014X00002YgggVQAR")</f>
        <v>0014X00002YgggVQAR</v>
      </c>
      <c r="B218" s="2" t="s">
        <v>3731</v>
      </c>
      <c r="C218" s="2" t="s">
        <v>423</v>
      </c>
      <c r="D218" s="2" t="s">
        <v>2</v>
      </c>
      <c r="E218" s="2"/>
      <c r="F218" s="2">
        <v>2</v>
      </c>
      <c r="G218" s="2">
        <v>2</v>
      </c>
      <c r="H218" s="2">
        <v>150000</v>
      </c>
      <c r="I218" s="2">
        <v>250</v>
      </c>
      <c r="J218" s="2"/>
      <c r="K218" s="2">
        <v>38</v>
      </c>
      <c r="L218" s="2">
        <v>0</v>
      </c>
      <c r="M218" s="2">
        <v>5</v>
      </c>
      <c r="N218" s="2">
        <v>6</v>
      </c>
      <c r="O218" s="2">
        <v>15</v>
      </c>
      <c r="P218" s="2">
        <v>12</v>
      </c>
      <c r="Q218" s="2" t="s">
        <v>3732</v>
      </c>
      <c r="R218" s="2" t="s">
        <v>3732</v>
      </c>
      <c r="S218" s="4">
        <v>44967</v>
      </c>
    </row>
    <row r="219" spans="1:19" ht="12.5" x14ac:dyDescent="0.25">
      <c r="A219" s="14" t="str">
        <f>HYPERLINK("https://gerandofalcoes.my.salesforce.com/0014X00002Yggr5QAB", "0014X00002Yggr5QAB")</f>
        <v>0014X00002Yggr5QAB</v>
      </c>
      <c r="B219" s="2" t="s">
        <v>3779</v>
      </c>
      <c r="C219" s="2" t="s">
        <v>423</v>
      </c>
      <c r="D219" s="2" t="s">
        <v>2</v>
      </c>
      <c r="E219" s="2"/>
      <c r="F219" s="2">
        <v>3</v>
      </c>
      <c r="G219" s="2">
        <v>2</v>
      </c>
      <c r="H219" s="2">
        <v>24000</v>
      </c>
      <c r="I219" s="2">
        <v>0</v>
      </c>
      <c r="J219" s="2"/>
      <c r="K219" s="2">
        <v>16</v>
      </c>
      <c r="L219" s="2">
        <v>0</v>
      </c>
      <c r="M219" s="2">
        <v>5</v>
      </c>
      <c r="N219" s="2">
        <v>6</v>
      </c>
      <c r="O219" s="2">
        <v>5</v>
      </c>
      <c r="P219" s="2">
        <v>0</v>
      </c>
      <c r="Q219" s="2" t="s">
        <v>3780</v>
      </c>
      <c r="R219" s="2" t="s">
        <v>3780</v>
      </c>
      <c r="S219" s="4">
        <v>44968</v>
      </c>
    </row>
    <row r="220" spans="1:19" ht="12.5" x14ac:dyDescent="0.25">
      <c r="A220" s="14" t="str">
        <f>HYPERLINK("https://gerandofalcoes.my.salesforce.com/0014X00002YggitQAB", "0014X00002YggitQAB")</f>
        <v>0014X00002YggitQAB</v>
      </c>
      <c r="B220" s="2" t="s">
        <v>3781</v>
      </c>
      <c r="C220" s="2" t="s">
        <v>423</v>
      </c>
      <c r="D220" s="2" t="s">
        <v>2</v>
      </c>
      <c r="E220" s="2"/>
      <c r="F220" s="2">
        <v>0</v>
      </c>
      <c r="G220" s="2">
        <v>2</v>
      </c>
      <c r="H220" s="2">
        <v>0</v>
      </c>
      <c r="I220" s="2">
        <v>40</v>
      </c>
      <c r="J220" s="2"/>
      <c r="K220" s="2">
        <v>11</v>
      </c>
      <c r="L220" s="2">
        <v>0</v>
      </c>
      <c r="M220" s="2">
        <v>0</v>
      </c>
      <c r="N220" s="2">
        <v>6</v>
      </c>
      <c r="O220" s="2">
        <v>0</v>
      </c>
      <c r="P220" s="2">
        <v>5</v>
      </c>
      <c r="Q220" s="2" t="s">
        <v>3782</v>
      </c>
      <c r="R220" s="2" t="s">
        <v>3783</v>
      </c>
      <c r="S220" s="4">
        <v>44968</v>
      </c>
    </row>
    <row r="221" spans="1:19" ht="12.5" x14ac:dyDescent="0.25">
      <c r="A221" s="14" t="str">
        <f>HYPERLINK("https://gerandofalcoes.my.salesforce.com/0014X00002cUXt4QAG", "0014X00002cUXt4QAG")</f>
        <v>0014X00002cUXt4QAG</v>
      </c>
      <c r="B221" s="2" t="s">
        <v>3812</v>
      </c>
      <c r="C221" s="2"/>
      <c r="D221" s="2" t="s">
        <v>2</v>
      </c>
      <c r="E221" s="2">
        <v>10</v>
      </c>
      <c r="F221" s="2">
        <v>0</v>
      </c>
      <c r="G221" s="2">
        <v>0</v>
      </c>
      <c r="H221" s="2">
        <v>0</v>
      </c>
      <c r="I221" s="2">
        <v>10</v>
      </c>
      <c r="J221" s="2" t="s">
        <v>1671</v>
      </c>
      <c r="K221" s="2">
        <v>15</v>
      </c>
      <c r="L221" s="2">
        <v>10</v>
      </c>
      <c r="M221" s="2">
        <v>0</v>
      </c>
      <c r="N221" s="2">
        <v>0</v>
      </c>
      <c r="O221" s="2">
        <v>0</v>
      </c>
      <c r="P221" s="2">
        <v>5</v>
      </c>
      <c r="Q221" s="2" t="s">
        <v>3813</v>
      </c>
      <c r="R221" s="2" t="s">
        <v>3814</v>
      </c>
      <c r="S221" s="4">
        <v>44991</v>
      </c>
    </row>
    <row r="222" spans="1:19" ht="12.5" x14ac:dyDescent="0.25">
      <c r="A222" s="14" t="str">
        <f>HYPERLINK("https://gerandofalcoes.my.salesforce.com/0014X00002YkLeFQAV", "0014X00002YkLeFQAV")</f>
        <v>0014X00002YkLeFQAV</v>
      </c>
      <c r="B222" s="2" t="s">
        <v>3829</v>
      </c>
      <c r="C222" s="2" t="s">
        <v>423</v>
      </c>
      <c r="D222" s="2" t="s">
        <v>2</v>
      </c>
      <c r="E222" s="2">
        <v>17.97</v>
      </c>
      <c r="F222" s="2">
        <v>1</v>
      </c>
      <c r="G222" s="2">
        <v>0</v>
      </c>
      <c r="H222" s="2">
        <v>0</v>
      </c>
      <c r="I222" s="2">
        <v>1</v>
      </c>
      <c r="J222" s="2" t="s">
        <v>1779</v>
      </c>
      <c r="K222" s="2">
        <v>20</v>
      </c>
      <c r="L222" s="2">
        <v>10</v>
      </c>
      <c r="M222" s="2">
        <v>5</v>
      </c>
      <c r="N222" s="2">
        <v>0</v>
      </c>
      <c r="O222" s="2">
        <v>0</v>
      </c>
      <c r="P222" s="2">
        <v>5</v>
      </c>
      <c r="Q222" s="2" t="s">
        <v>3830</v>
      </c>
      <c r="R222" s="2" t="s">
        <v>3830</v>
      </c>
      <c r="S222" s="4">
        <v>45015</v>
      </c>
    </row>
    <row r="223" spans="1:19" ht="12.5" x14ac:dyDescent="0.25">
      <c r="A223" s="14" t="str">
        <f>HYPERLINK("https://gerandofalcoes.my.salesforce.com/0014X00002YggoGQAR", "0014X00002YggoGQAR")</f>
        <v>0014X00002YggoGQAR</v>
      </c>
      <c r="B223" s="2" t="s">
        <v>3028</v>
      </c>
      <c r="C223" s="2" t="s">
        <v>423</v>
      </c>
      <c r="D223" s="2" t="s">
        <v>2</v>
      </c>
      <c r="E223" s="2"/>
      <c r="F223" s="2">
        <v>12</v>
      </c>
      <c r="G223" s="2">
        <v>3</v>
      </c>
      <c r="H223" s="2">
        <v>3000</v>
      </c>
      <c r="I223" s="2">
        <v>40</v>
      </c>
      <c r="J223" s="2"/>
      <c r="K223" s="2">
        <v>30</v>
      </c>
      <c r="L223" s="2">
        <v>0</v>
      </c>
      <c r="M223" s="2">
        <v>12</v>
      </c>
      <c r="N223" s="2">
        <v>8</v>
      </c>
      <c r="O223" s="2">
        <v>5</v>
      </c>
      <c r="P223" s="2">
        <v>5</v>
      </c>
      <c r="Q223" s="2" t="s">
        <v>3029</v>
      </c>
      <c r="R223" s="2" t="s">
        <v>3030</v>
      </c>
      <c r="S223" s="4">
        <v>44945</v>
      </c>
    </row>
    <row r="224" spans="1:19" ht="12.5" x14ac:dyDescent="0.25">
      <c r="A224" s="14" t="str">
        <f>HYPERLINK("https://gerandofalcoes.my.salesforce.com/0014X00002YggqVQAR", "0014X00002YggqVQAR")</f>
        <v>0014X00002YggqVQAR</v>
      </c>
      <c r="B224" s="2" t="s">
        <v>3013</v>
      </c>
      <c r="C224" s="2" t="s">
        <v>423</v>
      </c>
      <c r="D224" s="2" t="s">
        <v>2</v>
      </c>
      <c r="E224" s="2"/>
      <c r="F224" s="2">
        <v>1</v>
      </c>
      <c r="G224" s="2">
        <v>3</v>
      </c>
      <c r="H224" s="2">
        <v>12000</v>
      </c>
      <c r="I224" s="2">
        <v>40</v>
      </c>
      <c r="J224" s="2"/>
      <c r="K224" s="2">
        <v>23</v>
      </c>
      <c r="L224" s="2">
        <v>0</v>
      </c>
      <c r="M224" s="2">
        <v>5</v>
      </c>
      <c r="N224" s="2">
        <v>8</v>
      </c>
      <c r="O224" s="2">
        <v>5</v>
      </c>
      <c r="P224" s="2">
        <v>5</v>
      </c>
      <c r="Q224" s="2" t="s">
        <v>3014</v>
      </c>
      <c r="R224" s="2" t="s">
        <v>3015</v>
      </c>
      <c r="S224" s="4">
        <v>44945</v>
      </c>
    </row>
    <row r="225" spans="1:19" ht="12.5" x14ac:dyDescent="0.25">
      <c r="A225" s="14" t="str">
        <f>HYPERLINK("https://gerandofalcoes.my.salesforce.com/0014X00002YggmOQAR", "0014X00002YggmOQAR")</f>
        <v>0014X00002YggmOQAR</v>
      </c>
      <c r="B225" s="2" t="s">
        <v>3818</v>
      </c>
      <c r="C225" s="2" t="s">
        <v>423</v>
      </c>
      <c r="D225" s="2" t="s">
        <v>2</v>
      </c>
      <c r="E225" s="2"/>
      <c r="F225" s="2">
        <v>4</v>
      </c>
      <c r="G225" s="2">
        <v>200</v>
      </c>
      <c r="H225" s="2">
        <v>3000</v>
      </c>
      <c r="I225" s="2">
        <v>200</v>
      </c>
      <c r="J225" s="2"/>
      <c r="K225" s="2">
        <v>32</v>
      </c>
      <c r="L225" s="2">
        <v>0</v>
      </c>
      <c r="M225" s="2">
        <v>5</v>
      </c>
      <c r="N225" s="2">
        <v>10</v>
      </c>
      <c r="O225" s="2">
        <v>5</v>
      </c>
      <c r="P225" s="2">
        <v>12</v>
      </c>
      <c r="Q225" s="2" t="s">
        <v>3819</v>
      </c>
      <c r="R225" s="2" t="s">
        <v>3820</v>
      </c>
      <c r="S225" s="4">
        <v>44992</v>
      </c>
    </row>
    <row r="226" spans="1:19" ht="12.5" x14ac:dyDescent="0.25">
      <c r="A226" s="14" t="str">
        <f>HYPERLINK("https://gerandofalcoes.my.salesforce.com/0014X00002YggnGQAR", "0014X00002YggnGQAR")</f>
        <v>0014X00002YggnGQAR</v>
      </c>
      <c r="B226" s="2" t="s">
        <v>3173</v>
      </c>
      <c r="C226" s="2" t="s">
        <v>423</v>
      </c>
      <c r="D226" s="2" t="s">
        <v>2</v>
      </c>
      <c r="E226" s="2"/>
      <c r="F226" s="2">
        <v>0</v>
      </c>
      <c r="G226" s="2">
        <v>3</v>
      </c>
      <c r="H226" s="2">
        <v>10000</v>
      </c>
      <c r="I226" s="2">
        <v>0</v>
      </c>
      <c r="J226" s="2"/>
      <c r="K226" s="2">
        <v>13</v>
      </c>
      <c r="L226" s="2">
        <v>0</v>
      </c>
      <c r="M226" s="2">
        <v>0</v>
      </c>
      <c r="N226" s="2">
        <v>8</v>
      </c>
      <c r="O226" s="2">
        <v>5</v>
      </c>
      <c r="P226" s="2">
        <v>0</v>
      </c>
      <c r="Q226" s="2" t="s">
        <v>3174</v>
      </c>
      <c r="R226" s="2" t="s">
        <v>3175</v>
      </c>
      <c r="S226" s="4">
        <v>44950</v>
      </c>
    </row>
    <row r="227" spans="1:19" ht="12.5" x14ac:dyDescent="0.25">
      <c r="A227" s="14" t="str">
        <f>HYPERLINK("https://gerandofalcoes.my.salesforce.com/0014X00002YggouQAB", "0014X00002YggouQAB")</f>
        <v>0014X00002YggouQAB</v>
      </c>
      <c r="B227" s="2" t="s">
        <v>5909</v>
      </c>
      <c r="C227" s="2" t="s">
        <v>423</v>
      </c>
      <c r="D227" s="2" t="s">
        <v>2</v>
      </c>
      <c r="E227" s="2"/>
      <c r="F227" s="2">
        <v>0</v>
      </c>
      <c r="G227" s="2">
        <v>2</v>
      </c>
      <c r="H227" s="2">
        <v>15000</v>
      </c>
      <c r="I227" s="2">
        <v>100</v>
      </c>
      <c r="J227" s="2"/>
      <c r="K227" s="2">
        <v>21</v>
      </c>
      <c r="L227" s="2">
        <v>0</v>
      </c>
      <c r="M227" s="2">
        <v>0</v>
      </c>
      <c r="N227" s="2">
        <v>6</v>
      </c>
      <c r="O227" s="2">
        <v>5</v>
      </c>
      <c r="P227" s="2">
        <v>10</v>
      </c>
      <c r="Q227" s="2" t="s">
        <v>3177</v>
      </c>
      <c r="R227" s="2" t="s">
        <v>3178</v>
      </c>
      <c r="S227" s="4">
        <v>44951</v>
      </c>
    </row>
    <row r="228" spans="1:19" ht="12.5" x14ac:dyDescent="0.25">
      <c r="A228" s="14" t="str">
        <f>HYPERLINK("https://gerandofalcoes.my.salesforce.com/0014X00002YggnKQAR", "0014X00002YggnKQAR")</f>
        <v>0014X00002YggnKQAR</v>
      </c>
      <c r="B228" s="2" t="s">
        <v>3207</v>
      </c>
      <c r="C228" s="2" t="s">
        <v>423</v>
      </c>
      <c r="D228" s="2" t="s">
        <v>2</v>
      </c>
      <c r="E228" s="2"/>
      <c r="F228" s="2">
        <v>0</v>
      </c>
      <c r="G228" s="2">
        <v>4</v>
      </c>
      <c r="H228" s="2">
        <v>83242522</v>
      </c>
      <c r="I228" s="2">
        <v>1117</v>
      </c>
      <c r="J228" s="2"/>
      <c r="K228" s="2">
        <v>55</v>
      </c>
      <c r="L228" s="2">
        <v>0</v>
      </c>
      <c r="M228" s="2">
        <v>0</v>
      </c>
      <c r="N228" s="2">
        <v>10</v>
      </c>
      <c r="O228" s="2">
        <v>25</v>
      </c>
      <c r="P228" s="2">
        <v>20</v>
      </c>
      <c r="Q228" s="2" t="s">
        <v>3208</v>
      </c>
      <c r="R228" s="2" t="s">
        <v>3209</v>
      </c>
      <c r="S228" s="4">
        <v>44951</v>
      </c>
    </row>
    <row r="229" spans="1:19" ht="12.5" x14ac:dyDescent="0.25">
      <c r="A229" s="14" t="str">
        <f>HYPERLINK("https://gerandofalcoes.my.salesforce.com/0014X00002Yggh0QAB", "0014X00002Yggh0QAB")</f>
        <v>0014X00002Yggh0QAB</v>
      </c>
      <c r="B229" s="2" t="s">
        <v>3220</v>
      </c>
      <c r="C229" s="2" t="s">
        <v>423</v>
      </c>
      <c r="D229" s="2" t="s">
        <v>2</v>
      </c>
      <c r="E229" s="2"/>
      <c r="F229" s="2">
        <v>10</v>
      </c>
      <c r="G229" s="2">
        <v>2</v>
      </c>
      <c r="H229" s="2">
        <v>10000</v>
      </c>
      <c r="I229" s="2">
        <v>65</v>
      </c>
      <c r="J229" s="2"/>
      <c r="K229" s="2">
        <v>26</v>
      </c>
      <c r="L229" s="2">
        <v>0</v>
      </c>
      <c r="M229" s="2">
        <v>10</v>
      </c>
      <c r="N229" s="2">
        <v>6</v>
      </c>
      <c r="O229" s="2">
        <v>5</v>
      </c>
      <c r="P229" s="2">
        <v>5</v>
      </c>
      <c r="Q229" s="2" t="s">
        <v>3221</v>
      </c>
      <c r="R229" s="2" t="s">
        <v>3221</v>
      </c>
      <c r="S229" s="4">
        <v>44951</v>
      </c>
    </row>
    <row r="230" spans="1:19" ht="12.5" x14ac:dyDescent="0.25">
      <c r="A230" s="14" t="str">
        <f>HYPERLINK("https://gerandofalcoes.my.salesforce.com/0014X00002YggiUQAR", "0014X00002YggiUQAR")</f>
        <v>0014X00002YggiUQAR</v>
      </c>
      <c r="B230" s="2" t="s">
        <v>3230</v>
      </c>
      <c r="C230" s="2" t="s">
        <v>423</v>
      </c>
      <c r="D230" s="2" t="s">
        <v>2</v>
      </c>
      <c r="E230" s="2"/>
      <c r="F230" s="2">
        <v>0</v>
      </c>
      <c r="G230" s="2">
        <v>3</v>
      </c>
      <c r="H230" s="2">
        <v>15000</v>
      </c>
      <c r="I230" s="2">
        <v>0</v>
      </c>
      <c r="J230" s="2"/>
      <c r="K230" s="2">
        <v>13</v>
      </c>
      <c r="L230" s="2">
        <v>0</v>
      </c>
      <c r="M230" s="2">
        <v>0</v>
      </c>
      <c r="N230" s="2">
        <v>8</v>
      </c>
      <c r="O230" s="2">
        <v>5</v>
      </c>
      <c r="P230" s="2">
        <v>0</v>
      </c>
      <c r="Q230" s="2" t="s">
        <v>3231</v>
      </c>
      <c r="R230" s="2" t="s">
        <v>3231</v>
      </c>
      <c r="S230" s="4">
        <v>44951</v>
      </c>
    </row>
    <row r="231" spans="1:19" ht="12.5" x14ac:dyDescent="0.25">
      <c r="A231" s="14" t="str">
        <f>HYPERLINK("https://gerandofalcoes.my.salesforce.com/0014X00002Yggi6QAB", "0014X00002Yggi6QAB")</f>
        <v>0014X00002Yggi6QAB</v>
      </c>
      <c r="B231" s="2" t="s">
        <v>3185</v>
      </c>
      <c r="C231" s="2" t="s">
        <v>423</v>
      </c>
      <c r="D231" s="2" t="s">
        <v>2</v>
      </c>
      <c r="E231" s="2"/>
      <c r="F231" s="2">
        <v>0</v>
      </c>
      <c r="G231" s="2">
        <v>2</v>
      </c>
      <c r="H231" s="2">
        <v>5000</v>
      </c>
      <c r="I231" s="2">
        <v>10</v>
      </c>
      <c r="J231" s="2"/>
      <c r="K231" s="2">
        <v>16</v>
      </c>
      <c r="L231" s="2">
        <v>0</v>
      </c>
      <c r="M231" s="2">
        <v>0</v>
      </c>
      <c r="N231" s="2">
        <v>6</v>
      </c>
      <c r="O231" s="2">
        <v>5</v>
      </c>
      <c r="P231" s="2">
        <v>5</v>
      </c>
      <c r="Q231" s="2" t="s">
        <v>3186</v>
      </c>
      <c r="R231" s="2" t="s">
        <v>3187</v>
      </c>
      <c r="S231" s="4">
        <v>44951</v>
      </c>
    </row>
    <row r="232" spans="1:19" ht="12.5" x14ac:dyDescent="0.25">
      <c r="A232" s="14" t="str">
        <f>HYPERLINK("https://gerandofalcoes.my.salesforce.com/0014X00002YggjOQAR", "0014X00002YggjOQAR")</f>
        <v>0014X00002YggjOQAR</v>
      </c>
      <c r="B232" s="2" t="s">
        <v>2649</v>
      </c>
      <c r="C232" s="2" t="s">
        <v>423</v>
      </c>
      <c r="D232" s="2" t="s">
        <v>2</v>
      </c>
      <c r="E232" s="2"/>
      <c r="F232" s="2">
        <v>0</v>
      </c>
      <c r="G232" s="2">
        <v>6</v>
      </c>
      <c r="H232" s="2">
        <v>0</v>
      </c>
      <c r="I232" s="2">
        <v>0</v>
      </c>
      <c r="J232" s="2"/>
      <c r="K232" s="2">
        <v>10</v>
      </c>
      <c r="L232" s="2">
        <v>0</v>
      </c>
      <c r="M232" s="2">
        <v>0</v>
      </c>
      <c r="N232" s="2">
        <v>10</v>
      </c>
      <c r="O232" s="2">
        <v>0</v>
      </c>
      <c r="P232" s="2">
        <v>0</v>
      </c>
      <c r="Q232" s="2" t="s">
        <v>3194</v>
      </c>
      <c r="R232" s="2" t="s">
        <v>3194</v>
      </c>
      <c r="S232" s="4">
        <v>44951</v>
      </c>
    </row>
    <row r="233" spans="1:19" ht="12.5" x14ac:dyDescent="0.25">
      <c r="A233" s="14" t="str">
        <f>HYPERLINK("https://gerandofalcoes.my.salesforce.com/0014X00002YggpNQAR", "0014X00002YggpNQAR")</f>
        <v>0014X00002YggpNQAR</v>
      </c>
      <c r="B233" s="2" t="s">
        <v>3191</v>
      </c>
      <c r="C233" s="2" t="s">
        <v>423</v>
      </c>
      <c r="D233" s="2" t="s">
        <v>2</v>
      </c>
      <c r="E233" s="2"/>
      <c r="F233" s="2">
        <v>0</v>
      </c>
      <c r="G233" s="2">
        <v>2</v>
      </c>
      <c r="H233" s="2">
        <v>3500</v>
      </c>
      <c r="I233" s="2">
        <v>25</v>
      </c>
      <c r="J233" s="2"/>
      <c r="K233" s="2">
        <v>16</v>
      </c>
      <c r="L233" s="2">
        <v>0</v>
      </c>
      <c r="M233" s="2">
        <v>0</v>
      </c>
      <c r="N233" s="2">
        <v>6</v>
      </c>
      <c r="O233" s="2">
        <v>5</v>
      </c>
      <c r="P233" s="2">
        <v>5</v>
      </c>
      <c r="Q233" s="2" t="s">
        <v>3192</v>
      </c>
      <c r="R233" s="2" t="s">
        <v>3193</v>
      </c>
      <c r="S233" s="4">
        <v>44951</v>
      </c>
    </row>
    <row r="234" spans="1:19" ht="12.5" x14ac:dyDescent="0.25">
      <c r="A234" s="14" t="str">
        <f>HYPERLINK("https://gerandofalcoes.my.salesforce.com/0014X00002YgghvQAB", "0014X00002YgghvQAB")</f>
        <v>0014X00002YgghvQAB</v>
      </c>
      <c r="B234" s="2" t="s">
        <v>3179</v>
      </c>
      <c r="C234" s="2" t="s">
        <v>423</v>
      </c>
      <c r="D234" s="2" t="s">
        <v>2</v>
      </c>
      <c r="E234" s="2"/>
      <c r="F234" s="2">
        <v>18</v>
      </c>
      <c r="G234" s="2">
        <v>3</v>
      </c>
      <c r="H234" s="2">
        <v>100000</v>
      </c>
      <c r="I234" s="2">
        <v>850</v>
      </c>
      <c r="J234" s="2"/>
      <c r="K234" s="2">
        <v>55</v>
      </c>
      <c r="L234" s="2">
        <v>0</v>
      </c>
      <c r="M234" s="2">
        <v>12</v>
      </c>
      <c r="N234" s="2">
        <v>8</v>
      </c>
      <c r="O234" s="2">
        <v>15</v>
      </c>
      <c r="P234" s="2">
        <v>20</v>
      </c>
      <c r="Q234" s="2" t="s">
        <v>3180</v>
      </c>
      <c r="R234" s="2" t="s">
        <v>3181</v>
      </c>
      <c r="S234" s="4">
        <v>44951</v>
      </c>
    </row>
    <row r="235" spans="1:19" ht="12.5" x14ac:dyDescent="0.25">
      <c r="A235" s="14" t="str">
        <f>HYPERLINK("https://gerandofalcoes.my.salesforce.com/0014X00002YgglNQAR", "0014X00002YgglNQAR")</f>
        <v>0014X00002YgglNQAR</v>
      </c>
      <c r="B235" s="2" t="s">
        <v>3225</v>
      </c>
      <c r="C235" s="2" t="s">
        <v>423</v>
      </c>
      <c r="D235" s="2" t="s">
        <v>2</v>
      </c>
      <c r="E235" s="2"/>
      <c r="F235" s="2">
        <v>0</v>
      </c>
      <c r="G235" s="2">
        <v>2</v>
      </c>
      <c r="H235" s="2">
        <v>8000</v>
      </c>
      <c r="I235" s="2">
        <v>30</v>
      </c>
      <c r="J235" s="2"/>
      <c r="K235" s="2">
        <v>16</v>
      </c>
      <c r="L235" s="2">
        <v>0</v>
      </c>
      <c r="M235" s="2">
        <v>0</v>
      </c>
      <c r="N235" s="2">
        <v>6</v>
      </c>
      <c r="O235" s="2">
        <v>5</v>
      </c>
      <c r="P235" s="2">
        <v>5</v>
      </c>
      <c r="Q235" s="2" t="s">
        <v>3307</v>
      </c>
      <c r="R235" s="2" t="s">
        <v>3227</v>
      </c>
      <c r="S235" s="4">
        <v>44951</v>
      </c>
    </row>
    <row r="236" spans="1:19" ht="12.5" x14ac:dyDescent="0.25">
      <c r="A236" s="14" t="str">
        <f>HYPERLINK("https://gerandofalcoes.my.salesforce.com/0014X00002YggpRQAR", "0014X00002YggpRQAR")</f>
        <v>0014X00002YggpRQAR</v>
      </c>
      <c r="B236" s="2" t="s">
        <v>3294</v>
      </c>
      <c r="C236" s="2" t="s">
        <v>423</v>
      </c>
      <c r="D236" s="2" t="s">
        <v>2</v>
      </c>
      <c r="E236" s="2"/>
      <c r="F236" s="2">
        <v>1</v>
      </c>
      <c r="G236" s="2">
        <v>3</v>
      </c>
      <c r="H236" s="2">
        <v>200000</v>
      </c>
      <c r="I236" s="2">
        <v>0</v>
      </c>
      <c r="J236" s="2"/>
      <c r="K236" s="2">
        <v>28</v>
      </c>
      <c r="L236" s="2">
        <v>0</v>
      </c>
      <c r="M236" s="2">
        <v>5</v>
      </c>
      <c r="N236" s="2">
        <v>8</v>
      </c>
      <c r="O236" s="2">
        <v>15</v>
      </c>
      <c r="P236" s="2">
        <v>0</v>
      </c>
      <c r="Q236" s="2" t="s">
        <v>3295</v>
      </c>
      <c r="R236" s="2" t="s">
        <v>3295</v>
      </c>
      <c r="S236" s="4">
        <v>44952</v>
      </c>
    </row>
    <row r="237" spans="1:19" ht="12.5" x14ac:dyDescent="0.25">
      <c r="A237" s="14" t="str">
        <f>HYPERLINK("https://gerandofalcoes.my.salesforce.com/0014X00002Yggp7QAB", "0014X00002Yggp7QAB")</f>
        <v>0014X00002Yggp7QAB</v>
      </c>
      <c r="B237" s="2" t="s">
        <v>3250</v>
      </c>
      <c r="C237" s="2" t="s">
        <v>423</v>
      </c>
      <c r="D237" s="2" t="s">
        <v>2</v>
      </c>
      <c r="E237" s="2"/>
      <c r="F237" s="2">
        <v>0</v>
      </c>
      <c r="G237" s="2">
        <v>3</v>
      </c>
      <c r="H237" s="2">
        <v>45500</v>
      </c>
      <c r="I237" s="2">
        <v>500</v>
      </c>
      <c r="J237" s="2"/>
      <c r="K237" s="2">
        <v>38</v>
      </c>
      <c r="L237" s="2">
        <v>0</v>
      </c>
      <c r="M237" s="2">
        <v>0</v>
      </c>
      <c r="N237" s="2">
        <v>8</v>
      </c>
      <c r="O237" s="2">
        <v>10</v>
      </c>
      <c r="P237" s="2">
        <v>20</v>
      </c>
      <c r="Q237" s="2" t="s">
        <v>3251</v>
      </c>
      <c r="R237" s="2" t="s">
        <v>3252</v>
      </c>
      <c r="S237" s="4">
        <v>44952</v>
      </c>
    </row>
    <row r="238" spans="1:19" ht="12.5" x14ac:dyDescent="0.25">
      <c r="A238" s="14" t="str">
        <f>HYPERLINK("https://gerandofalcoes.my.salesforce.com/0014X00002YggpsQAB", "0014X00002YggpsQAB")</f>
        <v>0014X00002YggpsQAB</v>
      </c>
      <c r="B238" s="2" t="s">
        <v>3291</v>
      </c>
      <c r="C238" s="2" t="s">
        <v>423</v>
      </c>
      <c r="D238" s="2" t="s">
        <v>2</v>
      </c>
      <c r="E238" s="2"/>
      <c r="F238" s="2">
        <v>3</v>
      </c>
      <c r="G238" s="2">
        <v>2</v>
      </c>
      <c r="H238" s="2">
        <v>1000</v>
      </c>
      <c r="I238" s="2">
        <v>1</v>
      </c>
      <c r="J238" s="2"/>
      <c r="K238" s="2">
        <v>21</v>
      </c>
      <c r="L238" s="2">
        <v>0</v>
      </c>
      <c r="M238" s="2">
        <v>5</v>
      </c>
      <c r="N238" s="2">
        <v>6</v>
      </c>
      <c r="O238" s="2">
        <v>5</v>
      </c>
      <c r="P238" s="2">
        <v>5</v>
      </c>
      <c r="Q238" s="2" t="s">
        <v>3292</v>
      </c>
      <c r="R238" s="2" t="s">
        <v>3293</v>
      </c>
      <c r="S238" s="4">
        <v>44952</v>
      </c>
    </row>
    <row r="239" spans="1:19" ht="12.5" x14ac:dyDescent="0.25">
      <c r="A239" s="14" t="str">
        <f>HYPERLINK("https://gerandofalcoes.my.salesforce.com/0014X00002YggoSQAR", "0014X00002YggoSQAR")</f>
        <v>0014X00002YggoSQAR</v>
      </c>
      <c r="B239" s="2" t="s">
        <v>3238</v>
      </c>
      <c r="C239" s="2" t="s">
        <v>423</v>
      </c>
      <c r="D239" s="2" t="s">
        <v>2</v>
      </c>
      <c r="E239" s="2"/>
      <c r="F239" s="2">
        <v>15</v>
      </c>
      <c r="G239" s="2">
        <v>7</v>
      </c>
      <c r="H239" s="2">
        <v>3101114</v>
      </c>
      <c r="I239" s="2">
        <v>145</v>
      </c>
      <c r="J239" s="2"/>
      <c r="K239" s="2">
        <v>57</v>
      </c>
      <c r="L239" s="2">
        <v>0</v>
      </c>
      <c r="M239" s="2">
        <v>12</v>
      </c>
      <c r="N239" s="2">
        <v>10</v>
      </c>
      <c r="O239" s="2">
        <v>25</v>
      </c>
      <c r="P239" s="2">
        <v>10</v>
      </c>
      <c r="Q239" s="2" t="s">
        <v>3239</v>
      </c>
      <c r="R239" s="2" t="s">
        <v>3240</v>
      </c>
      <c r="S239" s="4">
        <v>44952</v>
      </c>
    </row>
    <row r="240" spans="1:19" ht="12.5" x14ac:dyDescent="0.25">
      <c r="A240" s="14" t="str">
        <f>HYPERLINK("https://gerandofalcoes.my.salesforce.com/0014X00002YgggrQAB", "0014X00002YgggrQAB")</f>
        <v>0014X00002YgggrQAB</v>
      </c>
      <c r="B240" s="2" t="s">
        <v>3232</v>
      </c>
      <c r="C240" s="2" t="s">
        <v>423</v>
      </c>
      <c r="D240" s="2" t="s">
        <v>2</v>
      </c>
      <c r="E240" s="2"/>
      <c r="F240" s="2">
        <v>0</v>
      </c>
      <c r="G240" s="2">
        <v>6</v>
      </c>
      <c r="H240" s="2">
        <v>50000</v>
      </c>
      <c r="I240" s="2">
        <v>84</v>
      </c>
      <c r="J240" s="2"/>
      <c r="K240" s="2">
        <v>30</v>
      </c>
      <c r="L240" s="2">
        <v>0</v>
      </c>
      <c r="M240" s="2">
        <v>0</v>
      </c>
      <c r="N240" s="2">
        <v>10</v>
      </c>
      <c r="O240" s="2">
        <v>10</v>
      </c>
      <c r="P240" s="2">
        <v>10</v>
      </c>
      <c r="Q240" s="2" t="s">
        <v>3233</v>
      </c>
      <c r="R240" s="2" t="s">
        <v>3234</v>
      </c>
      <c r="S240" s="4">
        <v>44952</v>
      </c>
    </row>
    <row r="241" spans="1:19" ht="12.5" x14ac:dyDescent="0.25">
      <c r="A241" s="14" t="str">
        <f>HYPERLINK("https://gerandofalcoes.my.salesforce.com/0014X00002bCkJzQAK", "0014X00002bCkJzQAK")</f>
        <v>0014X00002bCkJzQAK</v>
      </c>
      <c r="B241" s="2" t="s">
        <v>3296</v>
      </c>
      <c r="C241" s="2" t="s">
        <v>423</v>
      </c>
      <c r="D241" s="2" t="s">
        <v>2</v>
      </c>
      <c r="E241" s="2"/>
      <c r="F241" s="2">
        <v>25</v>
      </c>
      <c r="G241" s="2">
        <v>2</v>
      </c>
      <c r="H241" s="2">
        <v>1000000</v>
      </c>
      <c r="I241" s="2">
        <v>0</v>
      </c>
      <c r="J241" s="2"/>
      <c r="K241" s="2">
        <v>43</v>
      </c>
      <c r="L241" s="2">
        <v>0</v>
      </c>
      <c r="M241" s="2">
        <v>12</v>
      </c>
      <c r="N241" s="2">
        <v>6</v>
      </c>
      <c r="O241" s="2">
        <v>25</v>
      </c>
      <c r="P241" s="2">
        <v>0</v>
      </c>
      <c r="Q241" s="2" t="s">
        <v>3297</v>
      </c>
      <c r="R241" s="2" t="s">
        <v>3298</v>
      </c>
      <c r="S241" s="4">
        <v>44952</v>
      </c>
    </row>
    <row r="242" spans="1:19" ht="12.5" x14ac:dyDescent="0.25">
      <c r="A242" s="14" t="str">
        <f>HYPERLINK("https://gerandofalcoes.my.salesforce.com/0014X00002YggmaQAB", "0014X00002YggmaQAB")</f>
        <v>0014X00002YggmaQAB</v>
      </c>
      <c r="B242" s="2" t="s">
        <v>3379</v>
      </c>
      <c r="C242" s="2" t="s">
        <v>423</v>
      </c>
      <c r="D242" s="2" t="s">
        <v>2</v>
      </c>
      <c r="E242" s="2"/>
      <c r="F242" s="2">
        <v>0</v>
      </c>
      <c r="G242" s="2">
        <v>2</v>
      </c>
      <c r="H242" s="2">
        <v>1000</v>
      </c>
      <c r="I242" s="2">
        <v>0</v>
      </c>
      <c r="J242" s="2"/>
      <c r="K242" s="2">
        <v>11</v>
      </c>
      <c r="L242" s="2">
        <v>0</v>
      </c>
      <c r="M242" s="2">
        <v>0</v>
      </c>
      <c r="N242" s="2">
        <v>6</v>
      </c>
      <c r="O242" s="2">
        <v>5</v>
      </c>
      <c r="P242" s="2">
        <v>0</v>
      </c>
      <c r="Q242" s="2" t="s">
        <v>3380</v>
      </c>
      <c r="R242" s="2" t="s">
        <v>3380</v>
      </c>
      <c r="S242" s="4">
        <v>44953</v>
      </c>
    </row>
    <row r="243" spans="1:19" ht="12.5" x14ac:dyDescent="0.25">
      <c r="A243" s="14" t="str">
        <f>HYPERLINK("https://gerandofalcoes.my.salesforce.com/0014X00002YggqxQAB", "0014X00002YggqxQAB")</f>
        <v>0014X00002YggqxQAB</v>
      </c>
      <c r="B243" s="2" t="s">
        <v>3375</v>
      </c>
      <c r="C243" s="2" t="s">
        <v>423</v>
      </c>
      <c r="D243" s="2" t="s">
        <v>2</v>
      </c>
      <c r="E243" s="2"/>
      <c r="F243" s="2">
        <v>3</v>
      </c>
      <c r="G243" s="2">
        <v>3</v>
      </c>
      <c r="H243" s="2">
        <v>1000</v>
      </c>
      <c r="I243" s="2">
        <v>6</v>
      </c>
      <c r="J243" s="2"/>
      <c r="K243" s="2">
        <v>23</v>
      </c>
      <c r="L243" s="2">
        <v>0</v>
      </c>
      <c r="M243" s="2">
        <v>5</v>
      </c>
      <c r="N243" s="2">
        <v>8</v>
      </c>
      <c r="O243" s="2">
        <v>5</v>
      </c>
      <c r="P243" s="2">
        <v>5</v>
      </c>
      <c r="Q243" s="2" t="s">
        <v>3376</v>
      </c>
      <c r="R243" s="2" t="s">
        <v>3376</v>
      </c>
      <c r="S243" s="4">
        <v>44953</v>
      </c>
    </row>
    <row r="244" spans="1:19" ht="12.5" x14ac:dyDescent="0.25">
      <c r="A244" s="14" t="str">
        <f>HYPERLINK("https://gerandofalcoes.my.salesforce.com/0014X00002YggnBQAR", "0014X00002YggnBQAR")</f>
        <v>0014X00002YggnBQAR</v>
      </c>
      <c r="B244" s="2" t="s">
        <v>3349</v>
      </c>
      <c r="C244" s="2" t="s">
        <v>423</v>
      </c>
      <c r="D244" s="2" t="s">
        <v>2</v>
      </c>
      <c r="E244" s="2"/>
      <c r="F244" s="2">
        <v>0</v>
      </c>
      <c r="G244" s="2">
        <v>3</v>
      </c>
      <c r="H244" s="2">
        <v>1000</v>
      </c>
      <c r="I244" s="2">
        <v>120</v>
      </c>
      <c r="J244" s="2"/>
      <c r="K244" s="2">
        <v>23</v>
      </c>
      <c r="L244" s="2">
        <v>0</v>
      </c>
      <c r="M244" s="2">
        <v>0</v>
      </c>
      <c r="N244" s="2">
        <v>8</v>
      </c>
      <c r="O244" s="2">
        <v>5</v>
      </c>
      <c r="P244" s="2">
        <v>10</v>
      </c>
      <c r="Q244" s="2" t="s">
        <v>3350</v>
      </c>
      <c r="R244" s="2" t="s">
        <v>3351</v>
      </c>
      <c r="S244" s="4">
        <v>44953</v>
      </c>
    </row>
    <row r="245" spans="1:19" ht="12.5" x14ac:dyDescent="0.25">
      <c r="A245" s="14" t="str">
        <f>HYPERLINK("https://gerandofalcoes.my.salesforce.com/0014X00002YggqDQAR", "0014X00002YggqDQAR")</f>
        <v>0014X00002YggqDQAR</v>
      </c>
      <c r="B245" s="2" t="s">
        <v>3381</v>
      </c>
      <c r="C245" s="2" t="s">
        <v>423</v>
      </c>
      <c r="D245" s="2" t="s">
        <v>2</v>
      </c>
      <c r="E245" s="2"/>
      <c r="F245" s="2">
        <v>0</v>
      </c>
      <c r="G245" s="2">
        <v>3</v>
      </c>
      <c r="H245" s="2">
        <v>50000</v>
      </c>
      <c r="I245" s="2">
        <v>0</v>
      </c>
      <c r="J245" s="2"/>
      <c r="K245" s="2">
        <v>18</v>
      </c>
      <c r="L245" s="2">
        <v>0</v>
      </c>
      <c r="M245" s="2">
        <v>0</v>
      </c>
      <c r="N245" s="2">
        <v>8</v>
      </c>
      <c r="O245" s="2">
        <v>10</v>
      </c>
      <c r="P245" s="2">
        <v>0</v>
      </c>
      <c r="Q245" s="2" t="s">
        <v>3382</v>
      </c>
      <c r="R245" s="2" t="s">
        <v>3383</v>
      </c>
      <c r="S245" s="4">
        <v>44953</v>
      </c>
    </row>
    <row r="246" spans="1:19" ht="12.5" x14ac:dyDescent="0.25">
      <c r="A246" s="14" t="str">
        <f>HYPERLINK("https://gerandofalcoes.my.salesforce.com/0014X00002YgggYQAR", "0014X00002YgggYQAR")</f>
        <v>0014X00002YgggYQAR</v>
      </c>
      <c r="B246" s="2" t="s">
        <v>3352</v>
      </c>
      <c r="C246" s="2" t="s">
        <v>423</v>
      </c>
      <c r="D246" s="2" t="s">
        <v>2</v>
      </c>
      <c r="E246" s="2"/>
      <c r="F246" s="2">
        <v>10</v>
      </c>
      <c r="G246" s="2">
        <v>3</v>
      </c>
      <c r="H246" s="2">
        <v>471944</v>
      </c>
      <c r="I246" s="2">
        <v>115</v>
      </c>
      <c r="J246" s="2"/>
      <c r="K246" s="2">
        <v>48</v>
      </c>
      <c r="L246" s="2">
        <v>0</v>
      </c>
      <c r="M246" s="2">
        <v>10</v>
      </c>
      <c r="N246" s="2">
        <v>8</v>
      </c>
      <c r="O246" s="2">
        <v>20</v>
      </c>
      <c r="P246" s="2">
        <v>10</v>
      </c>
      <c r="Q246" s="2" t="s">
        <v>3353</v>
      </c>
      <c r="R246" s="2" t="s">
        <v>7157</v>
      </c>
      <c r="S246" s="4">
        <v>44953</v>
      </c>
    </row>
    <row r="247" spans="1:19" ht="12.5" x14ac:dyDescent="0.25">
      <c r="A247" s="14" t="str">
        <f>HYPERLINK("https://gerandofalcoes.my.salesforce.com/0014X00002YggqlQAB", "0014X00002YggqlQAB")</f>
        <v>0014X00002YggqlQAB</v>
      </c>
      <c r="B247" s="2" t="s">
        <v>3308</v>
      </c>
      <c r="C247" s="2" t="s">
        <v>423</v>
      </c>
      <c r="D247" s="2" t="s">
        <v>2</v>
      </c>
      <c r="E247" s="2"/>
      <c r="F247" s="2">
        <v>15</v>
      </c>
      <c r="G247" s="2">
        <v>2</v>
      </c>
      <c r="H247" s="2">
        <v>20000</v>
      </c>
      <c r="I247" s="2">
        <v>120</v>
      </c>
      <c r="J247" s="2"/>
      <c r="K247" s="2">
        <v>33</v>
      </c>
      <c r="L247" s="2">
        <v>0</v>
      </c>
      <c r="M247" s="2">
        <v>12</v>
      </c>
      <c r="N247" s="2">
        <v>6</v>
      </c>
      <c r="O247" s="2">
        <v>5</v>
      </c>
      <c r="P247" s="2">
        <v>10</v>
      </c>
      <c r="Q247" s="2" t="s">
        <v>3309</v>
      </c>
      <c r="R247" s="2" t="s">
        <v>3310</v>
      </c>
      <c r="S247" s="4">
        <v>44953</v>
      </c>
    </row>
    <row r="248" spans="1:19" ht="12.5" x14ac:dyDescent="0.25">
      <c r="A248" s="14" t="str">
        <f>HYPERLINK("https://gerandofalcoes.my.salesforce.com/0014X00002YgglTQAR", "0014X00002YgglTQAR")</f>
        <v>0014X00002YgglTQAR</v>
      </c>
      <c r="B248" s="2" t="s">
        <v>3363</v>
      </c>
      <c r="C248" s="2" t="s">
        <v>423</v>
      </c>
      <c r="D248" s="2" t="s">
        <v>2</v>
      </c>
      <c r="E248" s="2"/>
      <c r="F248" s="2">
        <v>0</v>
      </c>
      <c r="G248" s="2">
        <v>2</v>
      </c>
      <c r="H248" s="2">
        <v>0</v>
      </c>
      <c r="I248" s="2">
        <v>60</v>
      </c>
      <c r="J248" s="2"/>
      <c r="K248" s="2">
        <v>11</v>
      </c>
      <c r="L248" s="2">
        <v>0</v>
      </c>
      <c r="M248" s="2">
        <v>0</v>
      </c>
      <c r="N248" s="2">
        <v>6</v>
      </c>
      <c r="O248" s="2">
        <v>0</v>
      </c>
      <c r="P248" s="2">
        <v>5</v>
      </c>
      <c r="Q248" s="2" t="s">
        <v>3364</v>
      </c>
      <c r="R248" s="2" t="s">
        <v>3364</v>
      </c>
      <c r="S248" s="4">
        <v>44953</v>
      </c>
    </row>
    <row r="249" spans="1:19" ht="12.5" x14ac:dyDescent="0.25">
      <c r="A249" s="14" t="str">
        <f>HYPERLINK("https://gerandofalcoes.my.salesforce.com/0014X00002YggmAQAR", "0014X00002YggmAQAR")</f>
        <v>0014X00002YggmAQAR</v>
      </c>
      <c r="B249" s="2" t="s">
        <v>3311</v>
      </c>
      <c r="C249" s="2" t="s">
        <v>423</v>
      </c>
      <c r="D249" s="2" t="s">
        <v>2</v>
      </c>
      <c r="E249" s="2"/>
      <c r="F249" s="2">
        <v>0</v>
      </c>
      <c r="G249" s="2">
        <v>5</v>
      </c>
      <c r="H249" s="2">
        <v>469000</v>
      </c>
      <c r="I249" s="2">
        <v>0</v>
      </c>
      <c r="J249" s="2"/>
      <c r="K249" s="2">
        <v>30</v>
      </c>
      <c r="L249" s="2">
        <v>0</v>
      </c>
      <c r="M249" s="2">
        <v>0</v>
      </c>
      <c r="N249" s="2">
        <v>10</v>
      </c>
      <c r="O249" s="2">
        <v>20</v>
      </c>
      <c r="P249" s="2">
        <v>0</v>
      </c>
      <c r="Q249" s="2" t="s">
        <v>3312</v>
      </c>
      <c r="R249" s="2" t="s">
        <v>3313</v>
      </c>
      <c r="S249" s="4">
        <v>44953</v>
      </c>
    </row>
    <row r="250" spans="1:19" ht="12.5" x14ac:dyDescent="0.25">
      <c r="A250" s="14" t="str">
        <f>HYPERLINK("https://gerandofalcoes.my.salesforce.com/0014X00002YgghWQAR", "0014X00002YgghWQAR")</f>
        <v>0014X00002YgghWQAR</v>
      </c>
      <c r="B250" s="2" t="s">
        <v>3331</v>
      </c>
      <c r="C250" s="2" t="s">
        <v>423</v>
      </c>
      <c r="D250" s="2" t="s">
        <v>2</v>
      </c>
      <c r="E250" s="2"/>
      <c r="F250" s="2">
        <v>0</v>
      </c>
      <c r="G250" s="2">
        <v>2</v>
      </c>
      <c r="H250" s="2">
        <v>8000</v>
      </c>
      <c r="I250" s="2">
        <v>0</v>
      </c>
      <c r="J250" s="2"/>
      <c r="K250" s="2">
        <v>11</v>
      </c>
      <c r="L250" s="2">
        <v>0</v>
      </c>
      <c r="M250" s="2">
        <v>0</v>
      </c>
      <c r="N250" s="2">
        <v>6</v>
      </c>
      <c r="O250" s="2">
        <v>5</v>
      </c>
      <c r="P250" s="2">
        <v>0</v>
      </c>
      <c r="Q250" s="2" t="s">
        <v>3332</v>
      </c>
      <c r="R250" s="2" t="s">
        <v>3333</v>
      </c>
      <c r="S250" s="4">
        <v>44953</v>
      </c>
    </row>
    <row r="251" spans="1:19" ht="12.5" x14ac:dyDescent="0.25">
      <c r="A251" s="14" t="str">
        <f>HYPERLINK("https://gerandofalcoes.my.salesforce.com/0014X00002Yggk3QAB", "0014X00002Yggk3QAB")</f>
        <v>0014X00002Yggk3QAB</v>
      </c>
      <c r="B251" s="2" t="s">
        <v>3325</v>
      </c>
      <c r="C251" s="2" t="s">
        <v>423</v>
      </c>
      <c r="D251" s="2" t="s">
        <v>2</v>
      </c>
      <c r="E251" s="2"/>
      <c r="F251" s="2">
        <v>0</v>
      </c>
      <c r="G251" s="2">
        <v>3</v>
      </c>
      <c r="H251" s="2">
        <v>8386</v>
      </c>
      <c r="I251" s="2">
        <v>0</v>
      </c>
      <c r="J251" s="2"/>
      <c r="K251" s="2">
        <v>13</v>
      </c>
      <c r="L251" s="2">
        <v>0</v>
      </c>
      <c r="M251" s="2">
        <v>0</v>
      </c>
      <c r="N251" s="2">
        <v>8</v>
      </c>
      <c r="O251" s="2">
        <v>5</v>
      </c>
      <c r="P251" s="2">
        <v>0</v>
      </c>
      <c r="Q251" s="2" t="s">
        <v>3326</v>
      </c>
      <c r="R251" s="2" t="s">
        <v>3327</v>
      </c>
      <c r="S251" s="4">
        <v>44953</v>
      </c>
    </row>
    <row r="252" spans="1:19" ht="12.5" x14ac:dyDescent="0.25">
      <c r="A252" s="14" t="str">
        <f>HYPERLINK("https://gerandofalcoes.my.salesforce.com/0014X00002YgglRQAR", "0014X00002YgglRQAR")</f>
        <v>0014X00002YgglRQAR</v>
      </c>
      <c r="B252" s="2" t="s">
        <v>3305</v>
      </c>
      <c r="C252" s="2" t="s">
        <v>423</v>
      </c>
      <c r="D252" s="2" t="s">
        <v>2</v>
      </c>
      <c r="E252" s="2"/>
      <c r="F252" s="2">
        <v>8</v>
      </c>
      <c r="G252" s="2">
        <v>2</v>
      </c>
      <c r="H252" s="2">
        <v>20000</v>
      </c>
      <c r="I252" s="2">
        <v>120</v>
      </c>
      <c r="J252" s="2"/>
      <c r="K252" s="2">
        <v>31</v>
      </c>
      <c r="L252" s="2">
        <v>0</v>
      </c>
      <c r="M252" s="2">
        <v>10</v>
      </c>
      <c r="N252" s="2">
        <v>6</v>
      </c>
      <c r="O252" s="2">
        <v>5</v>
      </c>
      <c r="P252" s="2">
        <v>10</v>
      </c>
      <c r="Q252" s="2" t="s">
        <v>3306</v>
      </c>
      <c r="R252" s="2" t="s">
        <v>3307</v>
      </c>
      <c r="S252" s="4">
        <v>44953</v>
      </c>
    </row>
    <row r="253" spans="1:19" ht="12.5" x14ac:dyDescent="0.25">
      <c r="A253" s="14" t="str">
        <f>HYPERLINK("https://gerandofalcoes.my.salesforce.com/0014X00002YggkuQAB", "0014X00002YggkuQAB")</f>
        <v>0014X00002YggkuQAB</v>
      </c>
      <c r="B253" s="2" t="s">
        <v>3302</v>
      </c>
      <c r="C253" s="2" t="s">
        <v>423</v>
      </c>
      <c r="D253" s="2" t="s">
        <v>2</v>
      </c>
      <c r="E253" s="2"/>
      <c r="F253" s="2">
        <v>9</v>
      </c>
      <c r="G253" s="2">
        <v>4</v>
      </c>
      <c r="H253" s="2">
        <v>200000</v>
      </c>
      <c r="I253" s="2">
        <v>60</v>
      </c>
      <c r="J253" s="2"/>
      <c r="K253" s="2">
        <v>40</v>
      </c>
      <c r="L253" s="2">
        <v>0</v>
      </c>
      <c r="M253" s="2">
        <v>10</v>
      </c>
      <c r="N253" s="2">
        <v>10</v>
      </c>
      <c r="O253" s="2">
        <v>15</v>
      </c>
      <c r="P253" s="2">
        <v>5</v>
      </c>
      <c r="Q253" s="2" t="s">
        <v>3303</v>
      </c>
      <c r="R253" s="2" t="s">
        <v>3304</v>
      </c>
      <c r="S253" s="4">
        <v>44953</v>
      </c>
    </row>
    <row r="254" spans="1:19" ht="12.5" x14ac:dyDescent="0.25">
      <c r="A254" s="14" t="str">
        <f>HYPERLINK("https://gerandofalcoes.my.salesforce.com/0014X00002YggnrQAB", "0014X00002YggnrQAB")</f>
        <v>0014X00002YggnrQAB</v>
      </c>
      <c r="B254" s="2" t="s">
        <v>3354</v>
      </c>
      <c r="C254" s="2" t="s">
        <v>423</v>
      </c>
      <c r="D254" s="2" t="s">
        <v>2</v>
      </c>
      <c r="E254" s="2"/>
      <c r="F254" s="2">
        <v>2</v>
      </c>
      <c r="G254" s="2">
        <v>5</v>
      </c>
      <c r="H254" s="2">
        <v>7006467</v>
      </c>
      <c r="I254" s="2">
        <v>100</v>
      </c>
      <c r="J254" s="2"/>
      <c r="K254" s="2">
        <v>50</v>
      </c>
      <c r="L254" s="2">
        <v>0</v>
      </c>
      <c r="M254" s="2">
        <v>5</v>
      </c>
      <c r="N254" s="2">
        <v>10</v>
      </c>
      <c r="O254" s="2">
        <v>25</v>
      </c>
      <c r="P254" s="2">
        <v>10</v>
      </c>
      <c r="Q254" s="2" t="s">
        <v>3355</v>
      </c>
      <c r="R254" s="2" t="s">
        <v>3356</v>
      </c>
      <c r="S254" s="4">
        <v>44953</v>
      </c>
    </row>
    <row r="255" spans="1:19" ht="12.5" x14ac:dyDescent="0.25">
      <c r="A255" s="14" t="str">
        <f>HYPERLINK("https://gerandofalcoes.my.salesforce.com/0014X00002Yggk2QAB", "0014X00002Yggk2QAB")</f>
        <v>0014X00002Yggk2QAB</v>
      </c>
      <c r="B255" s="2" t="s">
        <v>3389</v>
      </c>
      <c r="C255" s="2" t="s">
        <v>423</v>
      </c>
      <c r="D255" s="2" t="s">
        <v>2</v>
      </c>
      <c r="E255" s="2"/>
      <c r="F255" s="2">
        <v>0</v>
      </c>
      <c r="G255" s="2">
        <v>3</v>
      </c>
      <c r="H255" s="2">
        <v>0</v>
      </c>
      <c r="I255" s="2">
        <v>0</v>
      </c>
      <c r="J255" s="2"/>
      <c r="K255" s="2">
        <v>8</v>
      </c>
      <c r="L255" s="2">
        <v>0</v>
      </c>
      <c r="M255" s="2">
        <v>0</v>
      </c>
      <c r="N255" s="2">
        <v>8</v>
      </c>
      <c r="O255" s="2">
        <v>0</v>
      </c>
      <c r="P255" s="2">
        <v>0</v>
      </c>
      <c r="Q255" s="2" t="s">
        <v>3390</v>
      </c>
      <c r="R255" s="2" t="s">
        <v>3391</v>
      </c>
      <c r="S255" s="4">
        <v>44953</v>
      </c>
    </row>
    <row r="256" spans="1:19" ht="12.5" x14ac:dyDescent="0.25">
      <c r="A256" s="14" t="str">
        <f>HYPERLINK("https://gerandofalcoes.my.salesforce.com/0014X00002YgghwQAB", "0014X00002YgghwQAB")</f>
        <v>0014X00002YgghwQAB</v>
      </c>
      <c r="B256" s="2" t="s">
        <v>3549</v>
      </c>
      <c r="C256" s="2" t="s">
        <v>423</v>
      </c>
      <c r="D256" s="2" t="s">
        <v>2</v>
      </c>
      <c r="E256" s="2"/>
      <c r="F256" s="2">
        <v>0</v>
      </c>
      <c r="G256" s="2">
        <v>3</v>
      </c>
      <c r="H256" s="2">
        <v>2403625</v>
      </c>
      <c r="I256" s="2">
        <v>250</v>
      </c>
      <c r="J256" s="2"/>
      <c r="K256" s="2">
        <v>45</v>
      </c>
      <c r="L256" s="2">
        <v>0</v>
      </c>
      <c r="M256" s="2">
        <v>0</v>
      </c>
      <c r="N256" s="2">
        <v>8</v>
      </c>
      <c r="O256" s="2">
        <v>25</v>
      </c>
      <c r="P256" s="2">
        <v>12</v>
      </c>
      <c r="Q256" s="2" t="s">
        <v>3550</v>
      </c>
      <c r="R256" s="2" t="s">
        <v>3551</v>
      </c>
      <c r="S256" s="4">
        <v>44959</v>
      </c>
    </row>
    <row r="257" spans="1:19" ht="12.5" x14ac:dyDescent="0.25">
      <c r="A257" s="14" t="str">
        <f>HYPERLINK("https://gerandofalcoes.my.salesforce.com/0014X00002YggisQAB", "0014X00002YggisQAB")</f>
        <v>0014X00002YggisQAB</v>
      </c>
      <c r="B257" s="2" t="s">
        <v>3537</v>
      </c>
      <c r="C257" s="2" t="s">
        <v>423</v>
      </c>
      <c r="D257" s="2" t="s">
        <v>2</v>
      </c>
      <c r="E257" s="2"/>
      <c r="F257" s="2">
        <v>0</v>
      </c>
      <c r="G257" s="2">
        <v>2</v>
      </c>
      <c r="H257" s="2">
        <v>25000</v>
      </c>
      <c r="I257" s="2">
        <v>0</v>
      </c>
      <c r="J257" s="2"/>
      <c r="K257" s="2">
        <v>16</v>
      </c>
      <c r="L257" s="2">
        <v>0</v>
      </c>
      <c r="M257" s="2">
        <v>0</v>
      </c>
      <c r="N257" s="2">
        <v>6</v>
      </c>
      <c r="O257" s="2">
        <v>10</v>
      </c>
      <c r="P257" s="2">
        <v>0</v>
      </c>
      <c r="Q257" s="2" t="s">
        <v>3538</v>
      </c>
      <c r="R257" s="2" t="s">
        <v>3539</v>
      </c>
      <c r="S257" s="4">
        <v>44959</v>
      </c>
    </row>
    <row r="258" spans="1:19" ht="12.5" x14ac:dyDescent="0.25">
      <c r="A258" s="14" t="str">
        <f>HYPERLINK("https://gerandofalcoes.my.salesforce.com/0014X00002YggiOQAR", "0014X00002YggiOQAR")</f>
        <v>0014X00002YggiOQAR</v>
      </c>
      <c r="B258" s="2" t="s">
        <v>3552</v>
      </c>
      <c r="C258" s="2" t="s">
        <v>423</v>
      </c>
      <c r="D258" s="2" t="s">
        <v>2</v>
      </c>
      <c r="E258" s="2"/>
      <c r="F258" s="2">
        <v>0</v>
      </c>
      <c r="G258" s="2">
        <v>2</v>
      </c>
      <c r="H258" s="2">
        <v>500</v>
      </c>
      <c r="I258" s="2">
        <v>140</v>
      </c>
      <c r="J258" s="2"/>
      <c r="K258" s="2">
        <v>21</v>
      </c>
      <c r="L258" s="2">
        <v>0</v>
      </c>
      <c r="M258" s="2">
        <v>0</v>
      </c>
      <c r="N258" s="2">
        <v>6</v>
      </c>
      <c r="O258" s="2">
        <v>5</v>
      </c>
      <c r="P258" s="2">
        <v>10</v>
      </c>
      <c r="Q258" s="2" t="s">
        <v>3553</v>
      </c>
      <c r="R258" s="2" t="s">
        <v>3554</v>
      </c>
      <c r="S258" s="4">
        <v>44959</v>
      </c>
    </row>
    <row r="259" spans="1:19" ht="12.5" x14ac:dyDescent="0.25">
      <c r="A259" s="14" t="str">
        <f>HYPERLINK("https://gerandofalcoes.my.salesforce.com/0014X00002YggkUQAR", "0014X00002YggkUQAR")</f>
        <v>0014X00002YggkUQAR</v>
      </c>
      <c r="B259" s="2" t="s">
        <v>3563</v>
      </c>
      <c r="C259" s="2" t="s">
        <v>423</v>
      </c>
      <c r="D259" s="2" t="s">
        <v>2</v>
      </c>
      <c r="E259" s="2"/>
      <c r="F259" s="2">
        <v>0</v>
      </c>
      <c r="G259" s="2">
        <v>5</v>
      </c>
      <c r="H259" s="2">
        <v>5000</v>
      </c>
      <c r="I259" s="2">
        <v>10</v>
      </c>
      <c r="J259" s="2"/>
      <c r="K259" s="2">
        <v>20</v>
      </c>
      <c r="L259" s="2">
        <v>0</v>
      </c>
      <c r="M259" s="2">
        <v>0</v>
      </c>
      <c r="N259" s="2">
        <v>10</v>
      </c>
      <c r="O259" s="2">
        <v>5</v>
      </c>
      <c r="P259" s="2">
        <v>5</v>
      </c>
      <c r="Q259" s="2" t="s">
        <v>3564</v>
      </c>
      <c r="R259" s="2" t="s">
        <v>3565</v>
      </c>
      <c r="S259" s="4">
        <v>44960</v>
      </c>
    </row>
    <row r="260" spans="1:19" ht="12.5" x14ac:dyDescent="0.25">
      <c r="A260" s="14" t="str">
        <f>HYPERLINK("https://gerandofalcoes.my.salesforce.com/0014X00002YgggTQAR", "0014X00002YgggTQAR")</f>
        <v>0014X00002YgggTQAR</v>
      </c>
      <c r="B260" s="2" t="s">
        <v>3569</v>
      </c>
      <c r="C260" s="2" t="s">
        <v>423</v>
      </c>
      <c r="D260" s="2" t="s">
        <v>2</v>
      </c>
      <c r="E260" s="2"/>
      <c r="F260" s="2">
        <v>25</v>
      </c>
      <c r="G260" s="2">
        <v>3</v>
      </c>
      <c r="H260" s="2">
        <v>15000</v>
      </c>
      <c r="I260" s="2">
        <v>1317</v>
      </c>
      <c r="J260" s="2"/>
      <c r="K260" s="2">
        <v>45</v>
      </c>
      <c r="L260" s="2">
        <v>0</v>
      </c>
      <c r="M260" s="2">
        <v>12</v>
      </c>
      <c r="N260" s="2">
        <v>8</v>
      </c>
      <c r="O260" s="2">
        <v>5</v>
      </c>
      <c r="P260" s="2">
        <v>20</v>
      </c>
      <c r="Q260" s="2" t="s">
        <v>3570</v>
      </c>
      <c r="R260" s="2" t="s">
        <v>3570</v>
      </c>
      <c r="S260" s="4">
        <v>44960</v>
      </c>
    </row>
    <row r="261" spans="1:19" ht="12.5" x14ac:dyDescent="0.25">
      <c r="A261" s="14" t="str">
        <f>HYPERLINK("https://gerandofalcoes.my.salesforce.com/0014X00002YggjuQAB", "0014X00002YggjuQAB")</f>
        <v>0014X00002YggjuQAB</v>
      </c>
      <c r="B261" s="2" t="s">
        <v>3583</v>
      </c>
      <c r="C261" s="2" t="s">
        <v>423</v>
      </c>
      <c r="D261" s="2" t="s">
        <v>2</v>
      </c>
      <c r="E261" s="2"/>
      <c r="F261" s="2">
        <v>0</v>
      </c>
      <c r="G261" s="2">
        <v>7</v>
      </c>
      <c r="H261" s="2">
        <v>3000</v>
      </c>
      <c r="I261" s="2">
        <v>30</v>
      </c>
      <c r="J261" s="2"/>
      <c r="K261" s="2">
        <v>20</v>
      </c>
      <c r="L261" s="2">
        <v>0</v>
      </c>
      <c r="M261" s="2">
        <v>0</v>
      </c>
      <c r="N261" s="2">
        <v>10</v>
      </c>
      <c r="O261" s="2">
        <v>5</v>
      </c>
      <c r="P261" s="2">
        <v>5</v>
      </c>
      <c r="Q261" s="2" t="s">
        <v>3584</v>
      </c>
      <c r="R261" s="2" t="s">
        <v>3585</v>
      </c>
      <c r="S261" s="4">
        <v>44961</v>
      </c>
    </row>
    <row r="262" spans="1:19" ht="12.5" x14ac:dyDescent="0.25">
      <c r="A262" s="14" t="str">
        <f>HYPERLINK("https://gerandofalcoes.my.salesforce.com/0014X00002YggpAQAR", "0014X00002YggpAQAR")</f>
        <v>0014X00002YggpAQAR</v>
      </c>
      <c r="B262" s="2" t="s">
        <v>3591</v>
      </c>
      <c r="C262" s="2" t="s">
        <v>423</v>
      </c>
      <c r="D262" s="2" t="s">
        <v>2</v>
      </c>
      <c r="E262" s="2"/>
      <c r="F262" s="2">
        <v>17</v>
      </c>
      <c r="G262" s="2">
        <v>5</v>
      </c>
      <c r="H262" s="2">
        <v>586443</v>
      </c>
      <c r="I262" s="2">
        <v>0</v>
      </c>
      <c r="J262" s="2"/>
      <c r="K262" s="2">
        <v>42</v>
      </c>
      <c r="L262" s="2">
        <v>0</v>
      </c>
      <c r="M262" s="2">
        <v>12</v>
      </c>
      <c r="N262" s="2">
        <v>10</v>
      </c>
      <c r="O262" s="2">
        <v>20</v>
      </c>
      <c r="P262" s="2">
        <v>0</v>
      </c>
      <c r="Q262" s="2" t="s">
        <v>3592</v>
      </c>
      <c r="R262" s="2" t="s">
        <v>3593</v>
      </c>
      <c r="S262" s="4">
        <v>44962</v>
      </c>
    </row>
    <row r="263" spans="1:19" ht="12.5" x14ac:dyDescent="0.25">
      <c r="A263" s="14" t="str">
        <f>HYPERLINK("https://gerandofalcoes.my.salesforce.com/0014X00002YggpXQAR", "0014X00002YggpXQAR")</f>
        <v>0014X00002YggpXQAR</v>
      </c>
      <c r="B263" s="2" t="s">
        <v>3597</v>
      </c>
      <c r="C263" s="2" t="s">
        <v>423</v>
      </c>
      <c r="D263" s="2" t="s">
        <v>2</v>
      </c>
      <c r="E263" s="2"/>
      <c r="F263" s="2">
        <v>0</v>
      </c>
      <c r="G263" s="2">
        <v>3</v>
      </c>
      <c r="H263" s="2">
        <v>48</v>
      </c>
      <c r="I263" s="2">
        <v>270</v>
      </c>
      <c r="J263" s="2"/>
      <c r="K263" s="2">
        <v>25</v>
      </c>
      <c r="L263" s="2">
        <v>0</v>
      </c>
      <c r="M263" s="2">
        <v>0</v>
      </c>
      <c r="N263" s="2">
        <v>8</v>
      </c>
      <c r="O263" s="2">
        <v>5</v>
      </c>
      <c r="P263" s="2">
        <v>12</v>
      </c>
      <c r="Q263" s="2" t="s">
        <v>3598</v>
      </c>
      <c r="R263" s="2" t="s">
        <v>3599</v>
      </c>
      <c r="S263" s="4">
        <v>44962</v>
      </c>
    </row>
    <row r="264" spans="1:19" ht="12.5" x14ac:dyDescent="0.25">
      <c r="A264" s="14" t="str">
        <f>HYPERLINK("https://gerandofalcoes.my.salesforce.com/0014X00002bFKFnQAO", "0014X00002bFKFnQAO")</f>
        <v>0014X00002bFKFnQAO</v>
      </c>
      <c r="B264" s="2" t="s">
        <v>3605</v>
      </c>
      <c r="C264" s="2" t="s">
        <v>1684</v>
      </c>
      <c r="D264" s="2" t="s">
        <v>2</v>
      </c>
      <c r="E264" s="2"/>
      <c r="F264" s="2">
        <v>0</v>
      </c>
      <c r="G264" s="2">
        <v>0</v>
      </c>
      <c r="H264" s="2">
        <v>0</v>
      </c>
      <c r="I264" s="2">
        <v>0</v>
      </c>
      <c r="J264" s="2"/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 t="s">
        <v>3606</v>
      </c>
      <c r="R264" s="2"/>
      <c r="S264" s="4">
        <v>44962</v>
      </c>
    </row>
    <row r="265" spans="1:19" ht="12.5" x14ac:dyDescent="0.25">
      <c r="A265" s="14" t="str">
        <f>HYPERLINK("https://gerandofalcoes.my.salesforce.com/0014X00002UFYFtQAP", "0014X00002UFYFtQAP")</f>
        <v>0014X00002UFYFtQAP</v>
      </c>
      <c r="B265" s="2" t="s">
        <v>3588</v>
      </c>
      <c r="C265" s="2" t="s">
        <v>1684</v>
      </c>
      <c r="D265" s="2" t="s">
        <v>2</v>
      </c>
      <c r="E265" s="2">
        <v>90</v>
      </c>
      <c r="F265" s="2">
        <v>15</v>
      </c>
      <c r="G265" s="2">
        <v>4</v>
      </c>
      <c r="H265" s="2">
        <v>600000</v>
      </c>
      <c r="I265" s="2">
        <v>5000</v>
      </c>
      <c r="J265" s="2"/>
      <c r="K265" s="2">
        <v>92</v>
      </c>
      <c r="L265" s="2">
        <v>30</v>
      </c>
      <c r="M265" s="2">
        <v>12</v>
      </c>
      <c r="N265" s="2">
        <v>10</v>
      </c>
      <c r="O265" s="2">
        <v>20</v>
      </c>
      <c r="P265" s="2">
        <v>20</v>
      </c>
      <c r="Q265" s="2" t="s">
        <v>3589</v>
      </c>
      <c r="R265" s="2" t="s">
        <v>3590</v>
      </c>
      <c r="S265" s="4">
        <v>44962</v>
      </c>
    </row>
    <row r="266" spans="1:19" ht="12.5" x14ac:dyDescent="0.25">
      <c r="A266" s="14" t="str">
        <f>HYPERLINK("https://gerandofalcoes.my.salesforce.com/0014X00002YggjRQAR", "0014X00002YggjRQAR")</f>
        <v>0014X00002YggjRQAR</v>
      </c>
      <c r="B266" s="2" t="s">
        <v>3607</v>
      </c>
      <c r="C266" s="2" t="s">
        <v>423</v>
      </c>
      <c r="D266" s="2" t="s">
        <v>2</v>
      </c>
      <c r="E266" s="2"/>
      <c r="F266" s="2">
        <v>0</v>
      </c>
      <c r="G266" s="2">
        <v>4</v>
      </c>
      <c r="H266" s="2">
        <v>6000</v>
      </c>
      <c r="I266" s="2">
        <v>20</v>
      </c>
      <c r="J266" s="2"/>
      <c r="K266" s="2">
        <v>20</v>
      </c>
      <c r="L266" s="2">
        <v>0</v>
      </c>
      <c r="M266" s="2">
        <v>0</v>
      </c>
      <c r="N266" s="2">
        <v>10</v>
      </c>
      <c r="O266" s="2">
        <v>5</v>
      </c>
      <c r="P266" s="2">
        <v>5</v>
      </c>
      <c r="Q266" s="2" t="s">
        <v>3608</v>
      </c>
      <c r="R266" s="2" t="s">
        <v>3609</v>
      </c>
      <c r="S266" s="4">
        <v>44963</v>
      </c>
    </row>
    <row r="267" spans="1:19" ht="12.5" x14ac:dyDescent="0.25">
      <c r="A267" s="14" t="str">
        <f>HYPERLINK("https://gerandofalcoes.my.salesforce.com/0014X00002YggkoQAB", "0014X00002YggkoQAB")</f>
        <v>0014X00002YggkoQAB</v>
      </c>
      <c r="B267" s="2" t="s">
        <v>3631</v>
      </c>
      <c r="C267" s="2" t="s">
        <v>423</v>
      </c>
      <c r="D267" s="2" t="s">
        <v>2</v>
      </c>
      <c r="E267" s="2"/>
      <c r="F267" s="2">
        <v>0</v>
      </c>
      <c r="G267" s="2">
        <v>2</v>
      </c>
      <c r="H267" s="2">
        <v>10000</v>
      </c>
      <c r="I267" s="2">
        <v>30</v>
      </c>
      <c r="J267" s="2"/>
      <c r="K267" s="2">
        <v>16</v>
      </c>
      <c r="L267" s="2">
        <v>0</v>
      </c>
      <c r="M267" s="2">
        <v>0</v>
      </c>
      <c r="N267" s="2">
        <v>6</v>
      </c>
      <c r="O267" s="2">
        <v>5</v>
      </c>
      <c r="P267" s="2">
        <v>5</v>
      </c>
      <c r="Q267" s="2" t="s">
        <v>3632</v>
      </c>
      <c r="R267" s="2" t="s">
        <v>3633</v>
      </c>
      <c r="S267" s="4">
        <v>44963</v>
      </c>
    </row>
    <row r="268" spans="1:19" ht="12.5" x14ac:dyDescent="0.25">
      <c r="A268" s="14" t="str">
        <f>HYPERLINK("https://gerandofalcoes.my.salesforce.com/0014X00002YggovQAB", "0014X00002YggovQAB")</f>
        <v>0014X00002YggovQAB</v>
      </c>
      <c r="B268" s="2" t="s">
        <v>3634</v>
      </c>
      <c r="C268" s="2" t="s">
        <v>423</v>
      </c>
      <c r="D268" s="2" t="s">
        <v>2</v>
      </c>
      <c r="E268" s="2"/>
      <c r="F268" s="2">
        <v>0</v>
      </c>
      <c r="G268" s="2">
        <v>3</v>
      </c>
      <c r="H268" s="2">
        <v>13000</v>
      </c>
      <c r="I268" s="2">
        <v>30</v>
      </c>
      <c r="J268" s="2"/>
      <c r="K268" s="2">
        <v>18</v>
      </c>
      <c r="L268" s="2">
        <v>0</v>
      </c>
      <c r="M268" s="2">
        <v>0</v>
      </c>
      <c r="N268" s="2">
        <v>8</v>
      </c>
      <c r="O268" s="2">
        <v>5</v>
      </c>
      <c r="P268" s="2">
        <v>5</v>
      </c>
      <c r="Q268" s="2" t="s">
        <v>3635</v>
      </c>
      <c r="R268" s="2" t="s">
        <v>3636</v>
      </c>
      <c r="S268" s="4">
        <v>44963</v>
      </c>
    </row>
    <row r="269" spans="1:19" ht="12.5" x14ac:dyDescent="0.25">
      <c r="A269" s="14" t="str">
        <f>HYPERLINK("https://gerandofalcoes.my.salesforce.com/0014X00002YggjsQAB", "0014X00002YggjsQAB")</f>
        <v>0014X00002YggjsQAB</v>
      </c>
      <c r="B269" s="2" t="s">
        <v>3610</v>
      </c>
      <c r="C269" s="2" t="s">
        <v>423</v>
      </c>
      <c r="D269" s="2" t="s">
        <v>2</v>
      </c>
      <c r="E269" s="2"/>
      <c r="F269" s="2">
        <v>10</v>
      </c>
      <c r="G269" s="2">
        <v>2</v>
      </c>
      <c r="H269" s="2">
        <v>40000</v>
      </c>
      <c r="I269" s="2">
        <v>65</v>
      </c>
      <c r="J269" s="2"/>
      <c r="K269" s="2">
        <v>31</v>
      </c>
      <c r="L269" s="2">
        <v>0</v>
      </c>
      <c r="M269" s="2">
        <v>10</v>
      </c>
      <c r="N269" s="2">
        <v>6</v>
      </c>
      <c r="O269" s="2">
        <v>10</v>
      </c>
      <c r="P269" s="2">
        <v>5</v>
      </c>
      <c r="Q269" s="2" t="s">
        <v>7158</v>
      </c>
      <c r="R269" s="2" t="s">
        <v>7159</v>
      </c>
      <c r="S269" s="4">
        <v>44963</v>
      </c>
    </row>
    <row r="270" spans="1:19" ht="12.5" x14ac:dyDescent="0.25">
      <c r="A270" s="14" t="str">
        <f>HYPERLINK("https://gerandofalcoes.my.salesforce.com/0014X00002YgggUQAR", "0014X00002YgggUQAR")</f>
        <v>0014X00002YgggUQAR</v>
      </c>
      <c r="B270" s="2" t="s">
        <v>3640</v>
      </c>
      <c r="C270" s="2" t="s">
        <v>423</v>
      </c>
      <c r="D270" s="2" t="s">
        <v>2</v>
      </c>
      <c r="E270" s="2"/>
      <c r="F270" s="2">
        <v>0</v>
      </c>
      <c r="G270" s="2">
        <v>2</v>
      </c>
      <c r="H270" s="2">
        <v>45000</v>
      </c>
      <c r="I270" s="2">
        <v>0</v>
      </c>
      <c r="J270" s="2"/>
      <c r="K270" s="2">
        <v>16</v>
      </c>
      <c r="L270" s="2">
        <v>0</v>
      </c>
      <c r="M270" s="2">
        <v>0</v>
      </c>
      <c r="N270" s="2">
        <v>6</v>
      </c>
      <c r="O270" s="2">
        <v>10</v>
      </c>
      <c r="P270" s="2">
        <v>0</v>
      </c>
      <c r="Q270" s="2" t="s">
        <v>3641</v>
      </c>
      <c r="R270" s="2" t="s">
        <v>3641</v>
      </c>
      <c r="S270" s="4">
        <v>44963</v>
      </c>
    </row>
    <row r="271" spans="1:19" ht="12.5" x14ac:dyDescent="0.25">
      <c r="A271" s="14" t="str">
        <f>HYPERLINK("https://gerandofalcoes.my.salesforce.com/0014X00002YggoBQAR", "0014X00002YggoBQAR")</f>
        <v>0014X00002YggoBQAR</v>
      </c>
      <c r="B271" s="2" t="s">
        <v>3642</v>
      </c>
      <c r="C271" s="2" t="s">
        <v>423</v>
      </c>
      <c r="D271" s="2" t="s">
        <v>2</v>
      </c>
      <c r="E271" s="2"/>
      <c r="F271" s="2">
        <v>0</v>
      </c>
      <c r="G271" s="2">
        <v>3</v>
      </c>
      <c r="H271" s="2">
        <v>1200</v>
      </c>
      <c r="I271" s="2">
        <v>0</v>
      </c>
      <c r="J271" s="2"/>
      <c r="K271" s="2">
        <v>13</v>
      </c>
      <c r="L271" s="2">
        <v>0</v>
      </c>
      <c r="M271" s="2">
        <v>0</v>
      </c>
      <c r="N271" s="2">
        <v>8</v>
      </c>
      <c r="O271" s="2">
        <v>5</v>
      </c>
      <c r="P271" s="2">
        <v>0</v>
      </c>
      <c r="Q271" s="2" t="s">
        <v>3643</v>
      </c>
      <c r="R271" s="2" t="s">
        <v>3643</v>
      </c>
      <c r="S271" s="4">
        <v>44963</v>
      </c>
    </row>
    <row r="272" spans="1:19" ht="12.5" x14ac:dyDescent="0.25">
      <c r="A272" s="14" t="str">
        <f>HYPERLINK("https://gerandofalcoes.my.salesforce.com/0014X00002YggnHQAR", "0014X00002YggnHQAR")</f>
        <v>0014X00002YggnHQAR</v>
      </c>
      <c r="B272" s="2" t="s">
        <v>3612</v>
      </c>
      <c r="C272" s="2" t="s">
        <v>423</v>
      </c>
      <c r="D272" s="2" t="s">
        <v>2</v>
      </c>
      <c r="E272" s="2"/>
      <c r="F272" s="2">
        <v>0</v>
      </c>
      <c r="G272" s="2">
        <v>2</v>
      </c>
      <c r="H272" s="2">
        <v>10</v>
      </c>
      <c r="I272" s="2">
        <v>0</v>
      </c>
      <c r="J272" s="2"/>
      <c r="K272" s="2">
        <v>11</v>
      </c>
      <c r="L272" s="2">
        <v>0</v>
      </c>
      <c r="M272" s="2">
        <v>0</v>
      </c>
      <c r="N272" s="2">
        <v>6</v>
      </c>
      <c r="O272" s="2">
        <v>5</v>
      </c>
      <c r="P272" s="2">
        <v>0</v>
      </c>
      <c r="Q272" s="2" t="s">
        <v>3613</v>
      </c>
      <c r="R272" s="2" t="s">
        <v>3613</v>
      </c>
      <c r="S272" s="4">
        <v>44963</v>
      </c>
    </row>
    <row r="273" spans="1:19" ht="12.5" x14ac:dyDescent="0.25">
      <c r="A273" s="14" t="str">
        <f>HYPERLINK("https://gerandofalcoes.my.salesforce.com/0014X00002YggqQQAR", "0014X00002YggqQQAR")</f>
        <v>0014X00002YggqQQAR</v>
      </c>
      <c r="B273" s="2" t="s">
        <v>3665</v>
      </c>
      <c r="C273" s="2" t="s">
        <v>423</v>
      </c>
      <c r="D273" s="2" t="s">
        <v>2</v>
      </c>
      <c r="E273" s="2"/>
      <c r="F273" s="2">
        <v>0</v>
      </c>
      <c r="G273" s="2">
        <v>2</v>
      </c>
      <c r="H273" s="2">
        <v>800</v>
      </c>
      <c r="I273" s="2">
        <v>60</v>
      </c>
      <c r="J273" s="2"/>
      <c r="K273" s="2">
        <v>16</v>
      </c>
      <c r="L273" s="2">
        <v>0</v>
      </c>
      <c r="M273" s="2">
        <v>0</v>
      </c>
      <c r="N273" s="2">
        <v>6</v>
      </c>
      <c r="O273" s="2">
        <v>5</v>
      </c>
      <c r="P273" s="2">
        <v>5</v>
      </c>
      <c r="Q273" s="2" t="s">
        <v>3666</v>
      </c>
      <c r="R273" s="2" t="s">
        <v>3666</v>
      </c>
      <c r="S273" s="4">
        <v>44964</v>
      </c>
    </row>
    <row r="274" spans="1:19" ht="12.5" x14ac:dyDescent="0.25">
      <c r="A274" s="14" t="str">
        <f>HYPERLINK("https://gerandofalcoes.my.salesforce.com/0014X00002Yggm8QAB", "0014X00002Yggm8QAB")</f>
        <v>0014X00002Yggm8QAB</v>
      </c>
      <c r="B274" s="2" t="s">
        <v>3678</v>
      </c>
      <c r="C274" s="2" t="s">
        <v>423</v>
      </c>
      <c r="D274" s="2" t="s">
        <v>2</v>
      </c>
      <c r="E274" s="2"/>
      <c r="F274" s="2">
        <v>4</v>
      </c>
      <c r="G274" s="2">
        <v>3</v>
      </c>
      <c r="H274" s="2">
        <v>140000</v>
      </c>
      <c r="I274" s="2">
        <v>216</v>
      </c>
      <c r="J274" s="2"/>
      <c r="K274" s="2">
        <v>40</v>
      </c>
      <c r="L274" s="2">
        <v>0</v>
      </c>
      <c r="M274" s="2">
        <v>5</v>
      </c>
      <c r="N274" s="2">
        <v>8</v>
      </c>
      <c r="O274" s="2">
        <v>15</v>
      </c>
      <c r="P274" s="2">
        <v>12</v>
      </c>
      <c r="Q274" s="2" t="s">
        <v>3679</v>
      </c>
      <c r="R274" s="2" t="s">
        <v>3680</v>
      </c>
      <c r="S274" s="4">
        <v>44964</v>
      </c>
    </row>
    <row r="275" spans="1:19" ht="12.5" x14ac:dyDescent="0.25">
      <c r="A275" s="14" t="str">
        <f>HYPERLINK("https://gerandofalcoes.my.salesforce.com/0014X00002YggkRQAR", "0014X00002YggkRQAR")</f>
        <v>0014X00002YggkRQAR</v>
      </c>
      <c r="B275" s="2" t="s">
        <v>3652</v>
      </c>
      <c r="C275" s="2" t="s">
        <v>423</v>
      </c>
      <c r="D275" s="2" t="s">
        <v>2</v>
      </c>
      <c r="E275" s="2"/>
      <c r="F275" s="2">
        <v>0</v>
      </c>
      <c r="G275" s="2">
        <v>3</v>
      </c>
      <c r="H275" s="2">
        <v>20000</v>
      </c>
      <c r="I275" s="2">
        <v>80</v>
      </c>
      <c r="J275" s="2"/>
      <c r="K275" s="2">
        <v>23</v>
      </c>
      <c r="L275" s="2">
        <v>0</v>
      </c>
      <c r="M275" s="2">
        <v>0</v>
      </c>
      <c r="N275" s="2">
        <v>8</v>
      </c>
      <c r="O275" s="2">
        <v>5</v>
      </c>
      <c r="P275" s="2">
        <v>10</v>
      </c>
      <c r="Q275" s="2" t="s">
        <v>3653</v>
      </c>
      <c r="R275" s="2" t="s">
        <v>3653</v>
      </c>
      <c r="S275" s="4">
        <v>44964</v>
      </c>
    </row>
    <row r="276" spans="1:19" ht="12.5" x14ac:dyDescent="0.25">
      <c r="A276" s="14" t="str">
        <f>HYPERLINK("https://gerandofalcoes.my.salesforce.com/0014X00002Yggh1QAB", "0014X00002Yggh1QAB")</f>
        <v>0014X00002Yggh1QAB</v>
      </c>
      <c r="B276" s="2" t="s">
        <v>3675</v>
      </c>
      <c r="C276" s="2" t="s">
        <v>423</v>
      </c>
      <c r="D276" s="2" t="s">
        <v>2</v>
      </c>
      <c r="E276" s="2"/>
      <c r="F276" s="2">
        <v>23</v>
      </c>
      <c r="G276" s="2">
        <v>6</v>
      </c>
      <c r="H276" s="2">
        <v>99279054</v>
      </c>
      <c r="I276" s="2">
        <v>520</v>
      </c>
      <c r="J276" s="2"/>
      <c r="K276" s="2">
        <v>67</v>
      </c>
      <c r="L276" s="2">
        <v>0</v>
      </c>
      <c r="M276" s="2">
        <v>12</v>
      </c>
      <c r="N276" s="2">
        <v>10</v>
      </c>
      <c r="O276" s="2">
        <v>25</v>
      </c>
      <c r="P276" s="2">
        <v>20</v>
      </c>
      <c r="Q276" s="2" t="s">
        <v>3676</v>
      </c>
      <c r="R276" s="2" t="s">
        <v>3677</v>
      </c>
      <c r="S276" s="4">
        <v>44964</v>
      </c>
    </row>
    <row r="277" spans="1:19" ht="12.5" x14ac:dyDescent="0.25">
      <c r="A277" s="14" t="str">
        <f>HYPERLINK("https://gerandofalcoes.my.salesforce.com/0014X00002YggniQAB", "0014X00002YggniQAB")</f>
        <v>0014X00002YggniQAB</v>
      </c>
      <c r="B277" s="2" t="s">
        <v>3647</v>
      </c>
      <c r="C277" s="2" t="s">
        <v>423</v>
      </c>
      <c r="D277" s="2" t="s">
        <v>2</v>
      </c>
      <c r="E277" s="2"/>
      <c r="F277" s="2">
        <v>30</v>
      </c>
      <c r="G277" s="2">
        <v>7</v>
      </c>
      <c r="H277" s="2">
        <v>1235895</v>
      </c>
      <c r="I277" s="2">
        <v>0</v>
      </c>
      <c r="J277" s="2"/>
      <c r="K277" s="2">
        <v>47</v>
      </c>
      <c r="L277" s="2">
        <v>0</v>
      </c>
      <c r="M277" s="2">
        <v>12</v>
      </c>
      <c r="N277" s="2">
        <v>10</v>
      </c>
      <c r="O277" s="2">
        <v>25</v>
      </c>
      <c r="P277" s="2">
        <v>0</v>
      </c>
      <c r="Q277" s="2" t="s">
        <v>3648</v>
      </c>
      <c r="R277" s="2" t="s">
        <v>3649</v>
      </c>
      <c r="S277" s="4">
        <v>44964</v>
      </c>
    </row>
    <row r="278" spans="1:19" ht="12.5" x14ac:dyDescent="0.25">
      <c r="A278" s="14" t="str">
        <f>HYPERLINK("https://gerandofalcoes.my.salesforce.com/0014X00002YgghUQAR", "0014X00002YgghUQAR")</f>
        <v>0014X00002YgghUQAR</v>
      </c>
      <c r="B278" s="2" t="s">
        <v>3771</v>
      </c>
      <c r="C278" s="2" t="s">
        <v>423</v>
      </c>
      <c r="D278" s="2" t="s">
        <v>2</v>
      </c>
      <c r="E278" s="2"/>
      <c r="F278" s="2">
        <v>10</v>
      </c>
      <c r="G278" s="2">
        <v>4</v>
      </c>
      <c r="H278" s="2">
        <v>1600</v>
      </c>
      <c r="I278" s="2">
        <v>0</v>
      </c>
      <c r="J278" s="2"/>
      <c r="K278" s="2">
        <v>25</v>
      </c>
      <c r="L278" s="2">
        <v>0</v>
      </c>
      <c r="M278" s="2">
        <v>10</v>
      </c>
      <c r="N278" s="2">
        <v>10</v>
      </c>
      <c r="O278" s="2">
        <v>5</v>
      </c>
      <c r="P278" s="2">
        <v>0</v>
      </c>
      <c r="Q278" s="2" t="s">
        <v>3772</v>
      </c>
      <c r="R278" s="2" t="s">
        <v>3772</v>
      </c>
      <c r="S278" s="4">
        <v>44967</v>
      </c>
    </row>
    <row r="279" spans="1:19" ht="12.5" x14ac:dyDescent="0.25">
      <c r="A279" s="14" t="str">
        <f>HYPERLINK("https://gerandofalcoes.my.salesforce.com/0014X00002YggkxQAB", "0014X00002YggkxQAB")</f>
        <v>0014X00002YggkxQAB</v>
      </c>
      <c r="B279" s="2" t="s">
        <v>3733</v>
      </c>
      <c r="C279" s="2" t="s">
        <v>423</v>
      </c>
      <c r="D279" s="2" t="s">
        <v>2</v>
      </c>
      <c r="E279" s="2"/>
      <c r="F279" s="2">
        <v>0</v>
      </c>
      <c r="G279" s="2">
        <v>3</v>
      </c>
      <c r="H279" s="2">
        <v>80000</v>
      </c>
      <c r="I279" s="2">
        <v>250</v>
      </c>
      <c r="J279" s="2"/>
      <c r="K279" s="2">
        <v>30</v>
      </c>
      <c r="L279" s="2">
        <v>0</v>
      </c>
      <c r="M279" s="2">
        <v>0</v>
      </c>
      <c r="N279" s="2">
        <v>8</v>
      </c>
      <c r="O279" s="2">
        <v>10</v>
      </c>
      <c r="P279" s="2">
        <v>12</v>
      </c>
      <c r="Q279" s="2" t="s">
        <v>3734</v>
      </c>
      <c r="R279" s="2" t="s">
        <v>3734</v>
      </c>
      <c r="S279" s="4">
        <v>44967</v>
      </c>
    </row>
    <row r="280" spans="1:19" ht="12.5" x14ac:dyDescent="0.25">
      <c r="A280" s="14" t="str">
        <f>HYPERLINK("https://gerandofalcoes.my.salesforce.com/0014X00002YggpvQAB", "0014X00002YggpvQAB")</f>
        <v>0014X00002YggpvQAB</v>
      </c>
      <c r="B280" s="2" t="s">
        <v>3729</v>
      </c>
      <c r="C280" s="2" t="s">
        <v>423</v>
      </c>
      <c r="D280" s="2" t="s">
        <v>2</v>
      </c>
      <c r="E280" s="2"/>
      <c r="F280" s="2">
        <v>12</v>
      </c>
      <c r="G280" s="2">
        <v>3</v>
      </c>
      <c r="H280" s="2">
        <v>50000</v>
      </c>
      <c r="I280" s="2">
        <v>200</v>
      </c>
      <c r="J280" s="2"/>
      <c r="K280" s="2">
        <v>42</v>
      </c>
      <c r="L280" s="2">
        <v>0</v>
      </c>
      <c r="M280" s="2">
        <v>12</v>
      </c>
      <c r="N280" s="2">
        <v>8</v>
      </c>
      <c r="O280" s="2">
        <v>10</v>
      </c>
      <c r="P280" s="2">
        <v>12</v>
      </c>
      <c r="Q280" s="2" t="s">
        <v>3730</v>
      </c>
      <c r="R280" s="2" t="s">
        <v>3730</v>
      </c>
      <c r="S280" s="4">
        <v>44967</v>
      </c>
    </row>
    <row r="281" spans="1:19" ht="12.5" x14ac:dyDescent="0.25">
      <c r="A281" s="14" t="str">
        <f>HYPERLINK("https://gerandofalcoes.my.salesforce.com/0014X00002YggqCQAR", "0014X00002YggqCQAR")</f>
        <v>0014X00002YggqCQAR</v>
      </c>
      <c r="B281" s="2" t="s">
        <v>3745</v>
      </c>
      <c r="C281" s="2" t="s">
        <v>423</v>
      </c>
      <c r="D281" s="2" t="s">
        <v>2</v>
      </c>
      <c r="E281" s="2"/>
      <c r="F281" s="2">
        <v>3</v>
      </c>
      <c r="G281" s="2">
        <v>2</v>
      </c>
      <c r="H281" s="2">
        <v>300</v>
      </c>
      <c r="I281" s="2">
        <v>70</v>
      </c>
      <c r="J281" s="2"/>
      <c r="K281" s="2">
        <v>21</v>
      </c>
      <c r="L281" s="2">
        <v>0</v>
      </c>
      <c r="M281" s="2">
        <v>5</v>
      </c>
      <c r="N281" s="2">
        <v>6</v>
      </c>
      <c r="O281" s="2">
        <v>5</v>
      </c>
      <c r="P281" s="2">
        <v>5</v>
      </c>
      <c r="Q281" s="2" t="s">
        <v>3746</v>
      </c>
      <c r="R281" s="2" t="s">
        <v>3746</v>
      </c>
      <c r="S281" s="4">
        <v>44967</v>
      </c>
    </row>
    <row r="282" spans="1:19" ht="12.5" x14ac:dyDescent="0.25">
      <c r="A282" s="14" t="str">
        <f>HYPERLINK("https://gerandofalcoes.my.salesforce.com/0014X00002YgggxQAB", "0014X00002YgggxQAB")</f>
        <v>0014X00002YgggxQAB</v>
      </c>
      <c r="B282" s="2" t="s">
        <v>3698</v>
      </c>
      <c r="C282" s="2" t="s">
        <v>423</v>
      </c>
      <c r="D282" s="2" t="s">
        <v>2</v>
      </c>
      <c r="E282" s="2"/>
      <c r="F282" s="2">
        <v>0</v>
      </c>
      <c r="G282" s="2">
        <v>2</v>
      </c>
      <c r="H282" s="2">
        <v>131802.91</v>
      </c>
      <c r="I282" s="2">
        <v>50</v>
      </c>
      <c r="J282" s="2" t="s">
        <v>1779</v>
      </c>
      <c r="K282" s="2">
        <v>26</v>
      </c>
      <c r="L282" s="2">
        <v>0</v>
      </c>
      <c r="M282" s="2">
        <v>0</v>
      </c>
      <c r="N282" s="2">
        <v>6</v>
      </c>
      <c r="O282" s="2">
        <v>15</v>
      </c>
      <c r="P282" s="2">
        <v>5</v>
      </c>
      <c r="Q282" s="2" t="s">
        <v>3699</v>
      </c>
      <c r="R282" s="2" t="s">
        <v>3700</v>
      </c>
      <c r="S282" s="4">
        <v>44967</v>
      </c>
    </row>
    <row r="283" spans="1:19" ht="12.5" x14ac:dyDescent="0.25">
      <c r="A283" s="14" t="str">
        <f>HYPERLINK("https://gerandofalcoes.my.salesforce.com/0014X00002YggkOQAR", "0014X00002YggkOQAR")</f>
        <v>0014X00002YggkOQAR</v>
      </c>
      <c r="B283" s="2" t="s">
        <v>3719</v>
      </c>
      <c r="C283" s="2" t="s">
        <v>423</v>
      </c>
      <c r="D283" s="2" t="s">
        <v>2</v>
      </c>
      <c r="E283" s="2"/>
      <c r="F283" s="2">
        <v>20</v>
      </c>
      <c r="G283" s="2">
        <v>4</v>
      </c>
      <c r="H283" s="2">
        <v>180000</v>
      </c>
      <c r="I283" s="2">
        <v>80</v>
      </c>
      <c r="J283" s="2"/>
      <c r="K283" s="2">
        <v>47</v>
      </c>
      <c r="L283" s="2">
        <v>0</v>
      </c>
      <c r="M283" s="2">
        <v>12</v>
      </c>
      <c r="N283" s="2">
        <v>10</v>
      </c>
      <c r="O283" s="2">
        <v>15</v>
      </c>
      <c r="P283" s="2">
        <v>10</v>
      </c>
      <c r="Q283" s="2" t="s">
        <v>3720</v>
      </c>
      <c r="R283" s="2" t="s">
        <v>3721</v>
      </c>
      <c r="S283" s="4">
        <v>44967</v>
      </c>
    </row>
    <row r="284" spans="1:19" ht="12.5" x14ac:dyDescent="0.25">
      <c r="A284" s="14" t="str">
        <f>HYPERLINK("https://gerandofalcoes.my.salesforce.com/0014X00002YggiKQAR", "0014X00002YggiKQAR")</f>
        <v>0014X00002YggiKQAR</v>
      </c>
      <c r="B284" s="2" t="s">
        <v>3743</v>
      </c>
      <c r="C284" s="2" t="s">
        <v>423</v>
      </c>
      <c r="D284" s="2" t="s">
        <v>2</v>
      </c>
      <c r="E284" s="2"/>
      <c r="F284" s="2">
        <v>0</v>
      </c>
      <c r="G284" s="2">
        <v>2</v>
      </c>
      <c r="H284" s="2">
        <v>1000</v>
      </c>
      <c r="I284" s="2">
        <v>100</v>
      </c>
      <c r="J284" s="2"/>
      <c r="K284" s="2">
        <v>21</v>
      </c>
      <c r="L284" s="2">
        <v>0</v>
      </c>
      <c r="M284" s="2">
        <v>0</v>
      </c>
      <c r="N284" s="2">
        <v>6</v>
      </c>
      <c r="O284" s="2">
        <v>5</v>
      </c>
      <c r="P284" s="2">
        <v>10</v>
      </c>
      <c r="Q284" s="2" t="s">
        <v>3744</v>
      </c>
      <c r="R284" s="2" t="s">
        <v>3744</v>
      </c>
      <c r="S284" s="4">
        <v>44967</v>
      </c>
    </row>
    <row r="285" spans="1:19" ht="12.5" x14ac:dyDescent="0.25">
      <c r="A285" s="14" t="str">
        <f>HYPERLINK("https://gerandofalcoes.my.salesforce.com/0014X00002Yjq5GQAR", "0014X00002Yjq5GQAR")</f>
        <v>0014X00002Yjq5GQAR</v>
      </c>
      <c r="B285" s="2" t="s">
        <v>3805</v>
      </c>
      <c r="C285" s="2" t="s">
        <v>423</v>
      </c>
      <c r="D285" s="2" t="s">
        <v>2</v>
      </c>
      <c r="E285" s="2">
        <v>0</v>
      </c>
      <c r="F285" s="2">
        <v>0</v>
      </c>
      <c r="G285" s="2">
        <v>1</v>
      </c>
      <c r="H285" s="2">
        <v>3000</v>
      </c>
      <c r="I285" s="2">
        <v>180</v>
      </c>
      <c r="J285" s="2" t="s">
        <v>7150</v>
      </c>
      <c r="K285" s="2">
        <v>21</v>
      </c>
      <c r="L285" s="2">
        <v>0</v>
      </c>
      <c r="M285" s="2">
        <v>0</v>
      </c>
      <c r="N285" s="2">
        <v>4</v>
      </c>
      <c r="O285" s="2">
        <v>5</v>
      </c>
      <c r="P285" s="2">
        <v>12</v>
      </c>
      <c r="Q285" s="2" t="s">
        <v>3806</v>
      </c>
      <c r="R285" s="2" t="s">
        <v>3806</v>
      </c>
      <c r="S285" s="4">
        <v>44985</v>
      </c>
    </row>
    <row r="286" spans="1:19" ht="12.5" x14ac:dyDescent="0.25">
      <c r="A286" s="14" t="str">
        <f>HYPERLINK("https://gerandofalcoes.my.salesforce.com/0014X00002YgghbQAB", "0014X00002YgghbQAB")</f>
        <v>0014X00002YgghbQAB</v>
      </c>
      <c r="B286" s="2" t="s">
        <v>3784</v>
      </c>
      <c r="C286" s="2" t="s">
        <v>423</v>
      </c>
      <c r="D286" s="2" t="s">
        <v>2</v>
      </c>
      <c r="E286" s="2"/>
      <c r="F286" s="2">
        <v>4</v>
      </c>
      <c r="G286" s="2">
        <v>6</v>
      </c>
      <c r="H286" s="2">
        <v>8000</v>
      </c>
      <c r="I286" s="2">
        <v>280</v>
      </c>
      <c r="J286" s="2"/>
      <c r="K286" s="2">
        <v>32</v>
      </c>
      <c r="L286" s="2">
        <v>0</v>
      </c>
      <c r="M286" s="2">
        <v>5</v>
      </c>
      <c r="N286" s="2">
        <v>10</v>
      </c>
      <c r="O286" s="2">
        <v>5</v>
      </c>
      <c r="P286" s="2">
        <v>12</v>
      </c>
      <c r="Q286" s="2" t="s">
        <v>3785</v>
      </c>
      <c r="R286" s="2" t="s">
        <v>3786</v>
      </c>
      <c r="S286" s="4">
        <v>44968</v>
      </c>
    </row>
    <row r="287" spans="1:19" ht="12.5" x14ac:dyDescent="0.25">
      <c r="A287" s="14" t="str">
        <f>HYPERLINK("https://gerandofalcoes.my.salesforce.com/0014X00002YgghrQAB", "0014X00002YgghrQAB")</f>
        <v>0014X00002YgghrQAB</v>
      </c>
      <c r="B287" s="2" t="s">
        <v>3775</v>
      </c>
      <c r="C287" s="2" t="s">
        <v>423</v>
      </c>
      <c r="D287" s="2" t="s">
        <v>2</v>
      </c>
      <c r="E287" s="2"/>
      <c r="F287" s="2">
        <v>12</v>
      </c>
      <c r="G287" s="2">
        <v>4</v>
      </c>
      <c r="H287" s="2">
        <v>700000</v>
      </c>
      <c r="I287" s="2">
        <v>410</v>
      </c>
      <c r="J287" s="2"/>
      <c r="K287" s="2">
        <v>57</v>
      </c>
      <c r="L287" s="2">
        <v>0</v>
      </c>
      <c r="M287" s="2">
        <v>12</v>
      </c>
      <c r="N287" s="2">
        <v>10</v>
      </c>
      <c r="O287" s="2">
        <v>20</v>
      </c>
      <c r="P287" s="2">
        <v>15</v>
      </c>
      <c r="Q287" s="2" t="s">
        <v>3776</v>
      </c>
      <c r="R287" s="2" t="s">
        <v>3776</v>
      </c>
      <c r="S287" s="4">
        <v>44968</v>
      </c>
    </row>
    <row r="288" spans="1:19" ht="12.5" x14ac:dyDescent="0.25">
      <c r="A288" s="14" t="str">
        <f>HYPERLINK("https://gerandofalcoes.my.salesforce.com/0014X00002YggiFQAR", "0014X00002YggiFQAR")</f>
        <v>0014X00002YggiFQAR</v>
      </c>
      <c r="B288" s="2" t="s">
        <v>3794</v>
      </c>
      <c r="C288" s="2" t="s">
        <v>423</v>
      </c>
      <c r="D288" s="2" t="s">
        <v>2</v>
      </c>
      <c r="E288" s="2"/>
      <c r="F288" s="2">
        <v>2</v>
      </c>
      <c r="G288" s="2">
        <v>2</v>
      </c>
      <c r="H288" s="2">
        <v>200</v>
      </c>
      <c r="I288" s="2">
        <v>50</v>
      </c>
      <c r="J288" s="2"/>
      <c r="K288" s="2">
        <v>21</v>
      </c>
      <c r="L288" s="2">
        <v>0</v>
      </c>
      <c r="M288" s="2">
        <v>5</v>
      </c>
      <c r="N288" s="2">
        <v>6</v>
      </c>
      <c r="O288" s="2">
        <v>5</v>
      </c>
      <c r="P288" s="2">
        <v>5</v>
      </c>
      <c r="Q288" s="2" t="s">
        <v>3795</v>
      </c>
      <c r="R288" s="2" t="s">
        <v>3795</v>
      </c>
      <c r="S288" s="4">
        <v>44968</v>
      </c>
    </row>
    <row r="289" spans="1:19" ht="12.5" x14ac:dyDescent="0.25">
      <c r="A289" s="14" t="str">
        <f>HYPERLINK("https://gerandofalcoes.my.salesforce.com/0014X00002YgghAQAR", "0014X00002YgghAQAR")</f>
        <v>0014X00002YgghAQAR</v>
      </c>
      <c r="B289" s="2" t="s">
        <v>3695</v>
      </c>
      <c r="C289" s="2" t="s">
        <v>423</v>
      </c>
      <c r="D289" s="2" t="s">
        <v>2</v>
      </c>
      <c r="E289" s="2"/>
      <c r="F289" s="2">
        <v>36</v>
      </c>
      <c r="G289" s="2">
        <v>11</v>
      </c>
      <c r="H289" s="2">
        <v>237000</v>
      </c>
      <c r="I289" s="2">
        <v>450</v>
      </c>
      <c r="J289" s="2"/>
      <c r="K289" s="2">
        <v>60</v>
      </c>
      <c r="L289" s="2">
        <v>0</v>
      </c>
      <c r="M289" s="2">
        <v>15</v>
      </c>
      <c r="N289" s="2">
        <v>10</v>
      </c>
      <c r="O289" s="2">
        <v>15</v>
      </c>
      <c r="P289" s="2">
        <v>20</v>
      </c>
      <c r="Q289" s="2" t="s">
        <v>3696</v>
      </c>
      <c r="R289" s="2" t="s">
        <v>3697</v>
      </c>
      <c r="S289" s="4">
        <v>44967</v>
      </c>
    </row>
    <row r="290" spans="1:19" ht="12.5" x14ac:dyDescent="0.25">
      <c r="A290" s="14" t="str">
        <f>HYPERLINK("https://gerandofalcoes.my.salesforce.com/0014X00002YggmmQAB", "0014X00002YggmmQAB")</f>
        <v>0014X00002YggmmQAB</v>
      </c>
      <c r="B290" s="2" t="s">
        <v>3752</v>
      </c>
      <c r="C290" s="2" t="s">
        <v>423</v>
      </c>
      <c r="D290" s="2" t="s">
        <v>2</v>
      </c>
      <c r="E290" s="2"/>
      <c r="F290" s="2">
        <v>0</v>
      </c>
      <c r="G290" s="2">
        <v>4</v>
      </c>
      <c r="H290" s="2">
        <v>1500</v>
      </c>
      <c r="I290" s="2">
        <v>30</v>
      </c>
      <c r="J290" s="2"/>
      <c r="K290" s="2">
        <v>20</v>
      </c>
      <c r="L290" s="2">
        <v>0</v>
      </c>
      <c r="M290" s="2">
        <v>0</v>
      </c>
      <c r="N290" s="2">
        <v>10</v>
      </c>
      <c r="O290" s="2">
        <v>5</v>
      </c>
      <c r="P290" s="2">
        <v>5</v>
      </c>
      <c r="Q290" s="2" t="s">
        <v>3753</v>
      </c>
      <c r="R290" s="2" t="s">
        <v>3754</v>
      </c>
      <c r="S290" s="4">
        <v>44967</v>
      </c>
    </row>
    <row r="291" spans="1:19" ht="12.5" x14ac:dyDescent="0.25">
      <c r="A291" s="14" t="str">
        <f>HYPERLINK("https://gerandofalcoes.my.salesforce.com/0014X00002YggoEQAR", "0014X00002YggoEQAR")</f>
        <v>0014X00002YggoEQAR</v>
      </c>
      <c r="B291" s="2" t="s">
        <v>3701</v>
      </c>
      <c r="C291" s="2" t="s">
        <v>423</v>
      </c>
      <c r="D291" s="2" t="s">
        <v>2</v>
      </c>
      <c r="E291" s="2"/>
      <c r="F291" s="2">
        <v>0</v>
      </c>
      <c r="G291" s="2">
        <v>2</v>
      </c>
      <c r="H291" s="2">
        <v>1000</v>
      </c>
      <c r="I291" s="2">
        <v>30</v>
      </c>
      <c r="J291" s="2"/>
      <c r="K291" s="2">
        <v>16</v>
      </c>
      <c r="L291" s="2">
        <v>0</v>
      </c>
      <c r="M291" s="2">
        <v>0</v>
      </c>
      <c r="N291" s="2">
        <v>6</v>
      </c>
      <c r="O291" s="2">
        <v>5</v>
      </c>
      <c r="P291" s="2">
        <v>5</v>
      </c>
      <c r="Q291" s="2" t="s">
        <v>3702</v>
      </c>
      <c r="R291" s="2" t="s">
        <v>3702</v>
      </c>
      <c r="S291" s="4">
        <v>44967</v>
      </c>
    </row>
    <row r="292" spans="1:19" ht="12.5" x14ac:dyDescent="0.25">
      <c r="A292" s="14" t="str">
        <f>HYPERLINK("https://gerandofalcoes.my.salesforce.com/0014X00002YggoCQAR", "0014X00002YggoCQAR")</f>
        <v>0014X00002YggoCQAR</v>
      </c>
      <c r="B292" s="2" t="s">
        <v>3727</v>
      </c>
      <c r="C292" s="2" t="s">
        <v>423</v>
      </c>
      <c r="D292" s="2" t="s">
        <v>2</v>
      </c>
      <c r="E292" s="2"/>
      <c r="F292" s="2">
        <v>0</v>
      </c>
      <c r="G292" s="2">
        <v>2</v>
      </c>
      <c r="H292" s="2">
        <v>5000</v>
      </c>
      <c r="I292" s="2">
        <v>50</v>
      </c>
      <c r="J292" s="2"/>
      <c r="K292" s="2">
        <v>16</v>
      </c>
      <c r="L292" s="2">
        <v>0</v>
      </c>
      <c r="M292" s="2">
        <v>0</v>
      </c>
      <c r="N292" s="2">
        <v>6</v>
      </c>
      <c r="O292" s="2">
        <v>5</v>
      </c>
      <c r="P292" s="2">
        <v>5</v>
      </c>
      <c r="Q292" s="2" t="s">
        <v>3728</v>
      </c>
      <c r="R292" s="2" t="s">
        <v>3728</v>
      </c>
      <c r="S292" s="4">
        <v>44967</v>
      </c>
    </row>
    <row r="293" spans="1:19" ht="12.5" x14ac:dyDescent="0.25">
      <c r="A293" s="14" t="str">
        <f>HYPERLINK("https://gerandofalcoes.my.salesforce.com/0014X00002YgbkqQAB", "0014X00002YgbkqQAB")</f>
        <v>0014X00002YgbkqQAB</v>
      </c>
      <c r="B293" s="2" t="s">
        <v>3773</v>
      </c>
      <c r="C293" s="2" t="s">
        <v>423</v>
      </c>
      <c r="D293" s="2" t="s">
        <v>2</v>
      </c>
      <c r="E293" s="2"/>
      <c r="F293" s="2">
        <v>0</v>
      </c>
      <c r="G293" s="2">
        <v>0</v>
      </c>
      <c r="H293" s="2">
        <v>0</v>
      </c>
      <c r="I293" s="2">
        <v>0</v>
      </c>
      <c r="J293" s="2"/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 t="s">
        <v>3774</v>
      </c>
      <c r="R293" s="2" t="s">
        <v>3774</v>
      </c>
      <c r="S293" s="4">
        <v>44967</v>
      </c>
    </row>
    <row r="294" spans="1:19" ht="12.5" x14ac:dyDescent="0.25">
      <c r="A294" s="14" t="str">
        <f>HYPERLINK("https://gerandofalcoes.my.salesforce.com/0014X00002YgbkhQAB", "0014X00002YgbkhQAB")</f>
        <v>0014X00002YgbkhQAB</v>
      </c>
      <c r="B294" s="2" t="s">
        <v>3798</v>
      </c>
      <c r="C294" s="2" t="s">
        <v>423</v>
      </c>
      <c r="D294" s="2" t="s">
        <v>2</v>
      </c>
      <c r="E294" s="2"/>
      <c r="F294" s="2">
        <v>0</v>
      </c>
      <c r="G294" s="2">
        <v>0</v>
      </c>
      <c r="H294" s="2">
        <v>0</v>
      </c>
      <c r="I294" s="2">
        <v>0</v>
      </c>
      <c r="J294" s="2"/>
      <c r="K294" s="2">
        <v>0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 t="s">
        <v>3799</v>
      </c>
      <c r="R294" s="2" t="s">
        <v>3799</v>
      </c>
      <c r="S294" s="4">
        <v>44970</v>
      </c>
    </row>
    <row r="295" spans="1:19" ht="12.5" x14ac:dyDescent="0.25">
      <c r="A295" s="14" t="str">
        <f>HYPERLINK("https://gerandofalcoes.my.salesforce.com/0014X00002VKCtUQAX", "0014X00002VKCtUQAX")</f>
        <v>0014X00002VKCtUQAX</v>
      </c>
      <c r="B295" s="2" t="s">
        <v>3823</v>
      </c>
      <c r="C295" s="2" t="s">
        <v>423</v>
      </c>
      <c r="D295" s="2" t="s">
        <v>2</v>
      </c>
      <c r="E295" s="2">
        <v>37</v>
      </c>
      <c r="F295" s="2">
        <v>0</v>
      </c>
      <c r="G295" s="2">
        <v>0</v>
      </c>
      <c r="H295" s="2">
        <v>0</v>
      </c>
      <c r="I295" s="2">
        <v>51</v>
      </c>
      <c r="J295" s="2" t="s">
        <v>1779</v>
      </c>
      <c r="K295" s="2">
        <v>20</v>
      </c>
      <c r="L295" s="2">
        <v>15</v>
      </c>
      <c r="M295" s="2">
        <v>0</v>
      </c>
      <c r="N295" s="2">
        <v>0</v>
      </c>
      <c r="O295" s="2">
        <v>0</v>
      </c>
      <c r="P295" s="2">
        <v>5</v>
      </c>
      <c r="Q295" s="2" t="s">
        <v>3824</v>
      </c>
      <c r="R295" s="2" t="s">
        <v>3824</v>
      </c>
      <c r="S295" s="4">
        <v>45015</v>
      </c>
    </row>
    <row r="296" spans="1:19" ht="12.5" x14ac:dyDescent="0.25">
      <c r="A296" s="14" t="str">
        <f>HYPERLINK("https://gerandofalcoes.my.salesforce.com/0014X00002VKCqFQAX", "0014X00002VKCqFQAX")</f>
        <v>0014X00002VKCqFQAX</v>
      </c>
      <c r="B296" s="2" t="s">
        <v>3827</v>
      </c>
      <c r="C296" s="2" t="s">
        <v>423</v>
      </c>
      <c r="D296" s="2" t="s">
        <v>2</v>
      </c>
      <c r="E296" s="2">
        <v>21</v>
      </c>
      <c r="F296" s="2">
        <v>0</v>
      </c>
      <c r="G296" s="2">
        <v>0</v>
      </c>
      <c r="H296" s="2">
        <v>0</v>
      </c>
      <c r="I296" s="2">
        <v>0</v>
      </c>
      <c r="J296" s="2" t="s">
        <v>1779</v>
      </c>
      <c r="K296" s="2">
        <v>10</v>
      </c>
      <c r="L296" s="2">
        <v>10</v>
      </c>
      <c r="M296" s="2">
        <v>0</v>
      </c>
      <c r="N296" s="2">
        <v>0</v>
      </c>
      <c r="O296" s="2">
        <v>0</v>
      </c>
      <c r="P296" s="2">
        <v>0</v>
      </c>
      <c r="Q296" s="2" t="s">
        <v>2968</v>
      </c>
      <c r="R296" s="2" t="s">
        <v>2968</v>
      </c>
      <c r="S296" s="4">
        <v>45015</v>
      </c>
    </row>
    <row r="297" spans="1:19" ht="12.5" x14ac:dyDescent="0.25">
      <c r="A297" s="14" t="str">
        <f>HYPERLINK("https://gerandofalcoes.my.salesforce.com/0014X00002VKCrgQAH", "0014X00002VKCrgQAH")</f>
        <v>0014X00002VKCrgQAH</v>
      </c>
      <c r="B297" s="2" t="s">
        <v>3831</v>
      </c>
      <c r="C297" s="2" t="s">
        <v>423</v>
      </c>
      <c r="D297" s="2" t="s">
        <v>2</v>
      </c>
      <c r="E297" s="2">
        <v>17</v>
      </c>
      <c r="F297" s="2">
        <v>0</v>
      </c>
      <c r="G297" s="2">
        <v>1</v>
      </c>
      <c r="H297" s="2">
        <v>0</v>
      </c>
      <c r="I297" s="2">
        <v>22</v>
      </c>
      <c r="J297" s="2" t="s">
        <v>1779</v>
      </c>
      <c r="K297" s="2">
        <v>19</v>
      </c>
      <c r="L297" s="2">
        <v>10</v>
      </c>
      <c r="M297" s="2">
        <v>0</v>
      </c>
      <c r="N297" s="2">
        <v>4</v>
      </c>
      <c r="O297" s="2">
        <v>0</v>
      </c>
      <c r="P297" s="2">
        <v>5</v>
      </c>
      <c r="Q297" s="2" t="s">
        <v>3832</v>
      </c>
      <c r="R297" s="2" t="s">
        <v>3832</v>
      </c>
      <c r="S297" s="4">
        <v>45015</v>
      </c>
    </row>
    <row r="298" spans="1:19" ht="12.5" x14ac:dyDescent="0.25">
      <c r="A298" s="14" t="str">
        <f>HYPERLINK("https://gerandofalcoes.my.salesforce.com/0014X00002VKCq3QAH", "0014X00002VKCq3QAH")</f>
        <v>0014X00002VKCq3QAH</v>
      </c>
      <c r="B298" s="2" t="s">
        <v>3825</v>
      </c>
      <c r="C298" s="2" t="s">
        <v>423</v>
      </c>
      <c r="D298" s="2" t="s">
        <v>2</v>
      </c>
      <c r="E298" s="2">
        <v>28.4</v>
      </c>
      <c r="F298" s="2">
        <v>0</v>
      </c>
      <c r="G298" s="2">
        <v>0</v>
      </c>
      <c r="H298" s="2">
        <v>518799</v>
      </c>
      <c r="I298" s="2">
        <v>22</v>
      </c>
      <c r="J298" s="2" t="s">
        <v>1671</v>
      </c>
      <c r="K298" s="2">
        <v>40</v>
      </c>
      <c r="L298" s="2">
        <v>15</v>
      </c>
      <c r="M298" s="2">
        <v>0</v>
      </c>
      <c r="N298" s="2">
        <v>0</v>
      </c>
      <c r="O298" s="2">
        <v>20</v>
      </c>
      <c r="P298" s="2">
        <v>5</v>
      </c>
      <c r="Q298" s="2" t="s">
        <v>3826</v>
      </c>
      <c r="R298" s="2" t="s">
        <v>3826</v>
      </c>
      <c r="S298" s="4">
        <v>45015</v>
      </c>
    </row>
    <row r="299" spans="1:19" ht="12.5" x14ac:dyDescent="0.25">
      <c r="A299" s="14" t="str">
        <f>HYPERLINK("https://gerandofalcoes.my.salesforce.com/0014X00002YggiPQAR", "0014X00002YggiPQAR")</f>
        <v>0014X00002YggiPQAR</v>
      </c>
      <c r="B299" s="2" t="s">
        <v>3033</v>
      </c>
      <c r="C299" s="2" t="s">
        <v>423</v>
      </c>
      <c r="D299" s="2" t="s">
        <v>2</v>
      </c>
      <c r="E299" s="2"/>
      <c r="F299" s="2">
        <v>1</v>
      </c>
      <c r="G299" s="2">
        <v>2</v>
      </c>
      <c r="H299" s="2">
        <v>600</v>
      </c>
      <c r="I299" s="2">
        <v>0</v>
      </c>
      <c r="J299" s="2"/>
      <c r="K299" s="2">
        <v>16</v>
      </c>
      <c r="L299" s="2">
        <v>0</v>
      </c>
      <c r="M299" s="2">
        <v>5</v>
      </c>
      <c r="N299" s="2">
        <v>6</v>
      </c>
      <c r="O299" s="2">
        <v>5</v>
      </c>
      <c r="P299" s="2">
        <v>0</v>
      </c>
      <c r="Q299" s="2" t="s">
        <v>3034</v>
      </c>
      <c r="R299" s="2" t="s">
        <v>3034</v>
      </c>
      <c r="S299" s="4">
        <v>44945</v>
      </c>
    </row>
    <row r="300" spans="1:19" ht="12.5" x14ac:dyDescent="0.25">
      <c r="A300" s="14" t="str">
        <f>HYPERLINK("https://gerandofalcoes.my.salesforce.com/0014X00002YgbkWQAR", "0014X00002YgbkWQAR")</f>
        <v>0014X00002YgbkWQAR</v>
      </c>
      <c r="B300" s="2" t="s">
        <v>3821</v>
      </c>
      <c r="C300" s="2" t="s">
        <v>423</v>
      </c>
      <c r="D300" s="2" t="s">
        <v>2</v>
      </c>
      <c r="E300" s="2"/>
      <c r="F300" s="2">
        <v>0</v>
      </c>
      <c r="G300" s="2">
        <v>0</v>
      </c>
      <c r="H300" s="2">
        <v>0</v>
      </c>
      <c r="I300" s="2">
        <v>0</v>
      </c>
      <c r="J300" s="2"/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 t="s">
        <v>3822</v>
      </c>
      <c r="R300" s="2" t="s">
        <v>3822</v>
      </c>
      <c r="S300" s="4">
        <v>45001</v>
      </c>
    </row>
    <row r="301" spans="1:19" ht="12.5" x14ac:dyDescent="0.25">
      <c r="A301" s="14" t="str">
        <f>HYPERLINK("https://gerandofalcoes.my.salesforce.com/0014X00002YggjrQAB", "0014X00002YggjrQAB")</f>
        <v>0014X00002YggjrQAB</v>
      </c>
      <c r="B301" s="2" t="s">
        <v>3040</v>
      </c>
      <c r="C301" s="2" t="s">
        <v>423</v>
      </c>
      <c r="D301" s="2" t="s">
        <v>2</v>
      </c>
      <c r="E301" s="2"/>
      <c r="F301" s="2">
        <v>0</v>
      </c>
      <c r="G301" s="2">
        <v>2</v>
      </c>
      <c r="H301" s="2">
        <v>86000</v>
      </c>
      <c r="I301" s="2">
        <v>170</v>
      </c>
      <c r="J301" s="2"/>
      <c r="K301" s="2">
        <v>28</v>
      </c>
      <c r="L301" s="2">
        <v>0</v>
      </c>
      <c r="M301" s="2">
        <v>0</v>
      </c>
      <c r="N301" s="2">
        <v>6</v>
      </c>
      <c r="O301" s="2">
        <v>10</v>
      </c>
      <c r="P301" s="2">
        <v>12</v>
      </c>
      <c r="Q301" s="2" t="s">
        <v>3041</v>
      </c>
      <c r="R301" s="2" t="s">
        <v>3042</v>
      </c>
      <c r="S301" s="4">
        <v>44945</v>
      </c>
    </row>
    <row r="302" spans="1:19" ht="12.5" x14ac:dyDescent="0.25">
      <c r="A302" s="14" t="str">
        <f>HYPERLINK("https://gerandofalcoes.my.salesforce.com/0014X00002YggiJQAR", "0014X00002YggiJQAR")</f>
        <v>0014X00002YggiJQAR</v>
      </c>
      <c r="B302" s="2" t="s">
        <v>3069</v>
      </c>
      <c r="C302" s="2" t="s">
        <v>423</v>
      </c>
      <c r="D302" s="2" t="s">
        <v>2</v>
      </c>
      <c r="E302" s="2"/>
      <c r="F302" s="2">
        <v>1</v>
      </c>
      <c r="G302" s="2">
        <v>2</v>
      </c>
      <c r="H302" s="2">
        <v>0</v>
      </c>
      <c r="I302" s="2">
        <v>1200</v>
      </c>
      <c r="J302" s="2"/>
      <c r="K302" s="2">
        <v>31</v>
      </c>
      <c r="L302" s="2">
        <v>0</v>
      </c>
      <c r="M302" s="2">
        <v>5</v>
      </c>
      <c r="N302" s="2">
        <v>6</v>
      </c>
      <c r="O302" s="2">
        <v>0</v>
      </c>
      <c r="P302" s="2">
        <v>20</v>
      </c>
      <c r="Q302" s="2" t="s">
        <v>3070</v>
      </c>
      <c r="R302" s="2" t="s">
        <v>3071</v>
      </c>
      <c r="S302" s="4">
        <v>44946</v>
      </c>
    </row>
    <row r="303" spans="1:19" ht="12.5" x14ac:dyDescent="0.25">
      <c r="A303" s="14" t="str">
        <f>HYPERLINK("https://gerandofalcoes.my.salesforce.com/0014X00002VKCq1QAH", "0014X00002VKCq1QAH")</f>
        <v>0014X00002VKCq1QAH</v>
      </c>
      <c r="B303" s="2" t="s">
        <v>2164</v>
      </c>
      <c r="C303" s="2" t="s">
        <v>423</v>
      </c>
      <c r="D303" s="2" t="s">
        <v>2</v>
      </c>
      <c r="E303" s="2">
        <v>33</v>
      </c>
      <c r="F303" s="2">
        <v>0</v>
      </c>
      <c r="G303" s="2">
        <v>2</v>
      </c>
      <c r="H303" s="2">
        <v>5000</v>
      </c>
      <c r="I303" s="2">
        <v>250</v>
      </c>
      <c r="J303" s="2" t="s">
        <v>1779</v>
      </c>
      <c r="K303" s="2">
        <v>38</v>
      </c>
      <c r="L303" s="2">
        <v>15</v>
      </c>
      <c r="M303" s="2">
        <v>0</v>
      </c>
      <c r="N303" s="2">
        <v>6</v>
      </c>
      <c r="O303" s="2">
        <v>5</v>
      </c>
      <c r="P303" s="2">
        <v>12</v>
      </c>
      <c r="Q303" s="2" t="s">
        <v>2165</v>
      </c>
      <c r="R303" s="2" t="s">
        <v>2166</v>
      </c>
      <c r="S303" s="4">
        <v>44837</v>
      </c>
    </row>
    <row r="304" spans="1:19" ht="12.5" x14ac:dyDescent="0.25">
      <c r="A304" s="14" t="str">
        <f>HYPERLINK("https://gerandofalcoes.my.salesforce.com/0014X00002VKCoxQAH", "0014X00002VKCoxQAH")</f>
        <v>0014X00002VKCoxQAH</v>
      </c>
      <c r="B304" s="2" t="s">
        <v>2582</v>
      </c>
      <c r="C304" s="2" t="s">
        <v>423</v>
      </c>
      <c r="D304" s="2" t="s">
        <v>2</v>
      </c>
      <c r="E304" s="2">
        <v>38</v>
      </c>
      <c r="F304" s="2">
        <v>6</v>
      </c>
      <c r="G304" s="2">
        <v>1</v>
      </c>
      <c r="H304" s="2">
        <v>550</v>
      </c>
      <c r="I304" s="2">
        <v>0</v>
      </c>
      <c r="J304" s="2" t="s">
        <v>1779</v>
      </c>
      <c r="K304" s="2">
        <v>34</v>
      </c>
      <c r="L304" s="2">
        <v>15</v>
      </c>
      <c r="M304" s="2">
        <v>10</v>
      </c>
      <c r="N304" s="2">
        <v>4</v>
      </c>
      <c r="O304" s="2">
        <v>5</v>
      </c>
      <c r="P304" s="2">
        <v>0</v>
      </c>
      <c r="Q304" s="2" t="s">
        <v>2583</v>
      </c>
      <c r="R304" s="2" t="s">
        <v>2584</v>
      </c>
      <c r="S304" s="4">
        <v>44837</v>
      </c>
    </row>
    <row r="305" spans="1:19" ht="12.5" x14ac:dyDescent="0.25">
      <c r="A305" s="14" t="str">
        <f>HYPERLINK("https://gerandofalcoes.my.salesforce.com/0014X00002VKCsVQAX", "0014X00002VKCsVQAX")</f>
        <v>0014X00002VKCsVQAX</v>
      </c>
      <c r="B305" s="2" t="s">
        <v>1785</v>
      </c>
      <c r="C305" s="2" t="s">
        <v>423</v>
      </c>
      <c r="D305" s="2" t="s">
        <v>2</v>
      </c>
      <c r="E305" s="2">
        <v>56</v>
      </c>
      <c r="F305" s="2">
        <v>0</v>
      </c>
      <c r="G305" s="2">
        <v>3</v>
      </c>
      <c r="H305" s="2">
        <v>22800</v>
      </c>
      <c r="I305" s="2">
        <v>95</v>
      </c>
      <c r="J305" s="2" t="s">
        <v>1671</v>
      </c>
      <c r="K305" s="2">
        <v>43</v>
      </c>
      <c r="L305" s="2">
        <v>20</v>
      </c>
      <c r="M305" s="2">
        <v>0</v>
      </c>
      <c r="N305" s="2">
        <v>8</v>
      </c>
      <c r="O305" s="2">
        <v>5</v>
      </c>
      <c r="P305" s="2">
        <v>10</v>
      </c>
      <c r="Q305" s="2" t="s">
        <v>1786</v>
      </c>
      <c r="R305" s="2" t="s">
        <v>1787</v>
      </c>
      <c r="S305" s="4">
        <v>44837</v>
      </c>
    </row>
    <row r="306" spans="1:19" ht="12.5" x14ac:dyDescent="0.25">
      <c r="A306" s="14" t="str">
        <f>HYPERLINK("https://gerandofalcoes.my.salesforce.com/0014X00002VKCqXQAX", "0014X00002VKCqXQAX")</f>
        <v>0014X00002VKCqXQAX</v>
      </c>
      <c r="B306" s="2" t="s">
        <v>2301</v>
      </c>
      <c r="C306" s="2" t="s">
        <v>1800</v>
      </c>
      <c r="D306" s="2" t="s">
        <v>2</v>
      </c>
      <c r="E306" s="2">
        <v>29</v>
      </c>
      <c r="F306" s="2">
        <v>0</v>
      </c>
      <c r="G306" s="2">
        <v>5</v>
      </c>
      <c r="H306" s="2">
        <v>70000</v>
      </c>
      <c r="I306" s="2">
        <v>100</v>
      </c>
      <c r="J306" s="2" t="s">
        <v>1671</v>
      </c>
      <c r="K306" s="2">
        <v>45</v>
      </c>
      <c r="L306" s="2">
        <v>15</v>
      </c>
      <c r="M306" s="2">
        <v>0</v>
      </c>
      <c r="N306" s="2">
        <v>10</v>
      </c>
      <c r="O306" s="2">
        <v>10</v>
      </c>
      <c r="P306" s="2">
        <v>10</v>
      </c>
      <c r="Q306" s="2" t="s">
        <v>2302</v>
      </c>
      <c r="R306" s="2" t="s">
        <v>2303</v>
      </c>
      <c r="S306" s="4">
        <v>44837</v>
      </c>
    </row>
    <row r="307" spans="1:19" ht="12.5" x14ac:dyDescent="0.25">
      <c r="A307" s="14" t="str">
        <f>HYPERLINK("https://gerandofalcoes.my.salesforce.com/0014X00002VKCouQAH", "0014X00002VKCouQAH")</f>
        <v>0014X00002VKCouQAH</v>
      </c>
      <c r="B307" s="2" t="s">
        <v>2642</v>
      </c>
      <c r="C307" s="2" t="s">
        <v>1800</v>
      </c>
      <c r="D307" s="2" t="s">
        <v>2</v>
      </c>
      <c r="E307" s="2">
        <v>18</v>
      </c>
      <c r="F307" s="2">
        <v>0</v>
      </c>
      <c r="G307" s="2">
        <v>2</v>
      </c>
      <c r="H307" s="2">
        <v>11000</v>
      </c>
      <c r="I307" s="2">
        <v>0</v>
      </c>
      <c r="J307" s="2" t="s">
        <v>1779</v>
      </c>
      <c r="K307" s="2">
        <v>21</v>
      </c>
      <c r="L307" s="2">
        <v>10</v>
      </c>
      <c r="M307" s="2">
        <v>0</v>
      </c>
      <c r="N307" s="2">
        <v>6</v>
      </c>
      <c r="O307" s="2">
        <v>5</v>
      </c>
      <c r="P307" s="2">
        <v>0</v>
      </c>
      <c r="Q307" s="2" t="s">
        <v>2643</v>
      </c>
      <c r="R307" s="2" t="s">
        <v>2643</v>
      </c>
      <c r="S307" s="4">
        <v>44837</v>
      </c>
    </row>
    <row r="308" spans="1:19" ht="12.5" x14ac:dyDescent="0.25">
      <c r="A308" s="14" t="str">
        <f>HYPERLINK("https://gerandofalcoes.my.salesforce.com/0014X00002VKCpvQAH", "0014X00002VKCpvQAH")</f>
        <v>0014X00002VKCpvQAH</v>
      </c>
      <c r="B308" s="2" t="s">
        <v>2967</v>
      </c>
      <c r="C308" s="2" t="s">
        <v>423</v>
      </c>
      <c r="D308" s="2" t="s">
        <v>2</v>
      </c>
      <c r="E308" s="2">
        <v>10</v>
      </c>
      <c r="F308" s="2">
        <v>1</v>
      </c>
      <c r="G308" s="2">
        <v>1</v>
      </c>
      <c r="H308" s="2">
        <v>1000</v>
      </c>
      <c r="I308" s="2">
        <v>70</v>
      </c>
      <c r="J308" s="2" t="s">
        <v>1779</v>
      </c>
      <c r="K308" s="2">
        <v>29</v>
      </c>
      <c r="L308" s="2">
        <v>10</v>
      </c>
      <c r="M308" s="2">
        <v>5</v>
      </c>
      <c r="N308" s="2">
        <v>4</v>
      </c>
      <c r="O308" s="2">
        <v>5</v>
      </c>
      <c r="P308" s="2">
        <v>5</v>
      </c>
      <c r="Q308" s="2" t="s">
        <v>2968</v>
      </c>
      <c r="R308" s="2" t="s">
        <v>2969</v>
      </c>
      <c r="S308" s="4">
        <v>44837</v>
      </c>
    </row>
    <row r="309" spans="1:19" ht="12.5" x14ac:dyDescent="0.25">
      <c r="A309" s="14" t="str">
        <f>HYPERLINK("https://gerandofalcoes.my.salesforce.com/0014X00002VKCrDQAX", "0014X00002VKCrDQAX")</f>
        <v>0014X00002VKCrDQAX</v>
      </c>
      <c r="B309" s="2" t="s">
        <v>2755</v>
      </c>
      <c r="C309" s="2" t="s">
        <v>423</v>
      </c>
      <c r="D309" s="2" t="s">
        <v>2</v>
      </c>
      <c r="E309" s="2">
        <v>14</v>
      </c>
      <c r="F309" s="2">
        <v>2</v>
      </c>
      <c r="G309" s="2">
        <v>0</v>
      </c>
      <c r="H309" s="2">
        <v>0</v>
      </c>
      <c r="I309" s="2">
        <v>60</v>
      </c>
      <c r="J309" s="2" t="s">
        <v>1779</v>
      </c>
      <c r="K309" s="2">
        <v>20</v>
      </c>
      <c r="L309" s="2">
        <v>10</v>
      </c>
      <c r="M309" s="2">
        <v>5</v>
      </c>
      <c r="N309" s="2">
        <v>0</v>
      </c>
      <c r="O309" s="2">
        <v>0</v>
      </c>
      <c r="P309" s="2">
        <v>5</v>
      </c>
      <c r="Q309" s="2" t="s">
        <v>2756</v>
      </c>
      <c r="R309" s="2" t="s">
        <v>2756</v>
      </c>
      <c r="S309" s="4">
        <v>44837</v>
      </c>
    </row>
    <row r="310" spans="1:19" ht="12.5" x14ac:dyDescent="0.25">
      <c r="A310" s="14" t="str">
        <f>HYPERLINK("https://gerandofalcoes.my.salesforce.com/0014X00002VKCqRQAX", "0014X00002VKCqRQAX")</f>
        <v>0014X00002VKCqRQAX</v>
      </c>
      <c r="B310" s="2" t="s">
        <v>1758</v>
      </c>
      <c r="C310" s="2" t="s">
        <v>423</v>
      </c>
      <c r="D310" s="2" t="s">
        <v>2</v>
      </c>
      <c r="E310" s="2">
        <v>61.97</v>
      </c>
      <c r="F310" s="2">
        <v>0</v>
      </c>
      <c r="G310" s="2">
        <v>6</v>
      </c>
      <c r="H310" s="2">
        <v>112190</v>
      </c>
      <c r="I310" s="2">
        <v>197</v>
      </c>
      <c r="J310" s="2" t="s">
        <v>1671</v>
      </c>
      <c r="K310" s="2">
        <v>57</v>
      </c>
      <c r="L310" s="2">
        <v>20</v>
      </c>
      <c r="M310" s="2">
        <v>0</v>
      </c>
      <c r="N310" s="2">
        <v>10</v>
      </c>
      <c r="O310" s="2">
        <v>15</v>
      </c>
      <c r="P310" s="2">
        <v>12</v>
      </c>
      <c r="Q310" s="2" t="s">
        <v>1759</v>
      </c>
      <c r="R310" s="2" t="s">
        <v>1760</v>
      </c>
      <c r="S310" s="4">
        <v>44837</v>
      </c>
    </row>
    <row r="311" spans="1:19" ht="12.5" x14ac:dyDescent="0.25">
      <c r="A311" s="14" t="str">
        <f>HYPERLINK("https://gerandofalcoes.my.salesforce.com/0014X00002VKCr1QAH", "0014X00002VKCr1QAH")</f>
        <v>0014X00002VKCr1QAH</v>
      </c>
      <c r="B311" s="2" t="s">
        <v>2494</v>
      </c>
      <c r="C311" s="2" t="s">
        <v>423</v>
      </c>
      <c r="D311" s="2" t="s">
        <v>2</v>
      </c>
      <c r="E311" s="2">
        <v>21.76</v>
      </c>
      <c r="F311" s="2">
        <v>5</v>
      </c>
      <c r="G311" s="2">
        <v>3</v>
      </c>
      <c r="H311" s="2">
        <v>92000</v>
      </c>
      <c r="I311" s="2">
        <v>0</v>
      </c>
      <c r="J311" s="2" t="s">
        <v>1779</v>
      </c>
      <c r="K311" s="2">
        <v>33</v>
      </c>
      <c r="L311" s="2">
        <v>10</v>
      </c>
      <c r="M311" s="2">
        <v>5</v>
      </c>
      <c r="N311" s="2">
        <v>8</v>
      </c>
      <c r="O311" s="2">
        <v>10</v>
      </c>
      <c r="P311" s="2">
        <v>0</v>
      </c>
      <c r="Q311" s="2" t="s">
        <v>2495</v>
      </c>
      <c r="R311" s="2" t="s">
        <v>2496</v>
      </c>
      <c r="S311" s="4">
        <v>44837</v>
      </c>
    </row>
    <row r="312" spans="1:19" ht="12.5" x14ac:dyDescent="0.25">
      <c r="A312" s="14" t="str">
        <f>HYPERLINK("https://gerandofalcoes.my.salesforce.com/0014X00002VKCuWQAX", "0014X00002VKCuWQAX")</f>
        <v>0014X00002VKCuWQAX</v>
      </c>
      <c r="B312" s="2" t="s">
        <v>1930</v>
      </c>
      <c r="C312" s="2" t="s">
        <v>423</v>
      </c>
      <c r="D312" s="2" t="s">
        <v>2</v>
      </c>
      <c r="E312" s="2">
        <v>42</v>
      </c>
      <c r="F312" s="2">
        <v>35</v>
      </c>
      <c r="G312" s="2">
        <v>4</v>
      </c>
      <c r="H312" s="2">
        <v>30000</v>
      </c>
      <c r="I312" s="2">
        <v>30</v>
      </c>
      <c r="J312" s="2" t="s">
        <v>1671</v>
      </c>
      <c r="K312" s="2">
        <v>55</v>
      </c>
      <c r="L312" s="2">
        <v>15</v>
      </c>
      <c r="M312" s="2">
        <v>15</v>
      </c>
      <c r="N312" s="2">
        <v>10</v>
      </c>
      <c r="O312" s="2">
        <v>10</v>
      </c>
      <c r="P312" s="2">
        <v>5</v>
      </c>
      <c r="Q312" s="2" t="s">
        <v>1931</v>
      </c>
      <c r="R312" s="2" t="s">
        <v>1931</v>
      </c>
      <c r="S312" s="4">
        <v>44837</v>
      </c>
    </row>
    <row r="313" spans="1:19" ht="12.5" x14ac:dyDescent="0.25">
      <c r="A313" s="14" t="str">
        <f>HYPERLINK("https://gerandofalcoes.my.salesforce.com/0014X00002VKCpsQAH", "0014X00002VKCpsQAH")</f>
        <v>0014X00002VKCpsQAH</v>
      </c>
      <c r="B313" s="2" t="s">
        <v>1764</v>
      </c>
      <c r="C313" s="2" t="s">
        <v>423</v>
      </c>
      <c r="D313" s="2" t="s">
        <v>2</v>
      </c>
      <c r="E313" s="2">
        <v>52</v>
      </c>
      <c r="F313" s="2">
        <v>36</v>
      </c>
      <c r="G313" s="2">
        <v>2</v>
      </c>
      <c r="H313" s="2">
        <v>2039327</v>
      </c>
      <c r="I313" s="2">
        <v>0</v>
      </c>
      <c r="J313" s="2" t="s">
        <v>1650</v>
      </c>
      <c r="K313" s="2">
        <v>66</v>
      </c>
      <c r="L313" s="2">
        <v>20</v>
      </c>
      <c r="M313" s="2">
        <v>15</v>
      </c>
      <c r="N313" s="2">
        <v>6</v>
      </c>
      <c r="O313" s="2">
        <v>25</v>
      </c>
      <c r="P313" s="2">
        <v>0</v>
      </c>
      <c r="Q313" s="2" t="s">
        <v>1765</v>
      </c>
      <c r="R313" s="2" t="s">
        <v>1766</v>
      </c>
      <c r="S313" s="4">
        <v>44837</v>
      </c>
    </row>
    <row r="314" spans="1:19" ht="12.5" x14ac:dyDescent="0.25">
      <c r="A314" s="14" t="str">
        <f>HYPERLINK("https://gerandofalcoes.my.salesforce.com/0014X00002VKCuIQAX", "0014X00002VKCuIQAX")</f>
        <v>0014X00002VKCuIQAX</v>
      </c>
      <c r="B314" s="2" t="s">
        <v>2217</v>
      </c>
      <c r="C314" s="2" t="s">
        <v>423</v>
      </c>
      <c r="D314" s="2" t="s">
        <v>2</v>
      </c>
      <c r="E314" s="2">
        <v>32</v>
      </c>
      <c r="F314" s="2">
        <v>0</v>
      </c>
      <c r="G314" s="2">
        <v>2</v>
      </c>
      <c r="H314" s="2">
        <v>10000</v>
      </c>
      <c r="I314" s="2">
        <v>300</v>
      </c>
      <c r="J314" s="2" t="s">
        <v>1671</v>
      </c>
      <c r="K314" s="2">
        <v>41</v>
      </c>
      <c r="L314" s="2">
        <v>15</v>
      </c>
      <c r="M314" s="2">
        <v>0</v>
      </c>
      <c r="N314" s="2">
        <v>6</v>
      </c>
      <c r="O314" s="2">
        <v>5</v>
      </c>
      <c r="P314" s="2">
        <v>15</v>
      </c>
      <c r="Q314" s="2" t="s">
        <v>2218</v>
      </c>
      <c r="R314" s="2" t="s">
        <v>2219</v>
      </c>
      <c r="S314" s="4">
        <v>44837</v>
      </c>
    </row>
    <row r="315" spans="1:19" ht="12.5" x14ac:dyDescent="0.25">
      <c r="A315" s="14" t="str">
        <f>HYPERLINK("https://gerandofalcoes.my.salesforce.com/0014X00002VKCt4QAH", "0014X00002VKCt4QAH")</f>
        <v>0014X00002VKCt4QAH</v>
      </c>
      <c r="B315" s="2" t="s">
        <v>1841</v>
      </c>
      <c r="C315" s="2" t="s">
        <v>423</v>
      </c>
      <c r="D315" s="2" t="s">
        <v>2</v>
      </c>
      <c r="E315" s="2">
        <v>80</v>
      </c>
      <c r="F315" s="2">
        <v>0</v>
      </c>
      <c r="G315" s="2">
        <v>2</v>
      </c>
      <c r="H315" s="2">
        <v>272000</v>
      </c>
      <c r="I315" s="2">
        <v>105</v>
      </c>
      <c r="J315" s="2" t="s">
        <v>1671</v>
      </c>
      <c r="K315" s="2">
        <v>56</v>
      </c>
      <c r="L315" s="2">
        <v>25</v>
      </c>
      <c r="M315" s="2">
        <v>0</v>
      </c>
      <c r="N315" s="2">
        <v>6</v>
      </c>
      <c r="O315" s="2">
        <v>15</v>
      </c>
      <c r="P315" s="2">
        <v>10</v>
      </c>
      <c r="Q315" s="2" t="s">
        <v>1842</v>
      </c>
      <c r="R315" s="2" t="s">
        <v>1843</v>
      </c>
      <c r="S315" s="4">
        <v>44837</v>
      </c>
    </row>
    <row r="316" spans="1:19" ht="12.5" x14ac:dyDescent="0.25">
      <c r="A316" s="14" t="str">
        <f>HYPERLINK("https://gerandofalcoes.my.salesforce.com/0014X00002VKCuPQAX", "0014X00002VKCuPQAX")</f>
        <v>0014X00002VKCuPQAX</v>
      </c>
      <c r="B316" s="2" t="s">
        <v>2909</v>
      </c>
      <c r="C316" s="2" t="s">
        <v>423</v>
      </c>
      <c r="D316" s="2" t="s">
        <v>2</v>
      </c>
      <c r="E316" s="2">
        <v>24</v>
      </c>
      <c r="F316" s="2">
        <v>0</v>
      </c>
      <c r="G316" s="2">
        <v>0</v>
      </c>
      <c r="H316" s="2">
        <v>0</v>
      </c>
      <c r="I316" s="2">
        <v>0</v>
      </c>
      <c r="J316" s="2" t="s">
        <v>1779</v>
      </c>
      <c r="K316" s="2">
        <v>10</v>
      </c>
      <c r="L316" s="2">
        <v>10</v>
      </c>
      <c r="M316" s="2">
        <v>0</v>
      </c>
      <c r="N316" s="2">
        <v>0</v>
      </c>
      <c r="O316" s="2">
        <v>0</v>
      </c>
      <c r="P316" s="2">
        <v>0</v>
      </c>
      <c r="Q316" s="2" t="s">
        <v>2910</v>
      </c>
      <c r="R316" s="2" t="s">
        <v>2911</v>
      </c>
      <c r="S316" s="4">
        <v>44837</v>
      </c>
    </row>
    <row r="317" spans="1:19" ht="12.5" x14ac:dyDescent="0.25">
      <c r="A317" s="14" t="str">
        <f>HYPERLINK("https://gerandofalcoes.my.salesforce.com/0014X00002VKCpxQAH", "0014X00002VKCpxQAH")</f>
        <v>0014X00002VKCpxQAH</v>
      </c>
      <c r="B317" s="2" t="s">
        <v>2551</v>
      </c>
      <c r="C317" s="2" t="s">
        <v>1800</v>
      </c>
      <c r="D317" s="2" t="s">
        <v>2</v>
      </c>
      <c r="E317" s="2">
        <v>20</v>
      </c>
      <c r="F317" s="2">
        <v>5</v>
      </c>
      <c r="G317" s="2">
        <v>7</v>
      </c>
      <c r="H317" s="2">
        <v>21530</v>
      </c>
      <c r="I317" s="2">
        <v>387</v>
      </c>
      <c r="J317" s="2" t="s">
        <v>1671</v>
      </c>
      <c r="K317" s="2">
        <v>45</v>
      </c>
      <c r="L317" s="2">
        <v>10</v>
      </c>
      <c r="M317" s="2">
        <v>5</v>
      </c>
      <c r="N317" s="2">
        <v>10</v>
      </c>
      <c r="O317" s="2">
        <v>5</v>
      </c>
      <c r="P317" s="2">
        <v>15</v>
      </c>
      <c r="Q317" s="2" t="s">
        <v>2552</v>
      </c>
      <c r="R317" s="2" t="s">
        <v>2553</v>
      </c>
      <c r="S317" s="4">
        <v>44837</v>
      </c>
    </row>
    <row r="318" spans="1:19" ht="12.5" x14ac:dyDescent="0.25">
      <c r="A318" s="14" t="str">
        <f>HYPERLINK("https://gerandofalcoes.my.salesforce.com/0014X00002VKCqgQAH", "0014X00002VKCqgQAH")</f>
        <v>0014X00002VKCqgQAH</v>
      </c>
      <c r="B318" s="2" t="s">
        <v>1816</v>
      </c>
      <c r="C318" s="2" t="s">
        <v>423</v>
      </c>
      <c r="D318" s="2" t="s">
        <v>2</v>
      </c>
      <c r="E318" s="2">
        <v>43</v>
      </c>
      <c r="F318" s="2">
        <v>12</v>
      </c>
      <c r="G318" s="2">
        <v>2</v>
      </c>
      <c r="H318" s="2">
        <v>472000</v>
      </c>
      <c r="I318" s="2">
        <v>50</v>
      </c>
      <c r="J318" s="2" t="s">
        <v>1671</v>
      </c>
      <c r="K318" s="2">
        <v>58</v>
      </c>
      <c r="L318" s="2">
        <v>15</v>
      </c>
      <c r="M318" s="2">
        <v>12</v>
      </c>
      <c r="N318" s="2">
        <v>6</v>
      </c>
      <c r="O318" s="2">
        <v>20</v>
      </c>
      <c r="P318" s="2">
        <v>5</v>
      </c>
      <c r="Q318" s="2" t="s">
        <v>1817</v>
      </c>
      <c r="R318" s="2" t="s">
        <v>1818</v>
      </c>
      <c r="S318" s="4">
        <v>44837</v>
      </c>
    </row>
    <row r="319" spans="1:19" ht="12.5" x14ac:dyDescent="0.25">
      <c r="A319" s="14" t="str">
        <f>HYPERLINK("https://gerandofalcoes.my.salesforce.com/0014X00002VKCpmQAH", "0014X00002VKCpmQAH")</f>
        <v>0014X00002VKCpmQAH</v>
      </c>
      <c r="B319" s="2" t="s">
        <v>2555</v>
      </c>
      <c r="C319" s="2" t="s">
        <v>1800</v>
      </c>
      <c r="D319" s="2" t="s">
        <v>2</v>
      </c>
      <c r="E319" s="2">
        <v>20</v>
      </c>
      <c r="F319" s="2">
        <v>0</v>
      </c>
      <c r="G319" s="2">
        <v>3</v>
      </c>
      <c r="H319" s="2">
        <v>7000</v>
      </c>
      <c r="I319" s="2">
        <v>80</v>
      </c>
      <c r="J319" s="2" t="s">
        <v>1779</v>
      </c>
      <c r="K319" s="2">
        <v>33</v>
      </c>
      <c r="L319" s="2">
        <v>10</v>
      </c>
      <c r="M319" s="2">
        <v>0</v>
      </c>
      <c r="N319" s="2">
        <v>8</v>
      </c>
      <c r="O319" s="2">
        <v>5</v>
      </c>
      <c r="P319" s="2">
        <v>10</v>
      </c>
      <c r="Q319" s="2" t="s">
        <v>2556</v>
      </c>
      <c r="R319" s="2" t="s">
        <v>2556</v>
      </c>
      <c r="S319" s="4">
        <v>44837</v>
      </c>
    </row>
    <row r="320" spans="1:19" ht="12.5" x14ac:dyDescent="0.25">
      <c r="A320" s="14" t="str">
        <f>HYPERLINK("https://gerandofalcoes.my.salesforce.com/0014X00002VKCuzQAH", "0014X00002VKCuzQAH")</f>
        <v>0014X00002VKCuzQAH</v>
      </c>
      <c r="B320" s="2" t="s">
        <v>2117</v>
      </c>
      <c r="C320" s="2" t="s">
        <v>423</v>
      </c>
      <c r="D320" s="2" t="s">
        <v>2</v>
      </c>
      <c r="E320" s="2">
        <v>35</v>
      </c>
      <c r="F320" s="2">
        <v>0</v>
      </c>
      <c r="G320" s="2">
        <v>3</v>
      </c>
      <c r="H320" s="2">
        <v>34878</v>
      </c>
      <c r="I320" s="2">
        <v>7</v>
      </c>
      <c r="J320" s="2" t="s">
        <v>1779</v>
      </c>
      <c r="K320" s="2">
        <v>38</v>
      </c>
      <c r="L320" s="2">
        <v>15</v>
      </c>
      <c r="M320" s="2">
        <v>0</v>
      </c>
      <c r="N320" s="2">
        <v>8</v>
      </c>
      <c r="O320" s="2">
        <v>10</v>
      </c>
      <c r="P320" s="2">
        <v>5</v>
      </c>
      <c r="Q320" s="2" t="s">
        <v>2118</v>
      </c>
      <c r="R320" s="2" t="s">
        <v>2119</v>
      </c>
      <c r="S320" s="4">
        <v>44837</v>
      </c>
    </row>
    <row r="321" spans="1:19" ht="12.5" x14ac:dyDescent="0.25">
      <c r="A321" s="14" t="str">
        <f>HYPERLINK("https://gerandofalcoes.my.salesforce.com/0014X00002VKCq5QAH", "0014X00002VKCq5QAH")</f>
        <v>0014X00002VKCq5QAH</v>
      </c>
      <c r="B321" s="2" t="s">
        <v>2304</v>
      </c>
      <c r="C321" s="2" t="s">
        <v>423</v>
      </c>
      <c r="D321" s="2" t="s">
        <v>2</v>
      </c>
      <c r="E321" s="2">
        <v>29</v>
      </c>
      <c r="F321" s="2">
        <v>3</v>
      </c>
      <c r="G321" s="2">
        <v>3</v>
      </c>
      <c r="H321" s="2">
        <v>30000</v>
      </c>
      <c r="I321" s="2">
        <v>50</v>
      </c>
      <c r="J321" s="2" t="s">
        <v>1671</v>
      </c>
      <c r="K321" s="2">
        <v>43</v>
      </c>
      <c r="L321" s="2">
        <v>15</v>
      </c>
      <c r="M321" s="2">
        <v>5</v>
      </c>
      <c r="N321" s="2">
        <v>8</v>
      </c>
      <c r="O321" s="2">
        <v>10</v>
      </c>
      <c r="P321" s="2">
        <v>5</v>
      </c>
      <c r="Q321" s="2" t="s">
        <v>2305</v>
      </c>
      <c r="R321" s="2" t="s">
        <v>2306</v>
      </c>
      <c r="S321" s="4">
        <v>44837</v>
      </c>
    </row>
    <row r="322" spans="1:19" ht="12.5" x14ac:dyDescent="0.25">
      <c r="A322" s="14" t="str">
        <f>HYPERLINK("https://gerandofalcoes.my.salesforce.com/0014X00002VKCtIQAX", "0014X00002VKCtIQAX")</f>
        <v>0014X00002VKCtIQAX</v>
      </c>
      <c r="B322" s="2" t="s">
        <v>1927</v>
      </c>
      <c r="C322" s="2" t="s">
        <v>423</v>
      </c>
      <c r="D322" s="2" t="s">
        <v>2</v>
      </c>
      <c r="E322" s="2">
        <v>42</v>
      </c>
      <c r="F322" s="2">
        <v>0</v>
      </c>
      <c r="G322" s="2">
        <v>6</v>
      </c>
      <c r="H322" s="2">
        <v>0</v>
      </c>
      <c r="I322" s="2">
        <v>180</v>
      </c>
      <c r="J322" s="2" t="s">
        <v>1779</v>
      </c>
      <c r="K322" s="2">
        <v>37</v>
      </c>
      <c r="L322" s="2">
        <v>15</v>
      </c>
      <c r="M322" s="2">
        <v>0</v>
      </c>
      <c r="N322" s="2">
        <v>10</v>
      </c>
      <c r="O322" s="2">
        <v>0</v>
      </c>
      <c r="P322" s="2">
        <v>12</v>
      </c>
      <c r="Q322" s="2" t="s">
        <v>1928</v>
      </c>
      <c r="R322" s="2" t="s">
        <v>1929</v>
      </c>
      <c r="S322" s="4">
        <v>44837</v>
      </c>
    </row>
    <row r="323" spans="1:19" ht="12.5" x14ac:dyDescent="0.25">
      <c r="A323" s="14" t="str">
        <f>HYPERLINK("https://gerandofalcoes.my.salesforce.com/0014X00002VKCufQAH", "0014X00002VKCufQAH")</f>
        <v>0014X00002VKCufQAH</v>
      </c>
      <c r="B323" s="2" t="s">
        <v>1895</v>
      </c>
      <c r="C323" s="2" t="s">
        <v>423</v>
      </c>
      <c r="D323" s="2" t="s">
        <v>2</v>
      </c>
      <c r="E323" s="2">
        <v>47</v>
      </c>
      <c r="F323" s="2">
        <v>5</v>
      </c>
      <c r="G323" s="2">
        <v>1</v>
      </c>
      <c r="H323" s="2">
        <v>14040000</v>
      </c>
      <c r="I323" s="2">
        <v>50</v>
      </c>
      <c r="J323" s="2" t="s">
        <v>1671</v>
      </c>
      <c r="K323" s="2">
        <v>54</v>
      </c>
      <c r="L323" s="2">
        <v>15</v>
      </c>
      <c r="M323" s="2">
        <v>5</v>
      </c>
      <c r="N323" s="2">
        <v>4</v>
      </c>
      <c r="O323" s="2">
        <v>25</v>
      </c>
      <c r="P323" s="2">
        <v>5</v>
      </c>
      <c r="Q323" s="2" t="s">
        <v>1896</v>
      </c>
      <c r="R323" s="2" t="s">
        <v>1896</v>
      </c>
      <c r="S323" s="4">
        <v>44837</v>
      </c>
    </row>
    <row r="324" spans="1:19" ht="12.5" x14ac:dyDescent="0.25">
      <c r="A324" s="14" t="str">
        <f>HYPERLINK("https://gerandofalcoes.my.salesforce.com/0014X00002VKCuNQAX", "0014X00002VKCuNQAX")</f>
        <v>0014X00002VKCuNQAX</v>
      </c>
      <c r="B324" s="2" t="s">
        <v>1963</v>
      </c>
      <c r="C324" s="2" t="s">
        <v>1800</v>
      </c>
      <c r="D324" s="2" t="s">
        <v>2</v>
      </c>
      <c r="E324" s="2">
        <v>40</v>
      </c>
      <c r="F324" s="2">
        <v>0</v>
      </c>
      <c r="G324" s="2">
        <v>4</v>
      </c>
      <c r="H324" s="2">
        <v>52814</v>
      </c>
      <c r="I324" s="2">
        <v>96</v>
      </c>
      <c r="J324" s="2" t="s">
        <v>1671</v>
      </c>
      <c r="K324" s="2">
        <v>45</v>
      </c>
      <c r="L324" s="2">
        <v>15</v>
      </c>
      <c r="M324" s="2">
        <v>0</v>
      </c>
      <c r="N324" s="2">
        <v>10</v>
      </c>
      <c r="O324" s="2">
        <v>10</v>
      </c>
      <c r="P324" s="2">
        <v>10</v>
      </c>
      <c r="Q324" s="2" t="s">
        <v>1964</v>
      </c>
      <c r="R324" s="2" t="s">
        <v>1965</v>
      </c>
      <c r="S324" s="4">
        <v>44837</v>
      </c>
    </row>
    <row r="325" spans="1:19" ht="12.5" x14ac:dyDescent="0.25">
      <c r="A325" s="14" t="str">
        <f>HYPERLINK("https://gerandofalcoes.my.salesforce.com/0014X00002VKCuTQAX", "0014X00002VKCuTQAX")</f>
        <v>0014X00002VKCuTQAX</v>
      </c>
      <c r="B325" s="2" t="s">
        <v>1801</v>
      </c>
      <c r="C325" s="2" t="s">
        <v>423</v>
      </c>
      <c r="D325" s="2" t="s">
        <v>2</v>
      </c>
      <c r="E325" s="2">
        <v>53</v>
      </c>
      <c r="F325" s="2">
        <v>14</v>
      </c>
      <c r="G325" s="2">
        <v>2</v>
      </c>
      <c r="H325" s="2">
        <v>350000</v>
      </c>
      <c r="I325" s="2">
        <v>75</v>
      </c>
      <c r="J325" s="2" t="s">
        <v>1671</v>
      </c>
      <c r="K325" s="2">
        <v>63</v>
      </c>
      <c r="L325" s="2">
        <v>20</v>
      </c>
      <c r="M325" s="2">
        <v>12</v>
      </c>
      <c r="N325" s="2">
        <v>6</v>
      </c>
      <c r="O325" s="2">
        <v>20</v>
      </c>
      <c r="P325" s="2">
        <v>5</v>
      </c>
      <c r="Q325" s="2" t="s">
        <v>1802</v>
      </c>
      <c r="R325" s="2" t="s">
        <v>1803</v>
      </c>
      <c r="S325" s="4">
        <v>44837</v>
      </c>
    </row>
    <row r="326" spans="1:19" ht="12.5" x14ac:dyDescent="0.25">
      <c r="A326" s="14" t="str">
        <f>HYPERLINK("https://gerandofalcoes.my.salesforce.com/0014X00002VKCtOQAX", "0014X00002VKCtOQAX")</f>
        <v>0014X00002VKCtOQAX</v>
      </c>
      <c r="B326" s="2" t="s">
        <v>1986</v>
      </c>
      <c r="C326" s="2" t="s">
        <v>423</v>
      </c>
      <c r="D326" s="2" t="s">
        <v>2</v>
      </c>
      <c r="E326" s="2">
        <v>39</v>
      </c>
      <c r="F326" s="2">
        <v>0</v>
      </c>
      <c r="G326" s="2">
        <v>2</v>
      </c>
      <c r="H326" s="2">
        <v>4046</v>
      </c>
      <c r="I326" s="2">
        <v>240</v>
      </c>
      <c r="J326" s="2" t="s">
        <v>1779</v>
      </c>
      <c r="K326" s="2">
        <v>38</v>
      </c>
      <c r="L326" s="2">
        <v>15</v>
      </c>
      <c r="M326" s="2">
        <v>0</v>
      </c>
      <c r="N326" s="2">
        <v>6</v>
      </c>
      <c r="O326" s="2">
        <v>5</v>
      </c>
      <c r="P326" s="2">
        <v>12</v>
      </c>
      <c r="Q326" s="2" t="s">
        <v>1987</v>
      </c>
      <c r="R326" s="2" t="s">
        <v>1988</v>
      </c>
      <c r="S326" s="4">
        <v>44837</v>
      </c>
    </row>
    <row r="327" spans="1:19" ht="12.5" x14ac:dyDescent="0.25">
      <c r="A327" s="14" t="str">
        <f>HYPERLINK("https://gerandofalcoes.my.salesforce.com/0014X00002VKCqeQAH", "0014X00002VKCqeQAH")</f>
        <v>0014X00002VKCqeQAH</v>
      </c>
      <c r="B327" s="2" t="s">
        <v>2338</v>
      </c>
      <c r="C327" s="2" t="s">
        <v>423</v>
      </c>
      <c r="D327" s="2" t="s">
        <v>2</v>
      </c>
      <c r="E327" s="2">
        <v>27.33</v>
      </c>
      <c r="F327" s="2">
        <v>0</v>
      </c>
      <c r="G327" s="2">
        <v>0</v>
      </c>
      <c r="H327" s="2">
        <v>0</v>
      </c>
      <c r="I327" s="2">
        <v>120</v>
      </c>
      <c r="J327" s="2" t="s">
        <v>1779</v>
      </c>
      <c r="K327" s="2">
        <v>25</v>
      </c>
      <c r="L327" s="2">
        <v>15</v>
      </c>
      <c r="M327" s="2">
        <v>0</v>
      </c>
      <c r="N327" s="2">
        <v>0</v>
      </c>
      <c r="O327" s="2">
        <v>0</v>
      </c>
      <c r="P327" s="2">
        <v>10</v>
      </c>
      <c r="Q327" s="2" t="s">
        <v>2339</v>
      </c>
      <c r="R327" s="2" t="s">
        <v>2339</v>
      </c>
      <c r="S327" s="4">
        <v>44837</v>
      </c>
    </row>
    <row r="328" spans="1:19" ht="12.5" x14ac:dyDescent="0.25">
      <c r="A328" s="14" t="str">
        <f>HYPERLINK("https://gerandofalcoes.my.salesforce.com/0014X00002VKCtWQAX", "0014X00002VKCtWQAX")</f>
        <v>0014X00002VKCtWQAX</v>
      </c>
      <c r="B328" s="2" t="s">
        <v>7164</v>
      </c>
      <c r="C328" s="2" t="s">
        <v>423</v>
      </c>
      <c r="D328" s="2" t="s">
        <v>2</v>
      </c>
      <c r="E328" s="2">
        <v>41</v>
      </c>
      <c r="F328" s="2">
        <v>0</v>
      </c>
      <c r="G328" s="2">
        <v>0</v>
      </c>
      <c r="H328" s="2">
        <v>1000</v>
      </c>
      <c r="I328" s="2">
        <v>150</v>
      </c>
      <c r="J328" s="2" t="s">
        <v>1779</v>
      </c>
      <c r="K328" s="2">
        <v>32</v>
      </c>
      <c r="L328" s="2">
        <v>15</v>
      </c>
      <c r="M328" s="2">
        <v>0</v>
      </c>
      <c r="N328" s="2">
        <v>0</v>
      </c>
      <c r="O328" s="2">
        <v>5</v>
      </c>
      <c r="P328" s="2">
        <v>12</v>
      </c>
      <c r="Q328" s="2" t="s">
        <v>2652</v>
      </c>
      <c r="R328" s="2" t="s">
        <v>2653</v>
      </c>
      <c r="S328" s="4">
        <v>44837</v>
      </c>
    </row>
    <row r="329" spans="1:19" ht="12.5" x14ac:dyDescent="0.25">
      <c r="A329" s="14" t="str">
        <f>HYPERLINK("https://gerandofalcoes.my.salesforce.com/0014X00002VKCqsQAH", "0014X00002VKCqsQAH")</f>
        <v>0014X00002VKCqsQAH</v>
      </c>
      <c r="B329" s="2" t="s">
        <v>2700</v>
      </c>
      <c r="C329" s="2" t="s">
        <v>423</v>
      </c>
      <c r="D329" s="2" t="s">
        <v>2</v>
      </c>
      <c r="E329" s="2">
        <v>33</v>
      </c>
      <c r="F329" s="2">
        <v>8</v>
      </c>
      <c r="G329" s="2">
        <v>2</v>
      </c>
      <c r="H329" s="2">
        <v>47000</v>
      </c>
      <c r="I329" s="2">
        <v>100</v>
      </c>
      <c r="J329" s="2" t="s">
        <v>1671</v>
      </c>
      <c r="K329" s="2">
        <v>51</v>
      </c>
      <c r="L329" s="2">
        <v>15</v>
      </c>
      <c r="M329" s="2">
        <v>10</v>
      </c>
      <c r="N329" s="2">
        <v>6</v>
      </c>
      <c r="O329" s="2">
        <v>10</v>
      </c>
      <c r="P329" s="2">
        <v>10</v>
      </c>
      <c r="Q329" s="2" t="s">
        <v>2701</v>
      </c>
      <c r="R329" s="2" t="s">
        <v>2702</v>
      </c>
      <c r="S329" s="4">
        <v>44837</v>
      </c>
    </row>
    <row r="330" spans="1:19" ht="12.5" x14ac:dyDescent="0.25">
      <c r="A330" s="14" t="str">
        <f>HYPERLINK("https://gerandofalcoes.my.salesforce.com/0014X00002VKCqLQAX", "0014X00002VKCqLQAX")</f>
        <v>0014X00002VKCqLQAX</v>
      </c>
      <c r="B330" s="2" t="s">
        <v>1871</v>
      </c>
      <c r="C330" s="2" t="s">
        <v>423</v>
      </c>
      <c r="D330" s="2" t="s">
        <v>2</v>
      </c>
      <c r="E330" s="2">
        <v>79</v>
      </c>
      <c r="F330" s="2">
        <v>462</v>
      </c>
      <c r="G330" s="2">
        <v>2</v>
      </c>
      <c r="H330" s="2">
        <v>9114662</v>
      </c>
      <c r="I330" s="2">
        <v>365</v>
      </c>
      <c r="J330" s="2" t="s">
        <v>1654</v>
      </c>
      <c r="K330" s="2">
        <v>86</v>
      </c>
      <c r="L330" s="2">
        <v>25</v>
      </c>
      <c r="M330" s="2">
        <v>15</v>
      </c>
      <c r="N330" s="2">
        <v>6</v>
      </c>
      <c r="O330" s="2">
        <v>25</v>
      </c>
      <c r="P330" s="2">
        <v>15</v>
      </c>
      <c r="Q330" s="2" t="s">
        <v>1872</v>
      </c>
      <c r="R330" s="2" t="s">
        <v>1873</v>
      </c>
      <c r="S330" s="4">
        <v>44837</v>
      </c>
    </row>
    <row r="331" spans="1:19" ht="12.5" x14ac:dyDescent="0.25">
      <c r="A331" s="14" t="str">
        <f>HYPERLINK("https://gerandofalcoes.my.salesforce.com/0014X00002VKCuDQAX", "0014X00002VKCuDQAX")</f>
        <v>0014X00002VKCuDQAX</v>
      </c>
      <c r="B331" s="2" t="s">
        <v>2900</v>
      </c>
      <c r="C331" s="2" t="s">
        <v>423</v>
      </c>
      <c r="D331" s="2" t="s">
        <v>2</v>
      </c>
      <c r="E331" s="2">
        <v>22</v>
      </c>
      <c r="F331" s="2">
        <v>0</v>
      </c>
      <c r="G331" s="2">
        <v>1</v>
      </c>
      <c r="H331" s="2">
        <v>20000</v>
      </c>
      <c r="I331" s="2">
        <v>30</v>
      </c>
      <c r="J331" s="2" t="s">
        <v>1779</v>
      </c>
      <c r="K331" s="2">
        <v>24</v>
      </c>
      <c r="L331" s="2">
        <v>10</v>
      </c>
      <c r="M331" s="2">
        <v>0</v>
      </c>
      <c r="N331" s="2">
        <v>4</v>
      </c>
      <c r="O331" s="2">
        <v>5</v>
      </c>
      <c r="P331" s="2">
        <v>5</v>
      </c>
      <c r="Q331" s="2" t="s">
        <v>2901</v>
      </c>
      <c r="R331" s="2" t="s">
        <v>2901</v>
      </c>
      <c r="S331" s="4">
        <v>44837</v>
      </c>
    </row>
    <row r="332" spans="1:19" ht="12.5" x14ac:dyDescent="0.25">
      <c r="A332" s="14" t="str">
        <f>HYPERLINK("https://gerandofalcoes.my.salesforce.com/0014X00002VKCrpQAH", "0014X00002VKCrpQAH")</f>
        <v>0014X00002VKCrpQAH</v>
      </c>
      <c r="B332" s="2" t="s">
        <v>2887</v>
      </c>
      <c r="C332" s="2" t="s">
        <v>1800</v>
      </c>
      <c r="D332" s="2" t="s">
        <v>2</v>
      </c>
      <c r="E332" s="2">
        <v>9</v>
      </c>
      <c r="F332" s="2">
        <v>0</v>
      </c>
      <c r="G332" s="2">
        <v>4</v>
      </c>
      <c r="H332" s="2">
        <v>2700</v>
      </c>
      <c r="I332" s="2">
        <v>80</v>
      </c>
      <c r="J332" s="2" t="s">
        <v>1779</v>
      </c>
      <c r="K332" s="2">
        <v>35</v>
      </c>
      <c r="L332" s="2">
        <v>10</v>
      </c>
      <c r="M332" s="2">
        <v>0</v>
      </c>
      <c r="N332" s="2">
        <v>10</v>
      </c>
      <c r="O332" s="2">
        <v>5</v>
      </c>
      <c r="P332" s="2">
        <v>10</v>
      </c>
      <c r="Q332" s="2" t="s">
        <v>2888</v>
      </c>
      <c r="R332" s="2" t="s">
        <v>2889</v>
      </c>
      <c r="S332" s="4">
        <v>44837</v>
      </c>
    </row>
    <row r="333" spans="1:19" ht="12.5" x14ac:dyDescent="0.25">
      <c r="A333" s="14" t="str">
        <f>HYPERLINK("https://gerandofalcoes.my.salesforce.com/0014P00003AN2FzQAL", "0014P00003AN2FzQAL")</f>
        <v>0014P00003AN2FzQAL</v>
      </c>
      <c r="B333" s="2" t="s">
        <v>2127</v>
      </c>
      <c r="C333" s="2" t="s">
        <v>423</v>
      </c>
      <c r="D333" s="2" t="s">
        <v>2</v>
      </c>
      <c r="E333" s="2">
        <v>87</v>
      </c>
      <c r="F333" s="2">
        <v>5</v>
      </c>
      <c r="G333" s="2">
        <v>5</v>
      </c>
      <c r="H333" s="2">
        <v>304000</v>
      </c>
      <c r="I333" s="2">
        <v>180</v>
      </c>
      <c r="J333" s="2" t="s">
        <v>1650</v>
      </c>
      <c r="K333" s="2">
        <v>72</v>
      </c>
      <c r="L333" s="2">
        <v>25</v>
      </c>
      <c r="M333" s="2">
        <v>5</v>
      </c>
      <c r="N333" s="2">
        <v>10</v>
      </c>
      <c r="O333" s="2">
        <v>20</v>
      </c>
      <c r="P333" s="2">
        <v>12</v>
      </c>
      <c r="Q333" s="2" t="s">
        <v>652</v>
      </c>
      <c r="R333" s="2" t="s">
        <v>652</v>
      </c>
      <c r="S333" s="4">
        <v>44837</v>
      </c>
    </row>
    <row r="334" spans="1:19" ht="12.5" x14ac:dyDescent="0.25">
      <c r="A334" s="14" t="str">
        <f>HYPERLINK("https://gerandofalcoes.my.salesforce.com/0014P00003AN2G0QAL", "0014P00003AN2G0QAL")</f>
        <v>0014P00003AN2G0QAL</v>
      </c>
      <c r="B334" s="2" t="s">
        <v>146</v>
      </c>
      <c r="C334" s="2" t="s">
        <v>423</v>
      </c>
      <c r="D334" s="2" t="s">
        <v>27</v>
      </c>
      <c r="E334" s="2">
        <v>83</v>
      </c>
      <c r="F334" s="2">
        <v>7</v>
      </c>
      <c r="G334" s="2">
        <v>3</v>
      </c>
      <c r="H334" s="2">
        <v>31263.49</v>
      </c>
      <c r="I334" s="2">
        <v>71</v>
      </c>
      <c r="J334" s="2" t="s">
        <v>1671</v>
      </c>
      <c r="K334" s="2">
        <v>58</v>
      </c>
      <c r="L334" s="2">
        <v>25</v>
      </c>
      <c r="M334" s="2">
        <v>10</v>
      </c>
      <c r="N334" s="2">
        <v>8</v>
      </c>
      <c r="O334" s="2">
        <v>10</v>
      </c>
      <c r="P334" s="2">
        <v>5</v>
      </c>
      <c r="Q334" s="2" t="s">
        <v>1699</v>
      </c>
      <c r="R334" s="2" t="s">
        <v>1699</v>
      </c>
      <c r="S334" s="4">
        <v>44837</v>
      </c>
    </row>
    <row r="335" spans="1:19" ht="12.5" x14ac:dyDescent="0.25">
      <c r="A335" s="14" t="str">
        <f>HYPERLINK("https://gerandofalcoes.my.salesforce.com/0014P00003AN2G1QAL", "0014P00003AN2G1QAL")</f>
        <v>0014P00003AN2G1QAL</v>
      </c>
      <c r="B335" s="2" t="s">
        <v>1744</v>
      </c>
      <c r="C335" s="2" t="s">
        <v>423</v>
      </c>
      <c r="D335" s="2" t="s">
        <v>2</v>
      </c>
      <c r="E335" s="2">
        <v>86</v>
      </c>
      <c r="F335" s="2">
        <v>10</v>
      </c>
      <c r="G335" s="2">
        <v>2</v>
      </c>
      <c r="H335" s="2">
        <v>1545600</v>
      </c>
      <c r="I335" s="2">
        <v>123</v>
      </c>
      <c r="J335" s="2" t="s">
        <v>1650</v>
      </c>
      <c r="K335" s="2">
        <v>76</v>
      </c>
      <c r="L335" s="2">
        <v>25</v>
      </c>
      <c r="M335" s="2">
        <v>10</v>
      </c>
      <c r="N335" s="2">
        <v>6</v>
      </c>
      <c r="O335" s="2">
        <v>25</v>
      </c>
      <c r="P335" s="2">
        <v>10</v>
      </c>
      <c r="Q335" s="2" t="s">
        <v>839</v>
      </c>
      <c r="R335" s="2" t="s">
        <v>839</v>
      </c>
      <c r="S335" s="4">
        <v>44837</v>
      </c>
    </row>
    <row r="336" spans="1:19" ht="12.5" x14ac:dyDescent="0.25">
      <c r="A336" s="14" t="str">
        <f>HYPERLINK("https://gerandofalcoes.my.salesforce.com/0014P00003AN2G2QAL", "0014P00003AN2G2QAL")</f>
        <v>0014P00003AN2G2QAL</v>
      </c>
      <c r="B336" s="2" t="s">
        <v>2150</v>
      </c>
      <c r="C336" s="2" t="s">
        <v>423</v>
      </c>
      <c r="D336" s="2" t="s">
        <v>2</v>
      </c>
      <c r="E336" s="2"/>
      <c r="F336" s="2">
        <v>10</v>
      </c>
      <c r="G336" s="2">
        <v>1</v>
      </c>
      <c r="H336" s="2">
        <v>30485954</v>
      </c>
      <c r="I336" s="2">
        <v>200</v>
      </c>
      <c r="J336" s="2" t="s">
        <v>1671</v>
      </c>
      <c r="K336" s="2">
        <v>51</v>
      </c>
      <c r="L336" s="2">
        <v>0</v>
      </c>
      <c r="M336" s="2">
        <v>10</v>
      </c>
      <c r="N336" s="2">
        <v>4</v>
      </c>
      <c r="O336" s="2">
        <v>25</v>
      </c>
      <c r="P336" s="2">
        <v>12</v>
      </c>
      <c r="Q336" s="2" t="s">
        <v>2151</v>
      </c>
      <c r="R336" s="2" t="s">
        <v>2151</v>
      </c>
      <c r="S336" s="4">
        <v>44837</v>
      </c>
    </row>
    <row r="337" spans="1:19" ht="12.5" x14ac:dyDescent="0.25">
      <c r="A337" s="14" t="str">
        <f>HYPERLINK("https://gerandofalcoes.my.salesforce.com/0014P00003AN2G3QAL", "0014P00003AN2G3QAL")</f>
        <v>0014P00003AN2G3QAL</v>
      </c>
      <c r="B337" s="2" t="s">
        <v>1677</v>
      </c>
      <c r="C337" s="2" t="s">
        <v>423</v>
      </c>
      <c r="D337" s="2" t="s">
        <v>27</v>
      </c>
      <c r="E337" s="2">
        <v>89</v>
      </c>
      <c r="F337" s="2">
        <v>9</v>
      </c>
      <c r="G337" s="2">
        <v>3</v>
      </c>
      <c r="H337" s="2">
        <v>46396.77</v>
      </c>
      <c r="I337" s="2">
        <v>188</v>
      </c>
      <c r="J337" s="2" t="s">
        <v>1650</v>
      </c>
      <c r="K337" s="2">
        <v>65</v>
      </c>
      <c r="L337" s="2">
        <v>25</v>
      </c>
      <c r="M337" s="2">
        <v>10</v>
      </c>
      <c r="N337" s="2">
        <v>8</v>
      </c>
      <c r="O337" s="2">
        <v>10</v>
      </c>
      <c r="P337" s="2">
        <v>12</v>
      </c>
      <c r="Q337" s="2" t="s">
        <v>153</v>
      </c>
      <c r="R337" s="2" t="s">
        <v>153</v>
      </c>
      <c r="S337" s="4">
        <v>44837</v>
      </c>
    </row>
    <row r="338" spans="1:19" ht="12.5" x14ac:dyDescent="0.25">
      <c r="A338" s="14" t="str">
        <f>HYPERLINK("https://gerandofalcoes.my.salesforce.com/0014P00003AN2G4QAL", "0014P00003AN2G4QAL")</f>
        <v>0014P00003AN2G4QAL</v>
      </c>
      <c r="B338" s="2" t="s">
        <v>1747</v>
      </c>
      <c r="C338" s="2" t="s">
        <v>423</v>
      </c>
      <c r="D338" s="2" t="s">
        <v>27</v>
      </c>
      <c r="E338" s="2">
        <v>56</v>
      </c>
      <c r="F338" s="2">
        <v>0</v>
      </c>
      <c r="G338" s="2">
        <v>2</v>
      </c>
      <c r="H338" s="2">
        <v>37000</v>
      </c>
      <c r="I338" s="2">
        <v>180</v>
      </c>
      <c r="J338" s="2" t="s">
        <v>1671</v>
      </c>
      <c r="K338" s="2">
        <v>48</v>
      </c>
      <c r="L338" s="2">
        <v>20</v>
      </c>
      <c r="M338" s="2">
        <v>0</v>
      </c>
      <c r="N338" s="2">
        <v>6</v>
      </c>
      <c r="O338" s="2">
        <v>10</v>
      </c>
      <c r="P338" s="2">
        <v>12</v>
      </c>
      <c r="Q338" s="2" t="s">
        <v>925</v>
      </c>
      <c r="R338" s="2" t="s">
        <v>925</v>
      </c>
      <c r="S338" s="4">
        <v>44837</v>
      </c>
    </row>
    <row r="339" spans="1:19" ht="12.5" x14ac:dyDescent="0.25">
      <c r="A339" s="14" t="str">
        <f>HYPERLINK("https://gerandofalcoes.my.salesforce.com/0014P00003AN2G5QAL", "0014P00003AN2G5QAL")</f>
        <v>0014P00003AN2G5QAL</v>
      </c>
      <c r="B339" s="2" t="s">
        <v>1712</v>
      </c>
      <c r="C339" s="2" t="s">
        <v>423</v>
      </c>
      <c r="D339" s="2" t="s">
        <v>27</v>
      </c>
      <c r="E339" s="2">
        <v>78</v>
      </c>
      <c r="F339" s="2">
        <v>19</v>
      </c>
      <c r="G339" s="2">
        <v>3</v>
      </c>
      <c r="H339" s="2">
        <v>1912288.57</v>
      </c>
      <c r="I339" s="2">
        <v>193</v>
      </c>
      <c r="J339" s="2" t="s">
        <v>1654</v>
      </c>
      <c r="K339" s="2">
        <v>82</v>
      </c>
      <c r="L339" s="2">
        <v>25</v>
      </c>
      <c r="M339" s="2">
        <v>12</v>
      </c>
      <c r="N339" s="2">
        <v>8</v>
      </c>
      <c r="O339" s="2">
        <v>25</v>
      </c>
      <c r="P339" s="2">
        <v>12</v>
      </c>
      <c r="Q339" s="2" t="s">
        <v>156</v>
      </c>
      <c r="R339" s="2" t="s">
        <v>156</v>
      </c>
      <c r="S339" s="4">
        <v>44837</v>
      </c>
    </row>
    <row r="340" spans="1:19" ht="12.5" x14ac:dyDescent="0.25">
      <c r="A340" s="14" t="str">
        <f>HYPERLINK("https://gerandofalcoes.my.salesforce.com/0014P00003AN2G6QAL", "0014P00003AN2G6QAL")</f>
        <v>0014P00003AN2G6QAL</v>
      </c>
      <c r="B340" s="2" t="s">
        <v>1704</v>
      </c>
      <c r="C340" s="2" t="s">
        <v>423</v>
      </c>
      <c r="D340" s="2" t="s">
        <v>27</v>
      </c>
      <c r="E340" s="2">
        <v>82</v>
      </c>
      <c r="F340" s="2">
        <v>11</v>
      </c>
      <c r="G340" s="2">
        <v>3</v>
      </c>
      <c r="H340" s="2">
        <v>62859.59</v>
      </c>
      <c r="I340" s="2">
        <v>282</v>
      </c>
      <c r="J340" s="2" t="s">
        <v>1650</v>
      </c>
      <c r="K340" s="2">
        <v>67</v>
      </c>
      <c r="L340" s="2">
        <v>25</v>
      </c>
      <c r="M340" s="2">
        <v>12</v>
      </c>
      <c r="N340" s="2">
        <v>8</v>
      </c>
      <c r="O340" s="2">
        <v>10</v>
      </c>
      <c r="P340" s="2">
        <v>12</v>
      </c>
      <c r="Q340" s="2" t="s">
        <v>157</v>
      </c>
      <c r="R340" s="2" t="s">
        <v>157</v>
      </c>
      <c r="S340" s="4">
        <v>44837</v>
      </c>
    </row>
    <row r="341" spans="1:19" ht="12.5" x14ac:dyDescent="0.25">
      <c r="A341" s="14" t="str">
        <f>HYPERLINK("https://gerandofalcoes.my.salesforce.com/0014P00003AN2FyQAL", "0014P00003AN2FyQAL")</f>
        <v>0014P00003AN2FyQAL</v>
      </c>
      <c r="B341" s="2" t="s">
        <v>2876</v>
      </c>
      <c r="C341" s="2" t="s">
        <v>423</v>
      </c>
      <c r="D341" s="2" t="s">
        <v>2</v>
      </c>
      <c r="E341" s="2">
        <v>6</v>
      </c>
      <c r="F341" s="2">
        <v>0</v>
      </c>
      <c r="G341" s="2">
        <v>3</v>
      </c>
      <c r="H341" s="2">
        <v>90000</v>
      </c>
      <c r="I341" s="2">
        <v>200</v>
      </c>
      <c r="J341" s="2" t="s">
        <v>1671</v>
      </c>
      <c r="K341" s="2">
        <v>40</v>
      </c>
      <c r="L341" s="2">
        <v>10</v>
      </c>
      <c r="M341" s="2">
        <v>0</v>
      </c>
      <c r="N341" s="2">
        <v>8</v>
      </c>
      <c r="O341" s="2">
        <v>10</v>
      </c>
      <c r="P341" s="2">
        <v>12</v>
      </c>
      <c r="Q341" s="2" t="s">
        <v>2877</v>
      </c>
      <c r="R341" s="2" t="s">
        <v>2877</v>
      </c>
      <c r="S341" s="4">
        <v>44837</v>
      </c>
    </row>
    <row r="342" spans="1:19" ht="12.5" x14ac:dyDescent="0.25">
      <c r="A342" s="14" t="str">
        <f>HYPERLINK("https://gerandofalcoes.my.salesforce.com/0014P00003AN2G7QAL", "0014P00003AN2G7QAL")</f>
        <v>0014P00003AN2G7QAL</v>
      </c>
      <c r="B342" s="2" t="s">
        <v>1740</v>
      </c>
      <c r="C342" s="2" t="s">
        <v>423</v>
      </c>
      <c r="D342" s="2" t="s">
        <v>2</v>
      </c>
      <c r="E342" s="2">
        <v>78</v>
      </c>
      <c r="F342" s="2">
        <v>3</v>
      </c>
      <c r="G342" s="2">
        <v>4</v>
      </c>
      <c r="H342" s="2">
        <v>140000</v>
      </c>
      <c r="I342" s="2">
        <v>3</v>
      </c>
      <c r="J342" s="2" t="s">
        <v>1671</v>
      </c>
      <c r="K342" s="2">
        <v>60</v>
      </c>
      <c r="L342" s="2">
        <v>25</v>
      </c>
      <c r="M342" s="2">
        <v>5</v>
      </c>
      <c r="N342" s="2">
        <v>10</v>
      </c>
      <c r="O342" s="2">
        <v>15</v>
      </c>
      <c r="P342" s="2">
        <v>5</v>
      </c>
      <c r="Q342" s="2" t="s">
        <v>945</v>
      </c>
      <c r="R342" s="2" t="s">
        <v>945</v>
      </c>
      <c r="S342" s="4">
        <v>44837</v>
      </c>
    </row>
    <row r="343" spans="1:19" ht="12.5" x14ac:dyDescent="0.25">
      <c r="A343" s="14" t="str">
        <f>HYPERLINK("https://gerandofalcoes.my.salesforce.com/0014P00003AN2G8QAL", "0014P00003AN2G8QAL")</f>
        <v>0014P00003AN2G8QAL</v>
      </c>
      <c r="B343" s="2" t="s">
        <v>1897</v>
      </c>
      <c r="C343" s="2" t="s">
        <v>423</v>
      </c>
      <c r="D343" s="2" t="s">
        <v>2</v>
      </c>
      <c r="E343" s="2">
        <v>68</v>
      </c>
      <c r="F343" s="2">
        <v>2</v>
      </c>
      <c r="G343" s="2">
        <v>5</v>
      </c>
      <c r="H343" s="2">
        <v>455000</v>
      </c>
      <c r="I343" s="2">
        <v>545</v>
      </c>
      <c r="J343" s="2" t="s">
        <v>1650</v>
      </c>
      <c r="K343" s="2">
        <v>75</v>
      </c>
      <c r="L343" s="2">
        <v>20</v>
      </c>
      <c r="M343" s="2">
        <v>5</v>
      </c>
      <c r="N343" s="2">
        <v>10</v>
      </c>
      <c r="O343" s="2">
        <v>20</v>
      </c>
      <c r="P343" s="2">
        <v>20</v>
      </c>
      <c r="Q343" s="2" t="s">
        <v>1898</v>
      </c>
      <c r="R343" s="2" t="s">
        <v>1898</v>
      </c>
      <c r="S343" s="4">
        <v>44837</v>
      </c>
    </row>
    <row r="344" spans="1:19" ht="12.5" x14ac:dyDescent="0.25">
      <c r="A344" s="14" t="str">
        <f>HYPERLINK("https://gerandofalcoes.my.salesforce.com/0014P00003AN2G9QAL", "0014P00003AN2G9QAL")</f>
        <v>0014P00003AN2G9QAL</v>
      </c>
      <c r="B344" s="2" t="s">
        <v>1670</v>
      </c>
      <c r="C344" s="2" t="s">
        <v>423</v>
      </c>
      <c r="D344" s="2" t="s">
        <v>27</v>
      </c>
      <c r="E344" s="2">
        <v>78.59</v>
      </c>
      <c r="F344" s="2">
        <v>7</v>
      </c>
      <c r="G344" s="2">
        <v>2</v>
      </c>
      <c r="H344" s="2">
        <v>5950</v>
      </c>
      <c r="I344" s="2">
        <v>210</v>
      </c>
      <c r="J344" s="2" t="s">
        <v>1671</v>
      </c>
      <c r="K344" s="2">
        <v>58</v>
      </c>
      <c r="L344" s="2">
        <v>25</v>
      </c>
      <c r="M344" s="2">
        <v>10</v>
      </c>
      <c r="N344" s="2">
        <v>6</v>
      </c>
      <c r="O344" s="2">
        <v>5</v>
      </c>
      <c r="P344" s="2">
        <v>12</v>
      </c>
      <c r="Q344" s="2" t="s">
        <v>961</v>
      </c>
      <c r="R344" s="2" t="s">
        <v>961</v>
      </c>
      <c r="S344" s="4">
        <v>44837</v>
      </c>
    </row>
    <row r="345" spans="1:19" ht="12.5" x14ac:dyDescent="0.25">
      <c r="A345" s="14" t="str">
        <f>HYPERLINK("https://gerandofalcoes.my.salesforce.com/0014P00003AN2GAQA1", "0014P00003AN2GAQA1")</f>
        <v>0014P00003AN2GAQA1</v>
      </c>
      <c r="B345" s="2" t="s">
        <v>2981</v>
      </c>
      <c r="C345" s="2" t="s">
        <v>1684</v>
      </c>
      <c r="D345" s="2" t="s">
        <v>2</v>
      </c>
      <c r="E345" s="2"/>
      <c r="F345" s="2">
        <v>1</v>
      </c>
      <c r="G345" s="2">
        <v>0</v>
      </c>
      <c r="H345" s="2">
        <v>0</v>
      </c>
      <c r="I345" s="2">
        <v>1200</v>
      </c>
      <c r="J345" s="2" t="s">
        <v>1779</v>
      </c>
      <c r="K345" s="2">
        <v>25</v>
      </c>
      <c r="L345" s="2">
        <v>0</v>
      </c>
      <c r="M345" s="2">
        <v>5</v>
      </c>
      <c r="N345" s="2">
        <v>0</v>
      </c>
      <c r="O345" s="2">
        <v>0</v>
      </c>
      <c r="P345" s="2">
        <v>20</v>
      </c>
      <c r="Q345" s="2" t="s">
        <v>7165</v>
      </c>
      <c r="R345" s="2" t="s">
        <v>7165</v>
      </c>
      <c r="S345" s="4">
        <v>44837</v>
      </c>
    </row>
    <row r="346" spans="1:19" ht="12.5" x14ac:dyDescent="0.25">
      <c r="A346" s="14" t="str">
        <f>HYPERLINK("https://gerandofalcoes.my.salesforce.com/0014P00003AN2GBQA1", "0014P00003AN2GBQA1")</f>
        <v>0014P00003AN2GBQA1</v>
      </c>
      <c r="B346" s="2" t="s">
        <v>2228</v>
      </c>
      <c r="C346" s="2" t="s">
        <v>423</v>
      </c>
      <c r="D346" s="2" t="s">
        <v>2</v>
      </c>
      <c r="E346" s="2">
        <v>48</v>
      </c>
      <c r="F346" s="2">
        <v>20</v>
      </c>
      <c r="G346" s="2">
        <v>2</v>
      </c>
      <c r="H346" s="2">
        <v>80000000</v>
      </c>
      <c r="I346" s="2">
        <v>60</v>
      </c>
      <c r="J346" s="2" t="s">
        <v>1671</v>
      </c>
      <c r="K346" s="2">
        <v>63</v>
      </c>
      <c r="L346" s="2">
        <v>15</v>
      </c>
      <c r="M346" s="2">
        <v>12</v>
      </c>
      <c r="N346" s="2">
        <v>6</v>
      </c>
      <c r="O346" s="2">
        <v>25</v>
      </c>
      <c r="P346" s="2">
        <v>5</v>
      </c>
      <c r="Q346" s="2" t="s">
        <v>2229</v>
      </c>
      <c r="R346" s="2" t="s">
        <v>2229</v>
      </c>
      <c r="S346" s="4">
        <v>44837</v>
      </c>
    </row>
    <row r="347" spans="1:19" ht="12.5" x14ac:dyDescent="0.25">
      <c r="A347" s="14" t="str">
        <f>HYPERLINK("https://gerandofalcoes.my.salesforce.com/0014P00003AN2GCQA1", "0014P00003AN2GCQA1")</f>
        <v>0014P00003AN2GCQA1</v>
      </c>
      <c r="B347" s="2" t="s">
        <v>1832</v>
      </c>
      <c r="C347" s="2" t="s">
        <v>423</v>
      </c>
      <c r="D347" s="2" t="s">
        <v>2</v>
      </c>
      <c r="E347" s="2">
        <v>65</v>
      </c>
      <c r="F347" s="2">
        <v>2</v>
      </c>
      <c r="G347" s="2">
        <v>4</v>
      </c>
      <c r="H347" s="2">
        <v>234550</v>
      </c>
      <c r="I347" s="2">
        <v>187</v>
      </c>
      <c r="J347" s="2" t="s">
        <v>1671</v>
      </c>
      <c r="K347" s="2">
        <v>62</v>
      </c>
      <c r="L347" s="2">
        <v>20</v>
      </c>
      <c r="M347" s="2">
        <v>5</v>
      </c>
      <c r="N347" s="2">
        <v>10</v>
      </c>
      <c r="O347" s="2">
        <v>15</v>
      </c>
      <c r="P347" s="2">
        <v>12</v>
      </c>
      <c r="Q347" s="2" t="s">
        <v>978</v>
      </c>
      <c r="R347" s="2" t="s">
        <v>978</v>
      </c>
      <c r="S347" s="4">
        <v>44837</v>
      </c>
    </row>
    <row r="348" spans="1:19" ht="12.5" x14ac:dyDescent="0.25">
      <c r="A348" s="14" t="str">
        <f>HYPERLINK("https://gerandofalcoes.my.salesforce.com/0014P00003AN2GDQA1", "0014P00003AN2GDQA1")</f>
        <v>0014P00003AN2GDQA1</v>
      </c>
      <c r="B348" s="2" t="s">
        <v>1707</v>
      </c>
      <c r="C348" s="2" t="s">
        <v>423</v>
      </c>
      <c r="D348" s="2" t="s">
        <v>27</v>
      </c>
      <c r="E348" s="2">
        <v>73.2</v>
      </c>
      <c r="F348" s="2">
        <v>5</v>
      </c>
      <c r="G348" s="2">
        <v>2</v>
      </c>
      <c r="H348" s="2">
        <v>77000</v>
      </c>
      <c r="I348" s="2">
        <v>157</v>
      </c>
      <c r="J348" s="2" t="s">
        <v>1671</v>
      </c>
      <c r="K348" s="2">
        <v>53</v>
      </c>
      <c r="L348" s="2">
        <v>20</v>
      </c>
      <c r="M348" s="2">
        <v>5</v>
      </c>
      <c r="N348" s="2">
        <v>6</v>
      </c>
      <c r="O348" s="2">
        <v>10</v>
      </c>
      <c r="P348" s="2">
        <v>12</v>
      </c>
      <c r="Q348" s="2" t="s">
        <v>987</v>
      </c>
      <c r="R348" s="2" t="s">
        <v>987</v>
      </c>
      <c r="S348" s="4">
        <v>44837</v>
      </c>
    </row>
    <row r="349" spans="1:19" ht="12.5" x14ac:dyDescent="0.25">
      <c r="A349" s="14" t="str">
        <f>HYPERLINK("https://gerandofalcoes.my.salesforce.com/0014P00003AN2GFQA1", "0014P00003AN2GFQA1")</f>
        <v>0014P00003AN2GFQA1</v>
      </c>
      <c r="B349" s="2" t="s">
        <v>2980</v>
      </c>
      <c r="C349" s="2" t="s">
        <v>423</v>
      </c>
      <c r="D349" s="2" t="s">
        <v>2</v>
      </c>
      <c r="E349" s="2"/>
      <c r="F349" s="2">
        <v>23</v>
      </c>
      <c r="G349" s="2">
        <v>4</v>
      </c>
      <c r="H349" s="2">
        <v>531000</v>
      </c>
      <c r="I349" s="2">
        <v>15185</v>
      </c>
      <c r="J349" s="2" t="s">
        <v>1671</v>
      </c>
      <c r="K349" s="2">
        <v>62</v>
      </c>
      <c r="L349" s="2">
        <v>0</v>
      </c>
      <c r="M349" s="2">
        <v>12</v>
      </c>
      <c r="N349" s="2">
        <v>10</v>
      </c>
      <c r="O349" s="2">
        <v>20</v>
      </c>
      <c r="P349" s="2">
        <v>20</v>
      </c>
      <c r="Q349" s="2" t="s">
        <v>995</v>
      </c>
      <c r="R349" s="2" t="s">
        <v>995</v>
      </c>
      <c r="S349" s="4">
        <v>44837</v>
      </c>
    </row>
    <row r="350" spans="1:19" ht="12.5" x14ac:dyDescent="0.25">
      <c r="A350" s="14" t="str">
        <f>HYPERLINK("https://gerandofalcoes.my.salesforce.com/0014P00003AN2GGQA1", "0014P00003AN2GGQA1")</f>
        <v>0014P00003AN2GGQA1</v>
      </c>
      <c r="B350" s="2" t="s">
        <v>2711</v>
      </c>
      <c r="C350" s="2" t="s">
        <v>423</v>
      </c>
      <c r="D350" s="2" t="s">
        <v>2</v>
      </c>
      <c r="E350" s="2">
        <v>39</v>
      </c>
      <c r="F350" s="2">
        <v>5</v>
      </c>
      <c r="G350" s="2">
        <v>1</v>
      </c>
      <c r="H350" s="2">
        <v>0</v>
      </c>
      <c r="I350" s="2">
        <v>25</v>
      </c>
      <c r="J350" s="2" t="s">
        <v>1779</v>
      </c>
      <c r="K350" s="2">
        <v>29</v>
      </c>
      <c r="L350" s="2">
        <v>15</v>
      </c>
      <c r="M350" s="2">
        <v>5</v>
      </c>
      <c r="N350" s="2">
        <v>4</v>
      </c>
      <c r="O350" s="2">
        <v>0</v>
      </c>
      <c r="P350" s="2">
        <v>5</v>
      </c>
      <c r="Q350" s="2" t="s">
        <v>2712</v>
      </c>
      <c r="R350" s="2" t="s">
        <v>2712</v>
      </c>
      <c r="S350" s="4">
        <v>44837</v>
      </c>
    </row>
    <row r="351" spans="1:19" ht="12.5" x14ac:dyDescent="0.25">
      <c r="A351" s="14" t="str">
        <f>HYPERLINK("https://gerandofalcoes.my.salesforce.com/0014X00002VKCpLQAX", "0014X00002VKCpLQAX")</f>
        <v>0014X00002VKCpLQAX</v>
      </c>
      <c r="B351" s="2" t="s">
        <v>2335</v>
      </c>
      <c r="C351" s="2" t="s">
        <v>1800</v>
      </c>
      <c r="D351" s="2" t="s">
        <v>2</v>
      </c>
      <c r="E351" s="2">
        <v>10</v>
      </c>
      <c r="F351" s="2">
        <v>0</v>
      </c>
      <c r="G351" s="2">
        <v>3</v>
      </c>
      <c r="H351" s="2">
        <v>5000</v>
      </c>
      <c r="I351" s="2">
        <v>0</v>
      </c>
      <c r="J351" s="2" t="s">
        <v>1779</v>
      </c>
      <c r="K351" s="2">
        <v>23</v>
      </c>
      <c r="L351" s="2">
        <v>10</v>
      </c>
      <c r="M351" s="2">
        <v>0</v>
      </c>
      <c r="N351" s="2">
        <v>8</v>
      </c>
      <c r="O351" s="2">
        <v>5</v>
      </c>
      <c r="P351" s="2">
        <v>0</v>
      </c>
      <c r="Q351" s="2" t="s">
        <v>2863</v>
      </c>
      <c r="R351" s="2" t="s">
        <v>2864</v>
      </c>
      <c r="S351" s="4">
        <v>44837</v>
      </c>
    </row>
    <row r="352" spans="1:19" ht="12.5" x14ac:dyDescent="0.25">
      <c r="A352" s="14" t="str">
        <f>HYPERLINK("https://gerandofalcoes.my.salesforce.com/0014X00002VKCpWQAX", "0014X00002VKCpWQAX")</f>
        <v>0014X00002VKCpWQAX</v>
      </c>
      <c r="B352" s="2" t="s">
        <v>2844</v>
      </c>
      <c r="C352" s="2" t="s">
        <v>423</v>
      </c>
      <c r="D352" s="2" t="s">
        <v>2</v>
      </c>
      <c r="E352" s="2">
        <v>10.64</v>
      </c>
      <c r="F352" s="2">
        <v>5</v>
      </c>
      <c r="G352" s="2">
        <v>1</v>
      </c>
      <c r="H352" s="2">
        <v>35619</v>
      </c>
      <c r="I352" s="2">
        <v>500</v>
      </c>
      <c r="J352" s="2" t="s">
        <v>1671</v>
      </c>
      <c r="K352" s="2">
        <v>49</v>
      </c>
      <c r="L352" s="2">
        <v>10</v>
      </c>
      <c r="M352" s="2">
        <v>5</v>
      </c>
      <c r="N352" s="2">
        <v>4</v>
      </c>
      <c r="O352" s="2">
        <v>10</v>
      </c>
      <c r="P352" s="2">
        <v>20</v>
      </c>
      <c r="Q352" s="2" t="s">
        <v>2845</v>
      </c>
      <c r="R352" s="2" t="s">
        <v>2846</v>
      </c>
      <c r="S352" s="4">
        <v>44837</v>
      </c>
    </row>
    <row r="353" spans="1:19" ht="12.5" x14ac:dyDescent="0.25">
      <c r="A353" s="14" t="str">
        <f>HYPERLINK("https://gerandofalcoes.my.salesforce.com/0014X00002VKCqMQAX", "0014X00002VKCqMQAX")</f>
        <v>0014X00002VKCqMQAX</v>
      </c>
      <c r="B353" s="2" t="s">
        <v>2737</v>
      </c>
      <c r="C353" s="2" t="s">
        <v>423</v>
      </c>
      <c r="D353" s="2" t="s">
        <v>2</v>
      </c>
      <c r="E353" s="2">
        <v>51</v>
      </c>
      <c r="F353" s="2">
        <v>2</v>
      </c>
      <c r="G353" s="2">
        <v>3</v>
      </c>
      <c r="H353" s="2">
        <v>5010380</v>
      </c>
      <c r="I353" s="2">
        <v>86</v>
      </c>
      <c r="J353" s="2" t="s">
        <v>1650</v>
      </c>
      <c r="K353" s="2">
        <v>68</v>
      </c>
      <c r="L353" s="2">
        <v>20</v>
      </c>
      <c r="M353" s="2">
        <v>5</v>
      </c>
      <c r="N353" s="2">
        <v>8</v>
      </c>
      <c r="O353" s="2">
        <v>25</v>
      </c>
      <c r="P353" s="2">
        <v>10</v>
      </c>
      <c r="Q353" s="2" t="s">
        <v>2738</v>
      </c>
      <c r="R353" s="2" t="s">
        <v>2739</v>
      </c>
      <c r="S353" s="4">
        <v>44837</v>
      </c>
    </row>
    <row r="354" spans="1:19" ht="12.5" x14ac:dyDescent="0.25">
      <c r="A354" s="14" t="str">
        <f>HYPERLINK("https://gerandofalcoes.my.salesforce.com/0014X00002VKCpKQAX", "0014X00002VKCpKQAX")</f>
        <v>0014X00002VKCpKQAX</v>
      </c>
      <c r="B354" s="2" t="s">
        <v>2225</v>
      </c>
      <c r="C354" s="2" t="s">
        <v>423</v>
      </c>
      <c r="D354" s="2" t="s">
        <v>2</v>
      </c>
      <c r="E354" s="2">
        <v>42</v>
      </c>
      <c r="F354" s="2">
        <v>0</v>
      </c>
      <c r="G354" s="2">
        <v>0</v>
      </c>
      <c r="H354" s="2">
        <v>0</v>
      </c>
      <c r="I354" s="2">
        <v>78</v>
      </c>
      <c r="J354" s="2" t="s">
        <v>1779</v>
      </c>
      <c r="K354" s="2">
        <v>20</v>
      </c>
      <c r="L354" s="2">
        <v>15</v>
      </c>
      <c r="M354" s="2">
        <v>0</v>
      </c>
      <c r="N354" s="2">
        <v>0</v>
      </c>
      <c r="O354" s="2">
        <v>0</v>
      </c>
      <c r="P354" s="2">
        <v>5</v>
      </c>
      <c r="Q354" s="2" t="s">
        <v>2233</v>
      </c>
      <c r="R354" s="2" t="s">
        <v>2234</v>
      </c>
      <c r="S354" s="4">
        <v>44837</v>
      </c>
    </row>
    <row r="355" spans="1:19" ht="12.5" x14ac:dyDescent="0.25">
      <c r="A355" s="14" t="str">
        <f>HYPERLINK("https://gerandofalcoes.my.salesforce.com/0014X00002VKCqtQAH", "0014X00002VKCqtQAH")</f>
        <v>0014X00002VKCqtQAH</v>
      </c>
      <c r="B355" s="2" t="s">
        <v>2543</v>
      </c>
      <c r="C355" s="2" t="s">
        <v>423</v>
      </c>
      <c r="D355" s="2" t="s">
        <v>2</v>
      </c>
      <c r="E355" s="2">
        <v>47</v>
      </c>
      <c r="F355" s="2">
        <v>0</v>
      </c>
      <c r="G355" s="2">
        <v>1</v>
      </c>
      <c r="H355" s="2">
        <v>5</v>
      </c>
      <c r="I355" s="2">
        <v>105</v>
      </c>
      <c r="J355" s="2" t="s">
        <v>1779</v>
      </c>
      <c r="K355" s="2">
        <v>34</v>
      </c>
      <c r="L355" s="2">
        <v>15</v>
      </c>
      <c r="M355" s="2">
        <v>0</v>
      </c>
      <c r="N355" s="2">
        <v>4</v>
      </c>
      <c r="O355" s="2">
        <v>5</v>
      </c>
      <c r="P355" s="2">
        <v>10</v>
      </c>
      <c r="Q355" s="2" t="s">
        <v>2544</v>
      </c>
      <c r="R355" s="2" t="s">
        <v>2545</v>
      </c>
      <c r="S355" s="4">
        <v>44837</v>
      </c>
    </row>
    <row r="356" spans="1:19" ht="12.5" x14ac:dyDescent="0.25">
      <c r="A356" s="14" t="str">
        <f>HYPERLINK("https://gerandofalcoes.my.salesforce.com/0014X00002VKCrAQAX", "0014X00002VKCrAQAX")</f>
        <v>0014X00002VKCrAQAX</v>
      </c>
      <c r="B356" s="2" t="s">
        <v>1795</v>
      </c>
      <c r="C356" s="2" t="s">
        <v>423</v>
      </c>
      <c r="D356" s="2" t="s">
        <v>2</v>
      </c>
      <c r="E356" s="2">
        <v>53.7</v>
      </c>
      <c r="F356" s="2">
        <v>2</v>
      </c>
      <c r="G356" s="2">
        <v>4</v>
      </c>
      <c r="H356" s="2">
        <v>87500</v>
      </c>
      <c r="I356" s="2">
        <v>19</v>
      </c>
      <c r="J356" s="2" t="s">
        <v>1671</v>
      </c>
      <c r="K356" s="2">
        <v>50</v>
      </c>
      <c r="L356" s="2">
        <v>20</v>
      </c>
      <c r="M356" s="2">
        <v>5</v>
      </c>
      <c r="N356" s="2">
        <v>10</v>
      </c>
      <c r="O356" s="2">
        <v>10</v>
      </c>
      <c r="P356" s="2">
        <v>5</v>
      </c>
      <c r="Q356" s="2" t="s">
        <v>1796</v>
      </c>
      <c r="R356" s="2" t="s">
        <v>1797</v>
      </c>
      <c r="S356" s="4">
        <v>44837</v>
      </c>
    </row>
    <row r="357" spans="1:19" ht="12.5" x14ac:dyDescent="0.25">
      <c r="A357" s="14" t="str">
        <f>HYPERLINK("https://gerandofalcoes.my.salesforce.com/0014X00002VKCpCQAX", "0014X00002VKCpCQAX")</f>
        <v>0014X00002VKCpCQAX</v>
      </c>
      <c r="B357" s="2" t="s">
        <v>2182</v>
      </c>
      <c r="C357" s="2" t="s">
        <v>423</v>
      </c>
      <c r="D357" s="2" t="s">
        <v>2</v>
      </c>
      <c r="E357" s="2">
        <v>33</v>
      </c>
      <c r="F357" s="2">
        <v>0</v>
      </c>
      <c r="G357" s="2">
        <v>0</v>
      </c>
      <c r="H357" s="2">
        <v>0</v>
      </c>
      <c r="I357" s="2">
        <v>30</v>
      </c>
      <c r="J357" s="2" t="s">
        <v>1779</v>
      </c>
      <c r="K357" s="2">
        <v>20</v>
      </c>
      <c r="L357" s="2">
        <v>15</v>
      </c>
      <c r="M357" s="2">
        <v>0</v>
      </c>
      <c r="N357" s="2">
        <v>0</v>
      </c>
      <c r="O357" s="2">
        <v>0</v>
      </c>
      <c r="P357" s="2">
        <v>5</v>
      </c>
      <c r="Q357" s="2" t="s">
        <v>2183</v>
      </c>
      <c r="R357" s="2" t="s">
        <v>2184</v>
      </c>
      <c r="S357" s="4">
        <v>44837</v>
      </c>
    </row>
    <row r="358" spans="1:19" ht="12.5" x14ac:dyDescent="0.25">
      <c r="A358" s="14" t="str">
        <f>HYPERLINK("https://gerandofalcoes.my.salesforce.com/0014X00002VKCpRQAX", "0014X00002VKCpRQAX")</f>
        <v>0014X00002VKCpRQAX</v>
      </c>
      <c r="B358" s="2" t="s">
        <v>2332</v>
      </c>
      <c r="C358" s="2" t="s">
        <v>1800</v>
      </c>
      <c r="D358" s="2" t="s">
        <v>2</v>
      </c>
      <c r="E358" s="2">
        <v>28</v>
      </c>
      <c r="F358" s="2">
        <v>0</v>
      </c>
      <c r="G358" s="2">
        <v>2</v>
      </c>
      <c r="H358" s="2">
        <v>32500000</v>
      </c>
      <c r="I358" s="2">
        <v>0</v>
      </c>
      <c r="J358" s="2" t="s">
        <v>1671</v>
      </c>
      <c r="K358" s="2">
        <v>46</v>
      </c>
      <c r="L358" s="2">
        <v>15</v>
      </c>
      <c r="M358" s="2">
        <v>0</v>
      </c>
      <c r="N358" s="2">
        <v>6</v>
      </c>
      <c r="O358" s="2">
        <v>25</v>
      </c>
      <c r="P358" s="2">
        <v>0</v>
      </c>
      <c r="Q358" s="2" t="s">
        <v>2333</v>
      </c>
      <c r="R358" s="2" t="s">
        <v>2334</v>
      </c>
      <c r="S358" s="4">
        <v>44837</v>
      </c>
    </row>
    <row r="359" spans="1:19" ht="12.5" x14ac:dyDescent="0.25">
      <c r="A359" s="14" t="str">
        <f>HYPERLINK("https://gerandofalcoes.my.salesforce.com/0014X00002VKCrVQAX", "0014X00002VKCrVQAX")</f>
        <v>0014X00002VKCrVQAX</v>
      </c>
      <c r="B359" s="2" t="s">
        <v>2973</v>
      </c>
      <c r="C359" s="2" t="s">
        <v>423</v>
      </c>
      <c r="D359" s="2" t="s">
        <v>2</v>
      </c>
      <c r="E359" s="2">
        <v>20</v>
      </c>
      <c r="F359" s="2">
        <v>0</v>
      </c>
      <c r="G359" s="2">
        <v>0</v>
      </c>
      <c r="H359" s="2">
        <v>0</v>
      </c>
      <c r="I359" s="2">
        <v>0</v>
      </c>
      <c r="J359" s="2" t="s">
        <v>1779</v>
      </c>
      <c r="K359" s="2">
        <v>10</v>
      </c>
      <c r="L359" s="2">
        <v>10</v>
      </c>
      <c r="M359" s="2">
        <v>0</v>
      </c>
      <c r="N359" s="2">
        <v>0</v>
      </c>
      <c r="O359" s="2">
        <v>0</v>
      </c>
      <c r="P359" s="2">
        <v>0</v>
      </c>
      <c r="Q359" s="2" t="s">
        <v>2974</v>
      </c>
      <c r="R359" s="2" t="s">
        <v>2975</v>
      </c>
      <c r="S359" s="4">
        <v>44837</v>
      </c>
    </row>
    <row r="360" spans="1:19" ht="12.5" x14ac:dyDescent="0.25">
      <c r="A360" s="14" t="str">
        <f>HYPERLINK("https://gerandofalcoes.my.salesforce.com/0014X00002VKCrcQAH", "0014X00002VKCrcQAH")</f>
        <v>0014X00002VKCrcQAH</v>
      </c>
      <c r="B360" s="2" t="s">
        <v>2609</v>
      </c>
      <c r="C360" s="2" t="s">
        <v>423</v>
      </c>
      <c r="D360" s="2" t="s">
        <v>2</v>
      </c>
      <c r="E360" s="2">
        <v>19</v>
      </c>
      <c r="F360" s="2">
        <v>0</v>
      </c>
      <c r="G360" s="2">
        <v>3</v>
      </c>
      <c r="H360" s="2">
        <v>2000</v>
      </c>
      <c r="I360" s="2">
        <v>0</v>
      </c>
      <c r="J360" s="2" t="s">
        <v>1779</v>
      </c>
      <c r="K360" s="2">
        <v>23</v>
      </c>
      <c r="L360" s="2">
        <v>10</v>
      </c>
      <c r="M360" s="2">
        <v>0</v>
      </c>
      <c r="N360" s="2">
        <v>8</v>
      </c>
      <c r="O360" s="2">
        <v>5</v>
      </c>
      <c r="P360" s="2">
        <v>0</v>
      </c>
      <c r="Q360" s="2" t="s">
        <v>2610</v>
      </c>
      <c r="R360" s="2" t="s">
        <v>2611</v>
      </c>
      <c r="S360" s="4">
        <v>44837</v>
      </c>
    </row>
    <row r="361" spans="1:19" ht="12.5" x14ac:dyDescent="0.25">
      <c r="A361" s="14" t="str">
        <f>HYPERLINK("https://gerandofalcoes.my.salesforce.com/0014X00002VKCr9QAH", "0014X00002VKCr9QAH")</f>
        <v>0014X00002VKCr9QAH</v>
      </c>
      <c r="B361" s="2" t="s">
        <v>2357</v>
      </c>
      <c r="C361" s="2" t="s">
        <v>423</v>
      </c>
      <c r="D361" s="2" t="s">
        <v>2</v>
      </c>
      <c r="E361" s="2">
        <v>27</v>
      </c>
      <c r="F361" s="2">
        <v>0</v>
      </c>
      <c r="G361" s="2">
        <v>2</v>
      </c>
      <c r="H361" s="2">
        <v>0</v>
      </c>
      <c r="I361" s="2">
        <v>30</v>
      </c>
      <c r="J361" s="2" t="s">
        <v>1779</v>
      </c>
      <c r="K361" s="2">
        <v>26</v>
      </c>
      <c r="L361" s="2">
        <v>15</v>
      </c>
      <c r="M361" s="2">
        <v>0</v>
      </c>
      <c r="N361" s="2">
        <v>6</v>
      </c>
      <c r="O361" s="2">
        <v>0</v>
      </c>
      <c r="P361" s="2">
        <v>5</v>
      </c>
      <c r="Q361" s="2" t="s">
        <v>2358</v>
      </c>
      <c r="R361" s="2" t="s">
        <v>2358</v>
      </c>
      <c r="S361" s="4">
        <v>44837</v>
      </c>
    </row>
    <row r="362" spans="1:19" ht="12.5" x14ac:dyDescent="0.25">
      <c r="A362" s="14" t="str">
        <f>HYPERLINK("https://gerandofalcoes.my.salesforce.com/0014X00002VKCu5QAH", "0014X00002VKCu5QAH")</f>
        <v>0014X00002VKCu5QAH</v>
      </c>
      <c r="B362" s="2" t="s">
        <v>2172</v>
      </c>
      <c r="C362" s="2" t="s">
        <v>423</v>
      </c>
      <c r="D362" s="2" t="s">
        <v>2</v>
      </c>
      <c r="E362" s="2">
        <v>33</v>
      </c>
      <c r="F362" s="2">
        <v>17</v>
      </c>
      <c r="G362" s="2">
        <v>1</v>
      </c>
      <c r="H362" s="2">
        <v>12000</v>
      </c>
      <c r="I362" s="2">
        <v>125</v>
      </c>
      <c r="J362" s="2" t="s">
        <v>1671</v>
      </c>
      <c r="K362" s="2">
        <v>46</v>
      </c>
      <c r="L362" s="2">
        <v>15</v>
      </c>
      <c r="M362" s="2">
        <v>12</v>
      </c>
      <c r="N362" s="2">
        <v>4</v>
      </c>
      <c r="O362" s="2">
        <v>5</v>
      </c>
      <c r="P362" s="2">
        <v>10</v>
      </c>
      <c r="Q362" s="2" t="s">
        <v>2173</v>
      </c>
      <c r="R362" s="2" t="s">
        <v>2174</v>
      </c>
      <c r="S362" s="4">
        <v>44837</v>
      </c>
    </row>
    <row r="363" spans="1:19" ht="12.5" x14ac:dyDescent="0.25">
      <c r="A363" s="14" t="str">
        <f>HYPERLINK("https://gerandofalcoes.my.salesforce.com/0014X00002VKCraQAH", "0014X00002VKCraQAH")</f>
        <v>0014X00002VKCraQAH</v>
      </c>
      <c r="B363" s="2" t="s">
        <v>2836</v>
      </c>
      <c r="C363" s="2" t="s">
        <v>423</v>
      </c>
      <c r="D363" s="2" t="s">
        <v>2</v>
      </c>
      <c r="E363" s="2">
        <v>35</v>
      </c>
      <c r="F363" s="2">
        <v>0</v>
      </c>
      <c r="G363" s="2">
        <v>1</v>
      </c>
      <c r="H363" s="2">
        <v>970224</v>
      </c>
      <c r="I363" s="2">
        <v>150</v>
      </c>
      <c r="J363" s="2" t="s">
        <v>1671</v>
      </c>
      <c r="K363" s="2">
        <v>56</v>
      </c>
      <c r="L363" s="2">
        <v>15</v>
      </c>
      <c r="M363" s="2">
        <v>0</v>
      </c>
      <c r="N363" s="2">
        <v>4</v>
      </c>
      <c r="O363" s="2">
        <v>25</v>
      </c>
      <c r="P363" s="2">
        <v>12</v>
      </c>
      <c r="Q363" s="2" t="s">
        <v>2837</v>
      </c>
      <c r="R363" s="2" t="s">
        <v>2838</v>
      </c>
      <c r="S363" s="4">
        <v>44837</v>
      </c>
    </row>
    <row r="364" spans="1:19" ht="12.5" x14ac:dyDescent="0.25">
      <c r="A364" s="14" t="str">
        <f>HYPERLINK("https://gerandofalcoes.my.salesforce.com/0014X00002VKCp7QAH", "0014X00002VKCp7QAH")</f>
        <v>0014X00002VKCp7QAH</v>
      </c>
      <c r="B364" s="2" t="s">
        <v>2043</v>
      </c>
      <c r="C364" s="2" t="s">
        <v>423</v>
      </c>
      <c r="D364" s="2" t="s">
        <v>2</v>
      </c>
      <c r="E364" s="2">
        <v>37</v>
      </c>
      <c r="F364" s="2">
        <v>4</v>
      </c>
      <c r="G364" s="2">
        <v>3</v>
      </c>
      <c r="H364" s="2">
        <v>96000</v>
      </c>
      <c r="I364" s="2">
        <v>70</v>
      </c>
      <c r="J364" s="2" t="s">
        <v>1671</v>
      </c>
      <c r="K364" s="2">
        <v>43</v>
      </c>
      <c r="L364" s="2">
        <v>15</v>
      </c>
      <c r="M364" s="2">
        <v>5</v>
      </c>
      <c r="N364" s="2">
        <v>8</v>
      </c>
      <c r="O364" s="2">
        <v>10</v>
      </c>
      <c r="P364" s="2">
        <v>5</v>
      </c>
      <c r="Q364" s="2" t="s">
        <v>2044</v>
      </c>
      <c r="R364" s="2" t="s">
        <v>2045</v>
      </c>
      <c r="S364" s="4">
        <v>44837</v>
      </c>
    </row>
    <row r="365" spans="1:19" ht="12.5" x14ac:dyDescent="0.25">
      <c r="A365" s="14" t="str">
        <f>HYPERLINK("https://gerandofalcoes.my.salesforce.com/0014X00002VKCrMQAX", "0014X00002VKCrMQAX")</f>
        <v>0014X00002VKCrMQAX</v>
      </c>
      <c r="B365" s="2" t="s">
        <v>2881</v>
      </c>
      <c r="C365" s="2" t="s">
        <v>423</v>
      </c>
      <c r="D365" s="2" t="s">
        <v>2</v>
      </c>
      <c r="E365" s="2">
        <v>9.0299999999999994</v>
      </c>
      <c r="F365" s="2">
        <v>0</v>
      </c>
      <c r="G365" s="2">
        <v>6</v>
      </c>
      <c r="H365" s="2">
        <v>3057</v>
      </c>
      <c r="I365" s="2">
        <v>3</v>
      </c>
      <c r="J365" s="2" t="s">
        <v>1779</v>
      </c>
      <c r="K365" s="2">
        <v>30</v>
      </c>
      <c r="L365" s="2">
        <v>10</v>
      </c>
      <c r="M365" s="2">
        <v>0</v>
      </c>
      <c r="N365" s="2">
        <v>10</v>
      </c>
      <c r="O365" s="2">
        <v>5</v>
      </c>
      <c r="P365" s="2">
        <v>5</v>
      </c>
      <c r="Q365" s="2" t="s">
        <v>2882</v>
      </c>
      <c r="R365" s="2" t="s">
        <v>2883</v>
      </c>
      <c r="S365" s="4">
        <v>44837</v>
      </c>
    </row>
    <row r="366" spans="1:19" ht="12.5" x14ac:dyDescent="0.25">
      <c r="A366" s="14" t="str">
        <f>HYPERLINK("https://gerandofalcoes.my.salesforce.com/0014X00002VKCqUQAX", "0014X00002VKCqUQAX")</f>
        <v>0014X00002VKCqUQAX</v>
      </c>
      <c r="B366" s="2" t="s">
        <v>2807</v>
      </c>
      <c r="C366" s="2" t="s">
        <v>1800</v>
      </c>
      <c r="D366" s="2" t="s">
        <v>2</v>
      </c>
      <c r="E366" s="2">
        <v>13</v>
      </c>
      <c r="F366" s="2">
        <v>0</v>
      </c>
      <c r="G366" s="2">
        <v>3</v>
      </c>
      <c r="H366" s="2">
        <v>10000</v>
      </c>
      <c r="I366" s="2">
        <v>0</v>
      </c>
      <c r="J366" s="2" t="s">
        <v>1779</v>
      </c>
      <c r="K366" s="2">
        <v>23</v>
      </c>
      <c r="L366" s="2">
        <v>10</v>
      </c>
      <c r="M366" s="2">
        <v>0</v>
      </c>
      <c r="N366" s="2">
        <v>8</v>
      </c>
      <c r="O366" s="2">
        <v>5</v>
      </c>
      <c r="P366" s="2">
        <v>0</v>
      </c>
      <c r="Q366" s="2" t="s">
        <v>2808</v>
      </c>
      <c r="R366" s="2" t="s">
        <v>2808</v>
      </c>
      <c r="S366" s="4">
        <v>44837</v>
      </c>
    </row>
    <row r="367" spans="1:19" ht="12.5" x14ac:dyDescent="0.25">
      <c r="A367" s="14" t="str">
        <f>HYPERLINK("https://gerandofalcoes.my.salesforce.com/0014X00002VKCrOQAX", "0014X00002VKCrOQAX")</f>
        <v>0014X00002VKCrOQAX</v>
      </c>
      <c r="B367" s="2" t="s">
        <v>2715</v>
      </c>
      <c r="C367" s="2" t="s">
        <v>1800</v>
      </c>
      <c r="D367" s="2" t="s">
        <v>2</v>
      </c>
      <c r="E367" s="2">
        <v>15</v>
      </c>
      <c r="F367" s="2">
        <v>0</v>
      </c>
      <c r="G367" s="2">
        <v>3</v>
      </c>
      <c r="H367" s="2">
        <v>15000</v>
      </c>
      <c r="I367" s="2">
        <v>255</v>
      </c>
      <c r="J367" s="2" t="s">
        <v>1779</v>
      </c>
      <c r="K367" s="2">
        <v>35</v>
      </c>
      <c r="L367" s="2">
        <v>10</v>
      </c>
      <c r="M367" s="2">
        <v>0</v>
      </c>
      <c r="N367" s="2">
        <v>8</v>
      </c>
      <c r="O367" s="2">
        <v>5</v>
      </c>
      <c r="P367" s="2">
        <v>12</v>
      </c>
      <c r="Q367" s="2" t="s">
        <v>2716</v>
      </c>
      <c r="R367" s="2" t="s">
        <v>2716</v>
      </c>
      <c r="S367" s="4">
        <v>44837</v>
      </c>
    </row>
    <row r="368" spans="1:19" ht="12.5" x14ac:dyDescent="0.25">
      <c r="A368" s="14" t="str">
        <f>HYPERLINK("https://gerandofalcoes.my.salesforce.com/0014X00002VKCqVQAX", "0014X00002VKCqVQAX")</f>
        <v>0014X00002VKCqVQAX</v>
      </c>
      <c r="B368" s="2" t="s">
        <v>2759</v>
      </c>
      <c r="C368" s="2" t="s">
        <v>423</v>
      </c>
      <c r="D368" s="2" t="s">
        <v>2</v>
      </c>
      <c r="E368" s="2">
        <v>14</v>
      </c>
      <c r="F368" s="2">
        <v>0</v>
      </c>
      <c r="G368" s="2">
        <v>15</v>
      </c>
      <c r="H368" s="2">
        <v>1850078</v>
      </c>
      <c r="I368" s="2">
        <v>20</v>
      </c>
      <c r="J368" s="2" t="s">
        <v>1671</v>
      </c>
      <c r="K368" s="2">
        <v>50</v>
      </c>
      <c r="L368" s="2">
        <v>10</v>
      </c>
      <c r="M368" s="2">
        <v>0</v>
      </c>
      <c r="N368" s="2">
        <v>10</v>
      </c>
      <c r="O368" s="2">
        <v>25</v>
      </c>
      <c r="P368" s="2">
        <v>5</v>
      </c>
      <c r="Q368" s="2" t="s">
        <v>2760</v>
      </c>
      <c r="R368" s="2" t="s">
        <v>2761</v>
      </c>
      <c r="S368" s="4">
        <v>44837</v>
      </c>
    </row>
    <row r="369" spans="1:19" ht="12.5" x14ac:dyDescent="0.25">
      <c r="A369" s="14" t="str">
        <f>HYPERLINK("https://gerandofalcoes.my.salesforce.com/0014X00002VKCtxQAH", "0014X00002VKCtxQAH")</f>
        <v>0014X00002VKCtxQAH</v>
      </c>
      <c r="B369" s="2" t="s">
        <v>1813</v>
      </c>
      <c r="C369" s="2" t="s">
        <v>423</v>
      </c>
      <c r="D369" s="2" t="s">
        <v>2</v>
      </c>
      <c r="E369" s="2">
        <v>52</v>
      </c>
      <c r="F369" s="2">
        <v>10</v>
      </c>
      <c r="G369" s="2">
        <v>3</v>
      </c>
      <c r="H369" s="2">
        <v>5000</v>
      </c>
      <c r="I369" s="2">
        <v>580</v>
      </c>
      <c r="J369" s="2" t="s">
        <v>1671</v>
      </c>
      <c r="K369" s="2">
        <v>63</v>
      </c>
      <c r="L369" s="2">
        <v>20</v>
      </c>
      <c r="M369" s="2">
        <v>10</v>
      </c>
      <c r="N369" s="2">
        <v>8</v>
      </c>
      <c r="O369" s="2">
        <v>5</v>
      </c>
      <c r="P369" s="2">
        <v>20</v>
      </c>
      <c r="Q369" s="2" t="s">
        <v>1814</v>
      </c>
      <c r="R369" s="2" t="s">
        <v>1815</v>
      </c>
      <c r="S369" s="4">
        <v>44837</v>
      </c>
    </row>
    <row r="370" spans="1:19" ht="12.5" x14ac:dyDescent="0.25">
      <c r="A370" s="14" t="str">
        <f>HYPERLINK("https://gerandofalcoes.my.salesforce.com/0014P00003AN2GHQA1", "0014P00003AN2GHQA1")</f>
        <v>0014P00003AN2GHQA1</v>
      </c>
      <c r="B370" s="2" t="s">
        <v>2503</v>
      </c>
      <c r="C370" s="2" t="s">
        <v>423</v>
      </c>
      <c r="D370" s="2" t="s">
        <v>2</v>
      </c>
      <c r="E370" s="2">
        <v>63</v>
      </c>
      <c r="F370" s="2">
        <v>2</v>
      </c>
      <c r="G370" s="2">
        <v>3</v>
      </c>
      <c r="H370" s="2">
        <v>165000</v>
      </c>
      <c r="I370" s="2">
        <v>90</v>
      </c>
      <c r="J370" s="2" t="s">
        <v>1671</v>
      </c>
      <c r="K370" s="2">
        <v>58</v>
      </c>
      <c r="L370" s="2">
        <v>20</v>
      </c>
      <c r="M370" s="2">
        <v>5</v>
      </c>
      <c r="N370" s="2">
        <v>8</v>
      </c>
      <c r="O370" s="2">
        <v>15</v>
      </c>
      <c r="P370" s="2">
        <v>10</v>
      </c>
      <c r="Q370" s="2" t="s">
        <v>1010</v>
      </c>
      <c r="R370" s="2" t="s">
        <v>1010</v>
      </c>
      <c r="S370" s="4">
        <v>44837</v>
      </c>
    </row>
    <row r="371" spans="1:19" ht="12.5" x14ac:dyDescent="0.25">
      <c r="A371" s="14" t="str">
        <f>HYPERLINK("https://gerandofalcoes.my.salesforce.com/0014P00003SGWPWQA5", "0014P00003SGWPWQA5")</f>
        <v>0014P00003SGWPWQA5</v>
      </c>
      <c r="B371" s="2" t="s">
        <v>171</v>
      </c>
      <c r="C371" s="2" t="s">
        <v>423</v>
      </c>
      <c r="D371" s="2" t="s">
        <v>27</v>
      </c>
      <c r="E371" s="2">
        <v>89</v>
      </c>
      <c r="F371" s="2">
        <v>7</v>
      </c>
      <c r="G371" s="2">
        <v>4</v>
      </c>
      <c r="H371" s="2">
        <v>30000</v>
      </c>
      <c r="I371" s="2">
        <v>278</v>
      </c>
      <c r="J371" s="2" t="s">
        <v>1650</v>
      </c>
      <c r="K371" s="2">
        <v>67</v>
      </c>
      <c r="L371" s="2">
        <v>25</v>
      </c>
      <c r="M371" s="2">
        <v>10</v>
      </c>
      <c r="N371" s="2">
        <v>10</v>
      </c>
      <c r="O371" s="2">
        <v>10</v>
      </c>
      <c r="P371" s="2">
        <v>12</v>
      </c>
      <c r="Q371" s="2" t="s">
        <v>172</v>
      </c>
      <c r="R371" s="2" t="s">
        <v>172</v>
      </c>
      <c r="S371" s="4">
        <v>44837</v>
      </c>
    </row>
    <row r="372" spans="1:19" ht="12.5" x14ac:dyDescent="0.25">
      <c r="A372" s="14" t="str">
        <f>HYPERLINK("https://gerandofalcoes.my.salesforce.com/0014P00003SGWPYQA5", "0014P00003SGWPYQA5")</f>
        <v>0014P00003SGWPYQA5</v>
      </c>
      <c r="B372" s="2" t="s">
        <v>175</v>
      </c>
      <c r="C372" s="2" t="s">
        <v>423</v>
      </c>
      <c r="D372" s="2" t="s">
        <v>2</v>
      </c>
      <c r="E372" s="2">
        <v>50.15</v>
      </c>
      <c r="F372" s="2">
        <v>0</v>
      </c>
      <c r="G372" s="2">
        <v>2</v>
      </c>
      <c r="H372" s="2">
        <v>23420</v>
      </c>
      <c r="I372" s="2">
        <v>200</v>
      </c>
      <c r="J372" s="2" t="s">
        <v>1671</v>
      </c>
      <c r="K372" s="2">
        <v>43</v>
      </c>
      <c r="L372" s="2">
        <v>20</v>
      </c>
      <c r="M372" s="2">
        <v>0</v>
      </c>
      <c r="N372" s="2">
        <v>6</v>
      </c>
      <c r="O372" s="2">
        <v>5</v>
      </c>
      <c r="P372" s="2">
        <v>12</v>
      </c>
      <c r="Q372" s="2" t="s">
        <v>176</v>
      </c>
      <c r="R372" s="2" t="s">
        <v>176</v>
      </c>
      <c r="S372" s="4">
        <v>44837</v>
      </c>
    </row>
    <row r="373" spans="1:19" ht="12.5" x14ac:dyDescent="0.25">
      <c r="A373" s="14" t="str">
        <f>HYPERLINK("https://gerandofalcoes.my.salesforce.com/0014P00003SGWPZQA5", "0014P00003SGWPZQA5")</f>
        <v>0014P00003SGWPZQA5</v>
      </c>
      <c r="B373" s="2" t="s">
        <v>160</v>
      </c>
      <c r="C373" s="2" t="s">
        <v>423</v>
      </c>
      <c r="D373" s="2" t="s">
        <v>2</v>
      </c>
      <c r="E373" s="2">
        <v>44</v>
      </c>
      <c r="F373" s="2">
        <v>2</v>
      </c>
      <c r="G373" s="2">
        <v>3</v>
      </c>
      <c r="H373" s="2">
        <v>140000</v>
      </c>
      <c r="I373" s="2">
        <v>78</v>
      </c>
      <c r="J373" s="2" t="s">
        <v>1671</v>
      </c>
      <c r="K373" s="2">
        <v>48</v>
      </c>
      <c r="L373" s="2">
        <v>15</v>
      </c>
      <c r="M373" s="2">
        <v>5</v>
      </c>
      <c r="N373" s="2">
        <v>8</v>
      </c>
      <c r="O373" s="2">
        <v>15</v>
      </c>
      <c r="P373" s="2">
        <v>5</v>
      </c>
      <c r="Q373" s="2" t="s">
        <v>161</v>
      </c>
      <c r="R373" s="2" t="s">
        <v>1828</v>
      </c>
      <c r="S373" s="4">
        <v>44837</v>
      </c>
    </row>
    <row r="374" spans="1:19" ht="12.5" x14ac:dyDescent="0.25">
      <c r="A374" s="14" t="str">
        <f>HYPERLINK("https://gerandofalcoes.my.salesforce.com/0014P00003SGWPaQAP", "0014P00003SGWPaQAP")</f>
        <v>0014P00003SGWPaQAP</v>
      </c>
      <c r="B374" s="2" t="s">
        <v>179</v>
      </c>
      <c r="C374" s="2" t="s">
        <v>423</v>
      </c>
      <c r="D374" s="2" t="s">
        <v>2</v>
      </c>
      <c r="E374" s="2">
        <v>37</v>
      </c>
      <c r="F374" s="2">
        <v>4</v>
      </c>
      <c r="G374" s="2">
        <v>3</v>
      </c>
      <c r="H374" s="2">
        <v>50000</v>
      </c>
      <c r="I374" s="2">
        <v>511</v>
      </c>
      <c r="J374" s="2" t="s">
        <v>1671</v>
      </c>
      <c r="K374" s="2">
        <v>58</v>
      </c>
      <c r="L374" s="2">
        <v>15</v>
      </c>
      <c r="M374" s="2">
        <v>5</v>
      </c>
      <c r="N374" s="2">
        <v>8</v>
      </c>
      <c r="O374" s="2">
        <v>10</v>
      </c>
      <c r="P374" s="2">
        <v>20</v>
      </c>
      <c r="Q374" s="2" t="s">
        <v>180</v>
      </c>
      <c r="R374" s="2" t="s">
        <v>2031</v>
      </c>
      <c r="S374" s="4">
        <v>44837</v>
      </c>
    </row>
    <row r="375" spans="1:19" ht="12.5" x14ac:dyDescent="0.25">
      <c r="A375" s="14" t="str">
        <f>HYPERLINK("https://gerandofalcoes.my.salesforce.com/0014P00003SGWPuQAP", "0014P00003SGWPuQAP")</f>
        <v>0014P00003SGWPuQAP</v>
      </c>
      <c r="B375" s="2" t="s">
        <v>1672</v>
      </c>
      <c r="C375" s="2" t="s">
        <v>423</v>
      </c>
      <c r="D375" s="2" t="s">
        <v>27</v>
      </c>
      <c r="E375" s="2">
        <v>86.4</v>
      </c>
      <c r="F375" s="2">
        <v>0</v>
      </c>
      <c r="G375" s="2">
        <v>4</v>
      </c>
      <c r="H375" s="2">
        <v>3000</v>
      </c>
      <c r="I375" s="2">
        <v>268</v>
      </c>
      <c r="J375" s="2" t="s">
        <v>1671</v>
      </c>
      <c r="K375" s="2">
        <v>52</v>
      </c>
      <c r="L375" s="2">
        <v>25</v>
      </c>
      <c r="M375" s="2">
        <v>0</v>
      </c>
      <c r="N375" s="2">
        <v>10</v>
      </c>
      <c r="O375" s="2">
        <v>5</v>
      </c>
      <c r="P375" s="2">
        <v>12</v>
      </c>
      <c r="Q375" s="2" t="s">
        <v>186</v>
      </c>
      <c r="R375" s="2" t="s">
        <v>1673</v>
      </c>
      <c r="S375" s="4">
        <v>44837</v>
      </c>
    </row>
    <row r="376" spans="1:19" ht="12.5" x14ac:dyDescent="0.25">
      <c r="A376" s="14" t="str">
        <f>HYPERLINK("https://gerandofalcoes.my.salesforce.com/0014P00003SGWPTQA5", "0014P00003SGWPTQA5")</f>
        <v>0014P00003SGWPTQA5</v>
      </c>
      <c r="B376" s="2" t="s">
        <v>376</v>
      </c>
      <c r="C376" s="2" t="s">
        <v>423</v>
      </c>
      <c r="D376" s="2" t="s">
        <v>2</v>
      </c>
      <c r="E376" s="2">
        <v>36.65</v>
      </c>
      <c r="F376" s="2">
        <v>0</v>
      </c>
      <c r="G376" s="2">
        <v>1</v>
      </c>
      <c r="H376" s="2">
        <v>6000</v>
      </c>
      <c r="I376" s="2">
        <v>104</v>
      </c>
      <c r="J376" s="2" t="s">
        <v>1779</v>
      </c>
      <c r="K376" s="2">
        <v>34</v>
      </c>
      <c r="L376" s="2">
        <v>15</v>
      </c>
      <c r="M376" s="2">
        <v>0</v>
      </c>
      <c r="N376" s="2">
        <v>4</v>
      </c>
      <c r="O376" s="2">
        <v>5</v>
      </c>
      <c r="P376" s="2">
        <v>10</v>
      </c>
      <c r="Q376" s="2" t="s">
        <v>377</v>
      </c>
      <c r="R376" s="2" t="s">
        <v>1586</v>
      </c>
      <c r="S376" s="4">
        <v>44837</v>
      </c>
    </row>
    <row r="377" spans="1:19" ht="12.5" x14ac:dyDescent="0.25">
      <c r="A377" s="14" t="str">
        <f>HYPERLINK("https://gerandofalcoes.my.salesforce.com/0014P00003SGWPUQA5", "0014P00003SGWPUQA5")</f>
        <v>0014P00003SGWPUQA5</v>
      </c>
      <c r="B377" s="2" t="s">
        <v>379</v>
      </c>
      <c r="C377" s="2" t="s">
        <v>423</v>
      </c>
      <c r="D377" s="2" t="s">
        <v>2</v>
      </c>
      <c r="E377" s="2">
        <v>58</v>
      </c>
      <c r="F377" s="2">
        <v>0</v>
      </c>
      <c r="G377" s="2">
        <v>3</v>
      </c>
      <c r="H377" s="2">
        <v>88255</v>
      </c>
      <c r="I377" s="2">
        <v>60</v>
      </c>
      <c r="J377" s="2" t="s">
        <v>1671</v>
      </c>
      <c r="K377" s="2">
        <v>43</v>
      </c>
      <c r="L377" s="2">
        <v>20</v>
      </c>
      <c r="M377" s="2">
        <v>0</v>
      </c>
      <c r="N377" s="2">
        <v>8</v>
      </c>
      <c r="O377" s="2">
        <v>10</v>
      </c>
      <c r="P377" s="2">
        <v>5</v>
      </c>
      <c r="Q377" s="2" t="s">
        <v>380</v>
      </c>
      <c r="R377" s="2" t="s">
        <v>1595</v>
      </c>
      <c r="S377" s="4">
        <v>44837</v>
      </c>
    </row>
    <row r="378" spans="1:19" ht="12.5" x14ac:dyDescent="0.25">
      <c r="A378" s="14" t="str">
        <f>HYPERLINK("https://gerandofalcoes.my.salesforce.com/0014P00003SGWPVQA5", "0014P00003SGWPVQA5")</f>
        <v>0014P00003SGWPVQA5</v>
      </c>
      <c r="B378" s="2" t="s">
        <v>2352</v>
      </c>
      <c r="C378" s="2" t="s">
        <v>1800</v>
      </c>
      <c r="D378" s="2" t="s">
        <v>2</v>
      </c>
      <c r="E378" s="2">
        <v>27</v>
      </c>
      <c r="F378" s="2">
        <v>0</v>
      </c>
      <c r="G378" s="2">
        <v>1</v>
      </c>
      <c r="H378" s="2">
        <v>2000</v>
      </c>
      <c r="I378" s="2">
        <v>70</v>
      </c>
      <c r="J378" s="2" t="s">
        <v>1779</v>
      </c>
      <c r="K378" s="2">
        <v>29</v>
      </c>
      <c r="L378" s="2">
        <v>15</v>
      </c>
      <c r="M378" s="2">
        <v>0</v>
      </c>
      <c r="N378" s="2">
        <v>4</v>
      </c>
      <c r="O378" s="2">
        <v>5</v>
      </c>
      <c r="P378" s="2">
        <v>5</v>
      </c>
      <c r="Q378" s="2" t="s">
        <v>381</v>
      </c>
      <c r="R378" s="2" t="s">
        <v>2353</v>
      </c>
      <c r="S378" s="4">
        <v>44837</v>
      </c>
    </row>
    <row r="379" spans="1:19" ht="12.5" x14ac:dyDescent="0.25">
      <c r="A379" s="14" t="str">
        <f>HYPERLINK("https://gerandofalcoes.my.salesforce.com/0014X00002QTry4QAD", "0014X00002QTry4QAD")</f>
        <v>0014X00002QTry4QAD</v>
      </c>
      <c r="B379" s="2" t="s">
        <v>1701</v>
      </c>
      <c r="C379" s="2" t="s">
        <v>423</v>
      </c>
      <c r="D379" s="2" t="s">
        <v>27</v>
      </c>
      <c r="E379" s="2">
        <v>76.38</v>
      </c>
      <c r="F379" s="2">
        <v>0</v>
      </c>
      <c r="G379" s="2">
        <v>3</v>
      </c>
      <c r="H379" s="2">
        <v>350</v>
      </c>
      <c r="I379" s="2">
        <v>40</v>
      </c>
      <c r="J379" s="2" t="s">
        <v>1671</v>
      </c>
      <c r="K379" s="2">
        <v>43</v>
      </c>
      <c r="L379" s="2">
        <v>25</v>
      </c>
      <c r="M379" s="2">
        <v>0</v>
      </c>
      <c r="N379" s="2">
        <v>8</v>
      </c>
      <c r="O379" s="2">
        <v>5</v>
      </c>
      <c r="P379" s="2">
        <v>5</v>
      </c>
      <c r="Q379" s="2" t="s">
        <v>1702</v>
      </c>
      <c r="R379" s="2" t="s">
        <v>1703</v>
      </c>
      <c r="S379" s="4">
        <v>44837</v>
      </c>
    </row>
    <row r="380" spans="1:19" ht="12.5" x14ac:dyDescent="0.25">
      <c r="A380" s="14" t="str">
        <f>HYPERLINK("https://gerandofalcoes.my.salesforce.com/0014X00002PUOY7QAP", "0014X00002PUOY7QAP")</f>
        <v>0014X00002PUOY7QAP</v>
      </c>
      <c r="B380" s="2" t="s">
        <v>2317</v>
      </c>
      <c r="C380" s="2" t="s">
        <v>423</v>
      </c>
      <c r="D380" s="2" t="s">
        <v>2</v>
      </c>
      <c r="E380" s="2">
        <v>28</v>
      </c>
      <c r="F380" s="2">
        <v>28</v>
      </c>
      <c r="G380" s="2">
        <v>3</v>
      </c>
      <c r="H380" s="2">
        <v>200000</v>
      </c>
      <c r="I380" s="2">
        <v>500</v>
      </c>
      <c r="J380" s="2" t="s">
        <v>1650</v>
      </c>
      <c r="K380" s="2">
        <v>70</v>
      </c>
      <c r="L380" s="2">
        <v>15</v>
      </c>
      <c r="M380" s="2">
        <v>12</v>
      </c>
      <c r="N380" s="2">
        <v>8</v>
      </c>
      <c r="O380" s="2">
        <v>15</v>
      </c>
      <c r="P380" s="2">
        <v>20</v>
      </c>
      <c r="Q380" s="2" t="s">
        <v>448</v>
      </c>
      <c r="R380" s="2" t="s">
        <v>448</v>
      </c>
      <c r="S380" s="4">
        <v>44837</v>
      </c>
    </row>
    <row r="381" spans="1:19" ht="12.5" x14ac:dyDescent="0.25">
      <c r="A381" s="14" t="str">
        <f>HYPERLINK("https://gerandofalcoes.my.salesforce.com/0014X00002PUOZAQA5", "0014X00002PUOZAQA5")</f>
        <v>0014X00002PUOZAQA5</v>
      </c>
      <c r="B381" s="2" t="s">
        <v>1717</v>
      </c>
      <c r="C381" s="2" t="s">
        <v>423</v>
      </c>
      <c r="D381" s="2" t="s">
        <v>2</v>
      </c>
      <c r="E381" s="2">
        <v>76.81</v>
      </c>
      <c r="F381" s="2">
        <v>0</v>
      </c>
      <c r="G381" s="2">
        <v>3</v>
      </c>
      <c r="H381" s="2">
        <v>286000</v>
      </c>
      <c r="I381" s="2">
        <v>127</v>
      </c>
      <c r="J381" s="2" t="s">
        <v>1671</v>
      </c>
      <c r="K381" s="2">
        <v>58</v>
      </c>
      <c r="L381" s="2">
        <v>25</v>
      </c>
      <c r="M381" s="2">
        <v>0</v>
      </c>
      <c r="N381" s="2">
        <v>8</v>
      </c>
      <c r="O381" s="2">
        <v>15</v>
      </c>
      <c r="P381" s="2">
        <v>10</v>
      </c>
      <c r="Q381" s="2" t="s">
        <v>1718</v>
      </c>
      <c r="R381" s="2" t="s">
        <v>1718</v>
      </c>
      <c r="S381" s="4">
        <v>44837</v>
      </c>
    </row>
    <row r="382" spans="1:19" ht="12.5" x14ac:dyDescent="0.25">
      <c r="A382" s="14" t="str">
        <f>HYPERLINK("https://gerandofalcoes.my.salesforce.com/0014P00003ESKdlQAH", "0014P00003ESKdlQAH")</f>
        <v>0014P00003ESKdlQAH</v>
      </c>
      <c r="B382" s="2" t="s">
        <v>1719</v>
      </c>
      <c r="C382" s="2" t="s">
        <v>423</v>
      </c>
      <c r="D382" s="2" t="s">
        <v>2</v>
      </c>
      <c r="E382" s="2">
        <v>76</v>
      </c>
      <c r="F382" s="2">
        <v>0</v>
      </c>
      <c r="G382" s="2">
        <v>3</v>
      </c>
      <c r="H382" s="2">
        <v>97514224</v>
      </c>
      <c r="I382" s="2">
        <v>500</v>
      </c>
      <c r="J382" s="2" t="s">
        <v>1650</v>
      </c>
      <c r="K382" s="2">
        <v>78</v>
      </c>
      <c r="L382" s="2">
        <v>25</v>
      </c>
      <c r="M382" s="2">
        <v>0</v>
      </c>
      <c r="N382" s="2">
        <v>8</v>
      </c>
      <c r="O382" s="2">
        <v>25</v>
      </c>
      <c r="P382" s="2">
        <v>20</v>
      </c>
      <c r="Q382" s="2" t="s">
        <v>898</v>
      </c>
      <c r="R382" s="2" t="s">
        <v>898</v>
      </c>
      <c r="S382" s="4">
        <v>44837</v>
      </c>
    </row>
    <row r="383" spans="1:19" ht="12.5" x14ac:dyDescent="0.25">
      <c r="A383" s="14" t="str">
        <f>HYPERLINK("https://gerandofalcoes.my.salesforce.com/0014P00003AN2FVQA1", "0014P00003AN2FVQA1")</f>
        <v>0014P00003AN2FVQA1</v>
      </c>
      <c r="B383" s="2" t="s">
        <v>1738</v>
      </c>
      <c r="C383" s="2" t="s">
        <v>423</v>
      </c>
      <c r="D383" s="2" t="s">
        <v>2</v>
      </c>
      <c r="E383" s="2">
        <v>70</v>
      </c>
      <c r="F383" s="2">
        <v>22</v>
      </c>
      <c r="G383" s="2">
        <v>3</v>
      </c>
      <c r="H383" s="2">
        <v>1385871</v>
      </c>
      <c r="I383" s="2">
        <v>700</v>
      </c>
      <c r="J383" s="2" t="s">
        <v>1654</v>
      </c>
      <c r="K383" s="2">
        <v>85</v>
      </c>
      <c r="L383" s="2">
        <v>20</v>
      </c>
      <c r="M383" s="2">
        <v>12</v>
      </c>
      <c r="N383" s="2">
        <v>8</v>
      </c>
      <c r="O383" s="2">
        <v>25</v>
      </c>
      <c r="P383" s="2">
        <v>20</v>
      </c>
      <c r="Q383" s="2" t="s">
        <v>632</v>
      </c>
      <c r="R383" s="2" t="s">
        <v>632</v>
      </c>
      <c r="S383" s="4">
        <v>44837</v>
      </c>
    </row>
    <row r="384" spans="1:19" ht="12.5" x14ac:dyDescent="0.25">
      <c r="A384" s="14" t="str">
        <f>HYPERLINK("https://gerandofalcoes.my.salesforce.com/0014P00003AN2FWQA1", "0014P00003AN2FWQA1")</f>
        <v>0014P00003AN2FWQA1</v>
      </c>
      <c r="B384" s="2" t="s">
        <v>2395</v>
      </c>
      <c r="C384" s="2" t="s">
        <v>423</v>
      </c>
      <c r="D384" s="2" t="s">
        <v>2</v>
      </c>
      <c r="E384" s="2">
        <v>43</v>
      </c>
      <c r="F384" s="2">
        <v>2</v>
      </c>
      <c r="G384" s="2">
        <v>1</v>
      </c>
      <c r="H384" s="2">
        <v>300000</v>
      </c>
      <c r="I384" s="2">
        <v>280</v>
      </c>
      <c r="J384" s="2" t="s">
        <v>1671</v>
      </c>
      <c r="K384" s="2">
        <v>56</v>
      </c>
      <c r="L384" s="2">
        <v>15</v>
      </c>
      <c r="M384" s="2">
        <v>5</v>
      </c>
      <c r="N384" s="2">
        <v>4</v>
      </c>
      <c r="O384" s="2">
        <v>20</v>
      </c>
      <c r="P384" s="2">
        <v>12</v>
      </c>
      <c r="Q384" s="2" t="s">
        <v>2396</v>
      </c>
      <c r="R384" s="2" t="s">
        <v>2396</v>
      </c>
      <c r="S384" s="4">
        <v>44837</v>
      </c>
    </row>
    <row r="385" spans="1:19" ht="12.5" x14ac:dyDescent="0.25">
      <c r="A385" s="14" t="str">
        <f>HYPERLINK("https://gerandofalcoes.my.salesforce.com/0014P00003AN2FXQA1", "0014P00003AN2FXQA1")</f>
        <v>0014P00003AN2FXQA1</v>
      </c>
      <c r="B385" s="2" t="s">
        <v>1799</v>
      </c>
      <c r="C385" s="2" t="s">
        <v>1800</v>
      </c>
      <c r="D385" s="2" t="s">
        <v>2</v>
      </c>
      <c r="E385" s="2">
        <v>53</v>
      </c>
      <c r="F385" s="2">
        <v>8</v>
      </c>
      <c r="G385" s="2">
        <v>3</v>
      </c>
      <c r="H385" s="2">
        <v>250000</v>
      </c>
      <c r="I385" s="2">
        <v>238</v>
      </c>
      <c r="J385" s="2" t="s">
        <v>1650</v>
      </c>
      <c r="K385" s="2">
        <v>65</v>
      </c>
      <c r="L385" s="2">
        <v>20</v>
      </c>
      <c r="M385" s="2">
        <v>10</v>
      </c>
      <c r="N385" s="2">
        <v>8</v>
      </c>
      <c r="O385" s="2">
        <v>15</v>
      </c>
      <c r="P385" s="2">
        <v>12</v>
      </c>
      <c r="Q385" s="2" t="s">
        <v>646</v>
      </c>
      <c r="R385" s="2" t="s">
        <v>646</v>
      </c>
      <c r="S385" s="4">
        <v>44837</v>
      </c>
    </row>
    <row r="386" spans="1:19" ht="12.5" x14ac:dyDescent="0.25">
      <c r="A386" s="14" t="str">
        <f>HYPERLINK("https://gerandofalcoes.my.salesforce.com/0014P00003AN2FYQA1", "0014P00003AN2FYQA1")</f>
        <v>0014P00003AN2FYQA1</v>
      </c>
      <c r="B386" s="2" t="s">
        <v>1874</v>
      </c>
      <c r="C386" s="2" t="s">
        <v>423</v>
      </c>
      <c r="D386" s="2" t="s">
        <v>2</v>
      </c>
      <c r="E386" s="2">
        <v>45</v>
      </c>
      <c r="F386" s="2">
        <v>4</v>
      </c>
      <c r="G386" s="2">
        <v>5</v>
      </c>
      <c r="H386" s="2">
        <v>100000</v>
      </c>
      <c r="I386" s="2">
        <v>50</v>
      </c>
      <c r="J386" s="2" t="s">
        <v>1671</v>
      </c>
      <c r="K386" s="2">
        <v>50</v>
      </c>
      <c r="L386" s="2">
        <v>15</v>
      </c>
      <c r="M386" s="2">
        <v>5</v>
      </c>
      <c r="N386" s="2">
        <v>10</v>
      </c>
      <c r="O386" s="2">
        <v>15</v>
      </c>
      <c r="P386" s="2">
        <v>5</v>
      </c>
      <c r="Q386" s="2" t="s">
        <v>7147</v>
      </c>
      <c r="R386" s="2" t="s">
        <v>7147</v>
      </c>
      <c r="S386" s="4">
        <v>44837</v>
      </c>
    </row>
    <row r="387" spans="1:19" ht="12.5" x14ac:dyDescent="0.25">
      <c r="A387" s="14" t="str">
        <f>HYPERLINK("https://gerandofalcoes.my.salesforce.com/0014P00003AN2FZQA1", "0014P00003AN2FZQA1")</f>
        <v>0014P00003AN2FZQA1</v>
      </c>
      <c r="B387" s="2" t="s">
        <v>1685</v>
      </c>
      <c r="C387" s="2" t="s">
        <v>423</v>
      </c>
      <c r="D387" s="2" t="s">
        <v>2</v>
      </c>
      <c r="E387" s="2">
        <v>94</v>
      </c>
      <c r="F387" s="2">
        <v>51</v>
      </c>
      <c r="G387" s="2">
        <v>8</v>
      </c>
      <c r="H387" s="2">
        <v>501000</v>
      </c>
      <c r="I387" s="2">
        <v>400</v>
      </c>
      <c r="J387" s="2" t="s">
        <v>1654</v>
      </c>
      <c r="K387" s="2">
        <v>90</v>
      </c>
      <c r="L387" s="2">
        <v>30</v>
      </c>
      <c r="M387" s="2">
        <v>15</v>
      </c>
      <c r="N387" s="2">
        <v>10</v>
      </c>
      <c r="O387" s="2">
        <v>20</v>
      </c>
      <c r="P387" s="2">
        <v>15</v>
      </c>
      <c r="Q387" s="2" t="s">
        <v>1686</v>
      </c>
      <c r="R387" s="2" t="s">
        <v>1686</v>
      </c>
      <c r="S387" s="4">
        <v>44837</v>
      </c>
    </row>
    <row r="388" spans="1:19" ht="12.5" x14ac:dyDescent="0.25">
      <c r="A388" s="14" t="str">
        <f>HYPERLINK("https://gerandofalcoes.my.salesforce.com/0014P00003AN2FaQAL", "0014P00003AN2FaQAL")</f>
        <v>0014P00003AN2FaQAL</v>
      </c>
      <c r="B388" s="2" t="s">
        <v>81</v>
      </c>
      <c r="C388" s="2" t="s">
        <v>423</v>
      </c>
      <c r="D388" s="2" t="s">
        <v>2</v>
      </c>
      <c r="E388" s="2">
        <v>43.16</v>
      </c>
      <c r="F388" s="2">
        <v>7</v>
      </c>
      <c r="G388" s="2">
        <v>2</v>
      </c>
      <c r="H388" s="2">
        <v>150000</v>
      </c>
      <c r="I388" s="2">
        <v>102</v>
      </c>
      <c r="J388" s="2" t="s">
        <v>1671</v>
      </c>
      <c r="K388" s="2">
        <v>56</v>
      </c>
      <c r="L388" s="2">
        <v>15</v>
      </c>
      <c r="M388" s="2">
        <v>10</v>
      </c>
      <c r="N388" s="2">
        <v>6</v>
      </c>
      <c r="O388" s="2">
        <v>15</v>
      </c>
      <c r="P388" s="2">
        <v>10</v>
      </c>
      <c r="Q388" s="2" t="s">
        <v>82</v>
      </c>
      <c r="R388" s="2" t="s">
        <v>660</v>
      </c>
      <c r="S388" s="4">
        <v>44837</v>
      </c>
    </row>
    <row r="389" spans="1:19" ht="12.5" x14ac:dyDescent="0.25">
      <c r="A389" s="14" t="str">
        <f>HYPERLINK("https://gerandofalcoes.my.salesforce.com/0014P00003AN2FbQAL", "0014P00003AN2FbQAL")</f>
        <v>0014P00003AN2FbQAL</v>
      </c>
      <c r="B389" s="2" t="s">
        <v>2318</v>
      </c>
      <c r="C389" s="2" t="s">
        <v>423</v>
      </c>
      <c r="D389" s="2" t="s">
        <v>2</v>
      </c>
      <c r="E389" s="2">
        <v>28</v>
      </c>
      <c r="F389" s="2">
        <v>0</v>
      </c>
      <c r="G389" s="2">
        <v>0</v>
      </c>
      <c r="H389" s="2">
        <v>20000</v>
      </c>
      <c r="I389" s="2">
        <v>330</v>
      </c>
      <c r="J389" s="2" t="s">
        <v>1779</v>
      </c>
      <c r="K389" s="2">
        <v>35</v>
      </c>
      <c r="L389" s="2">
        <v>15</v>
      </c>
      <c r="M389" s="2">
        <v>0</v>
      </c>
      <c r="N389" s="2">
        <v>0</v>
      </c>
      <c r="O389" s="2">
        <v>5</v>
      </c>
      <c r="P389" s="2">
        <v>15</v>
      </c>
      <c r="Q389" s="2" t="s">
        <v>88</v>
      </c>
      <c r="R389" s="2" t="s">
        <v>88</v>
      </c>
      <c r="S389" s="4">
        <v>44837</v>
      </c>
    </row>
    <row r="390" spans="1:19" ht="12.5" x14ac:dyDescent="0.25">
      <c r="A390" s="14" t="str">
        <f>HYPERLINK("https://gerandofalcoes.my.salesforce.com/0014P00003AN2FcQAL", "0014P00003AN2FcQAL")</f>
        <v>0014P00003AN2FcQAL</v>
      </c>
      <c r="B390" s="2" t="s">
        <v>1681</v>
      </c>
      <c r="C390" s="2" t="s">
        <v>423</v>
      </c>
      <c r="D390" s="2" t="s">
        <v>27</v>
      </c>
      <c r="E390" s="2">
        <v>87</v>
      </c>
      <c r="F390" s="2">
        <v>10</v>
      </c>
      <c r="G390" s="2">
        <v>3</v>
      </c>
      <c r="H390" s="2">
        <v>501150</v>
      </c>
      <c r="I390" s="2">
        <v>171</v>
      </c>
      <c r="J390" s="2" t="s">
        <v>1650</v>
      </c>
      <c r="K390" s="2">
        <v>75</v>
      </c>
      <c r="L390" s="2">
        <v>25</v>
      </c>
      <c r="M390" s="2">
        <v>10</v>
      </c>
      <c r="N390" s="2">
        <v>8</v>
      </c>
      <c r="O390" s="2">
        <v>20</v>
      </c>
      <c r="P390" s="2">
        <v>12</v>
      </c>
      <c r="Q390" s="2" t="s">
        <v>91</v>
      </c>
      <c r="R390" s="2" t="s">
        <v>91</v>
      </c>
      <c r="S390" s="4">
        <v>44837</v>
      </c>
    </row>
    <row r="391" spans="1:19" ht="12.5" x14ac:dyDescent="0.25">
      <c r="A391" s="14" t="str">
        <f>HYPERLINK("https://gerandofalcoes.my.salesforce.com/0014P00003AN2FdQAL", "0014P00003AN2FdQAL")</f>
        <v>0014P00003AN2FdQAL</v>
      </c>
      <c r="B391" s="2" t="s">
        <v>95</v>
      </c>
      <c r="C391" s="2" t="s">
        <v>1800</v>
      </c>
      <c r="D391" s="2" t="s">
        <v>2</v>
      </c>
      <c r="E391" s="2">
        <v>7</v>
      </c>
      <c r="F391" s="2">
        <v>0</v>
      </c>
      <c r="G391" s="2">
        <v>0</v>
      </c>
      <c r="H391" s="2">
        <v>0</v>
      </c>
      <c r="I391" s="2">
        <v>300</v>
      </c>
      <c r="J391" s="2" t="s">
        <v>1779</v>
      </c>
      <c r="K391" s="2">
        <v>25</v>
      </c>
      <c r="L391" s="2">
        <v>10</v>
      </c>
      <c r="M391" s="2">
        <v>0</v>
      </c>
      <c r="N391" s="2">
        <v>0</v>
      </c>
      <c r="O391" s="2">
        <v>0</v>
      </c>
      <c r="P391" s="2">
        <v>15</v>
      </c>
      <c r="Q391" s="2" t="s">
        <v>96</v>
      </c>
      <c r="R391" s="2" t="s">
        <v>685</v>
      </c>
      <c r="S391" s="4">
        <v>44837</v>
      </c>
    </row>
    <row r="392" spans="1:19" ht="12.5" x14ac:dyDescent="0.25">
      <c r="A392" s="14" t="str">
        <f>HYPERLINK("https://gerandofalcoes.my.salesforce.com/0014P00003AN2FeQAL", "0014P00003AN2FeQAL")</f>
        <v>0014P00003AN2FeQAL</v>
      </c>
      <c r="B392" s="2" t="s">
        <v>100</v>
      </c>
      <c r="C392" s="2" t="s">
        <v>423</v>
      </c>
      <c r="D392" s="2" t="s">
        <v>2</v>
      </c>
      <c r="E392" s="2">
        <v>25</v>
      </c>
      <c r="F392" s="2">
        <v>10</v>
      </c>
      <c r="G392" s="2">
        <v>3</v>
      </c>
      <c r="H392" s="2">
        <v>105000</v>
      </c>
      <c r="I392" s="2">
        <v>64</v>
      </c>
      <c r="J392" s="2" t="s">
        <v>1671</v>
      </c>
      <c r="K392" s="2">
        <v>53</v>
      </c>
      <c r="L392" s="2">
        <v>15</v>
      </c>
      <c r="M392" s="2">
        <v>10</v>
      </c>
      <c r="N392" s="2">
        <v>8</v>
      </c>
      <c r="O392" s="2">
        <v>15</v>
      </c>
      <c r="P392" s="2">
        <v>5</v>
      </c>
      <c r="Q392" s="2" t="s">
        <v>101</v>
      </c>
      <c r="R392" s="2" t="s">
        <v>2472</v>
      </c>
      <c r="S392" s="4">
        <v>44837</v>
      </c>
    </row>
    <row r="393" spans="1:19" ht="12.5" x14ac:dyDescent="0.25">
      <c r="A393" s="14" t="str">
        <f>HYPERLINK("https://gerandofalcoes.my.salesforce.com/0014X00002VKCqYQAX", "0014X00002VKCqYQAX")</f>
        <v>0014X00002VKCqYQAX</v>
      </c>
      <c r="B393" s="2" t="s">
        <v>2322</v>
      </c>
      <c r="C393" s="2" t="s">
        <v>1800</v>
      </c>
      <c r="D393" s="2" t="s">
        <v>2</v>
      </c>
      <c r="E393" s="2">
        <v>28</v>
      </c>
      <c r="F393" s="2">
        <v>1</v>
      </c>
      <c r="G393" s="2">
        <v>6</v>
      </c>
      <c r="H393" s="2">
        <v>5000</v>
      </c>
      <c r="I393" s="2">
        <v>80</v>
      </c>
      <c r="J393" s="2" t="s">
        <v>1671</v>
      </c>
      <c r="K393" s="2">
        <v>45</v>
      </c>
      <c r="L393" s="2">
        <v>15</v>
      </c>
      <c r="M393" s="2">
        <v>5</v>
      </c>
      <c r="N393" s="2">
        <v>10</v>
      </c>
      <c r="O393" s="2">
        <v>5</v>
      </c>
      <c r="P393" s="2">
        <v>10</v>
      </c>
      <c r="Q393" s="2" t="s">
        <v>2323</v>
      </c>
      <c r="R393" s="2" t="s">
        <v>2324</v>
      </c>
      <c r="S393" s="4">
        <v>44837</v>
      </c>
    </row>
    <row r="394" spans="1:19" ht="12.5" x14ac:dyDescent="0.25">
      <c r="A394" s="14" t="str">
        <f>HYPERLINK("https://gerandofalcoes.my.salesforce.com/0014X00002VKCukQAH", "0014X00002VKCukQAH")</f>
        <v>0014X00002VKCukQAH</v>
      </c>
      <c r="B394" s="2" t="s">
        <v>2990</v>
      </c>
      <c r="C394" s="2" t="s">
        <v>1800</v>
      </c>
      <c r="D394" s="2" t="s">
        <v>2</v>
      </c>
      <c r="E394" s="2"/>
      <c r="F394" s="2">
        <v>8</v>
      </c>
      <c r="G394" s="2">
        <v>2</v>
      </c>
      <c r="H394" s="2">
        <v>0</v>
      </c>
      <c r="I394" s="2">
        <v>50</v>
      </c>
      <c r="J394" s="2" t="s">
        <v>1779</v>
      </c>
      <c r="K394" s="2">
        <v>21</v>
      </c>
      <c r="L394" s="2">
        <v>0</v>
      </c>
      <c r="M394" s="2">
        <v>10</v>
      </c>
      <c r="N394" s="2">
        <v>6</v>
      </c>
      <c r="O394" s="2">
        <v>0</v>
      </c>
      <c r="P394" s="2">
        <v>5</v>
      </c>
      <c r="Q394" s="2" t="s">
        <v>2991</v>
      </c>
      <c r="R394" s="2" t="s">
        <v>2991</v>
      </c>
      <c r="S394" s="4">
        <v>44837</v>
      </c>
    </row>
    <row r="395" spans="1:19" ht="12.5" x14ac:dyDescent="0.25">
      <c r="A395" s="14" t="str">
        <f>HYPERLINK("https://gerandofalcoes.my.salesforce.com/0014X00002VKCsmQAH", "0014X00002VKCsmQAH")</f>
        <v>0014X00002VKCsmQAH</v>
      </c>
      <c r="B395" s="2" t="s">
        <v>2370</v>
      </c>
      <c r="C395" s="2" t="s">
        <v>1800</v>
      </c>
      <c r="D395" s="2" t="s">
        <v>2</v>
      </c>
      <c r="E395" s="2">
        <v>26</v>
      </c>
      <c r="F395" s="2">
        <v>0</v>
      </c>
      <c r="G395" s="2">
        <v>2</v>
      </c>
      <c r="H395" s="2">
        <v>8000</v>
      </c>
      <c r="I395" s="2">
        <v>20</v>
      </c>
      <c r="J395" s="2" t="s">
        <v>1779</v>
      </c>
      <c r="K395" s="2">
        <v>31</v>
      </c>
      <c r="L395" s="2">
        <v>15</v>
      </c>
      <c r="M395" s="2">
        <v>0</v>
      </c>
      <c r="N395" s="2">
        <v>6</v>
      </c>
      <c r="O395" s="2">
        <v>5</v>
      </c>
      <c r="P395" s="2">
        <v>5</v>
      </c>
      <c r="Q395" s="2" t="s">
        <v>2371</v>
      </c>
      <c r="R395" s="2" t="s">
        <v>2371</v>
      </c>
      <c r="S395" s="4">
        <v>44837</v>
      </c>
    </row>
    <row r="396" spans="1:19" ht="12.5" x14ac:dyDescent="0.25">
      <c r="A396" s="14" t="str">
        <f>HYPERLINK("https://gerandofalcoes.my.salesforce.com/0014X00002VKCpUQAX", "0014X00002VKCpUQAX")</f>
        <v>0014X00002VKCpUQAX</v>
      </c>
      <c r="B396" s="2" t="s">
        <v>2795</v>
      </c>
      <c r="C396" s="2" t="s">
        <v>423</v>
      </c>
      <c r="D396" s="2" t="s">
        <v>2</v>
      </c>
      <c r="E396" s="2">
        <v>13</v>
      </c>
      <c r="F396" s="2">
        <v>3</v>
      </c>
      <c r="G396" s="2">
        <v>1</v>
      </c>
      <c r="H396" s="2">
        <v>1200</v>
      </c>
      <c r="I396" s="2">
        <v>50</v>
      </c>
      <c r="J396" s="2" t="s">
        <v>1779</v>
      </c>
      <c r="K396" s="2">
        <v>29</v>
      </c>
      <c r="L396" s="2">
        <v>10</v>
      </c>
      <c r="M396" s="2">
        <v>5</v>
      </c>
      <c r="N396" s="2">
        <v>4</v>
      </c>
      <c r="O396" s="2">
        <v>5</v>
      </c>
      <c r="P396" s="2">
        <v>5</v>
      </c>
      <c r="Q396" s="2" t="s">
        <v>2796</v>
      </c>
      <c r="R396" s="2" t="s">
        <v>2797</v>
      </c>
      <c r="S396" s="4">
        <v>44837</v>
      </c>
    </row>
    <row r="397" spans="1:19" ht="12.5" x14ac:dyDescent="0.25">
      <c r="A397" s="14" t="str">
        <f>HYPERLINK("https://gerandofalcoes.my.salesforce.com/0014X00002VKCpcQAH", "0014X00002VKCpcQAH")</f>
        <v>0014X00002VKCpcQAH</v>
      </c>
      <c r="B397" s="2" t="s">
        <v>2689</v>
      </c>
      <c r="C397" s="2" t="s">
        <v>1800</v>
      </c>
      <c r="D397" s="2" t="s">
        <v>2</v>
      </c>
      <c r="E397" s="2">
        <v>16</v>
      </c>
      <c r="F397" s="2">
        <v>0</v>
      </c>
      <c r="G397" s="2">
        <v>2</v>
      </c>
      <c r="H397" s="2">
        <v>98000</v>
      </c>
      <c r="I397" s="2">
        <v>20</v>
      </c>
      <c r="J397" s="2" t="s">
        <v>1779</v>
      </c>
      <c r="K397" s="2">
        <v>31</v>
      </c>
      <c r="L397" s="2">
        <v>10</v>
      </c>
      <c r="M397" s="2">
        <v>0</v>
      </c>
      <c r="N397" s="2">
        <v>6</v>
      </c>
      <c r="O397" s="2">
        <v>10</v>
      </c>
      <c r="P397" s="2">
        <v>5</v>
      </c>
      <c r="Q397" s="2" t="s">
        <v>7166</v>
      </c>
      <c r="R397" s="2" t="s">
        <v>2690</v>
      </c>
      <c r="S397" s="4">
        <v>44837</v>
      </c>
    </row>
    <row r="398" spans="1:19" ht="12.5" x14ac:dyDescent="0.25">
      <c r="A398" s="14" t="str">
        <f>HYPERLINK("https://gerandofalcoes.my.salesforce.com/0014X00002VKCtwQAH", "0014X00002VKCtwQAH")</f>
        <v>0014X00002VKCtwQAH</v>
      </c>
      <c r="B398" s="2" t="s">
        <v>1954</v>
      </c>
      <c r="C398" s="2" t="s">
        <v>1800</v>
      </c>
      <c r="D398" s="2" t="s">
        <v>2</v>
      </c>
      <c r="E398" s="2">
        <v>41</v>
      </c>
      <c r="F398" s="2">
        <v>4</v>
      </c>
      <c r="G398" s="2">
        <v>3</v>
      </c>
      <c r="H398" s="2">
        <v>186011</v>
      </c>
      <c r="I398" s="2">
        <v>0</v>
      </c>
      <c r="J398" s="2" t="s">
        <v>1671</v>
      </c>
      <c r="K398" s="2">
        <v>43</v>
      </c>
      <c r="L398" s="2">
        <v>15</v>
      </c>
      <c r="M398" s="2">
        <v>5</v>
      </c>
      <c r="N398" s="2">
        <v>8</v>
      </c>
      <c r="O398" s="2">
        <v>15</v>
      </c>
      <c r="P398" s="2">
        <v>0</v>
      </c>
      <c r="Q398" s="2" t="s">
        <v>1955</v>
      </c>
      <c r="R398" s="2" t="s">
        <v>1956</v>
      </c>
      <c r="S398" s="4">
        <v>44837</v>
      </c>
    </row>
    <row r="399" spans="1:19" ht="12.5" x14ac:dyDescent="0.25">
      <c r="A399" s="14" t="str">
        <f>HYPERLINK("https://gerandofalcoes.my.salesforce.com/0014X00002VMXzNQAX", "0014X00002VMXzNQAX")</f>
        <v>0014X00002VMXzNQAX</v>
      </c>
      <c r="B399" s="2" t="s">
        <v>1778</v>
      </c>
      <c r="C399" s="2" t="s">
        <v>423</v>
      </c>
      <c r="D399" s="2" t="s">
        <v>2</v>
      </c>
      <c r="E399" s="2">
        <v>57</v>
      </c>
      <c r="F399" s="2">
        <v>0</v>
      </c>
      <c r="G399" s="2">
        <v>3</v>
      </c>
      <c r="H399" s="2">
        <v>65000</v>
      </c>
      <c r="I399" s="2">
        <v>0</v>
      </c>
      <c r="J399" s="2" t="s">
        <v>1779</v>
      </c>
      <c r="K399" s="2">
        <v>38</v>
      </c>
      <c r="L399" s="2">
        <v>20</v>
      </c>
      <c r="M399" s="2">
        <v>0</v>
      </c>
      <c r="N399" s="2">
        <v>8</v>
      </c>
      <c r="O399" s="2">
        <v>10</v>
      </c>
      <c r="P399" s="2">
        <v>0</v>
      </c>
      <c r="Q399" s="2" t="s">
        <v>1780</v>
      </c>
      <c r="R399" s="2" t="s">
        <v>1781</v>
      </c>
      <c r="S399" s="4">
        <v>44837</v>
      </c>
    </row>
    <row r="400" spans="1:19" ht="12.5" x14ac:dyDescent="0.25">
      <c r="A400" s="14" t="str">
        <f>HYPERLINK("https://gerandofalcoes.my.salesforce.com/0014X00002VKCv9QAH", "0014X00002VKCv9QAH")</f>
        <v>0014X00002VKCv9QAH</v>
      </c>
      <c r="B400" s="2" t="s">
        <v>2874</v>
      </c>
      <c r="C400" s="2" t="s">
        <v>423</v>
      </c>
      <c r="D400" s="2" t="s">
        <v>2</v>
      </c>
      <c r="E400" s="2">
        <v>35</v>
      </c>
      <c r="F400" s="2">
        <v>0</v>
      </c>
      <c r="G400" s="2">
        <v>0</v>
      </c>
      <c r="H400" s="2">
        <v>0</v>
      </c>
      <c r="I400" s="2">
        <v>200</v>
      </c>
      <c r="J400" s="2" t="s">
        <v>1779</v>
      </c>
      <c r="K400" s="2">
        <v>27</v>
      </c>
      <c r="L400" s="2">
        <v>15</v>
      </c>
      <c r="M400" s="2">
        <v>0</v>
      </c>
      <c r="N400" s="2">
        <v>0</v>
      </c>
      <c r="O400" s="2">
        <v>0</v>
      </c>
      <c r="P400" s="2">
        <v>12</v>
      </c>
      <c r="Q400" s="2" t="s">
        <v>2875</v>
      </c>
      <c r="R400" s="2" t="s">
        <v>2875</v>
      </c>
      <c r="S400" s="4">
        <v>44837</v>
      </c>
    </row>
    <row r="401" spans="1:19" ht="12.5" x14ac:dyDescent="0.25">
      <c r="A401" s="14" t="str">
        <f>HYPERLINK("https://gerandofalcoes.my.salesforce.com/0014X00002VKCrIQAX", "0014X00002VKCrIQAX")</f>
        <v>0014X00002VKCrIQAX</v>
      </c>
      <c r="B401" s="2" t="s">
        <v>2670</v>
      </c>
      <c r="C401" s="2" t="s">
        <v>1800</v>
      </c>
      <c r="D401" s="2" t="s">
        <v>2</v>
      </c>
      <c r="E401" s="2">
        <v>17</v>
      </c>
      <c r="F401" s="2">
        <v>0</v>
      </c>
      <c r="G401" s="2">
        <v>2</v>
      </c>
      <c r="H401" s="2">
        <v>1</v>
      </c>
      <c r="I401" s="2">
        <v>0</v>
      </c>
      <c r="J401" s="2" t="s">
        <v>1779</v>
      </c>
      <c r="K401" s="2">
        <v>21</v>
      </c>
      <c r="L401" s="2">
        <v>10</v>
      </c>
      <c r="M401" s="2">
        <v>0</v>
      </c>
      <c r="N401" s="2">
        <v>6</v>
      </c>
      <c r="O401" s="2">
        <v>5</v>
      </c>
      <c r="P401" s="2">
        <v>0</v>
      </c>
      <c r="Q401" s="2" t="s">
        <v>2671</v>
      </c>
      <c r="R401" s="2" t="s">
        <v>2671</v>
      </c>
      <c r="S401" s="4">
        <v>44837</v>
      </c>
    </row>
    <row r="402" spans="1:19" ht="12.5" x14ac:dyDescent="0.25">
      <c r="A402" s="14" t="str">
        <f>HYPERLINK("https://gerandofalcoes.my.salesforce.com/0014X00002VKCuRQAX", "0014X00002VKCuRQAX")</f>
        <v>0014X00002VKCuRQAX</v>
      </c>
      <c r="B402" s="2" t="s">
        <v>2243</v>
      </c>
      <c r="C402" s="2" t="s">
        <v>423</v>
      </c>
      <c r="D402" s="2" t="s">
        <v>2</v>
      </c>
      <c r="E402" s="2">
        <v>31</v>
      </c>
      <c r="F402" s="2">
        <v>3</v>
      </c>
      <c r="G402" s="2">
        <v>6</v>
      </c>
      <c r="H402" s="2">
        <v>100000</v>
      </c>
      <c r="I402" s="2">
        <v>0</v>
      </c>
      <c r="J402" s="2" t="s">
        <v>1671</v>
      </c>
      <c r="K402" s="2">
        <v>45</v>
      </c>
      <c r="L402" s="2">
        <v>15</v>
      </c>
      <c r="M402" s="2">
        <v>5</v>
      </c>
      <c r="N402" s="2">
        <v>10</v>
      </c>
      <c r="O402" s="2">
        <v>15</v>
      </c>
      <c r="P402" s="2">
        <v>0</v>
      </c>
      <c r="Q402" s="2" t="s">
        <v>2244</v>
      </c>
      <c r="R402" s="2" t="s">
        <v>2244</v>
      </c>
      <c r="S402" s="4">
        <v>44837</v>
      </c>
    </row>
    <row r="403" spans="1:19" ht="12.5" x14ac:dyDescent="0.25">
      <c r="A403" s="14" t="str">
        <f>HYPERLINK("https://gerandofalcoes.my.salesforce.com/0014X00002VKCrwQAH", "0014X00002VKCrwQAH")</f>
        <v>0014X00002VKCrwQAH</v>
      </c>
      <c r="B403" s="2" t="s">
        <v>2959</v>
      </c>
      <c r="C403" s="2" t="s">
        <v>423</v>
      </c>
      <c r="D403" s="2" t="s">
        <v>2</v>
      </c>
      <c r="E403" s="2">
        <v>16</v>
      </c>
      <c r="F403" s="2">
        <v>0</v>
      </c>
      <c r="G403" s="2">
        <v>2</v>
      </c>
      <c r="H403" s="2">
        <v>15000</v>
      </c>
      <c r="I403" s="2">
        <v>30</v>
      </c>
      <c r="J403" s="2" t="s">
        <v>1779</v>
      </c>
      <c r="K403" s="2">
        <v>26</v>
      </c>
      <c r="L403" s="2">
        <v>10</v>
      </c>
      <c r="M403" s="2">
        <v>0</v>
      </c>
      <c r="N403" s="2">
        <v>6</v>
      </c>
      <c r="O403" s="2">
        <v>5</v>
      </c>
      <c r="P403" s="2">
        <v>5</v>
      </c>
      <c r="Q403" s="2" t="s">
        <v>2960</v>
      </c>
      <c r="R403" s="2" t="s">
        <v>2961</v>
      </c>
      <c r="S403" s="4">
        <v>44837</v>
      </c>
    </row>
    <row r="404" spans="1:19" ht="12.5" x14ac:dyDescent="0.25">
      <c r="A404" s="14" t="str">
        <f>HYPERLINK("https://gerandofalcoes.my.salesforce.com/0014X00002VKCsLQAX", "0014X00002VKCsLQAX")</f>
        <v>0014X00002VKCsLQAX</v>
      </c>
      <c r="B404" s="2" t="s">
        <v>2798</v>
      </c>
      <c r="C404" s="2" t="s">
        <v>1800</v>
      </c>
      <c r="D404" s="2" t="s">
        <v>2</v>
      </c>
      <c r="E404" s="2">
        <v>13</v>
      </c>
      <c r="F404" s="2">
        <v>0</v>
      </c>
      <c r="G404" s="2">
        <v>3</v>
      </c>
      <c r="H404" s="2">
        <v>500</v>
      </c>
      <c r="I404" s="2">
        <v>30</v>
      </c>
      <c r="J404" s="2" t="s">
        <v>1779</v>
      </c>
      <c r="K404" s="2">
        <v>28</v>
      </c>
      <c r="L404" s="2">
        <v>10</v>
      </c>
      <c r="M404" s="2">
        <v>0</v>
      </c>
      <c r="N404" s="2">
        <v>8</v>
      </c>
      <c r="O404" s="2">
        <v>5</v>
      </c>
      <c r="P404" s="2">
        <v>5</v>
      </c>
      <c r="Q404" s="2" t="s">
        <v>2799</v>
      </c>
      <c r="R404" s="2" t="s">
        <v>2800</v>
      </c>
      <c r="S404" s="4">
        <v>44837</v>
      </c>
    </row>
    <row r="405" spans="1:19" ht="12.5" x14ac:dyDescent="0.25">
      <c r="A405" s="14" t="str">
        <f>HYPERLINK("https://gerandofalcoes.my.salesforce.com/0014X00002VKCrTQAX", "0014X00002VKCrTQAX")</f>
        <v>0014X00002VKCrTQAX</v>
      </c>
      <c r="B405" s="2" t="s">
        <v>2180</v>
      </c>
      <c r="C405" s="2" t="s">
        <v>1800</v>
      </c>
      <c r="D405" s="2" t="s">
        <v>2</v>
      </c>
      <c r="E405" s="2">
        <v>33</v>
      </c>
      <c r="F405" s="2">
        <v>0</v>
      </c>
      <c r="G405" s="2">
        <v>5</v>
      </c>
      <c r="H405" s="2">
        <v>0</v>
      </c>
      <c r="I405" s="2">
        <v>40</v>
      </c>
      <c r="J405" s="2" t="s">
        <v>1779</v>
      </c>
      <c r="K405" s="2">
        <v>30</v>
      </c>
      <c r="L405" s="2">
        <v>15</v>
      </c>
      <c r="M405" s="2">
        <v>0</v>
      </c>
      <c r="N405" s="2">
        <v>10</v>
      </c>
      <c r="O405" s="2">
        <v>0</v>
      </c>
      <c r="P405" s="2">
        <v>5</v>
      </c>
      <c r="Q405" s="2" t="s">
        <v>2181</v>
      </c>
      <c r="R405" s="2" t="s">
        <v>2181</v>
      </c>
      <c r="S405" s="4">
        <v>44837</v>
      </c>
    </row>
    <row r="406" spans="1:19" ht="12.5" x14ac:dyDescent="0.25">
      <c r="A406" s="14" t="str">
        <f>HYPERLINK("https://gerandofalcoes.my.salesforce.com/0014P00003SGWQ3QAP", "0014P00003SGWQ3QAP")</f>
        <v>0014P00003SGWQ3QAP</v>
      </c>
      <c r="B406" s="2" t="s">
        <v>210</v>
      </c>
      <c r="C406" s="2" t="s">
        <v>423</v>
      </c>
      <c r="D406" s="2" t="s">
        <v>2</v>
      </c>
      <c r="E406" s="2">
        <v>51</v>
      </c>
      <c r="F406" s="2">
        <v>34</v>
      </c>
      <c r="G406" s="2">
        <v>4</v>
      </c>
      <c r="H406" s="2">
        <v>140000</v>
      </c>
      <c r="I406" s="2">
        <v>40</v>
      </c>
      <c r="J406" s="2" t="s">
        <v>1650</v>
      </c>
      <c r="K406" s="2">
        <v>65</v>
      </c>
      <c r="L406" s="2">
        <v>20</v>
      </c>
      <c r="M406" s="2">
        <v>15</v>
      </c>
      <c r="N406" s="2">
        <v>10</v>
      </c>
      <c r="O406" s="2">
        <v>15</v>
      </c>
      <c r="P406" s="2">
        <v>5</v>
      </c>
      <c r="Q406" s="2" t="s">
        <v>211</v>
      </c>
      <c r="R406" s="2" t="s">
        <v>1459</v>
      </c>
      <c r="S406" s="4">
        <v>44837</v>
      </c>
    </row>
    <row r="407" spans="1:19" ht="12.5" x14ac:dyDescent="0.25">
      <c r="A407" s="14" t="str">
        <f>HYPERLINK("https://gerandofalcoes.my.salesforce.com/0014P00003SGWQ4QAP", "0014P00003SGWQ4QAP")</f>
        <v>0014P00003SGWQ4QAP</v>
      </c>
      <c r="B407" s="2" t="s">
        <v>217</v>
      </c>
      <c r="C407" s="2" t="s">
        <v>423</v>
      </c>
      <c r="D407" s="2" t="s">
        <v>2</v>
      </c>
      <c r="E407" s="2">
        <v>33</v>
      </c>
      <c r="F407" s="2">
        <v>0</v>
      </c>
      <c r="G407" s="2">
        <v>2</v>
      </c>
      <c r="H407" s="2">
        <v>8324</v>
      </c>
      <c r="I407" s="2">
        <v>117</v>
      </c>
      <c r="J407" s="2" t="s">
        <v>1779</v>
      </c>
      <c r="K407" s="2">
        <v>36</v>
      </c>
      <c r="L407" s="2">
        <v>15</v>
      </c>
      <c r="M407" s="2">
        <v>0</v>
      </c>
      <c r="N407" s="2">
        <v>6</v>
      </c>
      <c r="O407" s="2">
        <v>5</v>
      </c>
      <c r="P407" s="2">
        <v>10</v>
      </c>
      <c r="Q407" s="2" t="s">
        <v>218</v>
      </c>
      <c r="R407" s="2" t="s">
        <v>1140</v>
      </c>
      <c r="S407" s="4">
        <v>44837</v>
      </c>
    </row>
    <row r="408" spans="1:19" ht="12.5" x14ac:dyDescent="0.25">
      <c r="A408" s="14" t="str">
        <f>HYPERLINK("https://gerandofalcoes.my.salesforce.com/0014P00003SGWQ6QAP", "0014P00003SGWQ6QAP")</f>
        <v>0014P00003SGWQ6QAP</v>
      </c>
      <c r="B408" s="2" t="s">
        <v>221</v>
      </c>
      <c r="C408" s="2" t="s">
        <v>423</v>
      </c>
      <c r="D408" s="2" t="s">
        <v>2</v>
      </c>
      <c r="E408" s="2"/>
      <c r="F408" s="2">
        <v>20</v>
      </c>
      <c r="G408" s="2">
        <v>3</v>
      </c>
      <c r="H408" s="2">
        <v>149830</v>
      </c>
      <c r="I408" s="2">
        <v>250</v>
      </c>
      <c r="J408" s="2" t="s">
        <v>1671</v>
      </c>
      <c r="K408" s="2">
        <v>47</v>
      </c>
      <c r="L408" s="2">
        <v>0</v>
      </c>
      <c r="M408" s="2">
        <v>12</v>
      </c>
      <c r="N408" s="2">
        <v>8</v>
      </c>
      <c r="O408" s="2">
        <v>15</v>
      </c>
      <c r="P408" s="2">
        <v>12</v>
      </c>
      <c r="Q408" s="2" t="s">
        <v>222</v>
      </c>
      <c r="R408" s="2" t="s">
        <v>2985</v>
      </c>
      <c r="S408" s="4">
        <v>44837</v>
      </c>
    </row>
    <row r="409" spans="1:19" ht="12.5" x14ac:dyDescent="0.25">
      <c r="A409" s="14" t="str">
        <f>HYPERLINK("https://gerandofalcoes.my.salesforce.com/0014P00003SGWQ7QAP", "0014P00003SGWQ7QAP")</f>
        <v>0014P00003SGWQ7QAP</v>
      </c>
      <c r="B409" s="2" t="s">
        <v>226</v>
      </c>
      <c r="C409" s="2" t="s">
        <v>423</v>
      </c>
      <c r="D409" s="2" t="s">
        <v>27</v>
      </c>
      <c r="E409" s="2">
        <v>39</v>
      </c>
      <c r="F409" s="2">
        <v>6</v>
      </c>
      <c r="G409" s="2">
        <v>2</v>
      </c>
      <c r="H409" s="2">
        <v>9291.52</v>
      </c>
      <c r="I409" s="2">
        <v>150</v>
      </c>
      <c r="J409" s="2" t="s">
        <v>1671</v>
      </c>
      <c r="K409" s="2">
        <v>48</v>
      </c>
      <c r="L409" s="2">
        <v>15</v>
      </c>
      <c r="M409" s="2">
        <v>10</v>
      </c>
      <c r="N409" s="2">
        <v>6</v>
      </c>
      <c r="O409" s="2">
        <v>5</v>
      </c>
      <c r="P409" s="2">
        <v>12</v>
      </c>
      <c r="Q409" s="2" t="s">
        <v>227</v>
      </c>
      <c r="R409" s="2" t="s">
        <v>1159</v>
      </c>
      <c r="S409" s="4">
        <v>44837</v>
      </c>
    </row>
    <row r="410" spans="1:19" ht="12.5" x14ac:dyDescent="0.25">
      <c r="A410" s="14" t="str">
        <f>HYPERLINK("https://gerandofalcoes.my.salesforce.com/0014P00003SGWQ8QAP", "0014P00003SGWQ8QAP")</f>
        <v>0014P00003SGWQ8QAP</v>
      </c>
      <c r="B410" s="2" t="s">
        <v>213</v>
      </c>
      <c r="C410" s="2" t="s">
        <v>423</v>
      </c>
      <c r="D410" s="2" t="s">
        <v>2</v>
      </c>
      <c r="E410" s="2">
        <v>14</v>
      </c>
      <c r="F410" s="2">
        <v>0</v>
      </c>
      <c r="G410" s="2">
        <v>2</v>
      </c>
      <c r="H410" s="2">
        <v>300000</v>
      </c>
      <c r="I410" s="2">
        <v>0</v>
      </c>
      <c r="J410" s="2" t="s">
        <v>1779</v>
      </c>
      <c r="K410" s="2">
        <v>36</v>
      </c>
      <c r="L410" s="2">
        <v>10</v>
      </c>
      <c r="M410" s="2">
        <v>0</v>
      </c>
      <c r="N410" s="2">
        <v>6</v>
      </c>
      <c r="O410" s="2">
        <v>20</v>
      </c>
      <c r="P410" s="2">
        <v>0</v>
      </c>
      <c r="Q410" s="2" t="s">
        <v>214</v>
      </c>
      <c r="R410" s="2" t="s">
        <v>1170</v>
      </c>
      <c r="S410" s="4">
        <v>44837</v>
      </c>
    </row>
    <row r="411" spans="1:19" ht="12.5" x14ac:dyDescent="0.25">
      <c r="A411" s="14" t="str">
        <f>HYPERLINK("https://gerandofalcoes.my.salesforce.com/0014P00003SGWQ9QAP", "0014P00003SGWQ9QAP")</f>
        <v>0014P00003SGWQ9QAP</v>
      </c>
      <c r="B411" s="2" t="s">
        <v>232</v>
      </c>
      <c r="C411" s="2" t="s">
        <v>423</v>
      </c>
      <c r="D411" s="2" t="s">
        <v>2</v>
      </c>
      <c r="E411" s="2">
        <v>51</v>
      </c>
      <c r="F411" s="2">
        <v>5</v>
      </c>
      <c r="G411" s="2">
        <v>3</v>
      </c>
      <c r="H411" s="2">
        <v>191584</v>
      </c>
      <c r="I411" s="2">
        <v>245</v>
      </c>
      <c r="J411" s="2" t="s">
        <v>1671</v>
      </c>
      <c r="K411" s="2">
        <v>60</v>
      </c>
      <c r="L411" s="2">
        <v>20</v>
      </c>
      <c r="M411" s="2">
        <v>5</v>
      </c>
      <c r="N411" s="2">
        <v>8</v>
      </c>
      <c r="O411" s="2">
        <v>15</v>
      </c>
      <c r="P411" s="2">
        <v>12</v>
      </c>
      <c r="Q411" s="2" t="s">
        <v>233</v>
      </c>
      <c r="R411" s="2" t="s">
        <v>2285</v>
      </c>
      <c r="S411" s="4">
        <v>44837</v>
      </c>
    </row>
    <row r="412" spans="1:19" ht="12.5" x14ac:dyDescent="0.25">
      <c r="A412" s="14" t="str">
        <f>HYPERLINK("https://gerandofalcoes.my.salesforce.com/0014P00003SGWQAQA5", "0014P00003SGWQAQA5")</f>
        <v>0014P00003SGWQAQA5</v>
      </c>
      <c r="B412" s="2" t="s">
        <v>2958</v>
      </c>
      <c r="C412" s="2" t="s">
        <v>423</v>
      </c>
      <c r="D412" s="2" t="s">
        <v>2</v>
      </c>
      <c r="E412" s="2">
        <v>4</v>
      </c>
      <c r="F412" s="2">
        <v>0</v>
      </c>
      <c r="G412" s="2">
        <v>1</v>
      </c>
      <c r="H412" s="2">
        <v>16000</v>
      </c>
      <c r="I412" s="2">
        <v>200</v>
      </c>
      <c r="J412" s="2" t="s">
        <v>1779</v>
      </c>
      <c r="K412" s="2">
        <v>31</v>
      </c>
      <c r="L412" s="2">
        <v>10</v>
      </c>
      <c r="M412" s="2">
        <v>0</v>
      </c>
      <c r="N412" s="2">
        <v>4</v>
      </c>
      <c r="O412" s="2">
        <v>5</v>
      </c>
      <c r="P412" s="2">
        <v>12</v>
      </c>
      <c r="Q412" s="2" t="s">
        <v>238</v>
      </c>
      <c r="R412" s="2" t="s">
        <v>1191</v>
      </c>
      <c r="S412" s="4">
        <v>44837</v>
      </c>
    </row>
    <row r="413" spans="1:19" ht="12.5" x14ac:dyDescent="0.25">
      <c r="A413" s="14" t="str">
        <f>HYPERLINK("https://gerandofalcoes.my.salesforce.com/0014P00003SGWQBQA5", "0014P00003SGWQBQA5")</f>
        <v>0014P00003SGWQBQA5</v>
      </c>
      <c r="B413" s="2" t="s">
        <v>242</v>
      </c>
      <c r="C413" s="2" t="s">
        <v>423</v>
      </c>
      <c r="D413" s="2" t="s">
        <v>2</v>
      </c>
      <c r="E413" s="2">
        <v>50</v>
      </c>
      <c r="F413" s="2">
        <v>12</v>
      </c>
      <c r="G413" s="2">
        <v>0</v>
      </c>
      <c r="H413" s="2">
        <v>0</v>
      </c>
      <c r="I413" s="2">
        <v>300</v>
      </c>
      <c r="J413" s="2" t="s">
        <v>1671</v>
      </c>
      <c r="K413" s="2">
        <v>47</v>
      </c>
      <c r="L413" s="2">
        <v>20</v>
      </c>
      <c r="M413" s="2">
        <v>12</v>
      </c>
      <c r="N413" s="2">
        <v>0</v>
      </c>
      <c r="O413" s="2">
        <v>0</v>
      </c>
      <c r="P413" s="2">
        <v>15</v>
      </c>
      <c r="Q413" s="2" t="s">
        <v>243</v>
      </c>
      <c r="R413" s="2" t="s">
        <v>1201</v>
      </c>
      <c r="S413" s="4">
        <v>44837</v>
      </c>
    </row>
    <row r="414" spans="1:19" ht="12.5" x14ac:dyDescent="0.25">
      <c r="A414" s="14" t="str">
        <f>HYPERLINK("https://gerandofalcoes.my.salesforce.com/0014P00003SGWQCQA5", "0014P00003SGWQCQA5")</f>
        <v>0014P00003SGWQCQA5</v>
      </c>
      <c r="B414" s="2" t="s">
        <v>248</v>
      </c>
      <c r="C414" s="2" t="s">
        <v>423</v>
      </c>
      <c r="D414" s="2" t="s">
        <v>2</v>
      </c>
      <c r="E414" s="2">
        <v>47</v>
      </c>
      <c r="F414" s="2">
        <v>5</v>
      </c>
      <c r="G414" s="2">
        <v>3</v>
      </c>
      <c r="H414" s="2">
        <v>500000</v>
      </c>
      <c r="I414" s="2">
        <v>72</v>
      </c>
      <c r="J414" s="2" t="s">
        <v>1671</v>
      </c>
      <c r="K414" s="2">
        <v>53</v>
      </c>
      <c r="L414" s="2">
        <v>15</v>
      </c>
      <c r="M414" s="2">
        <v>5</v>
      </c>
      <c r="N414" s="2">
        <v>8</v>
      </c>
      <c r="O414" s="2">
        <v>20</v>
      </c>
      <c r="P414" s="2">
        <v>5</v>
      </c>
      <c r="Q414" s="2" t="s">
        <v>249</v>
      </c>
      <c r="R414" s="2" t="s">
        <v>2025</v>
      </c>
      <c r="S414" s="4">
        <v>44837</v>
      </c>
    </row>
    <row r="415" spans="1:19" ht="12.5" x14ac:dyDescent="0.25">
      <c r="A415" s="14" t="str">
        <f>HYPERLINK("https://gerandofalcoes.my.salesforce.com/0014P00003SGWQDQA5", "0014P00003SGWQDQA5")</f>
        <v>0014P00003SGWQDQA5</v>
      </c>
      <c r="B415" s="2" t="s">
        <v>1669</v>
      </c>
      <c r="C415" s="2" t="s">
        <v>423</v>
      </c>
      <c r="D415" s="2" t="s">
        <v>27</v>
      </c>
      <c r="E415" s="2">
        <v>91</v>
      </c>
      <c r="F415" s="2">
        <v>10</v>
      </c>
      <c r="G415" s="2">
        <v>3</v>
      </c>
      <c r="H415" s="2">
        <v>707090.8</v>
      </c>
      <c r="I415" s="2">
        <v>390</v>
      </c>
      <c r="J415" s="2" t="s">
        <v>1654</v>
      </c>
      <c r="K415" s="2">
        <v>83</v>
      </c>
      <c r="L415" s="2">
        <v>30</v>
      </c>
      <c r="M415" s="2">
        <v>10</v>
      </c>
      <c r="N415" s="2">
        <v>8</v>
      </c>
      <c r="O415" s="2">
        <v>20</v>
      </c>
      <c r="P415" s="2">
        <v>15</v>
      </c>
      <c r="Q415" s="2" t="s">
        <v>251</v>
      </c>
      <c r="R415" s="2" t="s">
        <v>251</v>
      </c>
      <c r="S415" s="4">
        <v>44837</v>
      </c>
    </row>
    <row r="416" spans="1:19" ht="12.5" x14ac:dyDescent="0.25">
      <c r="A416" s="14" t="str">
        <f>HYPERLINK("https://gerandofalcoes.my.salesforce.com/0014P00003SGWQFQA5", "0014P00003SGWQFQA5")</f>
        <v>0014P00003SGWQFQA5</v>
      </c>
      <c r="B416" s="2" t="s">
        <v>2856</v>
      </c>
      <c r="C416" s="2" t="s">
        <v>423</v>
      </c>
      <c r="D416" s="2" t="s">
        <v>2</v>
      </c>
      <c r="E416" s="2">
        <v>10</v>
      </c>
      <c r="F416" s="2">
        <v>2</v>
      </c>
      <c r="G416" s="2">
        <v>1</v>
      </c>
      <c r="H416" s="2">
        <v>8000</v>
      </c>
      <c r="I416" s="2">
        <v>210</v>
      </c>
      <c r="J416" s="2" t="s">
        <v>1779</v>
      </c>
      <c r="K416" s="2">
        <v>36</v>
      </c>
      <c r="L416" s="2">
        <v>10</v>
      </c>
      <c r="M416" s="2">
        <v>5</v>
      </c>
      <c r="N416" s="2">
        <v>4</v>
      </c>
      <c r="O416" s="2">
        <v>5</v>
      </c>
      <c r="P416" s="2">
        <v>12</v>
      </c>
      <c r="Q416" s="2" t="s">
        <v>256</v>
      </c>
      <c r="R416" s="2" t="s">
        <v>1221</v>
      </c>
      <c r="S416" s="4">
        <v>44837</v>
      </c>
    </row>
    <row r="417" spans="1:19" ht="12.5" x14ac:dyDescent="0.25">
      <c r="A417" s="14" t="str">
        <f>HYPERLINK("https://gerandofalcoes.my.salesforce.com/0014P00003SGWQGQA5", "0014P00003SGWQGQA5")</f>
        <v>0014P00003SGWQGQA5</v>
      </c>
      <c r="B417" s="2" t="s">
        <v>259</v>
      </c>
      <c r="C417" s="2" t="s">
        <v>423</v>
      </c>
      <c r="D417" s="2" t="s">
        <v>2</v>
      </c>
      <c r="E417" s="2">
        <v>11</v>
      </c>
      <c r="F417" s="2">
        <v>7</v>
      </c>
      <c r="G417" s="2">
        <v>1</v>
      </c>
      <c r="H417" s="2">
        <v>32000</v>
      </c>
      <c r="I417" s="2">
        <v>30</v>
      </c>
      <c r="J417" s="2" t="s">
        <v>1779</v>
      </c>
      <c r="K417" s="2">
        <v>39</v>
      </c>
      <c r="L417" s="2">
        <v>10</v>
      </c>
      <c r="M417" s="2">
        <v>10</v>
      </c>
      <c r="N417" s="2">
        <v>4</v>
      </c>
      <c r="O417" s="2">
        <v>10</v>
      </c>
      <c r="P417" s="2">
        <v>5</v>
      </c>
      <c r="Q417" s="2" t="s">
        <v>260</v>
      </c>
      <c r="R417" s="2" t="s">
        <v>1232</v>
      </c>
      <c r="S417" s="4">
        <v>44837</v>
      </c>
    </row>
    <row r="418" spans="1:19" ht="12.5" x14ac:dyDescent="0.25">
      <c r="A418" s="14" t="str">
        <f>HYPERLINK("https://gerandofalcoes.my.salesforce.com/0014P00003SGWQHQA5", "0014P00003SGWQHQA5")</f>
        <v>0014P00003SGWQHQA5</v>
      </c>
      <c r="B418" s="2" t="s">
        <v>265</v>
      </c>
      <c r="C418" s="2" t="s">
        <v>423</v>
      </c>
      <c r="D418" s="2" t="s">
        <v>2</v>
      </c>
      <c r="E418" s="2">
        <v>5</v>
      </c>
      <c r="F418" s="2">
        <v>0</v>
      </c>
      <c r="G418" s="2">
        <v>1</v>
      </c>
      <c r="H418" s="2">
        <v>13000</v>
      </c>
      <c r="I418" s="2">
        <v>100</v>
      </c>
      <c r="J418" s="2" t="s">
        <v>1779</v>
      </c>
      <c r="K418" s="2">
        <v>29</v>
      </c>
      <c r="L418" s="2">
        <v>10</v>
      </c>
      <c r="M418" s="2">
        <v>0</v>
      </c>
      <c r="N418" s="2">
        <v>4</v>
      </c>
      <c r="O418" s="2">
        <v>5</v>
      </c>
      <c r="P418" s="2">
        <v>10</v>
      </c>
      <c r="Q418" s="2" t="s">
        <v>266</v>
      </c>
      <c r="R418" s="2" t="s">
        <v>266</v>
      </c>
      <c r="S418" s="4">
        <v>44837</v>
      </c>
    </row>
    <row r="419" spans="1:19" ht="12.5" x14ac:dyDescent="0.25">
      <c r="A419" s="14" t="str">
        <f>HYPERLINK("https://gerandofalcoes.my.salesforce.com/0014P00003SGWQIQA5", "0014P00003SGWQIQA5")</f>
        <v>0014P00003SGWQIQA5</v>
      </c>
      <c r="B419" s="2" t="s">
        <v>2992</v>
      </c>
      <c r="C419" s="2" t="s">
        <v>1684</v>
      </c>
      <c r="D419" s="2" t="s">
        <v>2</v>
      </c>
      <c r="E419" s="2"/>
      <c r="F419" s="2">
        <v>0</v>
      </c>
      <c r="G419" s="2">
        <v>2</v>
      </c>
      <c r="H419" s="2">
        <v>20000</v>
      </c>
      <c r="I419" s="2">
        <v>0</v>
      </c>
      <c r="J419" s="2" t="s">
        <v>1779</v>
      </c>
      <c r="K419" s="2">
        <v>11</v>
      </c>
      <c r="L419" s="2">
        <v>0</v>
      </c>
      <c r="M419" s="2">
        <v>0</v>
      </c>
      <c r="N419" s="2">
        <v>6</v>
      </c>
      <c r="O419" s="2">
        <v>5</v>
      </c>
      <c r="P419" s="2">
        <v>0</v>
      </c>
      <c r="Q419" s="2" t="s">
        <v>2993</v>
      </c>
      <c r="R419" s="2" t="s">
        <v>2994</v>
      </c>
      <c r="S419" s="4">
        <v>44837</v>
      </c>
    </row>
    <row r="420" spans="1:19" ht="12.5" x14ac:dyDescent="0.25">
      <c r="A420" s="14" t="str">
        <f>HYPERLINK("https://gerandofalcoes.my.salesforce.com/0014P00003SGWQJQA5", "0014P00003SGWQJQA5")</f>
        <v>0014P00003SGWQJQA5</v>
      </c>
      <c r="B420" s="2" t="s">
        <v>2480</v>
      </c>
      <c r="C420" s="2" t="s">
        <v>423</v>
      </c>
      <c r="D420" s="2" t="s">
        <v>2</v>
      </c>
      <c r="E420" s="2">
        <v>22</v>
      </c>
      <c r="F420" s="2">
        <v>2</v>
      </c>
      <c r="G420" s="2">
        <v>2</v>
      </c>
      <c r="H420" s="2">
        <v>11000</v>
      </c>
      <c r="I420" s="2">
        <v>103</v>
      </c>
      <c r="J420" s="2" t="s">
        <v>1779</v>
      </c>
      <c r="K420" s="2">
        <v>36</v>
      </c>
      <c r="L420" s="2">
        <v>10</v>
      </c>
      <c r="M420" s="2">
        <v>5</v>
      </c>
      <c r="N420" s="2">
        <v>6</v>
      </c>
      <c r="O420" s="2">
        <v>5</v>
      </c>
      <c r="P420" s="2">
        <v>10</v>
      </c>
      <c r="Q420" s="2" t="s">
        <v>269</v>
      </c>
      <c r="R420" s="2" t="s">
        <v>1248</v>
      </c>
      <c r="S420" s="4">
        <v>44837</v>
      </c>
    </row>
    <row r="421" spans="1:19" ht="12.5" x14ac:dyDescent="0.25">
      <c r="A421" s="14" t="str">
        <f>HYPERLINK("https://gerandofalcoes.my.salesforce.com/0014P00003YSm8CQAT", "0014P00003YSm8CQAT")</f>
        <v>0014P00003YSm8CQAT</v>
      </c>
      <c r="B421" s="2" t="s">
        <v>272</v>
      </c>
      <c r="C421" s="2" t="s">
        <v>423</v>
      </c>
      <c r="D421" s="2" t="s">
        <v>2</v>
      </c>
      <c r="E421" s="2">
        <v>33</v>
      </c>
      <c r="F421" s="2">
        <v>8</v>
      </c>
      <c r="G421" s="2">
        <v>0</v>
      </c>
      <c r="H421" s="2">
        <v>0</v>
      </c>
      <c r="I421" s="2">
        <v>98</v>
      </c>
      <c r="J421" s="2" t="s">
        <v>1779</v>
      </c>
      <c r="K421" s="2">
        <v>35</v>
      </c>
      <c r="L421" s="2">
        <v>15</v>
      </c>
      <c r="M421" s="2">
        <v>10</v>
      </c>
      <c r="N421" s="2">
        <v>0</v>
      </c>
      <c r="O421" s="2">
        <v>0</v>
      </c>
      <c r="P421" s="2">
        <v>10</v>
      </c>
      <c r="Q421" s="2" t="s">
        <v>273</v>
      </c>
      <c r="R421" s="2" t="s">
        <v>1518</v>
      </c>
      <c r="S421" s="4">
        <v>44837</v>
      </c>
    </row>
    <row r="422" spans="1:19" ht="12.5" x14ac:dyDescent="0.25">
      <c r="A422" s="14" t="str">
        <f>HYPERLINK("https://gerandofalcoes.my.salesforce.com/0014P00003SGWPbQAP", "0014P00003SGWPbQAP")</f>
        <v>0014P00003SGWPbQAP</v>
      </c>
      <c r="B422" s="2" t="s">
        <v>276</v>
      </c>
      <c r="C422" s="2" t="s">
        <v>423</v>
      </c>
      <c r="D422" s="2" t="s">
        <v>2</v>
      </c>
      <c r="E422" s="2">
        <v>25</v>
      </c>
      <c r="F422" s="2">
        <v>21</v>
      </c>
      <c r="G422" s="2">
        <v>8</v>
      </c>
      <c r="H422" s="2">
        <v>140600000</v>
      </c>
      <c r="I422" s="2">
        <v>121</v>
      </c>
      <c r="J422" s="2" t="s">
        <v>1650</v>
      </c>
      <c r="K422" s="2">
        <v>72</v>
      </c>
      <c r="L422" s="2">
        <v>15</v>
      </c>
      <c r="M422" s="2">
        <v>12</v>
      </c>
      <c r="N422" s="2">
        <v>10</v>
      </c>
      <c r="O422" s="2">
        <v>25</v>
      </c>
      <c r="P422" s="2">
        <v>10</v>
      </c>
      <c r="Q422" s="2" t="s">
        <v>277</v>
      </c>
      <c r="R422" s="2" t="s">
        <v>1257</v>
      </c>
      <c r="S422" s="4">
        <v>44837</v>
      </c>
    </row>
    <row r="423" spans="1:19" ht="12.5" x14ac:dyDescent="0.25">
      <c r="A423" s="14" t="str">
        <f>HYPERLINK("https://gerandofalcoes.my.salesforce.com/0014P00003SGWPcQAP", "0014P00003SGWPcQAP")</f>
        <v>0014P00003SGWPcQAP</v>
      </c>
      <c r="B423" s="2" t="s">
        <v>2896</v>
      </c>
      <c r="C423" s="2" t="s">
        <v>423</v>
      </c>
      <c r="D423" s="2" t="s">
        <v>2</v>
      </c>
      <c r="E423" s="2">
        <v>25</v>
      </c>
      <c r="F423" s="2">
        <v>0</v>
      </c>
      <c r="G423" s="2">
        <v>0</v>
      </c>
      <c r="H423" s="2">
        <v>0</v>
      </c>
      <c r="I423" s="2">
        <v>-25</v>
      </c>
      <c r="J423" s="2" t="s">
        <v>1779</v>
      </c>
      <c r="K423" s="2">
        <v>15</v>
      </c>
      <c r="L423" s="2">
        <v>15</v>
      </c>
      <c r="M423" s="2">
        <v>0</v>
      </c>
      <c r="N423" s="2">
        <v>0</v>
      </c>
      <c r="O423" s="2">
        <v>0</v>
      </c>
      <c r="P423" s="2">
        <v>0</v>
      </c>
      <c r="Q423" s="2" t="s">
        <v>282</v>
      </c>
      <c r="R423" s="2" t="s">
        <v>2897</v>
      </c>
      <c r="S423" s="4">
        <v>44837</v>
      </c>
    </row>
    <row r="424" spans="1:19" ht="12.5" x14ac:dyDescent="0.25">
      <c r="A424" s="14" t="str">
        <f>HYPERLINK("https://gerandofalcoes.my.salesforce.com/0014P00003SGWPdQAP", "0014P00003SGWPdQAP")</f>
        <v>0014P00003SGWPdQAP</v>
      </c>
      <c r="B424" s="2" t="s">
        <v>2397</v>
      </c>
      <c r="C424" s="2" t="s">
        <v>423</v>
      </c>
      <c r="D424" s="2" t="s">
        <v>2</v>
      </c>
      <c r="E424" s="2">
        <v>25</v>
      </c>
      <c r="F424" s="2">
        <v>1</v>
      </c>
      <c r="G424" s="2">
        <v>5</v>
      </c>
      <c r="H424" s="2">
        <v>22850</v>
      </c>
      <c r="I424" s="2">
        <v>1500</v>
      </c>
      <c r="J424" s="2" t="s">
        <v>1671</v>
      </c>
      <c r="K424" s="2">
        <v>55</v>
      </c>
      <c r="L424" s="2">
        <v>15</v>
      </c>
      <c r="M424" s="2">
        <v>5</v>
      </c>
      <c r="N424" s="2">
        <v>10</v>
      </c>
      <c r="O424" s="2">
        <v>5</v>
      </c>
      <c r="P424" s="2">
        <v>20</v>
      </c>
      <c r="Q424" s="2" t="s">
        <v>283</v>
      </c>
      <c r="R424" s="2" t="s">
        <v>2398</v>
      </c>
      <c r="S424" s="4">
        <v>44837</v>
      </c>
    </row>
    <row r="425" spans="1:19" ht="12.5" x14ac:dyDescent="0.25">
      <c r="A425" s="14" t="str">
        <f>HYPERLINK("https://gerandofalcoes.my.salesforce.com/0014P00003SGWPeQAP", "0014P00003SGWPeQAP")</f>
        <v>0014P00003SGWPeQAP</v>
      </c>
      <c r="B425" s="2" t="s">
        <v>2720</v>
      </c>
      <c r="C425" s="2" t="s">
        <v>423</v>
      </c>
      <c r="D425" s="2" t="s">
        <v>2</v>
      </c>
      <c r="E425" s="2">
        <v>15</v>
      </c>
      <c r="F425" s="2">
        <v>0</v>
      </c>
      <c r="G425" s="2">
        <v>1</v>
      </c>
      <c r="H425" s="2">
        <v>12000</v>
      </c>
      <c r="I425" s="2">
        <v>70</v>
      </c>
      <c r="J425" s="2" t="s">
        <v>1779</v>
      </c>
      <c r="K425" s="2">
        <v>24</v>
      </c>
      <c r="L425" s="2">
        <v>10</v>
      </c>
      <c r="M425" s="2">
        <v>0</v>
      </c>
      <c r="N425" s="2">
        <v>4</v>
      </c>
      <c r="O425" s="2">
        <v>5</v>
      </c>
      <c r="P425" s="2">
        <v>5</v>
      </c>
      <c r="Q425" s="2" t="s">
        <v>291</v>
      </c>
      <c r="R425" s="2" t="s">
        <v>1288</v>
      </c>
      <c r="S425" s="4">
        <v>44837</v>
      </c>
    </row>
    <row r="426" spans="1:19" ht="12.5" x14ac:dyDescent="0.25">
      <c r="A426" s="14" t="str">
        <f>HYPERLINK("https://gerandofalcoes.my.salesforce.com/0014P00003SGWPfQAP", "0014P00003SGWPfQAP")</f>
        <v>0014P00003SGWPfQAP</v>
      </c>
      <c r="B426" s="2" t="s">
        <v>294</v>
      </c>
      <c r="C426" s="2" t="s">
        <v>1800</v>
      </c>
      <c r="D426" s="2" t="s">
        <v>2</v>
      </c>
      <c r="E426" s="2">
        <v>46</v>
      </c>
      <c r="F426" s="2">
        <v>0</v>
      </c>
      <c r="G426" s="2">
        <v>3</v>
      </c>
      <c r="H426" s="2">
        <v>6605</v>
      </c>
      <c r="I426" s="2">
        <v>100</v>
      </c>
      <c r="J426" s="2" t="s">
        <v>1779</v>
      </c>
      <c r="K426" s="2">
        <v>38</v>
      </c>
      <c r="L426" s="2">
        <v>15</v>
      </c>
      <c r="M426" s="2">
        <v>0</v>
      </c>
      <c r="N426" s="2">
        <v>8</v>
      </c>
      <c r="O426" s="2">
        <v>5</v>
      </c>
      <c r="P426" s="2">
        <v>10</v>
      </c>
      <c r="Q426" s="2" t="s">
        <v>295</v>
      </c>
      <c r="R426" s="2" t="s">
        <v>1298</v>
      </c>
      <c r="S426" s="4">
        <v>44837</v>
      </c>
    </row>
    <row r="427" spans="1:19" ht="12.5" x14ac:dyDescent="0.25">
      <c r="A427" s="14" t="str">
        <f>HYPERLINK("https://gerandofalcoes.my.salesforce.com/0014P00003SGWPgQAP", "0014P00003SGWPgQAP")</f>
        <v>0014P00003SGWPgQAP</v>
      </c>
      <c r="B427" s="2" t="s">
        <v>298</v>
      </c>
      <c r="C427" s="2" t="s">
        <v>1800</v>
      </c>
      <c r="D427" s="2" t="s">
        <v>2</v>
      </c>
      <c r="E427" s="2">
        <v>20</v>
      </c>
      <c r="F427" s="2">
        <v>4</v>
      </c>
      <c r="G427" s="2">
        <v>0</v>
      </c>
      <c r="H427" s="2">
        <v>11000</v>
      </c>
      <c r="I427" s="2">
        <v>20</v>
      </c>
      <c r="J427" s="2" t="s">
        <v>1779</v>
      </c>
      <c r="K427" s="2">
        <v>25</v>
      </c>
      <c r="L427" s="2">
        <v>10</v>
      </c>
      <c r="M427" s="2">
        <v>5</v>
      </c>
      <c r="N427" s="2">
        <v>0</v>
      </c>
      <c r="O427" s="2">
        <v>5</v>
      </c>
      <c r="P427" s="2">
        <v>5</v>
      </c>
      <c r="Q427" s="2" t="s">
        <v>299</v>
      </c>
      <c r="R427" s="2" t="s">
        <v>1310</v>
      </c>
      <c r="S427" s="4">
        <v>44837</v>
      </c>
    </row>
    <row r="428" spans="1:19" ht="12.5" x14ac:dyDescent="0.25">
      <c r="A428" s="14" t="str">
        <f>HYPERLINK("https://gerandofalcoes.my.salesforce.com/0014P00003SGWPhQAP", "0014P00003SGWPhQAP")</f>
        <v>0014P00003SGWPhQAP</v>
      </c>
      <c r="B428" s="2" t="s">
        <v>1693</v>
      </c>
      <c r="C428" s="2" t="s">
        <v>423</v>
      </c>
      <c r="D428" s="2" t="s">
        <v>27</v>
      </c>
      <c r="E428" s="2">
        <v>82.68</v>
      </c>
      <c r="F428" s="2">
        <v>14</v>
      </c>
      <c r="G428" s="2">
        <v>3</v>
      </c>
      <c r="H428" s="2">
        <v>173994</v>
      </c>
      <c r="I428" s="2">
        <v>310</v>
      </c>
      <c r="J428" s="2" t="s">
        <v>1650</v>
      </c>
      <c r="K428" s="2">
        <v>75</v>
      </c>
      <c r="L428" s="2">
        <v>25</v>
      </c>
      <c r="M428" s="2">
        <v>12</v>
      </c>
      <c r="N428" s="2">
        <v>8</v>
      </c>
      <c r="O428" s="2">
        <v>15</v>
      </c>
      <c r="P428" s="2">
        <v>15</v>
      </c>
      <c r="Q428" s="2" t="s">
        <v>286</v>
      </c>
      <c r="R428" s="2" t="s">
        <v>1321</v>
      </c>
      <c r="S428" s="4">
        <v>44837</v>
      </c>
    </row>
    <row r="429" spans="1:19" ht="12.5" x14ac:dyDescent="0.25">
      <c r="A429" s="14" t="str">
        <f>HYPERLINK("https://gerandofalcoes.my.salesforce.com/0014P00003SGWPlQAP", "0014P00003SGWPlQAP")</f>
        <v>0014P00003SGWPlQAP</v>
      </c>
      <c r="B429" s="2" t="s">
        <v>311</v>
      </c>
      <c r="C429" s="2" t="s">
        <v>423</v>
      </c>
      <c r="D429" s="2" t="s">
        <v>2</v>
      </c>
      <c r="E429" s="2">
        <v>30</v>
      </c>
      <c r="F429" s="2">
        <v>0</v>
      </c>
      <c r="G429" s="2">
        <v>2</v>
      </c>
      <c r="H429" s="2">
        <v>30000</v>
      </c>
      <c r="I429" s="2">
        <v>120</v>
      </c>
      <c r="J429" s="2" t="s">
        <v>1671</v>
      </c>
      <c r="K429" s="2">
        <v>41</v>
      </c>
      <c r="L429" s="2">
        <v>15</v>
      </c>
      <c r="M429" s="2">
        <v>0</v>
      </c>
      <c r="N429" s="2">
        <v>6</v>
      </c>
      <c r="O429" s="2">
        <v>10</v>
      </c>
      <c r="P429" s="2">
        <v>10</v>
      </c>
      <c r="Q429" s="2" t="s">
        <v>312</v>
      </c>
      <c r="R429" s="2" t="s">
        <v>312</v>
      </c>
      <c r="S429" s="4">
        <v>44837</v>
      </c>
    </row>
    <row r="430" spans="1:19" ht="12.5" x14ac:dyDescent="0.25">
      <c r="A430" s="14" t="str">
        <f>HYPERLINK("https://gerandofalcoes.my.salesforce.com/0014P00003SGWPmQAP", "0014P00003SGWPmQAP")</f>
        <v>0014P00003SGWPmQAP</v>
      </c>
      <c r="B430" s="2" t="s">
        <v>315</v>
      </c>
      <c r="C430" s="2" t="s">
        <v>423</v>
      </c>
      <c r="D430" s="2" t="s">
        <v>2</v>
      </c>
      <c r="E430" s="2">
        <v>49</v>
      </c>
      <c r="F430" s="2">
        <v>2</v>
      </c>
      <c r="G430" s="2">
        <v>4</v>
      </c>
      <c r="H430" s="2">
        <v>75550</v>
      </c>
      <c r="I430" s="2">
        <v>239</v>
      </c>
      <c r="J430" s="2" t="s">
        <v>1779</v>
      </c>
      <c r="K430" s="2">
        <v>37</v>
      </c>
      <c r="L430" s="2">
        <v>0</v>
      </c>
      <c r="M430" s="2">
        <v>5</v>
      </c>
      <c r="N430" s="2">
        <v>10</v>
      </c>
      <c r="O430" s="2">
        <v>10</v>
      </c>
      <c r="P430" s="2">
        <v>12</v>
      </c>
      <c r="Q430" s="2" t="s">
        <v>316</v>
      </c>
      <c r="R430" s="2" t="s">
        <v>1370</v>
      </c>
      <c r="S430" s="4">
        <v>44837</v>
      </c>
    </row>
    <row r="431" spans="1:19" ht="12.5" x14ac:dyDescent="0.25">
      <c r="A431" s="14" t="str">
        <f>HYPERLINK("https://gerandofalcoes.my.salesforce.com/0014P00003SGWPnQAP", "0014P00003SGWPnQAP")</f>
        <v>0014P00003SGWPnQAP</v>
      </c>
      <c r="B431" s="2" t="s">
        <v>1745</v>
      </c>
      <c r="C431" s="2" t="s">
        <v>423</v>
      </c>
      <c r="D431" s="2" t="s">
        <v>2</v>
      </c>
      <c r="E431" s="2">
        <v>64</v>
      </c>
      <c r="F431" s="2">
        <v>20</v>
      </c>
      <c r="G431" s="2">
        <v>1</v>
      </c>
      <c r="H431" s="2">
        <v>1266000</v>
      </c>
      <c r="I431" s="2">
        <v>250</v>
      </c>
      <c r="J431" s="2" t="s">
        <v>1650</v>
      </c>
      <c r="K431" s="2">
        <v>73</v>
      </c>
      <c r="L431" s="2">
        <v>20</v>
      </c>
      <c r="M431" s="2">
        <v>12</v>
      </c>
      <c r="N431" s="2">
        <v>4</v>
      </c>
      <c r="O431" s="2">
        <v>25</v>
      </c>
      <c r="P431" s="2">
        <v>12</v>
      </c>
      <c r="Q431" s="2" t="s">
        <v>319</v>
      </c>
      <c r="R431" s="2" t="s">
        <v>1379</v>
      </c>
      <c r="S431" s="4">
        <v>44837</v>
      </c>
    </row>
    <row r="432" spans="1:19" ht="12.5" x14ac:dyDescent="0.25">
      <c r="A432" s="14" t="str">
        <f>HYPERLINK("https://gerandofalcoes.my.salesforce.com/0014P00003SGWPoQAP", "0014P00003SGWPoQAP")</f>
        <v>0014P00003SGWPoQAP</v>
      </c>
      <c r="B432" s="2" t="s">
        <v>1705</v>
      </c>
      <c r="C432" s="2" t="s">
        <v>423</v>
      </c>
      <c r="D432" s="2" t="s">
        <v>27</v>
      </c>
      <c r="E432" s="2">
        <v>78.08</v>
      </c>
      <c r="F432" s="2">
        <v>0</v>
      </c>
      <c r="G432" s="2">
        <v>2</v>
      </c>
      <c r="H432" s="2">
        <v>1000</v>
      </c>
      <c r="I432" s="2">
        <v>120</v>
      </c>
      <c r="J432" s="2" t="s">
        <v>1671</v>
      </c>
      <c r="K432" s="2">
        <v>46</v>
      </c>
      <c r="L432" s="2">
        <v>25</v>
      </c>
      <c r="M432" s="2">
        <v>0</v>
      </c>
      <c r="N432" s="2">
        <v>6</v>
      </c>
      <c r="O432" s="2">
        <v>5</v>
      </c>
      <c r="P432" s="2">
        <v>10</v>
      </c>
      <c r="Q432" s="2" t="s">
        <v>321</v>
      </c>
      <c r="R432" s="2" t="s">
        <v>1706</v>
      </c>
      <c r="S432" s="4">
        <v>44837</v>
      </c>
    </row>
    <row r="433" spans="1:19" ht="12.5" x14ac:dyDescent="0.25">
      <c r="A433" s="14" t="str">
        <f>HYPERLINK("https://gerandofalcoes.my.salesforce.com/0014P00003SGWPpQAP", "0014P00003SGWPpQAP")</f>
        <v>0014P00003SGWPpQAP</v>
      </c>
      <c r="B433" s="2" t="s">
        <v>1694</v>
      </c>
      <c r="C433" s="2" t="s">
        <v>423</v>
      </c>
      <c r="D433" s="2" t="s">
        <v>27</v>
      </c>
      <c r="E433" s="2">
        <v>74.349999999999994</v>
      </c>
      <c r="F433" s="2">
        <v>1</v>
      </c>
      <c r="G433" s="2">
        <v>5</v>
      </c>
      <c r="H433" s="2">
        <v>36000</v>
      </c>
      <c r="I433" s="2">
        <v>80</v>
      </c>
      <c r="J433" s="2" t="s">
        <v>1671</v>
      </c>
      <c r="K433" s="2">
        <v>55</v>
      </c>
      <c r="L433" s="2">
        <v>20</v>
      </c>
      <c r="M433" s="2">
        <v>5</v>
      </c>
      <c r="N433" s="2">
        <v>10</v>
      </c>
      <c r="O433" s="2">
        <v>10</v>
      </c>
      <c r="P433" s="2">
        <v>10</v>
      </c>
      <c r="Q433" s="2" t="s">
        <v>323</v>
      </c>
      <c r="R433" s="2" t="s">
        <v>1402</v>
      </c>
      <c r="S433" s="4">
        <v>44837</v>
      </c>
    </row>
    <row r="434" spans="1:19" ht="12.5" x14ac:dyDescent="0.25">
      <c r="A434" s="14" t="str">
        <f>HYPERLINK("https://gerandofalcoes.my.salesforce.com/0014X00002VKCqZQAX", "0014X00002VKCqZQAX")</f>
        <v>0014X00002VKCqZQAX</v>
      </c>
      <c r="B434" s="2" t="s">
        <v>2315</v>
      </c>
      <c r="C434" s="2" t="s">
        <v>423</v>
      </c>
      <c r="D434" s="2" t="s">
        <v>2</v>
      </c>
      <c r="E434" s="2">
        <v>38</v>
      </c>
      <c r="F434" s="2">
        <v>0</v>
      </c>
      <c r="G434" s="2">
        <v>25</v>
      </c>
      <c r="H434" s="2">
        <v>31680</v>
      </c>
      <c r="I434" s="2">
        <v>30</v>
      </c>
      <c r="J434" s="2" t="s">
        <v>1671</v>
      </c>
      <c r="K434" s="2">
        <v>40</v>
      </c>
      <c r="L434" s="2">
        <v>15</v>
      </c>
      <c r="M434" s="2">
        <v>0</v>
      </c>
      <c r="N434" s="2">
        <v>10</v>
      </c>
      <c r="O434" s="2">
        <v>10</v>
      </c>
      <c r="P434" s="2">
        <v>5</v>
      </c>
      <c r="Q434" s="2" t="s">
        <v>2316</v>
      </c>
      <c r="R434" s="2" t="s">
        <v>2316</v>
      </c>
      <c r="S434" s="4">
        <v>44837</v>
      </c>
    </row>
    <row r="435" spans="1:19" ht="12.5" x14ac:dyDescent="0.25">
      <c r="A435" s="14" t="str">
        <f>HYPERLINK("https://gerandofalcoes.my.salesforce.com/0014X00002VKCuvQAH", "0014X00002VKCuvQAH")</f>
        <v>0014X00002VKCuvQAH</v>
      </c>
      <c r="B435" s="2" t="s">
        <v>1924</v>
      </c>
      <c r="C435" s="2" t="s">
        <v>423</v>
      </c>
      <c r="D435" s="2" t="s">
        <v>2</v>
      </c>
      <c r="E435" s="2">
        <v>42</v>
      </c>
      <c r="F435" s="2">
        <v>44</v>
      </c>
      <c r="G435" s="2">
        <v>6</v>
      </c>
      <c r="H435" s="2">
        <v>900000</v>
      </c>
      <c r="I435" s="2">
        <v>380</v>
      </c>
      <c r="J435" s="2" t="s">
        <v>1654</v>
      </c>
      <c r="K435" s="2">
        <v>80</v>
      </c>
      <c r="L435" s="2">
        <v>15</v>
      </c>
      <c r="M435" s="2">
        <v>15</v>
      </c>
      <c r="N435" s="2">
        <v>10</v>
      </c>
      <c r="O435" s="2">
        <v>25</v>
      </c>
      <c r="P435" s="2">
        <v>15</v>
      </c>
      <c r="Q435" s="2" t="s">
        <v>1925</v>
      </c>
      <c r="R435" s="2" t="s">
        <v>1926</v>
      </c>
      <c r="S435" s="4">
        <v>44837</v>
      </c>
    </row>
    <row r="436" spans="1:19" ht="12.5" x14ac:dyDescent="0.25">
      <c r="A436" s="14" t="str">
        <f>HYPERLINK("https://gerandofalcoes.my.salesforce.com/0014X00002VKCpIQAX", "0014X00002VKCpIQAX")</f>
        <v>0014X00002VKCpIQAX</v>
      </c>
      <c r="B436" s="2" t="s">
        <v>2523</v>
      </c>
      <c r="C436" s="2" t="s">
        <v>423</v>
      </c>
      <c r="D436" s="2" t="s">
        <v>2</v>
      </c>
      <c r="E436" s="2">
        <v>21</v>
      </c>
      <c r="F436" s="2">
        <v>0</v>
      </c>
      <c r="G436" s="2">
        <v>4</v>
      </c>
      <c r="H436" s="2">
        <v>300</v>
      </c>
      <c r="I436" s="2">
        <v>50</v>
      </c>
      <c r="J436" s="2" t="s">
        <v>1779</v>
      </c>
      <c r="K436" s="2">
        <v>30</v>
      </c>
      <c r="L436" s="2">
        <v>10</v>
      </c>
      <c r="M436" s="2">
        <v>0</v>
      </c>
      <c r="N436" s="2">
        <v>10</v>
      </c>
      <c r="O436" s="2">
        <v>5</v>
      </c>
      <c r="P436" s="2">
        <v>5</v>
      </c>
      <c r="Q436" s="2" t="s">
        <v>2524</v>
      </c>
      <c r="R436" s="2" t="s">
        <v>2525</v>
      </c>
      <c r="S436" s="4">
        <v>44837</v>
      </c>
    </row>
    <row r="437" spans="1:19" ht="12.5" x14ac:dyDescent="0.25">
      <c r="A437" s="14" t="str">
        <f>HYPERLINK("https://gerandofalcoes.my.salesforce.com/0014X00002VKCqHQAX", "0014X00002VKCqHQAX")</f>
        <v>0014X00002VKCqHQAX</v>
      </c>
      <c r="B437" s="2" t="s">
        <v>1829</v>
      </c>
      <c r="C437" s="2" t="s">
        <v>423</v>
      </c>
      <c r="D437" s="2" t="s">
        <v>2</v>
      </c>
      <c r="E437" s="2">
        <v>50</v>
      </c>
      <c r="F437" s="2">
        <v>0</v>
      </c>
      <c r="G437" s="2">
        <v>5</v>
      </c>
      <c r="H437" s="2">
        <v>521000</v>
      </c>
      <c r="I437" s="2">
        <v>155</v>
      </c>
      <c r="J437" s="2" t="s">
        <v>1671</v>
      </c>
      <c r="K437" s="2">
        <v>62</v>
      </c>
      <c r="L437" s="2">
        <v>20</v>
      </c>
      <c r="M437" s="2">
        <v>0</v>
      </c>
      <c r="N437" s="2">
        <v>10</v>
      </c>
      <c r="O437" s="2">
        <v>20</v>
      </c>
      <c r="P437" s="2">
        <v>12</v>
      </c>
      <c r="Q437" s="2" t="s">
        <v>1830</v>
      </c>
      <c r="R437" s="2" t="s">
        <v>1831</v>
      </c>
      <c r="S437" s="4">
        <v>44837</v>
      </c>
    </row>
    <row r="438" spans="1:19" ht="12.5" x14ac:dyDescent="0.25">
      <c r="A438" s="14" t="str">
        <f>HYPERLINK("https://gerandofalcoes.my.salesforce.com/0014X00002VKCuBQAX", "0014X00002VKCuBQAX")</f>
        <v>0014X00002VKCuBQAX</v>
      </c>
      <c r="B438" s="2" t="s">
        <v>2038</v>
      </c>
      <c r="C438" s="2" t="s">
        <v>423</v>
      </c>
      <c r="D438" s="2" t="s">
        <v>2</v>
      </c>
      <c r="E438" s="2">
        <v>37</v>
      </c>
      <c r="F438" s="2">
        <v>0</v>
      </c>
      <c r="G438" s="2">
        <v>2</v>
      </c>
      <c r="H438" s="2">
        <v>10000</v>
      </c>
      <c r="I438" s="2">
        <v>102</v>
      </c>
      <c r="J438" s="2" t="s">
        <v>1779</v>
      </c>
      <c r="K438" s="2">
        <v>36</v>
      </c>
      <c r="L438" s="2">
        <v>15</v>
      </c>
      <c r="M438" s="2">
        <v>0</v>
      </c>
      <c r="N438" s="2">
        <v>6</v>
      </c>
      <c r="O438" s="2">
        <v>5</v>
      </c>
      <c r="P438" s="2">
        <v>10</v>
      </c>
      <c r="Q438" s="2" t="s">
        <v>2039</v>
      </c>
      <c r="R438" s="2" t="s">
        <v>2039</v>
      </c>
      <c r="S438" s="4">
        <v>44837</v>
      </c>
    </row>
    <row r="439" spans="1:19" ht="12.5" x14ac:dyDescent="0.25">
      <c r="A439" s="14" t="str">
        <f>HYPERLINK("https://gerandofalcoes.my.salesforce.com/0014X00002VKCuKQAX", "0014X00002VKCuKQAX")</f>
        <v>0014X00002VKCuKQAX</v>
      </c>
      <c r="B439" s="2" t="s">
        <v>1879</v>
      </c>
      <c r="C439" s="2" t="s">
        <v>423</v>
      </c>
      <c r="D439" s="2" t="s">
        <v>2</v>
      </c>
      <c r="E439" s="2">
        <v>40</v>
      </c>
      <c r="F439" s="2">
        <v>2</v>
      </c>
      <c r="G439" s="2">
        <v>1</v>
      </c>
      <c r="H439" s="2">
        <v>50000</v>
      </c>
      <c r="I439" s="2">
        <v>20</v>
      </c>
      <c r="J439" s="2" t="s">
        <v>1779</v>
      </c>
      <c r="K439" s="2">
        <v>39</v>
      </c>
      <c r="L439" s="2">
        <v>15</v>
      </c>
      <c r="M439" s="2">
        <v>5</v>
      </c>
      <c r="N439" s="2">
        <v>4</v>
      </c>
      <c r="O439" s="2">
        <v>10</v>
      </c>
      <c r="P439" s="2">
        <v>5</v>
      </c>
      <c r="Q439" s="2" t="s">
        <v>1880</v>
      </c>
      <c r="R439" s="2" t="s">
        <v>1880</v>
      </c>
      <c r="S439" s="4">
        <v>44837</v>
      </c>
    </row>
    <row r="440" spans="1:19" ht="12.5" x14ac:dyDescent="0.25">
      <c r="A440" s="14" t="str">
        <f>HYPERLINK("https://gerandofalcoes.my.salesforce.com/0014X00002VKCptQAH", "0014X00002VKCptQAH")</f>
        <v>0014X00002VKCptQAH</v>
      </c>
      <c r="B440" s="2" t="s">
        <v>2230</v>
      </c>
      <c r="C440" s="2" t="s">
        <v>423</v>
      </c>
      <c r="D440" s="2" t="s">
        <v>2</v>
      </c>
      <c r="E440" s="2">
        <v>40</v>
      </c>
      <c r="F440" s="2">
        <v>8</v>
      </c>
      <c r="G440" s="2">
        <v>0</v>
      </c>
      <c r="H440" s="2">
        <v>0</v>
      </c>
      <c r="I440" s="2">
        <v>44</v>
      </c>
      <c r="J440" s="2" t="s">
        <v>1779</v>
      </c>
      <c r="K440" s="2">
        <v>30</v>
      </c>
      <c r="L440" s="2">
        <v>15</v>
      </c>
      <c r="M440" s="2">
        <v>10</v>
      </c>
      <c r="N440" s="2">
        <v>0</v>
      </c>
      <c r="O440" s="2">
        <v>0</v>
      </c>
      <c r="P440" s="2">
        <v>5</v>
      </c>
      <c r="Q440" s="2" t="s">
        <v>2231</v>
      </c>
      <c r="R440" s="2" t="s">
        <v>2232</v>
      </c>
      <c r="S440" s="4">
        <v>44837</v>
      </c>
    </row>
    <row r="441" spans="1:19" ht="12.5" x14ac:dyDescent="0.25">
      <c r="A441" s="14" t="str">
        <f>HYPERLINK("https://gerandofalcoes.my.salesforce.com/0014X00002VKCowQAH", "0014X00002VKCowQAH")</f>
        <v>0014X00002VKCowQAH</v>
      </c>
      <c r="B441" s="2" t="s">
        <v>2549</v>
      </c>
      <c r="C441" s="2" t="s">
        <v>423</v>
      </c>
      <c r="D441" s="2" t="s">
        <v>2</v>
      </c>
      <c r="E441" s="2">
        <v>27</v>
      </c>
      <c r="F441" s="2">
        <v>0</v>
      </c>
      <c r="G441" s="2">
        <v>0</v>
      </c>
      <c r="H441" s="2">
        <v>0</v>
      </c>
      <c r="I441" s="2">
        <v>100</v>
      </c>
      <c r="J441" s="2" t="s">
        <v>1779</v>
      </c>
      <c r="K441" s="2">
        <v>25</v>
      </c>
      <c r="L441" s="2">
        <v>15</v>
      </c>
      <c r="M441" s="2">
        <v>0</v>
      </c>
      <c r="N441" s="2">
        <v>0</v>
      </c>
      <c r="O441" s="2">
        <v>0</v>
      </c>
      <c r="P441" s="2">
        <v>10</v>
      </c>
      <c r="Q441" s="2" t="s">
        <v>2550</v>
      </c>
      <c r="R441" s="2" t="s">
        <v>2550</v>
      </c>
      <c r="S441" s="4">
        <v>44837</v>
      </c>
    </row>
    <row r="442" spans="1:19" ht="12.5" x14ac:dyDescent="0.25">
      <c r="A442" s="14" t="str">
        <f>HYPERLINK("https://gerandofalcoes.my.salesforce.com/0014X00002VKCsYQAX", "0014X00002VKCsYQAX")</f>
        <v>0014X00002VKCsYQAX</v>
      </c>
      <c r="B442" s="2" t="s">
        <v>2413</v>
      </c>
      <c r="C442" s="2" t="s">
        <v>423</v>
      </c>
      <c r="D442" s="2" t="s">
        <v>2</v>
      </c>
      <c r="E442" s="2">
        <v>25</v>
      </c>
      <c r="F442" s="2">
        <v>0</v>
      </c>
      <c r="G442" s="2">
        <v>1</v>
      </c>
      <c r="H442" s="2">
        <v>0</v>
      </c>
      <c r="I442" s="2">
        <v>64</v>
      </c>
      <c r="J442" s="2" t="s">
        <v>1779</v>
      </c>
      <c r="K442" s="2">
        <v>24</v>
      </c>
      <c r="L442" s="2">
        <v>15</v>
      </c>
      <c r="M442" s="2">
        <v>0</v>
      </c>
      <c r="N442" s="2">
        <v>4</v>
      </c>
      <c r="O442" s="2">
        <v>0</v>
      </c>
      <c r="P442" s="2">
        <v>5</v>
      </c>
      <c r="Q442" s="2" t="s">
        <v>2414</v>
      </c>
      <c r="R442" s="2" t="s">
        <v>2414</v>
      </c>
      <c r="S442" s="4">
        <v>44837</v>
      </c>
    </row>
    <row r="443" spans="1:19" ht="12.5" x14ac:dyDescent="0.25">
      <c r="A443" s="14" t="str">
        <f>HYPERLINK("https://gerandofalcoes.my.salesforce.com/0014X00002VKCusQAH", "0014X00002VKCusQAH")</f>
        <v>0014X00002VKCusQAH</v>
      </c>
      <c r="B443" s="2" t="s">
        <v>1946</v>
      </c>
      <c r="C443" s="2" t="s">
        <v>423</v>
      </c>
      <c r="D443" s="2" t="s">
        <v>2</v>
      </c>
      <c r="E443" s="2">
        <v>41</v>
      </c>
      <c r="F443" s="2">
        <v>0</v>
      </c>
      <c r="G443" s="2">
        <v>2</v>
      </c>
      <c r="H443" s="2">
        <v>3000</v>
      </c>
      <c r="I443" s="2">
        <v>262</v>
      </c>
      <c r="J443" s="2" t="s">
        <v>1779</v>
      </c>
      <c r="K443" s="2">
        <v>38</v>
      </c>
      <c r="L443" s="2">
        <v>15</v>
      </c>
      <c r="M443" s="2">
        <v>0</v>
      </c>
      <c r="N443" s="2">
        <v>6</v>
      </c>
      <c r="O443" s="2">
        <v>5</v>
      </c>
      <c r="P443" s="2">
        <v>12</v>
      </c>
      <c r="Q443" s="2" t="s">
        <v>1947</v>
      </c>
      <c r="R443" s="2" t="s">
        <v>1948</v>
      </c>
      <c r="S443" s="4">
        <v>44837</v>
      </c>
    </row>
    <row r="444" spans="1:19" ht="12.5" x14ac:dyDescent="0.25">
      <c r="A444" s="14" t="str">
        <f>HYPERLINK("https://gerandofalcoes.my.salesforce.com/0014X00002VKCpnQAH", "0014X00002VKCpnQAH")</f>
        <v>0014X00002VKCpnQAH</v>
      </c>
      <c r="B444" s="2" t="s">
        <v>2965</v>
      </c>
      <c r="C444" s="2" t="s">
        <v>423</v>
      </c>
      <c r="D444" s="2" t="s">
        <v>2</v>
      </c>
      <c r="E444" s="2">
        <v>13</v>
      </c>
      <c r="F444" s="2">
        <v>0</v>
      </c>
      <c r="G444" s="2">
        <v>1</v>
      </c>
      <c r="H444" s="2">
        <v>10000</v>
      </c>
      <c r="I444" s="2">
        <v>0</v>
      </c>
      <c r="J444" s="2" t="s">
        <v>1779</v>
      </c>
      <c r="K444" s="2">
        <v>19</v>
      </c>
      <c r="L444" s="2">
        <v>10</v>
      </c>
      <c r="M444" s="2">
        <v>0</v>
      </c>
      <c r="N444" s="2">
        <v>4</v>
      </c>
      <c r="O444" s="2">
        <v>5</v>
      </c>
      <c r="P444" s="2">
        <v>0</v>
      </c>
      <c r="Q444" s="2" t="s">
        <v>2966</v>
      </c>
      <c r="R444" s="2" t="s">
        <v>2966</v>
      </c>
      <c r="S444" s="4">
        <v>44837</v>
      </c>
    </row>
    <row r="445" spans="1:19" ht="12.5" x14ac:dyDescent="0.25">
      <c r="A445" s="14" t="str">
        <f>HYPERLINK("https://gerandofalcoes.my.salesforce.com/0014X00002VKCqQQAX", "0014X00002VKCqQQAX")</f>
        <v>0014X00002VKCqQQAX</v>
      </c>
      <c r="B445" s="2" t="s">
        <v>2952</v>
      </c>
      <c r="C445" s="2" t="s">
        <v>423</v>
      </c>
      <c r="D445" s="2" t="s">
        <v>2</v>
      </c>
      <c r="E445" s="2">
        <v>17</v>
      </c>
      <c r="F445" s="2">
        <v>0</v>
      </c>
      <c r="G445" s="2">
        <v>2</v>
      </c>
      <c r="H445" s="2">
        <v>0</v>
      </c>
      <c r="I445" s="2">
        <v>40</v>
      </c>
      <c r="J445" s="2" t="s">
        <v>1779</v>
      </c>
      <c r="K445" s="2">
        <v>21</v>
      </c>
      <c r="L445" s="2">
        <v>10</v>
      </c>
      <c r="M445" s="2">
        <v>0</v>
      </c>
      <c r="N445" s="2">
        <v>6</v>
      </c>
      <c r="O445" s="2">
        <v>0</v>
      </c>
      <c r="P445" s="2">
        <v>5</v>
      </c>
      <c r="Q445" s="2" t="s">
        <v>2953</v>
      </c>
      <c r="R445" s="2" t="s">
        <v>2954</v>
      </c>
      <c r="S445" s="4">
        <v>44837</v>
      </c>
    </row>
    <row r="446" spans="1:19" ht="12.5" x14ac:dyDescent="0.25">
      <c r="A446" s="14" t="str">
        <f>HYPERLINK("https://gerandofalcoes.my.salesforce.com/0014X00002VKCqfQAH", "0014X00002VKCqfQAH")</f>
        <v>0014X00002VKCqfQAH</v>
      </c>
      <c r="B446" s="2" t="s">
        <v>1998</v>
      </c>
      <c r="C446" s="2" t="s">
        <v>1800</v>
      </c>
      <c r="D446" s="2" t="s">
        <v>2</v>
      </c>
      <c r="E446" s="2">
        <v>39</v>
      </c>
      <c r="F446" s="2">
        <v>0</v>
      </c>
      <c r="G446" s="2">
        <v>2</v>
      </c>
      <c r="H446" s="2">
        <v>14000</v>
      </c>
      <c r="I446" s="2">
        <v>0</v>
      </c>
      <c r="J446" s="2" t="s">
        <v>1779</v>
      </c>
      <c r="K446" s="2">
        <v>26</v>
      </c>
      <c r="L446" s="2">
        <v>15</v>
      </c>
      <c r="M446" s="2">
        <v>0</v>
      </c>
      <c r="N446" s="2">
        <v>6</v>
      </c>
      <c r="O446" s="2">
        <v>5</v>
      </c>
      <c r="P446" s="2">
        <v>0</v>
      </c>
      <c r="Q446" s="2" t="s">
        <v>1999</v>
      </c>
      <c r="R446" s="2" t="s">
        <v>2000</v>
      </c>
      <c r="S446" s="4">
        <v>44837</v>
      </c>
    </row>
    <row r="447" spans="1:19" ht="12.5" x14ac:dyDescent="0.25">
      <c r="A447" s="14" t="str">
        <f>HYPERLINK("https://gerandofalcoes.my.salesforce.com/0014X00002VKCsWQAX", "0014X00002VKCsWQAX")</f>
        <v>0014X00002VKCsWQAX</v>
      </c>
      <c r="B447" s="2" t="s">
        <v>2211</v>
      </c>
      <c r="C447" s="2" t="s">
        <v>423</v>
      </c>
      <c r="D447" s="2" t="s">
        <v>2</v>
      </c>
      <c r="E447" s="2">
        <v>32</v>
      </c>
      <c r="F447" s="2">
        <v>3</v>
      </c>
      <c r="G447" s="2">
        <v>2</v>
      </c>
      <c r="H447" s="2">
        <v>1000</v>
      </c>
      <c r="I447" s="2">
        <v>1200</v>
      </c>
      <c r="J447" s="2" t="s">
        <v>1671</v>
      </c>
      <c r="K447" s="2">
        <v>51</v>
      </c>
      <c r="L447" s="2">
        <v>15</v>
      </c>
      <c r="M447" s="2">
        <v>5</v>
      </c>
      <c r="N447" s="2">
        <v>6</v>
      </c>
      <c r="O447" s="2">
        <v>5</v>
      </c>
      <c r="P447" s="2">
        <v>20</v>
      </c>
      <c r="Q447" s="2" t="s">
        <v>2212</v>
      </c>
      <c r="R447" s="2" t="s">
        <v>2213</v>
      </c>
      <c r="S447" s="4">
        <v>44837</v>
      </c>
    </row>
    <row r="448" spans="1:19" ht="12.5" x14ac:dyDescent="0.25">
      <c r="A448" s="14" t="str">
        <f>HYPERLINK("https://gerandofalcoes.my.salesforce.com/0014X00002VKCrNQAX", "0014X00002VKCrNQAX")</f>
        <v>0014X00002VKCrNQAX</v>
      </c>
      <c r="B448" s="2" t="s">
        <v>2035</v>
      </c>
      <c r="C448" s="2" t="s">
        <v>423</v>
      </c>
      <c r="D448" s="2" t="s">
        <v>2</v>
      </c>
      <c r="E448" s="2">
        <v>37</v>
      </c>
      <c r="F448" s="2">
        <v>10</v>
      </c>
      <c r="G448" s="2">
        <v>2</v>
      </c>
      <c r="H448" s="2">
        <v>20000</v>
      </c>
      <c r="I448" s="2">
        <v>130</v>
      </c>
      <c r="J448" s="2" t="s">
        <v>1671</v>
      </c>
      <c r="K448" s="2">
        <v>46</v>
      </c>
      <c r="L448" s="2">
        <v>15</v>
      </c>
      <c r="M448" s="2">
        <v>10</v>
      </c>
      <c r="N448" s="2">
        <v>6</v>
      </c>
      <c r="O448" s="2">
        <v>5</v>
      </c>
      <c r="P448" s="2">
        <v>10</v>
      </c>
      <c r="Q448" s="2" t="s">
        <v>2036</v>
      </c>
      <c r="R448" s="2" t="s">
        <v>2037</v>
      </c>
      <c r="S448" s="4">
        <v>44837</v>
      </c>
    </row>
    <row r="449" spans="1:19" ht="12.5" x14ac:dyDescent="0.25">
      <c r="A449" s="14" t="str">
        <f>HYPERLINK("https://gerandofalcoes.my.salesforce.com/0014X00002VKCqWQAX", "0014X00002VKCqWQAX")</f>
        <v>0014X00002VKCqWQAX</v>
      </c>
      <c r="B449" s="2" t="s">
        <v>2114</v>
      </c>
      <c r="C449" s="2" t="s">
        <v>1800</v>
      </c>
      <c r="D449" s="2" t="s">
        <v>2</v>
      </c>
      <c r="E449" s="2">
        <v>35</v>
      </c>
      <c r="F449" s="2">
        <v>2</v>
      </c>
      <c r="G449" s="2">
        <v>3</v>
      </c>
      <c r="H449" s="2">
        <v>11579</v>
      </c>
      <c r="I449" s="2">
        <v>20</v>
      </c>
      <c r="J449" s="2" t="s">
        <v>1779</v>
      </c>
      <c r="K449" s="2">
        <v>38</v>
      </c>
      <c r="L449" s="2">
        <v>15</v>
      </c>
      <c r="M449" s="2">
        <v>5</v>
      </c>
      <c r="N449" s="2">
        <v>8</v>
      </c>
      <c r="O449" s="2">
        <v>5</v>
      </c>
      <c r="P449" s="2">
        <v>5</v>
      </c>
      <c r="Q449" s="2" t="s">
        <v>2115</v>
      </c>
      <c r="R449" s="2" t="s">
        <v>2116</v>
      </c>
      <c r="S449" s="4">
        <v>44837</v>
      </c>
    </row>
    <row r="450" spans="1:19" ht="12.5" x14ac:dyDescent="0.25">
      <c r="A450" s="14" t="str">
        <f>HYPERLINK("https://gerandofalcoes.my.salesforce.com/0014X00002VKCqPQAX", "0014X00002VKCqPQAX")</f>
        <v>0014X00002VKCqPQAX</v>
      </c>
      <c r="B450" s="2" t="s">
        <v>2122</v>
      </c>
      <c r="C450" s="2" t="s">
        <v>423</v>
      </c>
      <c r="D450" s="2" t="s">
        <v>2</v>
      </c>
      <c r="E450" s="2">
        <v>34</v>
      </c>
      <c r="F450" s="2">
        <v>5</v>
      </c>
      <c r="G450" s="2">
        <v>1</v>
      </c>
      <c r="H450" s="2">
        <v>0</v>
      </c>
      <c r="I450" s="2">
        <v>186</v>
      </c>
      <c r="J450" s="2" t="s">
        <v>1779</v>
      </c>
      <c r="K450" s="2">
        <v>36</v>
      </c>
      <c r="L450" s="2">
        <v>15</v>
      </c>
      <c r="M450" s="2">
        <v>5</v>
      </c>
      <c r="N450" s="2">
        <v>4</v>
      </c>
      <c r="O450" s="2">
        <v>0</v>
      </c>
      <c r="P450" s="2">
        <v>12</v>
      </c>
      <c r="Q450" s="2" t="s">
        <v>2123</v>
      </c>
      <c r="R450" s="2" t="s">
        <v>2124</v>
      </c>
      <c r="S450" s="4">
        <v>44837</v>
      </c>
    </row>
    <row r="451" spans="1:19" ht="12.5" x14ac:dyDescent="0.25">
      <c r="A451" s="14" t="str">
        <f>HYPERLINK("https://gerandofalcoes.my.salesforce.com/0014X00002VKCqkQAH", "0014X00002VKCqkQAH")</f>
        <v>0014X00002VKCqkQAH</v>
      </c>
      <c r="B451" s="2" t="s">
        <v>2847</v>
      </c>
      <c r="C451" s="2" t="s">
        <v>423</v>
      </c>
      <c r="D451" s="2" t="s">
        <v>2</v>
      </c>
      <c r="E451" s="2">
        <v>41</v>
      </c>
      <c r="F451" s="2">
        <v>0</v>
      </c>
      <c r="G451" s="2">
        <v>2</v>
      </c>
      <c r="H451" s="2">
        <v>12000</v>
      </c>
      <c r="I451" s="2">
        <v>500</v>
      </c>
      <c r="J451" s="2" t="s">
        <v>1671</v>
      </c>
      <c r="K451" s="2">
        <v>46</v>
      </c>
      <c r="L451" s="2">
        <v>15</v>
      </c>
      <c r="M451" s="2">
        <v>0</v>
      </c>
      <c r="N451" s="2">
        <v>6</v>
      </c>
      <c r="O451" s="2">
        <v>5</v>
      </c>
      <c r="P451" s="2">
        <v>20</v>
      </c>
      <c r="Q451" s="2" t="s">
        <v>2848</v>
      </c>
      <c r="R451" s="2" t="s">
        <v>2849</v>
      </c>
      <c r="S451" s="4">
        <v>44837</v>
      </c>
    </row>
    <row r="452" spans="1:19" ht="12.5" x14ac:dyDescent="0.25">
      <c r="A452" s="14" t="str">
        <f>HYPERLINK("https://gerandofalcoes.my.salesforce.com/0014X00002VKCt2QAH", "0014X00002VKCt2QAH")</f>
        <v>0014X00002VKCt2QAH</v>
      </c>
      <c r="B452" s="2" t="s">
        <v>1792</v>
      </c>
      <c r="C452" s="2" t="s">
        <v>423</v>
      </c>
      <c r="D452" s="2" t="s">
        <v>2</v>
      </c>
      <c r="E452" s="2">
        <v>71</v>
      </c>
      <c r="F452" s="2">
        <v>4</v>
      </c>
      <c r="G452" s="2">
        <v>4</v>
      </c>
      <c r="H452" s="2">
        <v>143565</v>
      </c>
      <c r="I452" s="2">
        <v>240</v>
      </c>
      <c r="J452" s="2" t="s">
        <v>1671</v>
      </c>
      <c r="K452" s="2">
        <v>62</v>
      </c>
      <c r="L452" s="2">
        <v>20</v>
      </c>
      <c r="M452" s="2">
        <v>5</v>
      </c>
      <c r="N452" s="2">
        <v>10</v>
      </c>
      <c r="O452" s="2">
        <v>15</v>
      </c>
      <c r="P452" s="2">
        <v>12</v>
      </c>
      <c r="Q452" s="2" t="s">
        <v>1793</v>
      </c>
      <c r="R452" s="2" t="s">
        <v>1794</v>
      </c>
      <c r="S452" s="4">
        <v>44837</v>
      </c>
    </row>
    <row r="453" spans="1:19" ht="12.5" x14ac:dyDescent="0.25">
      <c r="A453" s="14" t="str">
        <f>HYPERLINK("https://gerandofalcoes.my.salesforce.com/0014X00002VKCt3QAH", "0014X00002VKCt3QAH")</f>
        <v>0014X00002VKCt3QAH</v>
      </c>
      <c r="B453" s="2" t="s">
        <v>2706</v>
      </c>
      <c r="C453" s="2" t="s">
        <v>423</v>
      </c>
      <c r="D453" s="2" t="s">
        <v>2</v>
      </c>
      <c r="E453" s="2">
        <v>21</v>
      </c>
      <c r="F453" s="2">
        <v>0</v>
      </c>
      <c r="G453" s="2">
        <v>0</v>
      </c>
      <c r="H453" s="2">
        <v>0</v>
      </c>
      <c r="I453" s="2">
        <v>100</v>
      </c>
      <c r="J453" s="2" t="s">
        <v>1779</v>
      </c>
      <c r="K453" s="2">
        <v>20</v>
      </c>
      <c r="L453" s="2">
        <v>10</v>
      </c>
      <c r="M453" s="2">
        <v>0</v>
      </c>
      <c r="N453" s="2">
        <v>0</v>
      </c>
      <c r="O453" s="2">
        <v>0</v>
      </c>
      <c r="P453" s="2">
        <v>10</v>
      </c>
      <c r="Q453" s="2" t="s">
        <v>2707</v>
      </c>
      <c r="R453" s="2" t="s">
        <v>2708</v>
      </c>
      <c r="S453" s="4">
        <v>44837</v>
      </c>
    </row>
    <row r="454" spans="1:19" ht="12.5" x14ac:dyDescent="0.25">
      <c r="A454" s="14" t="str">
        <f>HYPERLINK("https://gerandofalcoes.my.salesforce.com/0014P00003YSp7ZQAT", "0014P00003YSp7ZQAT")</f>
        <v>0014P00003YSp7ZQAT</v>
      </c>
      <c r="B454" s="2" t="s">
        <v>2136</v>
      </c>
      <c r="C454" s="2" t="s">
        <v>423</v>
      </c>
      <c r="D454" s="2" t="s">
        <v>2</v>
      </c>
      <c r="E454" s="2">
        <v>34</v>
      </c>
      <c r="F454" s="2">
        <v>0</v>
      </c>
      <c r="G454" s="2">
        <v>2</v>
      </c>
      <c r="H454" s="2">
        <v>50000</v>
      </c>
      <c r="I454" s="2">
        <v>210</v>
      </c>
      <c r="J454" s="2" t="s">
        <v>1671</v>
      </c>
      <c r="K454" s="2">
        <v>43</v>
      </c>
      <c r="L454" s="2">
        <v>15</v>
      </c>
      <c r="M454" s="2">
        <v>0</v>
      </c>
      <c r="N454" s="2">
        <v>6</v>
      </c>
      <c r="O454" s="2">
        <v>10</v>
      </c>
      <c r="P454" s="2">
        <v>12</v>
      </c>
      <c r="Q454" s="2" t="s">
        <v>2137</v>
      </c>
      <c r="R454" s="2" t="s">
        <v>2138</v>
      </c>
      <c r="S454" s="4">
        <v>44837</v>
      </c>
    </row>
    <row r="455" spans="1:19" ht="12.5" x14ac:dyDescent="0.25">
      <c r="A455" s="14" t="str">
        <f>HYPERLINK("https://gerandofalcoes.my.salesforce.com/0014P00003YSp7aQAD", "0014P00003YSp7aQAD")</f>
        <v>0014P00003YSp7aQAD</v>
      </c>
      <c r="B455" s="2" t="s">
        <v>2922</v>
      </c>
      <c r="C455" s="2" t="s">
        <v>423</v>
      </c>
      <c r="D455" s="2" t="s">
        <v>2</v>
      </c>
      <c r="E455" s="2">
        <v>14</v>
      </c>
      <c r="F455" s="2">
        <v>8</v>
      </c>
      <c r="G455" s="2">
        <v>0</v>
      </c>
      <c r="H455" s="2">
        <v>5000</v>
      </c>
      <c r="I455" s="2">
        <v>30</v>
      </c>
      <c r="J455" s="2" t="s">
        <v>1779</v>
      </c>
      <c r="K455" s="2">
        <v>30</v>
      </c>
      <c r="L455" s="2">
        <v>10</v>
      </c>
      <c r="M455" s="2">
        <v>10</v>
      </c>
      <c r="N455" s="2">
        <v>0</v>
      </c>
      <c r="O455" s="2">
        <v>5</v>
      </c>
      <c r="P455" s="2">
        <v>5</v>
      </c>
      <c r="Q455" s="2" t="s">
        <v>2923</v>
      </c>
      <c r="R455" s="2" t="s">
        <v>2924</v>
      </c>
      <c r="S455" s="4">
        <v>44837</v>
      </c>
    </row>
    <row r="456" spans="1:19" ht="12.5" x14ac:dyDescent="0.25">
      <c r="A456" s="14" t="str">
        <f>HYPERLINK("https://gerandofalcoes.my.salesforce.com/0014P00003YSp7bQAD", "0014P00003YSp7bQAD")</f>
        <v>0014P00003YSp7bQAD</v>
      </c>
      <c r="B456" s="2" t="s">
        <v>2169</v>
      </c>
      <c r="C456" s="2" t="s">
        <v>1800</v>
      </c>
      <c r="D456" s="2" t="s">
        <v>2</v>
      </c>
      <c r="E456" s="2">
        <v>33</v>
      </c>
      <c r="F456" s="2">
        <v>40</v>
      </c>
      <c r="G456" s="2">
        <v>2</v>
      </c>
      <c r="H456" s="2">
        <v>50000</v>
      </c>
      <c r="I456" s="2">
        <v>150</v>
      </c>
      <c r="J456" s="2" t="s">
        <v>1671</v>
      </c>
      <c r="K456" s="2">
        <v>58</v>
      </c>
      <c r="L456" s="2">
        <v>15</v>
      </c>
      <c r="M456" s="2">
        <v>15</v>
      </c>
      <c r="N456" s="2">
        <v>6</v>
      </c>
      <c r="O456" s="2">
        <v>10</v>
      </c>
      <c r="P456" s="2">
        <v>12</v>
      </c>
      <c r="Q456" s="2" t="s">
        <v>2170</v>
      </c>
      <c r="R456" s="2" t="s">
        <v>2171</v>
      </c>
      <c r="S456" s="4">
        <v>44837</v>
      </c>
    </row>
    <row r="457" spans="1:19" ht="12.5" x14ac:dyDescent="0.25">
      <c r="A457" s="14" t="str">
        <f>HYPERLINK("https://gerandofalcoes.my.salesforce.com/0014P00003YSp7dQAD", "0014P00003YSp7dQAD")</f>
        <v>0014P00003YSp7dQAD</v>
      </c>
      <c r="B457" s="2" t="s">
        <v>1855</v>
      </c>
      <c r="C457" s="2" t="s">
        <v>423</v>
      </c>
      <c r="D457" s="2" t="s">
        <v>2</v>
      </c>
      <c r="E457" s="2">
        <v>34</v>
      </c>
      <c r="F457" s="2">
        <v>6</v>
      </c>
      <c r="G457" s="2">
        <v>5</v>
      </c>
      <c r="H457" s="2">
        <v>42178400</v>
      </c>
      <c r="I457" s="2">
        <v>243</v>
      </c>
      <c r="J457" s="2" t="s">
        <v>1650</v>
      </c>
      <c r="K457" s="2">
        <v>72</v>
      </c>
      <c r="L457" s="2">
        <v>15</v>
      </c>
      <c r="M457" s="2">
        <v>10</v>
      </c>
      <c r="N457" s="2">
        <v>10</v>
      </c>
      <c r="O457" s="2">
        <v>25</v>
      </c>
      <c r="P457" s="2">
        <v>12</v>
      </c>
      <c r="Q457" s="2" t="s">
        <v>1856</v>
      </c>
      <c r="R457" s="2" t="s">
        <v>1857</v>
      </c>
      <c r="S457" s="4">
        <v>44837</v>
      </c>
    </row>
    <row r="458" spans="1:19" ht="12.5" x14ac:dyDescent="0.25">
      <c r="A458" s="14" t="str">
        <f>HYPERLINK("https://gerandofalcoes.my.salesforce.com/0014P00003YSp7eQAD", "0014P00003YSp7eQAD")</f>
        <v>0014P00003YSp7eQAD</v>
      </c>
      <c r="B458" s="2" t="s">
        <v>1804</v>
      </c>
      <c r="C458" s="2" t="s">
        <v>423</v>
      </c>
      <c r="D458" s="2" t="s">
        <v>2</v>
      </c>
      <c r="E458" s="2">
        <v>45</v>
      </c>
      <c r="F458" s="2">
        <v>6</v>
      </c>
      <c r="G458" s="2">
        <v>3</v>
      </c>
      <c r="H458" s="2">
        <v>43600000</v>
      </c>
      <c r="I458" s="2">
        <v>131</v>
      </c>
      <c r="J458" s="2" t="s">
        <v>1650</v>
      </c>
      <c r="K458" s="2">
        <v>68</v>
      </c>
      <c r="L458" s="2">
        <v>15</v>
      </c>
      <c r="M458" s="2">
        <v>10</v>
      </c>
      <c r="N458" s="2">
        <v>8</v>
      </c>
      <c r="O458" s="2">
        <v>25</v>
      </c>
      <c r="P458" s="2">
        <v>10</v>
      </c>
      <c r="Q458" s="2" t="s">
        <v>1805</v>
      </c>
      <c r="R458" s="2" t="s">
        <v>1806</v>
      </c>
      <c r="S458" s="4">
        <v>44837</v>
      </c>
    </row>
    <row r="459" spans="1:19" ht="12.5" x14ac:dyDescent="0.25">
      <c r="A459" s="14" t="str">
        <f>HYPERLINK("https://gerandofalcoes.my.salesforce.com/0014X00002VKCpXQAX", "0014X00002VKCpXQAX")</f>
        <v>0014X00002VKCpXQAX</v>
      </c>
      <c r="B459" s="2" t="s">
        <v>2565</v>
      </c>
      <c r="C459" s="2" t="s">
        <v>1800</v>
      </c>
      <c r="D459" s="2" t="s">
        <v>2</v>
      </c>
      <c r="E459" s="2">
        <v>20</v>
      </c>
      <c r="F459" s="2">
        <v>6</v>
      </c>
      <c r="G459" s="2">
        <v>4</v>
      </c>
      <c r="H459" s="2">
        <v>0</v>
      </c>
      <c r="I459" s="2">
        <v>0</v>
      </c>
      <c r="J459" s="2" t="s">
        <v>1779</v>
      </c>
      <c r="K459" s="2">
        <v>30</v>
      </c>
      <c r="L459" s="2">
        <v>10</v>
      </c>
      <c r="M459" s="2">
        <v>10</v>
      </c>
      <c r="N459" s="2">
        <v>10</v>
      </c>
      <c r="O459" s="2">
        <v>0</v>
      </c>
      <c r="P459" s="2">
        <v>0</v>
      </c>
      <c r="Q459" s="2" t="s">
        <v>2566</v>
      </c>
      <c r="R459" s="2" t="s">
        <v>2567</v>
      </c>
      <c r="S459" s="4">
        <v>44837</v>
      </c>
    </row>
    <row r="460" spans="1:19" ht="12.5" x14ac:dyDescent="0.25">
      <c r="A460" s="14" t="str">
        <f>HYPERLINK("https://gerandofalcoes.my.salesforce.com/0014X00002VKCpPQAX", "0014X00002VKCpPQAX")</f>
        <v>0014X00002VKCpPQAX</v>
      </c>
      <c r="B460" s="2" t="s">
        <v>2591</v>
      </c>
      <c r="C460" s="2" t="s">
        <v>423</v>
      </c>
      <c r="D460" s="2" t="s">
        <v>2</v>
      </c>
      <c r="E460" s="2">
        <v>29</v>
      </c>
      <c r="F460" s="2">
        <v>0</v>
      </c>
      <c r="G460" s="2">
        <v>3</v>
      </c>
      <c r="H460" s="2">
        <v>75000</v>
      </c>
      <c r="I460" s="2">
        <v>0</v>
      </c>
      <c r="J460" s="2" t="s">
        <v>1779</v>
      </c>
      <c r="K460" s="2">
        <v>33</v>
      </c>
      <c r="L460" s="2">
        <v>15</v>
      </c>
      <c r="M460" s="2">
        <v>0</v>
      </c>
      <c r="N460" s="2">
        <v>8</v>
      </c>
      <c r="O460" s="2">
        <v>10</v>
      </c>
      <c r="P460" s="2">
        <v>0</v>
      </c>
      <c r="Q460" s="2" t="s">
        <v>2592</v>
      </c>
      <c r="R460" s="2" t="s">
        <v>2592</v>
      </c>
      <c r="S460" s="4">
        <v>44837</v>
      </c>
    </row>
    <row r="461" spans="1:19" ht="12.5" x14ac:dyDescent="0.25">
      <c r="A461" s="14" t="str">
        <f>HYPERLINK("https://gerandofalcoes.my.salesforce.com/0014X00002VKCvCQAX", "0014X00002VKCvCQAX")</f>
        <v>0014X00002VKCvCQAX</v>
      </c>
      <c r="B461" s="2" t="s">
        <v>2415</v>
      </c>
      <c r="C461" s="2" t="s">
        <v>1800</v>
      </c>
      <c r="D461" s="2" t="s">
        <v>2</v>
      </c>
      <c r="E461" s="2">
        <v>25</v>
      </c>
      <c r="F461" s="2">
        <v>0</v>
      </c>
      <c r="G461" s="2">
        <v>4</v>
      </c>
      <c r="H461" s="2">
        <v>25000</v>
      </c>
      <c r="I461" s="2">
        <v>0</v>
      </c>
      <c r="J461" s="2" t="s">
        <v>1779</v>
      </c>
      <c r="K461" s="2">
        <v>35</v>
      </c>
      <c r="L461" s="2">
        <v>15</v>
      </c>
      <c r="M461" s="2">
        <v>0</v>
      </c>
      <c r="N461" s="2">
        <v>10</v>
      </c>
      <c r="O461" s="2">
        <v>10</v>
      </c>
      <c r="P461" s="2">
        <v>0</v>
      </c>
      <c r="Q461" s="2" t="s">
        <v>2416</v>
      </c>
      <c r="R461" s="2" t="s">
        <v>2417</v>
      </c>
      <c r="S461" s="4">
        <v>44837</v>
      </c>
    </row>
    <row r="462" spans="1:19" ht="12.5" x14ac:dyDescent="0.25">
      <c r="A462" s="14" t="str">
        <f>HYPERLINK("https://gerandofalcoes.my.salesforce.com/0014X00002VKCsaQAH", "0014X00002VKCsaQAH")</f>
        <v>0014X00002VKCsaQAH</v>
      </c>
      <c r="B462" s="2" t="s">
        <v>7167</v>
      </c>
      <c r="C462" s="2" t="s">
        <v>423</v>
      </c>
      <c r="D462" s="2" t="s">
        <v>2</v>
      </c>
      <c r="E462" s="2">
        <v>40.25</v>
      </c>
      <c r="F462" s="2">
        <v>0</v>
      </c>
      <c r="G462" s="2">
        <v>3</v>
      </c>
      <c r="H462" s="2">
        <v>10749</v>
      </c>
      <c r="I462" s="2">
        <v>15</v>
      </c>
      <c r="J462" s="2" t="s">
        <v>1779</v>
      </c>
      <c r="K462" s="2">
        <v>33</v>
      </c>
      <c r="L462" s="2">
        <v>15</v>
      </c>
      <c r="M462" s="2">
        <v>0</v>
      </c>
      <c r="N462" s="2">
        <v>8</v>
      </c>
      <c r="O462" s="2">
        <v>5</v>
      </c>
      <c r="P462" s="2">
        <v>5</v>
      </c>
      <c r="Q462" s="2" t="s">
        <v>1962</v>
      </c>
      <c r="R462" s="2" t="s">
        <v>1962</v>
      </c>
      <c r="S462" s="4">
        <v>44837</v>
      </c>
    </row>
    <row r="463" spans="1:19" ht="12.5" x14ac:dyDescent="0.25">
      <c r="A463" s="14" t="str">
        <f>HYPERLINK("https://gerandofalcoes.my.salesforce.com/0014X00002VKCt9QAH", "0014X00002VKCt9QAH")</f>
        <v>0014X00002VKCt9QAH</v>
      </c>
      <c r="B463" s="2" t="s">
        <v>2100</v>
      </c>
      <c r="C463" s="2" t="s">
        <v>1800</v>
      </c>
      <c r="D463" s="2" t="s">
        <v>2</v>
      </c>
      <c r="E463" s="2">
        <v>35</v>
      </c>
      <c r="F463" s="2">
        <v>0</v>
      </c>
      <c r="G463" s="2">
        <v>2</v>
      </c>
      <c r="H463" s="2">
        <v>600</v>
      </c>
      <c r="I463" s="2">
        <v>150</v>
      </c>
      <c r="J463" s="2" t="s">
        <v>1779</v>
      </c>
      <c r="K463" s="2">
        <v>38</v>
      </c>
      <c r="L463" s="2">
        <v>15</v>
      </c>
      <c r="M463" s="2">
        <v>0</v>
      </c>
      <c r="N463" s="2">
        <v>6</v>
      </c>
      <c r="O463" s="2">
        <v>5</v>
      </c>
      <c r="P463" s="2">
        <v>12</v>
      </c>
      <c r="Q463" s="2" t="s">
        <v>2101</v>
      </c>
      <c r="R463" s="2" t="s">
        <v>2102</v>
      </c>
      <c r="S463" s="4">
        <v>44837</v>
      </c>
    </row>
    <row r="464" spans="1:19" ht="12.5" x14ac:dyDescent="0.25">
      <c r="A464" s="14" t="str">
        <f>HYPERLINK("https://gerandofalcoes.my.salesforce.com/0014X00002VKCtvQAH", "0014X00002VKCtvQAH")</f>
        <v>0014X00002VKCtvQAH</v>
      </c>
      <c r="B464" s="2" t="s">
        <v>1959</v>
      </c>
      <c r="C464" s="2" t="s">
        <v>423</v>
      </c>
      <c r="D464" s="2" t="s">
        <v>2</v>
      </c>
      <c r="E464" s="2">
        <v>54</v>
      </c>
      <c r="F464" s="2">
        <v>0</v>
      </c>
      <c r="G464" s="2">
        <v>3</v>
      </c>
      <c r="H464" s="2">
        <v>100000</v>
      </c>
      <c r="I464" s="2">
        <v>120</v>
      </c>
      <c r="J464" s="2" t="s">
        <v>1671</v>
      </c>
      <c r="K464" s="2">
        <v>53</v>
      </c>
      <c r="L464" s="2">
        <v>20</v>
      </c>
      <c r="M464" s="2">
        <v>0</v>
      </c>
      <c r="N464" s="2">
        <v>8</v>
      </c>
      <c r="O464" s="2">
        <v>15</v>
      </c>
      <c r="P464" s="2">
        <v>10</v>
      </c>
      <c r="Q464" s="2" t="s">
        <v>7153</v>
      </c>
      <c r="R464" s="2" t="s">
        <v>1960</v>
      </c>
      <c r="S464" s="4">
        <v>44837</v>
      </c>
    </row>
    <row r="465" spans="1:19" ht="12.5" x14ac:dyDescent="0.25">
      <c r="A465" s="14" t="str">
        <f>HYPERLINK("https://gerandofalcoes.my.salesforce.com/0014X00002VKCpMQAX", "0014X00002VKCpMQAX")</f>
        <v>0014X00002VKCpMQAX</v>
      </c>
      <c r="B465" s="2" t="s">
        <v>2660</v>
      </c>
      <c r="C465" s="2" t="s">
        <v>1800</v>
      </c>
      <c r="D465" s="2" t="s">
        <v>2</v>
      </c>
      <c r="E465" s="2">
        <v>17</v>
      </c>
      <c r="F465" s="2">
        <v>0</v>
      </c>
      <c r="G465" s="2">
        <v>2</v>
      </c>
      <c r="H465" s="2">
        <v>6000</v>
      </c>
      <c r="I465" s="2">
        <v>90</v>
      </c>
      <c r="J465" s="2" t="s">
        <v>1779</v>
      </c>
      <c r="K465" s="2">
        <v>31</v>
      </c>
      <c r="L465" s="2">
        <v>10</v>
      </c>
      <c r="M465" s="2">
        <v>0</v>
      </c>
      <c r="N465" s="2">
        <v>6</v>
      </c>
      <c r="O465" s="2">
        <v>5</v>
      </c>
      <c r="P465" s="2">
        <v>10</v>
      </c>
      <c r="Q465" s="2" t="s">
        <v>2661</v>
      </c>
      <c r="R465" s="2" t="s">
        <v>2661</v>
      </c>
      <c r="S465" s="4">
        <v>44837</v>
      </c>
    </row>
    <row r="466" spans="1:19" ht="12.5" x14ac:dyDescent="0.25">
      <c r="A466" s="14" t="str">
        <f>HYPERLINK("https://gerandofalcoes.my.salesforce.com/0014X00002VKCtJQAX", "0014X00002VKCtJQAX")</f>
        <v>0014X00002VKCtJQAX</v>
      </c>
      <c r="B466" s="2" t="s">
        <v>2672</v>
      </c>
      <c r="C466" s="2" t="s">
        <v>423</v>
      </c>
      <c r="D466" s="2" t="s">
        <v>2</v>
      </c>
      <c r="E466" s="2">
        <v>17</v>
      </c>
      <c r="F466" s="2">
        <v>0</v>
      </c>
      <c r="G466" s="2">
        <v>3</v>
      </c>
      <c r="H466" s="2">
        <v>0</v>
      </c>
      <c r="I466" s="2">
        <v>0</v>
      </c>
      <c r="J466" s="2" t="s">
        <v>1779</v>
      </c>
      <c r="K466" s="2">
        <v>18</v>
      </c>
      <c r="L466" s="2">
        <v>10</v>
      </c>
      <c r="M466" s="2">
        <v>0</v>
      </c>
      <c r="N466" s="2">
        <v>8</v>
      </c>
      <c r="O466" s="2">
        <v>0</v>
      </c>
      <c r="P466" s="2">
        <v>0</v>
      </c>
      <c r="Q466" s="2" t="s">
        <v>2673</v>
      </c>
      <c r="R466" s="2" t="s">
        <v>2674</v>
      </c>
      <c r="S466" s="4">
        <v>44837</v>
      </c>
    </row>
    <row r="467" spans="1:19" ht="12.5" x14ac:dyDescent="0.25">
      <c r="A467" s="14" t="str">
        <f>HYPERLINK("https://gerandofalcoes.my.salesforce.com/0014X00002VKCttQAH", "0014X00002VKCttQAH")</f>
        <v>0014X00002VKCttQAH</v>
      </c>
      <c r="B467" s="2" t="s">
        <v>1966</v>
      </c>
      <c r="C467" s="2" t="s">
        <v>1800</v>
      </c>
      <c r="D467" s="2" t="s">
        <v>2</v>
      </c>
      <c r="E467" s="2">
        <v>40</v>
      </c>
      <c r="F467" s="2">
        <v>5</v>
      </c>
      <c r="G467" s="2">
        <v>3</v>
      </c>
      <c r="H467" s="2">
        <v>20</v>
      </c>
      <c r="I467" s="2">
        <v>30</v>
      </c>
      <c r="J467" s="2" t="s">
        <v>1779</v>
      </c>
      <c r="K467" s="2">
        <v>38</v>
      </c>
      <c r="L467" s="2">
        <v>15</v>
      </c>
      <c r="M467" s="2">
        <v>5</v>
      </c>
      <c r="N467" s="2">
        <v>8</v>
      </c>
      <c r="O467" s="2">
        <v>5</v>
      </c>
      <c r="P467" s="2">
        <v>5</v>
      </c>
      <c r="Q467" s="2" t="s">
        <v>1967</v>
      </c>
      <c r="R467" s="2" t="s">
        <v>1968</v>
      </c>
      <c r="S467" s="4">
        <v>44837</v>
      </c>
    </row>
    <row r="468" spans="1:19" ht="12.5" x14ac:dyDescent="0.25">
      <c r="A468" s="14" t="str">
        <f>HYPERLINK("https://gerandofalcoes.my.salesforce.com/0014X00002VKCsQQAX", "0014X00002VKCsQQAX")</f>
        <v>0014X00002VKCsQQAX</v>
      </c>
      <c r="B468" s="2" t="s">
        <v>2780</v>
      </c>
      <c r="C468" s="2" t="s">
        <v>1800</v>
      </c>
      <c r="D468" s="2" t="s">
        <v>2</v>
      </c>
      <c r="E468" s="2">
        <v>13</v>
      </c>
      <c r="F468" s="2">
        <v>0</v>
      </c>
      <c r="G468" s="2">
        <v>2</v>
      </c>
      <c r="H468" s="2">
        <v>0</v>
      </c>
      <c r="I468" s="2">
        <v>585</v>
      </c>
      <c r="J468" s="2" t="s">
        <v>1779</v>
      </c>
      <c r="K468" s="2">
        <v>36</v>
      </c>
      <c r="L468" s="2">
        <v>10</v>
      </c>
      <c r="M468" s="2">
        <v>0</v>
      </c>
      <c r="N468" s="2">
        <v>6</v>
      </c>
      <c r="O468" s="2">
        <v>0</v>
      </c>
      <c r="P468" s="2">
        <v>20</v>
      </c>
      <c r="Q468" s="2" t="s">
        <v>2781</v>
      </c>
      <c r="R468" s="2" t="s">
        <v>2782</v>
      </c>
      <c r="S468" s="4">
        <v>44837</v>
      </c>
    </row>
    <row r="469" spans="1:19" ht="12.5" x14ac:dyDescent="0.25">
      <c r="A469" s="14" t="str">
        <f>HYPERLINK("https://gerandofalcoes.my.salesforce.com/0014P00003YSp7iQAD", "0014P00003YSp7iQAD")</f>
        <v>0014P00003YSp7iQAD</v>
      </c>
      <c r="B469" s="2" t="s">
        <v>2680</v>
      </c>
      <c r="C469" s="2" t="s">
        <v>423</v>
      </c>
      <c r="D469" s="2" t="s">
        <v>2</v>
      </c>
      <c r="E469" s="2">
        <v>35</v>
      </c>
      <c r="F469" s="2">
        <v>0</v>
      </c>
      <c r="G469" s="2">
        <v>1</v>
      </c>
      <c r="H469" s="2">
        <v>2000</v>
      </c>
      <c r="I469" s="2">
        <v>300</v>
      </c>
      <c r="J469" s="2" t="s">
        <v>1779</v>
      </c>
      <c r="K469" s="2">
        <v>39</v>
      </c>
      <c r="L469" s="2">
        <v>15</v>
      </c>
      <c r="M469" s="2">
        <v>0</v>
      </c>
      <c r="N469" s="2">
        <v>4</v>
      </c>
      <c r="O469" s="2">
        <v>5</v>
      </c>
      <c r="P469" s="2">
        <v>15</v>
      </c>
      <c r="Q469" s="2" t="s">
        <v>2681</v>
      </c>
      <c r="R469" s="2" t="s">
        <v>2682</v>
      </c>
      <c r="S469" s="4">
        <v>44837</v>
      </c>
    </row>
    <row r="470" spans="1:19" ht="12.5" x14ac:dyDescent="0.25">
      <c r="A470" s="14" t="str">
        <f>HYPERLINK("https://gerandofalcoes.my.salesforce.com/0014P00003SGWPiQAP", "0014P00003SGWPiQAP")</f>
        <v>0014P00003SGWPiQAP</v>
      </c>
      <c r="B470" s="2" t="s">
        <v>300</v>
      </c>
      <c r="C470" s="2" t="s">
        <v>423</v>
      </c>
      <c r="D470" s="2" t="s">
        <v>27</v>
      </c>
      <c r="E470" s="2">
        <v>96</v>
      </c>
      <c r="F470" s="2">
        <v>8</v>
      </c>
      <c r="G470" s="2">
        <v>4</v>
      </c>
      <c r="H470" s="2">
        <v>587278.81999999995</v>
      </c>
      <c r="I470" s="2">
        <v>115</v>
      </c>
      <c r="J470" s="2" t="s">
        <v>1654</v>
      </c>
      <c r="K470" s="2">
        <v>80</v>
      </c>
      <c r="L470" s="2">
        <v>30</v>
      </c>
      <c r="M470" s="2">
        <v>10</v>
      </c>
      <c r="N470" s="2">
        <v>10</v>
      </c>
      <c r="O470" s="2">
        <v>20</v>
      </c>
      <c r="P470" s="2">
        <v>10</v>
      </c>
      <c r="Q470" s="2" t="s">
        <v>301</v>
      </c>
      <c r="R470" s="2" t="s">
        <v>1657</v>
      </c>
      <c r="S470" s="4">
        <v>44837</v>
      </c>
    </row>
    <row r="471" spans="1:19" ht="12.5" x14ac:dyDescent="0.25">
      <c r="A471" s="14" t="str">
        <f>HYPERLINK("https://gerandofalcoes.my.salesforce.com/0014P00003SGWPjQAP", "0014P00003SGWPjQAP")</f>
        <v>0014P00003SGWPjQAP</v>
      </c>
      <c r="B471" s="2" t="s">
        <v>2986</v>
      </c>
      <c r="C471" s="2" t="s">
        <v>423</v>
      </c>
      <c r="D471" s="2" t="s">
        <v>2</v>
      </c>
      <c r="E471" s="2"/>
      <c r="F471" s="2">
        <v>0</v>
      </c>
      <c r="G471" s="2">
        <v>0</v>
      </c>
      <c r="H471" s="2">
        <v>0</v>
      </c>
      <c r="I471" s="2">
        <v>250</v>
      </c>
      <c r="J471" s="2" t="s">
        <v>1779</v>
      </c>
      <c r="K471" s="2">
        <v>12</v>
      </c>
      <c r="L471" s="2">
        <v>0</v>
      </c>
      <c r="M471" s="2">
        <v>0</v>
      </c>
      <c r="N471" s="2">
        <v>0</v>
      </c>
      <c r="O471" s="2">
        <v>0</v>
      </c>
      <c r="P471" s="2">
        <v>12</v>
      </c>
      <c r="Q471" s="2" t="s">
        <v>303</v>
      </c>
      <c r="R471" s="2" t="s">
        <v>2987</v>
      </c>
      <c r="S471" s="4">
        <v>44837</v>
      </c>
    </row>
    <row r="472" spans="1:19" ht="12.5" x14ac:dyDescent="0.25">
      <c r="A472" s="14" t="str">
        <f>HYPERLINK("https://gerandofalcoes.my.salesforce.com/0014P00003SGWPkQAP", "0014P00003SGWPkQAP")</f>
        <v>0014P00003SGWPkQAP</v>
      </c>
      <c r="B472" s="2" t="s">
        <v>306</v>
      </c>
      <c r="C472" s="2" t="s">
        <v>423</v>
      </c>
      <c r="D472" s="2" t="s">
        <v>2</v>
      </c>
      <c r="E472" s="2">
        <v>49</v>
      </c>
      <c r="F472" s="2">
        <v>7</v>
      </c>
      <c r="G472" s="2">
        <v>3</v>
      </c>
      <c r="H472" s="2">
        <v>264000</v>
      </c>
      <c r="I472" s="2">
        <v>240</v>
      </c>
      <c r="J472" s="2" t="s">
        <v>1671</v>
      </c>
      <c r="K472" s="2">
        <v>45</v>
      </c>
      <c r="L472" s="2">
        <v>0</v>
      </c>
      <c r="M472" s="2">
        <v>10</v>
      </c>
      <c r="N472" s="2">
        <v>8</v>
      </c>
      <c r="O472" s="2">
        <v>15</v>
      </c>
      <c r="P472" s="2">
        <v>12</v>
      </c>
      <c r="Q472" s="2" t="s">
        <v>307</v>
      </c>
      <c r="R472" s="2" t="s">
        <v>1867</v>
      </c>
      <c r="S472" s="4">
        <v>44837</v>
      </c>
    </row>
    <row r="473" spans="1:19" ht="12.5" x14ac:dyDescent="0.25">
      <c r="A473" s="14" t="str">
        <f>HYPERLINK("https://gerandofalcoes.my.salesforce.com/0014P00003YSp7vQAD", "0014P00003YSp7vQAD")</f>
        <v>0014P00003YSp7vQAD</v>
      </c>
      <c r="B473" s="2" t="s">
        <v>2492</v>
      </c>
      <c r="C473" s="2" t="s">
        <v>423</v>
      </c>
      <c r="D473" s="2" t="s">
        <v>2</v>
      </c>
      <c r="E473" s="2">
        <v>20</v>
      </c>
      <c r="F473" s="2">
        <v>2</v>
      </c>
      <c r="G473" s="2">
        <v>1</v>
      </c>
      <c r="H473" s="2">
        <v>42000</v>
      </c>
      <c r="I473" s="2">
        <v>71</v>
      </c>
      <c r="J473" s="2" t="s">
        <v>1779</v>
      </c>
      <c r="K473" s="2">
        <v>34</v>
      </c>
      <c r="L473" s="2">
        <v>10</v>
      </c>
      <c r="M473" s="2">
        <v>5</v>
      </c>
      <c r="N473" s="2">
        <v>4</v>
      </c>
      <c r="O473" s="2">
        <v>10</v>
      </c>
      <c r="P473" s="2">
        <v>5</v>
      </c>
      <c r="Q473" s="2" t="s">
        <v>2493</v>
      </c>
      <c r="R473" s="2" t="s">
        <v>2493</v>
      </c>
      <c r="S473" s="4">
        <v>44837</v>
      </c>
    </row>
    <row r="474" spans="1:19" ht="12.5" x14ac:dyDescent="0.25">
      <c r="A474" s="14" t="str">
        <f>HYPERLINK("https://gerandofalcoes.my.salesforce.com/0014P00003YSp7xQAD", "0014P00003YSp7xQAD")</f>
        <v>0014P00003YSp7xQAD</v>
      </c>
      <c r="B474" s="2" t="s">
        <v>2801</v>
      </c>
      <c r="C474" s="2" t="s">
        <v>1800</v>
      </c>
      <c r="D474" s="2" t="s">
        <v>2</v>
      </c>
      <c r="E474" s="2">
        <v>13</v>
      </c>
      <c r="F474" s="2">
        <v>7</v>
      </c>
      <c r="G474" s="2">
        <v>3</v>
      </c>
      <c r="H474" s="2">
        <v>1000</v>
      </c>
      <c r="I474" s="2">
        <v>30</v>
      </c>
      <c r="J474" s="2" t="s">
        <v>1779</v>
      </c>
      <c r="K474" s="2">
        <v>38</v>
      </c>
      <c r="L474" s="2">
        <v>10</v>
      </c>
      <c r="M474" s="2">
        <v>10</v>
      </c>
      <c r="N474" s="2">
        <v>8</v>
      </c>
      <c r="O474" s="2">
        <v>5</v>
      </c>
      <c r="P474" s="2">
        <v>5</v>
      </c>
      <c r="Q474" s="2" t="s">
        <v>2802</v>
      </c>
      <c r="R474" s="2" t="s">
        <v>2803</v>
      </c>
      <c r="S474" s="4">
        <v>44837</v>
      </c>
    </row>
    <row r="475" spans="1:19" ht="12.5" x14ac:dyDescent="0.25">
      <c r="A475" s="14" t="str">
        <f>HYPERLINK("https://gerandofalcoes.my.salesforce.com/0014P00003YSp7fQAD", "0014P00003YSp7fQAD")</f>
        <v>0014P00003YSp7fQAD</v>
      </c>
      <c r="B475" s="2" t="s">
        <v>2465</v>
      </c>
      <c r="C475" s="2" t="s">
        <v>423</v>
      </c>
      <c r="D475" s="2" t="s">
        <v>2</v>
      </c>
      <c r="E475" s="2">
        <v>23</v>
      </c>
      <c r="F475" s="2">
        <v>0</v>
      </c>
      <c r="G475" s="2">
        <v>2</v>
      </c>
      <c r="H475" s="2">
        <v>5000</v>
      </c>
      <c r="I475" s="2">
        <v>50</v>
      </c>
      <c r="J475" s="2" t="s">
        <v>1779</v>
      </c>
      <c r="K475" s="2">
        <v>26</v>
      </c>
      <c r="L475" s="2">
        <v>10</v>
      </c>
      <c r="M475" s="2">
        <v>0</v>
      </c>
      <c r="N475" s="2">
        <v>6</v>
      </c>
      <c r="O475" s="2">
        <v>5</v>
      </c>
      <c r="P475" s="2">
        <v>5</v>
      </c>
      <c r="Q475" s="2" t="s">
        <v>6552</v>
      </c>
      <c r="R475" s="2" t="s">
        <v>6552</v>
      </c>
      <c r="S475" s="4">
        <v>44837</v>
      </c>
    </row>
    <row r="476" spans="1:19" ht="12.5" x14ac:dyDescent="0.25">
      <c r="A476" s="14" t="str">
        <f>HYPERLINK("https://gerandofalcoes.my.salesforce.com/0014P00003YSp7hQAD", "0014P00003YSp7hQAD")</f>
        <v>0014P00003YSp7hQAD</v>
      </c>
      <c r="B476" s="2" t="s">
        <v>2713</v>
      </c>
      <c r="C476" s="2" t="s">
        <v>423</v>
      </c>
      <c r="D476" s="2" t="s">
        <v>2</v>
      </c>
      <c r="E476" s="2">
        <v>15</v>
      </c>
      <c r="F476" s="2">
        <v>4</v>
      </c>
      <c r="G476" s="2">
        <v>3</v>
      </c>
      <c r="H476" s="2">
        <v>89000</v>
      </c>
      <c r="I476" s="2">
        <v>820</v>
      </c>
      <c r="J476" s="2" t="s">
        <v>1671</v>
      </c>
      <c r="K476" s="2">
        <v>53</v>
      </c>
      <c r="L476" s="2">
        <v>10</v>
      </c>
      <c r="M476" s="2">
        <v>5</v>
      </c>
      <c r="N476" s="2">
        <v>8</v>
      </c>
      <c r="O476" s="2">
        <v>10</v>
      </c>
      <c r="P476" s="2">
        <v>20</v>
      </c>
      <c r="Q476" s="2" t="s">
        <v>2714</v>
      </c>
      <c r="R476" s="2" t="s">
        <v>2714</v>
      </c>
      <c r="S476" s="4">
        <v>44837</v>
      </c>
    </row>
    <row r="477" spans="1:19" ht="12.5" x14ac:dyDescent="0.25">
      <c r="A477" s="14" t="str">
        <f>HYPERLINK("https://gerandofalcoes.my.salesforce.com/0014P00003YSp7kQAD", "0014P00003YSp7kQAD")</f>
        <v>0014P00003YSp7kQAD</v>
      </c>
      <c r="B477" s="2" t="s">
        <v>2225</v>
      </c>
      <c r="C477" s="2" t="s">
        <v>1800</v>
      </c>
      <c r="D477" s="2" t="s">
        <v>2</v>
      </c>
      <c r="E477" s="2">
        <v>32</v>
      </c>
      <c r="F477" s="2">
        <v>0</v>
      </c>
      <c r="G477" s="2">
        <v>2</v>
      </c>
      <c r="H477" s="2">
        <v>0</v>
      </c>
      <c r="I477" s="2">
        <v>17</v>
      </c>
      <c r="J477" s="2" t="s">
        <v>1779</v>
      </c>
      <c r="K477" s="2">
        <v>26</v>
      </c>
      <c r="L477" s="2">
        <v>15</v>
      </c>
      <c r="M477" s="2">
        <v>0</v>
      </c>
      <c r="N477" s="2">
        <v>6</v>
      </c>
      <c r="O477" s="2">
        <v>0</v>
      </c>
      <c r="P477" s="2">
        <v>5</v>
      </c>
      <c r="Q477" s="2" t="s">
        <v>2226</v>
      </c>
      <c r="R477" s="2" t="s">
        <v>2227</v>
      </c>
      <c r="S477" s="4">
        <v>44837</v>
      </c>
    </row>
    <row r="478" spans="1:19" ht="12.5" x14ac:dyDescent="0.25">
      <c r="A478" s="14" t="str">
        <f>HYPERLINK("https://gerandofalcoes.my.salesforce.com/0014P00003YSp7lQAD", "0014P00003YSp7lQAD")</f>
        <v>0014P00003YSp7lQAD</v>
      </c>
      <c r="B478" s="2" t="s">
        <v>2057</v>
      </c>
      <c r="C478" s="2" t="s">
        <v>423</v>
      </c>
      <c r="D478" s="2" t="s">
        <v>2</v>
      </c>
      <c r="E478" s="2">
        <v>37</v>
      </c>
      <c r="F478" s="2">
        <v>0</v>
      </c>
      <c r="G478" s="2">
        <v>2</v>
      </c>
      <c r="H478" s="2">
        <v>50000</v>
      </c>
      <c r="I478" s="2">
        <v>0</v>
      </c>
      <c r="J478" s="2" t="s">
        <v>1779</v>
      </c>
      <c r="K478" s="2">
        <v>31</v>
      </c>
      <c r="L478" s="2">
        <v>15</v>
      </c>
      <c r="M478" s="2">
        <v>0</v>
      </c>
      <c r="N478" s="2">
        <v>6</v>
      </c>
      <c r="O478" s="2">
        <v>10</v>
      </c>
      <c r="P478" s="2">
        <v>0</v>
      </c>
      <c r="Q478" s="2" t="s">
        <v>2058</v>
      </c>
      <c r="R478" s="2" t="s">
        <v>2059</v>
      </c>
      <c r="S478" s="4">
        <v>44837</v>
      </c>
    </row>
    <row r="479" spans="1:19" ht="12.5" x14ac:dyDescent="0.25">
      <c r="A479" s="14" t="str">
        <f>HYPERLINK("https://gerandofalcoes.my.salesforce.com/0014P00003YSp7mQAD", "0014P00003YSp7mQAD")</f>
        <v>0014P00003YSp7mQAD</v>
      </c>
      <c r="B479" s="2" t="s">
        <v>2109</v>
      </c>
      <c r="C479" s="2" t="s">
        <v>1800</v>
      </c>
      <c r="D479" s="2" t="s">
        <v>2</v>
      </c>
      <c r="E479" s="2">
        <v>35</v>
      </c>
      <c r="F479" s="2">
        <v>5</v>
      </c>
      <c r="G479" s="2">
        <v>4</v>
      </c>
      <c r="H479" s="2">
        <v>0</v>
      </c>
      <c r="I479" s="2">
        <v>53</v>
      </c>
      <c r="J479" s="2" t="s">
        <v>1779</v>
      </c>
      <c r="K479" s="2">
        <v>35</v>
      </c>
      <c r="L479" s="2">
        <v>15</v>
      </c>
      <c r="M479" s="2">
        <v>5</v>
      </c>
      <c r="N479" s="2">
        <v>10</v>
      </c>
      <c r="O479" s="2">
        <v>0</v>
      </c>
      <c r="P479" s="2">
        <v>5</v>
      </c>
      <c r="Q479" s="2" t="s">
        <v>2110</v>
      </c>
      <c r="R479" s="2" t="s">
        <v>2111</v>
      </c>
      <c r="S479" s="4">
        <v>44837</v>
      </c>
    </row>
    <row r="480" spans="1:19" ht="12.5" x14ac:dyDescent="0.25">
      <c r="A480" s="14" t="str">
        <f>HYPERLINK("https://gerandofalcoes.my.salesforce.com/0014P00003YSp7nQAD", "0014P00003YSp7nQAD")</f>
        <v>0014P00003YSp7nQAD</v>
      </c>
      <c r="B480" s="2" t="s">
        <v>2401</v>
      </c>
      <c r="C480" s="2" t="s">
        <v>1800</v>
      </c>
      <c r="D480" s="2" t="s">
        <v>2</v>
      </c>
      <c r="E480" s="2">
        <v>25</v>
      </c>
      <c r="F480" s="2">
        <v>7</v>
      </c>
      <c r="G480" s="2">
        <v>6</v>
      </c>
      <c r="H480" s="2">
        <v>200000</v>
      </c>
      <c r="I480" s="2">
        <v>350</v>
      </c>
      <c r="J480" s="2" t="s">
        <v>1650</v>
      </c>
      <c r="K480" s="2">
        <v>65</v>
      </c>
      <c r="L480" s="2">
        <v>15</v>
      </c>
      <c r="M480" s="2">
        <v>10</v>
      </c>
      <c r="N480" s="2">
        <v>10</v>
      </c>
      <c r="O480" s="2">
        <v>15</v>
      </c>
      <c r="P480" s="2">
        <v>15</v>
      </c>
      <c r="Q480" s="2" t="s">
        <v>2402</v>
      </c>
      <c r="R480" s="2" t="s">
        <v>2403</v>
      </c>
      <c r="S480" s="4">
        <v>44837</v>
      </c>
    </row>
    <row r="481" spans="1:19" ht="12.5" x14ac:dyDescent="0.25">
      <c r="A481" s="14" t="str">
        <f>HYPERLINK("https://gerandofalcoes.my.salesforce.com/0014P00003YSp7oQAD", "0014P00003YSp7oQAD")</f>
        <v>0014P00003YSp7oQAD</v>
      </c>
      <c r="B481" s="2" t="s">
        <v>2746</v>
      </c>
      <c r="C481" s="2" t="s">
        <v>1800</v>
      </c>
      <c r="D481" s="2" t="s">
        <v>2</v>
      </c>
      <c r="E481" s="2">
        <v>14</v>
      </c>
      <c r="F481" s="2">
        <v>30</v>
      </c>
      <c r="G481" s="2">
        <v>2</v>
      </c>
      <c r="H481" s="2">
        <v>10000</v>
      </c>
      <c r="I481" s="2">
        <v>350</v>
      </c>
      <c r="J481" s="2" t="s">
        <v>1671</v>
      </c>
      <c r="K481" s="2">
        <v>48</v>
      </c>
      <c r="L481" s="2">
        <v>10</v>
      </c>
      <c r="M481" s="2">
        <v>12</v>
      </c>
      <c r="N481" s="2">
        <v>6</v>
      </c>
      <c r="O481" s="2">
        <v>5</v>
      </c>
      <c r="P481" s="2">
        <v>15</v>
      </c>
      <c r="Q481" s="2" t="s">
        <v>2747</v>
      </c>
      <c r="R481" s="2" t="s">
        <v>2748</v>
      </c>
      <c r="S481" s="4">
        <v>44837</v>
      </c>
    </row>
    <row r="482" spans="1:19" ht="12.5" x14ac:dyDescent="0.25">
      <c r="A482" s="14" t="str">
        <f>HYPERLINK("https://gerandofalcoes.my.salesforce.com/0014P00003YSp7pQAD", "0014P00003YSp7pQAD")</f>
        <v>0014P00003YSp7pQAD</v>
      </c>
      <c r="B482" s="2" t="s">
        <v>2596</v>
      </c>
      <c r="C482" s="2" t="s">
        <v>1800</v>
      </c>
      <c r="D482" s="2" t="s">
        <v>2</v>
      </c>
      <c r="E482" s="2">
        <v>19</v>
      </c>
      <c r="F482" s="2">
        <v>0</v>
      </c>
      <c r="G482" s="2">
        <v>3</v>
      </c>
      <c r="H482" s="2">
        <v>150000</v>
      </c>
      <c r="I482" s="2">
        <v>190</v>
      </c>
      <c r="J482" s="2" t="s">
        <v>1671</v>
      </c>
      <c r="K482" s="2">
        <v>45</v>
      </c>
      <c r="L482" s="2">
        <v>10</v>
      </c>
      <c r="M482" s="2">
        <v>0</v>
      </c>
      <c r="N482" s="2">
        <v>8</v>
      </c>
      <c r="O482" s="2">
        <v>15</v>
      </c>
      <c r="P482" s="2">
        <v>12</v>
      </c>
      <c r="Q482" s="2" t="s">
        <v>2597</v>
      </c>
      <c r="R482" s="2" t="s">
        <v>2598</v>
      </c>
      <c r="S482" s="4">
        <v>44837</v>
      </c>
    </row>
    <row r="483" spans="1:19" ht="12.5" x14ac:dyDescent="0.25">
      <c r="A483" s="14" t="str">
        <f>HYPERLINK("https://gerandofalcoes.my.salesforce.com/0014P00003YSp7qQAD", "0014P00003YSp7qQAD")</f>
        <v>0014P00003YSp7qQAD</v>
      </c>
      <c r="B483" s="2" t="s">
        <v>2438</v>
      </c>
      <c r="C483" s="2" t="s">
        <v>423</v>
      </c>
      <c r="D483" s="2" t="s">
        <v>2</v>
      </c>
      <c r="E483" s="2">
        <v>24</v>
      </c>
      <c r="F483" s="2">
        <v>5</v>
      </c>
      <c r="G483" s="2">
        <v>2</v>
      </c>
      <c r="H483" s="2">
        <v>7000</v>
      </c>
      <c r="I483" s="2">
        <v>1250</v>
      </c>
      <c r="J483" s="2" t="s">
        <v>1671</v>
      </c>
      <c r="K483" s="2">
        <v>46</v>
      </c>
      <c r="L483" s="2">
        <v>10</v>
      </c>
      <c r="M483" s="2">
        <v>5</v>
      </c>
      <c r="N483" s="2">
        <v>6</v>
      </c>
      <c r="O483" s="2">
        <v>5</v>
      </c>
      <c r="P483" s="2">
        <v>20</v>
      </c>
      <c r="Q483" s="2" t="s">
        <v>2439</v>
      </c>
      <c r="R483" s="2" t="s">
        <v>2440</v>
      </c>
      <c r="S483" s="4">
        <v>44837</v>
      </c>
    </row>
    <row r="484" spans="1:19" ht="12.5" x14ac:dyDescent="0.25">
      <c r="A484" s="14" t="str">
        <f>HYPERLINK("https://gerandofalcoes.my.salesforce.com/0014P00003YSp7rQAD", "0014P00003YSp7rQAD")</f>
        <v>0014P00003YSp7rQAD</v>
      </c>
      <c r="B484" s="2" t="s">
        <v>2509</v>
      </c>
      <c r="C484" s="2" t="s">
        <v>1800</v>
      </c>
      <c r="D484" s="2" t="s">
        <v>2</v>
      </c>
      <c r="E484" s="2">
        <v>21</v>
      </c>
      <c r="F484" s="2">
        <v>1</v>
      </c>
      <c r="G484" s="2">
        <v>2</v>
      </c>
      <c r="H484" s="2">
        <v>11000</v>
      </c>
      <c r="I484" s="2">
        <v>320</v>
      </c>
      <c r="J484" s="2" t="s">
        <v>1671</v>
      </c>
      <c r="K484" s="2">
        <v>41</v>
      </c>
      <c r="L484" s="2">
        <v>10</v>
      </c>
      <c r="M484" s="2">
        <v>5</v>
      </c>
      <c r="N484" s="2">
        <v>6</v>
      </c>
      <c r="O484" s="2">
        <v>5</v>
      </c>
      <c r="P484" s="2">
        <v>15</v>
      </c>
      <c r="Q484" s="2" t="s">
        <v>2510</v>
      </c>
      <c r="R484" s="2" t="s">
        <v>2510</v>
      </c>
      <c r="S484" s="4">
        <v>44837</v>
      </c>
    </row>
    <row r="485" spans="1:19" ht="12.5" x14ac:dyDescent="0.25">
      <c r="A485" s="14" t="str">
        <f>HYPERLINK("https://gerandofalcoes.my.salesforce.com/0014P00003YSp7sQAD", "0014P00003YSp7sQAD")</f>
        <v>0014P00003YSp7sQAD</v>
      </c>
      <c r="B485" s="2" t="s">
        <v>1674</v>
      </c>
      <c r="C485" s="2" t="s">
        <v>423</v>
      </c>
      <c r="D485" s="2" t="s">
        <v>27</v>
      </c>
      <c r="E485" s="2">
        <v>88.17</v>
      </c>
      <c r="F485" s="2">
        <v>12</v>
      </c>
      <c r="G485" s="2">
        <v>3</v>
      </c>
      <c r="H485" s="2">
        <v>60000</v>
      </c>
      <c r="I485" s="2">
        <v>300</v>
      </c>
      <c r="J485" s="2" t="s">
        <v>1650</v>
      </c>
      <c r="K485" s="2">
        <v>70</v>
      </c>
      <c r="L485" s="2">
        <v>25</v>
      </c>
      <c r="M485" s="2">
        <v>12</v>
      </c>
      <c r="N485" s="2">
        <v>8</v>
      </c>
      <c r="O485" s="2">
        <v>10</v>
      </c>
      <c r="P485" s="2">
        <v>15</v>
      </c>
      <c r="Q485" s="2" t="s">
        <v>1675</v>
      </c>
      <c r="R485" s="2" t="s">
        <v>1675</v>
      </c>
      <c r="S485" s="4">
        <v>44837</v>
      </c>
    </row>
    <row r="486" spans="1:19" ht="12.5" x14ac:dyDescent="0.25">
      <c r="A486" s="14" t="str">
        <f>HYPERLINK("https://gerandofalcoes.my.salesforce.com/0014P00003YSp7tQAD", "0014P00003YSp7tQAD")</f>
        <v>0014P00003YSp7tQAD</v>
      </c>
      <c r="B486" s="2" t="s">
        <v>2418</v>
      </c>
      <c r="C486" s="2" t="s">
        <v>1800</v>
      </c>
      <c r="D486" s="2" t="s">
        <v>2</v>
      </c>
      <c r="E486" s="2">
        <v>25</v>
      </c>
      <c r="F486" s="2">
        <v>8</v>
      </c>
      <c r="G486" s="2">
        <v>2</v>
      </c>
      <c r="H486" s="2">
        <v>0</v>
      </c>
      <c r="I486" s="2">
        <v>0</v>
      </c>
      <c r="J486" s="2" t="s">
        <v>1779</v>
      </c>
      <c r="K486" s="2">
        <v>31</v>
      </c>
      <c r="L486" s="2">
        <v>15</v>
      </c>
      <c r="M486" s="2">
        <v>10</v>
      </c>
      <c r="N486" s="2">
        <v>6</v>
      </c>
      <c r="O486" s="2">
        <v>0</v>
      </c>
      <c r="P486" s="2">
        <v>0</v>
      </c>
      <c r="Q486" s="2" t="s">
        <v>2419</v>
      </c>
      <c r="R486" s="2" t="s">
        <v>2419</v>
      </c>
      <c r="S486" s="4">
        <v>44837</v>
      </c>
    </row>
    <row r="487" spans="1:19" ht="12.5" x14ac:dyDescent="0.25">
      <c r="A487" s="14" t="str">
        <f>HYPERLINK("https://gerandofalcoes.my.salesforce.com/0014P00003YSp7uQAD", "0014P00003YSp7uQAD")</f>
        <v>0014P00003YSp7uQAD</v>
      </c>
      <c r="B487" s="2" t="s">
        <v>2120</v>
      </c>
      <c r="C487" s="2" t="s">
        <v>423</v>
      </c>
      <c r="D487" s="2" t="s">
        <v>2</v>
      </c>
      <c r="E487" s="2">
        <v>35</v>
      </c>
      <c r="F487" s="2">
        <v>5</v>
      </c>
      <c r="G487" s="2">
        <v>2</v>
      </c>
      <c r="H487" s="2">
        <v>100000</v>
      </c>
      <c r="I487" s="2">
        <v>0</v>
      </c>
      <c r="J487" s="2" t="s">
        <v>1671</v>
      </c>
      <c r="K487" s="2">
        <v>41</v>
      </c>
      <c r="L487" s="2">
        <v>15</v>
      </c>
      <c r="M487" s="2">
        <v>5</v>
      </c>
      <c r="N487" s="2">
        <v>6</v>
      </c>
      <c r="O487" s="2">
        <v>15</v>
      </c>
      <c r="P487" s="2">
        <v>0</v>
      </c>
      <c r="Q487" s="2" t="s">
        <v>2121</v>
      </c>
      <c r="R487" s="2" t="s">
        <v>2121</v>
      </c>
      <c r="S487" s="4">
        <v>44837</v>
      </c>
    </row>
    <row r="488" spans="1:19" ht="12.5" x14ac:dyDescent="0.25">
      <c r="A488" s="14" t="str">
        <f>HYPERLINK("https://gerandofalcoes.my.salesforce.com/0014X00002VKCtVQAX", "0014X00002VKCtVQAX")</f>
        <v>0014X00002VKCtVQAX</v>
      </c>
      <c r="B488" s="2" t="s">
        <v>2665</v>
      </c>
      <c r="C488" s="2" t="s">
        <v>1800</v>
      </c>
      <c r="D488" s="2" t="s">
        <v>2</v>
      </c>
      <c r="E488" s="2">
        <v>17</v>
      </c>
      <c r="F488" s="2">
        <v>8</v>
      </c>
      <c r="G488" s="2">
        <v>2</v>
      </c>
      <c r="H488" s="2">
        <v>8000</v>
      </c>
      <c r="I488" s="2">
        <v>16</v>
      </c>
      <c r="J488" s="2" t="s">
        <v>1779</v>
      </c>
      <c r="K488" s="2">
        <v>36</v>
      </c>
      <c r="L488" s="2">
        <v>10</v>
      </c>
      <c r="M488" s="2">
        <v>10</v>
      </c>
      <c r="N488" s="2">
        <v>6</v>
      </c>
      <c r="O488" s="2">
        <v>5</v>
      </c>
      <c r="P488" s="2">
        <v>5</v>
      </c>
      <c r="Q488" s="2" t="s">
        <v>2666</v>
      </c>
      <c r="R488" s="2" t="s">
        <v>2666</v>
      </c>
      <c r="S488" s="4">
        <v>44837</v>
      </c>
    </row>
    <row r="489" spans="1:19" ht="12.5" x14ac:dyDescent="0.25">
      <c r="A489" s="14" t="str">
        <f>HYPERLINK("https://gerandofalcoes.my.salesforce.com/0014X00002VKCuqQAH", "0014X00002VKCuqQAH")</f>
        <v>0014X00002VKCuqQAH</v>
      </c>
      <c r="B489" s="2" t="s">
        <v>2649</v>
      </c>
      <c r="C489" s="2" t="s">
        <v>423</v>
      </c>
      <c r="D489" s="2" t="s">
        <v>2</v>
      </c>
      <c r="E489" s="2">
        <v>17.440000000000001</v>
      </c>
      <c r="F489" s="2">
        <v>0</v>
      </c>
      <c r="G489" s="2">
        <v>3</v>
      </c>
      <c r="H489" s="2">
        <v>7019</v>
      </c>
      <c r="I489" s="2">
        <v>100</v>
      </c>
      <c r="J489" s="2" t="s">
        <v>1779</v>
      </c>
      <c r="K489" s="2">
        <v>33</v>
      </c>
      <c r="L489" s="2">
        <v>10</v>
      </c>
      <c r="M489" s="2">
        <v>0</v>
      </c>
      <c r="N489" s="2">
        <v>8</v>
      </c>
      <c r="O489" s="2">
        <v>5</v>
      </c>
      <c r="P489" s="2">
        <v>10</v>
      </c>
      <c r="Q489" s="2" t="s">
        <v>2650</v>
      </c>
      <c r="R489" s="2" t="s">
        <v>2650</v>
      </c>
      <c r="S489" s="4">
        <v>44837</v>
      </c>
    </row>
    <row r="490" spans="1:19" ht="12.5" x14ac:dyDescent="0.25">
      <c r="A490" s="14" t="str">
        <f>HYPERLINK("https://gerandofalcoes.my.salesforce.com/0014X00002VKCrhQAH", "0014X00002VKCrhQAH")</f>
        <v>0014X00002VKCrhQAH</v>
      </c>
      <c r="B490" s="2" t="s">
        <v>3895</v>
      </c>
      <c r="C490" s="2" t="s">
        <v>1800</v>
      </c>
      <c r="D490" s="2" t="s">
        <v>2</v>
      </c>
      <c r="E490" s="2">
        <v>45</v>
      </c>
      <c r="F490" s="2">
        <v>6</v>
      </c>
      <c r="G490" s="2">
        <v>5</v>
      </c>
      <c r="H490" s="2">
        <v>150000</v>
      </c>
      <c r="I490" s="2">
        <v>200</v>
      </c>
      <c r="J490" s="2" t="s">
        <v>1671</v>
      </c>
      <c r="K490" s="2">
        <v>62</v>
      </c>
      <c r="L490" s="2">
        <v>15</v>
      </c>
      <c r="M490" s="2">
        <v>10</v>
      </c>
      <c r="N490" s="2">
        <v>10</v>
      </c>
      <c r="O490" s="2">
        <v>15</v>
      </c>
      <c r="P490" s="2">
        <v>12</v>
      </c>
      <c r="Q490" s="2" t="s">
        <v>7168</v>
      </c>
      <c r="R490" s="2" t="s">
        <v>3897</v>
      </c>
      <c r="S490" s="4">
        <v>44837</v>
      </c>
    </row>
    <row r="491" spans="1:19" ht="12.5" x14ac:dyDescent="0.25">
      <c r="A491" s="14" t="str">
        <f>HYPERLINK("https://gerandofalcoes.my.salesforce.com/0014X00002VKCuSQAX", "0014X00002VKCuSQAX")</f>
        <v>0014X00002VKCuSQAX</v>
      </c>
      <c r="B491" s="2" t="s">
        <v>2444</v>
      </c>
      <c r="C491" s="2" t="s">
        <v>1800</v>
      </c>
      <c r="D491" s="2" t="s">
        <v>2</v>
      </c>
      <c r="E491" s="2">
        <v>24</v>
      </c>
      <c r="F491" s="2">
        <v>6</v>
      </c>
      <c r="G491" s="2">
        <v>2</v>
      </c>
      <c r="H491" s="2">
        <v>15000</v>
      </c>
      <c r="I491" s="2">
        <v>336</v>
      </c>
      <c r="J491" s="2" t="s">
        <v>1671</v>
      </c>
      <c r="K491" s="2">
        <v>46</v>
      </c>
      <c r="L491" s="2">
        <v>10</v>
      </c>
      <c r="M491" s="2">
        <v>10</v>
      </c>
      <c r="N491" s="2">
        <v>6</v>
      </c>
      <c r="O491" s="2">
        <v>5</v>
      </c>
      <c r="P491" s="2">
        <v>15</v>
      </c>
      <c r="Q491" s="2" t="s">
        <v>2445</v>
      </c>
      <c r="R491" s="2" t="s">
        <v>2446</v>
      </c>
      <c r="S491" s="4">
        <v>44837</v>
      </c>
    </row>
    <row r="492" spans="1:19" ht="12.5" x14ac:dyDescent="0.25">
      <c r="A492" s="14" t="str">
        <f>HYPERLINK("https://gerandofalcoes.my.salesforce.com/0014X00002VKCr2QAH", "0014X00002VKCr2QAH")</f>
        <v>0014X00002VKCr2QAH</v>
      </c>
      <c r="B492" s="2" t="s">
        <v>1915</v>
      </c>
      <c r="C492" s="2" t="s">
        <v>423</v>
      </c>
      <c r="D492" s="2" t="s">
        <v>2</v>
      </c>
      <c r="E492" s="2">
        <v>36</v>
      </c>
      <c r="F492" s="2">
        <v>8</v>
      </c>
      <c r="G492" s="2">
        <v>2</v>
      </c>
      <c r="H492" s="2">
        <v>4500000</v>
      </c>
      <c r="I492" s="2">
        <v>-40</v>
      </c>
      <c r="J492" s="2" t="s">
        <v>1671</v>
      </c>
      <c r="K492" s="2">
        <v>56</v>
      </c>
      <c r="L492" s="2">
        <v>15</v>
      </c>
      <c r="M492" s="2">
        <v>10</v>
      </c>
      <c r="N492" s="2">
        <v>6</v>
      </c>
      <c r="O492" s="2">
        <v>25</v>
      </c>
      <c r="P492" s="2">
        <v>0</v>
      </c>
      <c r="Q492" s="2" t="s">
        <v>1916</v>
      </c>
      <c r="R492" s="2" t="s">
        <v>1917</v>
      </c>
      <c r="S492" s="4">
        <v>44837</v>
      </c>
    </row>
    <row r="493" spans="1:19" ht="12.5" x14ac:dyDescent="0.25">
      <c r="A493" s="14" t="str">
        <f>HYPERLINK("https://gerandofalcoes.my.salesforce.com/0014X00002VKCtHQAX", "0014X00002VKCtHQAX")</f>
        <v>0014X00002VKCtHQAX</v>
      </c>
      <c r="B493" s="2" t="s">
        <v>2188</v>
      </c>
      <c r="C493" s="2" t="s">
        <v>423</v>
      </c>
      <c r="D493" s="2" t="s">
        <v>2</v>
      </c>
      <c r="E493" s="2">
        <v>33</v>
      </c>
      <c r="F493" s="2">
        <v>0</v>
      </c>
      <c r="G493" s="2">
        <v>3</v>
      </c>
      <c r="H493" s="2">
        <v>3000</v>
      </c>
      <c r="I493" s="2">
        <v>0</v>
      </c>
      <c r="J493" s="2" t="s">
        <v>1779</v>
      </c>
      <c r="K493" s="2">
        <v>28</v>
      </c>
      <c r="L493" s="2">
        <v>15</v>
      </c>
      <c r="M493" s="2">
        <v>0</v>
      </c>
      <c r="N493" s="2">
        <v>8</v>
      </c>
      <c r="O493" s="2">
        <v>5</v>
      </c>
      <c r="P493" s="2">
        <v>0</v>
      </c>
      <c r="Q493" s="2" t="s">
        <v>2189</v>
      </c>
      <c r="R493" s="2" t="s">
        <v>2190</v>
      </c>
      <c r="S493" s="4">
        <v>44837</v>
      </c>
    </row>
    <row r="494" spans="1:19" ht="12.5" x14ac:dyDescent="0.25">
      <c r="A494" s="14" t="str">
        <f>HYPERLINK("https://gerandofalcoes.my.salesforce.com/0014X00002VKCtXQAX", "0014X00002VKCtXQAX")</f>
        <v>0014X00002VKCtXQAX</v>
      </c>
      <c r="B494" s="2" t="s">
        <v>2462</v>
      </c>
      <c r="C494" s="2" t="s">
        <v>423</v>
      </c>
      <c r="D494" s="2" t="s">
        <v>2</v>
      </c>
      <c r="E494" s="2">
        <v>23</v>
      </c>
      <c r="F494" s="2">
        <v>0</v>
      </c>
      <c r="G494" s="2">
        <v>2</v>
      </c>
      <c r="H494" s="2">
        <v>25000</v>
      </c>
      <c r="I494" s="2">
        <v>60</v>
      </c>
      <c r="J494" s="2" t="s">
        <v>1779</v>
      </c>
      <c r="K494" s="2">
        <v>31</v>
      </c>
      <c r="L494" s="2">
        <v>10</v>
      </c>
      <c r="M494" s="2">
        <v>0</v>
      </c>
      <c r="N494" s="2">
        <v>6</v>
      </c>
      <c r="O494" s="2">
        <v>10</v>
      </c>
      <c r="P494" s="2">
        <v>5</v>
      </c>
      <c r="Q494" s="2" t="s">
        <v>2463</v>
      </c>
      <c r="R494" s="2" t="s">
        <v>2464</v>
      </c>
      <c r="S494" s="4">
        <v>44837</v>
      </c>
    </row>
    <row r="495" spans="1:19" ht="12.5" x14ac:dyDescent="0.25">
      <c r="A495" s="14" t="str">
        <f>HYPERLINK("https://gerandofalcoes.my.salesforce.com/0014X00002VKCsDQAX", "0014X00002VKCsDQAX")</f>
        <v>0014X00002VKCsDQAX</v>
      </c>
      <c r="B495" s="2" t="s">
        <v>2789</v>
      </c>
      <c r="C495" s="2" t="s">
        <v>423</v>
      </c>
      <c r="D495" s="2" t="s">
        <v>2</v>
      </c>
      <c r="E495" s="2">
        <v>13</v>
      </c>
      <c r="F495" s="2">
        <v>0</v>
      </c>
      <c r="G495" s="2">
        <v>2</v>
      </c>
      <c r="H495" s="2">
        <v>14000</v>
      </c>
      <c r="I495" s="2">
        <v>60</v>
      </c>
      <c r="J495" s="2" t="s">
        <v>1779</v>
      </c>
      <c r="K495" s="2">
        <v>26</v>
      </c>
      <c r="L495" s="2">
        <v>10</v>
      </c>
      <c r="M495" s="2">
        <v>0</v>
      </c>
      <c r="N495" s="2">
        <v>6</v>
      </c>
      <c r="O495" s="2">
        <v>5</v>
      </c>
      <c r="P495" s="2">
        <v>5</v>
      </c>
      <c r="Q495" s="2" t="s">
        <v>2790</v>
      </c>
      <c r="R495" s="2" t="s">
        <v>2791</v>
      </c>
      <c r="S495" s="4">
        <v>44837</v>
      </c>
    </row>
    <row r="496" spans="1:19" ht="12.5" x14ac:dyDescent="0.25">
      <c r="A496" s="14" t="str">
        <f>HYPERLINK("https://gerandofalcoes.my.salesforce.com/0014X00002VKCrLQAX", "0014X00002VKCrLQAX")</f>
        <v>0014X00002VKCrLQAX</v>
      </c>
      <c r="B496" s="2" t="s">
        <v>2637</v>
      </c>
      <c r="C496" s="2" t="s">
        <v>1800</v>
      </c>
      <c r="D496" s="2" t="s">
        <v>2</v>
      </c>
      <c r="E496" s="2">
        <v>18</v>
      </c>
      <c r="F496" s="2">
        <v>0</v>
      </c>
      <c r="G496" s="2">
        <v>4</v>
      </c>
      <c r="H496" s="2">
        <v>6.5</v>
      </c>
      <c r="I496" s="2">
        <v>45</v>
      </c>
      <c r="J496" s="2" t="s">
        <v>1779</v>
      </c>
      <c r="K496" s="2">
        <v>30</v>
      </c>
      <c r="L496" s="2">
        <v>10</v>
      </c>
      <c r="M496" s="2">
        <v>0</v>
      </c>
      <c r="N496" s="2">
        <v>10</v>
      </c>
      <c r="O496" s="2">
        <v>5</v>
      </c>
      <c r="P496" s="2">
        <v>5</v>
      </c>
      <c r="Q496" s="2" t="s">
        <v>2638</v>
      </c>
      <c r="R496" s="2" t="s">
        <v>2638</v>
      </c>
      <c r="S496" s="4">
        <v>44837</v>
      </c>
    </row>
    <row r="497" spans="1:19" ht="12.5" x14ac:dyDescent="0.25">
      <c r="A497" s="14" t="str">
        <f>HYPERLINK("https://gerandofalcoes.my.salesforce.com/0014X00002VKCtMQAX", "0014X00002VKCtMQAX")</f>
        <v>0014X00002VKCtMQAX</v>
      </c>
      <c r="B497" s="2" t="s">
        <v>2762</v>
      </c>
      <c r="C497" s="2" t="s">
        <v>1800</v>
      </c>
      <c r="D497" s="2" t="s">
        <v>2</v>
      </c>
      <c r="E497" s="2">
        <v>14</v>
      </c>
      <c r="F497" s="2">
        <v>5</v>
      </c>
      <c r="G497" s="2">
        <v>2</v>
      </c>
      <c r="H497" s="2">
        <v>500</v>
      </c>
      <c r="I497" s="2">
        <v>0</v>
      </c>
      <c r="J497" s="2" t="s">
        <v>1779</v>
      </c>
      <c r="K497" s="2">
        <v>26</v>
      </c>
      <c r="L497" s="2">
        <v>10</v>
      </c>
      <c r="M497" s="2">
        <v>5</v>
      </c>
      <c r="N497" s="2">
        <v>6</v>
      </c>
      <c r="O497" s="2">
        <v>5</v>
      </c>
      <c r="P497" s="2">
        <v>0</v>
      </c>
      <c r="Q497" s="2" t="s">
        <v>2763</v>
      </c>
      <c r="R497" s="2" t="s">
        <v>2764</v>
      </c>
      <c r="S497" s="4">
        <v>44837</v>
      </c>
    </row>
    <row r="498" spans="1:19" ht="12.5" x14ac:dyDescent="0.25">
      <c r="A498" s="14" t="str">
        <f>HYPERLINK("https://gerandofalcoes.my.salesforce.com/0014X00002VKCqNQAX", "0014X00002VKCqNQAX")</f>
        <v>0014X00002VKCqNQAX</v>
      </c>
      <c r="B498" s="2" t="s">
        <v>2783</v>
      </c>
      <c r="C498" s="2" t="s">
        <v>423</v>
      </c>
      <c r="D498" s="2" t="s">
        <v>2</v>
      </c>
      <c r="E498" s="2">
        <v>13</v>
      </c>
      <c r="F498" s="2">
        <v>10</v>
      </c>
      <c r="G498" s="2">
        <v>10</v>
      </c>
      <c r="H498" s="2">
        <v>275000</v>
      </c>
      <c r="I498" s="2">
        <v>348</v>
      </c>
      <c r="J498" s="2" t="s">
        <v>1671</v>
      </c>
      <c r="K498" s="2">
        <v>60</v>
      </c>
      <c r="L498" s="2">
        <v>10</v>
      </c>
      <c r="M498" s="2">
        <v>10</v>
      </c>
      <c r="N498" s="2">
        <v>10</v>
      </c>
      <c r="O498" s="2">
        <v>15</v>
      </c>
      <c r="P498" s="2">
        <v>15</v>
      </c>
      <c r="Q498" s="2" t="s">
        <v>2784</v>
      </c>
      <c r="R498" s="2" t="s">
        <v>2785</v>
      </c>
      <c r="S498" s="4">
        <v>44837</v>
      </c>
    </row>
    <row r="499" spans="1:19" ht="12.5" x14ac:dyDescent="0.25">
      <c r="A499" s="14" t="str">
        <f>HYPERLINK("https://gerandofalcoes.my.salesforce.com/0014X00002VKCtRQAX", "0014X00002VKCtRQAX")</f>
        <v>0014X00002VKCtRQAX</v>
      </c>
      <c r="B499" s="2" t="s">
        <v>2529</v>
      </c>
      <c r="C499" s="2" t="s">
        <v>1800</v>
      </c>
      <c r="D499" s="2" t="s">
        <v>2</v>
      </c>
      <c r="E499" s="2">
        <v>21</v>
      </c>
      <c r="F499" s="2">
        <v>1</v>
      </c>
      <c r="G499" s="2">
        <v>6</v>
      </c>
      <c r="H499" s="2">
        <v>300</v>
      </c>
      <c r="I499" s="2">
        <v>30</v>
      </c>
      <c r="J499" s="2" t="s">
        <v>1779</v>
      </c>
      <c r="K499" s="2">
        <v>35</v>
      </c>
      <c r="L499" s="2">
        <v>10</v>
      </c>
      <c r="M499" s="2">
        <v>5</v>
      </c>
      <c r="N499" s="2">
        <v>10</v>
      </c>
      <c r="O499" s="2">
        <v>5</v>
      </c>
      <c r="P499" s="2">
        <v>5</v>
      </c>
      <c r="Q499" s="2" t="s">
        <v>2530</v>
      </c>
      <c r="R499" s="2" t="s">
        <v>2530</v>
      </c>
      <c r="S499" s="4">
        <v>44837</v>
      </c>
    </row>
    <row r="500" spans="1:19" ht="12.5" x14ac:dyDescent="0.25">
      <c r="A500" s="14" t="str">
        <f>HYPERLINK("https://gerandofalcoes.my.salesforce.com/0014X00002VKCrvQAH", "0014X00002VKCrvQAH")</f>
        <v>0014X00002VKCrvQAH</v>
      </c>
      <c r="B500" s="2" t="s">
        <v>2816</v>
      </c>
      <c r="C500" s="2" t="s">
        <v>423</v>
      </c>
      <c r="D500" s="2" t="s">
        <v>2</v>
      </c>
      <c r="E500" s="2">
        <v>10</v>
      </c>
      <c r="F500" s="2">
        <v>4</v>
      </c>
      <c r="G500" s="2">
        <v>1</v>
      </c>
      <c r="H500" s="2">
        <v>1200</v>
      </c>
      <c r="I500" s="2">
        <v>150</v>
      </c>
      <c r="J500" s="2" t="s">
        <v>1779</v>
      </c>
      <c r="K500" s="2">
        <v>36</v>
      </c>
      <c r="L500" s="2">
        <v>10</v>
      </c>
      <c r="M500" s="2">
        <v>5</v>
      </c>
      <c r="N500" s="2">
        <v>4</v>
      </c>
      <c r="O500" s="2">
        <v>5</v>
      </c>
      <c r="P500" s="2">
        <v>12</v>
      </c>
      <c r="Q500" s="2" t="s">
        <v>7160</v>
      </c>
      <c r="R500" s="2" t="s">
        <v>7160</v>
      </c>
      <c r="S500" s="4">
        <v>44837</v>
      </c>
    </row>
    <row r="501" spans="1:19" ht="12.5" x14ac:dyDescent="0.25">
      <c r="A501" s="14" t="str">
        <f>HYPERLINK("https://gerandofalcoes.my.salesforce.com/0014X00002VKD04QAH", "0014X00002VKD04QAH")</f>
        <v>0014X00002VKD04QAH</v>
      </c>
      <c r="B501" s="2" t="s">
        <v>2282</v>
      </c>
      <c r="C501" s="2" t="s">
        <v>423</v>
      </c>
      <c r="D501" s="2" t="s">
        <v>2</v>
      </c>
      <c r="E501" s="2">
        <v>37</v>
      </c>
      <c r="F501" s="2">
        <v>24</v>
      </c>
      <c r="G501" s="2">
        <v>3</v>
      </c>
      <c r="H501" s="2">
        <v>1200000</v>
      </c>
      <c r="I501" s="2">
        <v>35</v>
      </c>
      <c r="J501" s="2" t="s">
        <v>1650</v>
      </c>
      <c r="K501" s="2">
        <v>65</v>
      </c>
      <c r="L501" s="2">
        <v>15</v>
      </c>
      <c r="M501" s="2">
        <v>12</v>
      </c>
      <c r="N501" s="2">
        <v>8</v>
      </c>
      <c r="O501" s="2">
        <v>25</v>
      </c>
      <c r="P501" s="2">
        <v>5</v>
      </c>
      <c r="Q501" s="2" t="s">
        <v>2283</v>
      </c>
      <c r="R501" s="2" t="s">
        <v>2284</v>
      </c>
      <c r="S501" s="4">
        <v>44837</v>
      </c>
    </row>
    <row r="502" spans="1:19" ht="12.5" x14ac:dyDescent="0.25">
      <c r="A502" s="14" t="str">
        <f>HYPERLINK("https://gerandofalcoes.my.salesforce.com/0014X00002VKCvAQAX", "0014X00002VKCvAQAX")</f>
        <v>0014X00002VKCvAQAX</v>
      </c>
      <c r="B502" s="2" t="s">
        <v>2927</v>
      </c>
      <c r="C502" s="2" t="s">
        <v>423</v>
      </c>
      <c r="D502" s="2" t="s">
        <v>2</v>
      </c>
      <c r="E502" s="2">
        <v>6.68</v>
      </c>
      <c r="F502" s="2">
        <v>0</v>
      </c>
      <c r="G502" s="2">
        <v>1</v>
      </c>
      <c r="H502" s="2">
        <v>35000</v>
      </c>
      <c r="I502" s="2">
        <v>0</v>
      </c>
      <c r="J502" s="2" t="s">
        <v>1779</v>
      </c>
      <c r="K502" s="2">
        <v>24</v>
      </c>
      <c r="L502" s="2">
        <v>10</v>
      </c>
      <c r="M502" s="2">
        <v>0</v>
      </c>
      <c r="N502" s="2">
        <v>4</v>
      </c>
      <c r="O502" s="2">
        <v>10</v>
      </c>
      <c r="P502" s="2">
        <v>0</v>
      </c>
      <c r="Q502" s="2" t="s">
        <v>2928</v>
      </c>
      <c r="R502" s="2" t="s">
        <v>2929</v>
      </c>
      <c r="S502" s="4">
        <v>44837</v>
      </c>
    </row>
    <row r="503" spans="1:19" ht="12.5" x14ac:dyDescent="0.25">
      <c r="A503" s="14" t="str">
        <f>HYPERLINK("https://gerandofalcoes.my.salesforce.com/0014X00002VKCrZQAX", "0014X00002VKCrZQAX")</f>
        <v>0014X00002VKCrZQAX</v>
      </c>
      <c r="B503" s="2" t="s">
        <v>1724</v>
      </c>
      <c r="C503" s="2" t="s">
        <v>423</v>
      </c>
      <c r="D503" s="2" t="s">
        <v>2</v>
      </c>
      <c r="E503" s="2">
        <v>80</v>
      </c>
      <c r="F503" s="2">
        <v>5</v>
      </c>
      <c r="G503" s="2">
        <v>7</v>
      </c>
      <c r="H503" s="2">
        <v>701915</v>
      </c>
      <c r="I503" s="2">
        <v>259</v>
      </c>
      <c r="J503" s="2" t="s">
        <v>1650</v>
      </c>
      <c r="K503" s="2">
        <v>72</v>
      </c>
      <c r="L503" s="2">
        <v>25</v>
      </c>
      <c r="M503" s="2">
        <v>5</v>
      </c>
      <c r="N503" s="2">
        <v>10</v>
      </c>
      <c r="O503" s="2">
        <v>20</v>
      </c>
      <c r="P503" s="2">
        <v>12</v>
      </c>
      <c r="Q503" s="2" t="s">
        <v>1725</v>
      </c>
      <c r="R503" s="2" t="s">
        <v>1726</v>
      </c>
      <c r="S503" s="4">
        <v>44837</v>
      </c>
    </row>
    <row r="504" spans="1:19" ht="12.5" x14ac:dyDescent="0.25">
      <c r="A504" s="14" t="str">
        <f>HYPERLINK("https://gerandofalcoes.my.salesforce.com/0014X00002VMXzMQAX", "0014X00002VMXzMQAX")</f>
        <v>0014X00002VMXzMQAX</v>
      </c>
      <c r="B504" s="2" t="s">
        <v>2916</v>
      </c>
      <c r="C504" s="2" t="s">
        <v>423</v>
      </c>
      <c r="D504" s="2" t="s">
        <v>2</v>
      </c>
      <c r="E504" s="2">
        <v>20</v>
      </c>
      <c r="F504" s="2">
        <v>1</v>
      </c>
      <c r="G504" s="2">
        <v>2</v>
      </c>
      <c r="H504" s="2">
        <v>18000</v>
      </c>
      <c r="I504" s="2">
        <v>10</v>
      </c>
      <c r="J504" s="2" t="s">
        <v>1779</v>
      </c>
      <c r="K504" s="2">
        <v>31</v>
      </c>
      <c r="L504" s="2">
        <v>10</v>
      </c>
      <c r="M504" s="2">
        <v>5</v>
      </c>
      <c r="N504" s="2">
        <v>6</v>
      </c>
      <c r="O504" s="2">
        <v>5</v>
      </c>
      <c r="P504" s="2">
        <v>5</v>
      </c>
      <c r="Q504" s="2" t="s">
        <v>2917</v>
      </c>
      <c r="R504" s="2" t="s">
        <v>2918</v>
      </c>
      <c r="S504" s="4">
        <v>44837</v>
      </c>
    </row>
    <row r="505" spans="1:19" ht="12.5" x14ac:dyDescent="0.25">
      <c r="A505" s="14" t="str">
        <f>HYPERLINK("https://gerandofalcoes.my.salesforce.com/0014X00002VKCtEQAX", "0014X00002VKCtEQAX")</f>
        <v>0014X00002VKCtEQAX</v>
      </c>
      <c r="B505" s="2" t="s">
        <v>2717</v>
      </c>
      <c r="C505" s="2" t="s">
        <v>423</v>
      </c>
      <c r="D505" s="2" t="s">
        <v>2</v>
      </c>
      <c r="E505" s="2">
        <v>15</v>
      </c>
      <c r="F505" s="2">
        <v>0</v>
      </c>
      <c r="G505" s="2">
        <v>3</v>
      </c>
      <c r="H505" s="2">
        <v>0</v>
      </c>
      <c r="I505" s="2">
        <v>187</v>
      </c>
      <c r="J505" s="2" t="s">
        <v>1779</v>
      </c>
      <c r="K505" s="2">
        <v>30</v>
      </c>
      <c r="L505" s="2">
        <v>10</v>
      </c>
      <c r="M505" s="2">
        <v>0</v>
      </c>
      <c r="N505" s="2">
        <v>8</v>
      </c>
      <c r="O505" s="2">
        <v>0</v>
      </c>
      <c r="P505" s="2">
        <v>12</v>
      </c>
      <c r="Q505" s="2" t="s">
        <v>2718</v>
      </c>
      <c r="R505" s="2" t="s">
        <v>2719</v>
      </c>
      <c r="S505" s="4">
        <v>44837</v>
      </c>
    </row>
    <row r="506" spans="1:19" ht="12.5" x14ac:dyDescent="0.25">
      <c r="A506" s="14" t="str">
        <f>HYPERLINK("https://gerandofalcoes.my.salesforce.com/0014X00002VKCqTQAX", "0014X00002VKCqTQAX")</f>
        <v>0014X00002VKCqTQAX</v>
      </c>
      <c r="B506" s="2" t="s">
        <v>2431</v>
      </c>
      <c r="C506" s="2" t="s">
        <v>423</v>
      </c>
      <c r="D506" s="2" t="s">
        <v>2</v>
      </c>
      <c r="E506" s="2">
        <v>33</v>
      </c>
      <c r="F506" s="2">
        <v>0</v>
      </c>
      <c r="G506" s="2">
        <v>1</v>
      </c>
      <c r="H506" s="2">
        <v>7500</v>
      </c>
      <c r="I506" s="2">
        <v>250</v>
      </c>
      <c r="J506" s="2" t="s">
        <v>1779</v>
      </c>
      <c r="K506" s="2">
        <v>36</v>
      </c>
      <c r="L506" s="2">
        <v>15</v>
      </c>
      <c r="M506" s="2">
        <v>0</v>
      </c>
      <c r="N506" s="2">
        <v>4</v>
      </c>
      <c r="O506" s="2">
        <v>5</v>
      </c>
      <c r="P506" s="2">
        <v>12</v>
      </c>
      <c r="Q506" s="2" t="s">
        <v>2432</v>
      </c>
      <c r="R506" s="2" t="s">
        <v>2432</v>
      </c>
      <c r="S506" s="4">
        <v>44837</v>
      </c>
    </row>
    <row r="507" spans="1:19" ht="12.5" x14ac:dyDescent="0.25">
      <c r="A507" s="14" t="str">
        <f>HYPERLINK("https://gerandofalcoes.my.salesforce.com/0014X00002VKCriQAH", "0014X00002VKCriQAH")</f>
        <v>0014X00002VKCriQAH</v>
      </c>
      <c r="B507" s="2" t="s">
        <v>1905</v>
      </c>
      <c r="C507" s="2" t="s">
        <v>423</v>
      </c>
      <c r="D507" s="2" t="s">
        <v>2</v>
      </c>
      <c r="E507" s="2">
        <v>43.02</v>
      </c>
      <c r="F507" s="2">
        <v>0</v>
      </c>
      <c r="G507" s="2">
        <v>2</v>
      </c>
      <c r="H507" s="2">
        <v>2105801</v>
      </c>
      <c r="I507" s="2">
        <v>84</v>
      </c>
      <c r="J507" s="2" t="s">
        <v>1671</v>
      </c>
      <c r="K507" s="2">
        <v>56</v>
      </c>
      <c r="L507" s="2">
        <v>15</v>
      </c>
      <c r="M507" s="2">
        <v>0</v>
      </c>
      <c r="N507" s="2">
        <v>6</v>
      </c>
      <c r="O507" s="2">
        <v>25</v>
      </c>
      <c r="P507" s="2">
        <v>10</v>
      </c>
      <c r="Q507" s="2" t="s">
        <v>1906</v>
      </c>
      <c r="R507" s="2" t="s">
        <v>1907</v>
      </c>
      <c r="S507" s="4">
        <v>44837</v>
      </c>
    </row>
    <row r="508" spans="1:19" ht="12.5" x14ac:dyDescent="0.25">
      <c r="A508" s="14" t="str">
        <f>HYPERLINK("https://gerandofalcoes.my.salesforce.com/0014X00002VKCrCQAX", "0014X00002VKCrCQAX")</f>
        <v>0014X00002VKCrCQAX</v>
      </c>
      <c r="B508" s="2" t="s">
        <v>2534</v>
      </c>
      <c r="C508" s="2" t="s">
        <v>423</v>
      </c>
      <c r="D508" s="2" t="s">
        <v>2</v>
      </c>
      <c r="E508" s="2">
        <v>21</v>
      </c>
      <c r="F508" s="2">
        <v>0</v>
      </c>
      <c r="G508" s="2">
        <v>2</v>
      </c>
      <c r="H508" s="2">
        <v>12000</v>
      </c>
      <c r="I508" s="2">
        <v>0</v>
      </c>
      <c r="J508" s="2" t="s">
        <v>1779</v>
      </c>
      <c r="K508" s="2">
        <v>21</v>
      </c>
      <c r="L508" s="2">
        <v>10</v>
      </c>
      <c r="M508" s="2">
        <v>0</v>
      </c>
      <c r="N508" s="2">
        <v>6</v>
      </c>
      <c r="O508" s="2">
        <v>5</v>
      </c>
      <c r="P508" s="2">
        <v>0</v>
      </c>
      <c r="Q508" s="2" t="s">
        <v>2535</v>
      </c>
      <c r="R508" s="2" t="s">
        <v>2535</v>
      </c>
      <c r="S508" s="4">
        <v>44837</v>
      </c>
    </row>
    <row r="509" spans="1:19" ht="12.5" x14ac:dyDescent="0.25">
      <c r="A509" s="14" t="str">
        <f>HYPERLINK("https://gerandofalcoes.my.salesforce.com/0014X00002VKCtbQAH", "0014X00002VKCtbQAH")</f>
        <v>0014X00002VKCtbQAH</v>
      </c>
      <c r="B509" s="2" t="s">
        <v>2871</v>
      </c>
      <c r="C509" s="2" t="s">
        <v>423</v>
      </c>
      <c r="D509" s="2" t="s">
        <v>2</v>
      </c>
      <c r="E509" s="2">
        <v>9.98</v>
      </c>
      <c r="F509" s="2">
        <v>11</v>
      </c>
      <c r="G509" s="2">
        <v>0</v>
      </c>
      <c r="H509" s="2">
        <v>0</v>
      </c>
      <c r="I509" s="2">
        <v>80</v>
      </c>
      <c r="J509" s="2" t="s">
        <v>1779</v>
      </c>
      <c r="K509" s="2">
        <v>32</v>
      </c>
      <c r="L509" s="2">
        <v>10</v>
      </c>
      <c r="M509" s="2">
        <v>12</v>
      </c>
      <c r="N509" s="2">
        <v>0</v>
      </c>
      <c r="O509" s="2">
        <v>0</v>
      </c>
      <c r="P509" s="2">
        <v>10</v>
      </c>
      <c r="Q509" s="2" t="s">
        <v>2872</v>
      </c>
      <c r="R509" s="2" t="s">
        <v>2873</v>
      </c>
      <c r="S509" s="4">
        <v>44837</v>
      </c>
    </row>
    <row r="510" spans="1:19" ht="12.5" x14ac:dyDescent="0.25">
      <c r="A510" s="14" t="str">
        <f>HYPERLINK("https://gerandofalcoes.my.salesforce.com/0014X00002VKCpwQAH", "0014X00002VKCpwQAH")</f>
        <v>0014X00002VKCpwQAH</v>
      </c>
      <c r="B510" s="2" t="s">
        <v>1940</v>
      </c>
      <c r="C510" s="2" t="s">
        <v>423</v>
      </c>
      <c r="D510" s="2" t="s">
        <v>2</v>
      </c>
      <c r="E510" s="2">
        <v>23</v>
      </c>
      <c r="F510" s="2">
        <v>0</v>
      </c>
      <c r="G510" s="2">
        <v>3</v>
      </c>
      <c r="H510" s="2">
        <v>4289056</v>
      </c>
      <c r="I510" s="2">
        <v>400</v>
      </c>
      <c r="J510" s="2" t="s">
        <v>1671</v>
      </c>
      <c r="K510" s="2">
        <v>58</v>
      </c>
      <c r="L510" s="2">
        <v>10</v>
      </c>
      <c r="M510" s="2">
        <v>0</v>
      </c>
      <c r="N510" s="2">
        <v>8</v>
      </c>
      <c r="O510" s="2">
        <v>25</v>
      </c>
      <c r="P510" s="2">
        <v>15</v>
      </c>
      <c r="Q510" s="2" t="s">
        <v>1941</v>
      </c>
      <c r="R510" s="2" t="s">
        <v>1942</v>
      </c>
      <c r="S510" s="4">
        <v>44837</v>
      </c>
    </row>
    <row r="511" spans="1:19" ht="12.5" x14ac:dyDescent="0.25">
      <c r="A511" s="14" t="str">
        <f>HYPERLINK("https://gerandofalcoes.my.salesforce.com/0014X00002VKCt8QAH", "0014X00002VKCt8QAH")</f>
        <v>0014X00002VKCt8QAH</v>
      </c>
      <c r="B511" s="2" t="s">
        <v>2938</v>
      </c>
      <c r="C511" s="2" t="s">
        <v>423</v>
      </c>
      <c r="D511" s="2" t="s">
        <v>2</v>
      </c>
      <c r="E511" s="2">
        <v>5.84</v>
      </c>
      <c r="F511" s="2">
        <v>0</v>
      </c>
      <c r="G511" s="2">
        <v>0</v>
      </c>
      <c r="H511" s="2">
        <v>0</v>
      </c>
      <c r="I511" s="2">
        <v>0</v>
      </c>
      <c r="J511" s="2" t="s">
        <v>1779</v>
      </c>
      <c r="K511" s="2">
        <v>10</v>
      </c>
      <c r="L511" s="2">
        <v>10</v>
      </c>
      <c r="M511" s="2">
        <v>0</v>
      </c>
      <c r="N511" s="2">
        <v>0</v>
      </c>
      <c r="O511" s="2">
        <v>0</v>
      </c>
      <c r="P511" s="2">
        <v>0</v>
      </c>
      <c r="Q511" s="2" t="s">
        <v>2939</v>
      </c>
      <c r="R511" s="2" t="s">
        <v>2940</v>
      </c>
      <c r="S511" s="4">
        <v>44837</v>
      </c>
    </row>
    <row r="512" spans="1:19" ht="12.5" x14ac:dyDescent="0.25">
      <c r="A512" s="14" t="str">
        <f>HYPERLINK("https://gerandofalcoes.my.salesforce.com/0014X00002VKCuJQAX", "0014X00002VKCuJQAX")</f>
        <v>0014X00002VKCuJQAX</v>
      </c>
      <c r="B512" s="2" t="s">
        <v>2073</v>
      </c>
      <c r="C512" s="2" t="s">
        <v>423</v>
      </c>
      <c r="D512" s="2" t="s">
        <v>2</v>
      </c>
      <c r="E512" s="2">
        <v>36</v>
      </c>
      <c r="F512" s="2">
        <v>0</v>
      </c>
      <c r="G512" s="2">
        <v>3</v>
      </c>
      <c r="H512" s="2">
        <v>3000</v>
      </c>
      <c r="I512" s="2">
        <v>100</v>
      </c>
      <c r="J512" s="2" t="s">
        <v>1779</v>
      </c>
      <c r="K512" s="2">
        <v>38</v>
      </c>
      <c r="L512" s="2">
        <v>15</v>
      </c>
      <c r="M512" s="2">
        <v>0</v>
      </c>
      <c r="N512" s="2">
        <v>8</v>
      </c>
      <c r="O512" s="2">
        <v>5</v>
      </c>
      <c r="P512" s="2">
        <v>10</v>
      </c>
      <c r="Q512" s="2" t="s">
        <v>2074</v>
      </c>
      <c r="R512" s="2" t="s">
        <v>2075</v>
      </c>
      <c r="S512" s="4">
        <v>44837</v>
      </c>
    </row>
    <row r="513" spans="1:19" ht="12.5" x14ac:dyDescent="0.25">
      <c r="A513" s="14" t="str">
        <f>HYPERLINK("https://gerandofalcoes.my.salesforce.com/0014X00002VKCtjQAH", "0014X00002VKCtjQAH")</f>
        <v>0014X00002VKCtjQAH</v>
      </c>
      <c r="B513" s="2" t="s">
        <v>2144</v>
      </c>
      <c r="C513" s="2" t="s">
        <v>423</v>
      </c>
      <c r="D513" s="2" t="s">
        <v>2</v>
      </c>
      <c r="E513" s="2">
        <v>33.86</v>
      </c>
      <c r="F513" s="2">
        <v>0</v>
      </c>
      <c r="G513" s="2">
        <v>5</v>
      </c>
      <c r="H513" s="2">
        <v>120000</v>
      </c>
      <c r="I513" s="2">
        <v>100</v>
      </c>
      <c r="J513" s="2" t="s">
        <v>1671</v>
      </c>
      <c r="K513" s="2">
        <v>50</v>
      </c>
      <c r="L513" s="2">
        <v>15</v>
      </c>
      <c r="M513" s="2">
        <v>0</v>
      </c>
      <c r="N513" s="2">
        <v>10</v>
      </c>
      <c r="O513" s="2">
        <v>15</v>
      </c>
      <c r="P513" s="2">
        <v>10</v>
      </c>
      <c r="Q513" s="2" t="s">
        <v>2145</v>
      </c>
      <c r="R513" s="2" t="s">
        <v>2146</v>
      </c>
      <c r="S513" s="4">
        <v>44837</v>
      </c>
    </row>
    <row r="514" spans="1:19" ht="12.5" x14ac:dyDescent="0.25">
      <c r="A514" s="14" t="str">
        <f>HYPERLINK("https://gerandofalcoes.my.salesforce.com/0014X00002VKCryQAH", "0014X00002VKCryQAH")</f>
        <v>0014X00002VKCryQAH</v>
      </c>
      <c r="B514" s="2" t="s">
        <v>1824</v>
      </c>
      <c r="C514" s="2" t="s">
        <v>423</v>
      </c>
      <c r="D514" s="2" t="s">
        <v>2</v>
      </c>
      <c r="E514" s="2">
        <v>51</v>
      </c>
      <c r="F514" s="2">
        <v>2</v>
      </c>
      <c r="G514" s="2">
        <v>7</v>
      </c>
      <c r="H514" s="2">
        <v>200000</v>
      </c>
      <c r="I514" s="2">
        <v>90</v>
      </c>
      <c r="J514" s="2" t="s">
        <v>1671</v>
      </c>
      <c r="K514" s="2">
        <v>60</v>
      </c>
      <c r="L514" s="2">
        <v>20</v>
      </c>
      <c r="M514" s="2">
        <v>5</v>
      </c>
      <c r="N514" s="2">
        <v>10</v>
      </c>
      <c r="O514" s="2">
        <v>15</v>
      </c>
      <c r="P514" s="2">
        <v>10</v>
      </c>
      <c r="Q514" s="2" t="s">
        <v>1825</v>
      </c>
      <c r="R514" s="2" t="s">
        <v>1826</v>
      </c>
      <c r="S514" s="4">
        <v>44837</v>
      </c>
    </row>
    <row r="515" spans="1:19" ht="12.5" x14ac:dyDescent="0.25">
      <c r="A515" s="14" t="str">
        <f>HYPERLINK("https://gerandofalcoes.my.salesforce.com/0014X00002VKCtFQAX", "0014X00002VKCtFQAX")</f>
        <v>0014X00002VKCtFQAX</v>
      </c>
      <c r="B515" s="2" t="s">
        <v>2112</v>
      </c>
      <c r="C515" s="2" t="s">
        <v>423</v>
      </c>
      <c r="D515" s="2" t="s">
        <v>2</v>
      </c>
      <c r="E515" s="2">
        <v>35</v>
      </c>
      <c r="F515" s="2">
        <v>12</v>
      </c>
      <c r="G515" s="2">
        <v>2</v>
      </c>
      <c r="H515" s="2">
        <v>100000</v>
      </c>
      <c r="I515" s="2">
        <v>40</v>
      </c>
      <c r="J515" s="2" t="s">
        <v>1671</v>
      </c>
      <c r="K515" s="2">
        <v>53</v>
      </c>
      <c r="L515" s="2">
        <v>15</v>
      </c>
      <c r="M515" s="2">
        <v>12</v>
      </c>
      <c r="N515" s="2">
        <v>6</v>
      </c>
      <c r="O515" s="2">
        <v>15</v>
      </c>
      <c r="P515" s="2">
        <v>5</v>
      </c>
      <c r="Q515" s="2" t="s">
        <v>2113</v>
      </c>
      <c r="R515" s="2" t="s">
        <v>2113</v>
      </c>
      <c r="S515" s="4">
        <v>44837</v>
      </c>
    </row>
    <row r="516" spans="1:19" ht="12.5" x14ac:dyDescent="0.25">
      <c r="A516" s="14" t="str">
        <f>HYPERLINK("https://gerandofalcoes.my.salesforce.com/0014X00002VKCsRQAX", "0014X00002VKCsRQAX")</f>
        <v>0014X00002VKCsRQAX</v>
      </c>
      <c r="B516" s="2" t="s">
        <v>2878</v>
      </c>
      <c r="C516" s="2" t="s">
        <v>423</v>
      </c>
      <c r="D516" s="2" t="s">
        <v>2</v>
      </c>
      <c r="E516" s="2">
        <v>29</v>
      </c>
      <c r="F516" s="2">
        <v>0</v>
      </c>
      <c r="G516" s="2">
        <v>1</v>
      </c>
      <c r="H516" s="2">
        <v>15000</v>
      </c>
      <c r="I516" s="2">
        <v>250</v>
      </c>
      <c r="J516" s="2" t="s">
        <v>1779</v>
      </c>
      <c r="K516" s="2">
        <v>36</v>
      </c>
      <c r="L516" s="2">
        <v>15</v>
      </c>
      <c r="M516" s="2">
        <v>0</v>
      </c>
      <c r="N516" s="2">
        <v>4</v>
      </c>
      <c r="O516" s="2">
        <v>5</v>
      </c>
      <c r="P516" s="2">
        <v>12</v>
      </c>
      <c r="Q516" s="2" t="s">
        <v>2879</v>
      </c>
      <c r="R516" s="2" t="s">
        <v>2880</v>
      </c>
      <c r="S516" s="4">
        <v>44837</v>
      </c>
    </row>
    <row r="517" spans="1:19" ht="12.5" x14ac:dyDescent="0.25">
      <c r="A517" s="14" t="str">
        <f>HYPERLINK("https://gerandofalcoes.my.salesforce.com/0014X00002VKCsdQAH", "0014X00002VKCsdQAH")</f>
        <v>0014X00002VKCsdQAH</v>
      </c>
      <c r="B517" s="2" t="s">
        <v>2857</v>
      </c>
      <c r="C517" s="2" t="s">
        <v>1800</v>
      </c>
      <c r="D517" s="2" t="s">
        <v>2</v>
      </c>
      <c r="E517" s="2">
        <v>10</v>
      </c>
      <c r="F517" s="2">
        <v>0</v>
      </c>
      <c r="G517" s="2">
        <v>2</v>
      </c>
      <c r="H517" s="2">
        <v>24000</v>
      </c>
      <c r="I517" s="2">
        <v>95</v>
      </c>
      <c r="J517" s="2" t="s">
        <v>1779</v>
      </c>
      <c r="K517" s="2">
        <v>31</v>
      </c>
      <c r="L517" s="2">
        <v>10</v>
      </c>
      <c r="M517" s="2">
        <v>0</v>
      </c>
      <c r="N517" s="2">
        <v>6</v>
      </c>
      <c r="O517" s="2">
        <v>5</v>
      </c>
      <c r="P517" s="2">
        <v>10</v>
      </c>
      <c r="Q517" s="2" t="s">
        <v>2858</v>
      </c>
      <c r="R517" s="2" t="s">
        <v>2859</v>
      </c>
      <c r="S517" s="4">
        <v>44837</v>
      </c>
    </row>
    <row r="518" spans="1:19" ht="12.5" x14ac:dyDescent="0.25">
      <c r="A518" s="14" t="str">
        <f>HYPERLINK("https://gerandofalcoes.my.salesforce.com/0014X00002VKCurQAH", "0014X00002VKCurQAH")</f>
        <v>0014X00002VKCurQAH</v>
      </c>
      <c r="B518" s="2" t="s">
        <v>2484</v>
      </c>
      <c r="C518" s="2" t="s">
        <v>1800</v>
      </c>
      <c r="D518" s="2" t="s">
        <v>2</v>
      </c>
      <c r="E518" s="2">
        <v>22</v>
      </c>
      <c r="F518" s="2">
        <v>0</v>
      </c>
      <c r="G518" s="2">
        <v>2</v>
      </c>
      <c r="H518" s="2">
        <v>30000</v>
      </c>
      <c r="I518" s="2">
        <v>90</v>
      </c>
      <c r="J518" s="2" t="s">
        <v>1779</v>
      </c>
      <c r="K518" s="2">
        <v>36</v>
      </c>
      <c r="L518" s="2">
        <v>10</v>
      </c>
      <c r="M518" s="2">
        <v>0</v>
      </c>
      <c r="N518" s="2">
        <v>6</v>
      </c>
      <c r="O518" s="2">
        <v>10</v>
      </c>
      <c r="P518" s="2">
        <v>10</v>
      </c>
      <c r="Q518" s="2" t="s">
        <v>2485</v>
      </c>
      <c r="R518" s="2" t="s">
        <v>2486</v>
      </c>
      <c r="S518" s="4">
        <v>44837</v>
      </c>
    </row>
    <row r="519" spans="1:19" ht="12.5" x14ac:dyDescent="0.25">
      <c r="A519" s="14" t="str">
        <f>HYPERLINK("https://gerandofalcoes.my.salesforce.com/0014X00002VKCqGQAX", "0014X00002VKCqGQAX")</f>
        <v>0014X00002VKCqGQAX</v>
      </c>
      <c r="B519" s="2" t="s">
        <v>2372</v>
      </c>
      <c r="C519" s="2" t="s">
        <v>423</v>
      </c>
      <c r="D519" s="2" t="s">
        <v>2</v>
      </c>
      <c r="E519" s="2">
        <v>26</v>
      </c>
      <c r="F519" s="2">
        <v>0</v>
      </c>
      <c r="G519" s="2">
        <v>2</v>
      </c>
      <c r="H519" s="2">
        <v>0</v>
      </c>
      <c r="I519" s="2">
        <v>0</v>
      </c>
      <c r="J519" s="2" t="s">
        <v>1779</v>
      </c>
      <c r="K519" s="2">
        <v>21</v>
      </c>
      <c r="L519" s="2">
        <v>15</v>
      </c>
      <c r="M519" s="2">
        <v>0</v>
      </c>
      <c r="N519" s="2">
        <v>6</v>
      </c>
      <c r="O519" s="2">
        <v>0</v>
      </c>
      <c r="P519" s="2">
        <v>0</v>
      </c>
      <c r="Q519" s="2" t="s">
        <v>2373</v>
      </c>
      <c r="R519" s="2" t="s">
        <v>2374</v>
      </c>
      <c r="S519" s="4">
        <v>44837</v>
      </c>
    </row>
    <row r="520" spans="1:19" ht="12.5" x14ac:dyDescent="0.25">
      <c r="A520" s="14" t="str">
        <f>HYPERLINK("https://gerandofalcoes.my.salesforce.com/0014X00002VKD06QAH", "0014X00002VKD06QAH")</f>
        <v>0014X00002VKD06QAH</v>
      </c>
      <c r="B520" s="2" t="s">
        <v>2677</v>
      </c>
      <c r="C520" s="2" t="s">
        <v>423</v>
      </c>
      <c r="D520" s="2" t="s">
        <v>2</v>
      </c>
      <c r="E520" s="2">
        <v>44</v>
      </c>
      <c r="F520" s="2">
        <v>17</v>
      </c>
      <c r="G520" s="2">
        <v>4</v>
      </c>
      <c r="H520" s="2">
        <v>56138481</v>
      </c>
      <c r="I520" s="2">
        <v>74</v>
      </c>
      <c r="J520" s="2" t="s">
        <v>1650</v>
      </c>
      <c r="K520" s="2">
        <v>67</v>
      </c>
      <c r="L520" s="2">
        <v>15</v>
      </c>
      <c r="M520" s="2">
        <v>12</v>
      </c>
      <c r="N520" s="2">
        <v>10</v>
      </c>
      <c r="O520" s="2">
        <v>25</v>
      </c>
      <c r="P520" s="2">
        <v>5</v>
      </c>
      <c r="Q520" s="2" t="s">
        <v>2678</v>
      </c>
      <c r="R520" s="2" t="s">
        <v>2679</v>
      </c>
      <c r="S520" s="4">
        <v>44837</v>
      </c>
    </row>
    <row r="521" spans="1:19" ht="12.5" x14ac:dyDescent="0.25">
      <c r="A521" s="14" t="str">
        <f>HYPERLINK("https://gerandofalcoes.my.salesforce.com/0014X00002VKCv7QAH", "0014X00002VKCv7QAH")</f>
        <v>0014X00002VKCv7QAH</v>
      </c>
      <c r="B521" s="2" t="s">
        <v>2568</v>
      </c>
      <c r="C521" s="2" t="s">
        <v>1800</v>
      </c>
      <c r="D521" s="2" t="s">
        <v>2</v>
      </c>
      <c r="E521" s="2">
        <v>20</v>
      </c>
      <c r="F521" s="2">
        <v>0</v>
      </c>
      <c r="G521" s="2">
        <v>3</v>
      </c>
      <c r="H521" s="2">
        <v>2000</v>
      </c>
      <c r="I521" s="2">
        <v>0</v>
      </c>
      <c r="J521" s="2" t="s">
        <v>1779</v>
      </c>
      <c r="K521" s="2">
        <v>23</v>
      </c>
      <c r="L521" s="2">
        <v>10</v>
      </c>
      <c r="M521" s="2">
        <v>0</v>
      </c>
      <c r="N521" s="2">
        <v>8</v>
      </c>
      <c r="O521" s="2">
        <v>5</v>
      </c>
      <c r="P521" s="2">
        <v>0</v>
      </c>
      <c r="Q521" s="2" t="s">
        <v>2569</v>
      </c>
      <c r="R521" s="2" t="s">
        <v>2570</v>
      </c>
      <c r="S521" s="4">
        <v>44837</v>
      </c>
    </row>
    <row r="522" spans="1:19" ht="12.5" x14ac:dyDescent="0.25">
      <c r="A522" s="14" t="str">
        <f>HYPERLINK("https://gerandofalcoes.my.salesforce.com/0014X00002VKCreQAH", "0014X00002VKCreQAH")</f>
        <v>0014X00002VKCreQAH</v>
      </c>
      <c r="B522" s="2" t="s">
        <v>2914</v>
      </c>
      <c r="C522" s="2" t="s">
        <v>423</v>
      </c>
      <c r="D522" s="2" t="s">
        <v>2</v>
      </c>
      <c r="E522" s="2">
        <v>29</v>
      </c>
      <c r="F522" s="2">
        <v>0</v>
      </c>
      <c r="G522" s="2">
        <v>1</v>
      </c>
      <c r="H522" s="2">
        <v>3245</v>
      </c>
      <c r="I522" s="2">
        <v>0</v>
      </c>
      <c r="J522" s="2" t="s">
        <v>1779</v>
      </c>
      <c r="K522" s="2">
        <v>24</v>
      </c>
      <c r="L522" s="2">
        <v>15</v>
      </c>
      <c r="M522" s="2">
        <v>0</v>
      </c>
      <c r="N522" s="2">
        <v>4</v>
      </c>
      <c r="O522" s="2">
        <v>5</v>
      </c>
      <c r="P522" s="2">
        <v>0</v>
      </c>
      <c r="Q522" s="2" t="s">
        <v>2915</v>
      </c>
      <c r="R522" s="2" t="s">
        <v>2915</v>
      </c>
      <c r="S522" s="4">
        <v>44837</v>
      </c>
    </row>
    <row r="523" spans="1:19" ht="12.5" x14ac:dyDescent="0.25">
      <c r="A523" s="14" t="str">
        <f>HYPERLINK("https://gerandofalcoes.my.salesforce.com/0014X00002VKCrbQAH", "0014X00002VKCrbQAH")</f>
        <v>0014X00002VKCrbQAH</v>
      </c>
      <c r="B523" s="2" t="s">
        <v>2820</v>
      </c>
      <c r="C523" s="2" t="s">
        <v>423</v>
      </c>
      <c r="D523" s="2" t="s">
        <v>2</v>
      </c>
      <c r="E523" s="2">
        <v>12</v>
      </c>
      <c r="F523" s="2">
        <v>0</v>
      </c>
      <c r="G523" s="2">
        <v>0</v>
      </c>
      <c r="H523" s="2">
        <v>0</v>
      </c>
      <c r="I523" s="2">
        <v>300</v>
      </c>
      <c r="J523" s="2" t="s">
        <v>1779</v>
      </c>
      <c r="K523" s="2">
        <v>25</v>
      </c>
      <c r="L523" s="2">
        <v>10</v>
      </c>
      <c r="M523" s="2">
        <v>0</v>
      </c>
      <c r="N523" s="2">
        <v>0</v>
      </c>
      <c r="O523" s="2">
        <v>0</v>
      </c>
      <c r="P523" s="2">
        <v>15</v>
      </c>
      <c r="Q523" s="2" t="s">
        <v>2821</v>
      </c>
      <c r="R523" s="2" t="s">
        <v>2822</v>
      </c>
      <c r="S523" s="4">
        <v>44837</v>
      </c>
    </row>
    <row r="524" spans="1:19" ht="12.5" x14ac:dyDescent="0.25">
      <c r="A524" s="14" t="str">
        <f>HYPERLINK("https://gerandofalcoes.my.salesforce.com/0014X00002VKCs2QAH", "0014X00002VKCs2QAH")</f>
        <v>0014X00002VKCs2QAH</v>
      </c>
      <c r="B524" s="2" t="s">
        <v>2727</v>
      </c>
      <c r="C524" s="2" t="s">
        <v>1800</v>
      </c>
      <c r="D524" s="2" t="s">
        <v>2</v>
      </c>
      <c r="E524" s="2">
        <v>15</v>
      </c>
      <c r="F524" s="2">
        <v>0</v>
      </c>
      <c r="G524" s="2">
        <v>2</v>
      </c>
      <c r="H524" s="2">
        <v>2500</v>
      </c>
      <c r="I524" s="2">
        <v>0</v>
      </c>
      <c r="J524" s="2" t="s">
        <v>1779</v>
      </c>
      <c r="K524" s="2">
        <v>21</v>
      </c>
      <c r="L524" s="2">
        <v>10</v>
      </c>
      <c r="M524" s="2">
        <v>0</v>
      </c>
      <c r="N524" s="2">
        <v>6</v>
      </c>
      <c r="O524" s="2">
        <v>5</v>
      </c>
      <c r="P524" s="2">
        <v>0</v>
      </c>
      <c r="Q524" s="2" t="s">
        <v>2728</v>
      </c>
      <c r="R524" s="2" t="s">
        <v>2729</v>
      </c>
      <c r="S524" s="4">
        <v>44837</v>
      </c>
    </row>
    <row r="525" spans="1:19" ht="12.5" x14ac:dyDescent="0.25">
      <c r="A525" s="14" t="str">
        <f>HYPERLINK("https://gerandofalcoes.my.salesforce.com/0014X00002VKCr5QAH", "0014X00002VKCr5QAH")</f>
        <v>0014X00002VKCr5QAH</v>
      </c>
      <c r="B525" s="2" t="s">
        <v>2067</v>
      </c>
      <c r="C525" s="2" t="s">
        <v>423</v>
      </c>
      <c r="D525" s="2" t="s">
        <v>2</v>
      </c>
      <c r="E525" s="2">
        <v>36.520000000000003</v>
      </c>
      <c r="F525" s="2">
        <v>6</v>
      </c>
      <c r="G525" s="2">
        <v>2</v>
      </c>
      <c r="H525" s="2">
        <v>5356022</v>
      </c>
      <c r="I525" s="2">
        <v>0</v>
      </c>
      <c r="J525" s="2" t="s">
        <v>1671</v>
      </c>
      <c r="K525" s="2">
        <v>56</v>
      </c>
      <c r="L525" s="2">
        <v>15</v>
      </c>
      <c r="M525" s="2">
        <v>10</v>
      </c>
      <c r="N525" s="2">
        <v>6</v>
      </c>
      <c r="O525" s="2">
        <v>25</v>
      </c>
      <c r="P525" s="2">
        <v>0</v>
      </c>
      <c r="Q525" s="2" t="s">
        <v>2068</v>
      </c>
      <c r="R525" s="2" t="s">
        <v>2069</v>
      </c>
      <c r="S525" s="4">
        <v>44837</v>
      </c>
    </row>
    <row r="526" spans="1:19" ht="12.5" x14ac:dyDescent="0.25">
      <c r="A526" s="14" t="str">
        <f>HYPERLINK("https://gerandofalcoes.my.salesforce.com/0014X00002VKCsxQAH", "0014X00002VKCsxQAH")</f>
        <v>0014X00002VKCsxQAH</v>
      </c>
      <c r="B526" s="2" t="s">
        <v>2500</v>
      </c>
      <c r="C526" s="2" t="s">
        <v>423</v>
      </c>
      <c r="D526" s="2" t="s">
        <v>2</v>
      </c>
      <c r="E526" s="2">
        <v>25</v>
      </c>
      <c r="F526" s="2">
        <v>0</v>
      </c>
      <c r="G526" s="2">
        <v>1</v>
      </c>
      <c r="H526" s="2">
        <v>3500000</v>
      </c>
      <c r="I526" s="2">
        <v>150</v>
      </c>
      <c r="J526" s="2" t="s">
        <v>1671</v>
      </c>
      <c r="K526" s="2">
        <v>56</v>
      </c>
      <c r="L526" s="2">
        <v>15</v>
      </c>
      <c r="M526" s="2">
        <v>0</v>
      </c>
      <c r="N526" s="2">
        <v>4</v>
      </c>
      <c r="O526" s="2">
        <v>25</v>
      </c>
      <c r="P526" s="2">
        <v>12</v>
      </c>
      <c r="Q526" s="2" t="s">
        <v>2501</v>
      </c>
      <c r="R526" s="2" t="s">
        <v>2502</v>
      </c>
      <c r="S526" s="4">
        <v>44837</v>
      </c>
    </row>
    <row r="527" spans="1:19" ht="12.5" x14ac:dyDescent="0.25">
      <c r="A527" s="14" t="str">
        <f>HYPERLINK("https://gerandofalcoes.my.salesforce.com/0014X00002VKCuAQAX", "0014X00002VKCuAQAX")</f>
        <v>0014X00002VKCuAQAX</v>
      </c>
      <c r="B527" s="2" t="s">
        <v>2155</v>
      </c>
      <c r="C527" s="2" t="s">
        <v>423</v>
      </c>
      <c r="D527" s="2" t="s">
        <v>2</v>
      </c>
      <c r="E527" s="2">
        <v>33.15</v>
      </c>
      <c r="F527" s="2">
        <v>0</v>
      </c>
      <c r="G527" s="2">
        <v>2</v>
      </c>
      <c r="H527" s="2">
        <v>25000</v>
      </c>
      <c r="I527" s="2">
        <v>25</v>
      </c>
      <c r="J527" s="2" t="s">
        <v>1779</v>
      </c>
      <c r="K527" s="2">
        <v>36</v>
      </c>
      <c r="L527" s="2">
        <v>15</v>
      </c>
      <c r="M527" s="2">
        <v>0</v>
      </c>
      <c r="N527" s="2">
        <v>6</v>
      </c>
      <c r="O527" s="2">
        <v>10</v>
      </c>
      <c r="P527" s="2">
        <v>5</v>
      </c>
      <c r="Q527" s="2" t="s">
        <v>2156</v>
      </c>
      <c r="R527" s="2" t="s">
        <v>2157</v>
      </c>
      <c r="S527" s="4">
        <v>44837</v>
      </c>
    </row>
    <row r="528" spans="1:19" ht="12.5" x14ac:dyDescent="0.25">
      <c r="A528" s="14" t="str">
        <f>HYPERLINK("https://gerandofalcoes.my.salesforce.com/0014X00002VKCrHQAX", "0014X00002VKCrHQAX")</f>
        <v>0014X00002VKCrHQAX</v>
      </c>
      <c r="B528" s="2" t="s">
        <v>2478</v>
      </c>
      <c r="C528" s="2" t="s">
        <v>423</v>
      </c>
      <c r="D528" s="2" t="s">
        <v>2</v>
      </c>
      <c r="E528" s="2">
        <v>22</v>
      </c>
      <c r="F528" s="2">
        <v>0</v>
      </c>
      <c r="G528" s="2">
        <v>3</v>
      </c>
      <c r="H528" s="2">
        <v>500</v>
      </c>
      <c r="I528" s="2">
        <v>114</v>
      </c>
      <c r="J528" s="2" t="s">
        <v>1779</v>
      </c>
      <c r="K528" s="2">
        <v>33</v>
      </c>
      <c r="L528" s="2">
        <v>10</v>
      </c>
      <c r="M528" s="2">
        <v>0</v>
      </c>
      <c r="N528" s="2">
        <v>8</v>
      </c>
      <c r="O528" s="2">
        <v>5</v>
      </c>
      <c r="P528" s="2">
        <v>10</v>
      </c>
      <c r="Q528" s="2" t="s">
        <v>2479</v>
      </c>
      <c r="R528" s="2" t="s">
        <v>2479</v>
      </c>
      <c r="S528" s="4">
        <v>44837</v>
      </c>
    </row>
    <row r="529" spans="1:19" ht="12.5" x14ac:dyDescent="0.25">
      <c r="A529" s="14" t="str">
        <f>HYPERLINK("https://gerandofalcoes.my.salesforce.com/0014X00002VKCsFQAX", "0014X00002VKCsFQAX")</f>
        <v>0014X00002VKCsFQAX</v>
      </c>
      <c r="B529" s="2" t="s">
        <v>2625</v>
      </c>
      <c r="C529" s="2" t="s">
        <v>423</v>
      </c>
      <c r="D529" s="2" t="s">
        <v>2</v>
      </c>
      <c r="E529" s="2">
        <v>18.13</v>
      </c>
      <c r="F529" s="2">
        <v>0</v>
      </c>
      <c r="G529" s="2">
        <v>1</v>
      </c>
      <c r="H529" s="2">
        <v>998</v>
      </c>
      <c r="I529" s="2">
        <v>70</v>
      </c>
      <c r="J529" s="2" t="s">
        <v>1779</v>
      </c>
      <c r="K529" s="2">
        <v>24</v>
      </c>
      <c r="L529" s="2">
        <v>10</v>
      </c>
      <c r="M529" s="2">
        <v>0</v>
      </c>
      <c r="N529" s="2">
        <v>4</v>
      </c>
      <c r="O529" s="2">
        <v>5</v>
      </c>
      <c r="P529" s="2">
        <v>5</v>
      </c>
      <c r="Q529" s="2" t="s">
        <v>2626</v>
      </c>
      <c r="R529" s="2" t="s">
        <v>2627</v>
      </c>
      <c r="S529" s="4">
        <v>44837</v>
      </c>
    </row>
    <row r="530" spans="1:19" ht="12.5" x14ac:dyDescent="0.25">
      <c r="A530" s="14" t="str">
        <f>HYPERLINK("https://gerandofalcoes.my.salesforce.com/0014X00002VKCsMQAX", "0014X00002VKCsMQAX")</f>
        <v>0014X00002VKCsMQAX</v>
      </c>
      <c r="B530" s="2" t="s">
        <v>2902</v>
      </c>
      <c r="C530" s="2" t="s">
        <v>423</v>
      </c>
      <c r="D530" s="2" t="s">
        <v>2</v>
      </c>
      <c r="E530" s="2">
        <v>8</v>
      </c>
      <c r="F530" s="2">
        <v>10</v>
      </c>
      <c r="G530" s="2">
        <v>2</v>
      </c>
      <c r="H530" s="2">
        <v>5000</v>
      </c>
      <c r="I530" s="2">
        <v>106</v>
      </c>
      <c r="J530" s="2" t="s">
        <v>1671</v>
      </c>
      <c r="K530" s="2">
        <v>41</v>
      </c>
      <c r="L530" s="2">
        <v>10</v>
      </c>
      <c r="M530" s="2">
        <v>10</v>
      </c>
      <c r="N530" s="2">
        <v>6</v>
      </c>
      <c r="O530" s="2">
        <v>5</v>
      </c>
      <c r="P530" s="2">
        <v>10</v>
      </c>
      <c r="Q530" s="2" t="s">
        <v>2903</v>
      </c>
      <c r="R530" s="2" t="s">
        <v>2904</v>
      </c>
      <c r="S530" s="4">
        <v>44837</v>
      </c>
    </row>
    <row r="531" spans="1:19" ht="12.5" x14ac:dyDescent="0.25">
      <c r="A531" s="14" t="str">
        <f>HYPERLINK("https://gerandofalcoes.my.salesforce.com/0014X00002VKCrJQAX", "0014X00002VKCrJQAX")</f>
        <v>0014X00002VKCrJQAX</v>
      </c>
      <c r="B531" s="2" t="s">
        <v>2375</v>
      </c>
      <c r="C531" s="2" t="s">
        <v>1800</v>
      </c>
      <c r="D531" s="2" t="s">
        <v>2</v>
      </c>
      <c r="E531" s="2">
        <v>26</v>
      </c>
      <c r="F531" s="2">
        <v>0</v>
      </c>
      <c r="G531" s="2">
        <v>4</v>
      </c>
      <c r="H531" s="2">
        <v>1</v>
      </c>
      <c r="I531" s="2">
        <v>0</v>
      </c>
      <c r="J531" s="2" t="s">
        <v>1779</v>
      </c>
      <c r="K531" s="2">
        <v>30</v>
      </c>
      <c r="L531" s="2">
        <v>15</v>
      </c>
      <c r="M531" s="2">
        <v>0</v>
      </c>
      <c r="N531" s="2">
        <v>10</v>
      </c>
      <c r="O531" s="2">
        <v>5</v>
      </c>
      <c r="P531" s="2">
        <v>0</v>
      </c>
      <c r="Q531" s="2" t="s">
        <v>2376</v>
      </c>
      <c r="R531" s="2" t="s">
        <v>2377</v>
      </c>
      <c r="S531" s="4">
        <v>44837</v>
      </c>
    </row>
    <row r="532" spans="1:19" ht="12.5" x14ac:dyDescent="0.25">
      <c r="A532" s="14" t="str">
        <f>HYPERLINK("https://gerandofalcoes.my.salesforce.com/0014X00002VKCpjQAH", "0014X00002VKCpjQAH")</f>
        <v>0014X00002VKCpjQAH</v>
      </c>
      <c r="B532" s="2" t="s">
        <v>2152</v>
      </c>
      <c r="C532" s="2" t="s">
        <v>423</v>
      </c>
      <c r="D532" s="2" t="s">
        <v>2</v>
      </c>
      <c r="E532" s="2">
        <v>46</v>
      </c>
      <c r="F532" s="2">
        <v>0</v>
      </c>
      <c r="G532" s="2">
        <v>2</v>
      </c>
      <c r="H532" s="2">
        <v>160028</v>
      </c>
      <c r="I532" s="2">
        <v>156</v>
      </c>
      <c r="J532" s="2" t="s">
        <v>1671</v>
      </c>
      <c r="K532" s="2">
        <v>48</v>
      </c>
      <c r="L532" s="2">
        <v>15</v>
      </c>
      <c r="M532" s="2">
        <v>0</v>
      </c>
      <c r="N532" s="2">
        <v>6</v>
      </c>
      <c r="O532" s="2">
        <v>15</v>
      </c>
      <c r="P532" s="2">
        <v>12</v>
      </c>
      <c r="Q532" s="2" t="s">
        <v>2153</v>
      </c>
      <c r="R532" s="2" t="s">
        <v>2154</v>
      </c>
      <c r="S532" s="4">
        <v>44837</v>
      </c>
    </row>
    <row r="533" spans="1:19" ht="12.5" x14ac:dyDescent="0.25">
      <c r="A533" s="14" t="str">
        <f>HYPERLINK("https://gerandofalcoes.my.salesforce.com/0014X00002VKCv2QAH", "0014X00002VKCv2QAH")</f>
        <v>0014X00002VKCv2QAH</v>
      </c>
      <c r="B533" s="2" t="s">
        <v>2450</v>
      </c>
      <c r="C533" s="2" t="s">
        <v>423</v>
      </c>
      <c r="D533" s="2" t="s">
        <v>2</v>
      </c>
      <c r="E533" s="2">
        <v>24</v>
      </c>
      <c r="F533" s="2">
        <v>5</v>
      </c>
      <c r="G533" s="2">
        <v>3</v>
      </c>
      <c r="H533" s="2">
        <v>500</v>
      </c>
      <c r="I533" s="2">
        <v>0</v>
      </c>
      <c r="J533" s="2" t="s">
        <v>1779</v>
      </c>
      <c r="K533" s="2">
        <v>28</v>
      </c>
      <c r="L533" s="2">
        <v>10</v>
      </c>
      <c r="M533" s="2">
        <v>5</v>
      </c>
      <c r="N533" s="2">
        <v>8</v>
      </c>
      <c r="O533" s="2">
        <v>5</v>
      </c>
      <c r="P533" s="2">
        <v>0</v>
      </c>
      <c r="Q533" s="2" t="s">
        <v>2451</v>
      </c>
      <c r="R533" s="2" t="s">
        <v>2451</v>
      </c>
      <c r="S533" s="4">
        <v>44837</v>
      </c>
    </row>
    <row r="534" spans="1:19" ht="12.5" x14ac:dyDescent="0.25">
      <c r="A534" s="14" t="str">
        <f>HYPERLINK("https://gerandofalcoes.my.salesforce.com/0014X00002VKCtTQAX", "0014X00002VKCtTQAX")</f>
        <v>0014X00002VKCtTQAX</v>
      </c>
      <c r="B534" s="2" t="s">
        <v>2091</v>
      </c>
      <c r="C534" s="2" t="s">
        <v>423</v>
      </c>
      <c r="D534" s="2" t="s">
        <v>2</v>
      </c>
      <c r="E534" s="2">
        <v>44</v>
      </c>
      <c r="F534" s="2">
        <v>0</v>
      </c>
      <c r="G534" s="2">
        <v>2</v>
      </c>
      <c r="H534" s="2">
        <v>21451</v>
      </c>
      <c r="I534" s="2">
        <v>56</v>
      </c>
      <c r="J534" s="2" t="s">
        <v>1779</v>
      </c>
      <c r="K534" s="2">
        <v>31</v>
      </c>
      <c r="L534" s="2">
        <v>15</v>
      </c>
      <c r="M534" s="2">
        <v>0</v>
      </c>
      <c r="N534" s="2">
        <v>6</v>
      </c>
      <c r="O534" s="2">
        <v>5</v>
      </c>
      <c r="P534" s="2">
        <v>5</v>
      </c>
      <c r="Q534" s="2" t="s">
        <v>2092</v>
      </c>
      <c r="R534" s="2" t="s">
        <v>2092</v>
      </c>
      <c r="S534" s="4">
        <v>44837</v>
      </c>
    </row>
    <row r="535" spans="1:19" ht="12.5" x14ac:dyDescent="0.25">
      <c r="A535" s="14" t="str">
        <f>HYPERLINK("https://gerandofalcoes.my.salesforce.com/0014X00002VKCtNQAX", "0014X00002VKCtNQAX")</f>
        <v>0014X00002VKCtNQAX</v>
      </c>
      <c r="B535" s="2" t="s">
        <v>2703</v>
      </c>
      <c r="C535" s="2" t="s">
        <v>423</v>
      </c>
      <c r="D535" s="2" t="s">
        <v>2</v>
      </c>
      <c r="E535" s="2">
        <v>26</v>
      </c>
      <c r="F535" s="2">
        <v>0</v>
      </c>
      <c r="G535" s="2">
        <v>2</v>
      </c>
      <c r="H535" s="2">
        <v>2014715</v>
      </c>
      <c r="I535" s="2">
        <v>50</v>
      </c>
      <c r="J535" s="2" t="s">
        <v>1671</v>
      </c>
      <c r="K535" s="2">
        <v>51</v>
      </c>
      <c r="L535" s="2">
        <v>15</v>
      </c>
      <c r="M535" s="2">
        <v>0</v>
      </c>
      <c r="N535" s="2">
        <v>6</v>
      </c>
      <c r="O535" s="2">
        <v>25</v>
      </c>
      <c r="P535" s="2">
        <v>5</v>
      </c>
      <c r="Q535" s="2" t="s">
        <v>2704</v>
      </c>
      <c r="R535" s="2" t="s">
        <v>2705</v>
      </c>
      <c r="S535" s="4">
        <v>44837</v>
      </c>
    </row>
    <row r="536" spans="1:19" ht="12.5" x14ac:dyDescent="0.25">
      <c r="A536" s="14" t="str">
        <f>HYPERLINK("https://gerandofalcoes.my.salesforce.com/0014X00002VKCu0QAH", "0014X00002VKCu0QAH")</f>
        <v>0014X00002VKCu0QAH</v>
      </c>
      <c r="B536" s="2" t="s">
        <v>2457</v>
      </c>
      <c r="C536" s="2" t="s">
        <v>423</v>
      </c>
      <c r="D536" s="2" t="s">
        <v>2</v>
      </c>
      <c r="E536" s="2">
        <v>23</v>
      </c>
      <c r="F536" s="2">
        <v>0</v>
      </c>
      <c r="G536" s="2">
        <v>2</v>
      </c>
      <c r="H536" s="2">
        <v>2500</v>
      </c>
      <c r="I536" s="2">
        <v>120</v>
      </c>
      <c r="J536" s="2" t="s">
        <v>1779</v>
      </c>
      <c r="K536" s="2">
        <v>31</v>
      </c>
      <c r="L536" s="2">
        <v>10</v>
      </c>
      <c r="M536" s="2">
        <v>0</v>
      </c>
      <c r="N536" s="2">
        <v>6</v>
      </c>
      <c r="O536" s="2">
        <v>5</v>
      </c>
      <c r="P536" s="2">
        <v>10</v>
      </c>
      <c r="Q536" s="2" t="s">
        <v>2458</v>
      </c>
      <c r="R536" s="2" t="s">
        <v>2458</v>
      </c>
      <c r="S536" s="4">
        <v>44837</v>
      </c>
    </row>
    <row r="537" spans="1:19" ht="12.5" x14ac:dyDescent="0.25">
      <c r="A537" s="14" t="str">
        <f>HYPERLINK("https://gerandofalcoes.my.salesforce.com/0014X00002VKCspQAH", "0014X00002VKCspQAH")</f>
        <v>0014X00002VKCspQAH</v>
      </c>
      <c r="B537" s="2" t="s">
        <v>2506</v>
      </c>
      <c r="C537" s="2" t="s">
        <v>423</v>
      </c>
      <c r="D537" s="2" t="s">
        <v>2</v>
      </c>
      <c r="E537" s="2">
        <v>32</v>
      </c>
      <c r="F537" s="2">
        <v>0</v>
      </c>
      <c r="G537" s="2">
        <v>0</v>
      </c>
      <c r="H537" s="2">
        <v>0</v>
      </c>
      <c r="I537" s="2">
        <v>100</v>
      </c>
      <c r="J537" s="2" t="s">
        <v>1779</v>
      </c>
      <c r="K537" s="2">
        <v>25</v>
      </c>
      <c r="L537" s="2">
        <v>15</v>
      </c>
      <c r="M537" s="2">
        <v>0</v>
      </c>
      <c r="N537" s="2">
        <v>0</v>
      </c>
      <c r="O537" s="2">
        <v>0</v>
      </c>
      <c r="P537" s="2">
        <v>10</v>
      </c>
      <c r="Q537" s="2" t="s">
        <v>2507</v>
      </c>
      <c r="R537" s="2" t="s">
        <v>2508</v>
      </c>
      <c r="S537" s="4">
        <v>44837</v>
      </c>
    </row>
    <row r="538" spans="1:19" ht="12.5" x14ac:dyDescent="0.25">
      <c r="A538" s="14" t="str">
        <f>HYPERLINK("https://gerandofalcoes.my.salesforce.com/0014X00002VKCuCQAX", "0014X00002VKCuCQAX")</f>
        <v>0014X00002VKCuCQAX</v>
      </c>
      <c r="B538" s="2" t="s">
        <v>1847</v>
      </c>
      <c r="C538" s="2" t="s">
        <v>423</v>
      </c>
      <c r="D538" s="2" t="s">
        <v>2</v>
      </c>
      <c r="E538" s="2">
        <v>62</v>
      </c>
      <c r="F538" s="2">
        <v>3</v>
      </c>
      <c r="G538" s="2">
        <v>3</v>
      </c>
      <c r="H538" s="2">
        <v>20593734</v>
      </c>
      <c r="I538" s="2">
        <v>37</v>
      </c>
      <c r="J538" s="2" t="s">
        <v>1671</v>
      </c>
      <c r="K538" s="2">
        <v>63</v>
      </c>
      <c r="L538" s="2">
        <v>20</v>
      </c>
      <c r="M538" s="2">
        <v>5</v>
      </c>
      <c r="N538" s="2">
        <v>8</v>
      </c>
      <c r="O538" s="2">
        <v>25</v>
      </c>
      <c r="P538" s="2">
        <v>5</v>
      </c>
      <c r="Q538" s="2" t="s">
        <v>1848</v>
      </c>
      <c r="R538" s="2" t="s">
        <v>1849</v>
      </c>
      <c r="S538" s="4">
        <v>44837</v>
      </c>
    </row>
    <row r="539" spans="1:19" ht="12.5" x14ac:dyDescent="0.25">
      <c r="A539" s="14" t="str">
        <f>HYPERLINK("https://gerandofalcoes.my.salesforce.com/0014X00002VKCrfQAH", "0014X00002VKCrfQAH")</f>
        <v>0014X00002VKCrfQAH</v>
      </c>
      <c r="B539" s="2" t="s">
        <v>2804</v>
      </c>
      <c r="C539" s="2" t="s">
        <v>1800</v>
      </c>
      <c r="D539" s="2" t="s">
        <v>2</v>
      </c>
      <c r="E539" s="2">
        <v>13</v>
      </c>
      <c r="F539" s="2">
        <v>0</v>
      </c>
      <c r="G539" s="2">
        <v>4</v>
      </c>
      <c r="H539" s="2">
        <v>10000</v>
      </c>
      <c r="I539" s="2">
        <v>2</v>
      </c>
      <c r="J539" s="2" t="s">
        <v>1779</v>
      </c>
      <c r="K539" s="2">
        <v>30</v>
      </c>
      <c r="L539" s="2">
        <v>10</v>
      </c>
      <c r="M539" s="2">
        <v>0</v>
      </c>
      <c r="N539" s="2">
        <v>10</v>
      </c>
      <c r="O539" s="2">
        <v>5</v>
      </c>
      <c r="P539" s="2">
        <v>5</v>
      </c>
      <c r="Q539" s="2" t="s">
        <v>2805</v>
      </c>
      <c r="R539" s="2" t="s">
        <v>2806</v>
      </c>
      <c r="S539" s="4">
        <v>44837</v>
      </c>
    </row>
    <row r="540" spans="1:19" ht="12.5" x14ac:dyDescent="0.25">
      <c r="A540" s="14" t="str">
        <f>HYPERLINK("https://gerandofalcoes.my.salesforce.com/0014X00002VKCrQQAX", "0014X00002VKCrQQAX")</f>
        <v>0014X00002VKCrQQAX</v>
      </c>
      <c r="B540" s="2" t="s">
        <v>2765</v>
      </c>
      <c r="C540" s="2" t="s">
        <v>1800</v>
      </c>
      <c r="D540" s="2" t="s">
        <v>2</v>
      </c>
      <c r="E540" s="2">
        <v>14</v>
      </c>
      <c r="F540" s="2">
        <v>0</v>
      </c>
      <c r="G540" s="2">
        <v>2</v>
      </c>
      <c r="H540" s="2">
        <v>40000</v>
      </c>
      <c r="I540" s="2">
        <v>0</v>
      </c>
      <c r="J540" s="2" t="s">
        <v>1779</v>
      </c>
      <c r="K540" s="2">
        <v>26</v>
      </c>
      <c r="L540" s="2">
        <v>10</v>
      </c>
      <c r="M540" s="2">
        <v>0</v>
      </c>
      <c r="N540" s="2">
        <v>6</v>
      </c>
      <c r="O540" s="2">
        <v>10</v>
      </c>
      <c r="P540" s="2">
        <v>0</v>
      </c>
      <c r="Q540" s="2" t="s">
        <v>2766</v>
      </c>
      <c r="R540" s="2" t="s">
        <v>2767</v>
      </c>
      <c r="S540" s="4">
        <v>44837</v>
      </c>
    </row>
    <row r="541" spans="1:19" ht="12.5" x14ac:dyDescent="0.25">
      <c r="A541" s="14" t="str">
        <f>HYPERLINK("https://gerandofalcoes.my.salesforce.com/0014X00002VKCroQAH", "0014X00002VKCroQAH")</f>
        <v>0014X00002VKCroQAH</v>
      </c>
      <c r="B541" s="2" t="s">
        <v>2632</v>
      </c>
      <c r="C541" s="2" t="s">
        <v>1800</v>
      </c>
      <c r="D541" s="2" t="s">
        <v>2</v>
      </c>
      <c r="E541" s="2">
        <v>18</v>
      </c>
      <c r="F541" s="2">
        <v>0</v>
      </c>
      <c r="G541" s="2">
        <v>3</v>
      </c>
      <c r="H541" s="2">
        <v>8400</v>
      </c>
      <c r="I541" s="2">
        <v>100</v>
      </c>
      <c r="J541" s="2" t="s">
        <v>1779</v>
      </c>
      <c r="K541" s="2">
        <v>33</v>
      </c>
      <c r="L541" s="2">
        <v>10</v>
      </c>
      <c r="M541" s="2">
        <v>0</v>
      </c>
      <c r="N541" s="2">
        <v>8</v>
      </c>
      <c r="O541" s="2">
        <v>5</v>
      </c>
      <c r="P541" s="2">
        <v>10</v>
      </c>
      <c r="Q541" s="2" t="s">
        <v>2633</v>
      </c>
      <c r="R541" s="2" t="s">
        <v>2634</v>
      </c>
      <c r="S541" s="4">
        <v>44837</v>
      </c>
    </row>
    <row r="542" spans="1:19" ht="12.5" x14ac:dyDescent="0.25">
      <c r="A542" s="14" t="str">
        <f>HYPERLINK("https://gerandofalcoes.my.salesforce.com/0014X00002VKCueQAH", "0014X00002VKCueQAH")</f>
        <v>0014X00002VKCueQAH</v>
      </c>
      <c r="B542" s="2" t="s">
        <v>2128</v>
      </c>
      <c r="C542" s="2" t="s">
        <v>423</v>
      </c>
      <c r="D542" s="2" t="s">
        <v>2</v>
      </c>
      <c r="E542" s="2">
        <v>33</v>
      </c>
      <c r="F542" s="2">
        <v>0</v>
      </c>
      <c r="G542" s="2">
        <v>3</v>
      </c>
      <c r="H542" s="2">
        <v>40000</v>
      </c>
      <c r="I542" s="2">
        <v>10</v>
      </c>
      <c r="J542" s="2" t="s">
        <v>1779</v>
      </c>
      <c r="K542" s="2">
        <v>38</v>
      </c>
      <c r="L542" s="2">
        <v>15</v>
      </c>
      <c r="M542" s="2">
        <v>0</v>
      </c>
      <c r="N542" s="2">
        <v>8</v>
      </c>
      <c r="O542" s="2">
        <v>10</v>
      </c>
      <c r="P542" s="2">
        <v>5</v>
      </c>
      <c r="Q542" s="2" t="s">
        <v>2129</v>
      </c>
      <c r="R542" s="2" t="s">
        <v>2130</v>
      </c>
      <c r="S542" s="4">
        <v>44837</v>
      </c>
    </row>
    <row r="543" spans="1:19" ht="12.5" x14ac:dyDescent="0.25">
      <c r="A543" s="14" t="str">
        <f>HYPERLINK("https://gerandofalcoes.my.salesforce.com/0014X00002VKCqnQAH", "0014X00002VKCqnQAH")</f>
        <v>0014X00002VKCqnQAH</v>
      </c>
      <c r="B543" s="2" t="s">
        <v>2743</v>
      </c>
      <c r="C543" s="2" t="s">
        <v>423</v>
      </c>
      <c r="D543" s="2" t="s">
        <v>2</v>
      </c>
      <c r="E543" s="2">
        <v>48</v>
      </c>
      <c r="F543" s="2">
        <v>0</v>
      </c>
      <c r="G543" s="2">
        <v>4</v>
      </c>
      <c r="H543" s="2">
        <v>99683</v>
      </c>
      <c r="I543" s="2">
        <v>180</v>
      </c>
      <c r="J543" s="2" t="s">
        <v>1671</v>
      </c>
      <c r="K543" s="2">
        <v>47</v>
      </c>
      <c r="L543" s="2">
        <v>15</v>
      </c>
      <c r="M543" s="2">
        <v>0</v>
      </c>
      <c r="N543" s="2">
        <v>10</v>
      </c>
      <c r="O543" s="2">
        <v>10</v>
      </c>
      <c r="P543" s="2">
        <v>12</v>
      </c>
      <c r="Q543" s="2" t="s">
        <v>2744</v>
      </c>
      <c r="R543" s="2" t="s">
        <v>2745</v>
      </c>
      <c r="S543" s="4">
        <v>44837</v>
      </c>
    </row>
    <row r="544" spans="1:19" ht="12.5" x14ac:dyDescent="0.25">
      <c r="A544" s="14" t="str">
        <f>HYPERLINK("https://gerandofalcoes.my.salesforce.com/0014X00002VKCr7QAH", "0014X00002VKCr7QAH")</f>
        <v>0014X00002VKCr7QAH</v>
      </c>
      <c r="B544" s="2" t="s">
        <v>2730</v>
      </c>
      <c r="C544" s="2" t="s">
        <v>423</v>
      </c>
      <c r="D544" s="2" t="s">
        <v>2</v>
      </c>
      <c r="E544" s="2">
        <v>15</v>
      </c>
      <c r="F544" s="2">
        <v>0</v>
      </c>
      <c r="G544" s="2">
        <v>2</v>
      </c>
      <c r="H544" s="2">
        <v>0</v>
      </c>
      <c r="I544" s="2">
        <v>0</v>
      </c>
      <c r="J544" s="2" t="s">
        <v>1779</v>
      </c>
      <c r="K544" s="2">
        <v>16</v>
      </c>
      <c r="L544" s="2">
        <v>10</v>
      </c>
      <c r="M544" s="2">
        <v>0</v>
      </c>
      <c r="N544" s="2">
        <v>6</v>
      </c>
      <c r="O544" s="2">
        <v>0</v>
      </c>
      <c r="P544" s="2">
        <v>0</v>
      </c>
      <c r="Q544" s="2" t="s">
        <v>2731</v>
      </c>
      <c r="R544" s="2" t="s">
        <v>2731</v>
      </c>
      <c r="S544" s="4">
        <v>44837</v>
      </c>
    </row>
    <row r="545" spans="1:19" ht="12.5" x14ac:dyDescent="0.25">
      <c r="A545" s="14" t="str">
        <f>HYPERLINK("https://gerandofalcoes.my.salesforce.com/0014X00002VKCtCQAX", "0014X00002VKCtCQAX")</f>
        <v>0014X00002VKCtCQAX</v>
      </c>
      <c r="B545" s="2" t="s">
        <v>2724</v>
      </c>
      <c r="C545" s="2" t="s">
        <v>423</v>
      </c>
      <c r="D545" s="2" t="s">
        <v>2</v>
      </c>
      <c r="E545" s="2">
        <v>15</v>
      </c>
      <c r="F545" s="2">
        <v>0</v>
      </c>
      <c r="G545" s="2">
        <v>1</v>
      </c>
      <c r="H545" s="2">
        <v>6000</v>
      </c>
      <c r="I545" s="2">
        <v>40</v>
      </c>
      <c r="J545" s="2" t="s">
        <v>1779</v>
      </c>
      <c r="K545" s="2">
        <v>24</v>
      </c>
      <c r="L545" s="2">
        <v>10</v>
      </c>
      <c r="M545" s="2">
        <v>0</v>
      </c>
      <c r="N545" s="2">
        <v>4</v>
      </c>
      <c r="O545" s="2">
        <v>5</v>
      </c>
      <c r="P545" s="2">
        <v>5</v>
      </c>
      <c r="Q545" s="2" t="s">
        <v>2725</v>
      </c>
      <c r="R545" s="2" t="s">
        <v>2726</v>
      </c>
      <c r="S545" s="4">
        <v>44837</v>
      </c>
    </row>
    <row r="546" spans="1:19" ht="12.5" x14ac:dyDescent="0.25">
      <c r="A546" s="14" t="str">
        <f>HYPERLINK("https://gerandofalcoes.my.salesforce.com/0014X00002VKCr3QAH", "0014X00002VKCr3QAH")</f>
        <v>0014X00002VKCr3QAH</v>
      </c>
      <c r="B546" s="2" t="s">
        <v>2399</v>
      </c>
      <c r="C546" s="2" t="s">
        <v>423</v>
      </c>
      <c r="D546" s="2" t="s">
        <v>2</v>
      </c>
      <c r="E546" s="2">
        <v>25</v>
      </c>
      <c r="F546" s="2">
        <v>0</v>
      </c>
      <c r="G546" s="2">
        <v>0</v>
      </c>
      <c r="H546" s="2">
        <v>0</v>
      </c>
      <c r="I546" s="2">
        <v>700</v>
      </c>
      <c r="J546" s="2" t="s">
        <v>1779</v>
      </c>
      <c r="K546" s="2">
        <v>35</v>
      </c>
      <c r="L546" s="2">
        <v>15</v>
      </c>
      <c r="M546" s="2">
        <v>0</v>
      </c>
      <c r="N546" s="2">
        <v>0</v>
      </c>
      <c r="O546" s="2">
        <v>0</v>
      </c>
      <c r="P546" s="2">
        <v>20</v>
      </c>
      <c r="Q546" s="2" t="s">
        <v>2400</v>
      </c>
      <c r="R546" s="2" t="s">
        <v>2400</v>
      </c>
      <c r="S546" s="4">
        <v>44837</v>
      </c>
    </row>
    <row r="547" spans="1:19" ht="12.5" x14ac:dyDescent="0.25">
      <c r="A547" s="14" t="str">
        <f>HYPERLINK("https://gerandofalcoes.my.salesforce.com/0014X00002VKCqmQAH", "0014X00002VKCqmQAH")</f>
        <v>0014X00002VKCqmQAH</v>
      </c>
      <c r="B547" s="2" t="s">
        <v>2032</v>
      </c>
      <c r="C547" s="2" t="s">
        <v>423</v>
      </c>
      <c r="D547" s="2" t="s">
        <v>2</v>
      </c>
      <c r="E547" s="2">
        <v>37</v>
      </c>
      <c r="F547" s="2">
        <v>5</v>
      </c>
      <c r="G547" s="2">
        <v>1</v>
      </c>
      <c r="H547" s="2">
        <v>40000</v>
      </c>
      <c r="I547" s="2">
        <v>250</v>
      </c>
      <c r="J547" s="2" t="s">
        <v>1671</v>
      </c>
      <c r="K547" s="2">
        <v>46</v>
      </c>
      <c r="L547" s="2">
        <v>15</v>
      </c>
      <c r="M547" s="2">
        <v>5</v>
      </c>
      <c r="N547" s="2">
        <v>4</v>
      </c>
      <c r="O547" s="2">
        <v>10</v>
      </c>
      <c r="P547" s="2">
        <v>12</v>
      </c>
      <c r="Q547" s="2" t="s">
        <v>2033</v>
      </c>
      <c r="R547" s="2" t="s">
        <v>2034</v>
      </c>
      <c r="S547" s="4">
        <v>44837</v>
      </c>
    </row>
    <row r="548" spans="1:19" ht="12.5" x14ac:dyDescent="0.25">
      <c r="A548" s="14" t="str">
        <f>HYPERLINK("https://gerandofalcoes.my.salesforce.com/0014X00002VKCu1QAH", "0014X00002VKCu1QAH")</f>
        <v>0014X00002VKCu1QAH</v>
      </c>
      <c r="B548" s="2" t="s">
        <v>2158</v>
      </c>
      <c r="C548" s="2" t="s">
        <v>1800</v>
      </c>
      <c r="D548" s="2" t="s">
        <v>2</v>
      </c>
      <c r="E548" s="2">
        <v>33</v>
      </c>
      <c r="F548" s="2">
        <v>0</v>
      </c>
      <c r="G548" s="2">
        <v>3</v>
      </c>
      <c r="H548" s="2">
        <v>10000</v>
      </c>
      <c r="I548" s="2">
        <v>3500</v>
      </c>
      <c r="J548" s="2" t="s">
        <v>1671</v>
      </c>
      <c r="K548" s="2">
        <v>48</v>
      </c>
      <c r="L548" s="2">
        <v>15</v>
      </c>
      <c r="M548" s="2">
        <v>0</v>
      </c>
      <c r="N548" s="2">
        <v>8</v>
      </c>
      <c r="O548" s="2">
        <v>5</v>
      </c>
      <c r="P548" s="2">
        <v>20</v>
      </c>
      <c r="Q548" s="2" t="s">
        <v>2159</v>
      </c>
      <c r="R548" s="2" t="s">
        <v>2160</v>
      </c>
      <c r="S548" s="4">
        <v>44837</v>
      </c>
    </row>
    <row r="549" spans="1:19" ht="12.5" x14ac:dyDescent="0.25">
      <c r="A549" s="14" t="str">
        <f>HYPERLINK("https://gerandofalcoes.my.salesforce.com/0014X00002VKD05QAH", "0014X00002VKD05QAH")</f>
        <v>0014X00002VKD05QAH</v>
      </c>
      <c r="B549" s="2" t="s">
        <v>2264</v>
      </c>
      <c r="C549" s="2" t="s">
        <v>423</v>
      </c>
      <c r="D549" s="2" t="s">
        <v>2</v>
      </c>
      <c r="E549" s="2">
        <v>30</v>
      </c>
      <c r="F549" s="2">
        <v>0</v>
      </c>
      <c r="G549" s="2">
        <v>2</v>
      </c>
      <c r="H549" s="2">
        <v>199010</v>
      </c>
      <c r="I549" s="2">
        <v>240</v>
      </c>
      <c r="J549" s="2" t="s">
        <v>1671</v>
      </c>
      <c r="K549" s="2">
        <v>48</v>
      </c>
      <c r="L549" s="2">
        <v>15</v>
      </c>
      <c r="M549" s="2">
        <v>0</v>
      </c>
      <c r="N549" s="2">
        <v>6</v>
      </c>
      <c r="O549" s="2">
        <v>15</v>
      </c>
      <c r="P549" s="2">
        <v>12</v>
      </c>
      <c r="Q549" s="2" t="s">
        <v>2265</v>
      </c>
      <c r="R549" s="2" t="s">
        <v>2266</v>
      </c>
      <c r="S549" s="4">
        <v>44837</v>
      </c>
    </row>
    <row r="550" spans="1:19" ht="12.5" x14ac:dyDescent="0.25">
      <c r="A550" s="14" t="str">
        <f>HYPERLINK("https://gerandofalcoes.my.salesforce.com/0014X00002VKCsSQAX", "0014X00002VKCsSQAX")</f>
        <v>0014X00002VKCsSQAX</v>
      </c>
      <c r="B550" s="2" t="s">
        <v>2354</v>
      </c>
      <c r="C550" s="2" t="s">
        <v>1800</v>
      </c>
      <c r="D550" s="2" t="s">
        <v>2</v>
      </c>
      <c r="E550" s="2">
        <v>27</v>
      </c>
      <c r="F550" s="2">
        <v>0</v>
      </c>
      <c r="G550" s="2">
        <v>3</v>
      </c>
      <c r="H550" s="2">
        <v>28800</v>
      </c>
      <c r="I550" s="2">
        <v>65</v>
      </c>
      <c r="J550" s="2" t="s">
        <v>1779</v>
      </c>
      <c r="K550" s="2">
        <v>38</v>
      </c>
      <c r="L550" s="2">
        <v>15</v>
      </c>
      <c r="M550" s="2">
        <v>0</v>
      </c>
      <c r="N550" s="2">
        <v>8</v>
      </c>
      <c r="O550" s="2">
        <v>10</v>
      </c>
      <c r="P550" s="2">
        <v>5</v>
      </c>
      <c r="Q550" s="2" t="s">
        <v>2355</v>
      </c>
      <c r="R550" s="2" t="s">
        <v>2356</v>
      </c>
      <c r="S550" s="4">
        <v>44837</v>
      </c>
    </row>
    <row r="551" spans="1:19" ht="12.5" x14ac:dyDescent="0.25">
      <c r="A551" s="14" t="str">
        <f>HYPERLINK("https://gerandofalcoes.my.salesforce.com/0014P00003AN2FvQAL", "0014P00003AN2FvQAL")</f>
        <v>0014P00003AN2FvQAL</v>
      </c>
      <c r="B551" s="2" t="s">
        <v>1746</v>
      </c>
      <c r="C551" s="2" t="s">
        <v>423</v>
      </c>
      <c r="D551" s="2" t="s">
        <v>27</v>
      </c>
      <c r="E551" s="2">
        <v>64</v>
      </c>
      <c r="F551" s="2">
        <v>7</v>
      </c>
      <c r="G551" s="2">
        <v>2</v>
      </c>
      <c r="H551" s="2">
        <v>109514.68</v>
      </c>
      <c r="I551" s="2">
        <v>127</v>
      </c>
      <c r="J551" s="2" t="s">
        <v>1671</v>
      </c>
      <c r="K551" s="2">
        <v>61</v>
      </c>
      <c r="L551" s="2">
        <v>20</v>
      </c>
      <c r="M551" s="2">
        <v>10</v>
      </c>
      <c r="N551" s="2">
        <v>6</v>
      </c>
      <c r="O551" s="2">
        <v>15</v>
      </c>
      <c r="P551" s="2">
        <v>10</v>
      </c>
      <c r="Q551" s="2" t="s">
        <v>142</v>
      </c>
      <c r="R551" s="2" t="s">
        <v>142</v>
      </c>
      <c r="S551" s="4">
        <v>44837</v>
      </c>
    </row>
    <row r="552" spans="1:19" ht="12.5" x14ac:dyDescent="0.25">
      <c r="A552" s="14" t="str">
        <f>HYPERLINK("https://gerandofalcoes.my.salesforce.com/0014X00002VKCsvQAH", "0014X00002VKCsvQAH")</f>
        <v>0014X00002VKCsvQAH</v>
      </c>
      <c r="B552" s="2" t="s">
        <v>2467</v>
      </c>
      <c r="C552" s="2" t="s">
        <v>423</v>
      </c>
      <c r="D552" s="2" t="s">
        <v>2</v>
      </c>
      <c r="E552" s="2">
        <v>23</v>
      </c>
      <c r="F552" s="2">
        <v>4</v>
      </c>
      <c r="G552" s="2">
        <v>0</v>
      </c>
      <c r="H552" s="2">
        <v>15000</v>
      </c>
      <c r="I552" s="2">
        <v>0</v>
      </c>
      <c r="J552" s="2" t="s">
        <v>1779</v>
      </c>
      <c r="K552" s="2">
        <v>20</v>
      </c>
      <c r="L552" s="2">
        <v>10</v>
      </c>
      <c r="M552" s="2">
        <v>5</v>
      </c>
      <c r="N552" s="2">
        <v>0</v>
      </c>
      <c r="O552" s="2">
        <v>5</v>
      </c>
      <c r="P552" s="2">
        <v>0</v>
      </c>
      <c r="Q552" s="2" t="s">
        <v>2468</v>
      </c>
      <c r="R552" s="2" t="s">
        <v>2468</v>
      </c>
      <c r="S552" s="4">
        <v>44837</v>
      </c>
    </row>
    <row r="553" spans="1:19" ht="12.5" x14ac:dyDescent="0.25">
      <c r="A553" s="14" t="str">
        <f>HYPERLINK("https://gerandofalcoes.my.salesforce.com/0014X00002UGqWjQAL", "0014X00002UGqWjQAL")</f>
        <v>0014X00002UGqWjQAL</v>
      </c>
      <c r="B553" s="2" t="s">
        <v>2654</v>
      </c>
      <c r="C553" s="2" t="s">
        <v>423</v>
      </c>
      <c r="D553" s="2" t="s">
        <v>2</v>
      </c>
      <c r="E553" s="2">
        <v>17</v>
      </c>
      <c r="F553" s="2">
        <v>0</v>
      </c>
      <c r="G553" s="2">
        <v>2</v>
      </c>
      <c r="H553" s="2">
        <v>2000</v>
      </c>
      <c r="I553" s="2">
        <v>150</v>
      </c>
      <c r="J553" s="2" t="s">
        <v>1779</v>
      </c>
      <c r="K553" s="2">
        <v>33</v>
      </c>
      <c r="L553" s="2">
        <v>10</v>
      </c>
      <c r="M553" s="2">
        <v>0</v>
      </c>
      <c r="N553" s="2">
        <v>6</v>
      </c>
      <c r="O553" s="2">
        <v>5</v>
      </c>
      <c r="P553" s="2">
        <v>12</v>
      </c>
      <c r="Q553" s="2" t="s">
        <v>2655</v>
      </c>
      <c r="R553" s="2" t="s">
        <v>2656</v>
      </c>
      <c r="S553" s="4">
        <v>44837</v>
      </c>
    </row>
    <row r="554" spans="1:19" ht="12.5" x14ac:dyDescent="0.25">
      <c r="A554" s="14" t="str">
        <f>HYPERLINK("https://gerandofalcoes.my.salesforce.com/0014X00002UGscXQAT", "0014X00002UGscXQAT")</f>
        <v>0014X00002UGscXQAT</v>
      </c>
      <c r="B554" s="2" t="s">
        <v>2995</v>
      </c>
      <c r="C554" s="2" t="s">
        <v>1800</v>
      </c>
      <c r="D554" s="2" t="s">
        <v>2</v>
      </c>
      <c r="E554" s="2"/>
      <c r="F554" s="2">
        <v>2</v>
      </c>
      <c r="G554" s="2">
        <v>2</v>
      </c>
      <c r="H554" s="2">
        <v>1000</v>
      </c>
      <c r="I554" s="2">
        <v>0</v>
      </c>
      <c r="J554" s="2" t="s">
        <v>1779</v>
      </c>
      <c r="K554" s="2">
        <v>16</v>
      </c>
      <c r="L554" s="2">
        <v>0</v>
      </c>
      <c r="M554" s="2">
        <v>5</v>
      </c>
      <c r="N554" s="2">
        <v>6</v>
      </c>
      <c r="O554" s="2">
        <v>5</v>
      </c>
      <c r="P554" s="2">
        <v>0</v>
      </c>
      <c r="Q554" s="2" t="s">
        <v>2996</v>
      </c>
      <c r="R554" s="2" t="s">
        <v>2997</v>
      </c>
      <c r="S554" s="4">
        <v>44837</v>
      </c>
    </row>
    <row r="555" spans="1:19" ht="12.5" x14ac:dyDescent="0.25">
      <c r="A555" s="14" t="str">
        <f>HYPERLINK("https://gerandofalcoes.my.salesforce.com/0014P00003AN2FoQAL", "0014P00003AN2FoQAL")</f>
        <v>0014P00003AN2FoQAL</v>
      </c>
      <c r="B555" s="2" t="s">
        <v>1938</v>
      </c>
      <c r="C555" s="2" t="s">
        <v>423</v>
      </c>
      <c r="D555" s="2" t="s">
        <v>2</v>
      </c>
      <c r="E555" s="2">
        <v>41.14</v>
      </c>
      <c r="F555" s="2">
        <v>5</v>
      </c>
      <c r="G555" s="2">
        <v>1</v>
      </c>
      <c r="H555" s="2">
        <v>25000</v>
      </c>
      <c r="I555" s="2">
        <v>300</v>
      </c>
      <c r="J555" s="2" t="s">
        <v>1671</v>
      </c>
      <c r="K555" s="2">
        <v>49</v>
      </c>
      <c r="L555" s="2">
        <v>15</v>
      </c>
      <c r="M555" s="2">
        <v>5</v>
      </c>
      <c r="N555" s="2">
        <v>4</v>
      </c>
      <c r="O555" s="2">
        <v>10</v>
      </c>
      <c r="P555" s="2">
        <v>15</v>
      </c>
      <c r="Q555" s="2" t="s">
        <v>130</v>
      </c>
      <c r="R555" s="2" t="s">
        <v>1939</v>
      </c>
      <c r="S555" s="4">
        <v>44837</v>
      </c>
    </row>
    <row r="556" spans="1:19" ht="12.5" x14ac:dyDescent="0.25">
      <c r="A556" s="14" t="str">
        <f>HYPERLINK("https://gerandofalcoes.my.salesforce.com/0014P00003AN2FpQAL", "0014P00003AN2FpQAL")</f>
        <v>0014P00003AN2FpQAL</v>
      </c>
      <c r="B556" s="2" t="s">
        <v>1678</v>
      </c>
      <c r="C556" s="2" t="s">
        <v>423</v>
      </c>
      <c r="D556" s="2" t="s">
        <v>27</v>
      </c>
      <c r="E556" s="2">
        <v>89</v>
      </c>
      <c r="F556" s="2">
        <v>16</v>
      </c>
      <c r="G556" s="2">
        <v>2</v>
      </c>
      <c r="H556" s="2">
        <v>76727.45</v>
      </c>
      <c r="I556" s="2">
        <v>173</v>
      </c>
      <c r="J556" s="2" t="s">
        <v>1650</v>
      </c>
      <c r="K556" s="2">
        <v>65</v>
      </c>
      <c r="L556" s="2">
        <v>25</v>
      </c>
      <c r="M556" s="2">
        <v>12</v>
      </c>
      <c r="N556" s="2">
        <v>6</v>
      </c>
      <c r="O556" s="2">
        <v>10</v>
      </c>
      <c r="P556" s="2">
        <v>12</v>
      </c>
      <c r="Q556" s="2" t="s">
        <v>131</v>
      </c>
      <c r="R556" s="2" t="s">
        <v>131</v>
      </c>
      <c r="S556" s="4">
        <v>44837</v>
      </c>
    </row>
    <row r="557" spans="1:19" ht="12.5" x14ac:dyDescent="0.25">
      <c r="A557" s="14" t="str">
        <f>HYPERLINK("https://gerandofalcoes.my.salesforce.com/0014P00003AN2FqQAL", "0014P00003AN2FqQAL")</f>
        <v>0014P00003AN2FqQAL</v>
      </c>
      <c r="B557" s="2" t="s">
        <v>1658</v>
      </c>
      <c r="C557" s="2" t="s">
        <v>423</v>
      </c>
      <c r="D557" s="2" t="s">
        <v>27</v>
      </c>
      <c r="E557" s="2">
        <v>95</v>
      </c>
      <c r="F557" s="2">
        <v>46</v>
      </c>
      <c r="G557" s="2">
        <v>4</v>
      </c>
      <c r="H557" s="2">
        <v>1272655.06</v>
      </c>
      <c r="I557" s="2">
        <v>348</v>
      </c>
      <c r="J557" s="2" t="s">
        <v>1654</v>
      </c>
      <c r="K557" s="2">
        <v>95</v>
      </c>
      <c r="L557" s="2">
        <v>30</v>
      </c>
      <c r="M557" s="2">
        <v>15</v>
      </c>
      <c r="N557" s="2">
        <v>10</v>
      </c>
      <c r="O557" s="2">
        <v>25</v>
      </c>
      <c r="P557" s="2">
        <v>15</v>
      </c>
      <c r="Q557" s="2" t="s">
        <v>132</v>
      </c>
      <c r="R557" s="2" t="s">
        <v>132</v>
      </c>
      <c r="S557" s="4">
        <v>44837</v>
      </c>
    </row>
    <row r="558" spans="1:19" ht="12.5" x14ac:dyDescent="0.25">
      <c r="A558" s="14" t="str">
        <f>HYPERLINK("https://gerandofalcoes.my.salesforce.com/0014P00003AN2FsQAL", "0014P00003AN2FsQAL")</f>
        <v>0014P00003AN2FsQAL</v>
      </c>
      <c r="B558" s="2" t="s">
        <v>1688</v>
      </c>
      <c r="C558" s="2" t="s">
        <v>423</v>
      </c>
      <c r="D558" s="2" t="s">
        <v>27</v>
      </c>
      <c r="E558" s="2">
        <v>85</v>
      </c>
      <c r="F558" s="2">
        <v>6</v>
      </c>
      <c r="G558" s="2">
        <v>3</v>
      </c>
      <c r="H558" s="2">
        <v>93122.27</v>
      </c>
      <c r="I558" s="2">
        <v>206</v>
      </c>
      <c r="J558" s="2" t="s">
        <v>1650</v>
      </c>
      <c r="K558" s="2">
        <v>65</v>
      </c>
      <c r="L558" s="2">
        <v>25</v>
      </c>
      <c r="M558" s="2">
        <v>10</v>
      </c>
      <c r="N558" s="2">
        <v>8</v>
      </c>
      <c r="O558" s="2">
        <v>10</v>
      </c>
      <c r="P558" s="2">
        <v>12</v>
      </c>
      <c r="Q558" s="2" t="s">
        <v>134</v>
      </c>
      <c r="R558" s="2" t="s">
        <v>134</v>
      </c>
      <c r="S558" s="4">
        <v>44837</v>
      </c>
    </row>
    <row r="559" spans="1:19" ht="12.5" x14ac:dyDescent="0.25">
      <c r="A559" s="14" t="str">
        <f>HYPERLINK("https://gerandofalcoes.my.salesforce.com/0014X00002VKCteQAH", "0014X00002VKCteQAH")</f>
        <v>0014X00002VKCteQAH</v>
      </c>
      <c r="B559" s="2" t="s">
        <v>2368</v>
      </c>
      <c r="C559" s="2" t="s">
        <v>423</v>
      </c>
      <c r="D559" s="2" t="s">
        <v>2</v>
      </c>
      <c r="E559" s="2">
        <v>26</v>
      </c>
      <c r="F559" s="2">
        <v>0</v>
      </c>
      <c r="G559" s="2">
        <v>4</v>
      </c>
      <c r="H559" s="2">
        <v>120000</v>
      </c>
      <c r="I559" s="2">
        <v>60</v>
      </c>
      <c r="J559" s="2" t="s">
        <v>1671</v>
      </c>
      <c r="K559" s="2">
        <v>45</v>
      </c>
      <c r="L559" s="2">
        <v>15</v>
      </c>
      <c r="M559" s="2">
        <v>0</v>
      </c>
      <c r="N559" s="2">
        <v>10</v>
      </c>
      <c r="O559" s="2">
        <v>15</v>
      </c>
      <c r="P559" s="2">
        <v>5</v>
      </c>
      <c r="Q559" s="2" t="s">
        <v>2369</v>
      </c>
      <c r="R559" s="2" t="s">
        <v>2369</v>
      </c>
      <c r="S559" s="4">
        <v>44837</v>
      </c>
    </row>
    <row r="560" spans="1:19" ht="12.5" x14ac:dyDescent="0.25">
      <c r="A560" s="14" t="str">
        <f>HYPERLINK("https://gerandofalcoes.my.salesforce.com/0014P00003AN2FtQAL", "0014P00003AN2FtQAL")</f>
        <v>0014P00003AN2FtQAL</v>
      </c>
      <c r="B560" s="2" t="s">
        <v>137</v>
      </c>
      <c r="C560" s="2" t="s">
        <v>423</v>
      </c>
      <c r="D560" s="2" t="s">
        <v>27</v>
      </c>
      <c r="E560" s="2">
        <v>86</v>
      </c>
      <c r="F560" s="2">
        <v>7</v>
      </c>
      <c r="G560" s="2">
        <v>4</v>
      </c>
      <c r="H560" s="2">
        <v>67399.429999999993</v>
      </c>
      <c r="I560" s="2">
        <v>159</v>
      </c>
      <c r="J560" s="2" t="s">
        <v>1650</v>
      </c>
      <c r="K560" s="2">
        <v>67</v>
      </c>
      <c r="L560" s="2">
        <v>25</v>
      </c>
      <c r="M560" s="2">
        <v>10</v>
      </c>
      <c r="N560" s="2">
        <v>10</v>
      </c>
      <c r="O560" s="2">
        <v>10</v>
      </c>
      <c r="P560" s="2">
        <v>12</v>
      </c>
      <c r="Q560" s="2" t="s">
        <v>138</v>
      </c>
      <c r="R560" s="2" t="s">
        <v>1682</v>
      </c>
      <c r="S560" s="4">
        <v>44837</v>
      </c>
    </row>
    <row r="561" spans="1:19" ht="12.5" x14ac:dyDescent="0.25">
      <c r="A561" s="14" t="str">
        <f>HYPERLINK("https://gerandofalcoes.my.salesforce.com/0014P00003AN2FuQAL", "0014P00003AN2FuQAL")</f>
        <v>0014P00003AN2FuQAL</v>
      </c>
      <c r="B561" s="2" t="s">
        <v>1659</v>
      </c>
      <c r="C561" s="2" t="s">
        <v>423</v>
      </c>
      <c r="D561" s="2" t="s">
        <v>27</v>
      </c>
      <c r="E561" s="2">
        <v>95</v>
      </c>
      <c r="F561" s="2">
        <v>23</v>
      </c>
      <c r="G561" s="2">
        <v>3</v>
      </c>
      <c r="H561" s="2">
        <v>243360.63</v>
      </c>
      <c r="I561" s="2">
        <v>291</v>
      </c>
      <c r="J561" s="2" t="s">
        <v>1650</v>
      </c>
      <c r="K561" s="2">
        <v>77</v>
      </c>
      <c r="L561" s="2">
        <v>30</v>
      </c>
      <c r="M561" s="2">
        <v>12</v>
      </c>
      <c r="N561" s="2">
        <v>8</v>
      </c>
      <c r="O561" s="2">
        <v>15</v>
      </c>
      <c r="P561" s="2">
        <v>12</v>
      </c>
      <c r="Q561" s="2" t="s">
        <v>140</v>
      </c>
      <c r="R561" s="2" t="s">
        <v>140</v>
      </c>
      <c r="S561" s="4">
        <v>44837</v>
      </c>
    </row>
    <row r="562" spans="1:19" ht="12.5" x14ac:dyDescent="0.25">
      <c r="A562" s="14" t="str">
        <f>HYPERLINK("https://gerandofalcoes.my.salesforce.com/0014P00003AN2FwQAL", "0014P00003AN2FwQAL")</f>
        <v>0014P00003AN2FwQAL</v>
      </c>
      <c r="B562" s="2" t="s">
        <v>115</v>
      </c>
      <c r="C562" s="2" t="s">
        <v>423</v>
      </c>
      <c r="D562" s="2" t="s">
        <v>27</v>
      </c>
      <c r="E562" s="2">
        <v>73</v>
      </c>
      <c r="F562" s="2">
        <v>15</v>
      </c>
      <c r="G562" s="2">
        <v>1</v>
      </c>
      <c r="H562" s="2">
        <v>65923</v>
      </c>
      <c r="I562" s="2">
        <v>77</v>
      </c>
      <c r="J562" s="2" t="s">
        <v>1671</v>
      </c>
      <c r="K562" s="2">
        <v>51</v>
      </c>
      <c r="L562" s="2">
        <v>20</v>
      </c>
      <c r="M562" s="2">
        <v>12</v>
      </c>
      <c r="N562" s="2">
        <v>4</v>
      </c>
      <c r="O562" s="2">
        <v>10</v>
      </c>
      <c r="P562" s="2">
        <v>5</v>
      </c>
      <c r="Q562" s="2" t="s">
        <v>116</v>
      </c>
      <c r="R562" s="2" t="s">
        <v>1723</v>
      </c>
      <c r="S562" s="4">
        <v>44837</v>
      </c>
    </row>
    <row r="563" spans="1:19" ht="12.5" x14ac:dyDescent="0.25">
      <c r="A563" s="14" t="str">
        <f>HYPERLINK("https://gerandofalcoes.my.salesforce.com/0014P00003AN2FxQAL", "0014P00003AN2FxQAL")</f>
        <v>0014P00003AN2FxQAL</v>
      </c>
      <c r="B563" s="2" t="s">
        <v>1664</v>
      </c>
      <c r="C563" s="2" t="s">
        <v>423</v>
      </c>
      <c r="D563" s="2" t="s">
        <v>27</v>
      </c>
      <c r="E563" s="2">
        <v>93</v>
      </c>
      <c r="F563" s="2">
        <v>29</v>
      </c>
      <c r="G563" s="2">
        <v>1</v>
      </c>
      <c r="H563" s="2">
        <v>621309.18999999994</v>
      </c>
      <c r="I563" s="2">
        <v>203</v>
      </c>
      <c r="J563" s="2" t="s">
        <v>1650</v>
      </c>
      <c r="K563" s="2">
        <v>78</v>
      </c>
      <c r="L563" s="2">
        <v>30</v>
      </c>
      <c r="M563" s="2">
        <v>12</v>
      </c>
      <c r="N563" s="2">
        <v>4</v>
      </c>
      <c r="O563" s="2">
        <v>20</v>
      </c>
      <c r="P563" s="2">
        <v>12</v>
      </c>
      <c r="Q563" s="2" t="s">
        <v>144</v>
      </c>
      <c r="R563" s="2" t="s">
        <v>144</v>
      </c>
      <c r="S563" s="4">
        <v>44837</v>
      </c>
    </row>
    <row r="564" spans="1:19" ht="12.5" x14ac:dyDescent="0.25">
      <c r="A564" s="14" t="str">
        <f>HYPERLINK("https://gerandofalcoes.my.salesforce.com/0014X00002VKCrtQAH", "0014X00002VKCrtQAH")</f>
        <v>0014X00002VKCrtQAH</v>
      </c>
      <c r="B564" s="2" t="s">
        <v>2579</v>
      </c>
      <c r="C564" s="2" t="s">
        <v>423</v>
      </c>
      <c r="D564" s="2" t="s">
        <v>2</v>
      </c>
      <c r="E564" s="2">
        <v>34</v>
      </c>
      <c r="F564" s="2">
        <v>0</v>
      </c>
      <c r="G564" s="2">
        <v>2</v>
      </c>
      <c r="H564" s="2">
        <v>6000</v>
      </c>
      <c r="I564" s="2">
        <v>33</v>
      </c>
      <c r="J564" s="2" t="s">
        <v>1779</v>
      </c>
      <c r="K564" s="2">
        <v>31</v>
      </c>
      <c r="L564" s="2">
        <v>15</v>
      </c>
      <c r="M564" s="2">
        <v>0</v>
      </c>
      <c r="N564" s="2">
        <v>6</v>
      </c>
      <c r="O564" s="2">
        <v>5</v>
      </c>
      <c r="P564" s="2">
        <v>5</v>
      </c>
      <c r="Q564" s="2" t="s">
        <v>2580</v>
      </c>
      <c r="R564" s="2" t="s">
        <v>2581</v>
      </c>
      <c r="S564" s="4">
        <v>44837</v>
      </c>
    </row>
    <row r="565" spans="1:19" ht="12.5" x14ac:dyDescent="0.25">
      <c r="A565" s="14" t="str">
        <f>HYPERLINK("https://gerandofalcoes.my.salesforce.com/0014X00002VKCunQAH", "0014X00002VKCunQAH")</f>
        <v>0014X00002VKCunQAH</v>
      </c>
      <c r="B565" s="2" t="s">
        <v>2054</v>
      </c>
      <c r="C565" s="2" t="s">
        <v>423</v>
      </c>
      <c r="D565" s="2" t="s">
        <v>2</v>
      </c>
      <c r="E565" s="2">
        <v>37</v>
      </c>
      <c r="F565" s="2">
        <v>4</v>
      </c>
      <c r="G565" s="2">
        <v>6</v>
      </c>
      <c r="H565" s="2">
        <v>240</v>
      </c>
      <c r="I565" s="2">
        <v>12</v>
      </c>
      <c r="J565" s="2" t="s">
        <v>1671</v>
      </c>
      <c r="K565" s="2">
        <v>40</v>
      </c>
      <c r="L565" s="2">
        <v>15</v>
      </c>
      <c r="M565" s="2">
        <v>5</v>
      </c>
      <c r="N565" s="2">
        <v>10</v>
      </c>
      <c r="O565" s="2">
        <v>5</v>
      </c>
      <c r="P565" s="2">
        <v>5</v>
      </c>
      <c r="Q565" s="2" t="s">
        <v>2055</v>
      </c>
      <c r="R565" s="2" t="s">
        <v>2056</v>
      </c>
      <c r="S565" s="4">
        <v>44837</v>
      </c>
    </row>
    <row r="566" spans="1:19" ht="12.5" x14ac:dyDescent="0.25">
      <c r="A566" s="14" t="str">
        <f>HYPERLINK("https://gerandofalcoes.my.salesforce.com/0014X00002VKCpOQAX", "0014X00002VKCpOQAX")</f>
        <v>0014X00002VKCpOQAX</v>
      </c>
      <c r="B566" s="2" t="s">
        <v>2905</v>
      </c>
      <c r="C566" s="2" t="s">
        <v>423</v>
      </c>
      <c r="D566" s="2" t="s">
        <v>2</v>
      </c>
      <c r="E566" s="2">
        <v>8</v>
      </c>
      <c r="F566" s="2">
        <v>4</v>
      </c>
      <c r="G566" s="2">
        <v>10</v>
      </c>
      <c r="H566" s="2">
        <v>0</v>
      </c>
      <c r="I566" s="2">
        <v>100</v>
      </c>
      <c r="J566" s="2" t="s">
        <v>1779</v>
      </c>
      <c r="K566" s="2">
        <v>35</v>
      </c>
      <c r="L566" s="2">
        <v>10</v>
      </c>
      <c r="M566" s="2">
        <v>5</v>
      </c>
      <c r="N566" s="2">
        <v>10</v>
      </c>
      <c r="O566" s="2">
        <v>0</v>
      </c>
      <c r="P566" s="2">
        <v>10</v>
      </c>
      <c r="Q566" s="2" t="s">
        <v>2906</v>
      </c>
      <c r="R566" s="2" t="s">
        <v>2906</v>
      </c>
      <c r="S566" s="4">
        <v>44837</v>
      </c>
    </row>
    <row r="567" spans="1:19" ht="12.5" x14ac:dyDescent="0.25">
      <c r="A567" s="14" t="str">
        <f>HYPERLINK("https://gerandofalcoes.my.salesforce.com/0014X00002VKCv1QAH", "0014X00002VKCv1QAH")</f>
        <v>0014X00002VKCv1QAH</v>
      </c>
      <c r="B567" s="2" t="s">
        <v>2307</v>
      </c>
      <c r="C567" s="2" t="s">
        <v>1800</v>
      </c>
      <c r="D567" s="2" t="s">
        <v>2</v>
      </c>
      <c r="E567" s="2">
        <v>29</v>
      </c>
      <c r="F567" s="2">
        <v>0</v>
      </c>
      <c r="G567" s="2">
        <v>2</v>
      </c>
      <c r="H567" s="2">
        <v>10000</v>
      </c>
      <c r="I567" s="2">
        <v>20</v>
      </c>
      <c r="J567" s="2" t="s">
        <v>1779</v>
      </c>
      <c r="K567" s="2">
        <v>31</v>
      </c>
      <c r="L567" s="2">
        <v>15</v>
      </c>
      <c r="M567" s="2">
        <v>0</v>
      </c>
      <c r="N567" s="2">
        <v>6</v>
      </c>
      <c r="O567" s="2">
        <v>5</v>
      </c>
      <c r="P567" s="2">
        <v>5</v>
      </c>
      <c r="Q567" s="2" t="s">
        <v>2308</v>
      </c>
      <c r="R567" s="2" t="s">
        <v>2308</v>
      </c>
      <c r="S567" s="4">
        <v>44837</v>
      </c>
    </row>
    <row r="568" spans="1:19" ht="12.5" x14ac:dyDescent="0.25">
      <c r="A568" s="14" t="str">
        <f>HYPERLINK("https://gerandofalcoes.my.salesforce.com/0014X00002VKCrxQAH", "0014X00002VKCrxQAH")</f>
        <v>0014X00002VKCrxQAH</v>
      </c>
      <c r="B568" s="2" t="s">
        <v>2970</v>
      </c>
      <c r="C568" s="2" t="s">
        <v>423</v>
      </c>
      <c r="D568" s="2" t="s">
        <v>2</v>
      </c>
      <c r="E568" s="2">
        <v>18</v>
      </c>
      <c r="F568" s="2">
        <v>0</v>
      </c>
      <c r="G568" s="2">
        <v>0</v>
      </c>
      <c r="H568" s="2">
        <v>0</v>
      </c>
      <c r="I568" s="2">
        <v>60</v>
      </c>
      <c r="J568" s="2" t="s">
        <v>1779</v>
      </c>
      <c r="K568" s="2">
        <v>15</v>
      </c>
      <c r="L568" s="2">
        <v>10</v>
      </c>
      <c r="M568" s="2">
        <v>0</v>
      </c>
      <c r="N568" s="2">
        <v>0</v>
      </c>
      <c r="O568" s="2">
        <v>0</v>
      </c>
      <c r="P568" s="2">
        <v>5</v>
      </c>
      <c r="Q568" s="2" t="s">
        <v>2971</v>
      </c>
      <c r="R568" s="2" t="s">
        <v>2972</v>
      </c>
      <c r="S568" s="4">
        <v>44837</v>
      </c>
    </row>
    <row r="569" spans="1:19" ht="12.5" x14ac:dyDescent="0.25">
      <c r="A569" s="14" t="str">
        <f>HYPERLINK("https://gerandofalcoes.my.salesforce.com/0014X00002VKCv3QAH", "0014X00002VKCv3QAH")</f>
        <v>0014X00002VKCv3QAH</v>
      </c>
      <c r="B569" s="2" t="s">
        <v>2141</v>
      </c>
      <c r="C569" s="2" t="s">
        <v>1800</v>
      </c>
      <c r="D569" s="2" t="s">
        <v>2</v>
      </c>
      <c r="E569" s="2">
        <v>34</v>
      </c>
      <c r="F569" s="2">
        <v>0</v>
      </c>
      <c r="G569" s="2">
        <v>3</v>
      </c>
      <c r="H569" s="2">
        <v>12000</v>
      </c>
      <c r="I569" s="2">
        <v>20</v>
      </c>
      <c r="J569" s="2" t="s">
        <v>1779</v>
      </c>
      <c r="K569" s="2">
        <v>33</v>
      </c>
      <c r="L569" s="2">
        <v>15</v>
      </c>
      <c r="M569" s="2">
        <v>0</v>
      </c>
      <c r="N569" s="2">
        <v>8</v>
      </c>
      <c r="O569" s="2">
        <v>5</v>
      </c>
      <c r="P569" s="2">
        <v>5</v>
      </c>
      <c r="Q569" s="2" t="s">
        <v>2142</v>
      </c>
      <c r="R569" s="2" t="s">
        <v>2143</v>
      </c>
      <c r="S569" s="4">
        <v>44837</v>
      </c>
    </row>
    <row r="570" spans="1:19" ht="12.5" x14ac:dyDescent="0.25">
      <c r="A570" s="14" t="str">
        <f>HYPERLINK("https://gerandofalcoes.my.salesforce.com/0014P00003SGWPqQAP", "0014P00003SGWPqQAP")</f>
        <v>0014P00003SGWPqQAP</v>
      </c>
      <c r="B570" s="2" t="s">
        <v>2835</v>
      </c>
      <c r="C570" s="2" t="s">
        <v>1800</v>
      </c>
      <c r="D570" s="2" t="s">
        <v>2</v>
      </c>
      <c r="E570" s="2">
        <v>11</v>
      </c>
      <c r="F570" s="2">
        <v>2</v>
      </c>
      <c r="G570" s="2">
        <v>0</v>
      </c>
      <c r="H570" s="2">
        <v>140000</v>
      </c>
      <c r="I570" s="2">
        <v>200</v>
      </c>
      <c r="J570" s="2" t="s">
        <v>1671</v>
      </c>
      <c r="K570" s="2">
        <v>42</v>
      </c>
      <c r="L570" s="2">
        <v>10</v>
      </c>
      <c r="M570" s="2">
        <v>5</v>
      </c>
      <c r="N570" s="2">
        <v>0</v>
      </c>
      <c r="O570" s="2">
        <v>15</v>
      </c>
      <c r="P570" s="2">
        <v>12</v>
      </c>
      <c r="Q570" s="2" t="s">
        <v>327</v>
      </c>
      <c r="R570" s="2" t="s">
        <v>1409</v>
      </c>
      <c r="S570" s="4">
        <v>44837</v>
      </c>
    </row>
    <row r="571" spans="1:19" ht="12.5" x14ac:dyDescent="0.25">
      <c r="A571" s="14" t="str">
        <f>HYPERLINK("https://gerandofalcoes.my.salesforce.com/0014P00003SGWPrQAP", "0014P00003SGWPrQAP")</f>
        <v>0014P00003SGWPrQAP</v>
      </c>
      <c r="B571" s="2" t="s">
        <v>2774</v>
      </c>
      <c r="C571" s="2" t="s">
        <v>423</v>
      </c>
      <c r="D571" s="2" t="s">
        <v>2</v>
      </c>
      <c r="E571" s="2">
        <v>31</v>
      </c>
      <c r="F571" s="2">
        <v>0</v>
      </c>
      <c r="G571" s="2">
        <v>2</v>
      </c>
      <c r="H571" s="2">
        <v>50000</v>
      </c>
      <c r="I571" s="2">
        <v>52</v>
      </c>
      <c r="J571" s="2" t="s">
        <v>1779</v>
      </c>
      <c r="K571" s="2">
        <v>36</v>
      </c>
      <c r="L571" s="2">
        <v>15</v>
      </c>
      <c r="M571" s="2">
        <v>0</v>
      </c>
      <c r="N571" s="2">
        <v>6</v>
      </c>
      <c r="O571" s="2">
        <v>10</v>
      </c>
      <c r="P571" s="2">
        <v>5</v>
      </c>
      <c r="Q571" s="2" t="s">
        <v>329</v>
      </c>
      <c r="R571" s="2" t="s">
        <v>1419</v>
      </c>
      <c r="S571" s="4">
        <v>44837</v>
      </c>
    </row>
    <row r="572" spans="1:19" ht="12.5" x14ac:dyDescent="0.25">
      <c r="A572" s="14" t="str">
        <f>HYPERLINK("https://gerandofalcoes.my.salesforce.com/0014P00003SGWPsQAP", "0014P00003SGWPsQAP")</f>
        <v>0014P00003SGWPsQAP</v>
      </c>
      <c r="B572" s="2" t="s">
        <v>1663</v>
      </c>
      <c r="C572" s="2" t="s">
        <v>423</v>
      </c>
      <c r="D572" s="2" t="s">
        <v>27</v>
      </c>
      <c r="E572" s="2">
        <v>93</v>
      </c>
      <c r="F572" s="2">
        <v>49</v>
      </c>
      <c r="G572" s="2">
        <v>3</v>
      </c>
      <c r="H572" s="2">
        <v>1126099.1000000001</v>
      </c>
      <c r="I572" s="2">
        <v>390</v>
      </c>
      <c r="J572" s="2" t="s">
        <v>1654</v>
      </c>
      <c r="K572" s="2">
        <v>93</v>
      </c>
      <c r="L572" s="2">
        <v>30</v>
      </c>
      <c r="M572" s="2">
        <v>15</v>
      </c>
      <c r="N572" s="2">
        <v>8</v>
      </c>
      <c r="O572" s="2">
        <v>25</v>
      </c>
      <c r="P572" s="2">
        <v>15</v>
      </c>
      <c r="Q572" s="2" t="s">
        <v>332</v>
      </c>
      <c r="R572" s="2" t="s">
        <v>1429</v>
      </c>
      <c r="S572" s="4">
        <v>44837</v>
      </c>
    </row>
    <row r="573" spans="1:19" ht="12.5" x14ac:dyDescent="0.25">
      <c r="A573" s="14" t="str">
        <f>HYPERLINK("https://gerandofalcoes.my.salesforce.com/0014P00003SGWPtQAP", "0014P00003SGWPtQAP")</f>
        <v>0014P00003SGWPtQAP</v>
      </c>
      <c r="B573" s="2" t="s">
        <v>2628</v>
      </c>
      <c r="C573" s="2" t="s">
        <v>423</v>
      </c>
      <c r="D573" s="2" t="s">
        <v>2</v>
      </c>
      <c r="E573" s="2">
        <v>24</v>
      </c>
      <c r="F573" s="2">
        <v>3</v>
      </c>
      <c r="G573" s="2">
        <v>0</v>
      </c>
      <c r="H573" s="2">
        <v>400000</v>
      </c>
      <c r="I573" s="2">
        <v>134</v>
      </c>
      <c r="J573" s="2" t="s">
        <v>1671</v>
      </c>
      <c r="K573" s="2">
        <v>45</v>
      </c>
      <c r="L573" s="2">
        <v>10</v>
      </c>
      <c r="M573" s="2">
        <v>5</v>
      </c>
      <c r="N573" s="2">
        <v>0</v>
      </c>
      <c r="O573" s="2">
        <v>20</v>
      </c>
      <c r="P573" s="2">
        <v>10</v>
      </c>
      <c r="Q573" s="2" t="s">
        <v>336</v>
      </c>
      <c r="R573" s="2" t="s">
        <v>336</v>
      </c>
      <c r="S573" s="4">
        <v>44837</v>
      </c>
    </row>
    <row r="574" spans="1:19" ht="12.5" x14ac:dyDescent="0.25">
      <c r="A574" s="14" t="str">
        <f>HYPERLINK("https://gerandofalcoes.my.salesforce.com/0014P00003SGWFqQAP", "0014P00003SGWFqQAP")</f>
        <v>0014P00003SGWFqQAP</v>
      </c>
      <c r="B574" s="2" t="s">
        <v>343</v>
      </c>
      <c r="C574" s="2" t="s">
        <v>423</v>
      </c>
      <c r="D574" s="2" t="s">
        <v>2</v>
      </c>
      <c r="E574" s="2">
        <v>67</v>
      </c>
      <c r="F574" s="2">
        <v>10</v>
      </c>
      <c r="G574" s="2">
        <v>6</v>
      </c>
      <c r="H574" s="2">
        <v>796000</v>
      </c>
      <c r="I574" s="2">
        <v>80</v>
      </c>
      <c r="J574" s="2" t="s">
        <v>1650</v>
      </c>
      <c r="K574" s="2">
        <v>70</v>
      </c>
      <c r="L574" s="2">
        <v>20</v>
      </c>
      <c r="M574" s="2">
        <v>10</v>
      </c>
      <c r="N574" s="2">
        <v>10</v>
      </c>
      <c r="O574" s="2">
        <v>20</v>
      </c>
      <c r="P574" s="2">
        <v>10</v>
      </c>
      <c r="Q574" s="2" t="s">
        <v>344</v>
      </c>
      <c r="R574" s="2" t="s">
        <v>1479</v>
      </c>
      <c r="S574" s="4">
        <v>44837</v>
      </c>
    </row>
    <row r="575" spans="1:19" ht="12.5" x14ac:dyDescent="0.25">
      <c r="A575" s="14" t="str">
        <f>HYPERLINK("https://gerandofalcoes.my.salesforce.com/0014P00003SGWPMQA5", "0014P00003SGWPMQA5")</f>
        <v>0014P00003SGWPMQA5</v>
      </c>
      <c r="B575" s="2" t="s">
        <v>347</v>
      </c>
      <c r="C575" s="2" t="s">
        <v>423</v>
      </c>
      <c r="D575" s="2" t="s">
        <v>2</v>
      </c>
      <c r="E575" s="2">
        <v>3.21</v>
      </c>
      <c r="F575" s="2">
        <v>0</v>
      </c>
      <c r="G575" s="2">
        <v>0</v>
      </c>
      <c r="H575" s="2">
        <v>0</v>
      </c>
      <c r="I575" s="2">
        <v>0</v>
      </c>
      <c r="J575" s="2" t="s">
        <v>1779</v>
      </c>
      <c r="K575" s="2">
        <v>10</v>
      </c>
      <c r="L575" s="2">
        <v>10</v>
      </c>
      <c r="M575" s="2">
        <v>0</v>
      </c>
      <c r="N575" s="2">
        <v>0</v>
      </c>
      <c r="O575" s="2">
        <v>0</v>
      </c>
      <c r="P575" s="2">
        <v>0</v>
      </c>
      <c r="Q575" s="2" t="s">
        <v>348</v>
      </c>
      <c r="R575" s="2" t="s">
        <v>1488</v>
      </c>
      <c r="S575" s="4">
        <v>44837</v>
      </c>
    </row>
    <row r="576" spans="1:19" ht="12.5" x14ac:dyDescent="0.25">
      <c r="A576" s="14" t="str">
        <f>HYPERLINK("https://gerandofalcoes.my.salesforce.com/0014P00003SGWFrQAP", "0014P00003SGWFrQAP")</f>
        <v>0014P00003SGWFrQAP</v>
      </c>
      <c r="B576" s="2" t="s">
        <v>350</v>
      </c>
      <c r="C576" s="2" t="s">
        <v>423</v>
      </c>
      <c r="D576" s="2" t="s">
        <v>2</v>
      </c>
      <c r="E576" s="2">
        <v>43</v>
      </c>
      <c r="F576" s="2">
        <v>7</v>
      </c>
      <c r="G576" s="2">
        <v>0</v>
      </c>
      <c r="H576" s="2">
        <v>290000</v>
      </c>
      <c r="I576" s="2">
        <v>183</v>
      </c>
      <c r="J576" s="2" t="s">
        <v>1671</v>
      </c>
      <c r="K576" s="2">
        <v>52</v>
      </c>
      <c r="L576" s="2">
        <v>15</v>
      </c>
      <c r="M576" s="2">
        <v>10</v>
      </c>
      <c r="N576" s="2">
        <v>0</v>
      </c>
      <c r="O576" s="2">
        <v>15</v>
      </c>
      <c r="P576" s="2">
        <v>12</v>
      </c>
      <c r="Q576" s="2" t="s">
        <v>351</v>
      </c>
      <c r="R576" s="2" t="s">
        <v>1499</v>
      </c>
      <c r="S576" s="4">
        <v>44837</v>
      </c>
    </row>
    <row r="577" spans="1:19" ht="12.5" x14ac:dyDescent="0.25">
      <c r="A577" s="14" t="str">
        <f>HYPERLINK("https://gerandofalcoes.my.salesforce.com/0014P00003SGWFsQAP", "0014P00003SGWFsQAP")</f>
        <v>0014P00003SGWFsQAP</v>
      </c>
      <c r="B577" s="2" t="s">
        <v>339</v>
      </c>
      <c r="C577" s="2" t="s">
        <v>423</v>
      </c>
      <c r="D577" s="2" t="s">
        <v>2</v>
      </c>
      <c r="E577" s="2">
        <v>33</v>
      </c>
      <c r="F577" s="2">
        <v>0</v>
      </c>
      <c r="G577" s="2">
        <v>0</v>
      </c>
      <c r="H577" s="2">
        <v>0</v>
      </c>
      <c r="I577" s="2">
        <v>106</v>
      </c>
      <c r="J577" s="2" t="s">
        <v>1779</v>
      </c>
      <c r="K577" s="2">
        <v>25</v>
      </c>
      <c r="L577" s="2">
        <v>15</v>
      </c>
      <c r="M577" s="2">
        <v>0</v>
      </c>
      <c r="N577" s="2">
        <v>0</v>
      </c>
      <c r="O577" s="2">
        <v>0</v>
      </c>
      <c r="P577" s="2">
        <v>10</v>
      </c>
      <c r="Q577" s="2" t="s">
        <v>340</v>
      </c>
      <c r="R577" s="2" t="s">
        <v>340</v>
      </c>
      <c r="S577" s="4">
        <v>44837</v>
      </c>
    </row>
    <row r="578" spans="1:19" ht="12.5" x14ac:dyDescent="0.25">
      <c r="A578" s="14" t="str">
        <f>HYPERLINK("https://gerandofalcoes.my.salesforce.com/0014P00003SGWFtQAP", "0014P00003SGWFtQAP")</f>
        <v>0014P00003SGWFtQAP</v>
      </c>
      <c r="B578" s="2" t="s">
        <v>354</v>
      </c>
      <c r="C578" s="2" t="s">
        <v>423</v>
      </c>
      <c r="D578" s="2" t="s">
        <v>27</v>
      </c>
      <c r="E578" s="2">
        <v>85</v>
      </c>
      <c r="F578" s="2">
        <v>4</v>
      </c>
      <c r="G578" s="2">
        <v>1</v>
      </c>
      <c r="H578" s="2">
        <v>11500</v>
      </c>
      <c r="I578" s="2">
        <v>78</v>
      </c>
      <c r="J578" s="2" t="s">
        <v>1671</v>
      </c>
      <c r="K578" s="2">
        <v>44</v>
      </c>
      <c r="L578" s="2">
        <v>25</v>
      </c>
      <c r="M578" s="2">
        <v>5</v>
      </c>
      <c r="N578" s="2">
        <v>4</v>
      </c>
      <c r="O578" s="2">
        <v>5</v>
      </c>
      <c r="P578" s="2">
        <v>5</v>
      </c>
      <c r="Q578" s="2" t="s">
        <v>1692</v>
      </c>
      <c r="R578" s="2" t="s">
        <v>1449</v>
      </c>
      <c r="S578" s="4">
        <v>44837</v>
      </c>
    </row>
    <row r="579" spans="1:19" ht="12.5" x14ac:dyDescent="0.25">
      <c r="A579" s="14" t="str">
        <f>HYPERLINK("https://gerandofalcoes.my.salesforce.com/0014P00003YSp7WQAT", "0014P00003YSp7WQAT")</f>
        <v>0014P00003YSp7WQAT</v>
      </c>
      <c r="B579" s="2" t="s">
        <v>1782</v>
      </c>
      <c r="C579" s="2" t="s">
        <v>423</v>
      </c>
      <c r="D579" s="2" t="s">
        <v>2</v>
      </c>
      <c r="E579" s="2">
        <v>45</v>
      </c>
      <c r="F579" s="2">
        <v>11</v>
      </c>
      <c r="G579" s="2">
        <v>5</v>
      </c>
      <c r="H579" s="2">
        <v>18433245</v>
      </c>
      <c r="I579" s="2">
        <v>150</v>
      </c>
      <c r="J579" s="2" t="s">
        <v>1650</v>
      </c>
      <c r="K579" s="2">
        <v>74</v>
      </c>
      <c r="L579" s="2">
        <v>15</v>
      </c>
      <c r="M579" s="2">
        <v>12</v>
      </c>
      <c r="N579" s="2">
        <v>10</v>
      </c>
      <c r="O579" s="2">
        <v>25</v>
      </c>
      <c r="P579" s="2">
        <v>12</v>
      </c>
      <c r="Q579" s="2" t="s">
        <v>1783</v>
      </c>
      <c r="R579" s="2" t="s">
        <v>1784</v>
      </c>
      <c r="S579" s="4">
        <v>44837</v>
      </c>
    </row>
    <row r="580" spans="1:19" ht="12.5" x14ac:dyDescent="0.25">
      <c r="A580" s="14" t="str">
        <f>HYPERLINK("https://gerandofalcoes.my.salesforce.com/0014P00003SGWPLQA5", "0014P00003SGWPLQA5")</f>
        <v>0014P00003SGWPLQA5</v>
      </c>
      <c r="B580" s="2" t="s">
        <v>356</v>
      </c>
      <c r="C580" s="2" t="s">
        <v>423</v>
      </c>
      <c r="D580" s="2" t="s">
        <v>2</v>
      </c>
      <c r="E580" s="2">
        <v>63</v>
      </c>
      <c r="F580" s="2">
        <v>0</v>
      </c>
      <c r="G580" s="2">
        <v>3</v>
      </c>
      <c r="H580" s="2">
        <v>43894</v>
      </c>
      <c r="I580" s="2">
        <v>100</v>
      </c>
      <c r="J580" s="2" t="s">
        <v>1671</v>
      </c>
      <c r="K580" s="2">
        <v>48</v>
      </c>
      <c r="L580" s="2">
        <v>20</v>
      </c>
      <c r="M580" s="2">
        <v>0</v>
      </c>
      <c r="N580" s="2">
        <v>8</v>
      </c>
      <c r="O580" s="2">
        <v>10</v>
      </c>
      <c r="P580" s="2">
        <v>10</v>
      </c>
      <c r="Q580" s="2" t="s">
        <v>357</v>
      </c>
      <c r="R580" s="2" t="s">
        <v>2314</v>
      </c>
      <c r="S580" s="4">
        <v>44837</v>
      </c>
    </row>
    <row r="581" spans="1:19" ht="12.5" x14ac:dyDescent="0.25">
      <c r="A581" s="14" t="str">
        <f>HYPERLINK("https://gerandofalcoes.my.salesforce.com/0014P00003SGWPNQA5", "0014P00003SGWPNQA5")</f>
        <v>0014P00003SGWPNQA5</v>
      </c>
      <c r="B581" s="2" t="s">
        <v>2998</v>
      </c>
      <c r="C581" s="2" t="s">
        <v>1684</v>
      </c>
      <c r="D581" s="2" t="s">
        <v>2</v>
      </c>
      <c r="E581" s="2"/>
      <c r="F581" s="2">
        <v>0</v>
      </c>
      <c r="G581" s="2">
        <v>1</v>
      </c>
      <c r="H581" s="2">
        <v>6000</v>
      </c>
      <c r="I581" s="2">
        <v>0</v>
      </c>
      <c r="J581" s="2" t="s">
        <v>1779</v>
      </c>
      <c r="K581" s="2">
        <v>9</v>
      </c>
      <c r="L581" s="2">
        <v>0</v>
      </c>
      <c r="M581" s="2">
        <v>0</v>
      </c>
      <c r="N581" s="2">
        <v>4</v>
      </c>
      <c r="O581" s="2">
        <v>5</v>
      </c>
      <c r="P581" s="2">
        <v>0</v>
      </c>
      <c r="Q581" s="2" t="s">
        <v>359</v>
      </c>
      <c r="R581" s="2" t="s">
        <v>359</v>
      </c>
      <c r="S581" s="4">
        <v>44837</v>
      </c>
    </row>
    <row r="582" spans="1:19" ht="12.5" x14ac:dyDescent="0.25">
      <c r="A582" s="14" t="str">
        <f>HYPERLINK("https://gerandofalcoes.my.salesforce.com/0014P00003SGWPQQA5", "0014P00003SGWPQQA5")</f>
        <v>0014P00003SGWPQQA5</v>
      </c>
      <c r="B582" s="2" t="s">
        <v>363</v>
      </c>
      <c r="C582" s="2" t="s">
        <v>423</v>
      </c>
      <c r="D582" s="2" t="s">
        <v>27</v>
      </c>
      <c r="E582" s="2">
        <v>93</v>
      </c>
      <c r="F582" s="2">
        <v>32</v>
      </c>
      <c r="G582" s="2">
        <v>4</v>
      </c>
      <c r="H582" s="2">
        <v>1010730.87</v>
      </c>
      <c r="I582" s="2">
        <v>192</v>
      </c>
      <c r="J582" s="2" t="s">
        <v>1654</v>
      </c>
      <c r="K582" s="2">
        <v>92</v>
      </c>
      <c r="L582" s="2">
        <v>30</v>
      </c>
      <c r="M582" s="2">
        <v>15</v>
      </c>
      <c r="N582" s="2">
        <v>10</v>
      </c>
      <c r="O582" s="2">
        <v>25</v>
      </c>
      <c r="P582" s="2">
        <v>12</v>
      </c>
      <c r="Q582" s="2" t="s">
        <v>364</v>
      </c>
      <c r="R582" s="2" t="s">
        <v>1545</v>
      </c>
      <c r="S582" s="4">
        <v>44837</v>
      </c>
    </row>
    <row r="583" spans="1:19" ht="12.5" x14ac:dyDescent="0.25">
      <c r="A583" s="14" t="str">
        <f>HYPERLINK("https://gerandofalcoes.my.salesforce.com/0014P00003SGWPPQA5", "0014P00003SGWPPQA5")</f>
        <v>0014P00003SGWPPQA5</v>
      </c>
      <c r="B583" s="2" t="s">
        <v>1700</v>
      </c>
      <c r="C583" s="2" t="s">
        <v>423</v>
      </c>
      <c r="D583" s="2" t="s">
        <v>27</v>
      </c>
      <c r="E583" s="2">
        <v>76.849999999999994</v>
      </c>
      <c r="F583" s="2">
        <v>10</v>
      </c>
      <c r="G583" s="2">
        <v>2</v>
      </c>
      <c r="H583" s="2">
        <v>60000</v>
      </c>
      <c r="I583" s="2">
        <v>120</v>
      </c>
      <c r="J583" s="2" t="s">
        <v>1671</v>
      </c>
      <c r="K583" s="2">
        <v>61</v>
      </c>
      <c r="L583" s="2">
        <v>25</v>
      </c>
      <c r="M583" s="2">
        <v>10</v>
      </c>
      <c r="N583" s="2">
        <v>6</v>
      </c>
      <c r="O583" s="2">
        <v>10</v>
      </c>
      <c r="P583" s="2">
        <v>10</v>
      </c>
      <c r="Q583" s="2" t="s">
        <v>366</v>
      </c>
      <c r="R583" s="2" t="s">
        <v>1557</v>
      </c>
      <c r="S583" s="4">
        <v>44837</v>
      </c>
    </row>
    <row r="584" spans="1:19" ht="12.5" x14ac:dyDescent="0.25">
      <c r="A584" s="14" t="str">
        <f>HYPERLINK("https://gerandofalcoes.my.salesforce.com/0014P00003SGWPRQA5", "0014P00003SGWPRQA5")</f>
        <v>0014P00003SGWPRQA5</v>
      </c>
      <c r="B584" s="2" t="s">
        <v>367</v>
      </c>
      <c r="C584" s="2" t="s">
        <v>423</v>
      </c>
      <c r="D584" s="2" t="s">
        <v>2</v>
      </c>
      <c r="E584" s="2">
        <v>57.96</v>
      </c>
      <c r="F584" s="2">
        <v>4</v>
      </c>
      <c r="G584" s="2">
        <v>6</v>
      </c>
      <c r="H584" s="2">
        <v>11100000</v>
      </c>
      <c r="I584" s="2">
        <v>200</v>
      </c>
      <c r="J584" s="2" t="s">
        <v>1650</v>
      </c>
      <c r="K584" s="2">
        <v>72</v>
      </c>
      <c r="L584" s="2">
        <v>20</v>
      </c>
      <c r="M584" s="2">
        <v>5</v>
      </c>
      <c r="N584" s="2">
        <v>10</v>
      </c>
      <c r="O584" s="2">
        <v>25</v>
      </c>
      <c r="P584" s="2">
        <v>12</v>
      </c>
      <c r="Q584" s="2" t="s">
        <v>369</v>
      </c>
      <c r="R584" s="2" t="s">
        <v>369</v>
      </c>
      <c r="S584" s="4">
        <v>44837</v>
      </c>
    </row>
    <row r="585" spans="1:19" ht="12.5" x14ac:dyDescent="0.25">
      <c r="A585" s="14" t="str">
        <f>HYPERLINK("https://gerandofalcoes.my.salesforce.com/0014P00003SGWPSQA5", "0014P00003SGWPSQA5")</f>
        <v>0014P00003SGWPSQA5</v>
      </c>
      <c r="B585" s="2" t="s">
        <v>372</v>
      </c>
      <c r="C585" s="2" t="s">
        <v>423</v>
      </c>
      <c r="D585" s="2" t="s">
        <v>2</v>
      </c>
      <c r="E585" s="2">
        <v>57</v>
      </c>
      <c r="F585" s="2">
        <v>10</v>
      </c>
      <c r="G585" s="2">
        <v>2</v>
      </c>
      <c r="H585" s="2">
        <v>657000000</v>
      </c>
      <c r="I585" s="2">
        <v>110</v>
      </c>
      <c r="J585" s="2" t="s">
        <v>1650</v>
      </c>
      <c r="K585" s="2">
        <v>71</v>
      </c>
      <c r="L585" s="2">
        <v>20</v>
      </c>
      <c r="M585" s="2">
        <v>10</v>
      </c>
      <c r="N585" s="2">
        <v>6</v>
      </c>
      <c r="O585" s="2">
        <v>25</v>
      </c>
      <c r="P585" s="2">
        <v>10</v>
      </c>
      <c r="Q585" s="2" t="s">
        <v>373</v>
      </c>
      <c r="R585" s="2" t="s">
        <v>373</v>
      </c>
      <c r="S585" s="4">
        <v>44837</v>
      </c>
    </row>
    <row r="586" spans="1:19" ht="12.5" x14ac:dyDescent="0.25">
      <c r="A586" s="14" t="str">
        <f>HYPERLINK("https://gerandofalcoes.my.salesforce.com/0014X00002OEuauQAD", "0014X00002OEuauQAD")</f>
        <v>0014X00002OEuauQAD</v>
      </c>
      <c r="B586" s="2" t="s">
        <v>2639</v>
      </c>
      <c r="C586" s="2" t="s">
        <v>423</v>
      </c>
      <c r="D586" s="2" t="s">
        <v>2</v>
      </c>
      <c r="E586" s="2">
        <v>18</v>
      </c>
      <c r="F586" s="2">
        <v>2</v>
      </c>
      <c r="G586" s="2">
        <v>2</v>
      </c>
      <c r="H586" s="2">
        <v>5000</v>
      </c>
      <c r="I586" s="2">
        <v>14</v>
      </c>
      <c r="J586" s="2" t="s">
        <v>1779</v>
      </c>
      <c r="K586" s="2">
        <v>31</v>
      </c>
      <c r="L586" s="2">
        <v>10</v>
      </c>
      <c r="M586" s="2">
        <v>5</v>
      </c>
      <c r="N586" s="2">
        <v>6</v>
      </c>
      <c r="O586" s="2">
        <v>5</v>
      </c>
      <c r="P586" s="2">
        <v>5</v>
      </c>
      <c r="Q586" s="2" t="s">
        <v>2640</v>
      </c>
      <c r="R586" s="2" t="s">
        <v>2641</v>
      </c>
      <c r="S586" s="4">
        <v>44837</v>
      </c>
    </row>
    <row r="587" spans="1:19" ht="12.5" x14ac:dyDescent="0.25">
      <c r="A587" s="14" t="str">
        <f>HYPERLINK("https://gerandofalcoes.my.salesforce.com/0014X00002OEualQAD", "0014X00002OEualQAD")</f>
        <v>0014X00002OEualQAD</v>
      </c>
      <c r="B587" s="2" t="s">
        <v>2220</v>
      </c>
      <c r="C587" s="2" t="s">
        <v>1800</v>
      </c>
      <c r="D587" s="2" t="s">
        <v>2</v>
      </c>
      <c r="E587" s="2">
        <v>32</v>
      </c>
      <c r="F587" s="2">
        <v>2</v>
      </c>
      <c r="G587" s="2">
        <v>3</v>
      </c>
      <c r="H587" s="2">
        <v>40000</v>
      </c>
      <c r="I587" s="2">
        <v>80</v>
      </c>
      <c r="J587" s="2" t="s">
        <v>1671</v>
      </c>
      <c r="K587" s="2">
        <v>48</v>
      </c>
      <c r="L587" s="2">
        <v>15</v>
      </c>
      <c r="M587" s="2">
        <v>5</v>
      </c>
      <c r="N587" s="2">
        <v>8</v>
      </c>
      <c r="O587" s="2">
        <v>10</v>
      </c>
      <c r="P587" s="2">
        <v>10</v>
      </c>
      <c r="Q587" s="2" t="s">
        <v>2221</v>
      </c>
      <c r="R587" s="2" t="s">
        <v>2222</v>
      </c>
      <c r="S587" s="4">
        <v>44837</v>
      </c>
    </row>
    <row r="588" spans="1:19" ht="12.5" x14ac:dyDescent="0.25">
      <c r="A588" s="14" t="str">
        <f>HYPERLINK("https://gerandofalcoes.my.salesforce.com/0014X00002OEuamQAD", "0014X00002OEuamQAD")</f>
        <v>0014X00002OEuamQAD</v>
      </c>
      <c r="B588" s="2" t="s">
        <v>2612</v>
      </c>
      <c r="C588" s="2" t="s">
        <v>1800</v>
      </c>
      <c r="D588" s="2" t="s">
        <v>2</v>
      </c>
      <c r="E588" s="2">
        <v>19</v>
      </c>
      <c r="F588" s="2">
        <v>0</v>
      </c>
      <c r="G588" s="2">
        <v>4</v>
      </c>
      <c r="H588" s="2">
        <v>7000</v>
      </c>
      <c r="I588" s="2">
        <v>0</v>
      </c>
      <c r="J588" s="2" t="s">
        <v>1779</v>
      </c>
      <c r="K588" s="2">
        <v>25</v>
      </c>
      <c r="L588" s="2">
        <v>10</v>
      </c>
      <c r="M588" s="2">
        <v>0</v>
      </c>
      <c r="N588" s="2">
        <v>10</v>
      </c>
      <c r="O588" s="2">
        <v>5</v>
      </c>
      <c r="P588" s="2">
        <v>0</v>
      </c>
      <c r="Q588" s="2" t="s">
        <v>2613</v>
      </c>
      <c r="R588" s="2" t="s">
        <v>2613</v>
      </c>
      <c r="S588" s="4">
        <v>44837</v>
      </c>
    </row>
    <row r="589" spans="1:19" ht="12.5" x14ac:dyDescent="0.25">
      <c r="A589" s="14" t="str">
        <f>HYPERLINK("https://gerandofalcoes.my.salesforce.com/0014X00002OEuaoQAD", "0014X00002OEuaoQAD")</f>
        <v>0014X00002OEuaoQAD</v>
      </c>
      <c r="B589" s="2" t="s">
        <v>2749</v>
      </c>
      <c r="C589" s="2" t="s">
        <v>1800</v>
      </c>
      <c r="D589" s="2" t="s">
        <v>2</v>
      </c>
      <c r="E589" s="2">
        <v>14</v>
      </c>
      <c r="F589" s="2">
        <v>0</v>
      </c>
      <c r="G589" s="2">
        <v>2</v>
      </c>
      <c r="H589" s="2">
        <v>0</v>
      </c>
      <c r="I589" s="2">
        <v>230</v>
      </c>
      <c r="J589" s="2" t="s">
        <v>1779</v>
      </c>
      <c r="K589" s="2">
        <v>28</v>
      </c>
      <c r="L589" s="2">
        <v>10</v>
      </c>
      <c r="M589" s="2">
        <v>0</v>
      </c>
      <c r="N589" s="2">
        <v>6</v>
      </c>
      <c r="O589" s="2">
        <v>0</v>
      </c>
      <c r="P589" s="2">
        <v>12</v>
      </c>
      <c r="Q589" s="2" t="s">
        <v>2750</v>
      </c>
      <c r="R589" s="2" t="s">
        <v>2751</v>
      </c>
      <c r="S589" s="4">
        <v>44837</v>
      </c>
    </row>
    <row r="590" spans="1:19" ht="12.5" x14ac:dyDescent="0.25">
      <c r="A590" s="14" t="str">
        <f>HYPERLINK("https://gerandofalcoes.my.salesforce.com/0014X00002OEuapQAD", "0014X00002OEuapQAD")</f>
        <v>0014X00002OEuapQAD</v>
      </c>
      <c r="B590" s="2" t="s">
        <v>2732</v>
      </c>
      <c r="C590" s="2" t="s">
        <v>1800</v>
      </c>
      <c r="D590" s="2" t="s">
        <v>2</v>
      </c>
      <c r="E590" s="2">
        <v>15</v>
      </c>
      <c r="F590" s="2">
        <v>0</v>
      </c>
      <c r="G590" s="2">
        <v>0</v>
      </c>
      <c r="H590" s="2">
        <v>0</v>
      </c>
      <c r="I590" s="2">
        <v>0</v>
      </c>
      <c r="J590" s="2" t="s">
        <v>1779</v>
      </c>
      <c r="K590" s="2">
        <v>10</v>
      </c>
      <c r="L590" s="2">
        <v>10</v>
      </c>
      <c r="M590" s="2">
        <v>0</v>
      </c>
      <c r="N590" s="2">
        <v>0</v>
      </c>
      <c r="O590" s="2">
        <v>0</v>
      </c>
      <c r="P590" s="2">
        <v>0</v>
      </c>
      <c r="Q590" s="2" t="s">
        <v>2733</v>
      </c>
      <c r="R590" s="2" t="s">
        <v>2733</v>
      </c>
      <c r="S590" s="4">
        <v>44837</v>
      </c>
    </row>
    <row r="591" spans="1:19" ht="12.5" x14ac:dyDescent="0.25">
      <c r="A591" s="14" t="str">
        <f>HYPERLINK("https://gerandofalcoes.my.salesforce.com/0014X00002OEuaqQAD", "0014X00002OEuaqQAD")</f>
        <v>0014X00002OEuaqQAD</v>
      </c>
      <c r="B591" s="2" t="s">
        <v>2629</v>
      </c>
      <c r="C591" s="2" t="s">
        <v>423</v>
      </c>
      <c r="D591" s="2" t="s">
        <v>2</v>
      </c>
      <c r="E591" s="2">
        <v>18</v>
      </c>
      <c r="F591" s="2">
        <v>20</v>
      </c>
      <c r="G591" s="2">
        <v>2</v>
      </c>
      <c r="H591" s="2">
        <v>3000</v>
      </c>
      <c r="I591" s="2">
        <v>300</v>
      </c>
      <c r="J591" s="2" t="s">
        <v>1671</v>
      </c>
      <c r="K591" s="2">
        <v>48</v>
      </c>
      <c r="L591" s="2">
        <v>10</v>
      </c>
      <c r="M591" s="2">
        <v>12</v>
      </c>
      <c r="N591" s="2">
        <v>6</v>
      </c>
      <c r="O591" s="2">
        <v>5</v>
      </c>
      <c r="P591" s="2">
        <v>15</v>
      </c>
      <c r="Q591" s="2" t="s">
        <v>2630</v>
      </c>
      <c r="R591" s="2" t="s">
        <v>2631</v>
      </c>
      <c r="S591" s="4">
        <v>44837</v>
      </c>
    </row>
    <row r="592" spans="1:19" ht="12.5" x14ac:dyDescent="0.25">
      <c r="A592" s="14" t="str">
        <f>HYPERLINK("https://gerandofalcoes.my.salesforce.com/0014X00002OEuasQAD", "0014X00002OEuasQAD")</f>
        <v>0014X00002OEuasQAD</v>
      </c>
      <c r="B592" s="2" t="s">
        <v>2420</v>
      </c>
      <c r="C592" s="2" t="s">
        <v>423</v>
      </c>
      <c r="D592" s="2" t="s">
        <v>2</v>
      </c>
      <c r="E592" s="2">
        <v>25</v>
      </c>
      <c r="F592" s="2">
        <v>0</v>
      </c>
      <c r="G592" s="2">
        <v>4</v>
      </c>
      <c r="H592" s="2">
        <v>20000</v>
      </c>
      <c r="I592" s="2">
        <v>0</v>
      </c>
      <c r="J592" s="2" t="s">
        <v>1779</v>
      </c>
      <c r="K592" s="2">
        <v>30</v>
      </c>
      <c r="L592" s="2">
        <v>15</v>
      </c>
      <c r="M592" s="2">
        <v>0</v>
      </c>
      <c r="N592" s="2">
        <v>10</v>
      </c>
      <c r="O592" s="2">
        <v>5</v>
      </c>
      <c r="P592" s="2">
        <v>0</v>
      </c>
      <c r="Q592" s="2" t="s">
        <v>2421</v>
      </c>
      <c r="R592" s="2" t="s">
        <v>2422</v>
      </c>
      <c r="S592" s="4">
        <v>44837</v>
      </c>
    </row>
    <row r="593" spans="1:19" ht="12.5" x14ac:dyDescent="0.25">
      <c r="A593" s="14" t="str">
        <f>HYPERLINK("https://gerandofalcoes.my.salesforce.com/0014X00002OEuawQAD", "0014X00002OEuawQAD")</f>
        <v>0014X00002OEuawQAD</v>
      </c>
      <c r="B593" s="2" t="s">
        <v>1995</v>
      </c>
      <c r="C593" s="2" t="s">
        <v>1800</v>
      </c>
      <c r="D593" s="2" t="s">
        <v>2</v>
      </c>
      <c r="E593" s="2">
        <v>39</v>
      </c>
      <c r="F593" s="2">
        <v>13</v>
      </c>
      <c r="G593" s="2">
        <v>3</v>
      </c>
      <c r="H593" s="2">
        <v>120000</v>
      </c>
      <c r="I593" s="2">
        <v>130</v>
      </c>
      <c r="J593" s="2" t="s">
        <v>1671</v>
      </c>
      <c r="K593" s="2">
        <v>60</v>
      </c>
      <c r="L593" s="2">
        <v>15</v>
      </c>
      <c r="M593" s="2">
        <v>12</v>
      </c>
      <c r="N593" s="2">
        <v>8</v>
      </c>
      <c r="O593" s="2">
        <v>15</v>
      </c>
      <c r="P593" s="2">
        <v>10</v>
      </c>
      <c r="Q593" s="2" t="s">
        <v>1996</v>
      </c>
      <c r="R593" s="2" t="s">
        <v>1997</v>
      </c>
      <c r="S593" s="4">
        <v>44837</v>
      </c>
    </row>
    <row r="594" spans="1:19" ht="12.5" x14ac:dyDescent="0.25">
      <c r="A594" s="14" t="str">
        <f>HYPERLINK("https://gerandofalcoes.my.salesforce.com/0014X00002OFqnrQAD", "0014X00002OFqnrQAD")</f>
        <v>0014X00002OFqnrQAD</v>
      </c>
      <c r="B594" s="2" t="s">
        <v>1791</v>
      </c>
      <c r="C594" s="2" t="s">
        <v>1684</v>
      </c>
      <c r="D594" s="2" t="s">
        <v>27</v>
      </c>
      <c r="E594" s="2">
        <v>56</v>
      </c>
      <c r="F594" s="2">
        <v>0</v>
      </c>
      <c r="G594" s="2">
        <v>0</v>
      </c>
      <c r="H594" s="2">
        <v>0</v>
      </c>
      <c r="I594" s="2">
        <v>0</v>
      </c>
      <c r="J594" s="2" t="s">
        <v>1779</v>
      </c>
      <c r="K594" s="2">
        <v>20</v>
      </c>
      <c r="L594" s="2">
        <v>20</v>
      </c>
      <c r="M594" s="2">
        <v>0</v>
      </c>
      <c r="N594" s="2">
        <v>0</v>
      </c>
      <c r="O594" s="2">
        <v>0</v>
      </c>
      <c r="P594" s="2">
        <v>0</v>
      </c>
      <c r="Q594" s="2"/>
      <c r="R594" s="2"/>
      <c r="S594" s="4">
        <v>44837</v>
      </c>
    </row>
    <row r="595" spans="1:19" ht="12.5" x14ac:dyDescent="0.25">
      <c r="A595" s="14" t="str">
        <f>HYPERLINK("https://gerandofalcoes.my.salesforce.com/0014X00002cUXt4QAG", "0014X00002cUXt4QAG")</f>
        <v>0014X00002cUXt4QAG</v>
      </c>
      <c r="B595" s="2" t="s">
        <v>7176</v>
      </c>
      <c r="C595" s="2" t="s">
        <v>1684</v>
      </c>
      <c r="D595" s="2" t="s">
        <v>2</v>
      </c>
      <c r="E595" s="2">
        <v>10</v>
      </c>
      <c r="F595" s="2">
        <v>0</v>
      </c>
      <c r="G595" s="2">
        <v>6</v>
      </c>
      <c r="H595" s="2">
        <v>148600</v>
      </c>
      <c r="I595" s="2">
        <v>526</v>
      </c>
      <c r="J595" s="2" t="s">
        <v>1671</v>
      </c>
      <c r="K595" s="2">
        <v>60</v>
      </c>
      <c r="L595" s="2">
        <v>15</v>
      </c>
      <c r="M595" s="2">
        <v>0</v>
      </c>
      <c r="N595" s="2">
        <v>10</v>
      </c>
      <c r="O595" s="2">
        <v>15</v>
      </c>
      <c r="P595" s="2">
        <v>20</v>
      </c>
      <c r="Q595" s="2" t="s">
        <v>7177</v>
      </c>
      <c r="R595" s="2" t="s">
        <v>3814</v>
      </c>
      <c r="S595" s="4">
        <v>44837</v>
      </c>
    </row>
    <row r="596" spans="1:19" ht="12.5" x14ac:dyDescent="0.25">
      <c r="A596" s="14" t="str">
        <f>HYPERLINK("https://gerandofalcoes.my.salesforce.com/0014X00002QTWZVQA5", "0014X00002QTWZVQA5")</f>
        <v>0014X00002QTWZVQA5</v>
      </c>
      <c r="B596" s="2" t="s">
        <v>2662</v>
      </c>
      <c r="C596" s="2" t="s">
        <v>1800</v>
      </c>
      <c r="D596" s="2" t="s">
        <v>2</v>
      </c>
      <c r="E596" s="2">
        <v>17</v>
      </c>
      <c r="F596" s="2">
        <v>4</v>
      </c>
      <c r="G596" s="2">
        <v>3</v>
      </c>
      <c r="H596" s="2">
        <v>69000</v>
      </c>
      <c r="I596" s="2">
        <v>35</v>
      </c>
      <c r="J596" s="2" t="s">
        <v>1779</v>
      </c>
      <c r="K596" s="2">
        <v>38</v>
      </c>
      <c r="L596" s="2">
        <v>10</v>
      </c>
      <c r="M596" s="2">
        <v>5</v>
      </c>
      <c r="N596" s="2">
        <v>8</v>
      </c>
      <c r="O596" s="2">
        <v>10</v>
      </c>
      <c r="P596" s="2">
        <v>5</v>
      </c>
      <c r="Q596" s="2" t="s">
        <v>2663</v>
      </c>
      <c r="R596" s="2" t="s">
        <v>2664</v>
      </c>
      <c r="S596" s="4">
        <v>44837</v>
      </c>
    </row>
    <row r="597" spans="1:19" ht="12.5" x14ac:dyDescent="0.25">
      <c r="A597" s="14" t="str">
        <f>HYPERLINK("https://gerandofalcoes.my.salesforce.com/0014X00002PUOTvQAP", "0014X00002PUOTvQAP")</f>
        <v>0014X00002PUOTvQAP</v>
      </c>
      <c r="B597" s="2" t="s">
        <v>1883</v>
      </c>
      <c r="C597" s="2" t="s">
        <v>1800</v>
      </c>
      <c r="D597" s="2" t="s">
        <v>2</v>
      </c>
      <c r="E597" s="2">
        <v>44</v>
      </c>
      <c r="F597" s="2">
        <v>3</v>
      </c>
      <c r="G597" s="2">
        <v>1</v>
      </c>
      <c r="H597" s="2">
        <v>150000</v>
      </c>
      <c r="I597" s="2">
        <v>800</v>
      </c>
      <c r="J597" s="2" t="s">
        <v>1671</v>
      </c>
      <c r="K597" s="2">
        <v>59</v>
      </c>
      <c r="L597" s="2">
        <v>15</v>
      </c>
      <c r="M597" s="2">
        <v>5</v>
      </c>
      <c r="N597" s="2">
        <v>4</v>
      </c>
      <c r="O597" s="2">
        <v>15</v>
      </c>
      <c r="P597" s="2">
        <v>20</v>
      </c>
      <c r="Q597" s="2" t="s">
        <v>1884</v>
      </c>
      <c r="R597" s="2" t="s">
        <v>424</v>
      </c>
      <c r="S597" s="4">
        <v>44837</v>
      </c>
    </row>
    <row r="598" spans="1:19" ht="12.5" x14ac:dyDescent="0.25">
      <c r="A598" s="14" t="str">
        <f>HYPERLINK("https://gerandofalcoes.my.salesforce.com/0014X00002PUOaDQAX", "0014X00002PUOaDQAX")</f>
        <v>0014X00002PUOaDQAX</v>
      </c>
      <c r="B598" s="2" t="s">
        <v>1767</v>
      </c>
      <c r="C598" s="2" t="s">
        <v>423</v>
      </c>
      <c r="D598" s="2" t="s">
        <v>2</v>
      </c>
      <c r="E598" s="2">
        <v>80</v>
      </c>
      <c r="F598" s="2">
        <v>11</v>
      </c>
      <c r="G598" s="2">
        <v>10</v>
      </c>
      <c r="H598" s="2">
        <v>30139720</v>
      </c>
      <c r="I598" s="2">
        <v>139</v>
      </c>
      <c r="J598" s="2" t="s">
        <v>1654</v>
      </c>
      <c r="K598" s="2">
        <v>82</v>
      </c>
      <c r="L598" s="2">
        <v>25</v>
      </c>
      <c r="M598" s="2">
        <v>12</v>
      </c>
      <c r="N598" s="2">
        <v>10</v>
      </c>
      <c r="O598" s="2">
        <v>25</v>
      </c>
      <c r="P598" s="2">
        <v>10</v>
      </c>
      <c r="Q598" s="2" t="s">
        <v>439</v>
      </c>
      <c r="R598" s="2" t="s">
        <v>439</v>
      </c>
      <c r="S598" s="4">
        <v>44837</v>
      </c>
    </row>
    <row r="599" spans="1:19" ht="12.5" x14ac:dyDescent="0.25">
      <c r="A599" s="14" t="str">
        <f>HYPERLINK("https://gerandofalcoes.my.salesforce.com/0014X00002PUOUaQAP", "0014X00002PUOUaQAP")</f>
        <v>0014X00002PUOUaQAP</v>
      </c>
      <c r="B599" s="2" t="s">
        <v>8</v>
      </c>
      <c r="C599" s="2" t="s">
        <v>423</v>
      </c>
      <c r="D599" s="2" t="s">
        <v>2</v>
      </c>
      <c r="E599" s="2">
        <v>30.77</v>
      </c>
      <c r="F599" s="2">
        <v>2</v>
      </c>
      <c r="G599" s="2">
        <v>1</v>
      </c>
      <c r="H599" s="2">
        <v>24000</v>
      </c>
      <c r="I599" s="2">
        <v>200</v>
      </c>
      <c r="J599" s="2" t="s">
        <v>1671</v>
      </c>
      <c r="K599" s="2">
        <v>41</v>
      </c>
      <c r="L599" s="2">
        <v>15</v>
      </c>
      <c r="M599" s="2">
        <v>5</v>
      </c>
      <c r="N599" s="2">
        <v>4</v>
      </c>
      <c r="O599" s="2">
        <v>5</v>
      </c>
      <c r="P599" s="2">
        <v>12</v>
      </c>
      <c r="Q599" s="2" t="s">
        <v>2252</v>
      </c>
      <c r="R599" s="2" t="s">
        <v>2252</v>
      </c>
      <c r="S599" s="4">
        <v>44837</v>
      </c>
    </row>
    <row r="600" spans="1:19" ht="12.5" x14ac:dyDescent="0.25">
      <c r="A600" s="14" t="str">
        <f>HYPERLINK("https://gerandofalcoes.my.salesforce.com/0014X00002PUObkQAH", "0014X00002PUObkQAH")</f>
        <v>0014X00002PUObkQAH</v>
      </c>
      <c r="B600" s="2" t="s">
        <v>2065</v>
      </c>
      <c r="C600" s="2" t="s">
        <v>423</v>
      </c>
      <c r="D600" s="2" t="s">
        <v>2</v>
      </c>
      <c r="E600" s="2">
        <v>39</v>
      </c>
      <c r="F600" s="2">
        <v>0</v>
      </c>
      <c r="G600" s="2">
        <v>2</v>
      </c>
      <c r="H600" s="2">
        <v>3520653</v>
      </c>
      <c r="I600" s="2">
        <v>313</v>
      </c>
      <c r="J600" s="2" t="s">
        <v>1671</v>
      </c>
      <c r="K600" s="2">
        <v>61</v>
      </c>
      <c r="L600" s="2">
        <v>15</v>
      </c>
      <c r="M600" s="2">
        <v>0</v>
      </c>
      <c r="N600" s="2">
        <v>6</v>
      </c>
      <c r="O600" s="2">
        <v>25</v>
      </c>
      <c r="P600" s="2">
        <v>15</v>
      </c>
      <c r="Q600" s="2" t="s">
        <v>2066</v>
      </c>
      <c r="R600" s="2" t="s">
        <v>477</v>
      </c>
      <c r="S600" s="4">
        <v>44837</v>
      </c>
    </row>
    <row r="601" spans="1:19" ht="12.5" x14ac:dyDescent="0.25">
      <c r="A601" s="14" t="str">
        <f>HYPERLINK("https://gerandofalcoes.my.salesforce.com/0014X00002PUOdWQAX", "0014X00002PUOdWQAX")</f>
        <v>0014X00002PUOdWQAX</v>
      </c>
      <c r="B601" s="2" t="s">
        <v>22</v>
      </c>
      <c r="C601" s="2" t="s">
        <v>423</v>
      </c>
      <c r="D601" s="2" t="s">
        <v>2</v>
      </c>
      <c r="E601" s="2">
        <v>29</v>
      </c>
      <c r="F601" s="2">
        <v>10</v>
      </c>
      <c r="G601" s="2">
        <v>0</v>
      </c>
      <c r="H601" s="2">
        <v>0</v>
      </c>
      <c r="I601" s="2">
        <v>100</v>
      </c>
      <c r="J601" s="2" t="s">
        <v>1779</v>
      </c>
      <c r="K601" s="2">
        <v>35</v>
      </c>
      <c r="L601" s="2">
        <v>15</v>
      </c>
      <c r="M601" s="2">
        <v>10</v>
      </c>
      <c r="N601" s="2">
        <v>0</v>
      </c>
      <c r="O601" s="2">
        <v>0</v>
      </c>
      <c r="P601" s="2">
        <v>10</v>
      </c>
      <c r="Q601" s="2" t="s">
        <v>485</v>
      </c>
      <c r="R601" s="2" t="s">
        <v>485</v>
      </c>
      <c r="S601" s="4">
        <v>44837</v>
      </c>
    </row>
    <row r="602" spans="1:19" ht="12.5" x14ac:dyDescent="0.25">
      <c r="A602" s="14" t="str">
        <f>HYPERLINK("https://gerandofalcoes.my.salesforce.com/0014P00003YSp7OQAT", "0014P00003YSp7OQAT")</f>
        <v>0014P00003YSp7OQAT</v>
      </c>
      <c r="B602" s="2" t="s">
        <v>2694</v>
      </c>
      <c r="C602" s="2" t="s">
        <v>423</v>
      </c>
      <c r="D602" s="2" t="s">
        <v>2</v>
      </c>
      <c r="E602" s="2">
        <v>22</v>
      </c>
      <c r="F602" s="2">
        <v>5</v>
      </c>
      <c r="G602" s="2">
        <v>1</v>
      </c>
      <c r="H602" s="2">
        <v>20785</v>
      </c>
      <c r="I602" s="2">
        <v>20</v>
      </c>
      <c r="J602" s="2" t="s">
        <v>1779</v>
      </c>
      <c r="K602" s="2">
        <v>29</v>
      </c>
      <c r="L602" s="2">
        <v>10</v>
      </c>
      <c r="M602" s="2">
        <v>5</v>
      </c>
      <c r="N602" s="2">
        <v>4</v>
      </c>
      <c r="O602" s="2">
        <v>5</v>
      </c>
      <c r="P602" s="2">
        <v>5</v>
      </c>
      <c r="Q602" s="2" t="s">
        <v>2695</v>
      </c>
      <c r="R602" s="2" t="s">
        <v>2696</v>
      </c>
      <c r="S602" s="4">
        <v>44837</v>
      </c>
    </row>
    <row r="603" spans="1:19" ht="12.5" x14ac:dyDescent="0.25">
      <c r="A603" s="14" t="str">
        <f>HYPERLINK("https://gerandofalcoes.my.salesforce.com/0014P00003YSp7PQAT", "0014P00003YSp7PQAT")</f>
        <v>0014P00003YSp7PQAT</v>
      </c>
      <c r="B603" s="2" t="s">
        <v>1807</v>
      </c>
      <c r="C603" s="2" t="s">
        <v>423</v>
      </c>
      <c r="D603" s="2" t="s">
        <v>2</v>
      </c>
      <c r="E603" s="2">
        <v>41</v>
      </c>
      <c r="F603" s="2">
        <v>5</v>
      </c>
      <c r="G603" s="2">
        <v>4</v>
      </c>
      <c r="H603" s="2">
        <v>465000</v>
      </c>
      <c r="I603" s="2">
        <v>55</v>
      </c>
      <c r="J603" s="2" t="s">
        <v>1671</v>
      </c>
      <c r="K603" s="2">
        <v>55</v>
      </c>
      <c r="L603" s="2">
        <v>15</v>
      </c>
      <c r="M603" s="2">
        <v>5</v>
      </c>
      <c r="N603" s="2">
        <v>10</v>
      </c>
      <c r="O603" s="2">
        <v>20</v>
      </c>
      <c r="P603" s="2">
        <v>5</v>
      </c>
      <c r="Q603" s="2" t="s">
        <v>1808</v>
      </c>
      <c r="R603" s="2" t="s">
        <v>1809</v>
      </c>
      <c r="S603" s="4">
        <v>44837</v>
      </c>
    </row>
    <row r="604" spans="1:19" ht="12.5" x14ac:dyDescent="0.25">
      <c r="A604" s="14" t="str">
        <f>HYPERLINK("https://gerandofalcoes.my.salesforce.com/0014X00002VKCuUQAX", "0014X00002VKCuUQAX")</f>
        <v>0014X00002VKCuUQAX</v>
      </c>
      <c r="B604" s="2" t="s">
        <v>2860</v>
      </c>
      <c r="C604" s="2" t="s">
        <v>1800</v>
      </c>
      <c r="D604" s="2" t="s">
        <v>2</v>
      </c>
      <c r="E604" s="2">
        <v>10</v>
      </c>
      <c r="F604" s="2">
        <v>83</v>
      </c>
      <c r="G604" s="2">
        <v>8</v>
      </c>
      <c r="H604" s="2">
        <v>0</v>
      </c>
      <c r="I604" s="2">
        <v>5</v>
      </c>
      <c r="J604" s="2" t="s">
        <v>1671</v>
      </c>
      <c r="K604" s="2">
        <v>40</v>
      </c>
      <c r="L604" s="2">
        <v>10</v>
      </c>
      <c r="M604" s="2">
        <v>15</v>
      </c>
      <c r="N604" s="2">
        <v>10</v>
      </c>
      <c r="O604" s="2">
        <v>0</v>
      </c>
      <c r="P604" s="2">
        <v>5</v>
      </c>
      <c r="Q604" s="2" t="s">
        <v>2861</v>
      </c>
      <c r="R604" s="2" t="s">
        <v>2862</v>
      </c>
      <c r="S604" s="4">
        <v>44837</v>
      </c>
    </row>
    <row r="605" spans="1:19" ht="12.5" x14ac:dyDescent="0.25">
      <c r="A605" s="14" t="str">
        <f>HYPERLINK("https://gerandofalcoes.my.salesforce.com/0014X00002VKCpNQAX", "0014X00002VKCpNQAX")</f>
        <v>0014X00002VKCpNQAX</v>
      </c>
      <c r="B605" s="2" t="s">
        <v>2185</v>
      </c>
      <c r="C605" s="2" t="s">
        <v>1800</v>
      </c>
      <c r="D605" s="2" t="s">
        <v>2</v>
      </c>
      <c r="E605" s="2">
        <v>33</v>
      </c>
      <c r="F605" s="2">
        <v>0</v>
      </c>
      <c r="G605" s="2">
        <v>4</v>
      </c>
      <c r="H605" s="2">
        <v>800</v>
      </c>
      <c r="I605" s="2">
        <v>25</v>
      </c>
      <c r="J605" s="2" t="s">
        <v>1779</v>
      </c>
      <c r="K605" s="2">
        <v>35</v>
      </c>
      <c r="L605" s="2">
        <v>15</v>
      </c>
      <c r="M605" s="2">
        <v>0</v>
      </c>
      <c r="N605" s="2">
        <v>10</v>
      </c>
      <c r="O605" s="2">
        <v>5</v>
      </c>
      <c r="P605" s="2">
        <v>5</v>
      </c>
      <c r="Q605" s="2" t="s">
        <v>2186</v>
      </c>
      <c r="R605" s="2" t="s">
        <v>2187</v>
      </c>
      <c r="S605" s="4">
        <v>44837</v>
      </c>
    </row>
    <row r="606" spans="1:19" ht="12.5" x14ac:dyDescent="0.25">
      <c r="A606" s="14" t="str">
        <f>HYPERLINK("https://gerandofalcoes.my.salesforce.com/0014X00002VKCuYQAX", "0014X00002VKCuYQAX")</f>
        <v>0014X00002VKCuYQAX</v>
      </c>
      <c r="B606" s="2" t="s">
        <v>2049</v>
      </c>
      <c r="C606" s="2" t="s">
        <v>423</v>
      </c>
      <c r="D606" s="2" t="s">
        <v>2</v>
      </c>
      <c r="E606" s="2">
        <v>37</v>
      </c>
      <c r="F606" s="2">
        <v>0</v>
      </c>
      <c r="G606" s="2">
        <v>4</v>
      </c>
      <c r="H606" s="2">
        <v>2500</v>
      </c>
      <c r="I606" s="2">
        <v>55</v>
      </c>
      <c r="J606" s="2" t="s">
        <v>1779</v>
      </c>
      <c r="K606" s="2">
        <v>35</v>
      </c>
      <c r="L606" s="2">
        <v>15</v>
      </c>
      <c r="M606" s="2">
        <v>0</v>
      </c>
      <c r="N606" s="2">
        <v>10</v>
      </c>
      <c r="O606" s="2">
        <v>5</v>
      </c>
      <c r="P606" s="2">
        <v>5</v>
      </c>
      <c r="Q606" s="2" t="s">
        <v>2050</v>
      </c>
      <c r="R606" s="2" t="s">
        <v>2050</v>
      </c>
      <c r="S606" s="4">
        <v>44837</v>
      </c>
    </row>
    <row r="607" spans="1:19" ht="12.5" x14ac:dyDescent="0.25">
      <c r="A607" s="14" t="str">
        <f>HYPERLINK("https://gerandofalcoes.my.salesforce.com/0014P00003YSp7yQAD", "0014P00003YSp7yQAD")</f>
        <v>0014P00003YSp7yQAD</v>
      </c>
      <c r="B607" s="2" t="s">
        <v>2823</v>
      </c>
      <c r="C607" s="2" t="s">
        <v>423</v>
      </c>
      <c r="D607" s="2" t="s">
        <v>2</v>
      </c>
      <c r="E607" s="2">
        <v>12</v>
      </c>
      <c r="F607" s="2">
        <v>0</v>
      </c>
      <c r="G607" s="2">
        <v>3</v>
      </c>
      <c r="H607" s="2">
        <v>10000</v>
      </c>
      <c r="I607" s="2">
        <v>200</v>
      </c>
      <c r="J607" s="2" t="s">
        <v>1779</v>
      </c>
      <c r="K607" s="2">
        <v>35</v>
      </c>
      <c r="L607" s="2">
        <v>10</v>
      </c>
      <c r="M607" s="2">
        <v>0</v>
      </c>
      <c r="N607" s="2">
        <v>8</v>
      </c>
      <c r="O607" s="2">
        <v>5</v>
      </c>
      <c r="P607" s="2">
        <v>12</v>
      </c>
      <c r="Q607" s="2" t="s">
        <v>2824</v>
      </c>
      <c r="R607" s="2" t="s">
        <v>2825</v>
      </c>
      <c r="S607" s="4">
        <v>44837</v>
      </c>
    </row>
    <row r="608" spans="1:19" ht="12.5" x14ac:dyDescent="0.25">
      <c r="A608" s="14" t="str">
        <f>HYPERLINK("https://gerandofalcoes.my.salesforce.com/0014P00003YSp7zQAD", "0014P00003YSp7zQAD")</f>
        <v>0014P00003YSp7zQAD</v>
      </c>
      <c r="B608" s="2" t="s">
        <v>2441</v>
      </c>
      <c r="C608" s="2" t="s">
        <v>423</v>
      </c>
      <c r="D608" s="2" t="s">
        <v>2</v>
      </c>
      <c r="E608" s="2">
        <v>24</v>
      </c>
      <c r="F608" s="2">
        <v>1</v>
      </c>
      <c r="G608" s="2">
        <v>0</v>
      </c>
      <c r="H608" s="2">
        <v>380000</v>
      </c>
      <c r="I608" s="2">
        <v>780</v>
      </c>
      <c r="J608" s="2" t="s">
        <v>1671</v>
      </c>
      <c r="K608" s="2">
        <v>55</v>
      </c>
      <c r="L608" s="2">
        <v>10</v>
      </c>
      <c r="M608" s="2">
        <v>5</v>
      </c>
      <c r="N608" s="2">
        <v>0</v>
      </c>
      <c r="O608" s="2">
        <v>20</v>
      </c>
      <c r="P608" s="2">
        <v>20</v>
      </c>
      <c r="Q608" s="2" t="s">
        <v>2442</v>
      </c>
      <c r="R608" s="2" t="s">
        <v>2443</v>
      </c>
      <c r="S608" s="4">
        <v>44837</v>
      </c>
    </row>
    <row r="609" spans="1:19" ht="12.5" x14ac:dyDescent="0.25">
      <c r="A609" s="14" t="str">
        <f>HYPERLINK("https://gerandofalcoes.my.salesforce.com/0014P00003YSp81QAD", "0014P00003YSp81QAD")</f>
        <v>0014P00003YSp81QAD</v>
      </c>
      <c r="B609" s="2" t="s">
        <v>1992</v>
      </c>
      <c r="C609" s="2" t="s">
        <v>1800</v>
      </c>
      <c r="D609" s="2" t="s">
        <v>2</v>
      </c>
      <c r="E609" s="2">
        <v>39</v>
      </c>
      <c r="F609" s="2">
        <v>0</v>
      </c>
      <c r="G609" s="2">
        <v>2</v>
      </c>
      <c r="H609" s="2">
        <v>5000</v>
      </c>
      <c r="I609" s="2">
        <v>150</v>
      </c>
      <c r="J609" s="2" t="s">
        <v>1779</v>
      </c>
      <c r="K609" s="2">
        <v>38</v>
      </c>
      <c r="L609" s="2">
        <v>15</v>
      </c>
      <c r="M609" s="2">
        <v>0</v>
      </c>
      <c r="N609" s="2">
        <v>6</v>
      </c>
      <c r="O609" s="2">
        <v>5</v>
      </c>
      <c r="P609" s="2">
        <v>12</v>
      </c>
      <c r="Q609" s="2" t="s">
        <v>1993</v>
      </c>
      <c r="R609" s="2" t="s">
        <v>1994</v>
      </c>
      <c r="S609" s="4">
        <v>44837</v>
      </c>
    </row>
    <row r="610" spans="1:19" ht="12.5" x14ac:dyDescent="0.25">
      <c r="A610" s="14" t="str">
        <f>HYPERLINK("https://gerandofalcoes.my.salesforce.com/0014P00003YSp82QAD", "0014P00003YSp82QAD")</f>
        <v>0014P00003YSp82QAD</v>
      </c>
      <c r="B610" s="2" t="s">
        <v>2362</v>
      </c>
      <c r="C610" s="2" t="s">
        <v>423</v>
      </c>
      <c r="D610" s="2" t="s">
        <v>2</v>
      </c>
      <c r="E610" s="2">
        <v>25</v>
      </c>
      <c r="F610" s="2">
        <v>9</v>
      </c>
      <c r="G610" s="2">
        <v>5</v>
      </c>
      <c r="H610" s="2">
        <v>5224158</v>
      </c>
      <c r="I610" s="2">
        <v>80</v>
      </c>
      <c r="J610" s="2" t="s">
        <v>1650</v>
      </c>
      <c r="K610" s="2">
        <v>70</v>
      </c>
      <c r="L610" s="2">
        <v>15</v>
      </c>
      <c r="M610" s="2">
        <v>10</v>
      </c>
      <c r="N610" s="2">
        <v>10</v>
      </c>
      <c r="O610" s="2">
        <v>25</v>
      </c>
      <c r="P610" s="2">
        <v>10</v>
      </c>
      <c r="Q610" s="2" t="s">
        <v>2363</v>
      </c>
      <c r="R610" s="2" t="s">
        <v>2364</v>
      </c>
      <c r="S610" s="4">
        <v>44837</v>
      </c>
    </row>
    <row r="611" spans="1:19" ht="12.5" x14ac:dyDescent="0.25">
      <c r="A611" s="14" t="str">
        <f>HYPERLINK("https://gerandofalcoes.my.salesforce.com/0014P00003YSp83QAD", "0014P00003YSp83QAD")</f>
        <v>0014P00003YSp83QAD</v>
      </c>
      <c r="B611" s="2" t="s">
        <v>1727</v>
      </c>
      <c r="C611" s="2" t="s">
        <v>423</v>
      </c>
      <c r="D611" s="2" t="s">
        <v>2</v>
      </c>
      <c r="E611" s="2">
        <v>45</v>
      </c>
      <c r="F611" s="2">
        <v>3</v>
      </c>
      <c r="G611" s="2">
        <v>2</v>
      </c>
      <c r="H611" s="2">
        <v>15844866</v>
      </c>
      <c r="I611" s="2">
        <v>502</v>
      </c>
      <c r="J611" s="2" t="s">
        <v>1650</v>
      </c>
      <c r="K611" s="2">
        <v>71</v>
      </c>
      <c r="L611" s="2">
        <v>15</v>
      </c>
      <c r="M611" s="2">
        <v>5</v>
      </c>
      <c r="N611" s="2">
        <v>6</v>
      </c>
      <c r="O611" s="2">
        <v>25</v>
      </c>
      <c r="P611" s="2">
        <v>20</v>
      </c>
      <c r="Q611" s="2" t="s">
        <v>1728</v>
      </c>
      <c r="R611" s="2" t="s">
        <v>1729</v>
      </c>
      <c r="S611" s="4">
        <v>44837</v>
      </c>
    </row>
    <row r="612" spans="1:19" ht="12.5" x14ac:dyDescent="0.25">
      <c r="A612" s="14" t="str">
        <f>HYPERLINK("https://gerandofalcoes.my.salesforce.com/0014P00003YSp84QAD", "0014P00003YSp84QAD")</f>
        <v>0014P00003YSp84QAD</v>
      </c>
      <c r="B612" s="2" t="s">
        <v>2454</v>
      </c>
      <c r="C612" s="2" t="s">
        <v>423</v>
      </c>
      <c r="D612" s="2" t="s">
        <v>2</v>
      </c>
      <c r="E612" s="2">
        <v>35</v>
      </c>
      <c r="F612" s="2">
        <v>0</v>
      </c>
      <c r="G612" s="2">
        <v>0</v>
      </c>
      <c r="H612" s="2">
        <v>0</v>
      </c>
      <c r="I612" s="2">
        <v>203</v>
      </c>
      <c r="J612" s="2" t="s">
        <v>1779</v>
      </c>
      <c r="K612" s="2">
        <v>27</v>
      </c>
      <c r="L612" s="2">
        <v>15</v>
      </c>
      <c r="M612" s="2">
        <v>0</v>
      </c>
      <c r="N612" s="2">
        <v>0</v>
      </c>
      <c r="O612" s="2">
        <v>0</v>
      </c>
      <c r="P612" s="2">
        <v>12</v>
      </c>
      <c r="Q612" s="2" t="s">
        <v>2455</v>
      </c>
      <c r="R612" s="2" t="s">
        <v>2456</v>
      </c>
      <c r="S612" s="4">
        <v>44837</v>
      </c>
    </row>
    <row r="613" spans="1:19" ht="12.5" x14ac:dyDescent="0.25">
      <c r="A613" s="14" t="str">
        <f>HYPERLINK("https://gerandofalcoes.my.salesforce.com/0014P00003YSp86QAD", "0014P00003YSp86QAD")</f>
        <v>0014P00003YSp86QAD</v>
      </c>
      <c r="B613" s="2" t="s">
        <v>2514</v>
      </c>
      <c r="C613" s="2" t="s">
        <v>1800</v>
      </c>
      <c r="D613" s="2" t="s">
        <v>2</v>
      </c>
      <c r="E613" s="2">
        <v>21</v>
      </c>
      <c r="F613" s="2">
        <v>0</v>
      </c>
      <c r="G613" s="2">
        <v>2</v>
      </c>
      <c r="H613" s="2">
        <v>10000</v>
      </c>
      <c r="I613" s="2">
        <v>100</v>
      </c>
      <c r="J613" s="2" t="s">
        <v>1779</v>
      </c>
      <c r="K613" s="2">
        <v>31</v>
      </c>
      <c r="L613" s="2">
        <v>10</v>
      </c>
      <c r="M613" s="2">
        <v>0</v>
      </c>
      <c r="N613" s="2">
        <v>6</v>
      </c>
      <c r="O613" s="2">
        <v>5</v>
      </c>
      <c r="P613" s="2">
        <v>10</v>
      </c>
      <c r="Q613" s="2" t="s">
        <v>2515</v>
      </c>
      <c r="R613" s="2" t="s">
        <v>2515</v>
      </c>
      <c r="S613" s="4">
        <v>44837</v>
      </c>
    </row>
    <row r="614" spans="1:19" ht="12.5" x14ac:dyDescent="0.25">
      <c r="A614" s="14" t="str">
        <f>HYPERLINK("https://gerandofalcoes.my.salesforce.com/0014P00003YSp87QAD", "0014P00003YSp87QAD")</f>
        <v>0014P00003YSp87QAD</v>
      </c>
      <c r="B614" s="2" t="s">
        <v>1755</v>
      </c>
      <c r="C614" s="2" t="s">
        <v>423</v>
      </c>
      <c r="D614" s="2" t="s">
        <v>2</v>
      </c>
      <c r="E614" s="2">
        <v>41</v>
      </c>
      <c r="F614" s="2">
        <v>19</v>
      </c>
      <c r="G614" s="2">
        <v>3</v>
      </c>
      <c r="H614" s="2">
        <v>223000</v>
      </c>
      <c r="I614" s="2">
        <v>50</v>
      </c>
      <c r="J614" s="2" t="s">
        <v>1671</v>
      </c>
      <c r="K614" s="2">
        <v>55</v>
      </c>
      <c r="L614" s="2">
        <v>15</v>
      </c>
      <c r="M614" s="2">
        <v>12</v>
      </c>
      <c r="N614" s="2">
        <v>8</v>
      </c>
      <c r="O614" s="2">
        <v>15</v>
      </c>
      <c r="P614" s="2">
        <v>5</v>
      </c>
      <c r="Q614" s="2" t="s">
        <v>1756</v>
      </c>
      <c r="R614" s="2" t="s">
        <v>1757</v>
      </c>
      <c r="S614" s="4">
        <v>44837</v>
      </c>
    </row>
    <row r="615" spans="1:19" ht="12.5" x14ac:dyDescent="0.25">
      <c r="A615" s="14" t="str">
        <f>HYPERLINK("https://gerandofalcoes.my.salesforce.com/0014P00003YSp88QAD", "0014P00003YSp88QAD")</f>
        <v>0014P00003YSp88QAD</v>
      </c>
      <c r="B615" s="2" t="s">
        <v>2325</v>
      </c>
      <c r="C615" s="2" t="s">
        <v>1800</v>
      </c>
      <c r="D615" s="2" t="s">
        <v>2</v>
      </c>
      <c r="E615" s="2">
        <v>28</v>
      </c>
      <c r="F615" s="2">
        <v>0</v>
      </c>
      <c r="G615" s="2">
        <v>2</v>
      </c>
      <c r="H615" s="2">
        <v>0</v>
      </c>
      <c r="I615" s="2">
        <v>80</v>
      </c>
      <c r="J615" s="2" t="s">
        <v>1779</v>
      </c>
      <c r="K615" s="2">
        <v>31</v>
      </c>
      <c r="L615" s="2">
        <v>15</v>
      </c>
      <c r="M615" s="2">
        <v>0</v>
      </c>
      <c r="N615" s="2">
        <v>6</v>
      </c>
      <c r="O615" s="2">
        <v>0</v>
      </c>
      <c r="P615" s="2">
        <v>10</v>
      </c>
      <c r="Q615" s="2" t="s">
        <v>2326</v>
      </c>
      <c r="R615" s="2" t="s">
        <v>2327</v>
      </c>
      <c r="S615" s="4">
        <v>44837</v>
      </c>
    </row>
    <row r="616" spans="1:19" ht="12.5" x14ac:dyDescent="0.25">
      <c r="A616" s="14" t="str">
        <f>HYPERLINK("https://gerandofalcoes.my.salesforce.com/0014P00003YSp8AQAT", "0014P00003YSp8AQAT")</f>
        <v>0014P00003YSp8AQAT</v>
      </c>
      <c r="B616" s="2" t="s">
        <v>1943</v>
      </c>
      <c r="C616" s="2" t="s">
        <v>423</v>
      </c>
      <c r="D616" s="2" t="s">
        <v>2</v>
      </c>
      <c r="E616" s="2">
        <v>31</v>
      </c>
      <c r="F616" s="2">
        <v>15</v>
      </c>
      <c r="G616" s="2">
        <v>2</v>
      </c>
      <c r="H616" s="2">
        <v>50000</v>
      </c>
      <c r="I616" s="2">
        <v>200</v>
      </c>
      <c r="J616" s="2" t="s">
        <v>1671</v>
      </c>
      <c r="K616" s="2">
        <v>55</v>
      </c>
      <c r="L616" s="2">
        <v>15</v>
      </c>
      <c r="M616" s="2">
        <v>12</v>
      </c>
      <c r="N616" s="2">
        <v>6</v>
      </c>
      <c r="O616" s="2">
        <v>10</v>
      </c>
      <c r="P616" s="2">
        <v>12</v>
      </c>
      <c r="Q616" s="2" t="s">
        <v>1944</v>
      </c>
      <c r="R616" s="2" t="s">
        <v>1945</v>
      </c>
      <c r="S616" s="4">
        <v>44837</v>
      </c>
    </row>
    <row r="617" spans="1:19" ht="12.5" x14ac:dyDescent="0.25">
      <c r="A617" s="14" t="str">
        <f>HYPERLINK("https://gerandofalcoes.my.salesforce.com/0014P00003YSp8BQAT", "0014P00003YSp8BQAT")</f>
        <v>0014P00003YSp8BQAT</v>
      </c>
      <c r="B617" s="2" t="s">
        <v>2813</v>
      </c>
      <c r="C617" s="2" t="s">
        <v>423</v>
      </c>
      <c r="D617" s="2" t="s">
        <v>2</v>
      </c>
      <c r="E617" s="2">
        <v>24</v>
      </c>
      <c r="F617" s="2">
        <v>0</v>
      </c>
      <c r="G617" s="2">
        <v>0</v>
      </c>
      <c r="H617" s="2">
        <v>0</v>
      </c>
      <c r="I617" s="2">
        <v>239</v>
      </c>
      <c r="J617" s="2" t="s">
        <v>1779</v>
      </c>
      <c r="K617" s="2">
        <v>22</v>
      </c>
      <c r="L617" s="2">
        <v>10</v>
      </c>
      <c r="M617" s="2">
        <v>0</v>
      </c>
      <c r="N617" s="2">
        <v>0</v>
      </c>
      <c r="O617" s="2">
        <v>0</v>
      </c>
      <c r="P617" s="2">
        <v>12</v>
      </c>
      <c r="Q617" s="2" t="s">
        <v>2814</v>
      </c>
      <c r="R617" s="2" t="s">
        <v>2815</v>
      </c>
      <c r="S617" s="4">
        <v>44837</v>
      </c>
    </row>
    <row r="618" spans="1:19" ht="12.5" x14ac:dyDescent="0.25">
      <c r="A618" s="14" t="str">
        <f>HYPERLINK("https://gerandofalcoes.my.salesforce.com/0014P00003YSp8CQAT", "0014P00003YSp8CQAT")</f>
        <v>0014P00003YSp8CQAT</v>
      </c>
      <c r="B618" s="2" t="s">
        <v>2139</v>
      </c>
      <c r="C618" s="2" t="s">
        <v>423</v>
      </c>
      <c r="D618" s="2" t="s">
        <v>2</v>
      </c>
      <c r="E618" s="2">
        <v>34</v>
      </c>
      <c r="F618" s="2">
        <v>11</v>
      </c>
      <c r="G618" s="2">
        <v>4</v>
      </c>
      <c r="H618" s="2">
        <v>309270</v>
      </c>
      <c r="I618" s="2">
        <v>200</v>
      </c>
      <c r="J618" s="2" t="s">
        <v>1650</v>
      </c>
      <c r="K618" s="2">
        <v>69</v>
      </c>
      <c r="L618" s="2">
        <v>15</v>
      </c>
      <c r="M618" s="2">
        <v>12</v>
      </c>
      <c r="N618" s="2">
        <v>10</v>
      </c>
      <c r="O618" s="2">
        <v>20</v>
      </c>
      <c r="P618" s="2">
        <v>12</v>
      </c>
      <c r="Q618" s="2" t="s">
        <v>2140</v>
      </c>
      <c r="R618" s="2" t="s">
        <v>2140</v>
      </c>
      <c r="S618" s="4">
        <v>44837</v>
      </c>
    </row>
    <row r="619" spans="1:19" ht="12.5" x14ac:dyDescent="0.25">
      <c r="A619" s="14" t="str">
        <f>HYPERLINK("https://gerandofalcoes.my.salesforce.com/0014P00003YSp8EQAT", "0014P00003YSp8EQAT")</f>
        <v>0014P00003YSp8EQAT</v>
      </c>
      <c r="B619" s="2" t="s">
        <v>2407</v>
      </c>
      <c r="C619" s="2" t="s">
        <v>423</v>
      </c>
      <c r="D619" s="2" t="s">
        <v>2</v>
      </c>
      <c r="E619" s="2">
        <v>25</v>
      </c>
      <c r="F619" s="2">
        <v>0</v>
      </c>
      <c r="G619" s="2">
        <v>2</v>
      </c>
      <c r="H619" s="2">
        <v>6300</v>
      </c>
      <c r="I619" s="2">
        <v>250</v>
      </c>
      <c r="J619" s="2" t="s">
        <v>1779</v>
      </c>
      <c r="K619" s="2">
        <v>38</v>
      </c>
      <c r="L619" s="2">
        <v>15</v>
      </c>
      <c r="M619" s="2">
        <v>0</v>
      </c>
      <c r="N619" s="2">
        <v>6</v>
      </c>
      <c r="O619" s="2">
        <v>5</v>
      </c>
      <c r="P619" s="2">
        <v>12</v>
      </c>
      <c r="Q619" s="2" t="s">
        <v>2408</v>
      </c>
      <c r="R619" s="2" t="s">
        <v>2409</v>
      </c>
      <c r="S619" s="4">
        <v>44837</v>
      </c>
    </row>
    <row r="620" spans="1:19" ht="12.5" x14ac:dyDescent="0.25">
      <c r="A620" s="14" t="str">
        <f>HYPERLINK("https://gerandofalcoes.my.salesforce.com/0014P00003YSp8FQAT", "0014P00003YSp8FQAT")</f>
        <v>0014P00003YSp8FQAT</v>
      </c>
      <c r="B620" s="2" t="s">
        <v>2178</v>
      </c>
      <c r="C620" s="2" t="s">
        <v>1800</v>
      </c>
      <c r="D620" s="2" t="s">
        <v>2</v>
      </c>
      <c r="E620" s="2">
        <v>33</v>
      </c>
      <c r="F620" s="2">
        <v>10</v>
      </c>
      <c r="G620" s="2">
        <v>0</v>
      </c>
      <c r="H620" s="2">
        <v>0</v>
      </c>
      <c r="I620" s="2">
        <v>60</v>
      </c>
      <c r="J620" s="2" t="s">
        <v>1779</v>
      </c>
      <c r="K620" s="2">
        <v>30</v>
      </c>
      <c r="L620" s="2">
        <v>15</v>
      </c>
      <c r="M620" s="2">
        <v>10</v>
      </c>
      <c r="N620" s="2">
        <v>0</v>
      </c>
      <c r="O620" s="2">
        <v>0</v>
      </c>
      <c r="P620" s="2">
        <v>5</v>
      </c>
      <c r="Q620" s="2" t="s">
        <v>2179</v>
      </c>
      <c r="R620" s="2" t="s">
        <v>2179</v>
      </c>
      <c r="S620" s="4">
        <v>44837</v>
      </c>
    </row>
    <row r="621" spans="1:19" ht="12.5" x14ac:dyDescent="0.25">
      <c r="A621" s="14" t="str">
        <f>HYPERLINK("https://gerandofalcoes.my.salesforce.com/0014P00003YSp8GQAT", "0014P00003YSp8GQAT")</f>
        <v>0014P00003YSp8GQAT</v>
      </c>
      <c r="B621" s="2" t="s">
        <v>2214</v>
      </c>
      <c r="C621" s="2" t="s">
        <v>1800</v>
      </c>
      <c r="D621" s="2" t="s">
        <v>2</v>
      </c>
      <c r="E621" s="2">
        <v>32</v>
      </c>
      <c r="F621" s="2">
        <v>1</v>
      </c>
      <c r="G621" s="2">
        <v>2</v>
      </c>
      <c r="H621" s="2">
        <v>0</v>
      </c>
      <c r="I621" s="2">
        <v>600</v>
      </c>
      <c r="J621" s="2" t="s">
        <v>1671</v>
      </c>
      <c r="K621" s="2">
        <v>46</v>
      </c>
      <c r="L621" s="2">
        <v>15</v>
      </c>
      <c r="M621" s="2">
        <v>5</v>
      </c>
      <c r="N621" s="2">
        <v>6</v>
      </c>
      <c r="O621" s="2">
        <v>0</v>
      </c>
      <c r="P621" s="2">
        <v>20</v>
      </c>
      <c r="Q621" s="2" t="s">
        <v>2215</v>
      </c>
      <c r="R621" s="2" t="s">
        <v>2216</v>
      </c>
      <c r="S621" s="4">
        <v>44837</v>
      </c>
    </row>
    <row r="622" spans="1:19" ht="12.5" x14ac:dyDescent="0.25">
      <c r="A622" s="14" t="str">
        <f>HYPERLINK("https://gerandofalcoes.my.salesforce.com/0014P00003YSp8HQAT", "0014P00003YSp8HQAT")</f>
        <v>0014P00003YSp8HQAT</v>
      </c>
      <c r="B622" s="2" t="s">
        <v>2359</v>
      </c>
      <c r="C622" s="2" t="s">
        <v>423</v>
      </c>
      <c r="D622" s="2" t="s">
        <v>2</v>
      </c>
      <c r="E622" s="2">
        <v>28</v>
      </c>
      <c r="F622" s="2">
        <v>2</v>
      </c>
      <c r="G622" s="2">
        <v>1</v>
      </c>
      <c r="H622" s="2">
        <v>35000</v>
      </c>
      <c r="I622" s="2">
        <v>729</v>
      </c>
      <c r="J622" s="2" t="s">
        <v>1671</v>
      </c>
      <c r="K622" s="2">
        <v>54</v>
      </c>
      <c r="L622" s="2">
        <v>15</v>
      </c>
      <c r="M622" s="2">
        <v>5</v>
      </c>
      <c r="N622" s="2">
        <v>4</v>
      </c>
      <c r="O622" s="2">
        <v>10</v>
      </c>
      <c r="P622" s="2">
        <v>20</v>
      </c>
      <c r="Q622" s="2" t="s">
        <v>2360</v>
      </c>
      <c r="R622" s="2" t="s">
        <v>2361</v>
      </c>
      <c r="S622" s="4">
        <v>44837</v>
      </c>
    </row>
    <row r="623" spans="1:19" ht="12.5" x14ac:dyDescent="0.25">
      <c r="A623" s="14" t="str">
        <f>HYPERLINK("https://gerandofalcoes.my.salesforce.com/0014P00003YSp8IQAT", "0014P00003YSp8IQAT")</f>
        <v>0014P00003YSp8IQAT</v>
      </c>
      <c r="B623" s="2" t="s">
        <v>2335</v>
      </c>
      <c r="C623" s="2" t="s">
        <v>423</v>
      </c>
      <c r="D623" s="2" t="s">
        <v>2</v>
      </c>
      <c r="E623" s="2">
        <v>27.89</v>
      </c>
      <c r="F623" s="2">
        <v>0</v>
      </c>
      <c r="G623" s="2">
        <v>3</v>
      </c>
      <c r="H623" s="2">
        <v>9000000</v>
      </c>
      <c r="I623" s="2">
        <v>250</v>
      </c>
      <c r="J623" s="2" t="s">
        <v>1671</v>
      </c>
      <c r="K623" s="2">
        <v>60</v>
      </c>
      <c r="L623" s="2">
        <v>15</v>
      </c>
      <c r="M623" s="2">
        <v>0</v>
      </c>
      <c r="N623" s="2">
        <v>8</v>
      </c>
      <c r="O623" s="2">
        <v>25</v>
      </c>
      <c r="P623" s="2">
        <v>12</v>
      </c>
      <c r="Q623" s="2" t="s">
        <v>2336</v>
      </c>
      <c r="R623" s="2" t="s">
        <v>2337</v>
      </c>
      <c r="S623" s="4">
        <v>44837</v>
      </c>
    </row>
    <row r="624" spans="1:19" ht="12.5" x14ac:dyDescent="0.25">
      <c r="A624" s="14" t="str">
        <f>HYPERLINK("https://gerandofalcoes.my.salesforce.com/0014P00003YSp80QAD", "0014P00003YSp80QAD")</f>
        <v>0014P00003YSp80QAD</v>
      </c>
      <c r="B624" s="2" t="s">
        <v>2709</v>
      </c>
      <c r="C624" s="2" t="s">
        <v>423</v>
      </c>
      <c r="D624" s="2" t="s">
        <v>2</v>
      </c>
      <c r="E624" s="2">
        <v>15.15</v>
      </c>
      <c r="F624" s="2">
        <v>1</v>
      </c>
      <c r="G624" s="2">
        <v>4</v>
      </c>
      <c r="H624" s="2">
        <v>17400</v>
      </c>
      <c r="I624" s="2">
        <v>87</v>
      </c>
      <c r="J624" s="2" t="s">
        <v>1671</v>
      </c>
      <c r="K624" s="2">
        <v>40</v>
      </c>
      <c r="L624" s="2">
        <v>10</v>
      </c>
      <c r="M624" s="2">
        <v>5</v>
      </c>
      <c r="N624" s="2">
        <v>10</v>
      </c>
      <c r="O624" s="2">
        <v>5</v>
      </c>
      <c r="P624" s="2">
        <v>10</v>
      </c>
      <c r="Q624" s="2" t="s">
        <v>2710</v>
      </c>
      <c r="R624" s="2" t="s">
        <v>2710</v>
      </c>
      <c r="S624" s="4">
        <v>44837</v>
      </c>
    </row>
    <row r="625" spans="1:19" ht="12.5" x14ac:dyDescent="0.25">
      <c r="A625" s="14" t="str">
        <f>HYPERLINK("https://gerandofalcoes.my.salesforce.com/0014P00003YSp8JQAT", "0014P00003YSp8JQAT")</f>
        <v>0014P00003YSp8JQAT</v>
      </c>
      <c r="B625" s="2" t="s">
        <v>2393</v>
      </c>
      <c r="C625" s="2" t="s">
        <v>423</v>
      </c>
      <c r="D625" s="2" t="s">
        <v>2</v>
      </c>
      <c r="E625" s="2">
        <v>33</v>
      </c>
      <c r="F625" s="2">
        <v>9</v>
      </c>
      <c r="G625" s="2">
        <v>2</v>
      </c>
      <c r="H625" s="2">
        <v>85000000</v>
      </c>
      <c r="I625" s="2">
        <v>309</v>
      </c>
      <c r="J625" s="2" t="s">
        <v>1650</v>
      </c>
      <c r="K625" s="2">
        <v>71</v>
      </c>
      <c r="L625" s="2">
        <v>15</v>
      </c>
      <c r="M625" s="2">
        <v>10</v>
      </c>
      <c r="N625" s="2">
        <v>6</v>
      </c>
      <c r="O625" s="2">
        <v>25</v>
      </c>
      <c r="P625" s="2">
        <v>15</v>
      </c>
      <c r="Q625" s="2" t="s">
        <v>2394</v>
      </c>
      <c r="R625" s="2" t="s">
        <v>2394</v>
      </c>
      <c r="S625" s="4">
        <v>44837</v>
      </c>
    </row>
    <row r="626" spans="1:19" ht="12.5" x14ac:dyDescent="0.25">
      <c r="A626" s="14" t="str">
        <f>HYPERLINK("https://gerandofalcoes.my.salesforce.com/0014P00003YSp8KQAT", "0014P00003YSp8KQAT")</f>
        <v>0014P00003YSp8KQAT</v>
      </c>
      <c r="B626" s="2" t="s">
        <v>2167</v>
      </c>
      <c r="C626" s="2" t="s">
        <v>1800</v>
      </c>
      <c r="D626" s="2" t="s">
        <v>2</v>
      </c>
      <c r="E626" s="2">
        <v>33</v>
      </c>
      <c r="F626" s="2">
        <v>2</v>
      </c>
      <c r="G626" s="2">
        <v>4</v>
      </c>
      <c r="H626" s="2">
        <v>400000</v>
      </c>
      <c r="I626" s="2">
        <v>250</v>
      </c>
      <c r="J626" s="2" t="s">
        <v>1671</v>
      </c>
      <c r="K626" s="2">
        <v>62</v>
      </c>
      <c r="L626" s="2">
        <v>15</v>
      </c>
      <c r="M626" s="2">
        <v>5</v>
      </c>
      <c r="N626" s="2">
        <v>10</v>
      </c>
      <c r="O626" s="2">
        <v>20</v>
      </c>
      <c r="P626" s="2">
        <v>12</v>
      </c>
      <c r="Q626" s="2" t="s">
        <v>2168</v>
      </c>
      <c r="R626" s="2" t="s">
        <v>2168</v>
      </c>
      <c r="S626" s="4">
        <v>44837</v>
      </c>
    </row>
    <row r="627" spans="1:19" ht="12.5" x14ac:dyDescent="0.25">
      <c r="A627" s="14" t="str">
        <f>HYPERLINK("https://gerandofalcoes.my.salesforce.com/0014P00003YSp8LQAT", "0014P00003YSp8LQAT")</f>
        <v>0014P00003YSp8LQAT</v>
      </c>
      <c r="B627" s="2" t="s">
        <v>2907</v>
      </c>
      <c r="C627" s="2" t="s">
        <v>423</v>
      </c>
      <c r="D627" s="2" t="s">
        <v>2</v>
      </c>
      <c r="E627" s="2">
        <v>24</v>
      </c>
      <c r="F627" s="2">
        <v>0</v>
      </c>
      <c r="G627" s="2">
        <v>0</v>
      </c>
      <c r="H627" s="2">
        <v>0</v>
      </c>
      <c r="I627" s="2">
        <v>200</v>
      </c>
      <c r="J627" s="2" t="s">
        <v>1779</v>
      </c>
      <c r="K627" s="2">
        <v>22</v>
      </c>
      <c r="L627" s="2">
        <v>10</v>
      </c>
      <c r="M627" s="2">
        <v>0</v>
      </c>
      <c r="N627" s="2">
        <v>0</v>
      </c>
      <c r="O627" s="2">
        <v>0</v>
      </c>
      <c r="P627" s="2">
        <v>12</v>
      </c>
      <c r="Q627" s="2" t="s">
        <v>2908</v>
      </c>
      <c r="R627" s="2" t="s">
        <v>2908</v>
      </c>
      <c r="S627" s="4">
        <v>44837</v>
      </c>
    </row>
    <row r="628" spans="1:19" ht="12.5" x14ac:dyDescent="0.25">
      <c r="A628" s="14" t="str">
        <f>HYPERLINK("https://gerandofalcoes.my.salesforce.com/0014P00003YSp8MQAT", "0014P00003YSp8MQAT")</f>
        <v>0014P00003YSp8MQAT</v>
      </c>
      <c r="B628" s="2" t="s">
        <v>1761</v>
      </c>
      <c r="C628" s="2" t="s">
        <v>423</v>
      </c>
      <c r="D628" s="2" t="s">
        <v>2</v>
      </c>
      <c r="E628" s="2">
        <v>35</v>
      </c>
      <c r="F628" s="2">
        <v>15</v>
      </c>
      <c r="G628" s="2">
        <v>3</v>
      </c>
      <c r="H628" s="2">
        <v>359</v>
      </c>
      <c r="I628" s="2">
        <v>173</v>
      </c>
      <c r="J628" s="2" t="s">
        <v>1671</v>
      </c>
      <c r="K628" s="2">
        <v>52</v>
      </c>
      <c r="L628" s="2">
        <v>15</v>
      </c>
      <c r="M628" s="2">
        <v>12</v>
      </c>
      <c r="N628" s="2">
        <v>8</v>
      </c>
      <c r="O628" s="2">
        <v>5</v>
      </c>
      <c r="P628" s="2">
        <v>12</v>
      </c>
      <c r="Q628" s="2" t="s">
        <v>1762</v>
      </c>
      <c r="R628" s="2" t="s">
        <v>1763</v>
      </c>
      <c r="S628" s="4">
        <v>44837</v>
      </c>
    </row>
    <row r="629" spans="1:19" ht="12.5" x14ac:dyDescent="0.25">
      <c r="A629" s="14" t="str">
        <f>HYPERLINK("https://gerandofalcoes.my.salesforce.com/0014P00003YSp8NQAT", "0014P00003YSp8NQAT")</f>
        <v>0014P00003YSp8NQAT</v>
      </c>
      <c r="B629" s="2" t="s">
        <v>2292</v>
      </c>
      <c r="C629" s="2" t="s">
        <v>1800</v>
      </c>
      <c r="D629" s="2" t="s">
        <v>2</v>
      </c>
      <c r="E629" s="2">
        <v>29</v>
      </c>
      <c r="F629" s="2">
        <v>3</v>
      </c>
      <c r="G629" s="2">
        <v>2</v>
      </c>
      <c r="H629" s="2">
        <v>13121</v>
      </c>
      <c r="I629" s="2">
        <v>800</v>
      </c>
      <c r="J629" s="2" t="s">
        <v>1671</v>
      </c>
      <c r="K629" s="2">
        <v>51</v>
      </c>
      <c r="L629" s="2">
        <v>15</v>
      </c>
      <c r="M629" s="2">
        <v>5</v>
      </c>
      <c r="N629" s="2">
        <v>6</v>
      </c>
      <c r="O629" s="2">
        <v>5</v>
      </c>
      <c r="P629" s="2">
        <v>20</v>
      </c>
      <c r="Q629" s="2" t="s">
        <v>2293</v>
      </c>
      <c r="R629" s="2" t="s">
        <v>2294</v>
      </c>
      <c r="S629" s="4">
        <v>44837</v>
      </c>
    </row>
    <row r="630" spans="1:19" ht="12.5" x14ac:dyDescent="0.25">
      <c r="A630" s="14" t="str">
        <f>HYPERLINK("https://gerandofalcoes.my.salesforce.com/0014P00003YSp8OQAT", "0014P00003YSp8OQAT")</f>
        <v>0014P00003YSp8OQAT</v>
      </c>
      <c r="B630" s="2" t="s">
        <v>1952</v>
      </c>
      <c r="C630" s="2" t="s">
        <v>1800</v>
      </c>
      <c r="D630" s="2" t="s">
        <v>2</v>
      </c>
      <c r="E630" s="2">
        <v>41</v>
      </c>
      <c r="F630" s="2">
        <v>1</v>
      </c>
      <c r="G630" s="2">
        <v>3</v>
      </c>
      <c r="H630" s="2">
        <v>25000</v>
      </c>
      <c r="I630" s="2">
        <v>90</v>
      </c>
      <c r="J630" s="2" t="s">
        <v>1671</v>
      </c>
      <c r="K630" s="2">
        <v>48</v>
      </c>
      <c r="L630" s="2">
        <v>15</v>
      </c>
      <c r="M630" s="2">
        <v>5</v>
      </c>
      <c r="N630" s="2">
        <v>8</v>
      </c>
      <c r="O630" s="2">
        <v>10</v>
      </c>
      <c r="P630" s="2">
        <v>10</v>
      </c>
      <c r="Q630" s="2" t="s">
        <v>1953</v>
      </c>
      <c r="R630" s="2" t="s">
        <v>1953</v>
      </c>
      <c r="S630" s="4">
        <v>44837</v>
      </c>
    </row>
    <row r="631" spans="1:19" ht="12.5" x14ac:dyDescent="0.25">
      <c r="A631" s="14" t="str">
        <f>HYPERLINK("https://gerandofalcoes.my.salesforce.com/0014P00003YSp8PQAT", "0014P00003YSp8PQAT")</f>
        <v>0014P00003YSp8PQAT</v>
      </c>
      <c r="B631" s="2" t="s">
        <v>2832</v>
      </c>
      <c r="C631" s="2" t="s">
        <v>423</v>
      </c>
      <c r="D631" s="2" t="s">
        <v>2</v>
      </c>
      <c r="E631" s="2">
        <v>24</v>
      </c>
      <c r="F631" s="2">
        <v>0</v>
      </c>
      <c r="G631" s="2">
        <v>1</v>
      </c>
      <c r="H631" s="2">
        <v>4546832</v>
      </c>
      <c r="I631" s="2">
        <v>0</v>
      </c>
      <c r="J631" s="2" t="s">
        <v>1779</v>
      </c>
      <c r="K631" s="2">
        <v>39</v>
      </c>
      <c r="L631" s="2">
        <v>10</v>
      </c>
      <c r="M631" s="2">
        <v>0</v>
      </c>
      <c r="N631" s="2">
        <v>4</v>
      </c>
      <c r="O631" s="2">
        <v>25</v>
      </c>
      <c r="P631" s="2">
        <v>0</v>
      </c>
      <c r="Q631" s="2" t="s">
        <v>2833</v>
      </c>
      <c r="R631" s="2" t="s">
        <v>2834</v>
      </c>
      <c r="S631" s="4">
        <v>44837</v>
      </c>
    </row>
    <row r="632" spans="1:19" ht="12.5" x14ac:dyDescent="0.25">
      <c r="A632" s="14" t="str">
        <f>HYPERLINK("https://gerandofalcoes.my.salesforce.com/0014P00003YSp8QQAT", "0014P00003YSp8QQAT")</f>
        <v>0014P00003YSp8QQAT</v>
      </c>
      <c r="B632" s="2" t="s">
        <v>1890</v>
      </c>
      <c r="C632" s="2" t="s">
        <v>423</v>
      </c>
      <c r="D632" s="2" t="s">
        <v>2</v>
      </c>
      <c r="E632" s="2">
        <v>43.85</v>
      </c>
      <c r="F632" s="2">
        <v>7</v>
      </c>
      <c r="G632" s="2">
        <v>150</v>
      </c>
      <c r="H632" s="2">
        <v>337433</v>
      </c>
      <c r="I632" s="2">
        <v>80</v>
      </c>
      <c r="J632" s="2" t="s">
        <v>1650</v>
      </c>
      <c r="K632" s="2">
        <v>65</v>
      </c>
      <c r="L632" s="2">
        <v>15</v>
      </c>
      <c r="M632" s="2">
        <v>10</v>
      </c>
      <c r="N632" s="2">
        <v>10</v>
      </c>
      <c r="O632" s="2">
        <v>20</v>
      </c>
      <c r="P632" s="2">
        <v>10</v>
      </c>
      <c r="Q632" s="2" t="s">
        <v>1891</v>
      </c>
      <c r="R632" s="2" t="s">
        <v>1891</v>
      </c>
      <c r="S632" s="4">
        <v>44837</v>
      </c>
    </row>
    <row r="633" spans="1:19" ht="12.5" x14ac:dyDescent="0.25">
      <c r="A633" s="14" t="str">
        <f>HYPERLINK("https://gerandofalcoes.my.salesforce.com/0014P00003YSp8RQAT", "0014P00003YSp8RQAT")</f>
        <v>0014P00003YSp8RQAT</v>
      </c>
      <c r="B633" s="2" t="s">
        <v>1989</v>
      </c>
      <c r="C633" s="2" t="s">
        <v>1800</v>
      </c>
      <c r="D633" s="2" t="s">
        <v>2</v>
      </c>
      <c r="E633" s="2">
        <v>39</v>
      </c>
      <c r="F633" s="2">
        <v>1</v>
      </c>
      <c r="G633" s="2">
        <v>2</v>
      </c>
      <c r="H633" s="2">
        <v>11000</v>
      </c>
      <c r="I633" s="2">
        <v>200</v>
      </c>
      <c r="J633" s="2" t="s">
        <v>1671</v>
      </c>
      <c r="K633" s="2">
        <v>43</v>
      </c>
      <c r="L633" s="2">
        <v>15</v>
      </c>
      <c r="M633" s="2">
        <v>5</v>
      </c>
      <c r="N633" s="2">
        <v>6</v>
      </c>
      <c r="O633" s="2">
        <v>5</v>
      </c>
      <c r="P633" s="2">
        <v>12</v>
      </c>
      <c r="Q633" s="2" t="s">
        <v>1990</v>
      </c>
      <c r="R633" s="2" t="s">
        <v>1991</v>
      </c>
      <c r="S633" s="4">
        <v>44837</v>
      </c>
    </row>
    <row r="634" spans="1:19" ht="12.5" x14ac:dyDescent="0.25">
      <c r="A634" s="14" t="str">
        <f>HYPERLINK("https://gerandofalcoes.my.salesforce.com/0014P00003YSp8SQAT", "0014P00003YSp8SQAT")</f>
        <v>0014P00003YSp8SQAT</v>
      </c>
      <c r="B634" s="2" t="s">
        <v>2476</v>
      </c>
      <c r="C634" s="2" t="s">
        <v>423</v>
      </c>
      <c r="D634" s="2" t="s">
        <v>2</v>
      </c>
      <c r="E634" s="2">
        <v>22</v>
      </c>
      <c r="F634" s="2">
        <v>0</v>
      </c>
      <c r="G634" s="2">
        <v>2</v>
      </c>
      <c r="H634" s="2">
        <v>150000</v>
      </c>
      <c r="I634" s="2">
        <v>382</v>
      </c>
      <c r="J634" s="2" t="s">
        <v>1671</v>
      </c>
      <c r="K634" s="2">
        <v>46</v>
      </c>
      <c r="L634" s="2">
        <v>10</v>
      </c>
      <c r="M634" s="2">
        <v>0</v>
      </c>
      <c r="N634" s="2">
        <v>6</v>
      </c>
      <c r="O634" s="2">
        <v>15</v>
      </c>
      <c r="P634" s="2">
        <v>15</v>
      </c>
      <c r="Q634" s="2" t="s">
        <v>2477</v>
      </c>
      <c r="R634" s="2" t="s">
        <v>2477</v>
      </c>
      <c r="S634" s="4">
        <v>44837</v>
      </c>
    </row>
    <row r="635" spans="1:19" ht="12.5" x14ac:dyDescent="0.25">
      <c r="A635" s="14" t="str">
        <f>HYPERLINK("https://gerandofalcoes.my.salesforce.com/0014P00003YSp8UQAT", "0014P00003YSp8UQAT")</f>
        <v>0014P00003YSp8UQAT</v>
      </c>
      <c r="B635" s="2" t="s">
        <v>2319</v>
      </c>
      <c r="C635" s="2" t="s">
        <v>423</v>
      </c>
      <c r="D635" s="2" t="s">
        <v>2</v>
      </c>
      <c r="E635" s="2">
        <v>28</v>
      </c>
      <c r="F635" s="2">
        <v>0</v>
      </c>
      <c r="G635" s="2">
        <v>3</v>
      </c>
      <c r="H635" s="2">
        <v>9994</v>
      </c>
      <c r="I635" s="2">
        <v>110</v>
      </c>
      <c r="J635" s="2" t="s">
        <v>1779</v>
      </c>
      <c r="K635" s="2">
        <v>38</v>
      </c>
      <c r="L635" s="2">
        <v>15</v>
      </c>
      <c r="M635" s="2">
        <v>0</v>
      </c>
      <c r="N635" s="2">
        <v>8</v>
      </c>
      <c r="O635" s="2">
        <v>5</v>
      </c>
      <c r="P635" s="2">
        <v>10</v>
      </c>
      <c r="Q635" s="2" t="s">
        <v>2321</v>
      </c>
      <c r="R635" s="2" t="s">
        <v>2321</v>
      </c>
      <c r="S635" s="4">
        <v>44837</v>
      </c>
    </row>
    <row r="636" spans="1:19" ht="12.5" x14ac:dyDescent="0.25">
      <c r="A636" s="14" t="str">
        <f>HYPERLINK("https://gerandofalcoes.my.salesforce.com/0014P00003YSp8VQAT", "0014P00003YSp8VQAT")</f>
        <v>0014P00003YSp8VQAT</v>
      </c>
      <c r="B636" s="2" t="s">
        <v>2865</v>
      </c>
      <c r="C636" s="2" t="s">
        <v>1800</v>
      </c>
      <c r="D636" s="2" t="s">
        <v>2</v>
      </c>
      <c r="E636" s="2">
        <v>10</v>
      </c>
      <c r="F636" s="2">
        <v>0</v>
      </c>
      <c r="G636" s="2">
        <v>0</v>
      </c>
      <c r="H636" s="2">
        <v>0</v>
      </c>
      <c r="I636" s="2">
        <v>0</v>
      </c>
      <c r="J636" s="2" t="s">
        <v>1779</v>
      </c>
      <c r="K636" s="2">
        <v>10</v>
      </c>
      <c r="L636" s="2">
        <v>10</v>
      </c>
      <c r="M636" s="2">
        <v>0</v>
      </c>
      <c r="N636" s="2">
        <v>0</v>
      </c>
      <c r="O636" s="2">
        <v>0</v>
      </c>
      <c r="P636" s="2">
        <v>0</v>
      </c>
      <c r="Q636" s="2" t="s">
        <v>2866</v>
      </c>
      <c r="R636" s="2" t="s">
        <v>2867</v>
      </c>
      <c r="S636" s="4">
        <v>44837</v>
      </c>
    </row>
    <row r="637" spans="1:19" ht="12.5" x14ac:dyDescent="0.25">
      <c r="A637" s="14" t="str">
        <f>HYPERLINK("https://gerandofalcoes.my.salesforce.com/0014P00003YSp8XQAT", "0014P00003YSp8XQAT")</f>
        <v>0014P00003YSp8XQAT</v>
      </c>
      <c r="B637" s="2" t="s">
        <v>2526</v>
      </c>
      <c r="C637" s="2" t="s">
        <v>423</v>
      </c>
      <c r="D637" s="2" t="s">
        <v>2</v>
      </c>
      <c r="E637" s="2">
        <v>21</v>
      </c>
      <c r="F637" s="2">
        <v>0</v>
      </c>
      <c r="G637" s="2">
        <v>1</v>
      </c>
      <c r="H637" s="2">
        <v>250</v>
      </c>
      <c r="I637" s="2">
        <v>50</v>
      </c>
      <c r="J637" s="2" t="s">
        <v>1779</v>
      </c>
      <c r="K637" s="2">
        <v>24</v>
      </c>
      <c r="L637" s="2">
        <v>10</v>
      </c>
      <c r="M637" s="2">
        <v>0</v>
      </c>
      <c r="N637" s="2">
        <v>4</v>
      </c>
      <c r="O637" s="2">
        <v>5</v>
      </c>
      <c r="P637" s="2">
        <v>5</v>
      </c>
      <c r="Q637" s="2" t="s">
        <v>2527</v>
      </c>
      <c r="R637" s="2" t="s">
        <v>2528</v>
      </c>
      <c r="S637" s="4">
        <v>44837</v>
      </c>
    </row>
    <row r="638" spans="1:19" ht="12.5" x14ac:dyDescent="0.25">
      <c r="A638" s="14" t="str">
        <f>HYPERLINK("https://gerandofalcoes.my.salesforce.com/0014P00003YSp8YQAT", "0014P00003YSp8YQAT")</f>
        <v>0014P00003YSp8YQAT</v>
      </c>
      <c r="B638" s="2" t="s">
        <v>1921</v>
      </c>
      <c r="C638" s="2" t="s">
        <v>423</v>
      </c>
      <c r="D638" s="2" t="s">
        <v>2</v>
      </c>
      <c r="E638" s="2">
        <v>45</v>
      </c>
      <c r="F638" s="2">
        <v>9</v>
      </c>
      <c r="G638" s="2">
        <v>3</v>
      </c>
      <c r="H638" s="2">
        <v>97000</v>
      </c>
      <c r="I638" s="2">
        <v>100</v>
      </c>
      <c r="J638" s="2" t="s">
        <v>1671</v>
      </c>
      <c r="K638" s="2">
        <v>53</v>
      </c>
      <c r="L638" s="2">
        <v>15</v>
      </c>
      <c r="M638" s="2">
        <v>10</v>
      </c>
      <c r="N638" s="2">
        <v>8</v>
      </c>
      <c r="O638" s="2">
        <v>10</v>
      </c>
      <c r="P638" s="2">
        <v>10</v>
      </c>
      <c r="Q638" s="2" t="s">
        <v>1922</v>
      </c>
      <c r="R638" s="2" t="s">
        <v>1923</v>
      </c>
      <c r="S638" s="4">
        <v>44837</v>
      </c>
    </row>
    <row r="639" spans="1:19" ht="12.5" x14ac:dyDescent="0.25">
      <c r="A639" s="14" t="str">
        <f>HYPERLINK("https://gerandofalcoes.my.salesforce.com/0014P00003YSp8aQAD", "0014P00003YSp8aQAD")</f>
        <v>0014P00003YSp8aQAD</v>
      </c>
      <c r="B639" s="2" t="s">
        <v>2447</v>
      </c>
      <c r="C639" s="2" t="s">
        <v>423</v>
      </c>
      <c r="D639" s="2" t="s">
        <v>2</v>
      </c>
      <c r="E639" s="2">
        <v>24</v>
      </c>
      <c r="F639" s="2">
        <v>0</v>
      </c>
      <c r="G639" s="2">
        <v>2</v>
      </c>
      <c r="H639" s="2">
        <v>40000</v>
      </c>
      <c r="I639" s="2">
        <v>200</v>
      </c>
      <c r="J639" s="2" t="s">
        <v>1779</v>
      </c>
      <c r="K639" s="2">
        <v>38</v>
      </c>
      <c r="L639" s="2">
        <v>10</v>
      </c>
      <c r="M639" s="2">
        <v>0</v>
      </c>
      <c r="N639" s="2">
        <v>6</v>
      </c>
      <c r="O639" s="2">
        <v>10</v>
      </c>
      <c r="P639" s="2">
        <v>12</v>
      </c>
      <c r="Q639" s="2" t="s">
        <v>2448</v>
      </c>
      <c r="R639" s="2" t="s">
        <v>2449</v>
      </c>
      <c r="S639" s="4">
        <v>44837</v>
      </c>
    </row>
    <row r="640" spans="1:19" ht="12.5" x14ac:dyDescent="0.25">
      <c r="A640" s="14" t="str">
        <f>HYPERLINK("https://gerandofalcoes.my.salesforce.com/0014P00003YSp8bQAD", "0014P00003YSp8bQAD")</f>
        <v>0014P00003YSp8bQAD</v>
      </c>
      <c r="B640" s="2" t="s">
        <v>2481</v>
      </c>
      <c r="C640" s="2" t="s">
        <v>1800</v>
      </c>
      <c r="D640" s="2" t="s">
        <v>2</v>
      </c>
      <c r="E640" s="2">
        <v>22</v>
      </c>
      <c r="F640" s="2">
        <v>4</v>
      </c>
      <c r="G640" s="2">
        <v>2</v>
      </c>
      <c r="H640" s="2">
        <v>80000</v>
      </c>
      <c r="I640" s="2">
        <v>100</v>
      </c>
      <c r="J640" s="2" t="s">
        <v>1671</v>
      </c>
      <c r="K640" s="2">
        <v>41</v>
      </c>
      <c r="L640" s="2">
        <v>10</v>
      </c>
      <c r="M640" s="2">
        <v>5</v>
      </c>
      <c r="N640" s="2">
        <v>6</v>
      </c>
      <c r="O640" s="2">
        <v>10</v>
      </c>
      <c r="P640" s="2">
        <v>10</v>
      </c>
      <c r="Q640" s="2" t="s">
        <v>2483</v>
      </c>
      <c r="R640" s="2" t="s">
        <v>2483</v>
      </c>
      <c r="S640" s="4">
        <v>44837</v>
      </c>
    </row>
    <row r="641" spans="1:19" ht="12.5" x14ac:dyDescent="0.25">
      <c r="A641" s="14" t="str">
        <f>HYPERLINK("https://gerandofalcoes.my.salesforce.com/0014P00003YSp8cQAD", "0014P00003YSp8cQAD")</f>
        <v>0014P00003YSp8cQAD</v>
      </c>
      <c r="B641" s="2" t="s">
        <v>1768</v>
      </c>
      <c r="C641" s="2" t="s">
        <v>423</v>
      </c>
      <c r="D641" s="2" t="s">
        <v>2</v>
      </c>
      <c r="E641" s="2">
        <v>35</v>
      </c>
      <c r="F641" s="2">
        <v>8</v>
      </c>
      <c r="G641" s="2">
        <v>1</v>
      </c>
      <c r="H641" s="2">
        <v>2200000</v>
      </c>
      <c r="I641" s="2">
        <v>300</v>
      </c>
      <c r="J641" s="2" t="s">
        <v>1650</v>
      </c>
      <c r="K641" s="2">
        <v>69</v>
      </c>
      <c r="L641" s="2">
        <v>15</v>
      </c>
      <c r="M641" s="2">
        <v>10</v>
      </c>
      <c r="N641" s="2">
        <v>4</v>
      </c>
      <c r="O641" s="2">
        <v>25</v>
      </c>
      <c r="P641" s="2">
        <v>15</v>
      </c>
      <c r="Q641" s="2" t="s">
        <v>1769</v>
      </c>
      <c r="R641" s="2" t="s">
        <v>1769</v>
      </c>
      <c r="S641" s="4">
        <v>44837</v>
      </c>
    </row>
    <row r="642" spans="1:19" ht="12.5" x14ac:dyDescent="0.25">
      <c r="A642" s="14" t="str">
        <f>HYPERLINK("https://gerandofalcoes.my.salesforce.com/0014P00003YSp8dQAD", "0014P00003YSp8dQAD")</f>
        <v>0014P00003YSp8dQAD</v>
      </c>
      <c r="B642" s="2" t="s">
        <v>2925</v>
      </c>
      <c r="C642" s="2" t="s">
        <v>423</v>
      </c>
      <c r="D642" s="2" t="s">
        <v>2</v>
      </c>
      <c r="E642" s="2">
        <v>7</v>
      </c>
      <c r="F642" s="2">
        <v>3</v>
      </c>
      <c r="G642" s="2">
        <v>2</v>
      </c>
      <c r="H642" s="2">
        <v>0</v>
      </c>
      <c r="I642" s="2">
        <v>150</v>
      </c>
      <c r="J642" s="2" t="s">
        <v>1779</v>
      </c>
      <c r="K642" s="2">
        <v>33</v>
      </c>
      <c r="L642" s="2">
        <v>10</v>
      </c>
      <c r="M642" s="2">
        <v>5</v>
      </c>
      <c r="N642" s="2">
        <v>6</v>
      </c>
      <c r="O642" s="2">
        <v>0</v>
      </c>
      <c r="P642" s="2">
        <v>12</v>
      </c>
      <c r="Q642" s="2" t="s">
        <v>2926</v>
      </c>
      <c r="R642" s="2" t="s">
        <v>2926</v>
      </c>
      <c r="S642" s="4">
        <v>44837</v>
      </c>
    </row>
    <row r="643" spans="1:19" ht="12.5" x14ac:dyDescent="0.25">
      <c r="A643" s="14" t="str">
        <f>HYPERLINK("https://gerandofalcoes.my.salesforce.com/0014P00003Ck8NjQAJ", "0014P00003Ck8NjQAJ")</f>
        <v>0014P00003Ck8NjQAJ</v>
      </c>
      <c r="B643" s="2" t="s">
        <v>1734</v>
      </c>
      <c r="C643" s="2" t="s">
        <v>423</v>
      </c>
      <c r="D643" s="2" t="s">
        <v>2</v>
      </c>
      <c r="E643" s="2">
        <v>32</v>
      </c>
      <c r="F643" s="2">
        <v>30</v>
      </c>
      <c r="G643" s="2">
        <v>4</v>
      </c>
      <c r="H643" s="2">
        <v>168000</v>
      </c>
      <c r="I643" s="2">
        <v>200</v>
      </c>
      <c r="J643" s="2" t="s">
        <v>1671</v>
      </c>
      <c r="K643" s="2">
        <v>64</v>
      </c>
      <c r="L643" s="2">
        <v>15</v>
      </c>
      <c r="M643" s="2">
        <v>12</v>
      </c>
      <c r="N643" s="2">
        <v>10</v>
      </c>
      <c r="O643" s="2">
        <v>15</v>
      </c>
      <c r="P643" s="2">
        <v>12</v>
      </c>
      <c r="Q643" s="2" t="s">
        <v>1735</v>
      </c>
      <c r="R643" s="2" t="s">
        <v>1735</v>
      </c>
      <c r="S643" s="4">
        <v>44837</v>
      </c>
    </row>
    <row r="644" spans="1:19" ht="12.5" x14ac:dyDescent="0.25">
      <c r="A644" s="14" t="str">
        <f>HYPERLINK("https://gerandofalcoes.my.salesforce.com/0014P00003I7WH2QAN", "0014P00003I7WH2QAN")</f>
        <v>0014P00003I7WH2QAN</v>
      </c>
      <c r="B644" s="2" t="s">
        <v>1748</v>
      </c>
      <c r="C644" s="2" t="s">
        <v>423</v>
      </c>
      <c r="D644" s="2" t="s">
        <v>2</v>
      </c>
      <c r="E644" s="2">
        <v>75</v>
      </c>
      <c r="F644" s="2">
        <v>5</v>
      </c>
      <c r="G644" s="2">
        <v>3</v>
      </c>
      <c r="H644" s="2">
        <v>300000</v>
      </c>
      <c r="I644" s="2">
        <v>216</v>
      </c>
      <c r="J644" s="2" t="s">
        <v>1650</v>
      </c>
      <c r="K644" s="2">
        <v>70</v>
      </c>
      <c r="L644" s="2">
        <v>25</v>
      </c>
      <c r="M644" s="2">
        <v>5</v>
      </c>
      <c r="N644" s="2">
        <v>8</v>
      </c>
      <c r="O644" s="2">
        <v>20</v>
      </c>
      <c r="P644" s="2">
        <v>12</v>
      </c>
      <c r="Q644" s="2" t="s">
        <v>1749</v>
      </c>
      <c r="R644" s="2" t="s">
        <v>906</v>
      </c>
      <c r="S644" s="4">
        <v>44837</v>
      </c>
    </row>
    <row r="645" spans="1:19" ht="12.5" x14ac:dyDescent="0.25">
      <c r="A645" s="14" t="str">
        <f>HYPERLINK("https://gerandofalcoes.my.salesforce.com/0014P00003AN2FfQAL", "0014P00003AN2FfQAL")</f>
        <v>0014P00003AN2FfQAL</v>
      </c>
      <c r="B645" s="2" t="s">
        <v>105</v>
      </c>
      <c r="C645" s="2" t="s">
        <v>423</v>
      </c>
      <c r="D645" s="2" t="s">
        <v>2</v>
      </c>
      <c r="E645" s="2">
        <v>20</v>
      </c>
      <c r="F645" s="2">
        <v>0</v>
      </c>
      <c r="G645" s="2">
        <v>1</v>
      </c>
      <c r="H645" s="2">
        <v>10000</v>
      </c>
      <c r="I645" s="2">
        <v>120</v>
      </c>
      <c r="J645" s="2" t="s">
        <v>1779</v>
      </c>
      <c r="K645" s="2">
        <v>29</v>
      </c>
      <c r="L645" s="2">
        <v>10</v>
      </c>
      <c r="M645" s="2">
        <v>0</v>
      </c>
      <c r="N645" s="2">
        <v>4</v>
      </c>
      <c r="O645" s="2">
        <v>5</v>
      </c>
      <c r="P645" s="2">
        <v>10</v>
      </c>
      <c r="Q645" s="2" t="s">
        <v>106</v>
      </c>
      <c r="R645" s="2" t="s">
        <v>7161</v>
      </c>
      <c r="S645" s="4">
        <v>44837</v>
      </c>
    </row>
    <row r="646" spans="1:19" ht="12.5" x14ac:dyDescent="0.25">
      <c r="A646" s="14" t="str">
        <f>HYPERLINK("https://gerandofalcoes.my.salesforce.com/0014P00003AN2FgQAL", "0014P00003AN2FgQAL")</f>
        <v>0014P00003AN2FgQAL</v>
      </c>
      <c r="B646" s="2" t="s">
        <v>109</v>
      </c>
      <c r="C646" s="2" t="s">
        <v>1800</v>
      </c>
      <c r="D646" s="2" t="s">
        <v>2</v>
      </c>
      <c r="E646" s="2">
        <v>36</v>
      </c>
      <c r="F646" s="2">
        <v>2</v>
      </c>
      <c r="G646" s="2">
        <v>7</v>
      </c>
      <c r="H646" s="2">
        <v>290735</v>
      </c>
      <c r="I646" s="2">
        <v>750</v>
      </c>
      <c r="J646" s="2" t="s">
        <v>1650</v>
      </c>
      <c r="K646" s="2">
        <v>65</v>
      </c>
      <c r="L646" s="2">
        <v>15</v>
      </c>
      <c r="M646" s="2">
        <v>5</v>
      </c>
      <c r="N646" s="2">
        <v>10</v>
      </c>
      <c r="O646" s="2">
        <v>15</v>
      </c>
      <c r="P646" s="2">
        <v>20</v>
      </c>
      <c r="Q646" s="2" t="s">
        <v>110</v>
      </c>
      <c r="R646" s="2" t="s">
        <v>110</v>
      </c>
      <c r="S646" s="4">
        <v>44837</v>
      </c>
    </row>
    <row r="647" spans="1:19" ht="12.5" x14ac:dyDescent="0.25">
      <c r="A647" s="14" t="str">
        <f>HYPERLINK("https://gerandofalcoes.my.salesforce.com/0014P00003AN2FhQAL", "0014P00003AN2FhQAL")</f>
        <v>0014P00003AN2FhQAL</v>
      </c>
      <c r="B647" s="2" t="s">
        <v>1889</v>
      </c>
      <c r="C647" s="2" t="s">
        <v>423</v>
      </c>
      <c r="D647" s="2" t="s">
        <v>2</v>
      </c>
      <c r="E647" s="2">
        <v>55</v>
      </c>
      <c r="F647" s="2">
        <v>3</v>
      </c>
      <c r="G647" s="2">
        <v>2</v>
      </c>
      <c r="H647" s="2">
        <v>472000</v>
      </c>
      <c r="I647" s="2">
        <v>381</v>
      </c>
      <c r="J647" s="2" t="s">
        <v>1650</v>
      </c>
      <c r="K647" s="2">
        <v>66</v>
      </c>
      <c r="L647" s="2">
        <v>20</v>
      </c>
      <c r="M647" s="2">
        <v>5</v>
      </c>
      <c r="N647" s="2">
        <v>6</v>
      </c>
      <c r="O647" s="2">
        <v>20</v>
      </c>
      <c r="P647" s="2">
        <v>15</v>
      </c>
      <c r="Q647" s="2" t="s">
        <v>715</v>
      </c>
      <c r="R647" s="2" t="s">
        <v>715</v>
      </c>
      <c r="S647" s="4">
        <v>44837</v>
      </c>
    </row>
    <row r="648" spans="1:19" ht="12.5" x14ac:dyDescent="0.25">
      <c r="A648" s="14" t="str">
        <f>HYPERLINK("https://gerandofalcoes.my.salesforce.com/0014P00003AN2FiQAL", "0014P00003AN2FiQAL")</f>
        <v>0014P00003AN2FiQAL</v>
      </c>
      <c r="B648" s="2" t="s">
        <v>2541</v>
      </c>
      <c r="C648" s="2" t="s">
        <v>423</v>
      </c>
      <c r="D648" s="2" t="s">
        <v>2</v>
      </c>
      <c r="E648" s="2">
        <v>40</v>
      </c>
      <c r="F648" s="2">
        <v>2</v>
      </c>
      <c r="G648" s="2">
        <v>3</v>
      </c>
      <c r="H648" s="2">
        <v>230600</v>
      </c>
      <c r="I648" s="2">
        <v>170</v>
      </c>
      <c r="J648" s="2" t="s">
        <v>1671</v>
      </c>
      <c r="K648" s="2">
        <v>55</v>
      </c>
      <c r="L648" s="2">
        <v>15</v>
      </c>
      <c r="M648" s="2">
        <v>5</v>
      </c>
      <c r="N648" s="2">
        <v>8</v>
      </c>
      <c r="O648" s="2">
        <v>15</v>
      </c>
      <c r="P648" s="2">
        <v>12</v>
      </c>
      <c r="Q648" s="2" t="s">
        <v>2542</v>
      </c>
      <c r="R648" s="2" t="s">
        <v>2542</v>
      </c>
      <c r="S648" s="4">
        <v>44837</v>
      </c>
    </row>
    <row r="649" spans="1:19" ht="12.5" x14ac:dyDescent="0.25">
      <c r="A649" s="14" t="str">
        <f>HYPERLINK("https://gerandofalcoes.my.salesforce.com/0014P00003AN2FjQAL", "0014P00003AN2FjQAL")</f>
        <v>0014P00003AN2FjQAL</v>
      </c>
      <c r="B649" s="2" t="s">
        <v>1679</v>
      </c>
      <c r="C649" s="2" t="s">
        <v>423</v>
      </c>
      <c r="D649" s="2" t="s">
        <v>27</v>
      </c>
      <c r="E649" s="2">
        <v>89</v>
      </c>
      <c r="F649" s="2">
        <v>5</v>
      </c>
      <c r="G649" s="2">
        <v>4</v>
      </c>
      <c r="H649" s="2">
        <v>49628.39</v>
      </c>
      <c r="I649" s="2">
        <v>79</v>
      </c>
      <c r="J649" s="2" t="s">
        <v>1671</v>
      </c>
      <c r="K649" s="2">
        <v>55</v>
      </c>
      <c r="L649" s="2">
        <v>25</v>
      </c>
      <c r="M649" s="2">
        <v>5</v>
      </c>
      <c r="N649" s="2">
        <v>10</v>
      </c>
      <c r="O649" s="2">
        <v>10</v>
      </c>
      <c r="P649" s="2">
        <v>5</v>
      </c>
      <c r="Q649" s="2" t="s">
        <v>63</v>
      </c>
      <c r="R649" s="2" t="s">
        <v>1680</v>
      </c>
      <c r="S649" s="4">
        <v>44837</v>
      </c>
    </row>
    <row r="650" spans="1:19" ht="12.5" x14ac:dyDescent="0.25">
      <c r="A650" s="14" t="str">
        <f>HYPERLINK("https://gerandofalcoes.my.salesforce.com/0014P00003AN2FkQAL", "0014P00003AN2FkQAL")</f>
        <v>0014P00003AN2FkQAL</v>
      </c>
      <c r="B650" s="2" t="s">
        <v>1753</v>
      </c>
      <c r="C650" s="2" t="s">
        <v>423</v>
      </c>
      <c r="D650" s="2" t="s">
        <v>27</v>
      </c>
      <c r="E650" s="2">
        <v>58.76</v>
      </c>
      <c r="F650" s="2">
        <v>0</v>
      </c>
      <c r="G650" s="2">
        <v>4</v>
      </c>
      <c r="H650" s="2">
        <v>45000</v>
      </c>
      <c r="I650" s="2">
        <v>700</v>
      </c>
      <c r="J650" s="2" t="s">
        <v>1671</v>
      </c>
      <c r="K650" s="2">
        <v>60</v>
      </c>
      <c r="L650" s="2">
        <v>20</v>
      </c>
      <c r="M650" s="2">
        <v>0</v>
      </c>
      <c r="N650" s="2">
        <v>10</v>
      </c>
      <c r="O650" s="2">
        <v>10</v>
      </c>
      <c r="P650" s="2">
        <v>20</v>
      </c>
      <c r="Q650" s="2" t="s">
        <v>1754</v>
      </c>
      <c r="R650" s="2" t="s">
        <v>738</v>
      </c>
      <c r="S650" s="4">
        <v>44837</v>
      </c>
    </row>
    <row r="651" spans="1:19" ht="12.5" x14ac:dyDescent="0.25">
      <c r="A651" s="14" t="str">
        <f>HYPERLINK("https://gerandofalcoes.my.salesforce.com/0014P00003AN2FlQAL", "0014P00003AN2FlQAL")</f>
        <v>0014P00003AN2FlQAL</v>
      </c>
      <c r="B651" s="2" t="s">
        <v>1689</v>
      </c>
      <c r="C651" s="2" t="s">
        <v>423</v>
      </c>
      <c r="D651" s="2" t="s">
        <v>27</v>
      </c>
      <c r="E651" s="2">
        <v>85</v>
      </c>
      <c r="F651" s="2">
        <v>9</v>
      </c>
      <c r="G651" s="2">
        <v>5</v>
      </c>
      <c r="H651" s="2">
        <v>128126.51</v>
      </c>
      <c r="I651" s="2">
        <v>196</v>
      </c>
      <c r="J651" s="2" t="s">
        <v>1650</v>
      </c>
      <c r="K651" s="2">
        <v>72</v>
      </c>
      <c r="L651" s="2">
        <v>25</v>
      </c>
      <c r="M651" s="2">
        <v>10</v>
      </c>
      <c r="N651" s="2">
        <v>10</v>
      </c>
      <c r="O651" s="2">
        <v>15</v>
      </c>
      <c r="P651" s="2">
        <v>12</v>
      </c>
      <c r="Q651" s="2" t="s">
        <v>126</v>
      </c>
      <c r="R651" s="2" t="s">
        <v>1690</v>
      </c>
      <c r="S651" s="4">
        <v>44837</v>
      </c>
    </row>
    <row r="652" spans="1:19" ht="12.5" x14ac:dyDescent="0.25">
      <c r="A652" s="14" t="str">
        <f>HYPERLINK("https://gerandofalcoes.my.salesforce.com/0014P00003AN2FmQAL", "0014P00003AN2FmQAL")</f>
        <v>0014P00003AN2FmQAL</v>
      </c>
      <c r="B652" s="2" t="s">
        <v>1683</v>
      </c>
      <c r="C652" s="2" t="s">
        <v>1684</v>
      </c>
      <c r="D652" s="2" t="s">
        <v>27</v>
      </c>
      <c r="E652" s="2">
        <v>86</v>
      </c>
      <c r="F652" s="2">
        <v>30</v>
      </c>
      <c r="G652" s="2">
        <v>5</v>
      </c>
      <c r="H652" s="2">
        <v>969799.69</v>
      </c>
      <c r="I652" s="2">
        <v>111</v>
      </c>
      <c r="J652" s="2" t="s">
        <v>1654</v>
      </c>
      <c r="K652" s="2">
        <v>82</v>
      </c>
      <c r="L652" s="2">
        <v>25</v>
      </c>
      <c r="M652" s="2">
        <v>12</v>
      </c>
      <c r="N652" s="2">
        <v>10</v>
      </c>
      <c r="O652" s="2">
        <v>25</v>
      </c>
      <c r="P652" s="2">
        <v>10</v>
      </c>
      <c r="Q652" s="2" t="s">
        <v>127</v>
      </c>
      <c r="R652" s="2" t="s">
        <v>127</v>
      </c>
      <c r="S652" s="4">
        <v>44837</v>
      </c>
    </row>
    <row r="653" spans="1:19" ht="12.5" x14ac:dyDescent="0.25">
      <c r="A653" s="14" t="str">
        <f>HYPERLINK("https://gerandofalcoes.my.salesforce.com/0014P00003AN2FnQAL", "0014P00003AN2FnQAL")</f>
        <v>0014P00003AN2FnQAL</v>
      </c>
      <c r="B653" s="2" t="s">
        <v>128</v>
      </c>
      <c r="C653" s="2" t="s">
        <v>423</v>
      </c>
      <c r="D653" s="2" t="s">
        <v>27</v>
      </c>
      <c r="E653" s="2">
        <v>90</v>
      </c>
      <c r="F653" s="2">
        <v>22</v>
      </c>
      <c r="G653" s="2">
        <v>3</v>
      </c>
      <c r="H653" s="2">
        <v>850231.83</v>
      </c>
      <c r="I653" s="2">
        <v>323</v>
      </c>
      <c r="J653" s="2" t="s">
        <v>1654</v>
      </c>
      <c r="K653" s="2">
        <v>90</v>
      </c>
      <c r="L653" s="2">
        <v>30</v>
      </c>
      <c r="M653" s="2">
        <v>12</v>
      </c>
      <c r="N653" s="2">
        <v>8</v>
      </c>
      <c r="O653" s="2">
        <v>25</v>
      </c>
      <c r="P653" s="2">
        <v>15</v>
      </c>
      <c r="Q653" s="2" t="s">
        <v>129</v>
      </c>
      <c r="R653" s="2" t="s">
        <v>129</v>
      </c>
      <c r="S653" s="4">
        <v>44837</v>
      </c>
    </row>
    <row r="654" spans="1:19" ht="12.5" x14ac:dyDescent="0.25">
      <c r="A654" s="14" t="str">
        <f>HYPERLINK("https://gerandofalcoes.my.salesforce.com/0014P00003SGWPvQAP", "0014P00003SGWPvQAP")</f>
        <v>0014P00003SGWPvQAP</v>
      </c>
      <c r="B654" s="2" t="s">
        <v>2499</v>
      </c>
      <c r="C654" s="2" t="s">
        <v>423</v>
      </c>
      <c r="D654" s="2" t="s">
        <v>2</v>
      </c>
      <c r="E654" s="2">
        <v>21.55</v>
      </c>
      <c r="F654" s="2">
        <v>0</v>
      </c>
      <c r="G654" s="2">
        <v>1</v>
      </c>
      <c r="H654" s="2">
        <v>33000</v>
      </c>
      <c r="I654" s="2">
        <v>100</v>
      </c>
      <c r="J654" s="2" t="s">
        <v>1779</v>
      </c>
      <c r="K654" s="2">
        <v>34</v>
      </c>
      <c r="L654" s="2">
        <v>10</v>
      </c>
      <c r="M654" s="2">
        <v>0</v>
      </c>
      <c r="N654" s="2">
        <v>4</v>
      </c>
      <c r="O654" s="2">
        <v>10</v>
      </c>
      <c r="P654" s="2">
        <v>10</v>
      </c>
      <c r="Q654" s="2" t="s">
        <v>189</v>
      </c>
      <c r="R654" s="2" t="s">
        <v>189</v>
      </c>
      <c r="S654" s="4">
        <v>44837</v>
      </c>
    </row>
    <row r="655" spans="1:19" ht="12.5" x14ac:dyDescent="0.25">
      <c r="A655" s="14" t="str">
        <f>HYPERLINK("https://gerandofalcoes.my.salesforce.com/0014P00003SGWPwQAP", "0014P00003SGWPwQAP")</f>
        <v>0014P00003SGWPwQAP</v>
      </c>
      <c r="B655" s="2" t="s">
        <v>2999</v>
      </c>
      <c r="C655" s="2" t="s">
        <v>1684</v>
      </c>
      <c r="D655" s="2" t="s">
        <v>2</v>
      </c>
      <c r="E655" s="2"/>
      <c r="F655" s="2">
        <v>0</v>
      </c>
      <c r="G655" s="2">
        <v>1</v>
      </c>
      <c r="H655" s="2">
        <v>0</v>
      </c>
      <c r="I655" s="2">
        <v>0</v>
      </c>
      <c r="J655" s="2" t="s">
        <v>1779</v>
      </c>
      <c r="K655" s="2">
        <v>4</v>
      </c>
      <c r="L655" s="2">
        <v>0</v>
      </c>
      <c r="M655" s="2">
        <v>0</v>
      </c>
      <c r="N655" s="2">
        <v>4</v>
      </c>
      <c r="O655" s="2">
        <v>0</v>
      </c>
      <c r="P655" s="2">
        <v>0</v>
      </c>
      <c r="Q655" s="2" t="s">
        <v>193</v>
      </c>
      <c r="R655" s="2" t="s">
        <v>1095</v>
      </c>
      <c r="S655" s="4">
        <v>44837</v>
      </c>
    </row>
    <row r="656" spans="1:19" ht="12.5" x14ac:dyDescent="0.25">
      <c r="A656" s="14" t="str">
        <f>HYPERLINK("https://gerandofalcoes.my.salesforce.com/0014P00003SGWPxQAP", "0014P00003SGWPxQAP")</f>
        <v>0014P00003SGWPxQAP</v>
      </c>
      <c r="B656" s="2" t="s">
        <v>1739</v>
      </c>
      <c r="C656" s="2" t="s">
        <v>423</v>
      </c>
      <c r="D656" s="2" t="s">
        <v>2</v>
      </c>
      <c r="E656" s="2">
        <v>41</v>
      </c>
      <c r="F656" s="2">
        <v>4</v>
      </c>
      <c r="G656" s="2">
        <v>3</v>
      </c>
      <c r="H656" s="2">
        <v>135000</v>
      </c>
      <c r="I656" s="2">
        <v>442</v>
      </c>
      <c r="J656" s="2" t="s">
        <v>1671</v>
      </c>
      <c r="K656" s="2">
        <v>58</v>
      </c>
      <c r="L656" s="2">
        <v>15</v>
      </c>
      <c r="M656" s="2">
        <v>5</v>
      </c>
      <c r="N656" s="2">
        <v>8</v>
      </c>
      <c r="O656" s="2">
        <v>15</v>
      </c>
      <c r="P656" s="2">
        <v>15</v>
      </c>
      <c r="Q656" s="2" t="s">
        <v>1106</v>
      </c>
      <c r="R656" s="2" t="s">
        <v>1106</v>
      </c>
      <c r="S656" s="4">
        <v>44837</v>
      </c>
    </row>
    <row r="657" spans="1:19" ht="12.5" x14ac:dyDescent="0.25">
      <c r="A657" s="14" t="str">
        <f>HYPERLINK("https://gerandofalcoes.my.salesforce.com/0014P00003SGWPzQAP", "0014P00003SGWPzQAP")</f>
        <v>0014P00003SGWPzQAP</v>
      </c>
      <c r="B657" s="2" t="s">
        <v>1708</v>
      </c>
      <c r="C657" s="2" t="s">
        <v>423</v>
      </c>
      <c r="D657" s="2" t="s">
        <v>2</v>
      </c>
      <c r="E657" s="2">
        <v>94</v>
      </c>
      <c r="F657" s="2">
        <v>10</v>
      </c>
      <c r="G657" s="2">
        <v>3</v>
      </c>
      <c r="H657" s="2">
        <v>330138</v>
      </c>
      <c r="I657" s="2">
        <v>100</v>
      </c>
      <c r="J657" s="2" t="s">
        <v>1650</v>
      </c>
      <c r="K657" s="2">
        <v>78</v>
      </c>
      <c r="L657" s="2">
        <v>30</v>
      </c>
      <c r="M657" s="2">
        <v>10</v>
      </c>
      <c r="N657" s="2">
        <v>8</v>
      </c>
      <c r="O657" s="2">
        <v>20</v>
      </c>
      <c r="P657" s="2">
        <v>10</v>
      </c>
      <c r="Q657" s="2" t="s">
        <v>1709</v>
      </c>
      <c r="R657" s="2" t="s">
        <v>199</v>
      </c>
      <c r="S657" s="4">
        <v>44837</v>
      </c>
    </row>
    <row r="658" spans="1:19" ht="12.5" x14ac:dyDescent="0.25">
      <c r="A658" s="14" t="str">
        <f>HYPERLINK("https://gerandofalcoes.my.salesforce.com/0014P00003SGWQ0QAP", "0014P00003SGWQ0QAP")</f>
        <v>0014P00003SGWQ0QAP</v>
      </c>
      <c r="B658" s="2" t="s">
        <v>201</v>
      </c>
      <c r="C658" s="2" t="s">
        <v>423</v>
      </c>
      <c r="D658" s="2" t="s">
        <v>2</v>
      </c>
      <c r="E658" s="2">
        <v>39</v>
      </c>
      <c r="F658" s="2">
        <v>6</v>
      </c>
      <c r="G658" s="2">
        <v>3</v>
      </c>
      <c r="H658" s="2">
        <v>24338140</v>
      </c>
      <c r="I658" s="2">
        <v>90</v>
      </c>
      <c r="J658" s="2" t="s">
        <v>1650</v>
      </c>
      <c r="K658" s="2">
        <v>68</v>
      </c>
      <c r="L658" s="2">
        <v>15</v>
      </c>
      <c r="M658" s="2">
        <v>10</v>
      </c>
      <c r="N658" s="2">
        <v>8</v>
      </c>
      <c r="O658" s="2">
        <v>25</v>
      </c>
      <c r="P658" s="2">
        <v>10</v>
      </c>
      <c r="Q658" s="2" t="s">
        <v>202</v>
      </c>
      <c r="R658" s="2" t="s">
        <v>1077</v>
      </c>
      <c r="S658" s="4">
        <v>44837</v>
      </c>
    </row>
    <row r="659" spans="1:19" ht="12.5" x14ac:dyDescent="0.25">
      <c r="A659" s="14" t="str">
        <f>HYPERLINK("https://gerandofalcoes.my.salesforce.com/0014P00003SGWQ1QAP", "0014P00003SGWQ1QAP")</f>
        <v>0014P00003SGWQ1QAP</v>
      </c>
      <c r="B659" s="2" t="s">
        <v>205</v>
      </c>
      <c r="C659" s="2" t="s">
        <v>423</v>
      </c>
      <c r="D659" s="2" t="s">
        <v>2</v>
      </c>
      <c r="E659" s="2">
        <v>30</v>
      </c>
      <c r="F659" s="2">
        <v>6</v>
      </c>
      <c r="G659" s="2">
        <v>2</v>
      </c>
      <c r="H659" s="2">
        <v>926170</v>
      </c>
      <c r="I659" s="2">
        <v>600</v>
      </c>
      <c r="J659" s="2" t="s">
        <v>1650</v>
      </c>
      <c r="K659" s="2">
        <v>76</v>
      </c>
      <c r="L659" s="2">
        <v>15</v>
      </c>
      <c r="M659" s="2">
        <v>10</v>
      </c>
      <c r="N659" s="2">
        <v>6</v>
      </c>
      <c r="O659" s="2">
        <v>25</v>
      </c>
      <c r="P659" s="2">
        <v>20</v>
      </c>
      <c r="Q659" s="2" t="s">
        <v>206</v>
      </c>
      <c r="R659" s="2" t="s">
        <v>2090</v>
      </c>
      <c r="S659" s="4">
        <v>44837</v>
      </c>
    </row>
    <row r="660" spans="1:19" ht="12.5" x14ac:dyDescent="0.25">
      <c r="A660" s="14" t="str">
        <f>HYPERLINK("https://gerandofalcoes.my.salesforce.com/0014P00003SGWQ2QAP", "0014P00003SGWQ2QAP")</f>
        <v>0014P00003SGWQ2QAP</v>
      </c>
      <c r="B660" s="2" t="s">
        <v>194</v>
      </c>
      <c r="C660" s="2" t="s">
        <v>423</v>
      </c>
      <c r="D660" s="2" t="s">
        <v>2</v>
      </c>
      <c r="E660" s="2">
        <v>28.78</v>
      </c>
      <c r="F660" s="2">
        <v>0</v>
      </c>
      <c r="G660" s="2">
        <v>3</v>
      </c>
      <c r="H660" s="2">
        <v>0</v>
      </c>
      <c r="I660" s="2">
        <v>150</v>
      </c>
      <c r="J660" s="2" t="s">
        <v>1779</v>
      </c>
      <c r="K660" s="2">
        <v>35</v>
      </c>
      <c r="L660" s="2">
        <v>15</v>
      </c>
      <c r="M660" s="2">
        <v>0</v>
      </c>
      <c r="N660" s="2">
        <v>8</v>
      </c>
      <c r="O660" s="2">
        <v>0</v>
      </c>
      <c r="P660" s="2">
        <v>12</v>
      </c>
      <c r="Q660" s="2" t="s">
        <v>195</v>
      </c>
      <c r="R660" s="2" t="s">
        <v>1128</v>
      </c>
      <c r="S660" s="4">
        <v>44837</v>
      </c>
    </row>
    <row r="661" spans="1:19" ht="12.5" x14ac:dyDescent="0.25">
      <c r="A661" s="14" t="str">
        <f>HYPERLINK("https://gerandofalcoes.my.salesforce.com/0014P00003YSp7UQAT", "0014P00003YSp7UQAT")</f>
        <v>0014P00003YSp7UQAT</v>
      </c>
      <c r="B661" s="2" t="s">
        <v>2098</v>
      </c>
      <c r="C661" s="2" t="s">
        <v>1800</v>
      </c>
      <c r="D661" s="2" t="s">
        <v>2</v>
      </c>
      <c r="E661" s="2">
        <v>35</v>
      </c>
      <c r="F661" s="2">
        <v>3</v>
      </c>
      <c r="G661" s="2">
        <v>0</v>
      </c>
      <c r="H661" s="2">
        <v>11000</v>
      </c>
      <c r="I661" s="2">
        <v>200</v>
      </c>
      <c r="J661" s="2" t="s">
        <v>1779</v>
      </c>
      <c r="K661" s="2">
        <v>37</v>
      </c>
      <c r="L661" s="2">
        <v>15</v>
      </c>
      <c r="M661" s="2">
        <v>5</v>
      </c>
      <c r="N661" s="2">
        <v>0</v>
      </c>
      <c r="O661" s="2">
        <v>5</v>
      </c>
      <c r="P661" s="2">
        <v>12</v>
      </c>
      <c r="Q661" s="2" t="s">
        <v>2099</v>
      </c>
      <c r="R661" s="2" t="s">
        <v>2099</v>
      </c>
      <c r="S661" s="4">
        <v>44837</v>
      </c>
    </row>
    <row r="662" spans="1:19" ht="12.5" x14ac:dyDescent="0.25">
      <c r="A662" s="14" t="str">
        <f>HYPERLINK("https://gerandofalcoes.my.salesforce.com/0014P00003YSp7RQAT", "0014P00003YSp7RQAT")</f>
        <v>0014P00003YSp7RQAT</v>
      </c>
      <c r="B662" s="2" t="s">
        <v>2272</v>
      </c>
      <c r="C662" s="2" t="s">
        <v>423</v>
      </c>
      <c r="D662" s="2" t="s">
        <v>2</v>
      </c>
      <c r="E662" s="2">
        <v>30</v>
      </c>
      <c r="F662" s="2">
        <v>1</v>
      </c>
      <c r="G662" s="2">
        <v>2</v>
      </c>
      <c r="H662" s="2">
        <v>25000</v>
      </c>
      <c r="I662" s="2">
        <v>60</v>
      </c>
      <c r="J662" s="2" t="s">
        <v>1671</v>
      </c>
      <c r="K662" s="2">
        <v>41</v>
      </c>
      <c r="L662" s="2">
        <v>15</v>
      </c>
      <c r="M662" s="2">
        <v>5</v>
      </c>
      <c r="N662" s="2">
        <v>6</v>
      </c>
      <c r="O662" s="2">
        <v>10</v>
      </c>
      <c r="P662" s="2">
        <v>5</v>
      </c>
      <c r="Q662" s="2" t="s">
        <v>2273</v>
      </c>
      <c r="R662" s="2" t="s">
        <v>2274</v>
      </c>
      <c r="S662" s="4">
        <v>44837</v>
      </c>
    </row>
    <row r="663" spans="1:19" ht="12.5" x14ac:dyDescent="0.25">
      <c r="A663" s="14" t="str">
        <f>HYPERLINK("https://gerandofalcoes.my.salesforce.com/0014P00003YSp7SQAT", "0014P00003YSp7SQAT")</f>
        <v>0014P00003YSp7SQAT</v>
      </c>
      <c r="B663" s="2" t="s">
        <v>2619</v>
      </c>
      <c r="C663" s="2" t="s">
        <v>423</v>
      </c>
      <c r="D663" s="2" t="s">
        <v>2</v>
      </c>
      <c r="E663" s="2">
        <v>25</v>
      </c>
      <c r="F663" s="2">
        <v>0</v>
      </c>
      <c r="G663" s="2">
        <v>4</v>
      </c>
      <c r="H663" s="2">
        <v>39200</v>
      </c>
      <c r="I663" s="2">
        <v>1</v>
      </c>
      <c r="J663" s="2" t="s">
        <v>1671</v>
      </c>
      <c r="K663" s="2">
        <v>40</v>
      </c>
      <c r="L663" s="2">
        <v>15</v>
      </c>
      <c r="M663" s="2">
        <v>0</v>
      </c>
      <c r="N663" s="2">
        <v>10</v>
      </c>
      <c r="O663" s="2">
        <v>10</v>
      </c>
      <c r="P663" s="2">
        <v>5</v>
      </c>
      <c r="Q663" s="2" t="s">
        <v>2620</v>
      </c>
      <c r="R663" s="2" t="s">
        <v>2621</v>
      </c>
      <c r="S663" s="4">
        <v>44837</v>
      </c>
    </row>
    <row r="664" spans="1:19" ht="12.5" x14ac:dyDescent="0.25">
      <c r="A664" s="14" t="str">
        <f>HYPERLINK("https://gerandofalcoes.my.salesforce.com/0014P00003YSp7TQAT", "0014P00003YSp7TQAT")</f>
        <v>0014P00003YSp7TQAT</v>
      </c>
      <c r="B664" s="2" t="s">
        <v>2614</v>
      </c>
      <c r="C664" s="2" t="s">
        <v>1800</v>
      </c>
      <c r="D664" s="2" t="s">
        <v>2</v>
      </c>
      <c r="E664" s="2">
        <v>19</v>
      </c>
      <c r="F664" s="2">
        <v>0</v>
      </c>
      <c r="G664" s="2">
        <v>0</v>
      </c>
      <c r="H664" s="2">
        <v>0</v>
      </c>
      <c r="I664" s="2">
        <v>0</v>
      </c>
      <c r="J664" s="2" t="s">
        <v>1779</v>
      </c>
      <c r="K664" s="2">
        <v>10</v>
      </c>
      <c r="L664" s="2">
        <v>10</v>
      </c>
      <c r="M664" s="2">
        <v>0</v>
      </c>
      <c r="N664" s="2">
        <v>0</v>
      </c>
      <c r="O664" s="2">
        <v>0</v>
      </c>
      <c r="P664" s="2">
        <v>0</v>
      </c>
      <c r="Q664" s="2" t="s">
        <v>2615</v>
      </c>
      <c r="R664" s="2" t="s">
        <v>2615</v>
      </c>
      <c r="S664" s="4">
        <v>44837</v>
      </c>
    </row>
    <row r="665" spans="1:19" ht="12.5" x14ac:dyDescent="0.25">
      <c r="A665" s="14" t="str">
        <f>HYPERLINK("https://gerandofalcoes.my.salesforce.com/0014P00003YSp7VQAT", "0014P00003YSp7VQAT")</f>
        <v>0014P00003YSp7VQAT</v>
      </c>
      <c r="B665" s="2" t="s">
        <v>2546</v>
      </c>
      <c r="C665" s="2" t="s">
        <v>423</v>
      </c>
      <c r="D665" s="2" t="s">
        <v>2</v>
      </c>
      <c r="E665" s="2">
        <v>20.14</v>
      </c>
      <c r="F665" s="2">
        <v>0</v>
      </c>
      <c r="G665" s="2">
        <v>2</v>
      </c>
      <c r="H665" s="2">
        <v>12700</v>
      </c>
      <c r="I665" s="2">
        <v>50</v>
      </c>
      <c r="J665" s="2" t="s">
        <v>1779</v>
      </c>
      <c r="K665" s="2">
        <v>26</v>
      </c>
      <c r="L665" s="2">
        <v>10</v>
      </c>
      <c r="M665" s="2">
        <v>0</v>
      </c>
      <c r="N665" s="2">
        <v>6</v>
      </c>
      <c r="O665" s="2">
        <v>5</v>
      </c>
      <c r="P665" s="2">
        <v>5</v>
      </c>
      <c r="Q665" s="2" t="s">
        <v>2547</v>
      </c>
      <c r="R665" s="2" t="s">
        <v>2548</v>
      </c>
      <c r="S665" s="4">
        <v>44837</v>
      </c>
    </row>
    <row r="666" spans="1:19" ht="12.5" x14ac:dyDescent="0.25">
      <c r="A666" s="14" t="str">
        <f>HYPERLINK("https://gerandofalcoes.my.salesforce.com/0014P00003YSp7XQAT", "0014P00003YSp7XQAT")</f>
        <v>0014P00003YSp7XQAT</v>
      </c>
      <c r="B666" s="2" t="s">
        <v>2511</v>
      </c>
      <c r="C666" s="2" t="s">
        <v>423</v>
      </c>
      <c r="D666" s="2" t="s">
        <v>2</v>
      </c>
      <c r="E666" s="2">
        <v>21</v>
      </c>
      <c r="F666" s="2">
        <v>0</v>
      </c>
      <c r="G666" s="2">
        <v>3</v>
      </c>
      <c r="H666" s="2">
        <v>8200</v>
      </c>
      <c r="I666" s="2">
        <v>109</v>
      </c>
      <c r="J666" s="2" t="s">
        <v>1779</v>
      </c>
      <c r="K666" s="2">
        <v>33</v>
      </c>
      <c r="L666" s="2">
        <v>10</v>
      </c>
      <c r="M666" s="2">
        <v>0</v>
      </c>
      <c r="N666" s="2">
        <v>8</v>
      </c>
      <c r="O666" s="2">
        <v>5</v>
      </c>
      <c r="P666" s="2">
        <v>10</v>
      </c>
      <c r="Q666" s="2" t="s">
        <v>2512</v>
      </c>
      <c r="R666" s="2" t="s">
        <v>2513</v>
      </c>
      <c r="S666" s="4">
        <v>44837</v>
      </c>
    </row>
    <row r="667" spans="1:19" ht="12.5" x14ac:dyDescent="0.25">
      <c r="A667" s="14" t="str">
        <f>HYPERLINK("https://gerandofalcoes.my.salesforce.com/0014P00003YSp7YQAT", "0014P00003YSp7YQAT")</f>
        <v>0014P00003YSp7YQAT</v>
      </c>
      <c r="B667" s="2" t="s">
        <v>2001</v>
      </c>
      <c r="C667" s="2" t="s">
        <v>1684</v>
      </c>
      <c r="D667" s="2" t="s">
        <v>2</v>
      </c>
      <c r="E667" s="2">
        <v>39</v>
      </c>
      <c r="F667" s="2">
        <v>1</v>
      </c>
      <c r="G667" s="2">
        <v>0</v>
      </c>
      <c r="H667" s="2">
        <v>0</v>
      </c>
      <c r="I667" s="2">
        <v>0</v>
      </c>
      <c r="J667" s="2" t="s">
        <v>1779</v>
      </c>
      <c r="K667" s="2">
        <v>20</v>
      </c>
      <c r="L667" s="2">
        <v>15</v>
      </c>
      <c r="M667" s="2">
        <v>5</v>
      </c>
      <c r="N667" s="2">
        <v>0</v>
      </c>
      <c r="O667" s="2">
        <v>0</v>
      </c>
      <c r="P667" s="2">
        <v>0</v>
      </c>
      <c r="Q667" s="2" t="s">
        <v>2002</v>
      </c>
      <c r="R667" s="2" t="s">
        <v>2003</v>
      </c>
      <c r="S667" s="4">
        <v>44837</v>
      </c>
    </row>
    <row r="668" spans="1:19" ht="12.5" x14ac:dyDescent="0.25">
      <c r="A668" s="14" t="str">
        <f>HYPERLINK("https://gerandofalcoes.my.salesforce.com/0014X00002VKCq2QAH", "0014X00002VKCq2QAH")</f>
        <v>0014X00002VKCq2QAH</v>
      </c>
      <c r="B668" s="2" t="s">
        <v>2390</v>
      </c>
      <c r="C668" s="2" t="s">
        <v>423</v>
      </c>
      <c r="D668" s="2" t="s">
        <v>2</v>
      </c>
      <c r="E668" s="2">
        <v>25.27</v>
      </c>
      <c r="F668" s="2">
        <v>0</v>
      </c>
      <c r="G668" s="2">
        <v>0</v>
      </c>
      <c r="H668" s="2">
        <v>0</v>
      </c>
      <c r="I668" s="2">
        <v>312</v>
      </c>
      <c r="J668" s="2" t="s">
        <v>1779</v>
      </c>
      <c r="K668" s="2">
        <v>30</v>
      </c>
      <c r="L668" s="2">
        <v>15</v>
      </c>
      <c r="M668" s="2">
        <v>0</v>
      </c>
      <c r="N668" s="2">
        <v>0</v>
      </c>
      <c r="O668" s="2">
        <v>0</v>
      </c>
      <c r="P668" s="2">
        <v>15</v>
      </c>
      <c r="Q668" s="2" t="s">
        <v>2391</v>
      </c>
      <c r="R668" s="2" t="s">
        <v>2392</v>
      </c>
      <c r="S668" s="4">
        <v>44837</v>
      </c>
    </row>
    <row r="669" spans="1:19" ht="12.5" x14ac:dyDescent="0.25">
      <c r="A669" s="14" t="str">
        <f>HYPERLINK("https://gerandofalcoes.my.salesforce.com/0014X00002VKCsGQAX", "0014X00002VKCsGQAX")</f>
        <v>0014X00002VKCsGQAX</v>
      </c>
      <c r="B669" s="2" t="s">
        <v>2657</v>
      </c>
      <c r="C669" s="2" t="s">
        <v>423</v>
      </c>
      <c r="D669" s="2" t="s">
        <v>2</v>
      </c>
      <c r="E669" s="2">
        <v>17</v>
      </c>
      <c r="F669" s="2">
        <v>0</v>
      </c>
      <c r="G669" s="2">
        <v>2</v>
      </c>
      <c r="H669" s="2">
        <v>50</v>
      </c>
      <c r="I669" s="2">
        <v>100</v>
      </c>
      <c r="J669" s="2" t="s">
        <v>1779</v>
      </c>
      <c r="K669" s="2">
        <v>31</v>
      </c>
      <c r="L669" s="2">
        <v>10</v>
      </c>
      <c r="M669" s="2">
        <v>0</v>
      </c>
      <c r="N669" s="2">
        <v>6</v>
      </c>
      <c r="O669" s="2">
        <v>5</v>
      </c>
      <c r="P669" s="2">
        <v>10</v>
      </c>
      <c r="Q669" s="2" t="s">
        <v>2658</v>
      </c>
      <c r="R669" s="2" t="s">
        <v>2659</v>
      </c>
      <c r="S669" s="4">
        <v>44837</v>
      </c>
    </row>
    <row r="670" spans="1:19" ht="12.5" x14ac:dyDescent="0.25">
      <c r="A670" s="14" t="str">
        <f>HYPERLINK("https://gerandofalcoes.my.salesforce.com/0014X00002VKCuhQAH", "0014X00002VKCuhQAH")</f>
        <v>0014X00002VKCuhQAH</v>
      </c>
      <c r="B670" s="2" t="s">
        <v>2423</v>
      </c>
      <c r="C670" s="2" t="s">
        <v>1800</v>
      </c>
      <c r="D670" s="2" t="s">
        <v>2</v>
      </c>
      <c r="E670" s="2">
        <v>25</v>
      </c>
      <c r="F670" s="2">
        <v>0</v>
      </c>
      <c r="G670" s="2">
        <v>3</v>
      </c>
      <c r="H670" s="2">
        <v>12000</v>
      </c>
      <c r="I670" s="2">
        <v>0</v>
      </c>
      <c r="J670" s="2" t="s">
        <v>1779</v>
      </c>
      <c r="K670" s="2">
        <v>28</v>
      </c>
      <c r="L670" s="2">
        <v>15</v>
      </c>
      <c r="M670" s="2">
        <v>0</v>
      </c>
      <c r="N670" s="2">
        <v>8</v>
      </c>
      <c r="O670" s="2">
        <v>5</v>
      </c>
      <c r="P670" s="2">
        <v>0</v>
      </c>
      <c r="Q670" s="2" t="s">
        <v>2424</v>
      </c>
      <c r="R670" s="2" t="s">
        <v>2424</v>
      </c>
      <c r="S670" s="4">
        <v>44837</v>
      </c>
    </row>
    <row r="671" spans="1:19" ht="12.5" x14ac:dyDescent="0.25">
      <c r="A671" s="14" t="str">
        <f>HYPERLINK("https://gerandofalcoes.my.salesforce.com/0014X00002VKCp6QAH", "0014X00002VKCp6QAH")</f>
        <v>0014X00002VKCp6QAH</v>
      </c>
      <c r="B671" s="2" t="s">
        <v>2256</v>
      </c>
      <c r="C671" s="2" t="s">
        <v>423</v>
      </c>
      <c r="D671" s="2" t="s">
        <v>2</v>
      </c>
      <c r="E671" s="2">
        <v>30.75</v>
      </c>
      <c r="F671" s="2">
        <v>0</v>
      </c>
      <c r="G671" s="2">
        <v>1</v>
      </c>
      <c r="H671" s="2">
        <v>155845</v>
      </c>
      <c r="I671" s="2">
        <v>50</v>
      </c>
      <c r="J671" s="2" t="s">
        <v>1779</v>
      </c>
      <c r="K671" s="2">
        <v>39</v>
      </c>
      <c r="L671" s="2">
        <v>15</v>
      </c>
      <c r="M671" s="2">
        <v>0</v>
      </c>
      <c r="N671" s="2">
        <v>4</v>
      </c>
      <c r="O671" s="2">
        <v>15</v>
      </c>
      <c r="P671" s="2">
        <v>5</v>
      </c>
      <c r="Q671" s="2" t="s">
        <v>2257</v>
      </c>
      <c r="R671" s="2" t="s">
        <v>2258</v>
      </c>
      <c r="S671" s="4">
        <v>44837</v>
      </c>
    </row>
    <row r="672" spans="1:19" ht="12.5" x14ac:dyDescent="0.25">
      <c r="A672" s="14" t="str">
        <f>HYPERLINK("https://gerandofalcoes.my.salesforce.com/0014X00002VKCuLQAX", "0014X00002VKCuLQAX")</f>
        <v>0014X00002VKCuLQAX</v>
      </c>
      <c r="B672" s="2" t="s">
        <v>2950</v>
      </c>
      <c r="C672" s="2" t="s">
        <v>423</v>
      </c>
      <c r="D672" s="2" t="s">
        <v>2</v>
      </c>
      <c r="E672" s="2">
        <v>24</v>
      </c>
      <c r="F672" s="2">
        <v>0</v>
      </c>
      <c r="G672" s="2">
        <v>2</v>
      </c>
      <c r="H672" s="2">
        <v>5000</v>
      </c>
      <c r="I672" s="2">
        <v>130</v>
      </c>
      <c r="J672" s="2" t="s">
        <v>1779</v>
      </c>
      <c r="K672" s="2">
        <v>31</v>
      </c>
      <c r="L672" s="2">
        <v>10</v>
      </c>
      <c r="M672" s="2">
        <v>0</v>
      </c>
      <c r="N672" s="2">
        <v>6</v>
      </c>
      <c r="O672" s="2">
        <v>5</v>
      </c>
      <c r="P672" s="2">
        <v>10</v>
      </c>
      <c r="Q672" s="2" t="s">
        <v>2951</v>
      </c>
      <c r="R672" s="2" t="s">
        <v>2951</v>
      </c>
      <c r="S672" s="4">
        <v>44837</v>
      </c>
    </row>
    <row r="673" spans="1:19" ht="12.5" x14ac:dyDescent="0.25">
      <c r="A673" s="14" t="str">
        <f>HYPERLINK("https://gerandofalcoes.my.salesforce.com/0014X00002VKCpFQAX", "0014X00002VKCpFQAX")</f>
        <v>0014X00002VKCpFQAX</v>
      </c>
      <c r="B673" s="2" t="s">
        <v>2757</v>
      </c>
      <c r="C673" s="2" t="s">
        <v>423</v>
      </c>
      <c r="D673" s="2" t="s">
        <v>2</v>
      </c>
      <c r="E673" s="2">
        <v>14</v>
      </c>
      <c r="F673" s="2">
        <v>0</v>
      </c>
      <c r="G673" s="2">
        <v>2</v>
      </c>
      <c r="H673" s="2">
        <v>5000</v>
      </c>
      <c r="I673" s="2">
        <v>30</v>
      </c>
      <c r="J673" s="2" t="s">
        <v>1779</v>
      </c>
      <c r="K673" s="2">
        <v>26</v>
      </c>
      <c r="L673" s="2">
        <v>10</v>
      </c>
      <c r="M673" s="2">
        <v>0</v>
      </c>
      <c r="N673" s="2">
        <v>6</v>
      </c>
      <c r="O673" s="2">
        <v>5</v>
      </c>
      <c r="P673" s="2">
        <v>5</v>
      </c>
      <c r="Q673" s="2" t="s">
        <v>2758</v>
      </c>
      <c r="R673" s="2" t="s">
        <v>2758</v>
      </c>
      <c r="S673" s="4">
        <v>44837</v>
      </c>
    </row>
    <row r="674" spans="1:19" ht="12.5" x14ac:dyDescent="0.25">
      <c r="A674" s="14" t="str">
        <f>HYPERLINK("https://gerandofalcoes.my.salesforce.com/0014X00002VKCt0QAH", "0014X00002VKCt0QAH")</f>
        <v>0014X00002VKCt0QAH</v>
      </c>
      <c r="B674" s="2" t="s">
        <v>1975</v>
      </c>
      <c r="C674" s="2" t="s">
        <v>423</v>
      </c>
      <c r="D674" s="2" t="s">
        <v>2</v>
      </c>
      <c r="E674" s="2">
        <v>53</v>
      </c>
      <c r="F674" s="2">
        <v>0</v>
      </c>
      <c r="G674" s="2">
        <v>4</v>
      </c>
      <c r="H674" s="2">
        <v>124243</v>
      </c>
      <c r="I674" s="2">
        <v>50</v>
      </c>
      <c r="J674" s="2" t="s">
        <v>1671</v>
      </c>
      <c r="K674" s="2">
        <v>50</v>
      </c>
      <c r="L674" s="2">
        <v>20</v>
      </c>
      <c r="M674" s="2">
        <v>0</v>
      </c>
      <c r="N674" s="2">
        <v>10</v>
      </c>
      <c r="O674" s="2">
        <v>15</v>
      </c>
      <c r="P674" s="2">
        <v>5</v>
      </c>
      <c r="Q674" s="2" t="s">
        <v>1976</v>
      </c>
      <c r="R674" s="2" t="s">
        <v>1976</v>
      </c>
      <c r="S674" s="4">
        <v>44837</v>
      </c>
    </row>
    <row r="675" spans="1:19" ht="12.5" x14ac:dyDescent="0.25">
      <c r="A675" s="14" t="str">
        <f>HYPERLINK("https://gerandofalcoes.my.salesforce.com/0014X00002VKCv4QAH", "0014X00002VKCv4QAH")</f>
        <v>0014X00002VKCv4QAH</v>
      </c>
      <c r="B675" s="2" t="s">
        <v>1788</v>
      </c>
      <c r="C675" s="2" t="s">
        <v>1800</v>
      </c>
      <c r="D675" s="2" t="s">
        <v>2</v>
      </c>
      <c r="E675" s="2">
        <v>56</v>
      </c>
      <c r="F675" s="2">
        <v>1</v>
      </c>
      <c r="G675" s="2">
        <v>2</v>
      </c>
      <c r="H675" s="2">
        <v>63500</v>
      </c>
      <c r="I675" s="2">
        <v>74</v>
      </c>
      <c r="J675" s="2" t="s">
        <v>1671</v>
      </c>
      <c r="K675" s="2">
        <v>46</v>
      </c>
      <c r="L675" s="2">
        <v>20</v>
      </c>
      <c r="M675" s="2">
        <v>5</v>
      </c>
      <c r="N675" s="2">
        <v>6</v>
      </c>
      <c r="O675" s="2">
        <v>10</v>
      </c>
      <c r="P675" s="2">
        <v>5</v>
      </c>
      <c r="Q675" s="2" t="s">
        <v>1789</v>
      </c>
      <c r="R675" s="2" t="s">
        <v>1790</v>
      </c>
      <c r="S675" s="4">
        <v>44837</v>
      </c>
    </row>
    <row r="676" spans="1:19" ht="12.5" x14ac:dyDescent="0.25">
      <c r="A676" s="14" t="str">
        <f>HYPERLINK("https://gerandofalcoes.my.salesforce.com/0014X00002VKCpzQAH", "0014X00002VKCpzQAH")</f>
        <v>0014X00002VKCpzQAH</v>
      </c>
      <c r="B676" s="2" t="s">
        <v>2346</v>
      </c>
      <c r="C676" s="2" t="s">
        <v>423</v>
      </c>
      <c r="D676" s="2" t="s">
        <v>2</v>
      </c>
      <c r="E676" s="2">
        <v>27.04</v>
      </c>
      <c r="F676" s="2">
        <v>0</v>
      </c>
      <c r="G676" s="2">
        <v>2</v>
      </c>
      <c r="H676" s="2">
        <v>38315</v>
      </c>
      <c r="I676" s="2">
        <v>120</v>
      </c>
      <c r="J676" s="2" t="s">
        <v>1671</v>
      </c>
      <c r="K676" s="2">
        <v>41</v>
      </c>
      <c r="L676" s="2">
        <v>15</v>
      </c>
      <c r="M676" s="2">
        <v>0</v>
      </c>
      <c r="N676" s="2">
        <v>6</v>
      </c>
      <c r="O676" s="2">
        <v>10</v>
      </c>
      <c r="P676" s="2">
        <v>10</v>
      </c>
      <c r="Q676" s="2" t="s">
        <v>2347</v>
      </c>
      <c r="R676" s="2" t="s">
        <v>2348</v>
      </c>
      <c r="S676" s="4">
        <v>44837</v>
      </c>
    </row>
    <row r="677" spans="1:19" ht="12.5" x14ac:dyDescent="0.25">
      <c r="A677" s="14" t="str">
        <f>HYPERLINK("https://gerandofalcoes.my.salesforce.com/0014X00002VKCtuQAH", "0014X00002VKCtuQAH")</f>
        <v>0014X00002VKCtuQAH</v>
      </c>
      <c r="B677" s="2" t="s">
        <v>2768</v>
      </c>
      <c r="C677" s="2" t="s">
        <v>423</v>
      </c>
      <c r="D677" s="2" t="s">
        <v>2</v>
      </c>
      <c r="E677" s="2">
        <v>38</v>
      </c>
      <c r="F677" s="2">
        <v>0</v>
      </c>
      <c r="G677" s="2">
        <v>2</v>
      </c>
      <c r="H677" s="2">
        <v>254344</v>
      </c>
      <c r="I677" s="2">
        <v>0</v>
      </c>
      <c r="J677" s="2" t="s">
        <v>1779</v>
      </c>
      <c r="K677" s="2">
        <v>36</v>
      </c>
      <c r="L677" s="2">
        <v>15</v>
      </c>
      <c r="M677" s="2">
        <v>0</v>
      </c>
      <c r="N677" s="2">
        <v>6</v>
      </c>
      <c r="O677" s="2">
        <v>15</v>
      </c>
      <c r="P677" s="2">
        <v>0</v>
      </c>
      <c r="Q677" s="2" t="s">
        <v>2769</v>
      </c>
      <c r="R677" s="2" t="s">
        <v>2770</v>
      </c>
      <c r="S677" s="4">
        <v>44837</v>
      </c>
    </row>
    <row r="678" spans="1:19" ht="12.5" x14ac:dyDescent="0.25">
      <c r="A678" s="14" t="str">
        <f>HYPERLINK("https://gerandofalcoes.my.salesforce.com/0014X00002VKCr8QAH", "0014X00002VKCr8QAH")</f>
        <v>0014X00002VKCr8QAH</v>
      </c>
      <c r="B678" s="2" t="s">
        <v>2830</v>
      </c>
      <c r="C678" s="2" t="s">
        <v>423</v>
      </c>
      <c r="D678" s="2" t="s">
        <v>2</v>
      </c>
      <c r="E678" s="2">
        <v>60</v>
      </c>
      <c r="F678" s="2">
        <v>9</v>
      </c>
      <c r="G678" s="2">
        <v>3</v>
      </c>
      <c r="H678" s="2">
        <v>56000000</v>
      </c>
      <c r="I678" s="2">
        <v>0</v>
      </c>
      <c r="J678" s="2" t="s">
        <v>1671</v>
      </c>
      <c r="K678" s="2">
        <v>63</v>
      </c>
      <c r="L678" s="2">
        <v>20</v>
      </c>
      <c r="M678" s="2">
        <v>10</v>
      </c>
      <c r="N678" s="2">
        <v>8</v>
      </c>
      <c r="O678" s="2">
        <v>25</v>
      </c>
      <c r="P678" s="2">
        <v>0</v>
      </c>
      <c r="Q678" s="2" t="s">
        <v>2831</v>
      </c>
      <c r="R678" s="2" t="s">
        <v>2831</v>
      </c>
      <c r="S678" s="4">
        <v>44837</v>
      </c>
    </row>
    <row r="679" spans="1:19" ht="12.5" x14ac:dyDescent="0.25">
      <c r="A679" s="14" t="str">
        <f>HYPERLINK("https://gerandofalcoes.my.salesforce.com/0014X00002VKCr4QAH", "0014X00002VKCr4QAH")</f>
        <v>0014X00002VKCr4QAH</v>
      </c>
      <c r="B679" s="2" t="s">
        <v>2026</v>
      </c>
      <c r="C679" s="2" t="s">
        <v>423</v>
      </c>
      <c r="D679" s="2" t="s">
        <v>2</v>
      </c>
      <c r="E679" s="2">
        <v>47</v>
      </c>
      <c r="F679" s="2">
        <v>12</v>
      </c>
      <c r="G679" s="2">
        <v>5</v>
      </c>
      <c r="H679" s="2">
        <v>414092</v>
      </c>
      <c r="I679" s="2">
        <v>327</v>
      </c>
      <c r="J679" s="2" t="s">
        <v>1650</v>
      </c>
      <c r="K679" s="2">
        <v>72</v>
      </c>
      <c r="L679" s="2">
        <v>15</v>
      </c>
      <c r="M679" s="2">
        <v>12</v>
      </c>
      <c r="N679" s="2">
        <v>10</v>
      </c>
      <c r="O679" s="2">
        <v>20</v>
      </c>
      <c r="P679" s="2">
        <v>15</v>
      </c>
      <c r="Q679" s="2" t="s">
        <v>2027</v>
      </c>
      <c r="R679" s="2" t="s">
        <v>2027</v>
      </c>
      <c r="S679" s="4">
        <v>44837</v>
      </c>
    </row>
    <row r="680" spans="1:19" ht="12.5" x14ac:dyDescent="0.25">
      <c r="A680" s="14" t="str">
        <f>HYPERLINK("https://gerandofalcoes.my.salesforce.com/0014X00002VKCrlQAH", "0014X00002VKCrlQAH")</f>
        <v>0014X00002VKCrlQAH</v>
      </c>
      <c r="B680" s="2" t="s">
        <v>1850</v>
      </c>
      <c r="C680" s="2" t="s">
        <v>423</v>
      </c>
      <c r="D680" s="2" t="s">
        <v>2</v>
      </c>
      <c r="E680" s="2">
        <v>48</v>
      </c>
      <c r="F680" s="2">
        <v>0</v>
      </c>
      <c r="G680" s="2">
        <v>2</v>
      </c>
      <c r="H680" s="2">
        <v>30000</v>
      </c>
      <c r="I680" s="2">
        <v>30</v>
      </c>
      <c r="J680" s="2" t="s">
        <v>1779</v>
      </c>
      <c r="K680" s="2">
        <v>36</v>
      </c>
      <c r="L680" s="2">
        <v>15</v>
      </c>
      <c r="M680" s="2">
        <v>0</v>
      </c>
      <c r="N680" s="2">
        <v>6</v>
      </c>
      <c r="O680" s="2">
        <v>10</v>
      </c>
      <c r="P680" s="2">
        <v>5</v>
      </c>
      <c r="Q680" s="2" t="s">
        <v>1851</v>
      </c>
      <c r="R680" s="2" t="s">
        <v>1851</v>
      </c>
      <c r="S680" s="4">
        <v>44837</v>
      </c>
    </row>
    <row r="681" spans="1:19" ht="12.5" x14ac:dyDescent="0.25">
      <c r="A681" s="14" t="str">
        <f>HYPERLINK("https://gerandofalcoes.my.salesforce.com/0014X00002VKCpbQAH", "0014X00002VKCpbQAH")</f>
        <v>0014X00002VKCpbQAH</v>
      </c>
      <c r="B681" s="2" t="s">
        <v>1913</v>
      </c>
      <c r="C681" s="2" t="s">
        <v>423</v>
      </c>
      <c r="D681" s="2" t="s">
        <v>2</v>
      </c>
      <c r="E681" s="2">
        <v>43</v>
      </c>
      <c r="F681" s="2">
        <v>20</v>
      </c>
      <c r="G681" s="2">
        <v>3</v>
      </c>
      <c r="H681" s="2">
        <v>2000</v>
      </c>
      <c r="I681" s="2">
        <v>25</v>
      </c>
      <c r="J681" s="2" t="s">
        <v>1671</v>
      </c>
      <c r="K681" s="2">
        <v>45</v>
      </c>
      <c r="L681" s="2">
        <v>15</v>
      </c>
      <c r="M681" s="2">
        <v>12</v>
      </c>
      <c r="N681" s="2">
        <v>8</v>
      </c>
      <c r="O681" s="2">
        <v>5</v>
      </c>
      <c r="P681" s="2">
        <v>5</v>
      </c>
      <c r="Q681" s="2" t="s">
        <v>1914</v>
      </c>
      <c r="R681" s="2" t="s">
        <v>1914</v>
      </c>
      <c r="S681" s="4">
        <v>44837</v>
      </c>
    </row>
    <row r="682" spans="1:19" ht="12.5" x14ac:dyDescent="0.25">
      <c r="A682" s="14" t="str">
        <f>HYPERLINK("https://gerandofalcoes.my.salesforce.com/0014X00002VKCpYQAX", "0014X00002VKCpYQAX")</f>
        <v>0014X00002VKCpYQAX</v>
      </c>
      <c r="B682" s="2" t="s">
        <v>2328</v>
      </c>
      <c r="C682" s="2" t="s">
        <v>423</v>
      </c>
      <c r="D682" s="2" t="s">
        <v>2</v>
      </c>
      <c r="E682" s="2">
        <v>28</v>
      </c>
      <c r="F682" s="2">
        <v>0</v>
      </c>
      <c r="G682" s="2">
        <v>5</v>
      </c>
      <c r="H682" s="2">
        <v>4000</v>
      </c>
      <c r="I682" s="2">
        <v>30</v>
      </c>
      <c r="J682" s="2" t="s">
        <v>1779</v>
      </c>
      <c r="K682" s="2">
        <v>35</v>
      </c>
      <c r="L682" s="2">
        <v>15</v>
      </c>
      <c r="M682" s="2">
        <v>0</v>
      </c>
      <c r="N682" s="2">
        <v>10</v>
      </c>
      <c r="O682" s="2">
        <v>5</v>
      </c>
      <c r="P682" s="2">
        <v>5</v>
      </c>
      <c r="Q682" s="2" t="s">
        <v>2329</v>
      </c>
      <c r="R682" s="2" t="s">
        <v>2329</v>
      </c>
      <c r="S682" s="4">
        <v>44837</v>
      </c>
    </row>
    <row r="683" spans="1:19" ht="12.5" x14ac:dyDescent="0.25">
      <c r="A683" s="14" t="str">
        <f>HYPERLINK("https://gerandofalcoes.my.salesforce.com/0014X00002VKCuwQAH", "0014X00002VKCuwQAH")</f>
        <v>0014X00002VKCuwQAH</v>
      </c>
      <c r="B683" s="2" t="s">
        <v>2378</v>
      </c>
      <c r="C683" s="2" t="s">
        <v>1800</v>
      </c>
      <c r="D683" s="2" t="s">
        <v>2</v>
      </c>
      <c r="E683" s="2">
        <v>26</v>
      </c>
      <c r="F683" s="2">
        <v>0</v>
      </c>
      <c r="G683" s="2">
        <v>2</v>
      </c>
      <c r="H683" s="2">
        <v>50000</v>
      </c>
      <c r="I683" s="2">
        <v>0</v>
      </c>
      <c r="J683" s="2" t="s">
        <v>1779</v>
      </c>
      <c r="K683" s="2">
        <v>31</v>
      </c>
      <c r="L683" s="2">
        <v>15</v>
      </c>
      <c r="M683" s="2">
        <v>0</v>
      </c>
      <c r="N683" s="2">
        <v>6</v>
      </c>
      <c r="O683" s="2">
        <v>10</v>
      </c>
      <c r="P683" s="2">
        <v>0</v>
      </c>
      <c r="Q683" s="2" t="s">
        <v>2379</v>
      </c>
      <c r="R683" s="2" t="s">
        <v>2380</v>
      </c>
      <c r="S683" s="4">
        <v>44837</v>
      </c>
    </row>
    <row r="684" spans="1:19" ht="12.5" x14ac:dyDescent="0.25">
      <c r="A684" s="14" t="str">
        <f>HYPERLINK("https://gerandofalcoes.my.salesforce.com/0014X00002VKCugQAH", "0014X00002VKCugQAH")</f>
        <v>0014X00002VKCugQAH</v>
      </c>
      <c r="B684" s="2" t="s">
        <v>2935</v>
      </c>
      <c r="C684" s="2" t="s">
        <v>1800</v>
      </c>
      <c r="D684" s="2" t="s">
        <v>2</v>
      </c>
      <c r="E684" s="2">
        <v>6</v>
      </c>
      <c r="F684" s="2">
        <v>0</v>
      </c>
      <c r="G684" s="2">
        <v>2</v>
      </c>
      <c r="H684" s="2">
        <v>3000</v>
      </c>
      <c r="I684" s="2">
        <v>0</v>
      </c>
      <c r="J684" s="2" t="s">
        <v>1779</v>
      </c>
      <c r="K684" s="2">
        <v>21</v>
      </c>
      <c r="L684" s="2">
        <v>10</v>
      </c>
      <c r="M684" s="2">
        <v>0</v>
      </c>
      <c r="N684" s="2">
        <v>6</v>
      </c>
      <c r="O684" s="2">
        <v>5</v>
      </c>
      <c r="P684" s="2">
        <v>0</v>
      </c>
      <c r="Q684" s="2" t="s">
        <v>2936</v>
      </c>
      <c r="R684" s="2" t="s">
        <v>2937</v>
      </c>
      <c r="S684" s="4">
        <v>44837</v>
      </c>
    </row>
    <row r="685" spans="1:19" ht="12.5" x14ac:dyDescent="0.25">
      <c r="A685" s="14" t="str">
        <f>HYPERLINK("https://gerandofalcoes.my.salesforce.com/0014X00002VKCtDQAX", "0014X00002VKCtDQAX")</f>
        <v>0014X00002VKCtDQAX</v>
      </c>
      <c r="B685" s="2" t="s">
        <v>2955</v>
      </c>
      <c r="C685" s="2" t="s">
        <v>423</v>
      </c>
      <c r="D685" s="2" t="s">
        <v>2</v>
      </c>
      <c r="E685" s="2">
        <v>13</v>
      </c>
      <c r="F685" s="2">
        <v>5</v>
      </c>
      <c r="G685" s="2">
        <v>0</v>
      </c>
      <c r="H685" s="2">
        <v>0</v>
      </c>
      <c r="I685" s="2">
        <v>50</v>
      </c>
      <c r="J685" s="2" t="s">
        <v>1779</v>
      </c>
      <c r="K685" s="2">
        <v>20</v>
      </c>
      <c r="L685" s="2">
        <v>10</v>
      </c>
      <c r="M685" s="2">
        <v>5</v>
      </c>
      <c r="N685" s="2">
        <v>0</v>
      </c>
      <c r="O685" s="2">
        <v>0</v>
      </c>
      <c r="P685" s="2">
        <v>5</v>
      </c>
      <c r="Q685" s="2" t="s">
        <v>2956</v>
      </c>
      <c r="R685" s="2" t="s">
        <v>2957</v>
      </c>
      <c r="S685" s="4">
        <v>44837</v>
      </c>
    </row>
    <row r="686" spans="1:19" ht="12.5" x14ac:dyDescent="0.25">
      <c r="A686" s="14" t="str">
        <f>HYPERLINK("https://gerandofalcoes.my.salesforce.com/0014X00002VKCuVQAX", "0014X00002VKCuVQAX")</f>
        <v>0014X00002VKCuVQAX</v>
      </c>
      <c r="B686" s="2" t="s">
        <v>2675</v>
      </c>
      <c r="C686" s="2" t="s">
        <v>1800</v>
      </c>
      <c r="D686" s="2" t="s">
        <v>2</v>
      </c>
      <c r="E686" s="2">
        <v>17</v>
      </c>
      <c r="F686" s="2">
        <v>0</v>
      </c>
      <c r="G686" s="2">
        <v>2</v>
      </c>
      <c r="H686" s="2">
        <v>12000</v>
      </c>
      <c r="I686" s="2">
        <v>0</v>
      </c>
      <c r="J686" s="2" t="s">
        <v>1779</v>
      </c>
      <c r="K686" s="2">
        <v>21</v>
      </c>
      <c r="L686" s="2">
        <v>10</v>
      </c>
      <c r="M686" s="2">
        <v>0</v>
      </c>
      <c r="N686" s="2">
        <v>6</v>
      </c>
      <c r="O686" s="2">
        <v>5</v>
      </c>
      <c r="P686" s="2">
        <v>0</v>
      </c>
      <c r="Q686" s="2" t="s">
        <v>2676</v>
      </c>
      <c r="R686" s="2" t="s">
        <v>2676</v>
      </c>
      <c r="S686" s="4">
        <v>44837</v>
      </c>
    </row>
    <row r="687" spans="1:19" ht="12.5" x14ac:dyDescent="0.25">
      <c r="A687" s="14" t="str">
        <f>HYPERLINK("https://gerandofalcoes.my.salesforce.com/0014X00002VKCsoQAH", "0014X00002VKCsoQAH")</f>
        <v>0014X00002VKCsoQAH</v>
      </c>
      <c r="B687" s="2" t="s">
        <v>1885</v>
      </c>
      <c r="C687" s="2" t="s">
        <v>1800</v>
      </c>
      <c r="D687" s="2" t="s">
        <v>2</v>
      </c>
      <c r="E687" s="2">
        <v>44</v>
      </c>
      <c r="F687" s="2">
        <v>0</v>
      </c>
      <c r="G687" s="2">
        <v>5</v>
      </c>
      <c r="H687" s="2">
        <v>35000</v>
      </c>
      <c r="I687" s="2">
        <v>240</v>
      </c>
      <c r="J687" s="2" t="s">
        <v>1671</v>
      </c>
      <c r="K687" s="2">
        <v>47</v>
      </c>
      <c r="L687" s="2">
        <v>15</v>
      </c>
      <c r="M687" s="2">
        <v>0</v>
      </c>
      <c r="N687" s="2">
        <v>10</v>
      </c>
      <c r="O687" s="2">
        <v>10</v>
      </c>
      <c r="P687" s="2">
        <v>12</v>
      </c>
      <c r="Q687" s="2" t="s">
        <v>1886</v>
      </c>
      <c r="R687" s="2" t="s">
        <v>1886</v>
      </c>
      <c r="S687" s="4">
        <v>44837</v>
      </c>
    </row>
    <row r="688" spans="1:19" ht="12.5" x14ac:dyDescent="0.25">
      <c r="A688" s="14" t="str">
        <f>HYPERLINK("https://gerandofalcoes.my.salesforce.com/0014X00002VKCqzQAH", "0014X00002VKCqzQAH")</f>
        <v>0014X00002VKCqzQAH</v>
      </c>
      <c r="B688" s="2" t="s">
        <v>2490</v>
      </c>
      <c r="C688" s="2" t="s">
        <v>1800</v>
      </c>
      <c r="D688" s="2" t="s">
        <v>2</v>
      </c>
      <c r="E688" s="2">
        <v>22</v>
      </c>
      <c r="F688" s="2">
        <v>0</v>
      </c>
      <c r="G688" s="2">
        <v>3</v>
      </c>
      <c r="H688" s="2">
        <v>3000</v>
      </c>
      <c r="I688" s="2">
        <v>0</v>
      </c>
      <c r="J688" s="2" t="s">
        <v>1779</v>
      </c>
      <c r="K688" s="2">
        <v>23</v>
      </c>
      <c r="L688" s="2">
        <v>10</v>
      </c>
      <c r="M688" s="2">
        <v>0</v>
      </c>
      <c r="N688" s="2">
        <v>8</v>
      </c>
      <c r="O688" s="2">
        <v>5</v>
      </c>
      <c r="P688" s="2">
        <v>0</v>
      </c>
      <c r="Q688" s="2" t="s">
        <v>2491</v>
      </c>
      <c r="R688" s="2" t="s">
        <v>2491</v>
      </c>
      <c r="S688" s="4">
        <v>44837</v>
      </c>
    </row>
    <row r="689" spans="1:19" ht="12.5" x14ac:dyDescent="0.25">
      <c r="A689" s="14" t="str">
        <f>HYPERLINK("https://gerandofalcoes.my.salesforce.com/0014X00002VKCtAQAX", "0014X00002VKCtAQAX")</f>
        <v>0014X00002VKCtAQAX</v>
      </c>
      <c r="B689" s="2" t="s">
        <v>2267</v>
      </c>
      <c r="C689" s="2" t="s">
        <v>1800</v>
      </c>
      <c r="D689" s="2" t="s">
        <v>2</v>
      </c>
      <c r="E689" s="2">
        <v>30</v>
      </c>
      <c r="F689" s="2">
        <v>0</v>
      </c>
      <c r="G689" s="2">
        <v>3</v>
      </c>
      <c r="H689" s="2">
        <v>12000</v>
      </c>
      <c r="I689" s="2">
        <v>140</v>
      </c>
      <c r="J689" s="2" t="s">
        <v>1779</v>
      </c>
      <c r="K689" s="2">
        <v>38</v>
      </c>
      <c r="L689" s="2">
        <v>15</v>
      </c>
      <c r="M689" s="2">
        <v>0</v>
      </c>
      <c r="N689" s="2">
        <v>8</v>
      </c>
      <c r="O689" s="2">
        <v>5</v>
      </c>
      <c r="P689" s="2">
        <v>10</v>
      </c>
      <c r="Q689" s="2" t="s">
        <v>2268</v>
      </c>
      <c r="R689" s="2" t="s">
        <v>2269</v>
      </c>
      <c r="S689" s="4">
        <v>44837</v>
      </c>
    </row>
    <row r="690" spans="1:19" ht="12.5" x14ac:dyDescent="0.25">
      <c r="A690" s="14" t="str">
        <f>HYPERLINK("https://gerandofalcoes.my.salesforce.com/0014P00003YSp8eQAD", "0014P00003YSp8eQAD")</f>
        <v>0014P00003YSp8eQAD</v>
      </c>
      <c r="B690" s="2" t="s">
        <v>2309</v>
      </c>
      <c r="C690" s="2" t="s">
        <v>1800</v>
      </c>
      <c r="D690" s="2" t="s">
        <v>2</v>
      </c>
      <c r="E690" s="2">
        <v>29</v>
      </c>
      <c r="F690" s="2">
        <v>0</v>
      </c>
      <c r="G690" s="2">
        <v>3</v>
      </c>
      <c r="H690" s="2">
        <v>350000</v>
      </c>
      <c r="I690" s="2">
        <v>0</v>
      </c>
      <c r="J690" s="2" t="s">
        <v>1671</v>
      </c>
      <c r="K690" s="2">
        <v>43</v>
      </c>
      <c r="L690" s="2">
        <v>15</v>
      </c>
      <c r="M690" s="2">
        <v>0</v>
      </c>
      <c r="N690" s="2">
        <v>8</v>
      </c>
      <c r="O690" s="2">
        <v>20</v>
      </c>
      <c r="P690" s="2">
        <v>0</v>
      </c>
      <c r="Q690" s="2" t="s">
        <v>2310</v>
      </c>
      <c r="R690" s="2" t="s">
        <v>2311</v>
      </c>
      <c r="S690" s="4">
        <v>44837</v>
      </c>
    </row>
    <row r="691" spans="1:19" ht="12.5" x14ac:dyDescent="0.25">
      <c r="A691" s="14" t="str">
        <f>HYPERLINK("https://gerandofalcoes.my.salesforce.com/0014P00003YSp8fQAD", "0014P00003YSp8fQAD")</f>
        <v>0014P00003YSp8fQAD</v>
      </c>
      <c r="B691" s="2" t="s">
        <v>1713</v>
      </c>
      <c r="C691" s="2" t="s">
        <v>423</v>
      </c>
      <c r="D691" s="2" t="s">
        <v>2</v>
      </c>
      <c r="E691" s="2">
        <v>38</v>
      </c>
      <c r="F691" s="2">
        <v>7</v>
      </c>
      <c r="G691" s="2">
        <v>5</v>
      </c>
      <c r="H691" s="2">
        <v>19685789</v>
      </c>
      <c r="I691" s="2">
        <v>215</v>
      </c>
      <c r="J691" s="2" t="s">
        <v>1650</v>
      </c>
      <c r="K691" s="2">
        <v>72</v>
      </c>
      <c r="L691" s="2">
        <v>15</v>
      </c>
      <c r="M691" s="2">
        <v>10</v>
      </c>
      <c r="N691" s="2">
        <v>10</v>
      </c>
      <c r="O691" s="2">
        <v>25</v>
      </c>
      <c r="P691" s="2">
        <v>12</v>
      </c>
      <c r="Q691" s="2" t="s">
        <v>1714</v>
      </c>
      <c r="R691" s="2" t="s">
        <v>1715</v>
      </c>
      <c r="S691" s="4">
        <v>44837</v>
      </c>
    </row>
    <row r="692" spans="1:19" ht="12.5" x14ac:dyDescent="0.25">
      <c r="A692" s="14" t="str">
        <f>HYPERLINK("https://gerandofalcoes.my.salesforce.com/0014P00003YSp8gQAD", "0014P00003YSp8gQAD")</f>
        <v>0014P00003YSp8gQAD</v>
      </c>
      <c r="B692" s="2" t="s">
        <v>2635</v>
      </c>
      <c r="C692" s="2" t="s">
        <v>1800</v>
      </c>
      <c r="D692" s="2" t="s">
        <v>2</v>
      </c>
      <c r="E692" s="2">
        <v>18</v>
      </c>
      <c r="F692" s="2">
        <v>4</v>
      </c>
      <c r="G692" s="2">
        <v>2</v>
      </c>
      <c r="H692" s="2">
        <v>2000</v>
      </c>
      <c r="I692" s="2">
        <v>70</v>
      </c>
      <c r="J692" s="2" t="s">
        <v>1779</v>
      </c>
      <c r="K692" s="2">
        <v>31</v>
      </c>
      <c r="L692" s="2">
        <v>10</v>
      </c>
      <c r="M692" s="2">
        <v>5</v>
      </c>
      <c r="N692" s="2">
        <v>6</v>
      </c>
      <c r="O692" s="2">
        <v>5</v>
      </c>
      <c r="P692" s="2">
        <v>5</v>
      </c>
      <c r="Q692" s="2" t="s">
        <v>2636</v>
      </c>
      <c r="R692" s="2" t="s">
        <v>2636</v>
      </c>
      <c r="S692" s="4">
        <v>44837</v>
      </c>
    </row>
    <row r="693" spans="1:19" ht="12.5" x14ac:dyDescent="0.25">
      <c r="A693" s="14" t="str">
        <f>HYPERLINK("https://gerandofalcoes.my.salesforce.com/0014P00003YSp8hQAD", "0014P00003YSp8hQAD")</f>
        <v>0014P00003YSp8hQAD</v>
      </c>
      <c r="B693" s="2" t="s">
        <v>2842</v>
      </c>
      <c r="C693" s="2" t="s">
        <v>423</v>
      </c>
      <c r="D693" s="2" t="s">
        <v>2</v>
      </c>
      <c r="E693" s="2">
        <v>11</v>
      </c>
      <c r="F693" s="2">
        <v>10</v>
      </c>
      <c r="G693" s="2">
        <v>2</v>
      </c>
      <c r="H693" s="2">
        <v>90000</v>
      </c>
      <c r="I693" s="2">
        <v>0</v>
      </c>
      <c r="J693" s="2" t="s">
        <v>1779</v>
      </c>
      <c r="K693" s="2">
        <v>36</v>
      </c>
      <c r="L693" s="2">
        <v>10</v>
      </c>
      <c r="M693" s="2">
        <v>10</v>
      </c>
      <c r="N693" s="2">
        <v>6</v>
      </c>
      <c r="O693" s="2">
        <v>10</v>
      </c>
      <c r="P693" s="2">
        <v>0</v>
      </c>
      <c r="Q693" s="2" t="s">
        <v>2843</v>
      </c>
      <c r="R693" s="2" t="s">
        <v>2843</v>
      </c>
      <c r="S693" s="4">
        <v>44837</v>
      </c>
    </row>
    <row r="694" spans="1:19" ht="12.5" x14ac:dyDescent="0.25">
      <c r="A694" s="14" t="str">
        <f>HYPERLINK("https://gerandofalcoes.my.salesforce.com/0014P00003YSp8iQAD", "0014P00003YSp8iQAD")</f>
        <v>0014P00003YSp8iQAD</v>
      </c>
      <c r="B694" s="2" t="s">
        <v>1770</v>
      </c>
      <c r="C694" s="2" t="s">
        <v>423</v>
      </c>
      <c r="D694" s="2" t="s">
        <v>2</v>
      </c>
      <c r="E694" s="2">
        <v>41</v>
      </c>
      <c r="F694" s="2">
        <v>5</v>
      </c>
      <c r="G694" s="2">
        <v>5</v>
      </c>
      <c r="H694" s="2">
        <v>1386827</v>
      </c>
      <c r="I694" s="2">
        <v>40</v>
      </c>
      <c r="J694" s="2" t="s">
        <v>1671</v>
      </c>
      <c r="K694" s="2">
        <v>60</v>
      </c>
      <c r="L694" s="2">
        <v>15</v>
      </c>
      <c r="M694" s="2">
        <v>5</v>
      </c>
      <c r="N694" s="2">
        <v>10</v>
      </c>
      <c r="O694" s="2">
        <v>25</v>
      </c>
      <c r="P694" s="2">
        <v>5</v>
      </c>
      <c r="Q694" s="2" t="s">
        <v>1771</v>
      </c>
      <c r="R694" s="2" t="s">
        <v>1772</v>
      </c>
      <c r="S694" s="4">
        <v>44837</v>
      </c>
    </row>
    <row r="695" spans="1:19" ht="12.5" x14ac:dyDescent="0.25">
      <c r="A695" s="14" t="str">
        <f>HYPERLINK("https://gerandofalcoes.my.salesforce.com/0014P00003YSp8kQAD", "0014P00003YSp8kQAD")</f>
        <v>0014P00003YSp8kQAD</v>
      </c>
      <c r="B695" s="2" t="s">
        <v>2295</v>
      </c>
      <c r="C695" s="2" t="s">
        <v>1800</v>
      </c>
      <c r="D695" s="2" t="s">
        <v>2</v>
      </c>
      <c r="E695" s="2">
        <v>29</v>
      </c>
      <c r="F695" s="2">
        <v>2</v>
      </c>
      <c r="G695" s="2">
        <v>2</v>
      </c>
      <c r="H695" s="2">
        <v>12000</v>
      </c>
      <c r="I695" s="2">
        <v>300</v>
      </c>
      <c r="J695" s="2" t="s">
        <v>1671</v>
      </c>
      <c r="K695" s="2">
        <v>46</v>
      </c>
      <c r="L695" s="2">
        <v>15</v>
      </c>
      <c r="M695" s="2">
        <v>5</v>
      </c>
      <c r="N695" s="2">
        <v>6</v>
      </c>
      <c r="O695" s="2">
        <v>5</v>
      </c>
      <c r="P695" s="2">
        <v>15</v>
      </c>
      <c r="Q695" s="2" t="s">
        <v>2296</v>
      </c>
      <c r="R695" s="2" t="s">
        <v>2297</v>
      </c>
      <c r="S695" s="4">
        <v>44837</v>
      </c>
    </row>
    <row r="696" spans="1:19" ht="12.5" x14ac:dyDescent="0.25">
      <c r="A696" s="14" t="str">
        <f>HYPERLINK("https://gerandofalcoes.my.salesforce.com/0014P00003YSp8lQAD", "0014P00003YSp8lQAD")</f>
        <v>0014P00003YSp8lQAD</v>
      </c>
      <c r="B696" s="2" t="s">
        <v>2775</v>
      </c>
      <c r="C696" s="2" t="s">
        <v>423</v>
      </c>
      <c r="D696" s="2" t="s">
        <v>2</v>
      </c>
      <c r="E696" s="2">
        <v>33</v>
      </c>
      <c r="F696" s="2">
        <v>0</v>
      </c>
      <c r="G696" s="2">
        <v>5</v>
      </c>
      <c r="H696" s="2">
        <v>111840</v>
      </c>
      <c r="I696" s="2">
        <v>30</v>
      </c>
      <c r="J696" s="2" t="s">
        <v>1671</v>
      </c>
      <c r="K696" s="2">
        <v>45</v>
      </c>
      <c r="L696" s="2">
        <v>15</v>
      </c>
      <c r="M696" s="2">
        <v>0</v>
      </c>
      <c r="N696" s="2">
        <v>10</v>
      </c>
      <c r="O696" s="2">
        <v>15</v>
      </c>
      <c r="P696" s="2">
        <v>5</v>
      </c>
      <c r="Q696" s="2" t="s">
        <v>2776</v>
      </c>
      <c r="R696" s="2" t="s">
        <v>2776</v>
      </c>
      <c r="S696" s="4">
        <v>44837</v>
      </c>
    </row>
    <row r="697" spans="1:19" ht="12.5" x14ac:dyDescent="0.25">
      <c r="A697" s="14" t="str">
        <f>HYPERLINK("https://gerandofalcoes.my.salesforce.com/0014P00003YSp8mQAD", "0014P00003YSp8mQAD")</f>
        <v>0014P00003YSp8mQAD</v>
      </c>
      <c r="B697" s="2" t="s">
        <v>2599</v>
      </c>
      <c r="C697" s="2" t="s">
        <v>1800</v>
      </c>
      <c r="D697" s="2" t="s">
        <v>2</v>
      </c>
      <c r="E697" s="2">
        <v>19</v>
      </c>
      <c r="F697" s="2">
        <v>11</v>
      </c>
      <c r="G697" s="2">
        <v>4</v>
      </c>
      <c r="H697" s="2">
        <v>700</v>
      </c>
      <c r="I697" s="2">
        <v>160</v>
      </c>
      <c r="J697" s="2" t="s">
        <v>1671</v>
      </c>
      <c r="K697" s="2">
        <v>49</v>
      </c>
      <c r="L697" s="2">
        <v>10</v>
      </c>
      <c r="M697" s="2">
        <v>12</v>
      </c>
      <c r="N697" s="2">
        <v>10</v>
      </c>
      <c r="O697" s="2">
        <v>5</v>
      </c>
      <c r="P697" s="2">
        <v>12</v>
      </c>
      <c r="Q697" s="2" t="s">
        <v>2600</v>
      </c>
      <c r="R697" s="2" t="s">
        <v>2600</v>
      </c>
      <c r="S697" s="4">
        <v>44837</v>
      </c>
    </row>
    <row r="698" spans="1:19" ht="12.5" x14ac:dyDescent="0.25">
      <c r="A698" s="14" t="str">
        <f>HYPERLINK("https://gerandofalcoes.my.salesforce.com/0014P00003YSp8nQAD", "0014P00003YSp8nQAD")</f>
        <v>0014P00003YSp8nQAD</v>
      </c>
      <c r="B698" s="2" t="s">
        <v>2028</v>
      </c>
      <c r="C698" s="2" t="s">
        <v>423</v>
      </c>
      <c r="D698" s="2" t="s">
        <v>2</v>
      </c>
      <c r="E698" s="2">
        <v>37.01</v>
      </c>
      <c r="F698" s="2">
        <v>6</v>
      </c>
      <c r="G698" s="2">
        <v>2</v>
      </c>
      <c r="H698" s="2">
        <v>7307750</v>
      </c>
      <c r="I698" s="2">
        <v>55</v>
      </c>
      <c r="J698" s="2" t="s">
        <v>1671</v>
      </c>
      <c r="K698" s="2">
        <v>61</v>
      </c>
      <c r="L698" s="2">
        <v>15</v>
      </c>
      <c r="M698" s="2">
        <v>10</v>
      </c>
      <c r="N698" s="2">
        <v>6</v>
      </c>
      <c r="O698" s="2">
        <v>25</v>
      </c>
      <c r="P698" s="2">
        <v>5</v>
      </c>
      <c r="Q698" s="2" t="s">
        <v>2029</v>
      </c>
      <c r="R698" s="2" t="s">
        <v>2030</v>
      </c>
      <c r="S698" s="4">
        <v>44837</v>
      </c>
    </row>
    <row r="699" spans="1:19" ht="12.5" x14ac:dyDescent="0.25">
      <c r="A699" s="14" t="str">
        <f>HYPERLINK("https://gerandofalcoes.my.salesforce.com/0014P00003YSp8pQAD", "0014P00003YSp8pQAD")</f>
        <v>0014P00003YSp8pQAD</v>
      </c>
      <c r="B699" s="2" t="s">
        <v>2644</v>
      </c>
      <c r="C699" s="2" t="s">
        <v>1800</v>
      </c>
      <c r="D699" s="2" t="s">
        <v>2</v>
      </c>
      <c r="E699" s="2">
        <v>18</v>
      </c>
      <c r="F699" s="2">
        <v>0</v>
      </c>
      <c r="G699" s="2">
        <v>2</v>
      </c>
      <c r="H699" s="2">
        <v>3000</v>
      </c>
      <c r="I699" s="2">
        <v>0</v>
      </c>
      <c r="J699" s="2" t="s">
        <v>1779</v>
      </c>
      <c r="K699" s="2">
        <v>21</v>
      </c>
      <c r="L699" s="2">
        <v>10</v>
      </c>
      <c r="M699" s="2">
        <v>0</v>
      </c>
      <c r="N699" s="2">
        <v>6</v>
      </c>
      <c r="O699" s="2">
        <v>5</v>
      </c>
      <c r="P699" s="2">
        <v>0</v>
      </c>
      <c r="Q699" s="2" t="s">
        <v>2645</v>
      </c>
      <c r="R699" s="2" t="s">
        <v>2646</v>
      </c>
      <c r="S699" s="4">
        <v>44837</v>
      </c>
    </row>
    <row r="700" spans="1:19" ht="12.5" x14ac:dyDescent="0.25">
      <c r="A700" s="14" t="str">
        <f>HYPERLINK("https://gerandofalcoes.my.salesforce.com/0014P00003YSp8qQAD", "0014P00003YSp8qQAD")</f>
        <v>0014P00003YSp8qQAD</v>
      </c>
      <c r="B700" s="2" t="s">
        <v>2890</v>
      </c>
      <c r="C700" s="2" t="s">
        <v>423</v>
      </c>
      <c r="D700" s="2" t="s">
        <v>2</v>
      </c>
      <c r="E700" s="2">
        <v>33</v>
      </c>
      <c r="F700" s="2">
        <v>0</v>
      </c>
      <c r="G700" s="2">
        <v>1</v>
      </c>
      <c r="H700" s="2">
        <v>1500</v>
      </c>
      <c r="I700" s="2">
        <v>80</v>
      </c>
      <c r="J700" s="2" t="s">
        <v>1779</v>
      </c>
      <c r="K700" s="2">
        <v>34</v>
      </c>
      <c r="L700" s="2">
        <v>15</v>
      </c>
      <c r="M700" s="2">
        <v>0</v>
      </c>
      <c r="N700" s="2">
        <v>4</v>
      </c>
      <c r="O700" s="2">
        <v>5</v>
      </c>
      <c r="P700" s="2">
        <v>10</v>
      </c>
      <c r="Q700" s="2" t="s">
        <v>2891</v>
      </c>
      <c r="R700" s="2" t="s">
        <v>2892</v>
      </c>
      <c r="S700" s="4">
        <v>44837</v>
      </c>
    </row>
    <row r="701" spans="1:19" ht="12.5" x14ac:dyDescent="0.25">
      <c r="A701" s="14" t="str">
        <f>HYPERLINK("https://gerandofalcoes.my.salesforce.com/0014P00003YSp8rQAD", "0014P00003YSp8rQAD")</f>
        <v>0014P00003YSp8rQAD</v>
      </c>
      <c r="B701" s="2" t="s">
        <v>2365</v>
      </c>
      <c r="C701" s="2" t="s">
        <v>423</v>
      </c>
      <c r="D701" s="2" t="s">
        <v>2</v>
      </c>
      <c r="E701" s="2">
        <v>36</v>
      </c>
      <c r="F701" s="2">
        <v>2</v>
      </c>
      <c r="G701" s="2">
        <v>3</v>
      </c>
      <c r="H701" s="2">
        <v>60000</v>
      </c>
      <c r="I701" s="2">
        <v>120</v>
      </c>
      <c r="J701" s="2" t="s">
        <v>1671</v>
      </c>
      <c r="K701" s="2">
        <v>48</v>
      </c>
      <c r="L701" s="2">
        <v>15</v>
      </c>
      <c r="M701" s="2">
        <v>5</v>
      </c>
      <c r="N701" s="2">
        <v>8</v>
      </c>
      <c r="O701" s="2">
        <v>10</v>
      </c>
      <c r="P701" s="2">
        <v>10</v>
      </c>
      <c r="Q701" s="2" t="s">
        <v>2366</v>
      </c>
      <c r="R701" s="2" t="s">
        <v>2367</v>
      </c>
      <c r="S701" s="4">
        <v>44837</v>
      </c>
    </row>
    <row r="702" spans="1:19" ht="12.5" x14ac:dyDescent="0.25">
      <c r="A702" s="14" t="str">
        <f>HYPERLINK("https://gerandofalcoes.my.salesforce.com/0014P00003YSp8tQAD", "0014P00003YSp8tQAD")</f>
        <v>0014P00003YSp8tQAD</v>
      </c>
      <c r="B702" s="2" t="s">
        <v>2622</v>
      </c>
      <c r="C702" s="2" t="s">
        <v>423</v>
      </c>
      <c r="D702" s="2" t="s">
        <v>2</v>
      </c>
      <c r="E702" s="2">
        <v>18.18</v>
      </c>
      <c r="F702" s="2">
        <v>0</v>
      </c>
      <c r="G702" s="2">
        <v>1</v>
      </c>
      <c r="H702" s="2">
        <v>420000</v>
      </c>
      <c r="I702" s="2">
        <v>0</v>
      </c>
      <c r="J702" s="2" t="s">
        <v>1779</v>
      </c>
      <c r="K702" s="2">
        <v>34</v>
      </c>
      <c r="L702" s="2">
        <v>10</v>
      </c>
      <c r="M702" s="2">
        <v>0</v>
      </c>
      <c r="N702" s="2">
        <v>4</v>
      </c>
      <c r="O702" s="2">
        <v>20</v>
      </c>
      <c r="P702" s="2">
        <v>0</v>
      </c>
      <c r="Q702" s="2" t="s">
        <v>2623</v>
      </c>
      <c r="R702" s="2" t="s">
        <v>2624</v>
      </c>
      <c r="S702" s="4">
        <v>44837</v>
      </c>
    </row>
    <row r="703" spans="1:19" ht="12.5" x14ac:dyDescent="0.25">
      <c r="A703" s="14" t="str">
        <f>HYPERLINK("https://gerandofalcoes.my.salesforce.com/0014P00003YSp8uQAD", "0014P00003YSp8uQAD")</f>
        <v>0014P00003YSp8uQAD</v>
      </c>
      <c r="B703" s="2" t="s">
        <v>2161</v>
      </c>
      <c r="C703" s="2" t="s">
        <v>1800</v>
      </c>
      <c r="D703" s="2" t="s">
        <v>2</v>
      </c>
      <c r="E703" s="2">
        <v>33</v>
      </c>
      <c r="F703" s="2">
        <v>38</v>
      </c>
      <c r="G703" s="2">
        <v>3</v>
      </c>
      <c r="H703" s="2">
        <v>1726721</v>
      </c>
      <c r="I703" s="2">
        <v>1200</v>
      </c>
      <c r="J703" s="2" t="s">
        <v>1654</v>
      </c>
      <c r="K703" s="2">
        <v>83</v>
      </c>
      <c r="L703" s="2">
        <v>15</v>
      </c>
      <c r="M703" s="2">
        <v>15</v>
      </c>
      <c r="N703" s="2">
        <v>8</v>
      </c>
      <c r="O703" s="2">
        <v>25</v>
      </c>
      <c r="P703" s="2">
        <v>20</v>
      </c>
      <c r="Q703" s="2" t="s">
        <v>2162</v>
      </c>
      <c r="R703" s="2" t="s">
        <v>2163</v>
      </c>
      <c r="S703" s="4">
        <v>44837</v>
      </c>
    </row>
    <row r="704" spans="1:19" ht="12.5" x14ac:dyDescent="0.25">
      <c r="A704" s="14" t="str">
        <f>HYPERLINK("https://gerandofalcoes.my.salesforce.com/0014X00002VKCsBQAX", "0014X00002VKCsBQAX")</f>
        <v>0014X00002VKCsBQAX</v>
      </c>
      <c r="B704" s="2" t="s">
        <v>2740</v>
      </c>
      <c r="C704" s="2" t="s">
        <v>423</v>
      </c>
      <c r="D704" s="2" t="s">
        <v>2</v>
      </c>
      <c r="E704" s="2">
        <v>14.54</v>
      </c>
      <c r="F704" s="2">
        <v>1</v>
      </c>
      <c r="G704" s="2">
        <v>1</v>
      </c>
      <c r="H704" s="2">
        <v>68583</v>
      </c>
      <c r="I704" s="2">
        <v>120</v>
      </c>
      <c r="J704" s="2" t="s">
        <v>1779</v>
      </c>
      <c r="K704" s="2">
        <v>39</v>
      </c>
      <c r="L704" s="2">
        <v>10</v>
      </c>
      <c r="M704" s="2">
        <v>5</v>
      </c>
      <c r="N704" s="2">
        <v>4</v>
      </c>
      <c r="O704" s="2">
        <v>10</v>
      </c>
      <c r="P704" s="2">
        <v>10</v>
      </c>
      <c r="Q704" s="2" t="s">
        <v>2741</v>
      </c>
      <c r="R704" s="2" t="s">
        <v>2742</v>
      </c>
      <c r="S704" s="4">
        <v>44837</v>
      </c>
    </row>
    <row r="705" spans="1:19" ht="12.5" x14ac:dyDescent="0.25">
      <c r="A705" s="14" t="str">
        <f>HYPERLINK("https://gerandofalcoes.my.salesforce.com/0014X00002VKCslQAH", "0014X00002VKCslQAH")</f>
        <v>0014X00002VKCslQAH</v>
      </c>
      <c r="B705" s="2" t="s">
        <v>2667</v>
      </c>
      <c r="C705" s="2" t="s">
        <v>1800</v>
      </c>
      <c r="D705" s="2" t="s">
        <v>2</v>
      </c>
      <c r="E705" s="2">
        <v>17</v>
      </c>
      <c r="F705" s="2">
        <v>0</v>
      </c>
      <c r="G705" s="2">
        <v>2</v>
      </c>
      <c r="H705" s="2">
        <v>18000</v>
      </c>
      <c r="I705" s="2">
        <v>10</v>
      </c>
      <c r="J705" s="2" t="s">
        <v>1779</v>
      </c>
      <c r="K705" s="2">
        <v>26</v>
      </c>
      <c r="L705" s="2">
        <v>10</v>
      </c>
      <c r="M705" s="2">
        <v>0</v>
      </c>
      <c r="N705" s="2">
        <v>6</v>
      </c>
      <c r="O705" s="2">
        <v>5</v>
      </c>
      <c r="P705" s="2">
        <v>5</v>
      </c>
      <c r="Q705" s="2" t="s">
        <v>2668</v>
      </c>
      <c r="R705" s="2" t="s">
        <v>2669</v>
      </c>
      <c r="S705" s="4">
        <v>44837</v>
      </c>
    </row>
    <row r="706" spans="1:19" ht="12.5" x14ac:dyDescent="0.25">
      <c r="A706" s="14" t="str">
        <f>HYPERLINK("https://gerandofalcoes.my.salesforce.com/0014P00003YSp8vQAD", "0014P00003YSp8vQAD")</f>
        <v>0014P00003YSp8vQAD</v>
      </c>
      <c r="B706" s="2" t="s">
        <v>2019</v>
      </c>
      <c r="C706" s="2" t="s">
        <v>1800</v>
      </c>
      <c r="D706" s="2" t="s">
        <v>2</v>
      </c>
      <c r="E706" s="2">
        <v>38</v>
      </c>
      <c r="F706" s="2">
        <v>2</v>
      </c>
      <c r="G706" s="2">
        <v>2</v>
      </c>
      <c r="H706" s="2">
        <v>5000</v>
      </c>
      <c r="I706" s="2">
        <v>0</v>
      </c>
      <c r="J706" s="2" t="s">
        <v>1779</v>
      </c>
      <c r="K706" s="2">
        <v>31</v>
      </c>
      <c r="L706" s="2">
        <v>15</v>
      </c>
      <c r="M706" s="2">
        <v>5</v>
      </c>
      <c r="N706" s="2">
        <v>6</v>
      </c>
      <c r="O706" s="2">
        <v>5</v>
      </c>
      <c r="P706" s="2">
        <v>0</v>
      </c>
      <c r="Q706" s="2" t="s">
        <v>2020</v>
      </c>
      <c r="R706" s="2" t="s">
        <v>2021</v>
      </c>
      <c r="S706" s="4">
        <v>44837</v>
      </c>
    </row>
    <row r="707" spans="1:19" ht="12.5" x14ac:dyDescent="0.25">
      <c r="A707" s="14" t="str">
        <f>HYPERLINK("https://gerandofalcoes.my.salesforce.com/0014P00003YSp8wQAD", "0014P00003YSp8wQAD")</f>
        <v>0014P00003YSp8wQAD</v>
      </c>
      <c r="B707" s="2" t="s">
        <v>2686</v>
      </c>
      <c r="C707" s="2" t="s">
        <v>423</v>
      </c>
      <c r="D707" s="2" t="s">
        <v>2</v>
      </c>
      <c r="E707" s="2">
        <v>16</v>
      </c>
      <c r="F707" s="2">
        <v>8</v>
      </c>
      <c r="G707" s="2">
        <v>2</v>
      </c>
      <c r="H707" s="2">
        <v>55000</v>
      </c>
      <c r="I707" s="2">
        <v>3000</v>
      </c>
      <c r="J707" s="2" t="s">
        <v>1671</v>
      </c>
      <c r="K707" s="2">
        <v>56</v>
      </c>
      <c r="L707" s="2">
        <v>10</v>
      </c>
      <c r="M707" s="2">
        <v>10</v>
      </c>
      <c r="N707" s="2">
        <v>6</v>
      </c>
      <c r="O707" s="2">
        <v>10</v>
      </c>
      <c r="P707" s="2">
        <v>20</v>
      </c>
      <c r="Q707" s="2" t="s">
        <v>2687</v>
      </c>
      <c r="R707" s="2" t="s">
        <v>2688</v>
      </c>
      <c r="S707" s="4">
        <v>44837</v>
      </c>
    </row>
    <row r="708" spans="1:19" ht="12.5" x14ac:dyDescent="0.25">
      <c r="A708" s="14" t="str">
        <f>HYPERLINK("https://gerandofalcoes.my.salesforce.com/0014P00003YSp8yQAD", "0014P00003YSp8yQAD")</f>
        <v>0014P00003YSp8yQAD</v>
      </c>
      <c r="B708" s="2" t="s">
        <v>2536</v>
      </c>
      <c r="C708" s="2" t="s">
        <v>1800</v>
      </c>
      <c r="D708" s="2" t="s">
        <v>2</v>
      </c>
      <c r="E708" s="2">
        <v>21</v>
      </c>
      <c r="F708" s="2">
        <v>2</v>
      </c>
      <c r="G708" s="2">
        <v>2</v>
      </c>
      <c r="H708" s="2">
        <v>0</v>
      </c>
      <c r="I708" s="2">
        <v>0</v>
      </c>
      <c r="J708" s="2" t="s">
        <v>1779</v>
      </c>
      <c r="K708" s="2">
        <v>21</v>
      </c>
      <c r="L708" s="2">
        <v>10</v>
      </c>
      <c r="M708" s="2">
        <v>5</v>
      </c>
      <c r="N708" s="2">
        <v>6</v>
      </c>
      <c r="O708" s="2">
        <v>0</v>
      </c>
      <c r="P708" s="2">
        <v>0</v>
      </c>
      <c r="Q708" s="2" t="s">
        <v>2537</v>
      </c>
      <c r="R708" s="2" t="s">
        <v>2538</v>
      </c>
      <c r="S708" s="4">
        <v>44837</v>
      </c>
    </row>
    <row r="709" spans="1:19" ht="12.5" x14ac:dyDescent="0.25">
      <c r="A709" s="14" t="str">
        <f>HYPERLINK("https://gerandofalcoes.my.salesforce.com/0014P00003YSp8zQAD", "0014P00003YSp8zQAD")</f>
        <v>0014P00003YSp8zQAD</v>
      </c>
      <c r="B709" s="2" t="s">
        <v>2087</v>
      </c>
      <c r="C709" s="2" t="s">
        <v>423</v>
      </c>
      <c r="D709" s="2" t="s">
        <v>2</v>
      </c>
      <c r="E709" s="2">
        <v>29</v>
      </c>
      <c r="F709" s="2">
        <v>10</v>
      </c>
      <c r="G709" s="2">
        <v>2</v>
      </c>
      <c r="H709" s="2">
        <v>600000</v>
      </c>
      <c r="I709" s="2">
        <v>115</v>
      </c>
      <c r="J709" s="2" t="s">
        <v>1671</v>
      </c>
      <c r="K709" s="2">
        <v>61</v>
      </c>
      <c r="L709" s="2">
        <v>15</v>
      </c>
      <c r="M709" s="2">
        <v>10</v>
      </c>
      <c r="N709" s="2">
        <v>6</v>
      </c>
      <c r="O709" s="2">
        <v>20</v>
      </c>
      <c r="P709" s="2">
        <v>10</v>
      </c>
      <c r="Q709" s="2" t="s">
        <v>2088</v>
      </c>
      <c r="R709" s="2" t="s">
        <v>2089</v>
      </c>
      <c r="S709" s="4">
        <v>44837</v>
      </c>
    </row>
    <row r="710" spans="1:19" ht="12.5" x14ac:dyDescent="0.25">
      <c r="A710" s="14" t="str">
        <f>HYPERLINK("https://gerandofalcoes.my.salesforce.com/0014P00003YSp90QAD", "0014P00003YSp90QAD")</f>
        <v>0014P00003YSp90QAD</v>
      </c>
      <c r="B710" s="2" t="s">
        <v>2175</v>
      </c>
      <c r="C710" s="2" t="s">
        <v>1800</v>
      </c>
      <c r="D710" s="2" t="s">
        <v>2</v>
      </c>
      <c r="E710" s="2">
        <v>33</v>
      </c>
      <c r="F710" s="2">
        <v>41</v>
      </c>
      <c r="G710" s="2">
        <v>4</v>
      </c>
      <c r="H710" s="2">
        <v>0</v>
      </c>
      <c r="I710" s="2">
        <v>98</v>
      </c>
      <c r="J710" s="2" t="s">
        <v>1671</v>
      </c>
      <c r="K710" s="2">
        <v>50</v>
      </c>
      <c r="L710" s="2">
        <v>15</v>
      </c>
      <c r="M710" s="2">
        <v>15</v>
      </c>
      <c r="N710" s="2">
        <v>10</v>
      </c>
      <c r="O710" s="2">
        <v>0</v>
      </c>
      <c r="P710" s="2">
        <v>10</v>
      </c>
      <c r="Q710" s="2" t="s">
        <v>2176</v>
      </c>
      <c r="R710" s="2" t="s">
        <v>2177</v>
      </c>
      <c r="S710" s="4">
        <v>44837</v>
      </c>
    </row>
    <row r="711" spans="1:19" ht="12.5" x14ac:dyDescent="0.25">
      <c r="A711" s="14" t="str">
        <f>HYPERLINK("https://gerandofalcoes.my.salesforce.com/0014P00003YSp91QAD", "0014P00003YSp91QAD")</f>
        <v>0014P00003YSp91QAD</v>
      </c>
      <c r="B711" s="2" t="s">
        <v>2697</v>
      </c>
      <c r="C711" s="2" t="s">
        <v>423</v>
      </c>
      <c r="D711" s="2" t="s">
        <v>2</v>
      </c>
      <c r="E711" s="2">
        <v>19</v>
      </c>
      <c r="F711" s="2">
        <v>8</v>
      </c>
      <c r="G711" s="2">
        <v>1</v>
      </c>
      <c r="H711" s="2">
        <v>24000</v>
      </c>
      <c r="I711" s="2">
        <v>200</v>
      </c>
      <c r="J711" s="2" t="s">
        <v>1671</v>
      </c>
      <c r="K711" s="2">
        <v>41</v>
      </c>
      <c r="L711" s="2">
        <v>10</v>
      </c>
      <c r="M711" s="2">
        <v>10</v>
      </c>
      <c r="N711" s="2">
        <v>4</v>
      </c>
      <c r="O711" s="2">
        <v>5</v>
      </c>
      <c r="P711" s="2">
        <v>12</v>
      </c>
      <c r="Q711" s="2" t="s">
        <v>2698</v>
      </c>
      <c r="R711" s="2" t="s">
        <v>2699</v>
      </c>
      <c r="S711" s="4">
        <v>44837</v>
      </c>
    </row>
    <row r="712" spans="1:19" ht="12.5" x14ac:dyDescent="0.25">
      <c r="A712" s="14" t="str">
        <f>HYPERLINK("https://gerandofalcoes.my.salesforce.com/0014P00003YSp92QAD", "0014P00003YSp92QAD")</f>
        <v>0014P00003YSp92QAD</v>
      </c>
      <c r="B712" s="2" t="s">
        <v>1892</v>
      </c>
      <c r="C712" s="2" t="s">
        <v>423</v>
      </c>
      <c r="D712" s="2" t="s">
        <v>2</v>
      </c>
      <c r="E712" s="2">
        <v>37</v>
      </c>
      <c r="F712" s="2">
        <v>2</v>
      </c>
      <c r="G712" s="2">
        <v>3</v>
      </c>
      <c r="H712" s="2">
        <v>109472</v>
      </c>
      <c r="I712" s="2">
        <v>40</v>
      </c>
      <c r="J712" s="2" t="s">
        <v>1671</v>
      </c>
      <c r="K712" s="2">
        <v>48</v>
      </c>
      <c r="L712" s="2">
        <v>15</v>
      </c>
      <c r="M712" s="2">
        <v>5</v>
      </c>
      <c r="N712" s="2">
        <v>8</v>
      </c>
      <c r="O712" s="2">
        <v>15</v>
      </c>
      <c r="P712" s="2">
        <v>5</v>
      </c>
      <c r="Q712" s="2" t="s">
        <v>1893</v>
      </c>
      <c r="R712" s="2" t="s">
        <v>1894</v>
      </c>
      <c r="S712" s="4">
        <v>44837</v>
      </c>
    </row>
    <row r="713" spans="1:19" ht="12.5" x14ac:dyDescent="0.25">
      <c r="A713" s="14" t="str">
        <f>HYPERLINK("https://gerandofalcoes.my.salesforce.com/0014X00002VKCv8QAH", "0014X00002VKCv8QAH")</f>
        <v>0014X00002VKCv8QAH</v>
      </c>
      <c r="B713" s="2" t="s">
        <v>2343</v>
      </c>
      <c r="C713" s="2" t="s">
        <v>423</v>
      </c>
      <c r="D713" s="2" t="s">
        <v>2</v>
      </c>
      <c r="E713" s="2">
        <v>19</v>
      </c>
      <c r="F713" s="2">
        <v>0</v>
      </c>
      <c r="G713" s="2">
        <v>0</v>
      </c>
      <c r="H713" s="2">
        <v>0</v>
      </c>
      <c r="I713" s="2">
        <v>400</v>
      </c>
      <c r="J713" s="2" t="s">
        <v>1779</v>
      </c>
      <c r="K713" s="2">
        <v>25</v>
      </c>
      <c r="L713" s="2">
        <v>10</v>
      </c>
      <c r="M713" s="2">
        <v>0</v>
      </c>
      <c r="N713" s="2">
        <v>0</v>
      </c>
      <c r="O713" s="2">
        <v>0</v>
      </c>
      <c r="P713" s="2">
        <v>15</v>
      </c>
      <c r="Q713" s="2" t="s">
        <v>2344</v>
      </c>
      <c r="R713" s="2" t="s">
        <v>2345</v>
      </c>
      <c r="S713" s="4">
        <v>44837</v>
      </c>
    </row>
    <row r="714" spans="1:19" ht="12.5" x14ac:dyDescent="0.25">
      <c r="A714" s="14" t="str">
        <f>HYPERLINK("https://gerandofalcoes.my.salesforce.com/0014X00002VKCp4QAH", "0014X00002VKCp4QAH")</f>
        <v>0014X00002VKCp4QAH</v>
      </c>
      <c r="B714" s="2" t="s">
        <v>2518</v>
      </c>
      <c r="C714" s="2" t="s">
        <v>1800</v>
      </c>
      <c r="D714" s="2" t="s">
        <v>2</v>
      </c>
      <c r="E714" s="2">
        <v>21</v>
      </c>
      <c r="F714" s="2">
        <v>0</v>
      </c>
      <c r="G714" s="2">
        <v>2</v>
      </c>
      <c r="H714" s="2">
        <v>0</v>
      </c>
      <c r="I714" s="2">
        <v>70</v>
      </c>
      <c r="J714" s="2" t="s">
        <v>1779</v>
      </c>
      <c r="K714" s="2">
        <v>21</v>
      </c>
      <c r="L714" s="2">
        <v>10</v>
      </c>
      <c r="M714" s="2">
        <v>0</v>
      </c>
      <c r="N714" s="2">
        <v>6</v>
      </c>
      <c r="O714" s="2">
        <v>0</v>
      </c>
      <c r="P714" s="2">
        <v>5</v>
      </c>
      <c r="Q714" s="2" t="s">
        <v>2519</v>
      </c>
      <c r="R714" s="2" t="s">
        <v>2520</v>
      </c>
      <c r="S714" s="4">
        <v>44837</v>
      </c>
    </row>
    <row r="715" spans="1:19" ht="12.5" x14ac:dyDescent="0.25">
      <c r="A715" s="14" t="str">
        <f>HYPERLINK("https://gerandofalcoes.my.salesforce.com/0014X00002VKCucQAH", "0014X00002VKCucQAH")</f>
        <v>0014X00002VKCucQAH</v>
      </c>
      <c r="B715" s="2" t="s">
        <v>2944</v>
      </c>
      <c r="C715" s="2" t="s">
        <v>423</v>
      </c>
      <c r="D715" s="2" t="s">
        <v>2</v>
      </c>
      <c r="E715" s="2">
        <v>30</v>
      </c>
      <c r="F715" s="2">
        <v>0</v>
      </c>
      <c r="G715" s="2">
        <v>1</v>
      </c>
      <c r="H715" s="2">
        <v>300</v>
      </c>
      <c r="I715" s="2">
        <v>0</v>
      </c>
      <c r="J715" s="2" t="s">
        <v>1779</v>
      </c>
      <c r="K715" s="2">
        <v>24</v>
      </c>
      <c r="L715" s="2">
        <v>15</v>
      </c>
      <c r="M715" s="2">
        <v>0</v>
      </c>
      <c r="N715" s="2">
        <v>4</v>
      </c>
      <c r="O715" s="2">
        <v>5</v>
      </c>
      <c r="P715" s="2">
        <v>0</v>
      </c>
      <c r="Q715" s="2" t="s">
        <v>2945</v>
      </c>
      <c r="R715" s="2" t="s">
        <v>2946</v>
      </c>
      <c r="S715" s="4">
        <v>44837</v>
      </c>
    </row>
    <row r="716" spans="1:19" ht="12.5" x14ac:dyDescent="0.25">
      <c r="A716" s="14" t="str">
        <f>HYPERLINK("https://gerandofalcoes.my.salesforce.com/0014X00002VKCpQQAX", "0014X00002VKCpQQAX")</f>
        <v>0014X00002VKCpQQAX</v>
      </c>
      <c r="B716" s="2" t="s">
        <v>2004</v>
      </c>
      <c r="C716" s="2" t="s">
        <v>423</v>
      </c>
      <c r="D716" s="2" t="s">
        <v>2</v>
      </c>
      <c r="E716" s="2">
        <v>38.72</v>
      </c>
      <c r="F716" s="2">
        <v>0</v>
      </c>
      <c r="G716" s="2">
        <v>5</v>
      </c>
      <c r="H716" s="2">
        <v>90250</v>
      </c>
      <c r="I716" s="2">
        <v>125</v>
      </c>
      <c r="J716" s="2" t="s">
        <v>1671</v>
      </c>
      <c r="K716" s="2">
        <v>45</v>
      </c>
      <c r="L716" s="2">
        <v>15</v>
      </c>
      <c r="M716" s="2">
        <v>0</v>
      </c>
      <c r="N716" s="2">
        <v>10</v>
      </c>
      <c r="O716" s="2">
        <v>10</v>
      </c>
      <c r="P716" s="2">
        <v>10</v>
      </c>
      <c r="Q716" s="2" t="s">
        <v>2005</v>
      </c>
      <c r="R716" s="2" t="s">
        <v>2006</v>
      </c>
      <c r="S716" s="4">
        <v>44837</v>
      </c>
    </row>
    <row r="717" spans="1:19" ht="12.5" x14ac:dyDescent="0.25">
      <c r="A717" s="14" t="str">
        <f>HYPERLINK("https://gerandofalcoes.my.salesforce.com/0014P00003YSp94QAD", "0014P00003YSp94QAD")</f>
        <v>0014P00003YSp94QAD</v>
      </c>
      <c r="B717" s="2" t="s">
        <v>2131</v>
      </c>
      <c r="C717" s="2" t="s">
        <v>1800</v>
      </c>
      <c r="D717" s="2" t="s">
        <v>2</v>
      </c>
      <c r="E717" s="2">
        <v>34</v>
      </c>
      <c r="F717" s="2">
        <v>0</v>
      </c>
      <c r="G717" s="2">
        <v>2</v>
      </c>
      <c r="H717" s="2">
        <v>25000</v>
      </c>
      <c r="I717" s="2">
        <v>600</v>
      </c>
      <c r="J717" s="2" t="s">
        <v>1671</v>
      </c>
      <c r="K717" s="2">
        <v>51</v>
      </c>
      <c r="L717" s="2">
        <v>15</v>
      </c>
      <c r="M717" s="2">
        <v>0</v>
      </c>
      <c r="N717" s="2">
        <v>6</v>
      </c>
      <c r="O717" s="2">
        <v>10</v>
      </c>
      <c r="P717" s="2">
        <v>20</v>
      </c>
      <c r="Q717" s="2" t="s">
        <v>2132</v>
      </c>
      <c r="R717" s="2" t="s">
        <v>2132</v>
      </c>
      <c r="S717" s="4">
        <v>44837</v>
      </c>
    </row>
    <row r="718" spans="1:19" ht="12.5" x14ac:dyDescent="0.25">
      <c r="A718" s="14" t="str">
        <f>HYPERLINK("https://gerandofalcoes.my.salesforce.com/0014P00003YSp95QAD", "0014P00003YSp95QAD")</f>
        <v>0014P00003YSp95QAD</v>
      </c>
      <c r="B718" s="2" t="s">
        <v>1861</v>
      </c>
      <c r="C718" s="2" t="s">
        <v>423</v>
      </c>
      <c r="D718" s="2" t="s">
        <v>2</v>
      </c>
      <c r="E718" s="2">
        <v>36</v>
      </c>
      <c r="F718" s="2">
        <v>8</v>
      </c>
      <c r="G718" s="2">
        <v>3</v>
      </c>
      <c r="H718" s="2">
        <v>60127</v>
      </c>
      <c r="I718" s="2">
        <v>841</v>
      </c>
      <c r="J718" s="2" t="s">
        <v>1671</v>
      </c>
      <c r="K718" s="2">
        <v>63</v>
      </c>
      <c r="L718" s="2">
        <v>15</v>
      </c>
      <c r="M718" s="2">
        <v>10</v>
      </c>
      <c r="N718" s="2">
        <v>8</v>
      </c>
      <c r="O718" s="2">
        <v>10</v>
      </c>
      <c r="P718" s="2">
        <v>20</v>
      </c>
      <c r="Q718" s="2" t="s">
        <v>1862</v>
      </c>
      <c r="R718" s="2" t="s">
        <v>1863</v>
      </c>
      <c r="S718" s="4">
        <v>44837</v>
      </c>
    </row>
    <row r="719" spans="1:19" ht="12.5" x14ac:dyDescent="0.25">
      <c r="A719" s="14" t="str">
        <f>HYPERLINK("https://gerandofalcoes.my.salesforce.com/0014P00003YSp97QAD", "0014P00003YSp97QAD")</f>
        <v>0014P00003YSp97QAD</v>
      </c>
      <c r="B719" s="2" t="s">
        <v>2013</v>
      </c>
      <c r="C719" s="2" t="s">
        <v>1800</v>
      </c>
      <c r="D719" s="2" t="s">
        <v>2</v>
      </c>
      <c r="E719" s="2">
        <v>38</v>
      </c>
      <c r="F719" s="2">
        <v>5</v>
      </c>
      <c r="G719" s="2">
        <v>3</v>
      </c>
      <c r="H719" s="2">
        <v>900000</v>
      </c>
      <c r="I719" s="2">
        <v>450</v>
      </c>
      <c r="J719" s="2" t="s">
        <v>1650</v>
      </c>
      <c r="K719" s="2">
        <v>73</v>
      </c>
      <c r="L719" s="2">
        <v>15</v>
      </c>
      <c r="M719" s="2">
        <v>5</v>
      </c>
      <c r="N719" s="2">
        <v>8</v>
      </c>
      <c r="O719" s="2">
        <v>25</v>
      </c>
      <c r="P719" s="2">
        <v>20</v>
      </c>
      <c r="Q719" s="2" t="s">
        <v>2014</v>
      </c>
      <c r="R719" s="2" t="s">
        <v>2015</v>
      </c>
      <c r="S719" s="4">
        <v>44837</v>
      </c>
    </row>
    <row r="720" spans="1:19" ht="12.5" x14ac:dyDescent="0.25">
      <c r="A720" s="14" t="str">
        <f>HYPERLINK("https://gerandofalcoes.my.salesforce.com/0014P00003YSp98QAD", "0014P00003YSp98QAD")</f>
        <v>0014P00003YSp98QAD</v>
      </c>
      <c r="B720" s="2" t="s">
        <v>2010</v>
      </c>
      <c r="C720" s="2" t="s">
        <v>423</v>
      </c>
      <c r="D720" s="2" t="s">
        <v>2</v>
      </c>
      <c r="E720" s="2">
        <v>38</v>
      </c>
      <c r="F720" s="2">
        <v>5</v>
      </c>
      <c r="G720" s="2">
        <v>2</v>
      </c>
      <c r="H720" s="2">
        <v>15000</v>
      </c>
      <c r="I720" s="2">
        <v>500</v>
      </c>
      <c r="J720" s="2" t="s">
        <v>1671</v>
      </c>
      <c r="K720" s="2">
        <v>51</v>
      </c>
      <c r="L720" s="2">
        <v>15</v>
      </c>
      <c r="M720" s="2">
        <v>5</v>
      </c>
      <c r="N720" s="2">
        <v>6</v>
      </c>
      <c r="O720" s="2">
        <v>5</v>
      </c>
      <c r="P720" s="2">
        <v>20</v>
      </c>
      <c r="Q720" s="2" t="s">
        <v>2011</v>
      </c>
      <c r="R720" s="2" t="s">
        <v>2012</v>
      </c>
      <c r="S720" s="4">
        <v>44837</v>
      </c>
    </row>
    <row r="721" spans="1:19" ht="12.5" x14ac:dyDescent="0.25">
      <c r="A721" s="14" t="str">
        <f>HYPERLINK("https://gerandofalcoes.my.salesforce.com/0014P00003YSp99QAD", "0014P00003YSp99QAD")</f>
        <v>0014P00003YSp99QAD</v>
      </c>
      <c r="B721" s="2" t="s">
        <v>1695</v>
      </c>
      <c r="C721" s="2" t="s">
        <v>423</v>
      </c>
      <c r="D721" s="2" t="s">
        <v>2</v>
      </c>
      <c r="E721" s="2">
        <v>41</v>
      </c>
      <c r="F721" s="2">
        <v>0</v>
      </c>
      <c r="G721" s="2">
        <v>5</v>
      </c>
      <c r="H721" s="2">
        <v>68450</v>
      </c>
      <c r="I721" s="2">
        <v>204</v>
      </c>
      <c r="J721" s="2" t="s">
        <v>1671</v>
      </c>
      <c r="K721" s="2">
        <v>47</v>
      </c>
      <c r="L721" s="2">
        <v>15</v>
      </c>
      <c r="M721" s="2">
        <v>0</v>
      </c>
      <c r="N721" s="2">
        <v>10</v>
      </c>
      <c r="O721" s="2">
        <v>10</v>
      </c>
      <c r="P721" s="2">
        <v>12</v>
      </c>
      <c r="Q721" s="2" t="s">
        <v>1696</v>
      </c>
      <c r="R721" s="2" t="s">
        <v>1697</v>
      </c>
      <c r="S721" s="4">
        <v>44837</v>
      </c>
    </row>
    <row r="722" spans="1:19" ht="12.5" x14ac:dyDescent="0.25">
      <c r="A722" s="14" t="str">
        <f>HYPERLINK("https://gerandofalcoes.my.salesforce.com/0014P00003YSp9AQAT", "0014P00003YSp9AQAT")</f>
        <v>0014P00003YSp9AQAT</v>
      </c>
      <c r="B722" s="2" t="s">
        <v>1957</v>
      </c>
      <c r="C722" s="2" t="s">
        <v>423</v>
      </c>
      <c r="D722" s="2" t="s">
        <v>2</v>
      </c>
      <c r="E722" s="2">
        <v>40.99</v>
      </c>
      <c r="F722" s="2">
        <v>0</v>
      </c>
      <c r="G722" s="2">
        <v>4</v>
      </c>
      <c r="H722" s="2">
        <v>45453</v>
      </c>
      <c r="I722" s="2">
        <v>355</v>
      </c>
      <c r="J722" s="2" t="s">
        <v>1671</v>
      </c>
      <c r="K722" s="2">
        <v>50</v>
      </c>
      <c r="L722" s="2">
        <v>15</v>
      </c>
      <c r="M722" s="2">
        <v>0</v>
      </c>
      <c r="N722" s="2">
        <v>10</v>
      </c>
      <c r="O722" s="2">
        <v>10</v>
      </c>
      <c r="P722" s="2">
        <v>15</v>
      </c>
      <c r="Q722" s="2" t="s">
        <v>1958</v>
      </c>
      <c r="R722" s="2" t="s">
        <v>1958</v>
      </c>
      <c r="S722" s="4">
        <v>44837</v>
      </c>
    </row>
    <row r="723" spans="1:19" ht="12.5" x14ac:dyDescent="0.25">
      <c r="A723" s="14" t="str">
        <f>HYPERLINK("https://gerandofalcoes.my.salesforce.com/0014P00003YSp9BQAT", "0014P00003YSp9BQAT")</f>
        <v>0014P00003YSp9BQAT</v>
      </c>
      <c r="B723" s="2" t="s">
        <v>2839</v>
      </c>
      <c r="C723" s="2" t="s">
        <v>1800</v>
      </c>
      <c r="D723" s="2" t="s">
        <v>2</v>
      </c>
      <c r="E723" s="2">
        <v>11</v>
      </c>
      <c r="F723" s="2">
        <v>24</v>
      </c>
      <c r="G723" s="2">
        <v>4</v>
      </c>
      <c r="H723" s="2">
        <v>200</v>
      </c>
      <c r="I723" s="2">
        <v>112</v>
      </c>
      <c r="J723" s="2" t="s">
        <v>1671</v>
      </c>
      <c r="K723" s="2">
        <v>47</v>
      </c>
      <c r="L723" s="2">
        <v>10</v>
      </c>
      <c r="M723" s="2">
        <v>12</v>
      </c>
      <c r="N723" s="2">
        <v>10</v>
      </c>
      <c r="O723" s="2">
        <v>5</v>
      </c>
      <c r="P723" s="2">
        <v>10</v>
      </c>
      <c r="Q723" s="2" t="s">
        <v>2840</v>
      </c>
      <c r="R723" s="2" t="s">
        <v>2841</v>
      </c>
      <c r="S723" s="4">
        <v>44837</v>
      </c>
    </row>
    <row r="724" spans="1:19" ht="12.5" x14ac:dyDescent="0.25">
      <c r="A724" s="14" t="str">
        <f>HYPERLINK("https://gerandofalcoes.my.salesforce.com/0014P00003YSp9CQAT", "0014P00003YSp9CQAT")</f>
        <v>0014P00003YSp9CQAT</v>
      </c>
      <c r="B724" s="2" t="s">
        <v>2103</v>
      </c>
      <c r="C724" s="2" t="s">
        <v>1800</v>
      </c>
      <c r="D724" s="2" t="s">
        <v>2</v>
      </c>
      <c r="E724" s="2">
        <v>35</v>
      </c>
      <c r="F724" s="2">
        <v>1</v>
      </c>
      <c r="G724" s="2">
        <v>2</v>
      </c>
      <c r="H724" s="2">
        <v>120000</v>
      </c>
      <c r="I724" s="2">
        <v>100</v>
      </c>
      <c r="J724" s="2" t="s">
        <v>1671</v>
      </c>
      <c r="K724" s="2">
        <v>51</v>
      </c>
      <c r="L724" s="2">
        <v>15</v>
      </c>
      <c r="M724" s="2">
        <v>5</v>
      </c>
      <c r="N724" s="2">
        <v>6</v>
      </c>
      <c r="O724" s="2">
        <v>15</v>
      </c>
      <c r="P724" s="2">
        <v>10</v>
      </c>
      <c r="Q724" s="2" t="s">
        <v>2104</v>
      </c>
      <c r="R724" s="2" t="s">
        <v>2105</v>
      </c>
      <c r="S724" s="4">
        <v>44837</v>
      </c>
    </row>
    <row r="725" spans="1:19" ht="12.5" x14ac:dyDescent="0.25">
      <c r="A725" s="14" t="str">
        <f>HYPERLINK("https://gerandofalcoes.my.salesforce.com/0014P00003YSp9DQAT", "0014P00003YSp9DQAT")</f>
        <v>0014P00003YSp9DQAT</v>
      </c>
      <c r="B725" s="2" t="s">
        <v>2539</v>
      </c>
      <c r="C725" s="2" t="s">
        <v>1684</v>
      </c>
      <c r="D725" s="2" t="s">
        <v>2</v>
      </c>
      <c r="E725" s="2">
        <v>21</v>
      </c>
      <c r="F725" s="2">
        <v>1</v>
      </c>
      <c r="G725" s="2">
        <v>0</v>
      </c>
      <c r="H725" s="2">
        <v>0</v>
      </c>
      <c r="I725" s="2">
        <v>0</v>
      </c>
      <c r="J725" s="2" t="s">
        <v>1779</v>
      </c>
      <c r="K725" s="2">
        <v>15</v>
      </c>
      <c r="L725" s="2">
        <v>10</v>
      </c>
      <c r="M725" s="2">
        <v>5</v>
      </c>
      <c r="N725" s="2">
        <v>0</v>
      </c>
      <c r="O725" s="2">
        <v>0</v>
      </c>
      <c r="P725" s="2">
        <v>0</v>
      </c>
      <c r="Q725" s="2" t="s">
        <v>2540</v>
      </c>
      <c r="R725" s="2" t="s">
        <v>2540</v>
      </c>
      <c r="S725" s="4">
        <v>44837</v>
      </c>
    </row>
    <row r="726" spans="1:19" ht="12.5" x14ac:dyDescent="0.25">
      <c r="A726" s="14" t="str">
        <f>HYPERLINK("https://gerandofalcoes.my.salesforce.com/0014P00003YSp9EQAT", "0014P00003YSp9EQAT")</f>
        <v>0014P00003YSp9EQAT</v>
      </c>
      <c r="B726" s="2" t="s">
        <v>2279</v>
      </c>
      <c r="C726" s="2" t="s">
        <v>423</v>
      </c>
      <c r="D726" s="2" t="s">
        <v>2</v>
      </c>
      <c r="E726" s="2">
        <v>29.85</v>
      </c>
      <c r="F726" s="2">
        <v>2</v>
      </c>
      <c r="G726" s="2">
        <v>0</v>
      </c>
      <c r="H726" s="2">
        <v>0</v>
      </c>
      <c r="I726" s="2">
        <v>30</v>
      </c>
      <c r="J726" s="2" t="s">
        <v>1779</v>
      </c>
      <c r="K726" s="2">
        <v>25</v>
      </c>
      <c r="L726" s="2">
        <v>15</v>
      </c>
      <c r="M726" s="2">
        <v>5</v>
      </c>
      <c r="N726" s="2">
        <v>0</v>
      </c>
      <c r="O726" s="2">
        <v>0</v>
      </c>
      <c r="P726" s="2">
        <v>5</v>
      </c>
      <c r="Q726" s="2" t="s">
        <v>2280</v>
      </c>
      <c r="R726" s="2" t="s">
        <v>2281</v>
      </c>
      <c r="S726" s="4">
        <v>44837</v>
      </c>
    </row>
    <row r="727" spans="1:19" ht="12.5" x14ac:dyDescent="0.25">
      <c r="A727" s="14" t="str">
        <f>HYPERLINK("https://gerandofalcoes.my.salesforce.com/0014P00003YSp9FQAT", "0014P00003YSp9FQAT")</f>
        <v>0014P00003YSp9FQAT</v>
      </c>
      <c r="B727" s="2" t="s">
        <v>1972</v>
      </c>
      <c r="C727" s="2" t="s">
        <v>423</v>
      </c>
      <c r="D727" s="2" t="s">
        <v>2</v>
      </c>
      <c r="E727" s="2">
        <v>43</v>
      </c>
      <c r="F727" s="2">
        <v>7</v>
      </c>
      <c r="G727" s="2">
        <v>1</v>
      </c>
      <c r="H727" s="2">
        <v>43800</v>
      </c>
      <c r="I727" s="2">
        <v>60</v>
      </c>
      <c r="J727" s="2" t="s">
        <v>1671</v>
      </c>
      <c r="K727" s="2">
        <v>44</v>
      </c>
      <c r="L727" s="2">
        <v>15</v>
      </c>
      <c r="M727" s="2">
        <v>10</v>
      </c>
      <c r="N727" s="2">
        <v>4</v>
      </c>
      <c r="O727" s="2">
        <v>10</v>
      </c>
      <c r="P727" s="2">
        <v>5</v>
      </c>
      <c r="Q727" s="2" t="s">
        <v>1973</v>
      </c>
      <c r="R727" s="2" t="s">
        <v>1974</v>
      </c>
      <c r="S727" s="4">
        <v>44837</v>
      </c>
    </row>
    <row r="728" spans="1:19" ht="12.5" x14ac:dyDescent="0.25">
      <c r="A728" s="14" t="str">
        <f>HYPERLINK("https://gerandofalcoes.my.salesforce.com/0014P00003YSp9HQAT", "0014P00003YSp9HQAT")</f>
        <v>0014P00003YSp9HQAT</v>
      </c>
      <c r="B728" s="2" t="s">
        <v>2147</v>
      </c>
      <c r="C728" s="2" t="s">
        <v>423</v>
      </c>
      <c r="D728" s="2" t="s">
        <v>2</v>
      </c>
      <c r="E728" s="2">
        <v>36.79</v>
      </c>
      <c r="F728" s="2">
        <v>0</v>
      </c>
      <c r="G728" s="2">
        <v>2</v>
      </c>
      <c r="H728" s="2">
        <v>6435</v>
      </c>
      <c r="I728" s="2">
        <v>0</v>
      </c>
      <c r="J728" s="2" t="s">
        <v>1779</v>
      </c>
      <c r="K728" s="2">
        <v>26</v>
      </c>
      <c r="L728" s="2">
        <v>15</v>
      </c>
      <c r="M728" s="2">
        <v>0</v>
      </c>
      <c r="N728" s="2">
        <v>6</v>
      </c>
      <c r="O728" s="2">
        <v>5</v>
      </c>
      <c r="P728" s="2">
        <v>0</v>
      </c>
      <c r="Q728" s="2" t="s">
        <v>2148</v>
      </c>
      <c r="R728" s="2" t="s">
        <v>2149</v>
      </c>
      <c r="S728" s="4">
        <v>44837</v>
      </c>
    </row>
    <row r="729" spans="1:19" ht="12.5" x14ac:dyDescent="0.25">
      <c r="A729" s="14" t="str">
        <f>HYPERLINK("https://gerandofalcoes.my.salesforce.com/0014P00003YSp9IQAT", "0014P00003YSp9IQAT")</f>
        <v>0014P00003YSp9IQAT</v>
      </c>
      <c r="B729" s="2" t="s">
        <v>2425</v>
      </c>
      <c r="C729" s="2" t="s">
        <v>1684</v>
      </c>
      <c r="D729" s="2" t="s">
        <v>2</v>
      </c>
      <c r="E729" s="2">
        <v>25</v>
      </c>
      <c r="F729" s="2">
        <v>0</v>
      </c>
      <c r="G729" s="2">
        <v>0</v>
      </c>
      <c r="H729" s="2">
        <v>0</v>
      </c>
      <c r="I729" s="2">
        <v>0</v>
      </c>
      <c r="J729" s="2" t="s">
        <v>1779</v>
      </c>
      <c r="K729" s="2">
        <v>15</v>
      </c>
      <c r="L729" s="2">
        <v>15</v>
      </c>
      <c r="M729" s="2">
        <v>0</v>
      </c>
      <c r="N729" s="2">
        <v>0</v>
      </c>
      <c r="O729" s="2">
        <v>0</v>
      </c>
      <c r="P729" s="2">
        <v>0</v>
      </c>
      <c r="Q729" s="2" t="s">
        <v>2426</v>
      </c>
      <c r="R729" s="2" t="s">
        <v>2427</v>
      </c>
      <c r="S729" s="4">
        <v>44837</v>
      </c>
    </row>
    <row r="730" spans="1:19" ht="12.5" x14ac:dyDescent="0.25">
      <c r="A730" s="14" t="str">
        <f>HYPERLINK("https://gerandofalcoes.my.salesforce.com/0014P00003YSp9JQAT", "0014P00003YSp9JQAT")</f>
        <v>0014P00003YSp9JQAT</v>
      </c>
      <c r="B730" s="2" t="s">
        <v>2046</v>
      </c>
      <c r="C730" s="2" t="s">
        <v>423</v>
      </c>
      <c r="D730" s="2" t="s">
        <v>2</v>
      </c>
      <c r="E730" s="2">
        <v>37</v>
      </c>
      <c r="F730" s="2">
        <v>4</v>
      </c>
      <c r="G730" s="2">
        <v>4</v>
      </c>
      <c r="H730" s="2">
        <v>125000</v>
      </c>
      <c r="I730" s="2">
        <v>60</v>
      </c>
      <c r="J730" s="2" t="s">
        <v>1671</v>
      </c>
      <c r="K730" s="2">
        <v>50</v>
      </c>
      <c r="L730" s="2">
        <v>15</v>
      </c>
      <c r="M730" s="2">
        <v>5</v>
      </c>
      <c r="N730" s="2">
        <v>10</v>
      </c>
      <c r="O730" s="2">
        <v>15</v>
      </c>
      <c r="P730" s="2">
        <v>5</v>
      </c>
      <c r="Q730" s="2" t="s">
        <v>2047</v>
      </c>
      <c r="R730" s="2" t="s">
        <v>2048</v>
      </c>
      <c r="S730" s="4">
        <v>44837</v>
      </c>
    </row>
    <row r="731" spans="1:19" ht="12.5" x14ac:dyDescent="0.25">
      <c r="A731" s="14" t="str">
        <f>HYPERLINK("https://gerandofalcoes.my.salesforce.com/0014P00003YSp9LQAT", "0014P00003YSp9LQAT")</f>
        <v>0014P00003YSp9LQAT</v>
      </c>
      <c r="B731" s="2" t="s">
        <v>1908</v>
      </c>
      <c r="C731" s="2" t="s">
        <v>423</v>
      </c>
      <c r="D731" s="2" t="s">
        <v>2</v>
      </c>
      <c r="E731" s="2">
        <v>43</v>
      </c>
      <c r="F731" s="2">
        <v>16</v>
      </c>
      <c r="G731" s="2">
        <v>6</v>
      </c>
      <c r="H731" s="2">
        <v>153000</v>
      </c>
      <c r="I731" s="2">
        <v>593</v>
      </c>
      <c r="J731" s="2" t="s">
        <v>1650</v>
      </c>
      <c r="K731" s="2">
        <v>72</v>
      </c>
      <c r="L731" s="2">
        <v>15</v>
      </c>
      <c r="M731" s="2">
        <v>12</v>
      </c>
      <c r="N731" s="2">
        <v>10</v>
      </c>
      <c r="O731" s="2">
        <v>15</v>
      </c>
      <c r="P731" s="2">
        <v>20</v>
      </c>
      <c r="Q731" s="2" t="s">
        <v>1909</v>
      </c>
      <c r="R731" s="2" t="s">
        <v>1909</v>
      </c>
      <c r="S731" s="4">
        <v>44837</v>
      </c>
    </row>
    <row r="732" spans="1:19" ht="12.5" x14ac:dyDescent="0.25">
      <c r="A732" s="14" t="str">
        <f>HYPERLINK("https://gerandofalcoes.my.salesforce.com/0014P00003YSp9MQAT", "0014P00003YSp9MQAT")</f>
        <v>0014P00003YSp9MQAT</v>
      </c>
      <c r="B732" s="2" t="s">
        <v>1887</v>
      </c>
      <c r="C732" s="2" t="s">
        <v>1800</v>
      </c>
      <c r="D732" s="2" t="s">
        <v>2</v>
      </c>
      <c r="E732" s="2">
        <v>44</v>
      </c>
      <c r="F732" s="2">
        <v>2</v>
      </c>
      <c r="G732" s="2">
        <v>2</v>
      </c>
      <c r="H732" s="2">
        <v>9000</v>
      </c>
      <c r="I732" s="2">
        <v>30</v>
      </c>
      <c r="J732" s="2" t="s">
        <v>1779</v>
      </c>
      <c r="K732" s="2">
        <v>36</v>
      </c>
      <c r="L732" s="2">
        <v>15</v>
      </c>
      <c r="M732" s="2">
        <v>5</v>
      </c>
      <c r="N732" s="2">
        <v>6</v>
      </c>
      <c r="O732" s="2">
        <v>5</v>
      </c>
      <c r="P732" s="2">
        <v>5</v>
      </c>
      <c r="Q732" s="2" t="s">
        <v>1888</v>
      </c>
      <c r="R732" s="2" t="s">
        <v>1888</v>
      </c>
      <c r="S732" s="4">
        <v>44837</v>
      </c>
    </row>
    <row r="733" spans="1:19" ht="12.5" x14ac:dyDescent="0.25">
      <c r="A733" s="14" t="str">
        <f>HYPERLINK("https://gerandofalcoes.my.salesforce.com/0014P00003YSp9NQAT", "0014P00003YSp9NQAT")</f>
        <v>0014P00003YSp9NQAT</v>
      </c>
      <c r="B733" s="2" t="s">
        <v>2275</v>
      </c>
      <c r="C733" s="2" t="s">
        <v>423</v>
      </c>
      <c r="D733" s="2" t="s">
        <v>2</v>
      </c>
      <c r="E733" s="2">
        <v>30</v>
      </c>
      <c r="F733" s="2">
        <v>0</v>
      </c>
      <c r="G733" s="2">
        <v>2</v>
      </c>
      <c r="H733" s="2">
        <v>11000</v>
      </c>
      <c r="I733" s="2">
        <v>20</v>
      </c>
      <c r="J733" s="2" t="s">
        <v>1779</v>
      </c>
      <c r="K733" s="2">
        <v>31</v>
      </c>
      <c r="L733" s="2">
        <v>15</v>
      </c>
      <c r="M733" s="2">
        <v>0</v>
      </c>
      <c r="N733" s="2">
        <v>6</v>
      </c>
      <c r="O733" s="2">
        <v>5</v>
      </c>
      <c r="P733" s="2">
        <v>5</v>
      </c>
      <c r="Q733" s="2" t="s">
        <v>2276</v>
      </c>
      <c r="R733" s="2" t="s">
        <v>2276</v>
      </c>
      <c r="S733" s="4">
        <v>44837</v>
      </c>
    </row>
    <row r="734" spans="1:19" ht="12.5" x14ac:dyDescent="0.25">
      <c r="A734" s="14" t="str">
        <f>HYPERLINK("https://gerandofalcoes.my.salesforce.com/0014P00003YSp9OQAT", "0014P00003YSp9OQAT")</f>
        <v>0014P00003YSp9OQAT</v>
      </c>
      <c r="B734" s="2" t="s">
        <v>2593</v>
      </c>
      <c r="C734" s="2" t="s">
        <v>1800</v>
      </c>
      <c r="D734" s="2" t="s">
        <v>2</v>
      </c>
      <c r="E734" s="2">
        <v>19</v>
      </c>
      <c r="F734" s="2">
        <v>0</v>
      </c>
      <c r="G734" s="2">
        <v>8</v>
      </c>
      <c r="H734" s="2">
        <v>15000</v>
      </c>
      <c r="I734" s="2">
        <v>958</v>
      </c>
      <c r="J734" s="2" t="s">
        <v>1671</v>
      </c>
      <c r="K734" s="2">
        <v>45</v>
      </c>
      <c r="L734" s="2">
        <v>10</v>
      </c>
      <c r="M734" s="2">
        <v>0</v>
      </c>
      <c r="N734" s="2">
        <v>10</v>
      </c>
      <c r="O734" s="2">
        <v>5</v>
      </c>
      <c r="P734" s="2">
        <v>20</v>
      </c>
      <c r="Q734" s="2" t="s">
        <v>2594</v>
      </c>
      <c r="R734" s="2" t="s">
        <v>2595</v>
      </c>
      <c r="S734" s="4">
        <v>44837</v>
      </c>
    </row>
    <row r="735" spans="1:19" ht="12.5" x14ac:dyDescent="0.25">
      <c r="A735" s="14" t="str">
        <f>HYPERLINK("https://gerandofalcoes.my.salesforce.com/0014P00003YSpA0QAL", "0014P00003YSpA0QAL")</f>
        <v>0014P00003YSpA0QAL</v>
      </c>
      <c r="B735" s="2" t="s">
        <v>2734</v>
      </c>
      <c r="C735" s="2" t="s">
        <v>423</v>
      </c>
      <c r="D735" s="2" t="s">
        <v>2</v>
      </c>
      <c r="E735" s="2">
        <v>8</v>
      </c>
      <c r="F735" s="2">
        <v>10</v>
      </c>
      <c r="G735" s="2">
        <v>0</v>
      </c>
      <c r="H735" s="2">
        <v>0</v>
      </c>
      <c r="I735" s="2">
        <v>52</v>
      </c>
      <c r="J735" s="2" t="s">
        <v>1779</v>
      </c>
      <c r="K735" s="2">
        <v>25</v>
      </c>
      <c r="L735" s="2">
        <v>10</v>
      </c>
      <c r="M735" s="2">
        <v>10</v>
      </c>
      <c r="N735" s="2">
        <v>0</v>
      </c>
      <c r="O735" s="2">
        <v>0</v>
      </c>
      <c r="P735" s="2">
        <v>5</v>
      </c>
      <c r="Q735" s="2" t="s">
        <v>2735</v>
      </c>
      <c r="R735" s="2" t="s">
        <v>2736</v>
      </c>
      <c r="S735" s="4">
        <v>44837</v>
      </c>
    </row>
    <row r="736" spans="1:19" ht="12.5" x14ac:dyDescent="0.25">
      <c r="A736" s="14" t="str">
        <f>HYPERLINK("https://gerandofalcoes.my.salesforce.com/0014P00003YSpA1QAL", "0014P00003YSpA1QAL")</f>
        <v>0014P00003YSpA1QAL</v>
      </c>
      <c r="B736" s="2" t="s">
        <v>2238</v>
      </c>
      <c r="C736" s="2" t="s">
        <v>1800</v>
      </c>
      <c r="D736" s="2" t="s">
        <v>2</v>
      </c>
      <c r="E736" s="2">
        <v>31</v>
      </c>
      <c r="F736" s="2">
        <v>0</v>
      </c>
      <c r="G736" s="2">
        <v>2</v>
      </c>
      <c r="H736" s="2">
        <v>50000</v>
      </c>
      <c r="I736" s="2">
        <v>41</v>
      </c>
      <c r="J736" s="2" t="s">
        <v>1779</v>
      </c>
      <c r="K736" s="2">
        <v>36</v>
      </c>
      <c r="L736" s="2">
        <v>15</v>
      </c>
      <c r="M736" s="2">
        <v>0</v>
      </c>
      <c r="N736" s="2">
        <v>6</v>
      </c>
      <c r="O736" s="2">
        <v>10</v>
      </c>
      <c r="P736" s="2">
        <v>5</v>
      </c>
      <c r="Q736" s="2" t="s">
        <v>2239</v>
      </c>
      <c r="R736" s="2" t="s">
        <v>2239</v>
      </c>
      <c r="S736" s="4">
        <v>44837</v>
      </c>
    </row>
    <row r="737" spans="1:19" ht="12.5" x14ac:dyDescent="0.25">
      <c r="A737" s="14" t="str">
        <f>HYPERLINK("https://gerandofalcoes.my.salesforce.com/0014P00003YSpA2QAL", "0014P00003YSpA2QAL")</f>
        <v>0014P00003YSpA2QAL</v>
      </c>
      <c r="B737" s="2" t="s">
        <v>2469</v>
      </c>
      <c r="C737" s="2" t="s">
        <v>423</v>
      </c>
      <c r="D737" s="2" t="s">
        <v>2</v>
      </c>
      <c r="E737" s="2">
        <v>23</v>
      </c>
      <c r="F737" s="2">
        <v>0</v>
      </c>
      <c r="G737" s="2">
        <v>2</v>
      </c>
      <c r="H737" s="2">
        <v>12000</v>
      </c>
      <c r="I737" s="2">
        <v>0</v>
      </c>
      <c r="J737" s="2" t="s">
        <v>1779</v>
      </c>
      <c r="K737" s="2">
        <v>21</v>
      </c>
      <c r="L737" s="2">
        <v>10</v>
      </c>
      <c r="M737" s="2">
        <v>0</v>
      </c>
      <c r="N737" s="2">
        <v>6</v>
      </c>
      <c r="O737" s="2">
        <v>5</v>
      </c>
      <c r="P737" s="2">
        <v>0</v>
      </c>
      <c r="Q737" s="2" t="s">
        <v>2470</v>
      </c>
      <c r="R737" s="2" t="s">
        <v>2471</v>
      </c>
      <c r="S737" s="4">
        <v>44837</v>
      </c>
    </row>
    <row r="738" spans="1:19" ht="12.5" x14ac:dyDescent="0.25">
      <c r="A738" s="14" t="str">
        <f>HYPERLINK("https://gerandofalcoes.my.salesforce.com/0014P00003YSpA3QAL", "0014P00003YSpA3QAL")</f>
        <v>0014P00003YSpA3QAL</v>
      </c>
      <c r="B738" s="2" t="s">
        <v>1910</v>
      </c>
      <c r="C738" s="2" t="s">
        <v>1800</v>
      </c>
      <c r="D738" s="2" t="s">
        <v>2</v>
      </c>
      <c r="E738" s="2">
        <v>43</v>
      </c>
      <c r="F738" s="2">
        <v>10</v>
      </c>
      <c r="G738" s="2">
        <v>2</v>
      </c>
      <c r="H738" s="2">
        <v>15000</v>
      </c>
      <c r="I738" s="2">
        <v>100</v>
      </c>
      <c r="J738" s="2" t="s">
        <v>1671</v>
      </c>
      <c r="K738" s="2">
        <v>46</v>
      </c>
      <c r="L738" s="2">
        <v>15</v>
      </c>
      <c r="M738" s="2">
        <v>10</v>
      </c>
      <c r="N738" s="2">
        <v>6</v>
      </c>
      <c r="O738" s="2">
        <v>5</v>
      </c>
      <c r="P738" s="2">
        <v>10</v>
      </c>
      <c r="Q738" s="2" t="s">
        <v>1911</v>
      </c>
      <c r="R738" s="2" t="s">
        <v>1912</v>
      </c>
      <c r="S738" s="4">
        <v>44837</v>
      </c>
    </row>
    <row r="739" spans="1:19" ht="12.5" x14ac:dyDescent="0.25">
      <c r="A739" s="14" t="str">
        <f>HYPERLINK("https://gerandofalcoes.my.salesforce.com/0014P00003YSpA5QAL", "0014P00003YSpA5QAL")</f>
        <v>0014P00003YSpA5QAL</v>
      </c>
      <c r="B739" s="2" t="s">
        <v>1983</v>
      </c>
      <c r="C739" s="2" t="s">
        <v>423</v>
      </c>
      <c r="D739" s="2" t="s">
        <v>2</v>
      </c>
      <c r="E739" s="2">
        <v>39</v>
      </c>
      <c r="F739" s="2">
        <v>2</v>
      </c>
      <c r="G739" s="2">
        <v>5</v>
      </c>
      <c r="H739" s="2">
        <v>90000</v>
      </c>
      <c r="I739" s="2">
        <v>350</v>
      </c>
      <c r="J739" s="2" t="s">
        <v>1671</v>
      </c>
      <c r="K739" s="2">
        <v>55</v>
      </c>
      <c r="L739" s="2">
        <v>15</v>
      </c>
      <c r="M739" s="2">
        <v>5</v>
      </c>
      <c r="N739" s="2">
        <v>10</v>
      </c>
      <c r="O739" s="2">
        <v>10</v>
      </c>
      <c r="P739" s="2">
        <v>15</v>
      </c>
      <c r="Q739" s="2" t="s">
        <v>1984</v>
      </c>
      <c r="R739" s="2" t="s">
        <v>1985</v>
      </c>
      <c r="S739" s="4">
        <v>44837</v>
      </c>
    </row>
    <row r="740" spans="1:19" ht="12.5" x14ac:dyDescent="0.25">
      <c r="A740" s="14" t="str">
        <f>HYPERLINK("https://gerandofalcoes.my.salesforce.com/0014P00003YSpA7QAL", "0014P00003YSpA7QAL")</f>
        <v>0014P00003YSpA7QAL</v>
      </c>
      <c r="B740" s="2" t="s">
        <v>2818</v>
      </c>
      <c r="C740" s="2" t="s">
        <v>423</v>
      </c>
      <c r="D740" s="2" t="s">
        <v>2</v>
      </c>
      <c r="E740" s="2">
        <v>12.03</v>
      </c>
      <c r="F740" s="2">
        <v>1</v>
      </c>
      <c r="G740" s="2">
        <v>1</v>
      </c>
      <c r="H740" s="2">
        <v>20000000</v>
      </c>
      <c r="I740" s="2">
        <v>120</v>
      </c>
      <c r="J740" s="2" t="s">
        <v>1671</v>
      </c>
      <c r="K740" s="2">
        <v>54</v>
      </c>
      <c r="L740" s="2">
        <v>10</v>
      </c>
      <c r="M740" s="2">
        <v>5</v>
      </c>
      <c r="N740" s="2">
        <v>4</v>
      </c>
      <c r="O740" s="2">
        <v>25</v>
      </c>
      <c r="P740" s="2">
        <v>10</v>
      </c>
      <c r="Q740" s="2" t="s">
        <v>2819</v>
      </c>
      <c r="R740" s="2" t="s">
        <v>2819</v>
      </c>
      <c r="S740" s="4">
        <v>44837</v>
      </c>
    </row>
    <row r="741" spans="1:19" ht="12.5" x14ac:dyDescent="0.25">
      <c r="A741" s="14" t="str">
        <f>HYPERLINK("https://gerandofalcoes.my.salesforce.com/0014P00003YSpA8QAL", "0014P00003YSpA8QAL")</f>
        <v>0014P00003YSpA8QAL</v>
      </c>
      <c r="B741" s="2" t="s">
        <v>2647</v>
      </c>
      <c r="C741" s="2" t="s">
        <v>1800</v>
      </c>
      <c r="D741" s="2" t="s">
        <v>2</v>
      </c>
      <c r="E741" s="2">
        <v>18</v>
      </c>
      <c r="F741" s="2">
        <v>0</v>
      </c>
      <c r="G741" s="2">
        <v>2</v>
      </c>
      <c r="H741" s="2">
        <v>0</v>
      </c>
      <c r="I741" s="2">
        <v>0</v>
      </c>
      <c r="J741" s="2" t="s">
        <v>1779</v>
      </c>
      <c r="K741" s="2">
        <v>16</v>
      </c>
      <c r="L741" s="2">
        <v>10</v>
      </c>
      <c r="M741" s="2">
        <v>0</v>
      </c>
      <c r="N741" s="2">
        <v>6</v>
      </c>
      <c r="O741" s="2">
        <v>0</v>
      </c>
      <c r="P741" s="2">
        <v>0</v>
      </c>
      <c r="Q741" s="2" t="s">
        <v>2648</v>
      </c>
      <c r="R741" s="2" t="s">
        <v>2648</v>
      </c>
      <c r="S741" s="4">
        <v>44837</v>
      </c>
    </row>
    <row r="742" spans="1:19" ht="12.5" x14ac:dyDescent="0.25">
      <c r="A742" s="14" t="str">
        <f>HYPERLINK("https://gerandofalcoes.my.salesforce.com/0014P00003YSp9xQAD", "0014P00003YSp9xQAD")</f>
        <v>0014P00003YSp9xQAD</v>
      </c>
      <c r="B742" s="2" t="s">
        <v>2330</v>
      </c>
      <c r="C742" s="2" t="s">
        <v>1800</v>
      </c>
      <c r="D742" s="2" t="s">
        <v>2</v>
      </c>
      <c r="E742" s="2">
        <v>28</v>
      </c>
      <c r="F742" s="2">
        <v>0</v>
      </c>
      <c r="G742" s="2">
        <v>2</v>
      </c>
      <c r="H742" s="2">
        <v>120000</v>
      </c>
      <c r="I742" s="2">
        <v>29</v>
      </c>
      <c r="J742" s="2" t="s">
        <v>1671</v>
      </c>
      <c r="K742" s="2">
        <v>41</v>
      </c>
      <c r="L742" s="2">
        <v>15</v>
      </c>
      <c r="M742" s="2">
        <v>0</v>
      </c>
      <c r="N742" s="2">
        <v>6</v>
      </c>
      <c r="O742" s="2">
        <v>15</v>
      </c>
      <c r="P742" s="2">
        <v>5</v>
      </c>
      <c r="Q742" s="2" t="s">
        <v>2331</v>
      </c>
      <c r="R742" s="2" t="s">
        <v>2331</v>
      </c>
      <c r="S742" s="4">
        <v>44837</v>
      </c>
    </row>
    <row r="743" spans="1:19" ht="12.5" x14ac:dyDescent="0.25">
      <c r="A743" s="14" t="str">
        <f>HYPERLINK("https://gerandofalcoes.my.salesforce.com/0014P00003YSpA9QAL", "0014P00003YSpA9QAL")</f>
        <v>0014P00003YSpA9QAL</v>
      </c>
      <c r="B743" s="2" t="s">
        <v>1835</v>
      </c>
      <c r="C743" s="2" t="s">
        <v>423</v>
      </c>
      <c r="D743" s="2" t="s">
        <v>2</v>
      </c>
      <c r="E743" s="2">
        <v>31</v>
      </c>
      <c r="F743" s="2">
        <v>0</v>
      </c>
      <c r="G743" s="2">
        <v>2</v>
      </c>
      <c r="H743" s="2">
        <v>21270</v>
      </c>
      <c r="I743" s="2">
        <v>25</v>
      </c>
      <c r="J743" s="2" t="s">
        <v>1779</v>
      </c>
      <c r="K743" s="2">
        <v>31</v>
      </c>
      <c r="L743" s="2">
        <v>15</v>
      </c>
      <c r="M743" s="2">
        <v>0</v>
      </c>
      <c r="N743" s="2">
        <v>6</v>
      </c>
      <c r="O743" s="2">
        <v>5</v>
      </c>
      <c r="P743" s="2">
        <v>5</v>
      </c>
      <c r="Q743" s="2" t="s">
        <v>1836</v>
      </c>
      <c r="R743" s="2" t="s">
        <v>7152</v>
      </c>
      <c r="S743" s="4">
        <v>44837</v>
      </c>
    </row>
    <row r="744" spans="1:19" ht="12.5" x14ac:dyDescent="0.25">
      <c r="A744" s="14" t="str">
        <f>HYPERLINK("https://gerandofalcoes.my.salesforce.com/0014P00003YSpAAQA1", "0014P00003YSpAAQA1")</f>
        <v>0014P00003YSpAAQA1</v>
      </c>
      <c r="B744" s="2" t="s">
        <v>2428</v>
      </c>
      <c r="C744" s="2" t="s">
        <v>1684</v>
      </c>
      <c r="D744" s="2" t="s">
        <v>2</v>
      </c>
      <c r="E744" s="2">
        <v>25</v>
      </c>
      <c r="F744" s="2">
        <v>0</v>
      </c>
      <c r="G744" s="2">
        <v>0</v>
      </c>
      <c r="H744" s="2">
        <v>0</v>
      </c>
      <c r="I744" s="2">
        <v>0</v>
      </c>
      <c r="J744" s="2" t="s">
        <v>1779</v>
      </c>
      <c r="K744" s="2">
        <v>15</v>
      </c>
      <c r="L744" s="2">
        <v>15</v>
      </c>
      <c r="M744" s="2">
        <v>0</v>
      </c>
      <c r="N744" s="2">
        <v>0</v>
      </c>
      <c r="O744" s="2">
        <v>0</v>
      </c>
      <c r="P744" s="2">
        <v>0</v>
      </c>
      <c r="Q744" s="2" t="s">
        <v>2429</v>
      </c>
      <c r="R744" s="2" t="s">
        <v>2430</v>
      </c>
      <c r="S744" s="4">
        <v>44837</v>
      </c>
    </row>
    <row r="745" spans="1:19" ht="12.5" x14ac:dyDescent="0.25">
      <c r="A745" s="14" t="str">
        <f>HYPERLINK("https://gerandofalcoes.my.salesforce.com/0014P00003YSp9yQAD", "0014P00003YSp9yQAD")</f>
        <v>0014P00003YSp9yQAD</v>
      </c>
      <c r="B745" s="2" t="s">
        <v>2007</v>
      </c>
      <c r="C745" s="2" t="s">
        <v>1800</v>
      </c>
      <c r="D745" s="2" t="s">
        <v>2</v>
      </c>
      <c r="E745" s="2">
        <v>38</v>
      </c>
      <c r="F745" s="2">
        <v>63</v>
      </c>
      <c r="G745" s="2">
        <v>3</v>
      </c>
      <c r="H745" s="2">
        <v>750106</v>
      </c>
      <c r="I745" s="2">
        <v>900</v>
      </c>
      <c r="J745" s="2" t="s">
        <v>1650</v>
      </c>
      <c r="K745" s="2">
        <v>78</v>
      </c>
      <c r="L745" s="2">
        <v>15</v>
      </c>
      <c r="M745" s="2">
        <v>15</v>
      </c>
      <c r="N745" s="2">
        <v>8</v>
      </c>
      <c r="O745" s="2">
        <v>20</v>
      </c>
      <c r="P745" s="2">
        <v>20</v>
      </c>
      <c r="Q745" s="2" t="s">
        <v>2008</v>
      </c>
      <c r="R745" s="2" t="s">
        <v>2009</v>
      </c>
      <c r="S745" s="4">
        <v>44837</v>
      </c>
    </row>
    <row r="746" spans="1:19" ht="12.5" x14ac:dyDescent="0.25">
      <c r="A746" s="14" t="str">
        <f>HYPERLINK("https://gerandofalcoes.my.salesforce.com/0014P00003YSp9zQAD", "0014P00003YSp9zQAD")</f>
        <v>0014P00003YSp9zQAD</v>
      </c>
      <c r="B746" s="2" t="s">
        <v>1776</v>
      </c>
      <c r="C746" s="2" t="s">
        <v>423</v>
      </c>
      <c r="D746" s="2" t="s">
        <v>2</v>
      </c>
      <c r="E746" s="2">
        <v>34</v>
      </c>
      <c r="F746" s="2">
        <v>0</v>
      </c>
      <c r="G746" s="2">
        <v>12</v>
      </c>
      <c r="H746" s="2">
        <v>17000000</v>
      </c>
      <c r="I746" s="2">
        <v>750</v>
      </c>
      <c r="J746" s="2" t="s">
        <v>1650</v>
      </c>
      <c r="K746" s="2">
        <v>70</v>
      </c>
      <c r="L746" s="2">
        <v>15</v>
      </c>
      <c r="M746" s="2">
        <v>0</v>
      </c>
      <c r="N746" s="2">
        <v>10</v>
      </c>
      <c r="O746" s="2">
        <v>25</v>
      </c>
      <c r="P746" s="2">
        <v>20</v>
      </c>
      <c r="Q746" s="2" t="s">
        <v>1777</v>
      </c>
      <c r="R746" s="2" t="s">
        <v>1777</v>
      </c>
      <c r="S746" s="4">
        <v>44837</v>
      </c>
    </row>
    <row r="747" spans="1:19" ht="12.5" x14ac:dyDescent="0.25">
      <c r="A747" s="14" t="str">
        <f>HYPERLINK("https://gerandofalcoes.my.salesforce.com/0014P00003YSpACQA1", "0014P00003YSpACQA1")</f>
        <v>0014P00003YSpACQA1</v>
      </c>
      <c r="B747" s="2" t="s">
        <v>2601</v>
      </c>
      <c r="C747" s="2" t="s">
        <v>1800</v>
      </c>
      <c r="D747" s="2" t="s">
        <v>2</v>
      </c>
      <c r="E747" s="2">
        <v>19</v>
      </c>
      <c r="F747" s="2">
        <v>2</v>
      </c>
      <c r="G747" s="2">
        <v>2</v>
      </c>
      <c r="H747" s="2">
        <v>0</v>
      </c>
      <c r="I747" s="2">
        <v>120</v>
      </c>
      <c r="J747" s="2" t="s">
        <v>1779</v>
      </c>
      <c r="K747" s="2">
        <v>31</v>
      </c>
      <c r="L747" s="2">
        <v>10</v>
      </c>
      <c r="M747" s="2">
        <v>5</v>
      </c>
      <c r="N747" s="2">
        <v>6</v>
      </c>
      <c r="O747" s="2">
        <v>0</v>
      </c>
      <c r="P747" s="2">
        <v>10</v>
      </c>
      <c r="Q747" s="2" t="s">
        <v>2602</v>
      </c>
      <c r="R747" s="2" t="s">
        <v>2602</v>
      </c>
      <c r="S747" s="4">
        <v>44837</v>
      </c>
    </row>
    <row r="748" spans="1:19" ht="12.5" x14ac:dyDescent="0.25">
      <c r="A748" s="14" t="str">
        <f>HYPERLINK("https://gerandofalcoes.my.salesforce.com/0014P00003YSpADQA1", "0014P00003YSpADQA1")</f>
        <v>0014P00003YSpADQA1</v>
      </c>
      <c r="B748" s="2" t="s">
        <v>1736</v>
      </c>
      <c r="C748" s="2" t="s">
        <v>423</v>
      </c>
      <c r="D748" s="2" t="s">
        <v>2</v>
      </c>
      <c r="E748" s="2">
        <v>41</v>
      </c>
      <c r="F748" s="2">
        <v>10</v>
      </c>
      <c r="G748" s="2">
        <v>7</v>
      </c>
      <c r="H748" s="2">
        <v>595384</v>
      </c>
      <c r="I748" s="2">
        <v>246</v>
      </c>
      <c r="J748" s="2" t="s">
        <v>1650</v>
      </c>
      <c r="K748" s="2">
        <v>67</v>
      </c>
      <c r="L748" s="2">
        <v>15</v>
      </c>
      <c r="M748" s="2">
        <v>10</v>
      </c>
      <c r="N748" s="2">
        <v>10</v>
      </c>
      <c r="O748" s="2">
        <v>20</v>
      </c>
      <c r="P748" s="2">
        <v>12</v>
      </c>
      <c r="Q748" s="2" t="s">
        <v>1737</v>
      </c>
      <c r="R748" s="2" t="s">
        <v>1737</v>
      </c>
      <c r="S748" s="4">
        <v>44837</v>
      </c>
    </row>
    <row r="749" spans="1:19" ht="12.5" x14ac:dyDescent="0.25">
      <c r="A749" s="14" t="str">
        <f>HYPERLINK("https://gerandofalcoes.my.salesforce.com/0014P00003YSpAEQA1", "0014P00003YSpAEQA1")</f>
        <v>0014P00003YSpAEQA1</v>
      </c>
      <c r="B749" s="2" t="s">
        <v>2962</v>
      </c>
      <c r="C749" s="2" t="s">
        <v>423</v>
      </c>
      <c r="D749" s="2" t="s">
        <v>2</v>
      </c>
      <c r="E749" s="2">
        <v>17</v>
      </c>
      <c r="F749" s="2">
        <v>0</v>
      </c>
      <c r="G749" s="2">
        <v>0</v>
      </c>
      <c r="H749" s="2">
        <v>0</v>
      </c>
      <c r="I749" s="2">
        <v>300</v>
      </c>
      <c r="J749" s="2" t="s">
        <v>1779</v>
      </c>
      <c r="K749" s="2">
        <v>25</v>
      </c>
      <c r="L749" s="2">
        <v>10</v>
      </c>
      <c r="M749" s="2">
        <v>0</v>
      </c>
      <c r="N749" s="2">
        <v>0</v>
      </c>
      <c r="O749" s="2">
        <v>0</v>
      </c>
      <c r="P749" s="2">
        <v>15</v>
      </c>
      <c r="Q749" s="2" t="s">
        <v>2963</v>
      </c>
      <c r="R749" s="2" t="s">
        <v>2964</v>
      </c>
      <c r="S749" s="4">
        <v>44837</v>
      </c>
    </row>
    <row r="750" spans="1:19" ht="12.5" x14ac:dyDescent="0.25">
      <c r="A750" s="14" t="str">
        <f>HYPERLINK("https://gerandofalcoes.my.salesforce.com/0014P00003YSpAFQA1", "0014P00003YSpAFQA1")</f>
        <v>0014P00003YSpAFQA1</v>
      </c>
      <c r="B750" s="2" t="s">
        <v>2191</v>
      </c>
      <c r="C750" s="2" t="s">
        <v>1684</v>
      </c>
      <c r="D750" s="2" t="s">
        <v>2</v>
      </c>
      <c r="E750" s="2">
        <v>33</v>
      </c>
      <c r="F750" s="2">
        <v>3</v>
      </c>
      <c r="G750" s="2">
        <v>0</v>
      </c>
      <c r="H750" s="2">
        <v>0</v>
      </c>
      <c r="I750" s="2">
        <v>0</v>
      </c>
      <c r="J750" s="2" t="s">
        <v>1779</v>
      </c>
      <c r="K750" s="2">
        <v>20</v>
      </c>
      <c r="L750" s="2">
        <v>15</v>
      </c>
      <c r="M750" s="2">
        <v>5</v>
      </c>
      <c r="N750" s="2">
        <v>0</v>
      </c>
      <c r="O750" s="2">
        <v>0</v>
      </c>
      <c r="P750" s="2">
        <v>0</v>
      </c>
      <c r="Q750" s="2" t="s">
        <v>2192</v>
      </c>
      <c r="R750" s="2" t="s">
        <v>2193</v>
      </c>
      <c r="S750" s="4">
        <v>44837</v>
      </c>
    </row>
    <row r="751" spans="1:19" ht="12.5" x14ac:dyDescent="0.25">
      <c r="A751" s="14" t="str">
        <f>HYPERLINK("https://gerandofalcoes.my.salesforce.com/0014P00003YSpAGQA1", "0014P00003YSpAGQA1")</f>
        <v>0014P00003YSpAGQA1</v>
      </c>
      <c r="B751" s="2" t="s">
        <v>2850</v>
      </c>
      <c r="C751" s="2" t="s">
        <v>423</v>
      </c>
      <c r="D751" s="2" t="s">
        <v>2</v>
      </c>
      <c r="E751" s="2">
        <v>20</v>
      </c>
      <c r="F751" s="2">
        <v>0</v>
      </c>
      <c r="G751" s="2">
        <v>2</v>
      </c>
      <c r="H751" s="2">
        <v>3156570</v>
      </c>
      <c r="I751" s="2">
        <v>120</v>
      </c>
      <c r="J751" s="2" t="s">
        <v>1671</v>
      </c>
      <c r="K751" s="2">
        <v>51</v>
      </c>
      <c r="L751" s="2">
        <v>10</v>
      </c>
      <c r="M751" s="2">
        <v>0</v>
      </c>
      <c r="N751" s="2">
        <v>6</v>
      </c>
      <c r="O751" s="2">
        <v>25</v>
      </c>
      <c r="P751" s="2">
        <v>10</v>
      </c>
      <c r="Q751" s="2" t="s">
        <v>2851</v>
      </c>
      <c r="R751" s="2" t="s">
        <v>2852</v>
      </c>
      <c r="S751" s="4">
        <v>44837</v>
      </c>
    </row>
    <row r="752" spans="1:19" ht="12.5" x14ac:dyDescent="0.25">
      <c r="A752" s="14" t="str">
        <f>HYPERLINK("https://gerandofalcoes.my.salesforce.com/0014P00003YSpAHQA1", "0014P00003YSpAHQA1")</f>
        <v>0014P00003YSpAHQA1</v>
      </c>
      <c r="B752" s="2" t="s">
        <v>1881</v>
      </c>
      <c r="C752" s="2" t="s">
        <v>423</v>
      </c>
      <c r="D752" s="2" t="s">
        <v>2</v>
      </c>
      <c r="E752" s="2">
        <v>44.09</v>
      </c>
      <c r="F752" s="2">
        <v>34</v>
      </c>
      <c r="G752" s="2">
        <v>3</v>
      </c>
      <c r="H752" s="2">
        <v>109250786</v>
      </c>
      <c r="I752" s="2">
        <v>15</v>
      </c>
      <c r="J752" s="2" t="s">
        <v>1650</v>
      </c>
      <c r="K752" s="2">
        <v>68</v>
      </c>
      <c r="L752" s="2">
        <v>15</v>
      </c>
      <c r="M752" s="2">
        <v>15</v>
      </c>
      <c r="N752" s="2">
        <v>8</v>
      </c>
      <c r="O752" s="2">
        <v>25</v>
      </c>
      <c r="P752" s="2">
        <v>5</v>
      </c>
      <c r="Q752" s="2" t="s">
        <v>1882</v>
      </c>
      <c r="R752" s="2" t="s">
        <v>1882</v>
      </c>
      <c r="S752" s="4">
        <v>44837</v>
      </c>
    </row>
    <row r="753" spans="1:19" ht="12.5" x14ac:dyDescent="0.25">
      <c r="A753" s="14" t="str">
        <f>HYPERLINK("https://gerandofalcoes.my.salesforce.com/0014P00003YSpAIQA1", "0014P00003YSpAIQA1")</f>
        <v>0014P00003YSpAIQA1</v>
      </c>
      <c r="B753" s="2" t="s">
        <v>1810</v>
      </c>
      <c r="C753" s="2" t="s">
        <v>423</v>
      </c>
      <c r="D753" s="2" t="s">
        <v>2</v>
      </c>
      <c r="E753" s="2">
        <v>52.5</v>
      </c>
      <c r="F753" s="2">
        <v>0</v>
      </c>
      <c r="G753" s="2">
        <v>3</v>
      </c>
      <c r="H753" s="2">
        <v>17707602</v>
      </c>
      <c r="I753" s="2">
        <v>0</v>
      </c>
      <c r="J753" s="2" t="s">
        <v>1671</v>
      </c>
      <c r="K753" s="2">
        <v>53</v>
      </c>
      <c r="L753" s="2">
        <v>20</v>
      </c>
      <c r="M753" s="2">
        <v>0</v>
      </c>
      <c r="N753" s="2">
        <v>8</v>
      </c>
      <c r="O753" s="2">
        <v>25</v>
      </c>
      <c r="P753" s="2">
        <v>0</v>
      </c>
      <c r="Q753" s="2" t="s">
        <v>1811</v>
      </c>
      <c r="R753" s="2" t="s">
        <v>1812</v>
      </c>
      <c r="S753" s="4">
        <v>44837</v>
      </c>
    </row>
    <row r="754" spans="1:19" ht="12.5" x14ac:dyDescent="0.25">
      <c r="A754" s="14" t="str">
        <f>HYPERLINK("https://gerandofalcoes.my.salesforce.com/0014X00002VKCp5QAH", "0014X00002VKCp5QAH")</f>
        <v>0014X00002VKCp5QAH</v>
      </c>
      <c r="B754" s="2" t="s">
        <v>2289</v>
      </c>
      <c r="C754" s="2" t="s">
        <v>423</v>
      </c>
      <c r="D754" s="2" t="s">
        <v>2</v>
      </c>
      <c r="E754" s="2">
        <v>29</v>
      </c>
      <c r="F754" s="2">
        <v>0</v>
      </c>
      <c r="G754" s="2">
        <v>8</v>
      </c>
      <c r="H754" s="2">
        <v>52000</v>
      </c>
      <c r="I754" s="2">
        <v>2500</v>
      </c>
      <c r="J754" s="2" t="s">
        <v>1671</v>
      </c>
      <c r="K754" s="2">
        <v>55</v>
      </c>
      <c r="L754" s="2">
        <v>15</v>
      </c>
      <c r="M754" s="2">
        <v>0</v>
      </c>
      <c r="N754" s="2">
        <v>10</v>
      </c>
      <c r="O754" s="2">
        <v>10</v>
      </c>
      <c r="P754" s="2">
        <v>20</v>
      </c>
      <c r="Q754" s="2" t="s">
        <v>2290</v>
      </c>
      <c r="R754" s="2" t="s">
        <v>2291</v>
      </c>
      <c r="S754" s="4">
        <v>44837</v>
      </c>
    </row>
    <row r="755" spans="1:19" ht="12.5" x14ac:dyDescent="0.25">
      <c r="A755" s="14" t="str">
        <f>HYPERLINK("https://gerandofalcoes.my.salesforce.com/0014X00002VKCqlQAH", "0014X00002VKCqlQAH")</f>
        <v>0014X00002VKCqlQAH</v>
      </c>
      <c r="B755" s="2" t="s">
        <v>1741</v>
      </c>
      <c r="C755" s="2" t="s">
        <v>423</v>
      </c>
      <c r="D755" s="2" t="s">
        <v>2</v>
      </c>
      <c r="E755" s="2">
        <v>71</v>
      </c>
      <c r="F755" s="2">
        <v>5</v>
      </c>
      <c r="G755" s="2">
        <v>3</v>
      </c>
      <c r="H755" s="2">
        <v>300000</v>
      </c>
      <c r="I755" s="2">
        <v>83</v>
      </c>
      <c r="J755" s="2" t="s">
        <v>1671</v>
      </c>
      <c r="K755" s="2">
        <v>63</v>
      </c>
      <c r="L755" s="2">
        <v>20</v>
      </c>
      <c r="M755" s="2">
        <v>5</v>
      </c>
      <c r="N755" s="2">
        <v>8</v>
      </c>
      <c r="O755" s="2">
        <v>20</v>
      </c>
      <c r="P755" s="2">
        <v>10</v>
      </c>
      <c r="Q755" s="2" t="s">
        <v>1742</v>
      </c>
      <c r="R755" s="2" t="s">
        <v>1743</v>
      </c>
      <c r="S755" s="4">
        <v>44837</v>
      </c>
    </row>
    <row r="756" spans="1:19" ht="12.5" x14ac:dyDescent="0.25">
      <c r="A756" s="14" t="str">
        <f>HYPERLINK("https://gerandofalcoes.my.salesforce.com/0014X00002VKCqaQAH", "0014X00002VKCqaQAH")</f>
        <v>0014X00002VKCqaQAH</v>
      </c>
      <c r="B756" s="2" t="s">
        <v>2277</v>
      </c>
      <c r="C756" s="2" t="s">
        <v>1800</v>
      </c>
      <c r="D756" s="2" t="s">
        <v>2</v>
      </c>
      <c r="E756" s="2">
        <v>30</v>
      </c>
      <c r="F756" s="2">
        <v>0</v>
      </c>
      <c r="G756" s="2">
        <v>2</v>
      </c>
      <c r="H756" s="2">
        <v>0</v>
      </c>
      <c r="I756" s="2">
        <v>10</v>
      </c>
      <c r="J756" s="2" t="s">
        <v>1779</v>
      </c>
      <c r="K756" s="2">
        <v>26</v>
      </c>
      <c r="L756" s="2">
        <v>15</v>
      </c>
      <c r="M756" s="2">
        <v>0</v>
      </c>
      <c r="N756" s="2">
        <v>6</v>
      </c>
      <c r="O756" s="2">
        <v>0</v>
      </c>
      <c r="P756" s="2">
        <v>5</v>
      </c>
      <c r="Q756" s="2" t="s">
        <v>2278</v>
      </c>
      <c r="R756" s="2" t="s">
        <v>2278</v>
      </c>
      <c r="S756" s="4">
        <v>44837</v>
      </c>
    </row>
    <row r="757" spans="1:19" ht="12.5" x14ac:dyDescent="0.25">
      <c r="A757" s="14" t="str">
        <f>HYPERLINK("https://gerandofalcoes.my.salesforce.com/0014X00002VKCqvQAH", "0014X00002VKCqvQAH")</f>
        <v>0014X00002VKCqvQAH</v>
      </c>
      <c r="B757" s="2" t="s">
        <v>2261</v>
      </c>
      <c r="C757" s="2" t="s">
        <v>1800</v>
      </c>
      <c r="D757" s="2" t="s">
        <v>2</v>
      </c>
      <c r="E757" s="2">
        <v>30</v>
      </c>
      <c r="F757" s="2">
        <v>0</v>
      </c>
      <c r="G757" s="2">
        <v>3</v>
      </c>
      <c r="H757" s="2">
        <v>10000</v>
      </c>
      <c r="I757" s="2">
        <v>300</v>
      </c>
      <c r="J757" s="2" t="s">
        <v>1671</v>
      </c>
      <c r="K757" s="2">
        <v>43</v>
      </c>
      <c r="L757" s="2">
        <v>15</v>
      </c>
      <c r="M757" s="2">
        <v>0</v>
      </c>
      <c r="N757" s="2">
        <v>8</v>
      </c>
      <c r="O757" s="2">
        <v>5</v>
      </c>
      <c r="P757" s="2">
        <v>15</v>
      </c>
      <c r="Q757" s="2" t="s">
        <v>2262</v>
      </c>
      <c r="R757" s="2" t="s">
        <v>2263</v>
      </c>
      <c r="S757" s="4">
        <v>44837</v>
      </c>
    </row>
    <row r="758" spans="1:19" ht="12.5" x14ac:dyDescent="0.25">
      <c r="A758" s="14" t="str">
        <f>HYPERLINK("https://gerandofalcoes.my.salesforce.com/0014X00002VKCtpQAH", "0014X00002VKCtpQAH")</f>
        <v>0014X00002VKCtpQAH</v>
      </c>
      <c r="B758" s="2" t="s">
        <v>2616</v>
      </c>
      <c r="C758" s="2" t="s">
        <v>423</v>
      </c>
      <c r="D758" s="2" t="s">
        <v>2</v>
      </c>
      <c r="E758" s="2">
        <v>19</v>
      </c>
      <c r="F758" s="2">
        <v>0</v>
      </c>
      <c r="G758" s="2">
        <v>2</v>
      </c>
      <c r="H758" s="2">
        <v>0</v>
      </c>
      <c r="I758" s="2">
        <v>0</v>
      </c>
      <c r="J758" s="2" t="s">
        <v>1779</v>
      </c>
      <c r="K758" s="2">
        <v>16</v>
      </c>
      <c r="L758" s="2">
        <v>10</v>
      </c>
      <c r="M758" s="2">
        <v>0</v>
      </c>
      <c r="N758" s="2">
        <v>6</v>
      </c>
      <c r="O758" s="2">
        <v>0</v>
      </c>
      <c r="P758" s="2">
        <v>0</v>
      </c>
      <c r="Q758" s="2" t="s">
        <v>2617</v>
      </c>
      <c r="R758" s="2" t="s">
        <v>2618</v>
      </c>
      <c r="S758" s="4">
        <v>44837</v>
      </c>
    </row>
    <row r="759" spans="1:19" ht="12.5" x14ac:dyDescent="0.25">
      <c r="A759" s="14" t="str">
        <f>HYPERLINK("https://gerandofalcoes.my.salesforce.com/0014X00002VKCpkQAH", "0014X00002VKCpkQAH")</f>
        <v>0014X00002VKCpkQAH</v>
      </c>
      <c r="B759" s="2" t="s">
        <v>2096</v>
      </c>
      <c r="C759" s="2" t="s">
        <v>423</v>
      </c>
      <c r="D759" s="2" t="s">
        <v>2</v>
      </c>
      <c r="E759" s="2">
        <v>35</v>
      </c>
      <c r="F759" s="2">
        <v>15</v>
      </c>
      <c r="G759" s="2">
        <v>4</v>
      </c>
      <c r="H759" s="2">
        <v>78000</v>
      </c>
      <c r="I759" s="2">
        <v>240</v>
      </c>
      <c r="J759" s="2" t="s">
        <v>1671</v>
      </c>
      <c r="K759" s="2">
        <v>59</v>
      </c>
      <c r="L759" s="2">
        <v>15</v>
      </c>
      <c r="M759" s="2">
        <v>12</v>
      </c>
      <c r="N759" s="2">
        <v>10</v>
      </c>
      <c r="O759" s="2">
        <v>10</v>
      </c>
      <c r="P759" s="2">
        <v>12</v>
      </c>
      <c r="Q759" s="2" t="s">
        <v>2097</v>
      </c>
      <c r="R759" s="2" t="s">
        <v>2097</v>
      </c>
      <c r="S759" s="4">
        <v>44837</v>
      </c>
    </row>
    <row r="760" spans="1:19" ht="12.5" x14ac:dyDescent="0.25">
      <c r="A760" s="14" t="str">
        <f>HYPERLINK("https://gerandofalcoes.my.salesforce.com/0014X00002VKCs5QAH", "0014X00002VKCs5QAH")</f>
        <v>0014X00002VKCs5QAH</v>
      </c>
      <c r="B760" s="2" t="s">
        <v>2588</v>
      </c>
      <c r="C760" s="2" t="s">
        <v>423</v>
      </c>
      <c r="D760" s="2" t="s">
        <v>2</v>
      </c>
      <c r="E760" s="2">
        <v>42</v>
      </c>
      <c r="F760" s="2">
        <v>0</v>
      </c>
      <c r="G760" s="2">
        <v>3</v>
      </c>
      <c r="H760" s="2">
        <v>140000</v>
      </c>
      <c r="I760" s="2">
        <v>0</v>
      </c>
      <c r="J760" s="2" t="s">
        <v>1779</v>
      </c>
      <c r="K760" s="2">
        <v>38</v>
      </c>
      <c r="L760" s="2">
        <v>15</v>
      </c>
      <c r="M760" s="2">
        <v>0</v>
      </c>
      <c r="N760" s="2">
        <v>8</v>
      </c>
      <c r="O760" s="2">
        <v>15</v>
      </c>
      <c r="P760" s="2">
        <v>0</v>
      </c>
      <c r="Q760" s="2" t="s">
        <v>2589</v>
      </c>
      <c r="R760" s="2" t="s">
        <v>2590</v>
      </c>
      <c r="S760" s="4">
        <v>44837</v>
      </c>
    </row>
    <row r="761" spans="1:19" ht="12.5" x14ac:dyDescent="0.25">
      <c r="A761" s="14" t="str">
        <f>HYPERLINK("https://gerandofalcoes.my.salesforce.com/0014X00002VKCqjQAH", "0014X00002VKCqjQAH")</f>
        <v>0014X00002VKCqjQAH</v>
      </c>
      <c r="B761" s="2" t="s">
        <v>2683</v>
      </c>
      <c r="C761" s="2" t="s">
        <v>423</v>
      </c>
      <c r="D761" s="2" t="s">
        <v>2</v>
      </c>
      <c r="E761" s="2">
        <v>23</v>
      </c>
      <c r="F761" s="2">
        <v>0</v>
      </c>
      <c r="G761" s="2">
        <v>3</v>
      </c>
      <c r="H761" s="2">
        <v>8000</v>
      </c>
      <c r="I761" s="2">
        <v>200</v>
      </c>
      <c r="J761" s="2" t="s">
        <v>1779</v>
      </c>
      <c r="K761" s="2">
        <v>35</v>
      </c>
      <c r="L761" s="2">
        <v>10</v>
      </c>
      <c r="M761" s="2">
        <v>0</v>
      </c>
      <c r="N761" s="2">
        <v>8</v>
      </c>
      <c r="O761" s="2">
        <v>5</v>
      </c>
      <c r="P761" s="2">
        <v>12</v>
      </c>
      <c r="Q761" s="2" t="s">
        <v>2684</v>
      </c>
      <c r="R761" s="2" t="s">
        <v>2685</v>
      </c>
      <c r="S761" s="4">
        <v>44837</v>
      </c>
    </row>
    <row r="762" spans="1:19" ht="12.5" x14ac:dyDescent="0.25">
      <c r="A762" s="14" t="str">
        <f>HYPERLINK("https://gerandofalcoes.my.salesforce.com/0014X00002VKCqoQAH", "0014X00002VKCqoQAH")</f>
        <v>0014X00002VKCqoQAH</v>
      </c>
      <c r="B762" s="2" t="s">
        <v>2076</v>
      </c>
      <c r="C762" s="2" t="s">
        <v>1800</v>
      </c>
      <c r="D762" s="2" t="s">
        <v>2</v>
      </c>
      <c r="E762" s="2">
        <v>36</v>
      </c>
      <c r="F762" s="2">
        <v>1</v>
      </c>
      <c r="G762" s="2">
        <v>7</v>
      </c>
      <c r="H762" s="2">
        <v>13800</v>
      </c>
      <c r="I762" s="2">
        <v>100</v>
      </c>
      <c r="J762" s="2" t="s">
        <v>1671</v>
      </c>
      <c r="K762" s="2">
        <v>45</v>
      </c>
      <c r="L762" s="2">
        <v>15</v>
      </c>
      <c r="M762" s="2">
        <v>5</v>
      </c>
      <c r="N762" s="2">
        <v>10</v>
      </c>
      <c r="O762" s="2">
        <v>5</v>
      </c>
      <c r="P762" s="2">
        <v>10</v>
      </c>
      <c r="Q762" s="2" t="s">
        <v>2077</v>
      </c>
      <c r="R762" s="2" t="s">
        <v>2077</v>
      </c>
      <c r="S762" s="4">
        <v>44837</v>
      </c>
    </row>
    <row r="763" spans="1:19" ht="12.5" x14ac:dyDescent="0.25">
      <c r="A763" s="14" t="str">
        <f>HYPERLINK("https://gerandofalcoes.my.salesforce.com/0014X00002VKCujQAH", "0014X00002VKCujQAH")</f>
        <v>0014X00002VKCujQAH</v>
      </c>
      <c r="B763" s="2" t="s">
        <v>1838</v>
      </c>
      <c r="C763" s="2" t="s">
        <v>423</v>
      </c>
      <c r="D763" s="2" t="s">
        <v>2</v>
      </c>
      <c r="E763" s="2">
        <v>74</v>
      </c>
      <c r="F763" s="2">
        <v>4</v>
      </c>
      <c r="G763" s="2">
        <v>1</v>
      </c>
      <c r="H763" s="2">
        <v>679520</v>
      </c>
      <c r="I763" s="2">
        <v>100</v>
      </c>
      <c r="J763" s="2" t="s">
        <v>1671</v>
      </c>
      <c r="K763" s="2">
        <v>59</v>
      </c>
      <c r="L763" s="2">
        <v>20</v>
      </c>
      <c r="M763" s="2">
        <v>5</v>
      </c>
      <c r="N763" s="2">
        <v>4</v>
      </c>
      <c r="O763" s="2">
        <v>20</v>
      </c>
      <c r="P763" s="2">
        <v>10</v>
      </c>
      <c r="Q763" s="2" t="s">
        <v>1839</v>
      </c>
      <c r="R763" s="2" t="s">
        <v>1840</v>
      </c>
      <c r="S763" s="4">
        <v>44837</v>
      </c>
    </row>
    <row r="764" spans="1:19" ht="12.5" x14ac:dyDescent="0.25">
      <c r="A764" s="14" t="str">
        <f>HYPERLINK("https://gerandofalcoes.my.salesforce.com/0014X00002VKCqOQAX", "0014X00002VKCqOQAX")</f>
        <v>0014X00002VKCqOQAX</v>
      </c>
      <c r="B764" s="2" t="s">
        <v>2521</v>
      </c>
      <c r="C764" s="2" t="s">
        <v>423</v>
      </c>
      <c r="D764" s="2" t="s">
        <v>2</v>
      </c>
      <c r="E764" s="2">
        <v>21</v>
      </c>
      <c r="F764" s="2">
        <v>2</v>
      </c>
      <c r="G764" s="2">
        <v>2</v>
      </c>
      <c r="H764" s="2">
        <v>0</v>
      </c>
      <c r="I764" s="2">
        <v>70</v>
      </c>
      <c r="J764" s="2" t="s">
        <v>1779</v>
      </c>
      <c r="K764" s="2">
        <v>26</v>
      </c>
      <c r="L764" s="2">
        <v>10</v>
      </c>
      <c r="M764" s="2">
        <v>5</v>
      </c>
      <c r="N764" s="2">
        <v>6</v>
      </c>
      <c r="O764" s="2">
        <v>0</v>
      </c>
      <c r="P764" s="2">
        <v>5</v>
      </c>
      <c r="Q764" s="2" t="s">
        <v>2522</v>
      </c>
      <c r="R764" s="2" t="s">
        <v>2522</v>
      </c>
      <c r="S764" s="4">
        <v>44837</v>
      </c>
    </row>
    <row r="765" spans="1:19" ht="12.5" x14ac:dyDescent="0.25">
      <c r="A765" s="14" t="str">
        <f>HYPERLINK("https://gerandofalcoes.my.salesforce.com/0014P00003Ck7X8QAJ", "0014P00003Ck7X8QAJ")</f>
        <v>0014P00003Ck7X8QAJ</v>
      </c>
      <c r="B765" s="2" t="s">
        <v>2809</v>
      </c>
      <c r="C765" s="2" t="s">
        <v>423</v>
      </c>
      <c r="D765" s="2" t="s">
        <v>2</v>
      </c>
      <c r="E765" s="2">
        <v>11</v>
      </c>
      <c r="F765" s="2">
        <v>0</v>
      </c>
      <c r="G765" s="2">
        <v>0</v>
      </c>
      <c r="H765" s="2">
        <v>12550</v>
      </c>
      <c r="I765" s="2">
        <v>50</v>
      </c>
      <c r="J765" s="2" t="s">
        <v>1779</v>
      </c>
      <c r="K765" s="2">
        <v>20</v>
      </c>
      <c r="L765" s="2">
        <v>10</v>
      </c>
      <c r="M765" s="2">
        <v>0</v>
      </c>
      <c r="N765" s="2">
        <v>0</v>
      </c>
      <c r="O765" s="2">
        <v>5</v>
      </c>
      <c r="P765" s="2">
        <v>5</v>
      </c>
      <c r="Q765" s="2" t="s">
        <v>891</v>
      </c>
      <c r="R765" s="2" t="s">
        <v>891</v>
      </c>
      <c r="S765" s="4">
        <v>44837</v>
      </c>
    </row>
    <row r="766" spans="1:19" ht="12.5" x14ac:dyDescent="0.25">
      <c r="A766" s="14" t="str">
        <f>HYPERLINK("https://gerandofalcoes.my.salesforce.com/0014X00002VKCuiQAH", "0014X00002VKCuiQAH")</f>
        <v>0014X00002VKCuiQAH</v>
      </c>
      <c r="B766" s="2" t="s">
        <v>1902</v>
      </c>
      <c r="C766" s="2" t="s">
        <v>423</v>
      </c>
      <c r="D766" s="2" t="s">
        <v>2</v>
      </c>
      <c r="E766" s="2">
        <v>51</v>
      </c>
      <c r="F766" s="2">
        <v>17</v>
      </c>
      <c r="G766" s="2">
        <v>7</v>
      </c>
      <c r="H766" s="2">
        <v>359673</v>
      </c>
      <c r="I766" s="2">
        <v>32</v>
      </c>
      <c r="J766" s="2" t="s">
        <v>1650</v>
      </c>
      <c r="K766" s="2">
        <v>67</v>
      </c>
      <c r="L766" s="2">
        <v>20</v>
      </c>
      <c r="M766" s="2">
        <v>12</v>
      </c>
      <c r="N766" s="2">
        <v>10</v>
      </c>
      <c r="O766" s="2">
        <v>20</v>
      </c>
      <c r="P766" s="2">
        <v>5</v>
      </c>
      <c r="Q766" s="2" t="s">
        <v>1903</v>
      </c>
      <c r="R766" s="2" t="s">
        <v>1904</v>
      </c>
      <c r="S766" s="4">
        <v>44837</v>
      </c>
    </row>
    <row r="767" spans="1:19" ht="12.5" x14ac:dyDescent="0.25">
      <c r="A767" s="14" t="str">
        <f>HYPERLINK("https://gerandofalcoes.my.salesforce.com/0014X00002VKCqJQAX", "0014X00002VKCqJQAX")</f>
        <v>0014X00002VKCqJQAX</v>
      </c>
      <c r="B767" s="2" t="s">
        <v>7178</v>
      </c>
      <c r="C767" s="2" t="s">
        <v>423</v>
      </c>
      <c r="D767" s="2" t="s">
        <v>2</v>
      </c>
      <c r="E767" s="2">
        <v>27</v>
      </c>
      <c r="F767" s="2">
        <v>0</v>
      </c>
      <c r="G767" s="2">
        <v>1</v>
      </c>
      <c r="H767" s="2">
        <v>16278</v>
      </c>
      <c r="I767" s="2">
        <v>100</v>
      </c>
      <c r="J767" s="2" t="s">
        <v>1779</v>
      </c>
      <c r="K767" s="2">
        <v>34</v>
      </c>
      <c r="L767" s="2">
        <v>15</v>
      </c>
      <c r="M767" s="2">
        <v>0</v>
      </c>
      <c r="N767" s="2">
        <v>4</v>
      </c>
      <c r="O767" s="2">
        <v>5</v>
      </c>
      <c r="P767" s="2">
        <v>10</v>
      </c>
      <c r="Q767" s="2" t="s">
        <v>2869</v>
      </c>
      <c r="R767" s="2" t="s">
        <v>2870</v>
      </c>
      <c r="S767" s="4">
        <v>44837</v>
      </c>
    </row>
    <row r="768" spans="1:19" ht="12.5" x14ac:dyDescent="0.25">
      <c r="A768" s="14" t="str">
        <f>HYPERLINK("https://gerandofalcoes.my.salesforce.com/0014X00002VKCu7QAH", "0014X00002VKCu7QAH")</f>
        <v>0014X00002VKCu7QAH</v>
      </c>
      <c r="B768" s="2" t="s">
        <v>2777</v>
      </c>
      <c r="C768" s="2" t="s">
        <v>423</v>
      </c>
      <c r="D768" s="2" t="s">
        <v>2</v>
      </c>
      <c r="E768" s="2">
        <v>20</v>
      </c>
      <c r="F768" s="2">
        <v>4</v>
      </c>
      <c r="G768" s="2">
        <v>2</v>
      </c>
      <c r="H768" s="2">
        <v>64700000</v>
      </c>
      <c r="I768" s="2">
        <v>210</v>
      </c>
      <c r="J768" s="2" t="s">
        <v>1671</v>
      </c>
      <c r="K768" s="2">
        <v>58</v>
      </c>
      <c r="L768" s="2">
        <v>10</v>
      </c>
      <c r="M768" s="2">
        <v>5</v>
      </c>
      <c r="N768" s="2">
        <v>6</v>
      </c>
      <c r="O768" s="2">
        <v>25</v>
      </c>
      <c r="P768" s="2">
        <v>12</v>
      </c>
      <c r="Q768" s="2" t="s">
        <v>2778</v>
      </c>
      <c r="R768" s="2" t="s">
        <v>2779</v>
      </c>
      <c r="S768" s="4">
        <v>44837</v>
      </c>
    </row>
    <row r="769" spans="1:19" ht="12.5" x14ac:dyDescent="0.25">
      <c r="A769" s="14" t="str">
        <f>HYPERLINK("https://gerandofalcoes.my.salesforce.com/0014X00002VKCs0QAH", "0014X00002VKCs0QAH")</f>
        <v>0014X00002VKCs0QAH</v>
      </c>
      <c r="B769" s="2" t="s">
        <v>1918</v>
      </c>
      <c r="C769" s="2" t="s">
        <v>423</v>
      </c>
      <c r="D769" s="2" t="s">
        <v>2</v>
      </c>
      <c r="E769" s="2">
        <v>42.91</v>
      </c>
      <c r="F769" s="2">
        <v>0</v>
      </c>
      <c r="G769" s="2">
        <v>2</v>
      </c>
      <c r="H769" s="2">
        <v>500000</v>
      </c>
      <c r="I769" s="2">
        <v>130</v>
      </c>
      <c r="J769" s="2" t="s">
        <v>1671</v>
      </c>
      <c r="K769" s="2">
        <v>51</v>
      </c>
      <c r="L769" s="2">
        <v>15</v>
      </c>
      <c r="M769" s="2">
        <v>0</v>
      </c>
      <c r="N769" s="2">
        <v>6</v>
      </c>
      <c r="O769" s="2">
        <v>20</v>
      </c>
      <c r="P769" s="2">
        <v>10</v>
      </c>
      <c r="Q769" s="2" t="s">
        <v>1919</v>
      </c>
      <c r="R769" s="2" t="s">
        <v>1920</v>
      </c>
      <c r="S769" s="4">
        <v>44837</v>
      </c>
    </row>
    <row r="770" spans="1:19" ht="12.5" x14ac:dyDescent="0.25">
      <c r="A770" s="14" t="str">
        <f>HYPERLINK("https://gerandofalcoes.my.salesforce.com/0014X00002VKCq8QAH", "0014X00002VKCq8QAH")</f>
        <v>0014X00002VKCq8QAH</v>
      </c>
      <c r="B770" s="2" t="s">
        <v>7179</v>
      </c>
      <c r="C770" s="2" t="s">
        <v>1800</v>
      </c>
      <c r="D770" s="2" t="s">
        <v>2</v>
      </c>
      <c r="E770" s="2">
        <v>15</v>
      </c>
      <c r="F770" s="2">
        <v>0</v>
      </c>
      <c r="G770" s="2">
        <v>3</v>
      </c>
      <c r="H770" s="2">
        <v>7000</v>
      </c>
      <c r="I770" s="2">
        <v>70</v>
      </c>
      <c r="J770" s="2" t="s">
        <v>1779</v>
      </c>
      <c r="K770" s="2">
        <v>28</v>
      </c>
      <c r="L770" s="2">
        <v>10</v>
      </c>
      <c r="M770" s="2">
        <v>0</v>
      </c>
      <c r="N770" s="2">
        <v>8</v>
      </c>
      <c r="O770" s="2">
        <v>5</v>
      </c>
      <c r="P770" s="2">
        <v>5</v>
      </c>
      <c r="Q770" s="2" t="s">
        <v>2722</v>
      </c>
      <c r="R770" s="2" t="s">
        <v>2723</v>
      </c>
      <c r="S770" s="4">
        <v>44837</v>
      </c>
    </row>
    <row r="771" spans="1:19" ht="12.5" x14ac:dyDescent="0.25">
      <c r="A771" s="14" t="str">
        <f>HYPERLINK("https://gerandofalcoes.my.salesforce.com/0014X00002VKCpuQAH", "0014X00002VKCpuQAH")</f>
        <v>0014X00002VKCpuQAH</v>
      </c>
      <c r="B771" s="2" t="s">
        <v>2387</v>
      </c>
      <c r="C771" s="2" t="s">
        <v>423</v>
      </c>
      <c r="D771" s="2" t="s">
        <v>2</v>
      </c>
      <c r="E771" s="2">
        <v>36</v>
      </c>
      <c r="F771" s="2">
        <v>0</v>
      </c>
      <c r="G771" s="2">
        <v>2</v>
      </c>
      <c r="H771" s="2">
        <v>40000</v>
      </c>
      <c r="I771" s="2">
        <v>50</v>
      </c>
      <c r="J771" s="2" t="s">
        <v>1779</v>
      </c>
      <c r="K771" s="2">
        <v>36</v>
      </c>
      <c r="L771" s="2">
        <v>15</v>
      </c>
      <c r="M771" s="2">
        <v>0</v>
      </c>
      <c r="N771" s="2">
        <v>6</v>
      </c>
      <c r="O771" s="2">
        <v>10</v>
      </c>
      <c r="P771" s="2">
        <v>5</v>
      </c>
      <c r="Q771" s="2" t="s">
        <v>2388</v>
      </c>
      <c r="R771" s="2" t="s">
        <v>2389</v>
      </c>
      <c r="S771" s="4">
        <v>44837</v>
      </c>
    </row>
    <row r="772" spans="1:19" ht="12.5" x14ac:dyDescent="0.25">
      <c r="A772" s="14" t="str">
        <f>HYPERLINK("https://gerandofalcoes.my.salesforce.com/0014X00002VKCp1QAH", "0014X00002VKCp1QAH")</f>
        <v>0014X00002VKCp1QAH</v>
      </c>
      <c r="B772" s="2" t="s">
        <v>2223</v>
      </c>
      <c r="C772" s="2" t="s">
        <v>1800</v>
      </c>
      <c r="D772" s="2" t="s">
        <v>2</v>
      </c>
      <c r="E772" s="2">
        <v>32</v>
      </c>
      <c r="F772" s="2">
        <v>5</v>
      </c>
      <c r="G772" s="2">
        <v>9</v>
      </c>
      <c r="H772" s="2">
        <v>12000</v>
      </c>
      <c r="I772" s="2">
        <v>60</v>
      </c>
      <c r="J772" s="2" t="s">
        <v>1671</v>
      </c>
      <c r="K772" s="2">
        <v>40</v>
      </c>
      <c r="L772" s="2">
        <v>15</v>
      </c>
      <c r="M772" s="2">
        <v>5</v>
      </c>
      <c r="N772" s="2">
        <v>10</v>
      </c>
      <c r="O772" s="2">
        <v>5</v>
      </c>
      <c r="P772" s="2">
        <v>5</v>
      </c>
      <c r="Q772" s="2" t="s">
        <v>2224</v>
      </c>
      <c r="R772" s="2" t="s">
        <v>2224</v>
      </c>
      <c r="S772" s="4">
        <v>44837</v>
      </c>
    </row>
    <row r="773" spans="1:19" ht="12.5" x14ac:dyDescent="0.25">
      <c r="A773" s="14" t="str">
        <f>HYPERLINK("https://gerandofalcoes.my.salesforce.com/0014X00002VKCtzQAH", "0014X00002VKCtzQAH")</f>
        <v>0014X00002VKCtzQAH</v>
      </c>
      <c r="B773" s="2" t="s">
        <v>2557</v>
      </c>
      <c r="C773" s="2" t="s">
        <v>423</v>
      </c>
      <c r="D773" s="2" t="s">
        <v>2</v>
      </c>
      <c r="E773" s="2">
        <v>20</v>
      </c>
      <c r="F773" s="2">
        <v>0</v>
      </c>
      <c r="G773" s="2">
        <v>2</v>
      </c>
      <c r="H773" s="2">
        <v>55000</v>
      </c>
      <c r="I773" s="2">
        <v>50</v>
      </c>
      <c r="J773" s="2" t="s">
        <v>1779</v>
      </c>
      <c r="K773" s="2">
        <v>31</v>
      </c>
      <c r="L773" s="2">
        <v>10</v>
      </c>
      <c r="M773" s="2">
        <v>0</v>
      </c>
      <c r="N773" s="2">
        <v>6</v>
      </c>
      <c r="O773" s="2">
        <v>10</v>
      </c>
      <c r="P773" s="2">
        <v>5</v>
      </c>
      <c r="Q773" s="2" t="s">
        <v>2558</v>
      </c>
      <c r="R773" s="2" t="s">
        <v>2558</v>
      </c>
      <c r="S773" s="4">
        <v>44837</v>
      </c>
    </row>
    <row r="774" spans="1:19" ht="12.5" x14ac:dyDescent="0.25">
      <c r="A774" s="14" t="str">
        <f>HYPERLINK("https://gerandofalcoes.my.salesforce.com/0014X00002VKCoyQAH", "0014X00002VKCoyQAH")</f>
        <v>0014X00002VKCoyQAH</v>
      </c>
      <c r="B774" s="2" t="s">
        <v>1935</v>
      </c>
      <c r="C774" s="2" t="s">
        <v>423</v>
      </c>
      <c r="D774" s="2" t="s">
        <v>2</v>
      </c>
      <c r="E774" s="2">
        <v>45</v>
      </c>
      <c r="F774" s="2">
        <v>1</v>
      </c>
      <c r="G774" s="2">
        <v>3</v>
      </c>
      <c r="H774" s="2">
        <v>360000</v>
      </c>
      <c r="I774" s="2">
        <v>105</v>
      </c>
      <c r="J774" s="2" t="s">
        <v>1671</v>
      </c>
      <c r="K774" s="2">
        <v>58</v>
      </c>
      <c r="L774" s="2">
        <v>15</v>
      </c>
      <c r="M774" s="2">
        <v>5</v>
      </c>
      <c r="N774" s="2">
        <v>8</v>
      </c>
      <c r="O774" s="2">
        <v>20</v>
      </c>
      <c r="P774" s="2">
        <v>10</v>
      </c>
      <c r="Q774" s="2" t="s">
        <v>1936</v>
      </c>
      <c r="R774" s="2" t="s">
        <v>1937</v>
      </c>
      <c r="S774" s="4">
        <v>44837</v>
      </c>
    </row>
    <row r="775" spans="1:19" ht="12.5" x14ac:dyDescent="0.25">
      <c r="A775" s="14" t="str">
        <f>HYPERLINK("https://gerandofalcoes.my.salesforce.com/0014X00002VKCs4QAH", "0014X00002VKCs4QAH")</f>
        <v>0014X00002VKCs4QAH</v>
      </c>
      <c r="B775" s="2" t="s">
        <v>2487</v>
      </c>
      <c r="C775" s="2" t="s">
        <v>1800</v>
      </c>
      <c r="D775" s="2" t="s">
        <v>2</v>
      </c>
      <c r="E775" s="2">
        <v>22</v>
      </c>
      <c r="F775" s="2">
        <v>0</v>
      </c>
      <c r="G775" s="2">
        <v>2</v>
      </c>
      <c r="H775" s="2">
        <v>0</v>
      </c>
      <c r="I775" s="2">
        <v>10</v>
      </c>
      <c r="J775" s="2" t="s">
        <v>1779</v>
      </c>
      <c r="K775" s="2">
        <v>21</v>
      </c>
      <c r="L775" s="2">
        <v>10</v>
      </c>
      <c r="M775" s="2">
        <v>0</v>
      </c>
      <c r="N775" s="2">
        <v>6</v>
      </c>
      <c r="O775" s="2">
        <v>0</v>
      </c>
      <c r="P775" s="2">
        <v>5</v>
      </c>
      <c r="Q775" s="2" t="s">
        <v>2488</v>
      </c>
      <c r="R775" s="2" t="s">
        <v>2489</v>
      </c>
      <c r="S775" s="4">
        <v>44837</v>
      </c>
    </row>
    <row r="776" spans="1:19" ht="12.5" x14ac:dyDescent="0.25">
      <c r="A776" s="14" t="str">
        <f>HYPERLINK("https://gerandofalcoes.my.salesforce.com/0014X00002VKCpEQAX", "0014X00002VKCpEQAX")</f>
        <v>0014X00002VKCpEQAX</v>
      </c>
      <c r="B776" s="2" t="s">
        <v>2404</v>
      </c>
      <c r="C776" s="2" t="s">
        <v>423</v>
      </c>
      <c r="D776" s="2" t="s">
        <v>2</v>
      </c>
      <c r="E776" s="2">
        <v>25</v>
      </c>
      <c r="F776" s="2">
        <v>11</v>
      </c>
      <c r="G776" s="2">
        <v>2</v>
      </c>
      <c r="H776" s="2">
        <v>40000</v>
      </c>
      <c r="I776" s="2">
        <v>276</v>
      </c>
      <c r="J776" s="2" t="s">
        <v>1671</v>
      </c>
      <c r="K776" s="2">
        <v>55</v>
      </c>
      <c r="L776" s="2">
        <v>15</v>
      </c>
      <c r="M776" s="2">
        <v>12</v>
      </c>
      <c r="N776" s="2">
        <v>6</v>
      </c>
      <c r="O776" s="2">
        <v>10</v>
      </c>
      <c r="P776" s="2">
        <v>12</v>
      </c>
      <c r="Q776" s="2" t="s">
        <v>2405</v>
      </c>
      <c r="R776" s="2" t="s">
        <v>2406</v>
      </c>
      <c r="S776" s="4">
        <v>44837</v>
      </c>
    </row>
    <row r="777" spans="1:19" ht="12.5" x14ac:dyDescent="0.25">
      <c r="A777" s="14" t="str">
        <f>HYPERLINK("https://gerandofalcoes.my.salesforce.com/0014X00002VKCrKQAX", "0014X00002VKCrKQAX")</f>
        <v>0014X00002VKCrKQAX</v>
      </c>
      <c r="B777" s="2" t="s">
        <v>2562</v>
      </c>
      <c r="C777" s="2" t="s">
        <v>1800</v>
      </c>
      <c r="D777" s="2" t="s">
        <v>2</v>
      </c>
      <c r="E777" s="2">
        <v>20</v>
      </c>
      <c r="F777" s="2">
        <v>7</v>
      </c>
      <c r="G777" s="2">
        <v>5</v>
      </c>
      <c r="H777" s="2">
        <v>2000</v>
      </c>
      <c r="I777" s="2">
        <v>20</v>
      </c>
      <c r="J777" s="2" t="s">
        <v>1671</v>
      </c>
      <c r="K777" s="2">
        <v>40</v>
      </c>
      <c r="L777" s="2">
        <v>10</v>
      </c>
      <c r="M777" s="2">
        <v>10</v>
      </c>
      <c r="N777" s="2">
        <v>10</v>
      </c>
      <c r="O777" s="2">
        <v>5</v>
      </c>
      <c r="P777" s="2">
        <v>5</v>
      </c>
      <c r="Q777" s="2" t="s">
        <v>2563</v>
      </c>
      <c r="R777" s="2" t="s">
        <v>2564</v>
      </c>
      <c r="S777" s="4">
        <v>44837</v>
      </c>
    </row>
    <row r="778" spans="1:19" ht="12.5" x14ac:dyDescent="0.25">
      <c r="A778" s="14" t="str">
        <f>HYPERLINK("https://gerandofalcoes.my.salesforce.com/0014X00002VKCt6QAH", "0014X00002VKCt6QAH")</f>
        <v>0014X00002VKCt6QAH</v>
      </c>
      <c r="B778" s="2" t="s">
        <v>2531</v>
      </c>
      <c r="C778" s="2" t="s">
        <v>1800</v>
      </c>
      <c r="D778" s="2" t="s">
        <v>2</v>
      </c>
      <c r="E778" s="2">
        <v>21</v>
      </c>
      <c r="F778" s="2">
        <v>15</v>
      </c>
      <c r="G778" s="2">
        <v>3</v>
      </c>
      <c r="H778" s="2">
        <v>4500</v>
      </c>
      <c r="I778" s="2">
        <v>10</v>
      </c>
      <c r="J778" s="2" t="s">
        <v>1671</v>
      </c>
      <c r="K778" s="2">
        <v>40</v>
      </c>
      <c r="L778" s="2">
        <v>10</v>
      </c>
      <c r="M778" s="2">
        <v>12</v>
      </c>
      <c r="N778" s="2">
        <v>8</v>
      </c>
      <c r="O778" s="2">
        <v>5</v>
      </c>
      <c r="P778" s="2">
        <v>5</v>
      </c>
      <c r="Q778" s="2" t="s">
        <v>2532</v>
      </c>
      <c r="R778" s="2" t="s">
        <v>2533</v>
      </c>
      <c r="S778" s="4">
        <v>44837</v>
      </c>
    </row>
    <row r="779" spans="1:19" ht="12.5" x14ac:dyDescent="0.25">
      <c r="A779" s="14" t="str">
        <f>HYPERLINK("https://gerandofalcoes.my.salesforce.com/0014X00002VKCq6QAH", "0014X00002VKCq6QAH")</f>
        <v>0014X00002VKCq6QAH</v>
      </c>
      <c r="B779" s="2" t="s">
        <v>1773</v>
      </c>
      <c r="C779" s="2" t="s">
        <v>423</v>
      </c>
      <c r="D779" s="2" t="s">
        <v>2</v>
      </c>
      <c r="E779" s="2">
        <v>58.49</v>
      </c>
      <c r="F779" s="2">
        <v>0</v>
      </c>
      <c r="G779" s="2">
        <v>3</v>
      </c>
      <c r="H779" s="2">
        <v>6124615</v>
      </c>
      <c r="I779" s="2">
        <v>0</v>
      </c>
      <c r="J779" s="2" t="s">
        <v>1671</v>
      </c>
      <c r="K779" s="2">
        <v>53</v>
      </c>
      <c r="L779" s="2">
        <v>20</v>
      </c>
      <c r="M779" s="2">
        <v>0</v>
      </c>
      <c r="N779" s="2">
        <v>8</v>
      </c>
      <c r="O779" s="2">
        <v>25</v>
      </c>
      <c r="P779" s="2">
        <v>0</v>
      </c>
      <c r="Q779" s="2" t="s">
        <v>1774</v>
      </c>
      <c r="R779" s="2" t="s">
        <v>1775</v>
      </c>
      <c r="S779" s="4">
        <v>44837</v>
      </c>
    </row>
    <row r="780" spans="1:19" ht="12.5" x14ac:dyDescent="0.25">
      <c r="A780" s="14" t="str">
        <f>HYPERLINK("https://gerandofalcoes.my.salesforce.com/0014X00002VKCqBQAX", "0014X00002VKCqBQAX")</f>
        <v>0014X00002VKCqBQAX</v>
      </c>
      <c r="B780" s="2" t="s">
        <v>1949</v>
      </c>
      <c r="C780" s="2" t="s">
        <v>423</v>
      </c>
      <c r="D780" s="2" t="s">
        <v>2</v>
      </c>
      <c r="E780" s="2">
        <v>41</v>
      </c>
      <c r="F780" s="2">
        <v>6</v>
      </c>
      <c r="G780" s="2">
        <v>1</v>
      </c>
      <c r="H780" s="2">
        <v>109000</v>
      </c>
      <c r="I780" s="2">
        <v>154</v>
      </c>
      <c r="J780" s="2" t="s">
        <v>1671</v>
      </c>
      <c r="K780" s="2">
        <v>56</v>
      </c>
      <c r="L780" s="2">
        <v>15</v>
      </c>
      <c r="M780" s="2">
        <v>10</v>
      </c>
      <c r="N780" s="2">
        <v>4</v>
      </c>
      <c r="O780" s="2">
        <v>15</v>
      </c>
      <c r="P780" s="2">
        <v>12</v>
      </c>
      <c r="Q780" s="2" t="s">
        <v>1950</v>
      </c>
      <c r="R780" s="2" t="s">
        <v>1951</v>
      </c>
      <c r="S780" s="4">
        <v>44837</v>
      </c>
    </row>
    <row r="781" spans="1:19" ht="12.5" x14ac:dyDescent="0.25">
      <c r="A781" s="14" t="str">
        <f>HYPERLINK("https://gerandofalcoes.my.salesforce.com/0014P00003YSpAJQA1", "0014P00003YSpAJQA1")</f>
        <v>0014P00003YSpAJQA1</v>
      </c>
      <c r="B781" s="2" t="s">
        <v>1822</v>
      </c>
      <c r="C781" s="2" t="s">
        <v>423</v>
      </c>
      <c r="D781" s="2" t="s">
        <v>2</v>
      </c>
      <c r="E781" s="2">
        <v>39</v>
      </c>
      <c r="F781" s="2">
        <v>3</v>
      </c>
      <c r="G781" s="2">
        <v>6</v>
      </c>
      <c r="H781" s="2">
        <v>1556030</v>
      </c>
      <c r="I781" s="2">
        <v>200</v>
      </c>
      <c r="J781" s="2" t="s">
        <v>1650</v>
      </c>
      <c r="K781" s="2">
        <v>67</v>
      </c>
      <c r="L781" s="2">
        <v>15</v>
      </c>
      <c r="M781" s="2">
        <v>5</v>
      </c>
      <c r="N781" s="2">
        <v>10</v>
      </c>
      <c r="O781" s="2">
        <v>25</v>
      </c>
      <c r="P781" s="2">
        <v>12</v>
      </c>
      <c r="Q781" s="2" t="s">
        <v>1823</v>
      </c>
      <c r="R781" s="2" t="s">
        <v>1823</v>
      </c>
      <c r="S781" s="4">
        <v>44837</v>
      </c>
    </row>
    <row r="782" spans="1:19" ht="12.5" x14ac:dyDescent="0.25">
      <c r="A782" s="14" t="str">
        <f>HYPERLINK("https://gerandofalcoes.my.salesforce.com/0014P00003YSpAKQA1", "0014P00003YSpAKQA1")</f>
        <v>0014P00003YSpAKQA1</v>
      </c>
      <c r="B782" s="2" t="s">
        <v>2245</v>
      </c>
      <c r="C782" s="2" t="s">
        <v>1800</v>
      </c>
      <c r="D782" s="2" t="s">
        <v>2</v>
      </c>
      <c r="E782" s="2">
        <v>31</v>
      </c>
      <c r="F782" s="2">
        <v>0</v>
      </c>
      <c r="G782" s="2">
        <v>2</v>
      </c>
      <c r="H782" s="2">
        <v>15000</v>
      </c>
      <c r="I782" s="2">
        <v>0</v>
      </c>
      <c r="J782" s="2" t="s">
        <v>1779</v>
      </c>
      <c r="K782" s="2">
        <v>26</v>
      </c>
      <c r="L782" s="2">
        <v>15</v>
      </c>
      <c r="M782" s="2">
        <v>0</v>
      </c>
      <c r="N782" s="2">
        <v>6</v>
      </c>
      <c r="O782" s="2">
        <v>5</v>
      </c>
      <c r="P782" s="2">
        <v>0</v>
      </c>
      <c r="Q782" s="2" t="s">
        <v>2246</v>
      </c>
      <c r="R782" s="2" t="s">
        <v>2246</v>
      </c>
      <c r="S782" s="4">
        <v>44837</v>
      </c>
    </row>
    <row r="783" spans="1:19" ht="12.5" x14ac:dyDescent="0.25">
      <c r="A783" s="14" t="str">
        <f>HYPERLINK("https://gerandofalcoes.my.salesforce.com/0014P00003YSpALQA1", "0014P00003YSpALQA1")</f>
        <v>0014P00003YSpALQA1</v>
      </c>
      <c r="B783" s="2" t="s">
        <v>2106</v>
      </c>
      <c r="C783" s="2" t="s">
        <v>423</v>
      </c>
      <c r="D783" s="2" t="s">
        <v>2</v>
      </c>
      <c r="E783" s="2">
        <v>35</v>
      </c>
      <c r="F783" s="2">
        <v>7</v>
      </c>
      <c r="G783" s="2">
        <v>6</v>
      </c>
      <c r="H783" s="2">
        <v>83455</v>
      </c>
      <c r="I783" s="2">
        <v>81</v>
      </c>
      <c r="J783" s="2" t="s">
        <v>1671</v>
      </c>
      <c r="K783" s="2">
        <v>55</v>
      </c>
      <c r="L783" s="2">
        <v>15</v>
      </c>
      <c r="M783" s="2">
        <v>10</v>
      </c>
      <c r="N783" s="2">
        <v>10</v>
      </c>
      <c r="O783" s="2">
        <v>10</v>
      </c>
      <c r="P783" s="2">
        <v>10</v>
      </c>
      <c r="Q783" s="2" t="s">
        <v>2107</v>
      </c>
      <c r="R783" s="2" t="s">
        <v>2108</v>
      </c>
      <c r="S783" s="4">
        <v>44837</v>
      </c>
    </row>
    <row r="784" spans="1:19" ht="12.5" x14ac:dyDescent="0.25">
      <c r="A784" s="14" t="str">
        <f>HYPERLINK("https://gerandofalcoes.my.salesforce.com/0014P00003YSpAMQA1", "0014P00003YSpAMQA1")</f>
        <v>0014P00003YSpAMQA1</v>
      </c>
      <c r="B784" s="2" t="s">
        <v>2240</v>
      </c>
      <c r="C784" s="2" t="s">
        <v>1800</v>
      </c>
      <c r="D784" s="2" t="s">
        <v>2</v>
      </c>
      <c r="E784" s="2">
        <v>31</v>
      </c>
      <c r="F784" s="2">
        <v>0</v>
      </c>
      <c r="G784" s="2">
        <v>2</v>
      </c>
      <c r="H784" s="2">
        <v>8000</v>
      </c>
      <c r="I784" s="2">
        <v>21</v>
      </c>
      <c r="J784" s="2" t="s">
        <v>1779</v>
      </c>
      <c r="K784" s="2">
        <v>31</v>
      </c>
      <c r="L784" s="2">
        <v>15</v>
      </c>
      <c r="M784" s="2">
        <v>0</v>
      </c>
      <c r="N784" s="2">
        <v>6</v>
      </c>
      <c r="O784" s="2">
        <v>5</v>
      </c>
      <c r="P784" s="2">
        <v>5</v>
      </c>
      <c r="Q784" s="2" t="s">
        <v>2241</v>
      </c>
      <c r="R784" s="2" t="s">
        <v>2242</v>
      </c>
      <c r="S784" s="4">
        <v>44837</v>
      </c>
    </row>
    <row r="785" spans="1:19" ht="12.5" x14ac:dyDescent="0.25">
      <c r="A785" s="14" t="str">
        <f>HYPERLINK("https://gerandofalcoes.my.salesforce.com/0014P00003YSpA6QAL", "0014P00003YSpA6QAL")</f>
        <v>0014P00003YSpA6QAL</v>
      </c>
      <c r="B785" s="2" t="s">
        <v>2060</v>
      </c>
      <c r="C785" s="2" t="s">
        <v>1800</v>
      </c>
      <c r="D785" s="2" t="s">
        <v>2</v>
      </c>
      <c r="E785" s="2">
        <v>37</v>
      </c>
      <c r="F785" s="2">
        <v>27</v>
      </c>
      <c r="G785" s="2">
        <v>3</v>
      </c>
      <c r="H785" s="2">
        <v>132000</v>
      </c>
      <c r="I785" s="2">
        <v>0</v>
      </c>
      <c r="J785" s="2" t="s">
        <v>1671</v>
      </c>
      <c r="K785" s="2">
        <v>50</v>
      </c>
      <c r="L785" s="2">
        <v>15</v>
      </c>
      <c r="M785" s="2">
        <v>12</v>
      </c>
      <c r="N785" s="2">
        <v>8</v>
      </c>
      <c r="O785" s="2">
        <v>15</v>
      </c>
      <c r="P785" s="2">
        <v>0</v>
      </c>
      <c r="Q785" s="2" t="s">
        <v>2061</v>
      </c>
      <c r="R785" s="2" t="s">
        <v>2061</v>
      </c>
      <c r="S785" s="4">
        <v>44837</v>
      </c>
    </row>
    <row r="786" spans="1:19" ht="12.5" x14ac:dyDescent="0.25">
      <c r="A786" s="14" t="str">
        <f>HYPERLINK("https://gerandofalcoes.my.salesforce.com/0014P00003YSpP9QAL", "0014P00003YSpP9QAL")</f>
        <v>0014P00003YSpP9QAL</v>
      </c>
      <c r="B786" s="2" t="s">
        <v>2752</v>
      </c>
      <c r="C786" s="2" t="s">
        <v>423</v>
      </c>
      <c r="D786" s="2" t="s">
        <v>2</v>
      </c>
      <c r="E786" s="2">
        <v>14</v>
      </c>
      <c r="F786" s="2">
        <v>0</v>
      </c>
      <c r="G786" s="2">
        <v>12</v>
      </c>
      <c r="H786" s="2">
        <v>13000</v>
      </c>
      <c r="I786" s="2">
        <v>208</v>
      </c>
      <c r="J786" s="2" t="s">
        <v>1779</v>
      </c>
      <c r="K786" s="2">
        <v>37</v>
      </c>
      <c r="L786" s="2">
        <v>10</v>
      </c>
      <c r="M786" s="2">
        <v>0</v>
      </c>
      <c r="N786" s="2">
        <v>10</v>
      </c>
      <c r="O786" s="2">
        <v>5</v>
      </c>
      <c r="P786" s="2">
        <v>12</v>
      </c>
      <c r="Q786" s="2" t="s">
        <v>2753</v>
      </c>
      <c r="R786" s="2" t="s">
        <v>2754</v>
      </c>
      <c r="S786" s="4">
        <v>44837</v>
      </c>
    </row>
    <row r="787" spans="1:19" ht="12.5" x14ac:dyDescent="0.25">
      <c r="A787" s="14" t="str">
        <f>HYPERLINK("https://gerandofalcoes.my.salesforce.com/0014P00003AN2GIQA1", "0014P00003AN2GIQA1")</f>
        <v>0014P00003AN2GIQA1</v>
      </c>
      <c r="B787" s="2" t="s">
        <v>1661</v>
      </c>
      <c r="C787" s="2" t="s">
        <v>423</v>
      </c>
      <c r="D787" s="2" t="s">
        <v>27</v>
      </c>
      <c r="E787" s="2">
        <v>95</v>
      </c>
      <c r="F787" s="2">
        <v>5</v>
      </c>
      <c r="G787" s="2">
        <v>3</v>
      </c>
      <c r="H787" s="2">
        <v>133580.48000000001</v>
      </c>
      <c r="I787" s="2">
        <v>82</v>
      </c>
      <c r="J787" s="2" t="s">
        <v>1650</v>
      </c>
      <c r="K787" s="2">
        <v>68</v>
      </c>
      <c r="L787" s="2">
        <v>30</v>
      </c>
      <c r="M787" s="2">
        <v>5</v>
      </c>
      <c r="N787" s="2">
        <v>8</v>
      </c>
      <c r="O787" s="2">
        <v>15</v>
      </c>
      <c r="P787" s="2">
        <v>10</v>
      </c>
      <c r="Q787" s="2" t="s">
        <v>31</v>
      </c>
      <c r="R787" s="2" t="s">
        <v>1662</v>
      </c>
      <c r="S787" s="4">
        <v>44837</v>
      </c>
    </row>
    <row r="788" spans="1:19" ht="12.5" x14ac:dyDescent="0.25">
      <c r="A788" s="14" t="str">
        <f>HYPERLINK("https://gerandofalcoes.my.salesforce.com/0014P00003AN2GJQA1", "0014P00003AN2GJQA1")</f>
        <v>0014P00003AN2GJQA1</v>
      </c>
      <c r="B788" s="2" t="s">
        <v>1720</v>
      </c>
      <c r="C788" s="2" t="s">
        <v>423</v>
      </c>
      <c r="D788" s="2" t="s">
        <v>27</v>
      </c>
      <c r="E788" s="2">
        <v>76</v>
      </c>
      <c r="F788" s="2">
        <v>10</v>
      </c>
      <c r="G788" s="2">
        <v>2</v>
      </c>
      <c r="H788" s="2">
        <v>786451.23</v>
      </c>
      <c r="I788" s="2">
        <v>99</v>
      </c>
      <c r="J788" s="2" t="s">
        <v>1650</v>
      </c>
      <c r="K788" s="2">
        <v>71</v>
      </c>
      <c r="L788" s="2">
        <v>25</v>
      </c>
      <c r="M788" s="2">
        <v>10</v>
      </c>
      <c r="N788" s="2">
        <v>6</v>
      </c>
      <c r="O788" s="2">
        <v>20</v>
      </c>
      <c r="P788" s="2">
        <v>10</v>
      </c>
      <c r="Q788" s="2" t="s">
        <v>35</v>
      </c>
      <c r="R788" s="2" t="s">
        <v>1721</v>
      </c>
      <c r="S788" s="4">
        <v>44837</v>
      </c>
    </row>
    <row r="789" spans="1:19" ht="12.5" x14ac:dyDescent="0.25">
      <c r="A789" s="14" t="str">
        <f>HYPERLINK("https://gerandofalcoes.my.salesforce.com/0014P00003AN2GKQA1", "0014P00003AN2GKQA1")</f>
        <v>0014P00003AN2GKQA1</v>
      </c>
      <c r="B789" s="2" t="s">
        <v>1687</v>
      </c>
      <c r="C789" s="2" t="s">
        <v>423</v>
      </c>
      <c r="D789" s="2" t="s">
        <v>27</v>
      </c>
      <c r="E789" s="2">
        <v>85</v>
      </c>
      <c r="F789" s="2">
        <v>22</v>
      </c>
      <c r="G789" s="2">
        <v>5</v>
      </c>
      <c r="H789" s="2">
        <v>1314918.45</v>
      </c>
      <c r="I789" s="2">
        <v>358</v>
      </c>
      <c r="J789" s="2" t="s">
        <v>1654</v>
      </c>
      <c r="K789" s="2">
        <v>87</v>
      </c>
      <c r="L789" s="2">
        <v>25</v>
      </c>
      <c r="M789" s="2">
        <v>12</v>
      </c>
      <c r="N789" s="2">
        <v>10</v>
      </c>
      <c r="O789" s="2">
        <v>25</v>
      </c>
      <c r="P789" s="2">
        <v>15</v>
      </c>
      <c r="Q789" s="2" t="s">
        <v>28</v>
      </c>
      <c r="R789" s="2" t="s">
        <v>28</v>
      </c>
      <c r="S789" s="4">
        <v>44837</v>
      </c>
    </row>
    <row r="790" spans="1:19" ht="12.5" x14ac:dyDescent="0.25">
      <c r="A790" s="14" t="str">
        <f>HYPERLINK("https://gerandofalcoes.my.salesforce.com/0014X00002VKCu2QAH", "0014X00002VKCu2QAH")</f>
        <v>0014X00002VKCu2QAH</v>
      </c>
      <c r="B790" s="2" t="s">
        <v>2810</v>
      </c>
      <c r="C790" s="2" t="s">
        <v>423</v>
      </c>
      <c r="D790" s="2" t="s">
        <v>2</v>
      </c>
      <c r="E790" s="2">
        <v>41</v>
      </c>
      <c r="F790" s="2">
        <v>0</v>
      </c>
      <c r="G790" s="2">
        <v>2</v>
      </c>
      <c r="H790" s="2">
        <v>3</v>
      </c>
      <c r="I790" s="2">
        <v>300</v>
      </c>
      <c r="J790" s="2" t="s">
        <v>1671</v>
      </c>
      <c r="K790" s="2">
        <v>41</v>
      </c>
      <c r="L790" s="2">
        <v>15</v>
      </c>
      <c r="M790" s="2">
        <v>0</v>
      </c>
      <c r="N790" s="2">
        <v>6</v>
      </c>
      <c r="O790" s="2">
        <v>5</v>
      </c>
      <c r="P790" s="2">
        <v>15</v>
      </c>
      <c r="Q790" s="2" t="s">
        <v>2811</v>
      </c>
      <c r="R790" s="2" t="s">
        <v>2812</v>
      </c>
      <c r="S790" s="4">
        <v>44837</v>
      </c>
    </row>
    <row r="791" spans="1:19" ht="12.5" x14ac:dyDescent="0.25">
      <c r="A791" s="14" t="str">
        <f>HYPERLINK("https://gerandofalcoes.my.salesforce.com/0014X00002VKCsCQAX", "0014X00002VKCsCQAX")</f>
        <v>0014X00002VKCsCQAX</v>
      </c>
      <c r="B791" s="2" t="s">
        <v>2826</v>
      </c>
      <c r="C791" s="2" t="s">
        <v>423</v>
      </c>
      <c r="D791" s="2" t="s">
        <v>2</v>
      </c>
      <c r="E791" s="2">
        <v>11.65</v>
      </c>
      <c r="F791" s="2">
        <v>0</v>
      </c>
      <c r="G791" s="2">
        <v>2</v>
      </c>
      <c r="H791" s="2">
        <v>30000</v>
      </c>
      <c r="I791" s="2">
        <v>70</v>
      </c>
      <c r="J791" s="2" t="s">
        <v>1779</v>
      </c>
      <c r="K791" s="2">
        <v>31</v>
      </c>
      <c r="L791" s="2">
        <v>10</v>
      </c>
      <c r="M791" s="2">
        <v>0</v>
      </c>
      <c r="N791" s="2">
        <v>6</v>
      </c>
      <c r="O791" s="2">
        <v>10</v>
      </c>
      <c r="P791" s="2">
        <v>5</v>
      </c>
      <c r="Q791" s="2" t="s">
        <v>2827</v>
      </c>
      <c r="R791" s="2" t="s">
        <v>2827</v>
      </c>
      <c r="S791" s="4">
        <v>44837</v>
      </c>
    </row>
    <row r="792" spans="1:19" ht="12.5" x14ac:dyDescent="0.25">
      <c r="A792" s="14" t="str">
        <f>HYPERLINK("https://gerandofalcoes.my.salesforce.com/0014X00002VKCseQAH", "0014X00002VKCseQAH")</f>
        <v>0014X00002VKCseQAH</v>
      </c>
      <c r="B792" s="2" t="s">
        <v>2516</v>
      </c>
      <c r="C792" s="2" t="s">
        <v>1800</v>
      </c>
      <c r="D792" s="2" t="s">
        <v>2</v>
      </c>
      <c r="E792" s="2">
        <v>21</v>
      </c>
      <c r="F792" s="2">
        <v>0</v>
      </c>
      <c r="G792" s="2">
        <v>4</v>
      </c>
      <c r="H792" s="2">
        <v>6000</v>
      </c>
      <c r="I792" s="2">
        <v>100</v>
      </c>
      <c r="J792" s="2" t="s">
        <v>1779</v>
      </c>
      <c r="K792" s="2">
        <v>35</v>
      </c>
      <c r="L792" s="2">
        <v>10</v>
      </c>
      <c r="M792" s="2">
        <v>0</v>
      </c>
      <c r="N792" s="2">
        <v>10</v>
      </c>
      <c r="O792" s="2">
        <v>5</v>
      </c>
      <c r="P792" s="2">
        <v>10</v>
      </c>
      <c r="Q792" s="2" t="s">
        <v>2517</v>
      </c>
      <c r="R792" s="2" t="s">
        <v>2517</v>
      </c>
      <c r="S792" s="4">
        <v>44837</v>
      </c>
    </row>
    <row r="793" spans="1:19" ht="12.5" x14ac:dyDescent="0.25">
      <c r="A793" s="14" t="str">
        <f>HYPERLINK("https://gerandofalcoes.my.salesforce.com/0014X00002VKCscQAH", "0014X00002VKCscQAH")</f>
        <v>0014X00002VKCscQAH</v>
      </c>
      <c r="B793" s="2" t="s">
        <v>2771</v>
      </c>
      <c r="C793" s="2" t="s">
        <v>423</v>
      </c>
      <c r="D793" s="2" t="s">
        <v>2</v>
      </c>
      <c r="E793" s="2">
        <v>38</v>
      </c>
      <c r="F793" s="2">
        <v>6</v>
      </c>
      <c r="G793" s="2">
        <v>0</v>
      </c>
      <c r="H793" s="2">
        <v>0</v>
      </c>
      <c r="I793" s="2">
        <v>150</v>
      </c>
      <c r="J793" s="2" t="s">
        <v>1779</v>
      </c>
      <c r="K793" s="2">
        <v>37</v>
      </c>
      <c r="L793" s="2">
        <v>15</v>
      </c>
      <c r="M793" s="2">
        <v>10</v>
      </c>
      <c r="N793" s="2">
        <v>0</v>
      </c>
      <c r="O793" s="2">
        <v>0</v>
      </c>
      <c r="P793" s="2">
        <v>12</v>
      </c>
      <c r="Q793" s="2" t="s">
        <v>2772</v>
      </c>
      <c r="R793" s="2" t="s">
        <v>2773</v>
      </c>
      <c r="S793" s="4">
        <v>44837</v>
      </c>
    </row>
    <row r="794" spans="1:19" ht="12.5" x14ac:dyDescent="0.25">
      <c r="A794" s="14" t="str">
        <f>HYPERLINK("https://gerandofalcoes.my.salesforce.com/0014X00002VKCt1QAH", "0014X00002VKCt1QAH")</f>
        <v>0014X00002VKCt1QAH</v>
      </c>
      <c r="B794" s="2" t="s">
        <v>2452</v>
      </c>
      <c r="C794" s="2" t="s">
        <v>423</v>
      </c>
      <c r="D794" s="2" t="s">
        <v>2</v>
      </c>
      <c r="E794" s="2">
        <v>23.64</v>
      </c>
      <c r="F794" s="2">
        <v>0</v>
      </c>
      <c r="G794" s="2">
        <v>1</v>
      </c>
      <c r="H794" s="2">
        <v>48000</v>
      </c>
      <c r="I794" s="2">
        <v>125</v>
      </c>
      <c r="J794" s="2" t="s">
        <v>1779</v>
      </c>
      <c r="K794" s="2">
        <v>34</v>
      </c>
      <c r="L794" s="2">
        <v>10</v>
      </c>
      <c r="M794" s="2">
        <v>0</v>
      </c>
      <c r="N794" s="2">
        <v>4</v>
      </c>
      <c r="O794" s="2">
        <v>10</v>
      </c>
      <c r="P794" s="2">
        <v>10</v>
      </c>
      <c r="Q794" s="2" t="s">
        <v>2453</v>
      </c>
      <c r="R794" s="2" t="s">
        <v>2453</v>
      </c>
      <c r="S794" s="4">
        <v>44837</v>
      </c>
    </row>
    <row r="795" spans="1:19" ht="12.5" x14ac:dyDescent="0.25">
      <c r="A795" s="14" t="str">
        <f>HYPERLINK("https://gerandofalcoes.my.salesforce.com/0014X00002VKCpyQAH", "0014X00002VKCpyQAH")</f>
        <v>0014X00002VKCpyQAH</v>
      </c>
      <c r="B795" s="2" t="s">
        <v>2340</v>
      </c>
      <c r="C795" s="2" t="s">
        <v>423</v>
      </c>
      <c r="D795" s="2" t="s">
        <v>2</v>
      </c>
      <c r="E795" s="2">
        <v>27.22</v>
      </c>
      <c r="F795" s="2">
        <v>0</v>
      </c>
      <c r="G795" s="2">
        <v>3</v>
      </c>
      <c r="H795" s="2">
        <v>20030</v>
      </c>
      <c r="I795" s="2">
        <v>294</v>
      </c>
      <c r="J795" s="2" t="s">
        <v>1671</v>
      </c>
      <c r="K795" s="2">
        <v>40</v>
      </c>
      <c r="L795" s="2">
        <v>15</v>
      </c>
      <c r="M795" s="2">
        <v>0</v>
      </c>
      <c r="N795" s="2">
        <v>8</v>
      </c>
      <c r="O795" s="2">
        <v>5</v>
      </c>
      <c r="P795" s="2">
        <v>12</v>
      </c>
      <c r="Q795" s="2" t="s">
        <v>2341</v>
      </c>
      <c r="R795" s="2" t="s">
        <v>2342</v>
      </c>
      <c r="S795" s="4">
        <v>44837</v>
      </c>
    </row>
    <row r="796" spans="1:19" ht="12.5" x14ac:dyDescent="0.25">
      <c r="A796" s="14" t="str">
        <f>HYPERLINK("https://gerandofalcoes.my.salesforce.com/0014X00002VKCstQAH", "0014X00002VKCstQAH")</f>
        <v>0014X00002VKCstQAH</v>
      </c>
      <c r="B796" s="2" t="s">
        <v>2259</v>
      </c>
      <c r="C796" s="2" t="s">
        <v>423</v>
      </c>
      <c r="D796" s="2" t="s">
        <v>2</v>
      </c>
      <c r="E796" s="2">
        <v>27</v>
      </c>
      <c r="F796" s="2">
        <v>2</v>
      </c>
      <c r="G796" s="2">
        <v>1</v>
      </c>
      <c r="H796" s="2">
        <v>5000</v>
      </c>
      <c r="I796" s="2">
        <v>50</v>
      </c>
      <c r="J796" s="2" t="s">
        <v>1779</v>
      </c>
      <c r="K796" s="2">
        <v>34</v>
      </c>
      <c r="L796" s="2">
        <v>15</v>
      </c>
      <c r="M796" s="2">
        <v>5</v>
      </c>
      <c r="N796" s="2">
        <v>4</v>
      </c>
      <c r="O796" s="2">
        <v>5</v>
      </c>
      <c r="P796" s="2">
        <v>5</v>
      </c>
      <c r="Q796" s="2" t="s">
        <v>2260</v>
      </c>
      <c r="R796" s="2" t="s">
        <v>2260</v>
      </c>
      <c r="S796" s="4">
        <v>44837</v>
      </c>
    </row>
    <row r="797" spans="1:19" ht="12.5" x14ac:dyDescent="0.25">
      <c r="A797" s="14" t="str">
        <f>HYPERLINK("https://gerandofalcoes.my.salesforce.com/0014X00002VKCqyQAH", "0014X00002VKCqyQAH")</f>
        <v>0014X00002VKCqyQAH</v>
      </c>
      <c r="B797" s="2" t="s">
        <v>3807</v>
      </c>
      <c r="C797" s="2" t="s">
        <v>423</v>
      </c>
      <c r="D797" s="2" t="s">
        <v>2</v>
      </c>
      <c r="E797" s="2">
        <v>40</v>
      </c>
      <c r="F797" s="2">
        <v>20</v>
      </c>
      <c r="G797" s="2">
        <v>3</v>
      </c>
      <c r="H797" s="2">
        <v>5000</v>
      </c>
      <c r="I797" s="2">
        <v>200</v>
      </c>
      <c r="J797" s="2" t="s">
        <v>1671</v>
      </c>
      <c r="K797" s="2">
        <v>52</v>
      </c>
      <c r="L797" s="2">
        <v>15</v>
      </c>
      <c r="M797" s="2">
        <v>12</v>
      </c>
      <c r="N797" s="2">
        <v>8</v>
      </c>
      <c r="O797" s="2">
        <v>5</v>
      </c>
      <c r="P797" s="2">
        <v>12</v>
      </c>
      <c r="Q797" s="2" t="s">
        <v>3808</v>
      </c>
      <c r="R797" s="2" t="s">
        <v>3809</v>
      </c>
      <c r="S797" s="4">
        <v>44837</v>
      </c>
    </row>
    <row r="798" spans="1:19" ht="12.5" x14ac:dyDescent="0.25">
      <c r="A798" s="14" t="str">
        <f>HYPERLINK("https://gerandofalcoes.my.salesforce.com/0014X00002VKCuMQAX", "0014X00002VKCuMQAX")</f>
        <v>0014X00002VKCuMQAX</v>
      </c>
      <c r="B798" s="2" t="s">
        <v>2947</v>
      </c>
      <c r="C798" s="2" t="s">
        <v>423</v>
      </c>
      <c r="D798" s="2" t="s">
        <v>2</v>
      </c>
      <c r="E798" s="2">
        <v>5.54</v>
      </c>
      <c r="F798" s="2">
        <v>0</v>
      </c>
      <c r="G798" s="2">
        <v>1</v>
      </c>
      <c r="H798" s="2">
        <v>0</v>
      </c>
      <c r="I798" s="2">
        <v>420</v>
      </c>
      <c r="J798" s="2" t="s">
        <v>1779</v>
      </c>
      <c r="K798" s="2">
        <v>29</v>
      </c>
      <c r="L798" s="2">
        <v>10</v>
      </c>
      <c r="M798" s="2">
        <v>0</v>
      </c>
      <c r="N798" s="2">
        <v>4</v>
      </c>
      <c r="O798" s="2">
        <v>0</v>
      </c>
      <c r="P798" s="2">
        <v>15</v>
      </c>
      <c r="Q798" s="2" t="s">
        <v>2948</v>
      </c>
      <c r="R798" s="2" t="s">
        <v>2949</v>
      </c>
      <c r="S798" s="4">
        <v>44837</v>
      </c>
    </row>
    <row r="799" spans="1:19" ht="12.5" x14ac:dyDescent="0.25">
      <c r="A799" s="14" t="str">
        <f>HYPERLINK("https://gerandofalcoes.my.salesforce.com/0014X00002VKCqhQAH", "0014X00002VKCqhQAH")</f>
        <v>0014X00002VKCqhQAH</v>
      </c>
      <c r="B799" s="2" t="s">
        <v>2786</v>
      </c>
      <c r="C799" s="2" t="s">
        <v>423</v>
      </c>
      <c r="D799" s="2" t="s">
        <v>2</v>
      </c>
      <c r="E799" s="2">
        <v>48</v>
      </c>
      <c r="F799" s="2">
        <v>0</v>
      </c>
      <c r="G799" s="2">
        <v>0</v>
      </c>
      <c r="H799" s="2">
        <v>0</v>
      </c>
      <c r="I799" s="2">
        <v>300</v>
      </c>
      <c r="J799" s="2" t="s">
        <v>1779</v>
      </c>
      <c r="K799" s="2">
        <v>30</v>
      </c>
      <c r="L799" s="2">
        <v>15</v>
      </c>
      <c r="M799" s="2">
        <v>0</v>
      </c>
      <c r="N799" s="2">
        <v>0</v>
      </c>
      <c r="O799" s="2">
        <v>0</v>
      </c>
      <c r="P799" s="2">
        <v>15</v>
      </c>
      <c r="Q799" s="2" t="s">
        <v>2787</v>
      </c>
      <c r="R799" s="2" t="s">
        <v>2788</v>
      </c>
      <c r="S799" s="4">
        <v>44837</v>
      </c>
    </row>
    <row r="800" spans="1:19" ht="12.5" x14ac:dyDescent="0.25">
      <c r="A800" s="14" t="str">
        <f>HYPERLINK("https://gerandofalcoes.my.salesforce.com/0014X00002VKCqDQAX", "0014X00002VKCqDQAX")</f>
        <v>0014X00002VKCqDQAX</v>
      </c>
      <c r="B800" s="2" t="s">
        <v>2078</v>
      </c>
      <c r="C800" s="2" t="s">
        <v>423</v>
      </c>
      <c r="D800" s="2" t="s">
        <v>2</v>
      </c>
      <c r="E800" s="2">
        <v>36</v>
      </c>
      <c r="F800" s="2">
        <v>0</v>
      </c>
      <c r="G800" s="2">
        <v>2</v>
      </c>
      <c r="H800" s="2">
        <v>12000</v>
      </c>
      <c r="I800" s="2">
        <v>70</v>
      </c>
      <c r="J800" s="2" t="s">
        <v>1779</v>
      </c>
      <c r="K800" s="2">
        <v>31</v>
      </c>
      <c r="L800" s="2">
        <v>15</v>
      </c>
      <c r="M800" s="2">
        <v>0</v>
      </c>
      <c r="N800" s="2">
        <v>6</v>
      </c>
      <c r="O800" s="2">
        <v>5</v>
      </c>
      <c r="P800" s="2">
        <v>5</v>
      </c>
      <c r="Q800" s="2" t="s">
        <v>2079</v>
      </c>
      <c r="R800" s="2" t="s">
        <v>2080</v>
      </c>
      <c r="S800" s="4">
        <v>44837</v>
      </c>
    </row>
    <row r="801" spans="1:19" ht="12.5" x14ac:dyDescent="0.25">
      <c r="A801" s="14" t="str">
        <f>HYPERLINK("https://gerandofalcoes.my.salesforce.com/0014X00002VKCplQAH", "0014X00002VKCplQAH")</f>
        <v>0014X00002VKCplQAH</v>
      </c>
      <c r="B801" s="2" t="s">
        <v>2081</v>
      </c>
      <c r="C801" s="2" t="s">
        <v>1800</v>
      </c>
      <c r="D801" s="2" t="s">
        <v>2</v>
      </c>
      <c r="E801" s="2">
        <v>36</v>
      </c>
      <c r="F801" s="2">
        <v>20</v>
      </c>
      <c r="G801" s="2">
        <v>2</v>
      </c>
      <c r="H801" s="2">
        <v>300000</v>
      </c>
      <c r="I801" s="2">
        <v>50</v>
      </c>
      <c r="J801" s="2" t="s">
        <v>1671</v>
      </c>
      <c r="K801" s="2">
        <v>58</v>
      </c>
      <c r="L801" s="2">
        <v>15</v>
      </c>
      <c r="M801" s="2">
        <v>12</v>
      </c>
      <c r="N801" s="2">
        <v>6</v>
      </c>
      <c r="O801" s="2">
        <v>20</v>
      </c>
      <c r="P801" s="2">
        <v>5</v>
      </c>
      <c r="Q801" s="2" t="s">
        <v>2082</v>
      </c>
      <c r="R801" s="2" t="s">
        <v>2083</v>
      </c>
      <c r="S801" s="4">
        <v>44837</v>
      </c>
    </row>
    <row r="802" spans="1:19" ht="12.5" x14ac:dyDescent="0.25">
      <c r="A802" s="14" t="str">
        <f>HYPERLINK("https://gerandofalcoes.my.salesforce.com/0014X00002VKCqKQAX", "0014X00002VKCqKQAX")</f>
        <v>0014X00002VKCqKQAX</v>
      </c>
      <c r="B802" s="2" t="s">
        <v>2919</v>
      </c>
      <c r="C802" s="2" t="s">
        <v>423</v>
      </c>
      <c r="D802" s="2" t="s">
        <v>2</v>
      </c>
      <c r="E802" s="2">
        <v>21</v>
      </c>
      <c r="F802" s="2">
        <v>0</v>
      </c>
      <c r="G802" s="2">
        <v>1</v>
      </c>
      <c r="H802" s="2">
        <v>7500</v>
      </c>
      <c r="I802" s="2">
        <v>26</v>
      </c>
      <c r="J802" s="2" t="s">
        <v>1779</v>
      </c>
      <c r="K802" s="2">
        <v>24</v>
      </c>
      <c r="L802" s="2">
        <v>10</v>
      </c>
      <c r="M802" s="2">
        <v>0</v>
      </c>
      <c r="N802" s="2">
        <v>4</v>
      </c>
      <c r="O802" s="2">
        <v>5</v>
      </c>
      <c r="P802" s="2">
        <v>5</v>
      </c>
      <c r="Q802" s="2" t="s">
        <v>2920</v>
      </c>
      <c r="R802" s="2" t="s">
        <v>2921</v>
      </c>
      <c r="S802" s="4">
        <v>44837</v>
      </c>
    </row>
    <row r="803" spans="1:19" ht="12.5" x14ac:dyDescent="0.25">
      <c r="A803" s="14" t="str">
        <f>HYPERLINK("https://gerandofalcoes.my.salesforce.com/0014X00002VKCq4QAH", "0014X00002VKCq4QAH")</f>
        <v>0014X00002VKCq4QAH</v>
      </c>
      <c r="B803" s="2" t="s">
        <v>1980</v>
      </c>
      <c r="C803" s="2" t="s">
        <v>423</v>
      </c>
      <c r="D803" s="2" t="s">
        <v>2</v>
      </c>
      <c r="E803" s="2">
        <v>39</v>
      </c>
      <c r="F803" s="2">
        <v>0</v>
      </c>
      <c r="G803" s="2">
        <v>3</v>
      </c>
      <c r="H803" s="2">
        <v>30000</v>
      </c>
      <c r="I803" s="2">
        <v>700</v>
      </c>
      <c r="J803" s="2" t="s">
        <v>1671</v>
      </c>
      <c r="K803" s="2">
        <v>53</v>
      </c>
      <c r="L803" s="2">
        <v>15</v>
      </c>
      <c r="M803" s="2">
        <v>0</v>
      </c>
      <c r="N803" s="2">
        <v>8</v>
      </c>
      <c r="O803" s="2">
        <v>10</v>
      </c>
      <c r="P803" s="2">
        <v>20</v>
      </c>
      <c r="Q803" s="2" t="s">
        <v>1981</v>
      </c>
      <c r="R803" s="2" t="s">
        <v>1982</v>
      </c>
      <c r="S803" s="4">
        <v>44837</v>
      </c>
    </row>
    <row r="804" spans="1:19" ht="12.5" x14ac:dyDescent="0.25">
      <c r="A804" s="14" t="str">
        <f>HYPERLINK("https://gerandofalcoes.my.salesforce.com/0014X00002VKCpfQAH", "0014X00002VKCpfQAH")</f>
        <v>0014X00002VKCpfQAH</v>
      </c>
      <c r="B804" s="2" t="s">
        <v>1868</v>
      </c>
      <c r="C804" s="2" t="s">
        <v>423</v>
      </c>
      <c r="D804" s="2" t="s">
        <v>2</v>
      </c>
      <c r="E804" s="2">
        <v>40</v>
      </c>
      <c r="F804" s="2">
        <v>0</v>
      </c>
      <c r="G804" s="2">
        <v>3</v>
      </c>
      <c r="H804" s="2">
        <v>41307</v>
      </c>
      <c r="I804" s="2">
        <v>120</v>
      </c>
      <c r="J804" s="2" t="s">
        <v>1671</v>
      </c>
      <c r="K804" s="2">
        <v>43</v>
      </c>
      <c r="L804" s="2">
        <v>15</v>
      </c>
      <c r="M804" s="2">
        <v>0</v>
      </c>
      <c r="N804" s="2">
        <v>8</v>
      </c>
      <c r="O804" s="2">
        <v>10</v>
      </c>
      <c r="P804" s="2">
        <v>10</v>
      </c>
      <c r="Q804" s="2" t="s">
        <v>1869</v>
      </c>
      <c r="R804" s="2" t="s">
        <v>1870</v>
      </c>
      <c r="S804" s="4">
        <v>44837</v>
      </c>
    </row>
    <row r="805" spans="1:19" ht="12.5" x14ac:dyDescent="0.25">
      <c r="A805" s="14" t="str">
        <f>HYPERLINK("https://gerandofalcoes.my.salesforce.com/0014X00002VKCtKQAX", "0014X00002VKCtKQAX")</f>
        <v>0014X00002VKCtKQAX</v>
      </c>
      <c r="B805" s="2" t="s">
        <v>2828</v>
      </c>
      <c r="C805" s="2" t="s">
        <v>423</v>
      </c>
      <c r="D805" s="2" t="s">
        <v>2</v>
      </c>
      <c r="E805" s="2">
        <v>25</v>
      </c>
      <c r="F805" s="2">
        <v>8</v>
      </c>
      <c r="G805" s="2">
        <v>12</v>
      </c>
      <c r="H805" s="2">
        <v>5479</v>
      </c>
      <c r="I805" s="2">
        <v>80</v>
      </c>
      <c r="J805" s="2" t="s">
        <v>1671</v>
      </c>
      <c r="K805" s="2">
        <v>50</v>
      </c>
      <c r="L805" s="2">
        <v>15</v>
      </c>
      <c r="M805" s="2">
        <v>10</v>
      </c>
      <c r="N805" s="2">
        <v>10</v>
      </c>
      <c r="O805" s="2">
        <v>5</v>
      </c>
      <c r="P805" s="2">
        <v>10</v>
      </c>
      <c r="Q805" s="2" t="s">
        <v>2829</v>
      </c>
      <c r="R805" s="2" t="s">
        <v>2829</v>
      </c>
      <c r="S805" s="4">
        <v>44837</v>
      </c>
    </row>
    <row r="806" spans="1:19" ht="12.5" x14ac:dyDescent="0.25">
      <c r="A806" s="14" t="str">
        <f>HYPERLINK("https://gerandofalcoes.my.salesforce.com/0014X00002VKCtmQAH", "0014X00002VKCtmQAH")</f>
        <v>0014X00002VKCtmQAH</v>
      </c>
      <c r="B806" s="2" t="s">
        <v>2571</v>
      </c>
      <c r="C806" s="2" t="s">
        <v>1800</v>
      </c>
      <c r="D806" s="2" t="s">
        <v>2</v>
      </c>
      <c r="E806" s="2">
        <v>20</v>
      </c>
      <c r="F806" s="2">
        <v>0</v>
      </c>
      <c r="G806" s="2">
        <v>2</v>
      </c>
      <c r="H806" s="2">
        <v>30000</v>
      </c>
      <c r="I806" s="2">
        <v>0</v>
      </c>
      <c r="J806" s="2" t="s">
        <v>1779</v>
      </c>
      <c r="K806" s="2">
        <v>26</v>
      </c>
      <c r="L806" s="2">
        <v>10</v>
      </c>
      <c r="M806" s="2">
        <v>0</v>
      </c>
      <c r="N806" s="2">
        <v>6</v>
      </c>
      <c r="O806" s="2">
        <v>10</v>
      </c>
      <c r="P806" s="2">
        <v>0</v>
      </c>
      <c r="Q806" s="2" t="s">
        <v>2572</v>
      </c>
      <c r="R806" s="2" t="s">
        <v>2572</v>
      </c>
      <c r="S806" s="4">
        <v>44837</v>
      </c>
    </row>
    <row r="807" spans="1:19" ht="12.5" x14ac:dyDescent="0.25">
      <c r="A807" s="14" t="str">
        <f>HYPERLINK("https://gerandofalcoes.my.salesforce.com/0014X00002VKCq0QAH", "0014X00002VKCq0QAH")</f>
        <v>0014X00002VKCq0QAH</v>
      </c>
      <c r="B807" s="2" t="s">
        <v>2930</v>
      </c>
      <c r="C807" s="2" t="s">
        <v>1800</v>
      </c>
      <c r="D807" s="2" t="s">
        <v>2</v>
      </c>
      <c r="E807" s="2">
        <v>6</v>
      </c>
      <c r="F807" s="2">
        <v>2</v>
      </c>
      <c r="G807" s="2">
        <v>3</v>
      </c>
      <c r="H807" s="2">
        <v>929000</v>
      </c>
      <c r="I807" s="2">
        <v>300</v>
      </c>
      <c r="J807" s="2" t="s">
        <v>1671</v>
      </c>
      <c r="K807" s="2">
        <v>63</v>
      </c>
      <c r="L807" s="2">
        <v>10</v>
      </c>
      <c r="M807" s="2">
        <v>5</v>
      </c>
      <c r="N807" s="2">
        <v>8</v>
      </c>
      <c r="O807" s="2">
        <v>25</v>
      </c>
      <c r="P807" s="2">
        <v>15</v>
      </c>
      <c r="Q807" s="2" t="s">
        <v>2931</v>
      </c>
      <c r="R807" s="2" t="s">
        <v>2932</v>
      </c>
      <c r="S807" s="4">
        <v>44837</v>
      </c>
    </row>
    <row r="808" spans="1:19" ht="12.5" x14ac:dyDescent="0.25">
      <c r="A808" s="14" t="str">
        <f>HYPERLINK("https://gerandofalcoes.my.salesforce.com/0014X00002VKCrRQAX", "0014X00002VKCrRQAX")</f>
        <v>0014X00002VKCrRQAX</v>
      </c>
      <c r="B808" s="2" t="s">
        <v>1864</v>
      </c>
      <c r="C808" s="2" t="s">
        <v>423</v>
      </c>
      <c r="D808" s="2" t="s">
        <v>2</v>
      </c>
      <c r="E808" s="2">
        <v>43</v>
      </c>
      <c r="F808" s="2">
        <v>0</v>
      </c>
      <c r="G808" s="2">
        <v>2</v>
      </c>
      <c r="H808" s="2">
        <v>140300</v>
      </c>
      <c r="I808" s="2">
        <v>238</v>
      </c>
      <c r="J808" s="2" t="s">
        <v>1671</v>
      </c>
      <c r="K808" s="2">
        <v>48</v>
      </c>
      <c r="L808" s="2">
        <v>15</v>
      </c>
      <c r="M808" s="2">
        <v>0</v>
      </c>
      <c r="N808" s="2">
        <v>6</v>
      </c>
      <c r="O808" s="2">
        <v>15</v>
      </c>
      <c r="P808" s="2">
        <v>12</v>
      </c>
      <c r="Q808" s="2" t="s">
        <v>1865</v>
      </c>
      <c r="R808" s="2" t="s">
        <v>1866</v>
      </c>
      <c r="S808" s="4">
        <v>44837</v>
      </c>
    </row>
    <row r="809" spans="1:19" ht="12.5" x14ac:dyDescent="0.25">
      <c r="A809" s="14" t="str">
        <f>HYPERLINK("https://gerandofalcoes.my.salesforce.com/0014X00002VKCutQAH", "0014X00002VKCutQAH")</f>
        <v>0014X00002VKCutQAH</v>
      </c>
      <c r="B809" s="2" t="s">
        <v>2205</v>
      </c>
      <c r="C809" s="2" t="s">
        <v>423</v>
      </c>
      <c r="D809" s="2" t="s">
        <v>2</v>
      </c>
      <c r="E809" s="2">
        <v>45</v>
      </c>
      <c r="F809" s="2">
        <v>8</v>
      </c>
      <c r="G809" s="2">
        <v>3</v>
      </c>
      <c r="H809" s="2">
        <v>60000</v>
      </c>
      <c r="I809" s="2">
        <v>120</v>
      </c>
      <c r="J809" s="2" t="s">
        <v>1671</v>
      </c>
      <c r="K809" s="2">
        <v>53</v>
      </c>
      <c r="L809" s="2">
        <v>15</v>
      </c>
      <c r="M809" s="2">
        <v>10</v>
      </c>
      <c r="N809" s="2">
        <v>8</v>
      </c>
      <c r="O809" s="2">
        <v>10</v>
      </c>
      <c r="P809" s="2">
        <v>10</v>
      </c>
      <c r="Q809" s="2" t="s">
        <v>2206</v>
      </c>
      <c r="R809" s="2" t="s">
        <v>2207</v>
      </c>
      <c r="S809" s="4">
        <v>44837</v>
      </c>
    </row>
    <row r="810" spans="1:19" ht="12.5" x14ac:dyDescent="0.25">
      <c r="A810" s="14" t="str">
        <f>HYPERLINK("https://gerandofalcoes.my.salesforce.com/0014X00002VKCpgQAH", "0014X00002VKCpgQAH")</f>
        <v>0014X00002VKCpgQAH</v>
      </c>
      <c r="B810" s="2" t="s">
        <v>2898</v>
      </c>
      <c r="C810" s="2" t="s">
        <v>423</v>
      </c>
      <c r="D810" s="2" t="s">
        <v>2</v>
      </c>
      <c r="E810" s="2">
        <v>8.61</v>
      </c>
      <c r="F810" s="2">
        <v>1</v>
      </c>
      <c r="G810" s="2">
        <v>1</v>
      </c>
      <c r="H810" s="2">
        <v>1224</v>
      </c>
      <c r="I810" s="2">
        <v>25</v>
      </c>
      <c r="J810" s="2" t="s">
        <v>1779</v>
      </c>
      <c r="K810" s="2">
        <v>29</v>
      </c>
      <c r="L810" s="2">
        <v>10</v>
      </c>
      <c r="M810" s="2">
        <v>5</v>
      </c>
      <c r="N810" s="2">
        <v>4</v>
      </c>
      <c r="O810" s="2">
        <v>5</v>
      </c>
      <c r="P810" s="2">
        <v>5</v>
      </c>
      <c r="Q810" s="2" t="s">
        <v>2899</v>
      </c>
      <c r="R810" s="2" t="s">
        <v>2899</v>
      </c>
      <c r="S810" s="4">
        <v>44837</v>
      </c>
    </row>
    <row r="811" spans="1:19" ht="12.5" x14ac:dyDescent="0.25">
      <c r="A811" s="14" t="str">
        <f>HYPERLINK("https://gerandofalcoes.my.salesforce.com/0014X00002VKCtGQAX", "0014X00002VKCtGQAX")</f>
        <v>0014X00002VKCtGQAX</v>
      </c>
      <c r="B811" s="2" t="s">
        <v>2459</v>
      </c>
      <c r="C811" s="2" t="s">
        <v>423</v>
      </c>
      <c r="D811" s="2" t="s">
        <v>2</v>
      </c>
      <c r="E811" s="2">
        <v>23</v>
      </c>
      <c r="F811" s="2">
        <v>0</v>
      </c>
      <c r="G811" s="2">
        <v>4</v>
      </c>
      <c r="H811" s="2">
        <v>2000</v>
      </c>
      <c r="I811" s="2">
        <v>90</v>
      </c>
      <c r="J811" s="2" t="s">
        <v>1779</v>
      </c>
      <c r="K811" s="2">
        <v>35</v>
      </c>
      <c r="L811" s="2">
        <v>10</v>
      </c>
      <c r="M811" s="2">
        <v>0</v>
      </c>
      <c r="N811" s="2">
        <v>10</v>
      </c>
      <c r="O811" s="2">
        <v>5</v>
      </c>
      <c r="P811" s="2">
        <v>10</v>
      </c>
      <c r="Q811" s="2" t="s">
        <v>2460</v>
      </c>
      <c r="R811" s="2" t="s">
        <v>2461</v>
      </c>
      <c r="S811" s="4">
        <v>44837</v>
      </c>
    </row>
    <row r="812" spans="1:19" ht="12.5" x14ac:dyDescent="0.25">
      <c r="A812" s="14" t="str">
        <f>HYPERLINK("https://gerandofalcoes.my.salesforce.com/0014X00002VKCtkQAH", "0014X00002VKCtkQAH")</f>
        <v>0014X00002VKCtkQAH</v>
      </c>
      <c r="B812" s="2" t="s">
        <v>2200</v>
      </c>
      <c r="C812" s="2" t="s">
        <v>423</v>
      </c>
      <c r="D812" s="2" t="s">
        <v>2</v>
      </c>
      <c r="E812" s="2">
        <v>32.909999999999997</v>
      </c>
      <c r="F812" s="2">
        <v>14</v>
      </c>
      <c r="G812" s="2">
        <v>0</v>
      </c>
      <c r="H812" s="2">
        <v>345000</v>
      </c>
      <c r="I812" s="2">
        <v>300</v>
      </c>
      <c r="J812" s="2" t="s">
        <v>1671</v>
      </c>
      <c r="K812" s="2">
        <v>62</v>
      </c>
      <c r="L812" s="2">
        <v>15</v>
      </c>
      <c r="M812" s="2">
        <v>12</v>
      </c>
      <c r="N812" s="2">
        <v>0</v>
      </c>
      <c r="O812" s="2">
        <v>20</v>
      </c>
      <c r="P812" s="2">
        <v>15</v>
      </c>
      <c r="Q812" s="2" t="s">
        <v>2201</v>
      </c>
      <c r="R812" s="2" t="s">
        <v>2202</v>
      </c>
      <c r="S812" s="4">
        <v>44837</v>
      </c>
    </row>
    <row r="813" spans="1:19" ht="12.5" x14ac:dyDescent="0.25">
      <c r="A813" s="14" t="str">
        <f>HYPERLINK("https://gerandofalcoes.my.salesforce.com/0014X00002VKCpdQAH", "0014X00002VKCpdQAH")</f>
        <v>0014X00002VKCpdQAH</v>
      </c>
      <c r="B813" s="2" t="s">
        <v>1731</v>
      </c>
      <c r="C813" s="2" t="s">
        <v>423</v>
      </c>
      <c r="D813" s="2" t="s">
        <v>2</v>
      </c>
      <c r="E813" s="2">
        <v>71</v>
      </c>
      <c r="F813" s="2">
        <v>22</v>
      </c>
      <c r="G813" s="2">
        <v>3</v>
      </c>
      <c r="H813" s="2">
        <v>1200000</v>
      </c>
      <c r="I813" s="2">
        <v>520</v>
      </c>
      <c r="J813" s="2" t="s">
        <v>1654</v>
      </c>
      <c r="K813" s="2">
        <v>85</v>
      </c>
      <c r="L813" s="2">
        <v>20</v>
      </c>
      <c r="M813" s="2">
        <v>12</v>
      </c>
      <c r="N813" s="2">
        <v>8</v>
      </c>
      <c r="O813" s="2">
        <v>25</v>
      </c>
      <c r="P813" s="2">
        <v>20</v>
      </c>
      <c r="Q813" s="2" t="s">
        <v>1732</v>
      </c>
      <c r="R813" s="2" t="s">
        <v>1733</v>
      </c>
      <c r="S813" s="4">
        <v>44837</v>
      </c>
    </row>
    <row r="814" spans="1:19" ht="12.5" x14ac:dyDescent="0.25">
      <c r="A814" s="14" t="str">
        <f>HYPERLINK("https://gerandofalcoes.my.salesforce.com/0014X00002VKCtyQAH", "0014X00002VKCtyQAH")</f>
        <v>0014X00002VKCtyQAH</v>
      </c>
      <c r="B814" s="2" t="s">
        <v>1750</v>
      </c>
      <c r="C814" s="2" t="s">
        <v>423</v>
      </c>
      <c r="D814" s="2" t="s">
        <v>2</v>
      </c>
      <c r="E814" s="2">
        <v>63</v>
      </c>
      <c r="F814" s="2">
        <v>0</v>
      </c>
      <c r="G814" s="2">
        <v>4</v>
      </c>
      <c r="H814" s="2">
        <v>50000</v>
      </c>
      <c r="I814" s="2">
        <v>45</v>
      </c>
      <c r="J814" s="2" t="s">
        <v>1671</v>
      </c>
      <c r="K814" s="2">
        <v>45</v>
      </c>
      <c r="L814" s="2">
        <v>20</v>
      </c>
      <c r="M814" s="2">
        <v>0</v>
      </c>
      <c r="N814" s="2">
        <v>10</v>
      </c>
      <c r="O814" s="2">
        <v>10</v>
      </c>
      <c r="P814" s="2">
        <v>5</v>
      </c>
      <c r="Q814" s="2" t="s">
        <v>1751</v>
      </c>
      <c r="R814" s="2" t="s">
        <v>1752</v>
      </c>
      <c r="S814" s="4">
        <v>44837</v>
      </c>
    </row>
    <row r="815" spans="1:19" ht="12.5" x14ac:dyDescent="0.25">
      <c r="A815" s="14" t="str">
        <f>HYPERLINK("https://gerandofalcoes.my.salesforce.com/0014X00002VKCrWQAX", "0014X00002VKCrWQAX")</f>
        <v>0014X00002VKCrWQAX</v>
      </c>
      <c r="B815" s="2" t="s">
        <v>2235</v>
      </c>
      <c r="C815" s="2" t="s">
        <v>1800</v>
      </c>
      <c r="D815" s="2" t="s">
        <v>2</v>
      </c>
      <c r="E815" s="2">
        <v>31</v>
      </c>
      <c r="F815" s="2">
        <v>700</v>
      </c>
      <c r="G815" s="2">
        <v>3</v>
      </c>
      <c r="H815" s="2">
        <v>100000</v>
      </c>
      <c r="I815" s="2">
        <v>850</v>
      </c>
      <c r="J815" s="2" t="s">
        <v>1650</v>
      </c>
      <c r="K815" s="2">
        <v>73</v>
      </c>
      <c r="L815" s="2">
        <v>15</v>
      </c>
      <c r="M815" s="2">
        <v>15</v>
      </c>
      <c r="N815" s="2">
        <v>8</v>
      </c>
      <c r="O815" s="2">
        <v>15</v>
      </c>
      <c r="P815" s="2">
        <v>20</v>
      </c>
      <c r="Q815" s="2" t="s">
        <v>2236</v>
      </c>
      <c r="R815" s="2" t="s">
        <v>2237</v>
      </c>
      <c r="S815" s="4">
        <v>44837</v>
      </c>
    </row>
    <row r="816" spans="1:19" ht="12.5" x14ac:dyDescent="0.25">
      <c r="A816" s="14" t="str">
        <f>HYPERLINK("https://gerandofalcoes.my.salesforce.com/0014X00002VKCrkQAH", "0014X00002VKCrkQAH")</f>
        <v>0014X00002VKCrkQAH</v>
      </c>
      <c r="B816" s="2" t="s">
        <v>2093</v>
      </c>
      <c r="C816" s="2" t="s">
        <v>423</v>
      </c>
      <c r="D816" s="2" t="s">
        <v>2</v>
      </c>
      <c r="E816" s="2">
        <v>50</v>
      </c>
      <c r="F816" s="2">
        <v>10</v>
      </c>
      <c r="G816" s="2">
        <v>3</v>
      </c>
      <c r="H816" s="2">
        <v>7986449</v>
      </c>
      <c r="I816" s="2">
        <v>30</v>
      </c>
      <c r="J816" s="2" t="s">
        <v>1650</v>
      </c>
      <c r="K816" s="2">
        <v>68</v>
      </c>
      <c r="L816" s="2">
        <v>20</v>
      </c>
      <c r="M816" s="2">
        <v>10</v>
      </c>
      <c r="N816" s="2">
        <v>8</v>
      </c>
      <c r="O816" s="2">
        <v>25</v>
      </c>
      <c r="P816" s="2">
        <v>5</v>
      </c>
      <c r="Q816" s="2" t="s">
        <v>2094</v>
      </c>
      <c r="R816" s="2" t="s">
        <v>2095</v>
      </c>
      <c r="S816" s="4">
        <v>44837</v>
      </c>
    </row>
    <row r="817" spans="1:19" ht="12.5" x14ac:dyDescent="0.25">
      <c r="A817" s="14" t="str">
        <f>HYPERLINK("https://gerandofalcoes.my.salesforce.com/0014P00003YSp9PQAT", "0014P00003YSp9PQAT")</f>
        <v>0014P00003YSp9PQAT</v>
      </c>
      <c r="B817" s="2" t="s">
        <v>2312</v>
      </c>
      <c r="C817" s="2" t="s">
        <v>423</v>
      </c>
      <c r="D817" s="2" t="s">
        <v>2</v>
      </c>
      <c r="E817" s="2">
        <v>28.92</v>
      </c>
      <c r="F817" s="2">
        <v>1</v>
      </c>
      <c r="G817" s="2">
        <v>2</v>
      </c>
      <c r="H817" s="2">
        <v>105000</v>
      </c>
      <c r="I817" s="2">
        <v>0</v>
      </c>
      <c r="J817" s="2" t="s">
        <v>1671</v>
      </c>
      <c r="K817" s="2">
        <v>41</v>
      </c>
      <c r="L817" s="2">
        <v>15</v>
      </c>
      <c r="M817" s="2">
        <v>5</v>
      </c>
      <c r="N817" s="2">
        <v>6</v>
      </c>
      <c r="O817" s="2">
        <v>15</v>
      </c>
      <c r="P817" s="2">
        <v>0</v>
      </c>
      <c r="Q817" s="2" t="s">
        <v>2313</v>
      </c>
      <c r="R817" s="2" t="s">
        <v>2313</v>
      </c>
      <c r="S817" s="4">
        <v>44837</v>
      </c>
    </row>
    <row r="818" spans="1:19" ht="12.5" x14ac:dyDescent="0.25">
      <c r="A818" s="14" t="str">
        <f>HYPERLINK("https://gerandofalcoes.my.salesforce.com/0014P00003YSp9TQAT", "0014P00003YSp9TQAT")</f>
        <v>0014P00003YSp9TQAT</v>
      </c>
      <c r="B818" s="2" t="s">
        <v>2194</v>
      </c>
      <c r="C818" s="2" t="s">
        <v>423</v>
      </c>
      <c r="D818" s="2" t="s">
        <v>2</v>
      </c>
      <c r="E818" s="2">
        <v>33</v>
      </c>
      <c r="F818" s="2">
        <v>0</v>
      </c>
      <c r="G818" s="2">
        <v>3</v>
      </c>
      <c r="H818" s="2">
        <v>55000</v>
      </c>
      <c r="I818" s="2">
        <v>0</v>
      </c>
      <c r="J818" s="2" t="s">
        <v>1779</v>
      </c>
      <c r="K818" s="2">
        <v>33</v>
      </c>
      <c r="L818" s="2">
        <v>15</v>
      </c>
      <c r="M818" s="2">
        <v>0</v>
      </c>
      <c r="N818" s="2">
        <v>8</v>
      </c>
      <c r="O818" s="2">
        <v>10</v>
      </c>
      <c r="P818" s="2">
        <v>0</v>
      </c>
      <c r="Q818" s="2" t="s">
        <v>2195</v>
      </c>
      <c r="R818" s="2" t="s">
        <v>2196</v>
      </c>
      <c r="S818" s="4">
        <v>44837</v>
      </c>
    </row>
    <row r="819" spans="1:19" ht="12.5" x14ac:dyDescent="0.25">
      <c r="A819" s="14" t="str">
        <f>HYPERLINK("https://gerandofalcoes.my.salesforce.com/0014P00003YSp9UQAT", "0014P00003YSp9UQAT")</f>
        <v>0014P00003YSp9UQAT</v>
      </c>
      <c r="B819" s="2" t="s">
        <v>2133</v>
      </c>
      <c r="C819" s="2" t="s">
        <v>1800</v>
      </c>
      <c r="D819" s="2" t="s">
        <v>2</v>
      </c>
      <c r="E819" s="2">
        <v>34</v>
      </c>
      <c r="F819" s="2">
        <v>39</v>
      </c>
      <c r="G819" s="2">
        <v>2</v>
      </c>
      <c r="H819" s="2">
        <v>2000</v>
      </c>
      <c r="I819" s="2">
        <v>280</v>
      </c>
      <c r="J819" s="2" t="s">
        <v>1671</v>
      </c>
      <c r="K819" s="2">
        <v>53</v>
      </c>
      <c r="L819" s="2">
        <v>15</v>
      </c>
      <c r="M819" s="2">
        <v>15</v>
      </c>
      <c r="N819" s="2">
        <v>6</v>
      </c>
      <c r="O819" s="2">
        <v>5</v>
      </c>
      <c r="P819" s="2">
        <v>12</v>
      </c>
      <c r="Q819" s="2" t="s">
        <v>2134</v>
      </c>
      <c r="R819" s="2" t="s">
        <v>2135</v>
      </c>
      <c r="S819" s="4">
        <v>44837</v>
      </c>
    </row>
    <row r="820" spans="1:19" ht="12.5" x14ac:dyDescent="0.25">
      <c r="A820" s="14" t="str">
        <f>HYPERLINK("https://gerandofalcoes.my.salesforce.com/0014P00003YSp9WQAT", "0014P00003YSp9WQAT")</f>
        <v>0014P00003YSp9WQAT</v>
      </c>
      <c r="B820" s="2" t="s">
        <v>2286</v>
      </c>
      <c r="C820" s="2" t="s">
        <v>423</v>
      </c>
      <c r="D820" s="2" t="s">
        <v>2</v>
      </c>
      <c r="E820" s="2">
        <v>35</v>
      </c>
      <c r="F820" s="2">
        <v>0</v>
      </c>
      <c r="G820" s="2">
        <v>2</v>
      </c>
      <c r="H820" s="2">
        <v>0</v>
      </c>
      <c r="I820" s="2">
        <v>353</v>
      </c>
      <c r="J820" s="2" t="s">
        <v>1779</v>
      </c>
      <c r="K820" s="2">
        <v>36</v>
      </c>
      <c r="L820" s="2">
        <v>15</v>
      </c>
      <c r="M820" s="2">
        <v>0</v>
      </c>
      <c r="N820" s="2">
        <v>6</v>
      </c>
      <c r="O820" s="2">
        <v>0</v>
      </c>
      <c r="P820" s="2">
        <v>15</v>
      </c>
      <c r="Q820" s="2" t="s">
        <v>2287</v>
      </c>
      <c r="R820" s="2" t="s">
        <v>2287</v>
      </c>
      <c r="S820" s="4">
        <v>44837</v>
      </c>
    </row>
    <row r="821" spans="1:19" ht="12.5" x14ac:dyDescent="0.25">
      <c r="A821" s="14" t="str">
        <f>HYPERLINK("https://gerandofalcoes.my.salesforce.com/0014P00003YSp9XQAT", "0014P00003YSp9XQAT")</f>
        <v>0014P00003YSp9XQAT</v>
      </c>
      <c r="B821" s="2" t="s">
        <v>1833</v>
      </c>
      <c r="C821" s="2" t="s">
        <v>423</v>
      </c>
      <c r="D821" s="2" t="s">
        <v>2</v>
      </c>
      <c r="E821" s="2">
        <v>46</v>
      </c>
      <c r="F821" s="2">
        <v>53</v>
      </c>
      <c r="G821" s="2">
        <v>6</v>
      </c>
      <c r="H821" s="2">
        <v>526341644</v>
      </c>
      <c r="I821" s="2">
        <v>501</v>
      </c>
      <c r="J821" s="2" t="s">
        <v>1654</v>
      </c>
      <c r="K821" s="2">
        <v>85</v>
      </c>
      <c r="L821" s="2">
        <v>15</v>
      </c>
      <c r="M821" s="2">
        <v>15</v>
      </c>
      <c r="N821" s="2">
        <v>10</v>
      </c>
      <c r="O821" s="2">
        <v>25</v>
      </c>
      <c r="P821" s="2">
        <v>20</v>
      </c>
      <c r="Q821" s="2" t="s">
        <v>1834</v>
      </c>
      <c r="R821" s="2"/>
      <c r="S821" s="4">
        <v>44837</v>
      </c>
    </row>
    <row r="822" spans="1:19" ht="12.5" x14ac:dyDescent="0.25">
      <c r="A822" s="14" t="str">
        <f>HYPERLINK("https://gerandofalcoes.my.salesforce.com/0014P00003YSp9YQAT", "0014P00003YSp9YQAT")</f>
        <v>0014P00003YSp9YQAT</v>
      </c>
      <c r="B822" s="2" t="s">
        <v>2203</v>
      </c>
      <c r="C822" s="2" t="s">
        <v>423</v>
      </c>
      <c r="D822" s="2" t="s">
        <v>2</v>
      </c>
      <c r="E822" s="2">
        <v>32</v>
      </c>
      <c r="F822" s="2">
        <v>0</v>
      </c>
      <c r="G822" s="2">
        <v>2</v>
      </c>
      <c r="H822" s="2">
        <v>25822</v>
      </c>
      <c r="I822" s="2">
        <v>300</v>
      </c>
      <c r="J822" s="2" t="s">
        <v>1671</v>
      </c>
      <c r="K822" s="2">
        <v>46</v>
      </c>
      <c r="L822" s="2">
        <v>15</v>
      </c>
      <c r="M822" s="2">
        <v>0</v>
      </c>
      <c r="N822" s="2">
        <v>6</v>
      </c>
      <c r="O822" s="2">
        <v>10</v>
      </c>
      <c r="P822" s="2">
        <v>15</v>
      </c>
      <c r="Q822" s="2" t="s">
        <v>2204</v>
      </c>
      <c r="R822" s="2" t="s">
        <v>2204</v>
      </c>
      <c r="S822" s="4">
        <v>44837</v>
      </c>
    </row>
    <row r="823" spans="1:19" ht="12.5" x14ac:dyDescent="0.25">
      <c r="A823" s="14" t="str">
        <f>HYPERLINK("https://gerandofalcoes.my.salesforce.com/0014P00003YSp9ZQAT", "0014P00003YSp9ZQAT")</f>
        <v>0014P00003YSp9ZQAT</v>
      </c>
      <c r="B823" s="2" t="s">
        <v>2381</v>
      </c>
      <c r="C823" s="2" t="s">
        <v>1800</v>
      </c>
      <c r="D823" s="2" t="s">
        <v>2</v>
      </c>
      <c r="E823" s="2">
        <v>26</v>
      </c>
      <c r="F823" s="2">
        <v>2</v>
      </c>
      <c r="G823" s="2">
        <v>0</v>
      </c>
      <c r="H823" s="2">
        <v>0</v>
      </c>
      <c r="I823" s="2">
        <v>0</v>
      </c>
      <c r="J823" s="2" t="s">
        <v>1779</v>
      </c>
      <c r="K823" s="2">
        <v>20</v>
      </c>
      <c r="L823" s="2">
        <v>15</v>
      </c>
      <c r="M823" s="2">
        <v>5</v>
      </c>
      <c r="N823" s="2">
        <v>0</v>
      </c>
      <c r="O823" s="2">
        <v>0</v>
      </c>
      <c r="P823" s="2">
        <v>0</v>
      </c>
      <c r="Q823" s="2" t="s">
        <v>2382</v>
      </c>
      <c r="R823" s="2" t="s">
        <v>2383</v>
      </c>
      <c r="S823" s="4">
        <v>44837</v>
      </c>
    </row>
    <row r="824" spans="1:19" ht="12.5" x14ac:dyDescent="0.25">
      <c r="A824" s="14" t="str">
        <f>HYPERLINK("https://gerandofalcoes.my.salesforce.com/0014P00003YSp9aQAD", "0014P00003YSp9aQAD")</f>
        <v>0014P00003YSp9aQAD</v>
      </c>
      <c r="B824" s="2" t="s">
        <v>2249</v>
      </c>
      <c r="C824" s="2" t="s">
        <v>423</v>
      </c>
      <c r="D824" s="2" t="s">
        <v>2</v>
      </c>
      <c r="E824" s="2">
        <v>30.96</v>
      </c>
      <c r="F824" s="2">
        <v>0</v>
      </c>
      <c r="G824" s="2">
        <v>1</v>
      </c>
      <c r="H824" s="2">
        <v>2500</v>
      </c>
      <c r="I824" s="2">
        <v>50</v>
      </c>
      <c r="J824" s="2" t="s">
        <v>1779</v>
      </c>
      <c r="K824" s="2">
        <v>29</v>
      </c>
      <c r="L824" s="2">
        <v>15</v>
      </c>
      <c r="M824" s="2">
        <v>0</v>
      </c>
      <c r="N824" s="2">
        <v>4</v>
      </c>
      <c r="O824" s="2">
        <v>5</v>
      </c>
      <c r="P824" s="2">
        <v>5</v>
      </c>
      <c r="Q824" s="2" t="s">
        <v>2250</v>
      </c>
      <c r="R824" s="2" t="s">
        <v>2251</v>
      </c>
      <c r="S824" s="4">
        <v>44837</v>
      </c>
    </row>
    <row r="825" spans="1:19" ht="12.5" x14ac:dyDescent="0.25">
      <c r="A825" s="14" t="str">
        <f>HYPERLINK("https://gerandofalcoes.my.salesforce.com/0014P00003YSp9bQAD", "0014P00003YSp9bQAD")</f>
        <v>0014P00003YSp9bQAD</v>
      </c>
      <c r="B825" s="2" t="s">
        <v>2016</v>
      </c>
      <c r="C825" s="2" t="s">
        <v>1800</v>
      </c>
      <c r="D825" s="2" t="s">
        <v>2</v>
      </c>
      <c r="E825" s="2">
        <v>38</v>
      </c>
      <c r="F825" s="2">
        <v>8</v>
      </c>
      <c r="G825" s="2">
        <v>3</v>
      </c>
      <c r="H825" s="2">
        <v>400216</v>
      </c>
      <c r="I825" s="2">
        <v>340</v>
      </c>
      <c r="J825" s="2" t="s">
        <v>1650</v>
      </c>
      <c r="K825" s="2">
        <v>68</v>
      </c>
      <c r="L825" s="2">
        <v>15</v>
      </c>
      <c r="M825" s="2">
        <v>10</v>
      </c>
      <c r="N825" s="2">
        <v>8</v>
      </c>
      <c r="O825" s="2">
        <v>20</v>
      </c>
      <c r="P825" s="2">
        <v>15</v>
      </c>
      <c r="Q825" s="2" t="s">
        <v>2017</v>
      </c>
      <c r="R825" s="2" t="s">
        <v>2018</v>
      </c>
      <c r="S825" s="4">
        <v>44837</v>
      </c>
    </row>
    <row r="826" spans="1:19" ht="12.5" x14ac:dyDescent="0.25">
      <c r="A826" s="14" t="str">
        <f>HYPERLINK("https://gerandofalcoes.my.salesforce.com/0014P00003YSp9cQAD", "0014P00003YSp9cQAD")</f>
        <v>0014P00003YSp9cQAD</v>
      </c>
      <c r="B826" s="2" t="s">
        <v>2603</v>
      </c>
      <c r="C826" s="2" t="s">
        <v>1800</v>
      </c>
      <c r="D826" s="2" t="s">
        <v>2</v>
      </c>
      <c r="E826" s="2">
        <v>19</v>
      </c>
      <c r="F826" s="2">
        <v>2</v>
      </c>
      <c r="G826" s="2">
        <v>4</v>
      </c>
      <c r="H826" s="2">
        <v>2000</v>
      </c>
      <c r="I826" s="2">
        <v>60</v>
      </c>
      <c r="J826" s="2" t="s">
        <v>1779</v>
      </c>
      <c r="K826" s="2">
        <v>35</v>
      </c>
      <c r="L826" s="2">
        <v>10</v>
      </c>
      <c r="M826" s="2">
        <v>5</v>
      </c>
      <c r="N826" s="2">
        <v>10</v>
      </c>
      <c r="O826" s="2">
        <v>5</v>
      </c>
      <c r="P826" s="2">
        <v>5</v>
      </c>
      <c r="Q826" s="2" t="s">
        <v>2604</v>
      </c>
      <c r="R826" s="2" t="s">
        <v>2605</v>
      </c>
      <c r="S826" s="4">
        <v>44837</v>
      </c>
    </row>
    <row r="827" spans="1:19" ht="12.5" x14ac:dyDescent="0.25">
      <c r="A827" s="14" t="str">
        <f>HYPERLINK("https://gerandofalcoes.my.salesforce.com/0014P00003YSp9dQAD", "0014P00003YSp9dQAD")</f>
        <v>0014P00003YSp9dQAD</v>
      </c>
      <c r="B827" s="2" t="s">
        <v>2691</v>
      </c>
      <c r="C827" s="2" t="s">
        <v>1800</v>
      </c>
      <c r="D827" s="2" t="s">
        <v>2</v>
      </c>
      <c r="E827" s="2">
        <v>16</v>
      </c>
      <c r="F827" s="2">
        <v>0</v>
      </c>
      <c r="G827" s="2">
        <v>2</v>
      </c>
      <c r="H827" s="2">
        <v>10000</v>
      </c>
      <c r="I827" s="2">
        <v>0</v>
      </c>
      <c r="J827" s="2" t="s">
        <v>1779</v>
      </c>
      <c r="K827" s="2">
        <v>21</v>
      </c>
      <c r="L827" s="2">
        <v>10</v>
      </c>
      <c r="M827" s="2">
        <v>0</v>
      </c>
      <c r="N827" s="2">
        <v>6</v>
      </c>
      <c r="O827" s="2">
        <v>5</v>
      </c>
      <c r="P827" s="2">
        <v>0</v>
      </c>
      <c r="Q827" s="2" t="s">
        <v>2692</v>
      </c>
      <c r="R827" s="2" t="s">
        <v>2693</v>
      </c>
      <c r="S827" s="4">
        <v>44837</v>
      </c>
    </row>
    <row r="828" spans="1:19" ht="12.5" x14ac:dyDescent="0.25">
      <c r="A828" s="14" t="str">
        <f>HYPERLINK("https://gerandofalcoes.my.salesforce.com/0014P00003YSp9eQAD", "0014P00003YSp9eQAD")</f>
        <v>0014P00003YSp9eQAD</v>
      </c>
      <c r="B828" s="2" t="s">
        <v>2084</v>
      </c>
      <c r="C828" s="2" t="s">
        <v>1800</v>
      </c>
      <c r="D828" s="2" t="s">
        <v>2</v>
      </c>
      <c r="E828" s="2">
        <v>36</v>
      </c>
      <c r="F828" s="2">
        <v>4</v>
      </c>
      <c r="G828" s="2">
        <v>4</v>
      </c>
      <c r="H828" s="2">
        <v>270000</v>
      </c>
      <c r="I828" s="2">
        <v>0</v>
      </c>
      <c r="J828" s="2" t="s">
        <v>1671</v>
      </c>
      <c r="K828" s="2">
        <v>45</v>
      </c>
      <c r="L828" s="2">
        <v>15</v>
      </c>
      <c r="M828" s="2">
        <v>5</v>
      </c>
      <c r="N828" s="2">
        <v>10</v>
      </c>
      <c r="O828" s="2">
        <v>15</v>
      </c>
      <c r="P828" s="2">
        <v>0</v>
      </c>
      <c r="Q828" s="2" t="s">
        <v>2085</v>
      </c>
      <c r="R828" s="2" t="s">
        <v>2086</v>
      </c>
      <c r="S828" s="4">
        <v>44837</v>
      </c>
    </row>
    <row r="829" spans="1:19" ht="12.5" x14ac:dyDescent="0.25">
      <c r="A829" s="14" t="str">
        <f>HYPERLINK("https://gerandofalcoes.my.salesforce.com/0014P00003YSp9RQAT", "0014P00003YSp9RQAT")</f>
        <v>0014P00003YSp9RQAT</v>
      </c>
      <c r="B829" s="2" t="s">
        <v>2208</v>
      </c>
      <c r="C829" s="2" t="s">
        <v>1800</v>
      </c>
      <c r="D829" s="2" t="s">
        <v>2</v>
      </c>
      <c r="E829" s="2">
        <v>32</v>
      </c>
      <c r="F829" s="2">
        <v>0</v>
      </c>
      <c r="G829" s="2">
        <v>4</v>
      </c>
      <c r="H829" s="2">
        <v>45000</v>
      </c>
      <c r="I829" s="2">
        <v>1700</v>
      </c>
      <c r="J829" s="2" t="s">
        <v>1671</v>
      </c>
      <c r="K829" s="2">
        <v>55</v>
      </c>
      <c r="L829" s="2">
        <v>15</v>
      </c>
      <c r="M829" s="2">
        <v>0</v>
      </c>
      <c r="N829" s="2">
        <v>10</v>
      </c>
      <c r="O829" s="2">
        <v>10</v>
      </c>
      <c r="P829" s="2">
        <v>20</v>
      </c>
      <c r="Q829" s="2" t="s">
        <v>2209</v>
      </c>
      <c r="R829" s="2" t="s">
        <v>2210</v>
      </c>
      <c r="S829" s="4">
        <v>44837</v>
      </c>
    </row>
    <row r="830" spans="1:19" ht="12.5" x14ac:dyDescent="0.25">
      <c r="A830" s="14" t="str">
        <f>HYPERLINK("https://gerandofalcoes.my.salesforce.com/0014P00003YSp9SQAT", "0014P00003YSp9SQAT")</f>
        <v>0014P00003YSp9SQAT</v>
      </c>
      <c r="B830" s="2" t="s">
        <v>1844</v>
      </c>
      <c r="C830" s="2" t="s">
        <v>423</v>
      </c>
      <c r="D830" s="2" t="s">
        <v>2</v>
      </c>
      <c r="E830" s="2">
        <v>20</v>
      </c>
      <c r="F830" s="2">
        <v>3</v>
      </c>
      <c r="G830" s="2">
        <v>4</v>
      </c>
      <c r="H830" s="2">
        <v>2855703</v>
      </c>
      <c r="I830" s="2">
        <v>150</v>
      </c>
      <c r="J830" s="2" t="s">
        <v>1671</v>
      </c>
      <c r="K830" s="2">
        <v>62</v>
      </c>
      <c r="L830" s="2">
        <v>10</v>
      </c>
      <c r="M830" s="2">
        <v>5</v>
      </c>
      <c r="N830" s="2">
        <v>10</v>
      </c>
      <c r="O830" s="2">
        <v>25</v>
      </c>
      <c r="P830" s="2">
        <v>12</v>
      </c>
      <c r="Q830" s="2" t="s">
        <v>1845</v>
      </c>
      <c r="R830" s="2" t="s">
        <v>1846</v>
      </c>
      <c r="S830" s="4">
        <v>44837</v>
      </c>
    </row>
    <row r="831" spans="1:19" ht="12.5" x14ac:dyDescent="0.25">
      <c r="A831" s="14" t="str">
        <f>HYPERLINK("https://gerandofalcoes.my.salesforce.com/0014P00003YSp9fQAD", "0014P00003YSp9fQAD")</f>
        <v>0014P00003YSp9fQAD</v>
      </c>
      <c r="B831" s="2" t="s">
        <v>2436</v>
      </c>
      <c r="C831" s="2" t="s">
        <v>423</v>
      </c>
      <c r="D831" s="2" t="s">
        <v>2</v>
      </c>
      <c r="E831" s="2">
        <v>24.24</v>
      </c>
      <c r="F831" s="2">
        <v>0</v>
      </c>
      <c r="G831" s="2">
        <v>0</v>
      </c>
      <c r="H831" s="2">
        <v>0</v>
      </c>
      <c r="I831" s="2">
        <v>114</v>
      </c>
      <c r="J831" s="2" t="s">
        <v>1779</v>
      </c>
      <c r="K831" s="2">
        <v>20</v>
      </c>
      <c r="L831" s="2">
        <v>10</v>
      </c>
      <c r="M831" s="2">
        <v>0</v>
      </c>
      <c r="N831" s="2">
        <v>0</v>
      </c>
      <c r="O831" s="2">
        <v>0</v>
      </c>
      <c r="P831" s="2">
        <v>10</v>
      </c>
      <c r="Q831" s="2" t="s">
        <v>2437</v>
      </c>
      <c r="R831" s="2" t="s">
        <v>2437</v>
      </c>
      <c r="S831" s="4">
        <v>44837</v>
      </c>
    </row>
    <row r="832" spans="1:19" ht="12.5" x14ac:dyDescent="0.25">
      <c r="A832" s="14" t="str">
        <f>HYPERLINK("https://gerandofalcoes.my.salesforce.com/0014P00003YSp9gQAD", "0014P00003YSp9gQAD")</f>
        <v>0014P00003YSp9gQAD</v>
      </c>
      <c r="B832" s="2" t="s">
        <v>2559</v>
      </c>
      <c r="C832" s="2" t="s">
        <v>1800</v>
      </c>
      <c r="D832" s="2" t="s">
        <v>2</v>
      </c>
      <c r="E832" s="2">
        <v>20</v>
      </c>
      <c r="F832" s="2">
        <v>5</v>
      </c>
      <c r="G832" s="2">
        <v>2</v>
      </c>
      <c r="H832" s="2">
        <v>2000</v>
      </c>
      <c r="I832" s="2">
        <v>50</v>
      </c>
      <c r="J832" s="2" t="s">
        <v>1779</v>
      </c>
      <c r="K832" s="2">
        <v>31</v>
      </c>
      <c r="L832" s="2">
        <v>10</v>
      </c>
      <c r="M832" s="2">
        <v>5</v>
      </c>
      <c r="N832" s="2">
        <v>6</v>
      </c>
      <c r="O832" s="2">
        <v>5</v>
      </c>
      <c r="P832" s="2">
        <v>5</v>
      </c>
      <c r="Q832" s="2" t="s">
        <v>2560</v>
      </c>
      <c r="R832" s="2" t="s">
        <v>2561</v>
      </c>
      <c r="S832" s="4">
        <v>44837</v>
      </c>
    </row>
    <row r="833" spans="1:19" ht="12.5" x14ac:dyDescent="0.25">
      <c r="A833" s="14" t="str">
        <f>HYPERLINK("https://gerandofalcoes.my.salesforce.com/0014P00003YSp9hQAD", "0014P00003YSp9hQAD")</f>
        <v>0014P00003YSp9hQAD</v>
      </c>
      <c r="B833" s="2" t="s">
        <v>2433</v>
      </c>
      <c r="C833" s="2" t="s">
        <v>423</v>
      </c>
      <c r="D833" s="2" t="s">
        <v>2</v>
      </c>
      <c r="E833" s="2">
        <v>15</v>
      </c>
      <c r="F833" s="2">
        <v>15</v>
      </c>
      <c r="G833" s="2">
        <v>5</v>
      </c>
      <c r="H833" s="2">
        <v>3886816</v>
      </c>
      <c r="I833" s="2">
        <v>100</v>
      </c>
      <c r="J833" s="2" t="s">
        <v>1650</v>
      </c>
      <c r="K833" s="2">
        <v>67</v>
      </c>
      <c r="L833" s="2">
        <v>10</v>
      </c>
      <c r="M833" s="2">
        <v>12</v>
      </c>
      <c r="N833" s="2">
        <v>10</v>
      </c>
      <c r="O833" s="2">
        <v>25</v>
      </c>
      <c r="P833" s="2">
        <v>10</v>
      </c>
      <c r="Q833" s="2" t="s">
        <v>2434</v>
      </c>
      <c r="R833" s="2" t="s">
        <v>2435</v>
      </c>
      <c r="S833" s="4">
        <v>44837</v>
      </c>
    </row>
    <row r="834" spans="1:19" ht="12.5" x14ac:dyDescent="0.25">
      <c r="A834" s="14" t="str">
        <f>HYPERLINK("https://gerandofalcoes.my.salesforce.com/0014P00003YSp9iQAD", "0014P00003YSp9iQAD")</f>
        <v>0014P00003YSp9iQAD</v>
      </c>
      <c r="B834" s="2" t="s">
        <v>2253</v>
      </c>
      <c r="C834" s="2" t="s">
        <v>423</v>
      </c>
      <c r="D834" s="2" t="s">
        <v>2</v>
      </c>
      <c r="E834" s="2">
        <v>36</v>
      </c>
      <c r="F834" s="2">
        <v>0</v>
      </c>
      <c r="G834" s="2">
        <v>3</v>
      </c>
      <c r="H834" s="2">
        <v>27240</v>
      </c>
      <c r="I834" s="2">
        <v>0</v>
      </c>
      <c r="J834" s="2" t="s">
        <v>1779</v>
      </c>
      <c r="K834" s="2">
        <v>33</v>
      </c>
      <c r="L834" s="2">
        <v>15</v>
      </c>
      <c r="M834" s="2">
        <v>0</v>
      </c>
      <c r="N834" s="2">
        <v>8</v>
      </c>
      <c r="O834" s="2">
        <v>10</v>
      </c>
      <c r="P834" s="2">
        <v>0</v>
      </c>
      <c r="Q834" s="2" t="s">
        <v>2254</v>
      </c>
      <c r="R834" s="2" t="s">
        <v>2255</v>
      </c>
      <c r="S834" s="4">
        <v>44837</v>
      </c>
    </row>
    <row r="835" spans="1:19" ht="12.5" x14ac:dyDescent="0.25">
      <c r="A835" s="14" t="str">
        <f>HYPERLINK("https://gerandofalcoes.my.salesforce.com/0014P00003YSp9jQAD", "0014P00003YSp9jQAD")</f>
        <v>0014P00003YSp9jQAD</v>
      </c>
      <c r="B835" s="2" t="s">
        <v>2270</v>
      </c>
      <c r="C835" s="2" t="s">
        <v>423</v>
      </c>
      <c r="D835" s="2" t="s">
        <v>2</v>
      </c>
      <c r="E835" s="2">
        <v>30</v>
      </c>
      <c r="F835" s="2">
        <v>1</v>
      </c>
      <c r="G835" s="2">
        <v>1</v>
      </c>
      <c r="H835" s="2">
        <v>6000</v>
      </c>
      <c r="I835" s="2">
        <v>110</v>
      </c>
      <c r="J835" s="2" t="s">
        <v>1779</v>
      </c>
      <c r="K835" s="2">
        <v>39</v>
      </c>
      <c r="L835" s="2">
        <v>15</v>
      </c>
      <c r="M835" s="2">
        <v>5</v>
      </c>
      <c r="N835" s="2">
        <v>4</v>
      </c>
      <c r="O835" s="2">
        <v>5</v>
      </c>
      <c r="P835" s="2">
        <v>10</v>
      </c>
      <c r="Q835" s="2" t="s">
        <v>2271</v>
      </c>
      <c r="R835" s="2" t="s">
        <v>2271</v>
      </c>
      <c r="S835" s="4">
        <v>44837</v>
      </c>
    </row>
    <row r="836" spans="1:19" ht="12.5" x14ac:dyDescent="0.25">
      <c r="A836" s="14" t="str">
        <f>HYPERLINK("https://gerandofalcoes.my.salesforce.com/0014P00003YSp9kQAD", "0014P00003YSp9kQAD")</f>
        <v>0014P00003YSp9kQAD</v>
      </c>
      <c r="B836" s="2" t="s">
        <v>1852</v>
      </c>
      <c r="C836" s="2" t="s">
        <v>423</v>
      </c>
      <c r="D836" s="2" t="s">
        <v>2</v>
      </c>
      <c r="E836" s="2">
        <v>29</v>
      </c>
      <c r="F836" s="2">
        <v>8</v>
      </c>
      <c r="G836" s="2">
        <v>3</v>
      </c>
      <c r="H836" s="2">
        <v>668446</v>
      </c>
      <c r="I836" s="2">
        <v>851</v>
      </c>
      <c r="J836" s="2" t="s">
        <v>1650</v>
      </c>
      <c r="K836" s="2">
        <v>73</v>
      </c>
      <c r="L836" s="2">
        <v>15</v>
      </c>
      <c r="M836" s="2">
        <v>10</v>
      </c>
      <c r="N836" s="2">
        <v>8</v>
      </c>
      <c r="O836" s="2">
        <v>20</v>
      </c>
      <c r="P836" s="2">
        <v>20</v>
      </c>
      <c r="Q836" s="2" t="s">
        <v>1853</v>
      </c>
      <c r="R836" s="2" t="s">
        <v>1854</v>
      </c>
      <c r="S836" s="4">
        <v>44837</v>
      </c>
    </row>
    <row r="837" spans="1:19" ht="12.5" x14ac:dyDescent="0.25">
      <c r="A837" s="14" t="str">
        <f>HYPERLINK("https://gerandofalcoes.my.salesforce.com/0014P00003YSp9lQAD", "0014P00003YSp9lQAD")</f>
        <v>0014P00003YSp9lQAD</v>
      </c>
      <c r="B837" s="2" t="s">
        <v>2573</v>
      </c>
      <c r="C837" s="2" t="s">
        <v>423</v>
      </c>
      <c r="D837" s="2" t="s">
        <v>2</v>
      </c>
      <c r="E837" s="2">
        <v>20</v>
      </c>
      <c r="F837" s="2">
        <v>8</v>
      </c>
      <c r="G837" s="2">
        <v>2</v>
      </c>
      <c r="H837" s="2">
        <v>12000</v>
      </c>
      <c r="I837" s="2">
        <v>0</v>
      </c>
      <c r="J837" s="2" t="s">
        <v>1779</v>
      </c>
      <c r="K837" s="2">
        <v>31</v>
      </c>
      <c r="L837" s="2">
        <v>10</v>
      </c>
      <c r="M837" s="2">
        <v>10</v>
      </c>
      <c r="N837" s="2">
        <v>6</v>
      </c>
      <c r="O837" s="2">
        <v>5</v>
      </c>
      <c r="P837" s="2">
        <v>0</v>
      </c>
      <c r="Q837" s="2" t="s">
        <v>2574</v>
      </c>
      <c r="R837" s="2" t="s">
        <v>2575</v>
      </c>
      <c r="S837" s="4">
        <v>44837</v>
      </c>
    </row>
    <row r="838" spans="1:19" ht="12.5" x14ac:dyDescent="0.25">
      <c r="A838" s="14" t="str">
        <f>HYPERLINK("https://gerandofalcoes.my.salesforce.com/0014P00003YSp9mQAD", "0014P00003YSp9mQAD")</f>
        <v>0014P00003YSp9mQAD</v>
      </c>
      <c r="B838" s="2" t="s">
        <v>1665</v>
      </c>
      <c r="C838" s="2" t="s">
        <v>423</v>
      </c>
      <c r="D838" s="2" t="s">
        <v>27</v>
      </c>
      <c r="E838" s="2">
        <v>88.16</v>
      </c>
      <c r="F838" s="2">
        <v>15</v>
      </c>
      <c r="G838" s="2">
        <v>6</v>
      </c>
      <c r="H838" s="2">
        <v>1000000</v>
      </c>
      <c r="I838" s="2">
        <v>767</v>
      </c>
      <c r="J838" s="2" t="s">
        <v>1654</v>
      </c>
      <c r="K838" s="2">
        <v>92</v>
      </c>
      <c r="L838" s="2">
        <v>25</v>
      </c>
      <c r="M838" s="2">
        <v>12</v>
      </c>
      <c r="N838" s="2">
        <v>10</v>
      </c>
      <c r="O838" s="2">
        <v>25</v>
      </c>
      <c r="P838" s="2">
        <v>20</v>
      </c>
      <c r="Q838" s="2" t="s">
        <v>1666</v>
      </c>
      <c r="R838" s="2" t="s">
        <v>1667</v>
      </c>
      <c r="S838" s="4">
        <v>44837</v>
      </c>
    </row>
    <row r="839" spans="1:19" ht="12.5" x14ac:dyDescent="0.25">
      <c r="A839" s="14" t="str">
        <f>HYPERLINK("https://gerandofalcoes.my.salesforce.com/0014P00003YSp9qQAD", "0014P00003YSp9qQAD")</f>
        <v>0014P00003YSp9qQAD</v>
      </c>
      <c r="B839" s="2" t="s">
        <v>2792</v>
      </c>
      <c r="C839" s="2" t="s">
        <v>1800</v>
      </c>
      <c r="D839" s="2" t="s">
        <v>2</v>
      </c>
      <c r="E839" s="2">
        <v>13</v>
      </c>
      <c r="F839" s="2">
        <v>0</v>
      </c>
      <c r="G839" s="2">
        <v>4</v>
      </c>
      <c r="H839" s="2">
        <v>3000</v>
      </c>
      <c r="I839" s="2">
        <v>60</v>
      </c>
      <c r="J839" s="2" t="s">
        <v>1779</v>
      </c>
      <c r="K839" s="2">
        <v>30</v>
      </c>
      <c r="L839" s="2">
        <v>10</v>
      </c>
      <c r="M839" s="2">
        <v>0</v>
      </c>
      <c r="N839" s="2">
        <v>10</v>
      </c>
      <c r="O839" s="2">
        <v>5</v>
      </c>
      <c r="P839" s="2">
        <v>5</v>
      </c>
      <c r="Q839" s="2" t="s">
        <v>2793</v>
      </c>
      <c r="R839" s="2" t="s">
        <v>2794</v>
      </c>
      <c r="S839" s="4">
        <v>44837</v>
      </c>
    </row>
    <row r="840" spans="1:19" ht="12.5" x14ac:dyDescent="0.25">
      <c r="A840" s="14" t="str">
        <f>HYPERLINK("https://gerandofalcoes.my.salesforce.com/0014P00003YSp9rQAD", "0014P00003YSp9rQAD")</f>
        <v>0014P00003YSp9rQAD</v>
      </c>
      <c r="B840" s="2" t="s">
        <v>2070</v>
      </c>
      <c r="C840" s="2" t="s">
        <v>1800</v>
      </c>
      <c r="D840" s="2" t="s">
        <v>2</v>
      </c>
      <c r="E840" s="2">
        <v>36</v>
      </c>
      <c r="F840" s="2">
        <v>7</v>
      </c>
      <c r="G840" s="2">
        <v>3</v>
      </c>
      <c r="H840" s="2">
        <v>0</v>
      </c>
      <c r="I840" s="2">
        <v>120</v>
      </c>
      <c r="J840" s="2" t="s">
        <v>1671</v>
      </c>
      <c r="K840" s="2">
        <v>43</v>
      </c>
      <c r="L840" s="2">
        <v>15</v>
      </c>
      <c r="M840" s="2">
        <v>10</v>
      </c>
      <c r="N840" s="2">
        <v>8</v>
      </c>
      <c r="O840" s="2">
        <v>0</v>
      </c>
      <c r="P840" s="2">
        <v>10</v>
      </c>
      <c r="Q840" s="2" t="s">
        <v>2071</v>
      </c>
      <c r="R840" s="2" t="s">
        <v>2072</v>
      </c>
      <c r="S840" s="4">
        <v>44837</v>
      </c>
    </row>
    <row r="841" spans="1:19" ht="12.5" x14ac:dyDescent="0.25">
      <c r="A841" s="14" t="str">
        <f>HYPERLINK("https://gerandofalcoes.my.salesforce.com/0014P00003YSp9tQAD", "0014P00003YSp9tQAD")</f>
        <v>0014P00003YSp9tQAD</v>
      </c>
      <c r="B841" s="2" t="s">
        <v>2022</v>
      </c>
      <c r="C841" s="2" t="s">
        <v>1684</v>
      </c>
      <c r="D841" s="2" t="s">
        <v>2</v>
      </c>
      <c r="E841" s="2">
        <v>38</v>
      </c>
      <c r="F841" s="2">
        <v>0</v>
      </c>
      <c r="G841" s="2">
        <v>0</v>
      </c>
      <c r="H841" s="2">
        <v>0</v>
      </c>
      <c r="I841" s="2">
        <v>0</v>
      </c>
      <c r="J841" s="2" t="s">
        <v>1779</v>
      </c>
      <c r="K841" s="2">
        <v>15</v>
      </c>
      <c r="L841" s="2">
        <v>15</v>
      </c>
      <c r="M841" s="2">
        <v>0</v>
      </c>
      <c r="N841" s="2">
        <v>0</v>
      </c>
      <c r="O841" s="2">
        <v>0</v>
      </c>
      <c r="P841" s="2">
        <v>0</v>
      </c>
      <c r="Q841" s="2" t="s">
        <v>2023</v>
      </c>
      <c r="R841" s="2" t="s">
        <v>2024</v>
      </c>
      <c r="S841" s="4">
        <v>44837</v>
      </c>
    </row>
    <row r="842" spans="1:19" ht="12.5" x14ac:dyDescent="0.25">
      <c r="A842" s="14" t="str">
        <f>HYPERLINK("https://gerandofalcoes.my.salesforce.com/0014P00003YSp9vQAD", "0014P00003YSp9vQAD")</f>
        <v>0014P00003YSp9vQAD</v>
      </c>
      <c r="B842" s="2" t="s">
        <v>2884</v>
      </c>
      <c r="C842" s="2" t="s">
        <v>423</v>
      </c>
      <c r="D842" s="2" t="s">
        <v>2</v>
      </c>
      <c r="E842" s="2">
        <v>9</v>
      </c>
      <c r="F842" s="2">
        <v>0</v>
      </c>
      <c r="G842" s="2">
        <v>2</v>
      </c>
      <c r="H842" s="2">
        <v>11000</v>
      </c>
      <c r="I842" s="2">
        <v>759</v>
      </c>
      <c r="J842" s="2" t="s">
        <v>1671</v>
      </c>
      <c r="K842" s="2">
        <v>41</v>
      </c>
      <c r="L842" s="2">
        <v>10</v>
      </c>
      <c r="M842" s="2">
        <v>0</v>
      </c>
      <c r="N842" s="2">
        <v>6</v>
      </c>
      <c r="O842" s="2">
        <v>5</v>
      </c>
      <c r="P842" s="2">
        <v>20</v>
      </c>
      <c r="Q842" s="2" t="s">
        <v>2885</v>
      </c>
      <c r="R842" s="2" t="s">
        <v>2886</v>
      </c>
      <c r="S842" s="4">
        <v>44837</v>
      </c>
    </row>
    <row r="843" spans="1:19" ht="12.5" x14ac:dyDescent="0.25">
      <c r="A843" s="14" t="str">
        <f>HYPERLINK("https://gerandofalcoes.my.salesforce.com/0014P00003YSp9wQAD", "0014P00003YSp9wQAD")</f>
        <v>0014P00003YSp9wQAD</v>
      </c>
      <c r="B843" s="2" t="s">
        <v>2497</v>
      </c>
      <c r="C843" s="2" t="s">
        <v>423</v>
      </c>
      <c r="D843" s="2" t="s">
        <v>2</v>
      </c>
      <c r="E843" s="2">
        <v>25</v>
      </c>
      <c r="F843" s="2">
        <v>6</v>
      </c>
      <c r="G843" s="2">
        <v>2</v>
      </c>
      <c r="H843" s="2">
        <v>2600000</v>
      </c>
      <c r="I843" s="2">
        <v>200</v>
      </c>
      <c r="J843" s="2" t="s">
        <v>1650</v>
      </c>
      <c r="K843" s="2">
        <v>68</v>
      </c>
      <c r="L843" s="2">
        <v>15</v>
      </c>
      <c r="M843" s="2">
        <v>10</v>
      </c>
      <c r="N843" s="2">
        <v>6</v>
      </c>
      <c r="O843" s="2">
        <v>25</v>
      </c>
      <c r="P843" s="2">
        <v>12</v>
      </c>
      <c r="Q843" s="2" t="s">
        <v>2498</v>
      </c>
      <c r="R843" s="2" t="s">
        <v>2498</v>
      </c>
      <c r="S843" s="4">
        <v>44837</v>
      </c>
    </row>
    <row r="844" spans="1:19" ht="12.5" x14ac:dyDescent="0.25">
      <c r="A844" s="14" t="str">
        <f>HYPERLINK("https://gerandofalcoes.my.salesforce.com/0014P00003AN2GLQA1", "0014P00003AN2GLQA1")</f>
        <v>0014P00003AN2GLQA1</v>
      </c>
      <c r="B844" s="2" t="s">
        <v>1691</v>
      </c>
      <c r="C844" s="2" t="s">
        <v>423</v>
      </c>
      <c r="D844" s="2" t="s">
        <v>27</v>
      </c>
      <c r="E844" s="2">
        <v>85</v>
      </c>
      <c r="F844" s="2">
        <v>13</v>
      </c>
      <c r="G844" s="2">
        <v>4</v>
      </c>
      <c r="H844" s="2">
        <v>154904.04</v>
      </c>
      <c r="I844" s="2">
        <v>172</v>
      </c>
      <c r="J844" s="2" t="s">
        <v>1650</v>
      </c>
      <c r="K844" s="2">
        <v>74</v>
      </c>
      <c r="L844" s="2">
        <v>25</v>
      </c>
      <c r="M844" s="2">
        <v>12</v>
      </c>
      <c r="N844" s="2">
        <v>10</v>
      </c>
      <c r="O844" s="2">
        <v>15</v>
      </c>
      <c r="P844" s="2">
        <v>12</v>
      </c>
      <c r="Q844" s="2" t="s">
        <v>29</v>
      </c>
      <c r="R844" s="2" t="s">
        <v>29</v>
      </c>
      <c r="S844" s="4">
        <v>44837</v>
      </c>
    </row>
    <row r="845" spans="1:19" ht="12.5" x14ac:dyDescent="0.25">
      <c r="A845" s="14" t="str">
        <f>HYPERLINK("https://gerandofalcoes.my.salesforce.com/0014P00003AN2GMQA1", "0014P00003AN2GMQA1")</f>
        <v>0014P00003AN2GMQA1</v>
      </c>
      <c r="B845" s="2" t="s">
        <v>1730</v>
      </c>
      <c r="C845" s="2" t="s">
        <v>423</v>
      </c>
      <c r="D845" s="2" t="s">
        <v>27</v>
      </c>
      <c r="E845" s="2">
        <v>71</v>
      </c>
      <c r="F845" s="2">
        <v>7</v>
      </c>
      <c r="G845" s="2">
        <v>2</v>
      </c>
      <c r="H845" s="2">
        <v>225804.57</v>
      </c>
      <c r="I845" s="2">
        <v>93</v>
      </c>
      <c r="J845" s="2" t="s">
        <v>1671</v>
      </c>
      <c r="K845" s="2">
        <v>61</v>
      </c>
      <c r="L845" s="2">
        <v>20</v>
      </c>
      <c r="M845" s="2">
        <v>10</v>
      </c>
      <c r="N845" s="2">
        <v>6</v>
      </c>
      <c r="O845" s="2">
        <v>15</v>
      </c>
      <c r="P845" s="2">
        <v>10</v>
      </c>
      <c r="Q845" s="2" t="s">
        <v>39</v>
      </c>
      <c r="R845" s="2" t="s">
        <v>39</v>
      </c>
      <c r="S845" s="4">
        <v>44837</v>
      </c>
    </row>
    <row r="846" spans="1:19" ht="12.5" x14ac:dyDescent="0.25">
      <c r="A846" s="14" t="str">
        <f>HYPERLINK("https://gerandofalcoes.my.salesforce.com/0014P00003AN2GNQA1", "0014P00003AN2GNQA1")</f>
        <v>0014P00003AN2GNQA1</v>
      </c>
      <c r="B846" s="2" t="s">
        <v>1655</v>
      </c>
      <c r="C846" s="2" t="s">
        <v>423</v>
      </c>
      <c r="D846" s="2" t="s">
        <v>27</v>
      </c>
      <c r="E846" s="2">
        <v>96</v>
      </c>
      <c r="F846" s="2">
        <v>22</v>
      </c>
      <c r="G846" s="2">
        <v>4</v>
      </c>
      <c r="H846" s="2">
        <v>392688.36</v>
      </c>
      <c r="I846" s="2">
        <v>341</v>
      </c>
      <c r="J846" s="2" t="s">
        <v>1654</v>
      </c>
      <c r="K846" s="2">
        <v>87</v>
      </c>
      <c r="L846" s="2">
        <v>30</v>
      </c>
      <c r="M846" s="2">
        <v>12</v>
      </c>
      <c r="N846" s="2">
        <v>10</v>
      </c>
      <c r="O846" s="2">
        <v>20</v>
      </c>
      <c r="P846" s="2">
        <v>15</v>
      </c>
      <c r="Q846" s="2" t="s">
        <v>43</v>
      </c>
      <c r="R846" s="2" t="s">
        <v>43</v>
      </c>
      <c r="S846" s="4">
        <v>44837</v>
      </c>
    </row>
    <row r="847" spans="1:19" ht="12.5" x14ac:dyDescent="0.25">
      <c r="A847" s="14" t="str">
        <f>HYPERLINK("https://gerandofalcoes.my.salesforce.com/0014P00003AN2GOQA1", "0014P00003AN2GOQA1")</f>
        <v>0014P00003AN2GOQA1</v>
      </c>
      <c r="B847" s="2" t="s">
        <v>1710</v>
      </c>
      <c r="C847" s="2" t="s">
        <v>423</v>
      </c>
      <c r="D847" s="2" t="s">
        <v>27</v>
      </c>
      <c r="E847" s="2">
        <v>79</v>
      </c>
      <c r="F847" s="2">
        <v>10</v>
      </c>
      <c r="G847" s="2">
        <v>3</v>
      </c>
      <c r="H847" s="2">
        <v>230836.02</v>
      </c>
      <c r="I847" s="2">
        <v>124</v>
      </c>
      <c r="J847" s="2" t="s">
        <v>1650</v>
      </c>
      <c r="K847" s="2">
        <v>68</v>
      </c>
      <c r="L847" s="2">
        <v>25</v>
      </c>
      <c r="M847" s="2">
        <v>10</v>
      </c>
      <c r="N847" s="2">
        <v>8</v>
      </c>
      <c r="O847" s="2">
        <v>15</v>
      </c>
      <c r="P847" s="2">
        <v>10</v>
      </c>
      <c r="Q847" s="2" t="s">
        <v>46</v>
      </c>
      <c r="R847" s="2" t="s">
        <v>1711</v>
      </c>
      <c r="S847" s="4">
        <v>44837</v>
      </c>
    </row>
    <row r="848" spans="1:19" ht="12.5" x14ac:dyDescent="0.25">
      <c r="A848" s="14" t="str">
        <f>HYPERLINK("https://gerandofalcoes.my.salesforce.com/0014P00003AN2GPQA1", "0014P00003AN2GPQA1")</f>
        <v>0014P00003AN2GPQA1</v>
      </c>
      <c r="B848" s="2" t="s">
        <v>1653</v>
      </c>
      <c r="C848" s="2" t="s">
        <v>423</v>
      </c>
      <c r="D848" s="2" t="s">
        <v>27</v>
      </c>
      <c r="E848" s="2">
        <v>97</v>
      </c>
      <c r="F848" s="2">
        <v>33</v>
      </c>
      <c r="G848" s="2">
        <v>4</v>
      </c>
      <c r="H848" s="2">
        <v>1500734.93</v>
      </c>
      <c r="I848" s="2">
        <v>378</v>
      </c>
      <c r="J848" s="2" t="s">
        <v>1654</v>
      </c>
      <c r="K848" s="2">
        <v>95</v>
      </c>
      <c r="L848" s="2">
        <v>30</v>
      </c>
      <c r="M848" s="2">
        <v>15</v>
      </c>
      <c r="N848" s="2">
        <v>10</v>
      </c>
      <c r="O848" s="2">
        <v>25</v>
      </c>
      <c r="P848" s="2">
        <v>15</v>
      </c>
      <c r="Q848" s="2" t="s">
        <v>36</v>
      </c>
      <c r="R848" s="2" t="s">
        <v>553</v>
      </c>
      <c r="S848" s="4">
        <v>44837</v>
      </c>
    </row>
    <row r="849" spans="1:19" ht="12.5" x14ac:dyDescent="0.25">
      <c r="A849" s="14" t="str">
        <f>HYPERLINK("https://gerandofalcoes.my.salesforce.com/0014P00003AN2etQAD", "0014P00003AN2etQAD")</f>
        <v>0014P00003AN2etQAD</v>
      </c>
      <c r="B849" s="2" t="s">
        <v>2288</v>
      </c>
      <c r="C849" s="2" t="s">
        <v>423</v>
      </c>
      <c r="D849" s="2" t="s">
        <v>2</v>
      </c>
      <c r="E849" s="2">
        <v>85</v>
      </c>
      <c r="F849" s="2">
        <v>10</v>
      </c>
      <c r="G849" s="2">
        <v>4</v>
      </c>
      <c r="H849" s="2">
        <v>180000</v>
      </c>
      <c r="I849" s="2">
        <v>320</v>
      </c>
      <c r="J849" s="2" t="s">
        <v>1650</v>
      </c>
      <c r="K849" s="2">
        <v>75</v>
      </c>
      <c r="L849" s="2">
        <v>25</v>
      </c>
      <c r="M849" s="2">
        <v>10</v>
      </c>
      <c r="N849" s="2">
        <v>10</v>
      </c>
      <c r="O849" s="2">
        <v>15</v>
      </c>
      <c r="P849" s="2">
        <v>15</v>
      </c>
      <c r="Q849" s="2" t="s">
        <v>572</v>
      </c>
      <c r="R849" s="2" t="s">
        <v>572</v>
      </c>
      <c r="S849" s="4">
        <v>44837</v>
      </c>
    </row>
    <row r="850" spans="1:19" ht="12.5" x14ac:dyDescent="0.25">
      <c r="A850" s="14" t="str">
        <f>HYPERLINK("https://gerandofalcoes.my.salesforce.com/0014X00002VKCp3QAH", "0014X00002VKCp3QAH")</f>
        <v>0014X00002VKCp3QAH</v>
      </c>
      <c r="B850" s="2" t="s">
        <v>2247</v>
      </c>
      <c r="C850" s="2" t="s">
        <v>1800</v>
      </c>
      <c r="D850" s="2" t="s">
        <v>2</v>
      </c>
      <c r="E850" s="2">
        <v>31</v>
      </c>
      <c r="F850" s="2">
        <v>0</v>
      </c>
      <c r="G850" s="2">
        <v>3</v>
      </c>
      <c r="H850" s="2">
        <v>0</v>
      </c>
      <c r="I850" s="2">
        <v>0</v>
      </c>
      <c r="J850" s="2" t="s">
        <v>1779</v>
      </c>
      <c r="K850" s="2">
        <v>23</v>
      </c>
      <c r="L850" s="2">
        <v>15</v>
      </c>
      <c r="M850" s="2">
        <v>0</v>
      </c>
      <c r="N850" s="2">
        <v>8</v>
      </c>
      <c r="O850" s="2">
        <v>0</v>
      </c>
      <c r="P850" s="2">
        <v>0</v>
      </c>
      <c r="Q850" s="2" t="s">
        <v>2248</v>
      </c>
      <c r="R850" s="2" t="s">
        <v>2248</v>
      </c>
      <c r="S850" s="4">
        <v>44837</v>
      </c>
    </row>
    <row r="851" spans="1:19" ht="12.5" x14ac:dyDescent="0.25">
      <c r="A851" s="14" t="str">
        <f>HYPERLINK("https://gerandofalcoes.my.salesforce.com/0014X00002VKCsIQAX", "0014X00002VKCsIQAX")</f>
        <v>0014X00002VKCsIQAX</v>
      </c>
      <c r="B851" s="2" t="s">
        <v>2585</v>
      </c>
      <c r="C851" s="2" t="s">
        <v>423</v>
      </c>
      <c r="D851" s="2" t="s">
        <v>2</v>
      </c>
      <c r="E851" s="2">
        <v>28</v>
      </c>
      <c r="F851" s="2">
        <v>0</v>
      </c>
      <c r="G851" s="2">
        <v>890</v>
      </c>
      <c r="H851" s="2">
        <v>14400</v>
      </c>
      <c r="I851" s="2">
        <v>80</v>
      </c>
      <c r="J851" s="2" t="s">
        <v>1671</v>
      </c>
      <c r="K851" s="2">
        <v>40</v>
      </c>
      <c r="L851" s="2">
        <v>15</v>
      </c>
      <c r="M851" s="2">
        <v>0</v>
      </c>
      <c r="N851" s="2">
        <v>10</v>
      </c>
      <c r="O851" s="2">
        <v>5</v>
      </c>
      <c r="P851" s="2">
        <v>10</v>
      </c>
      <c r="Q851" s="2" t="s">
        <v>2586</v>
      </c>
      <c r="R851" s="2" t="s">
        <v>2587</v>
      </c>
      <c r="S851" s="4">
        <v>44837</v>
      </c>
    </row>
    <row r="852" spans="1:19" ht="12.5" x14ac:dyDescent="0.25">
      <c r="A852" s="14" t="str">
        <f>HYPERLINK("https://gerandofalcoes.my.salesforce.com/0014X00002VKCshQAH", "0014X00002VKCshQAH")</f>
        <v>0014X00002VKCshQAH</v>
      </c>
      <c r="B852" s="2" t="s">
        <v>2893</v>
      </c>
      <c r="C852" s="2" t="s">
        <v>423</v>
      </c>
      <c r="D852" s="2" t="s">
        <v>2</v>
      </c>
      <c r="E852" s="2">
        <v>25</v>
      </c>
      <c r="F852" s="2">
        <v>0</v>
      </c>
      <c r="G852" s="2">
        <v>2</v>
      </c>
      <c r="H852" s="2">
        <v>25000</v>
      </c>
      <c r="I852" s="2">
        <v>83</v>
      </c>
      <c r="J852" s="2" t="s">
        <v>1671</v>
      </c>
      <c r="K852" s="2">
        <v>41</v>
      </c>
      <c r="L852" s="2">
        <v>15</v>
      </c>
      <c r="M852" s="2">
        <v>0</v>
      </c>
      <c r="N852" s="2">
        <v>6</v>
      </c>
      <c r="O852" s="2">
        <v>10</v>
      </c>
      <c r="P852" s="2">
        <v>10</v>
      </c>
      <c r="Q852" s="2" t="s">
        <v>2894</v>
      </c>
      <c r="R852" s="2" t="s">
        <v>2895</v>
      </c>
      <c r="S852" s="4">
        <v>44837</v>
      </c>
    </row>
    <row r="853" spans="1:19" ht="12.5" x14ac:dyDescent="0.25">
      <c r="A853" s="14" t="str">
        <f>HYPERLINK("https://gerandofalcoes.my.salesforce.com/0014X00002VKCuEQAX", "0014X00002VKCuEQAX")</f>
        <v>0014X00002VKCuEQAX</v>
      </c>
      <c r="B853" s="2" t="s">
        <v>1977</v>
      </c>
      <c r="C853" s="2" t="s">
        <v>423</v>
      </c>
      <c r="D853" s="2" t="s">
        <v>2</v>
      </c>
      <c r="E853" s="2">
        <v>39.159999999999997</v>
      </c>
      <c r="F853" s="2">
        <v>5</v>
      </c>
      <c r="G853" s="2">
        <v>4</v>
      </c>
      <c r="H853" s="2">
        <v>120000</v>
      </c>
      <c r="I853" s="2">
        <v>5</v>
      </c>
      <c r="J853" s="2" t="s">
        <v>1671</v>
      </c>
      <c r="K853" s="2">
        <v>50</v>
      </c>
      <c r="L853" s="2">
        <v>15</v>
      </c>
      <c r="M853" s="2">
        <v>5</v>
      </c>
      <c r="N853" s="2">
        <v>10</v>
      </c>
      <c r="O853" s="2">
        <v>15</v>
      </c>
      <c r="P853" s="2">
        <v>5</v>
      </c>
      <c r="Q853" s="2" t="s">
        <v>1978</v>
      </c>
      <c r="R853" s="2" t="s">
        <v>1979</v>
      </c>
      <c r="S853" s="4">
        <v>44837</v>
      </c>
    </row>
    <row r="854" spans="1:19" ht="12.5" x14ac:dyDescent="0.25">
      <c r="A854" s="14" t="str">
        <f>HYPERLINK("https://gerandofalcoes.my.salesforce.com/0014X00002VKCsjQAH", "0014X00002VKCsjQAH")</f>
        <v>0014X00002VKCsjQAH</v>
      </c>
      <c r="B854" s="2" t="s">
        <v>2576</v>
      </c>
      <c r="C854" s="2" t="s">
        <v>423</v>
      </c>
      <c r="D854" s="2" t="s">
        <v>2</v>
      </c>
      <c r="E854" s="2">
        <v>49</v>
      </c>
      <c r="F854" s="2">
        <v>0</v>
      </c>
      <c r="G854" s="2">
        <v>1</v>
      </c>
      <c r="H854" s="2">
        <v>1251382</v>
      </c>
      <c r="I854" s="2">
        <v>0</v>
      </c>
      <c r="J854" s="2" t="s">
        <v>1779</v>
      </c>
      <c r="K854" s="2">
        <v>29</v>
      </c>
      <c r="L854" s="2">
        <v>0</v>
      </c>
      <c r="M854" s="2">
        <v>0</v>
      </c>
      <c r="N854" s="2">
        <v>4</v>
      </c>
      <c r="O854" s="2">
        <v>25</v>
      </c>
      <c r="P854" s="2">
        <v>0</v>
      </c>
      <c r="Q854" s="2" t="s">
        <v>2577</v>
      </c>
      <c r="R854" s="2" t="s">
        <v>2578</v>
      </c>
      <c r="S854" s="4">
        <v>44837</v>
      </c>
    </row>
    <row r="855" spans="1:19" ht="12.5" x14ac:dyDescent="0.25">
      <c r="A855" s="14" t="str">
        <f>HYPERLINK("https://gerandofalcoes.my.salesforce.com/0014X00002VKCsyQAH", "0014X00002VKCsyQAH")</f>
        <v>0014X00002VKCsyQAH</v>
      </c>
      <c r="B855" s="2" t="s">
        <v>1877</v>
      </c>
      <c r="C855" s="2" t="s">
        <v>423</v>
      </c>
      <c r="D855" s="2" t="s">
        <v>2</v>
      </c>
      <c r="E855" s="2">
        <v>44.41</v>
      </c>
      <c r="F855" s="2">
        <v>0</v>
      </c>
      <c r="G855" s="2">
        <v>2</v>
      </c>
      <c r="H855" s="2">
        <v>9000</v>
      </c>
      <c r="I855" s="2">
        <v>157</v>
      </c>
      <c r="J855" s="2" t="s">
        <v>1779</v>
      </c>
      <c r="K855" s="2">
        <v>38</v>
      </c>
      <c r="L855" s="2">
        <v>15</v>
      </c>
      <c r="M855" s="2">
        <v>0</v>
      </c>
      <c r="N855" s="2">
        <v>6</v>
      </c>
      <c r="O855" s="2">
        <v>5</v>
      </c>
      <c r="P855" s="2">
        <v>12</v>
      </c>
      <c r="Q855" s="2" t="s">
        <v>1878</v>
      </c>
      <c r="R855" s="2" t="s">
        <v>1878</v>
      </c>
      <c r="S855" s="4">
        <v>44837</v>
      </c>
    </row>
    <row r="856" spans="1:19" ht="12.5" x14ac:dyDescent="0.25">
      <c r="A856" s="14" t="str">
        <f>HYPERLINK("https://gerandofalcoes.my.salesforce.com/0014X00002VKCt7QAH", "0014X00002VKCt7QAH")</f>
        <v>0014X00002VKCt7QAH</v>
      </c>
      <c r="B856" s="2" t="s">
        <v>2410</v>
      </c>
      <c r="C856" s="2" t="s">
        <v>1800</v>
      </c>
      <c r="D856" s="2" t="s">
        <v>2</v>
      </c>
      <c r="E856" s="2">
        <v>25</v>
      </c>
      <c r="F856" s="2">
        <v>0</v>
      </c>
      <c r="G856" s="2">
        <v>3</v>
      </c>
      <c r="H856" s="2">
        <v>11000</v>
      </c>
      <c r="I856" s="2">
        <v>100</v>
      </c>
      <c r="J856" s="2" t="s">
        <v>1779</v>
      </c>
      <c r="K856" s="2">
        <v>38</v>
      </c>
      <c r="L856" s="2">
        <v>15</v>
      </c>
      <c r="M856" s="2">
        <v>0</v>
      </c>
      <c r="N856" s="2">
        <v>8</v>
      </c>
      <c r="O856" s="2">
        <v>5</v>
      </c>
      <c r="P856" s="2">
        <v>10</v>
      </c>
      <c r="Q856" s="2" t="s">
        <v>2411</v>
      </c>
      <c r="R856" s="2" t="s">
        <v>2412</v>
      </c>
      <c r="S856" s="4">
        <v>44837</v>
      </c>
    </row>
    <row r="857" spans="1:19" ht="12.5" x14ac:dyDescent="0.25">
      <c r="A857" s="14" t="str">
        <f>HYPERLINK("https://gerandofalcoes.my.salesforce.com/0014X00002VKCtYQAX", "0014X00002VKCtYQAX")</f>
        <v>0014X00002VKCtYQAX</v>
      </c>
      <c r="B857" s="2" t="s">
        <v>2125</v>
      </c>
      <c r="C857" s="2" t="s">
        <v>423</v>
      </c>
      <c r="D857" s="2" t="s">
        <v>2</v>
      </c>
      <c r="E857" s="2">
        <v>34.43</v>
      </c>
      <c r="F857" s="2">
        <v>3</v>
      </c>
      <c r="G857" s="2">
        <v>2</v>
      </c>
      <c r="H857" s="2">
        <v>7000</v>
      </c>
      <c r="I857" s="2">
        <v>70</v>
      </c>
      <c r="J857" s="2" t="s">
        <v>1779</v>
      </c>
      <c r="K857" s="2">
        <v>36</v>
      </c>
      <c r="L857" s="2">
        <v>15</v>
      </c>
      <c r="M857" s="2">
        <v>5</v>
      </c>
      <c r="N857" s="2">
        <v>6</v>
      </c>
      <c r="O857" s="2">
        <v>5</v>
      </c>
      <c r="P857" s="2">
        <v>5</v>
      </c>
      <c r="Q857" s="2" t="s">
        <v>2126</v>
      </c>
      <c r="R857" s="2" t="s">
        <v>2126</v>
      </c>
      <c r="S857" s="4">
        <v>44837</v>
      </c>
    </row>
    <row r="858" spans="1:19" ht="12.5" x14ac:dyDescent="0.25">
      <c r="A858" s="14" t="str">
        <f>HYPERLINK("https://gerandofalcoes.my.salesforce.com/0014X00002VKCp9QAH", "0014X00002VKCp9QAH")</f>
        <v>0014X00002VKCp9QAH</v>
      </c>
      <c r="B858" s="2" t="s">
        <v>2384</v>
      </c>
      <c r="C858" s="2" t="s">
        <v>423</v>
      </c>
      <c r="D858" s="2" t="s">
        <v>2</v>
      </c>
      <c r="E858" s="2">
        <v>26</v>
      </c>
      <c r="F858" s="2">
        <v>17</v>
      </c>
      <c r="G858" s="2">
        <v>5</v>
      </c>
      <c r="H858" s="2">
        <v>0</v>
      </c>
      <c r="I858" s="2">
        <v>0</v>
      </c>
      <c r="J858" s="2" t="s">
        <v>1779</v>
      </c>
      <c r="K858" s="2">
        <v>37</v>
      </c>
      <c r="L858" s="2">
        <v>15</v>
      </c>
      <c r="M858" s="2">
        <v>12</v>
      </c>
      <c r="N858" s="2">
        <v>10</v>
      </c>
      <c r="O858" s="2">
        <v>0</v>
      </c>
      <c r="P858" s="2">
        <v>0</v>
      </c>
      <c r="Q858" s="2" t="s">
        <v>2385</v>
      </c>
      <c r="R858" s="2" t="s">
        <v>2386</v>
      </c>
      <c r="S858" s="4">
        <v>44837</v>
      </c>
    </row>
    <row r="859" spans="1:19" ht="12.5" x14ac:dyDescent="0.25">
      <c r="A859" s="14" t="str">
        <f>HYPERLINK("https://gerandofalcoes.my.salesforce.com/0014X00002VKCqCQAX", "0014X00002VKCqCQAX")</f>
        <v>0014X00002VKCqCQAX</v>
      </c>
      <c r="B859" s="2" t="s">
        <v>2853</v>
      </c>
      <c r="C859" s="2" t="s">
        <v>423</v>
      </c>
      <c r="D859" s="2" t="s">
        <v>2</v>
      </c>
      <c r="E859" s="2">
        <v>18</v>
      </c>
      <c r="F859" s="2">
        <v>0</v>
      </c>
      <c r="G859" s="2">
        <v>0</v>
      </c>
      <c r="H859" s="2">
        <v>63000</v>
      </c>
      <c r="I859" s="2">
        <v>49</v>
      </c>
      <c r="J859" s="2" t="s">
        <v>1779</v>
      </c>
      <c r="K859" s="2">
        <v>25</v>
      </c>
      <c r="L859" s="2">
        <v>10</v>
      </c>
      <c r="M859" s="2">
        <v>0</v>
      </c>
      <c r="N859" s="2">
        <v>0</v>
      </c>
      <c r="O859" s="2">
        <v>10</v>
      </c>
      <c r="P859" s="2">
        <v>5</v>
      </c>
      <c r="Q859" s="2" t="s">
        <v>2854</v>
      </c>
      <c r="R859" s="2" t="s">
        <v>2855</v>
      </c>
      <c r="S859" s="4">
        <v>44837</v>
      </c>
    </row>
    <row r="860" spans="1:19" ht="12.5" x14ac:dyDescent="0.25">
      <c r="A860" s="14" t="str">
        <f>HYPERLINK("https://gerandofalcoes.my.salesforce.com/0014X00002VKCqAQAX", "0014X00002VKCqAQAX")</f>
        <v>0014X00002VKCqAQAX</v>
      </c>
      <c r="B860" s="2" t="s">
        <v>2912</v>
      </c>
      <c r="C860" s="2" t="s">
        <v>423</v>
      </c>
      <c r="D860" s="2" t="s">
        <v>2</v>
      </c>
      <c r="E860" s="2">
        <v>30</v>
      </c>
      <c r="F860" s="2">
        <v>7</v>
      </c>
      <c r="G860" s="2">
        <v>1</v>
      </c>
      <c r="H860" s="2">
        <v>78000</v>
      </c>
      <c r="I860" s="2">
        <v>250</v>
      </c>
      <c r="J860" s="2" t="s">
        <v>1671</v>
      </c>
      <c r="K860" s="2">
        <v>51</v>
      </c>
      <c r="L860" s="2">
        <v>15</v>
      </c>
      <c r="M860" s="2">
        <v>10</v>
      </c>
      <c r="N860" s="2">
        <v>4</v>
      </c>
      <c r="O860" s="2">
        <v>10</v>
      </c>
      <c r="P860" s="2">
        <v>12</v>
      </c>
      <c r="Q860" s="2" t="s">
        <v>2913</v>
      </c>
      <c r="R860" s="2" t="s">
        <v>2913</v>
      </c>
      <c r="S860" s="4">
        <v>44837</v>
      </c>
    </row>
    <row r="861" spans="1:19" ht="12.5" x14ac:dyDescent="0.25">
      <c r="A861" s="14" t="str">
        <f>HYPERLINK("https://gerandofalcoes.my.salesforce.com/0014X00002VKCsEQAX", "0014X00002VKCsEQAX")</f>
        <v>0014X00002VKCsEQAX</v>
      </c>
      <c r="B861" s="2" t="s">
        <v>2051</v>
      </c>
      <c r="C861" s="2" t="s">
        <v>1800</v>
      </c>
      <c r="D861" s="2" t="s">
        <v>2</v>
      </c>
      <c r="E861" s="2">
        <v>37</v>
      </c>
      <c r="F861" s="2">
        <v>2</v>
      </c>
      <c r="G861" s="2">
        <v>3</v>
      </c>
      <c r="H861" s="2">
        <v>1000</v>
      </c>
      <c r="I861" s="2">
        <v>30</v>
      </c>
      <c r="J861" s="2" t="s">
        <v>1779</v>
      </c>
      <c r="K861" s="2">
        <v>38</v>
      </c>
      <c r="L861" s="2">
        <v>15</v>
      </c>
      <c r="M861" s="2">
        <v>5</v>
      </c>
      <c r="N861" s="2">
        <v>8</v>
      </c>
      <c r="O861" s="2">
        <v>5</v>
      </c>
      <c r="P861" s="2">
        <v>5</v>
      </c>
      <c r="Q861" s="2" t="s">
        <v>2052</v>
      </c>
      <c r="R861" s="2" t="s">
        <v>2053</v>
      </c>
      <c r="S861" s="4">
        <v>44837</v>
      </c>
    </row>
    <row r="862" spans="1:19" ht="12.5" x14ac:dyDescent="0.25">
      <c r="A862" s="14" t="str">
        <f>HYPERLINK("https://gerandofalcoes.my.salesforce.com/0014X00002VKCr6QAH", "0014X00002VKCr6QAH")</f>
        <v>0014X00002VKCr6QAH</v>
      </c>
      <c r="B862" s="2" t="s">
        <v>1932</v>
      </c>
      <c r="C862" s="2" t="s">
        <v>423</v>
      </c>
      <c r="D862" s="2" t="s">
        <v>2</v>
      </c>
      <c r="E862" s="2">
        <v>37</v>
      </c>
      <c r="F862" s="2">
        <v>7</v>
      </c>
      <c r="G862" s="2">
        <v>1</v>
      </c>
      <c r="H862" s="2">
        <v>720000</v>
      </c>
      <c r="I862" s="2">
        <v>200</v>
      </c>
      <c r="J862" s="2" t="s">
        <v>1671</v>
      </c>
      <c r="K862" s="2">
        <v>61</v>
      </c>
      <c r="L862" s="2">
        <v>15</v>
      </c>
      <c r="M862" s="2">
        <v>10</v>
      </c>
      <c r="N862" s="2">
        <v>4</v>
      </c>
      <c r="O862" s="2">
        <v>20</v>
      </c>
      <c r="P862" s="2">
        <v>12</v>
      </c>
      <c r="Q862" s="2" t="s">
        <v>1933</v>
      </c>
      <c r="R862" s="2" t="s">
        <v>1934</v>
      </c>
      <c r="S862" s="4">
        <v>44837</v>
      </c>
    </row>
    <row r="863" spans="1:19" ht="12.5" x14ac:dyDescent="0.25">
      <c r="A863" s="14" t="str">
        <f>HYPERLINK("https://gerandofalcoes.my.salesforce.com/0014X00002VKCphQAH", "0014X00002VKCphQAH")</f>
        <v>0014X00002VKCphQAH</v>
      </c>
      <c r="B863" s="2" t="s">
        <v>2298</v>
      </c>
      <c r="C863" s="2" t="s">
        <v>1800</v>
      </c>
      <c r="D863" s="2" t="s">
        <v>2</v>
      </c>
      <c r="E863" s="2">
        <v>29</v>
      </c>
      <c r="F863" s="2">
        <v>0</v>
      </c>
      <c r="G863" s="2">
        <v>3</v>
      </c>
      <c r="H863" s="2">
        <v>30000</v>
      </c>
      <c r="I863" s="2">
        <v>150</v>
      </c>
      <c r="J863" s="2" t="s">
        <v>1671</v>
      </c>
      <c r="K863" s="2">
        <v>45</v>
      </c>
      <c r="L863" s="2">
        <v>15</v>
      </c>
      <c r="M863" s="2">
        <v>0</v>
      </c>
      <c r="N863" s="2">
        <v>8</v>
      </c>
      <c r="O863" s="2">
        <v>10</v>
      </c>
      <c r="P863" s="2">
        <v>12</v>
      </c>
      <c r="Q863" s="2" t="s">
        <v>2299</v>
      </c>
      <c r="R863" s="2" t="s">
        <v>2300</v>
      </c>
      <c r="S863" s="4">
        <v>44837</v>
      </c>
    </row>
    <row r="864" spans="1:19" ht="12.5" x14ac:dyDescent="0.25">
      <c r="A864" s="14" t="str">
        <f>HYPERLINK("https://gerandofalcoes.my.salesforce.com/0014X00002VKCp8QAH", "0014X00002VKCp8QAH")</f>
        <v>0014X00002VKCp8QAH</v>
      </c>
      <c r="B864" s="2" t="s">
        <v>1819</v>
      </c>
      <c r="C864" s="2" t="s">
        <v>423</v>
      </c>
      <c r="D864" s="2" t="s">
        <v>2</v>
      </c>
      <c r="E864" s="2">
        <v>55</v>
      </c>
      <c r="F864" s="2">
        <v>2</v>
      </c>
      <c r="G864" s="2">
        <v>2</v>
      </c>
      <c r="H864" s="2">
        <v>63000</v>
      </c>
      <c r="I864" s="2">
        <v>100</v>
      </c>
      <c r="J864" s="2" t="s">
        <v>1671</v>
      </c>
      <c r="K864" s="2">
        <v>51</v>
      </c>
      <c r="L864" s="2">
        <v>20</v>
      </c>
      <c r="M864" s="2">
        <v>5</v>
      </c>
      <c r="N864" s="2">
        <v>6</v>
      </c>
      <c r="O864" s="2">
        <v>10</v>
      </c>
      <c r="P864" s="2">
        <v>10</v>
      </c>
      <c r="Q864" s="2" t="s">
        <v>1820</v>
      </c>
      <c r="R864" s="2" t="s">
        <v>1821</v>
      </c>
      <c r="S864" s="4">
        <v>44837</v>
      </c>
    </row>
    <row r="865" spans="1:19" ht="12.5" x14ac:dyDescent="0.25">
      <c r="A865" s="14" t="str">
        <f>HYPERLINK("https://gerandofalcoes.my.salesforce.com/0014X00002VKCszQAH", "0014X00002VKCszQAH")</f>
        <v>0014X00002VKCszQAH</v>
      </c>
      <c r="B865" s="2" t="s">
        <v>2473</v>
      </c>
      <c r="C865" s="2" t="s">
        <v>423</v>
      </c>
      <c r="D865" s="2" t="s">
        <v>2</v>
      </c>
      <c r="E865" s="2">
        <v>22.35</v>
      </c>
      <c r="F865" s="2">
        <v>0</v>
      </c>
      <c r="G865" s="2">
        <v>3</v>
      </c>
      <c r="H865" s="2">
        <v>116114</v>
      </c>
      <c r="I865" s="2">
        <v>35</v>
      </c>
      <c r="J865" s="2" t="s">
        <v>1779</v>
      </c>
      <c r="K865" s="2">
        <v>38</v>
      </c>
      <c r="L865" s="2">
        <v>10</v>
      </c>
      <c r="M865" s="2">
        <v>0</v>
      </c>
      <c r="N865" s="2">
        <v>8</v>
      </c>
      <c r="O865" s="2">
        <v>15</v>
      </c>
      <c r="P865" s="2">
        <v>5</v>
      </c>
      <c r="Q865" s="2" t="s">
        <v>2474</v>
      </c>
      <c r="R865" s="2" t="s">
        <v>2475</v>
      </c>
      <c r="S865" s="4">
        <v>44837</v>
      </c>
    </row>
    <row r="866" spans="1:19" ht="12.5" x14ac:dyDescent="0.25">
      <c r="A866" s="14" t="str">
        <f>HYPERLINK("https://gerandofalcoes.my.salesforce.com/0014X00002VKCpBQAX", "0014X00002VKCpBQAX")</f>
        <v>0014X00002VKCpBQAX</v>
      </c>
      <c r="B866" s="2" t="s">
        <v>2504</v>
      </c>
      <c r="C866" s="2" t="s">
        <v>423</v>
      </c>
      <c r="D866" s="2" t="s">
        <v>2</v>
      </c>
      <c r="E866" s="2">
        <v>24</v>
      </c>
      <c r="F866" s="2">
        <v>0</v>
      </c>
      <c r="G866" s="2">
        <v>3</v>
      </c>
      <c r="H866" s="2">
        <v>128350</v>
      </c>
      <c r="I866" s="2">
        <v>160</v>
      </c>
      <c r="J866" s="2" t="s">
        <v>1671</v>
      </c>
      <c r="K866" s="2">
        <v>45</v>
      </c>
      <c r="L866" s="2">
        <v>10</v>
      </c>
      <c r="M866" s="2">
        <v>0</v>
      </c>
      <c r="N866" s="2">
        <v>8</v>
      </c>
      <c r="O866" s="2">
        <v>15</v>
      </c>
      <c r="P866" s="2">
        <v>12</v>
      </c>
      <c r="Q866" s="2" t="s">
        <v>2505</v>
      </c>
      <c r="R866" s="2" t="s">
        <v>2505</v>
      </c>
      <c r="S866" s="4">
        <v>44837</v>
      </c>
    </row>
    <row r="867" spans="1:19" ht="12.5" x14ac:dyDescent="0.25">
      <c r="A867" s="14" t="str">
        <f>HYPERLINK("https://gerandofalcoes.my.salesforce.com/0014X00002VKCtrQAH", "0014X00002VKCtrQAH")</f>
        <v>0014X00002VKCtrQAH</v>
      </c>
      <c r="B867" s="2" t="s">
        <v>1969</v>
      </c>
      <c r="C867" s="2" t="s">
        <v>1800</v>
      </c>
      <c r="D867" s="2" t="s">
        <v>2</v>
      </c>
      <c r="E867" s="2">
        <v>40</v>
      </c>
      <c r="F867" s="2">
        <v>0</v>
      </c>
      <c r="G867" s="2">
        <v>2</v>
      </c>
      <c r="H867" s="2">
        <v>0</v>
      </c>
      <c r="I867" s="2">
        <v>0</v>
      </c>
      <c r="J867" s="2" t="s">
        <v>1779</v>
      </c>
      <c r="K867" s="2">
        <v>21</v>
      </c>
      <c r="L867" s="2">
        <v>15</v>
      </c>
      <c r="M867" s="2">
        <v>0</v>
      </c>
      <c r="N867" s="2">
        <v>6</v>
      </c>
      <c r="O867" s="2">
        <v>0</v>
      </c>
      <c r="P867" s="2">
        <v>0</v>
      </c>
      <c r="Q867" s="2" t="s">
        <v>1970</v>
      </c>
      <c r="R867" s="2" t="s">
        <v>1971</v>
      </c>
      <c r="S867" s="4">
        <v>44837</v>
      </c>
    </row>
    <row r="868" spans="1:19" ht="12.5" x14ac:dyDescent="0.25">
      <c r="A868" s="14" t="str">
        <f>HYPERLINK("https://gerandofalcoes.my.salesforce.com/0014X00002VKCuHQAX", "0014X00002VKCuHQAX")</f>
        <v>0014X00002VKCuHQAX</v>
      </c>
      <c r="B868" s="2" t="s">
        <v>2606</v>
      </c>
      <c r="C868" s="2" t="s">
        <v>423</v>
      </c>
      <c r="D868" s="2" t="s">
        <v>2</v>
      </c>
      <c r="E868" s="2">
        <v>19</v>
      </c>
      <c r="F868" s="2">
        <v>0</v>
      </c>
      <c r="G868" s="2">
        <v>2</v>
      </c>
      <c r="H868" s="2">
        <v>25500</v>
      </c>
      <c r="I868" s="2">
        <v>30</v>
      </c>
      <c r="J868" s="2" t="s">
        <v>1779</v>
      </c>
      <c r="K868" s="2">
        <v>31</v>
      </c>
      <c r="L868" s="2">
        <v>10</v>
      </c>
      <c r="M868" s="2">
        <v>0</v>
      </c>
      <c r="N868" s="2">
        <v>6</v>
      </c>
      <c r="O868" s="2">
        <v>10</v>
      </c>
      <c r="P868" s="2">
        <v>5</v>
      </c>
      <c r="Q868" s="2" t="s">
        <v>2607</v>
      </c>
      <c r="R868" s="2" t="s">
        <v>2608</v>
      </c>
      <c r="S868" s="4">
        <v>44837</v>
      </c>
    </row>
    <row r="869" spans="1:19" ht="12.5" x14ac:dyDescent="0.25">
      <c r="A869" s="14" t="str">
        <f>HYPERLINK("https://gerandofalcoes.my.salesforce.com/0014X00002VKCqbQAH", "0014X00002VKCqbQAH")</f>
        <v>0014X00002VKCqbQAH</v>
      </c>
      <c r="B869" s="2" t="s">
        <v>2040</v>
      </c>
      <c r="C869" s="2" t="s">
        <v>423</v>
      </c>
      <c r="D869" s="2" t="s">
        <v>2</v>
      </c>
      <c r="E869" s="2">
        <v>37</v>
      </c>
      <c r="F869" s="2">
        <v>0</v>
      </c>
      <c r="G869" s="2">
        <v>3</v>
      </c>
      <c r="H869" s="2">
        <v>70000</v>
      </c>
      <c r="I869" s="2">
        <v>100</v>
      </c>
      <c r="J869" s="2" t="s">
        <v>1671</v>
      </c>
      <c r="K869" s="2">
        <v>43</v>
      </c>
      <c r="L869" s="2">
        <v>15</v>
      </c>
      <c r="M869" s="2">
        <v>0</v>
      </c>
      <c r="N869" s="2">
        <v>8</v>
      </c>
      <c r="O869" s="2">
        <v>10</v>
      </c>
      <c r="P869" s="2">
        <v>10</v>
      </c>
      <c r="Q869" s="2" t="s">
        <v>2041</v>
      </c>
      <c r="R869" s="2" t="s">
        <v>2042</v>
      </c>
      <c r="S869" s="4">
        <v>44837</v>
      </c>
    </row>
    <row r="870" spans="1:19" ht="12.5" x14ac:dyDescent="0.25">
      <c r="A870" s="14" t="str">
        <f>HYPERLINK("https://gerandofalcoes.my.salesforce.com/0014X00002VKCsnQAH", "0014X00002VKCsnQAH")</f>
        <v>0014X00002VKCsnQAH</v>
      </c>
      <c r="B870" s="2" t="s">
        <v>1899</v>
      </c>
      <c r="C870" s="2" t="s">
        <v>423</v>
      </c>
      <c r="D870" s="2" t="s">
        <v>2</v>
      </c>
      <c r="E870" s="2">
        <v>55</v>
      </c>
      <c r="F870" s="2">
        <v>7</v>
      </c>
      <c r="G870" s="2">
        <v>6</v>
      </c>
      <c r="H870" s="2">
        <v>130175</v>
      </c>
      <c r="I870" s="2">
        <v>120</v>
      </c>
      <c r="J870" s="2" t="s">
        <v>1650</v>
      </c>
      <c r="K870" s="2">
        <v>65</v>
      </c>
      <c r="L870" s="2">
        <v>20</v>
      </c>
      <c r="M870" s="2">
        <v>10</v>
      </c>
      <c r="N870" s="2">
        <v>10</v>
      </c>
      <c r="O870" s="2">
        <v>15</v>
      </c>
      <c r="P870" s="2">
        <v>10</v>
      </c>
      <c r="Q870" s="2" t="s">
        <v>1900</v>
      </c>
      <c r="R870" s="2" t="s">
        <v>1901</v>
      </c>
      <c r="S870" s="4">
        <v>44837</v>
      </c>
    </row>
    <row r="871" spans="1:19" ht="12.5" x14ac:dyDescent="0.25">
      <c r="A871" s="14" t="str">
        <f>HYPERLINK("https://gerandofalcoes.my.salesforce.com/0014X00002VKCqSQAX", "0014X00002VKCqSQAX")</f>
        <v>0014X00002VKCqSQAX</v>
      </c>
      <c r="B871" s="2" t="s">
        <v>2197</v>
      </c>
      <c r="C871" s="2" t="s">
        <v>1800</v>
      </c>
      <c r="D871" s="2" t="s">
        <v>2</v>
      </c>
      <c r="E871" s="2">
        <v>33</v>
      </c>
      <c r="F871" s="2">
        <v>0</v>
      </c>
      <c r="G871" s="2">
        <v>3</v>
      </c>
      <c r="H871" s="2">
        <v>2160</v>
      </c>
      <c r="I871" s="2">
        <v>0</v>
      </c>
      <c r="J871" s="2" t="s">
        <v>1779</v>
      </c>
      <c r="K871" s="2">
        <v>28</v>
      </c>
      <c r="L871" s="2">
        <v>15</v>
      </c>
      <c r="M871" s="2">
        <v>0</v>
      </c>
      <c r="N871" s="2">
        <v>8</v>
      </c>
      <c r="O871" s="2">
        <v>5</v>
      </c>
      <c r="P871" s="2">
        <v>0</v>
      </c>
      <c r="Q871" s="2" t="s">
        <v>2198</v>
      </c>
      <c r="R871" s="2" t="s">
        <v>2199</v>
      </c>
      <c r="S871" s="4">
        <v>44837</v>
      </c>
    </row>
    <row r="872" spans="1:19" ht="12.5" x14ac:dyDescent="0.25">
      <c r="A872" s="14" t="str">
        <f>HYPERLINK("https://gerandofalcoes.my.salesforce.com/0014X00002VKCubQAH", "0014X00002VKCubQAH")</f>
        <v>0014X00002VKCubQAH</v>
      </c>
      <c r="B872" s="2" t="s">
        <v>2062</v>
      </c>
      <c r="C872" s="2" t="s">
        <v>423</v>
      </c>
      <c r="D872" s="2" t="s">
        <v>2</v>
      </c>
      <c r="E872" s="2">
        <v>37</v>
      </c>
      <c r="F872" s="2">
        <v>3</v>
      </c>
      <c r="G872" s="2">
        <v>3</v>
      </c>
      <c r="H872" s="2">
        <v>3000</v>
      </c>
      <c r="I872" s="2">
        <v>0</v>
      </c>
      <c r="J872" s="2" t="s">
        <v>1779</v>
      </c>
      <c r="K872" s="2">
        <v>33</v>
      </c>
      <c r="L872" s="2">
        <v>15</v>
      </c>
      <c r="M872" s="2">
        <v>5</v>
      </c>
      <c r="N872" s="2">
        <v>8</v>
      </c>
      <c r="O872" s="2">
        <v>5</v>
      </c>
      <c r="P872" s="2">
        <v>0</v>
      </c>
      <c r="Q872" s="2" t="s">
        <v>2063</v>
      </c>
      <c r="R872" s="2" t="s">
        <v>2064</v>
      </c>
      <c r="S872" s="4">
        <v>44837</v>
      </c>
    </row>
    <row r="873" spans="1:19" ht="12.5" x14ac:dyDescent="0.25">
      <c r="A873" s="14" t="str">
        <f>HYPERLINK("https://gerandofalcoes.my.salesforce.com/0014X00002VKCsOQAX", "0014X00002VKCsOQAX")</f>
        <v>0014X00002VKCsOQAX</v>
      </c>
      <c r="B873" s="2" t="s">
        <v>1858</v>
      </c>
      <c r="C873" s="2" t="s">
        <v>423</v>
      </c>
      <c r="D873" s="2" t="s">
        <v>2</v>
      </c>
      <c r="E873" s="2">
        <v>46</v>
      </c>
      <c r="F873" s="2">
        <v>0</v>
      </c>
      <c r="G873" s="2">
        <v>3</v>
      </c>
      <c r="H873" s="2">
        <v>10000</v>
      </c>
      <c r="I873" s="2">
        <v>110</v>
      </c>
      <c r="J873" s="2" t="s">
        <v>1779</v>
      </c>
      <c r="K873" s="2">
        <v>38</v>
      </c>
      <c r="L873" s="2">
        <v>15</v>
      </c>
      <c r="M873" s="2">
        <v>0</v>
      </c>
      <c r="N873" s="2">
        <v>8</v>
      </c>
      <c r="O873" s="2">
        <v>5</v>
      </c>
      <c r="P873" s="2">
        <v>10</v>
      </c>
      <c r="Q873" s="2" t="s">
        <v>1859</v>
      </c>
      <c r="R873" s="2" t="s">
        <v>1860</v>
      </c>
      <c r="S873" s="4">
        <v>44837</v>
      </c>
    </row>
    <row r="874" spans="1:19" ht="12.5" x14ac:dyDescent="0.25">
      <c r="A874" s="14" t="str">
        <f>HYPERLINK("https://gerandofalcoes.my.salesforce.com/0014X00002VKCuuQAH", "0014X00002VKCuuQAH")</f>
        <v>0014X00002VKCuuQAH</v>
      </c>
      <c r="B874" s="2" t="s">
        <v>2933</v>
      </c>
      <c r="C874" s="2" t="s">
        <v>423</v>
      </c>
      <c r="D874" s="2" t="s">
        <v>2</v>
      </c>
      <c r="E874" s="2">
        <v>6</v>
      </c>
      <c r="F874" s="2">
        <v>5</v>
      </c>
      <c r="G874" s="2">
        <v>5</v>
      </c>
      <c r="H874" s="2">
        <v>0</v>
      </c>
      <c r="I874" s="2">
        <v>220</v>
      </c>
      <c r="J874" s="2" t="s">
        <v>1779</v>
      </c>
      <c r="K874" s="2">
        <v>37</v>
      </c>
      <c r="L874" s="2">
        <v>10</v>
      </c>
      <c r="M874" s="2">
        <v>5</v>
      </c>
      <c r="N874" s="2">
        <v>10</v>
      </c>
      <c r="O874" s="2">
        <v>0</v>
      </c>
      <c r="P874" s="2">
        <v>12</v>
      </c>
      <c r="Q874" s="2" t="s">
        <v>2934</v>
      </c>
      <c r="R874" s="2" t="s">
        <v>2934</v>
      </c>
      <c r="S874" s="4">
        <v>44837</v>
      </c>
    </row>
    <row r="875" spans="1:19" ht="12.5" x14ac:dyDescent="0.25">
      <c r="A875" s="14" t="str">
        <f>HYPERLINK("https://gerandofalcoes.my.salesforce.com/0014X00002VKCv6QAH", "0014X00002VKCv6QAH")</f>
        <v>0014X00002VKCv6QAH</v>
      </c>
      <c r="B875" s="2" t="s">
        <v>2941</v>
      </c>
      <c r="C875" s="2" t="s">
        <v>423</v>
      </c>
      <c r="D875" s="2" t="s">
        <v>2</v>
      </c>
      <c r="E875" s="2">
        <v>29</v>
      </c>
      <c r="F875" s="2">
        <v>0</v>
      </c>
      <c r="G875" s="2">
        <v>0</v>
      </c>
      <c r="H875" s="2">
        <v>0</v>
      </c>
      <c r="I875" s="2">
        <v>44</v>
      </c>
      <c r="J875" s="2" t="s">
        <v>1779</v>
      </c>
      <c r="K875" s="2">
        <v>20</v>
      </c>
      <c r="L875" s="2">
        <v>15</v>
      </c>
      <c r="M875" s="2">
        <v>0</v>
      </c>
      <c r="N875" s="2">
        <v>0</v>
      </c>
      <c r="O875" s="2">
        <v>0</v>
      </c>
      <c r="P875" s="2">
        <v>5</v>
      </c>
      <c r="Q875" s="2" t="s">
        <v>2942</v>
      </c>
      <c r="R875" s="2" t="s">
        <v>2943</v>
      </c>
      <c r="S875" s="4">
        <v>44837</v>
      </c>
    </row>
    <row r="876" spans="1:19" ht="12.5" x14ac:dyDescent="0.25">
      <c r="A876" s="14" t="str">
        <f>HYPERLINK("https://gerandofalcoes.my.salesforce.com/0014P00003AN2h4QAD", "0014P00003AN2h4QAD")</f>
        <v>0014P00003AN2h4QAD</v>
      </c>
      <c r="B876" s="2" t="s">
        <v>1698</v>
      </c>
      <c r="C876" s="2" t="s">
        <v>423</v>
      </c>
      <c r="D876" s="2" t="s">
        <v>2</v>
      </c>
      <c r="E876" s="2">
        <v>84.3</v>
      </c>
      <c r="F876" s="2">
        <v>10</v>
      </c>
      <c r="G876" s="2">
        <v>5</v>
      </c>
      <c r="H876" s="2">
        <v>450000</v>
      </c>
      <c r="I876" s="2">
        <v>106</v>
      </c>
      <c r="J876" s="2" t="s">
        <v>1650</v>
      </c>
      <c r="K876" s="2">
        <v>75</v>
      </c>
      <c r="L876" s="2">
        <v>25</v>
      </c>
      <c r="M876" s="2">
        <v>10</v>
      </c>
      <c r="N876" s="2">
        <v>10</v>
      </c>
      <c r="O876" s="2">
        <v>20</v>
      </c>
      <c r="P876" s="2">
        <v>10</v>
      </c>
      <c r="Q876" s="2" t="s">
        <v>595</v>
      </c>
      <c r="R876" s="2" t="s">
        <v>595</v>
      </c>
      <c r="S876" s="4">
        <v>44837</v>
      </c>
    </row>
    <row r="877" spans="1:19" ht="12.5" x14ac:dyDescent="0.25">
      <c r="A877" s="14" t="str">
        <f>HYPERLINK("https://gerandofalcoes.my.salesforce.com/0014P00003AN2h5QAD", "0014P00003AN2h5QAD")</f>
        <v>0014P00003AN2h5QAD</v>
      </c>
      <c r="B877" s="2" t="s">
        <v>1660</v>
      </c>
      <c r="C877" s="2" t="s">
        <v>423</v>
      </c>
      <c r="D877" s="2" t="s">
        <v>27</v>
      </c>
      <c r="E877" s="2">
        <v>95</v>
      </c>
      <c r="F877" s="2">
        <v>25</v>
      </c>
      <c r="G877" s="2">
        <v>3</v>
      </c>
      <c r="H877" s="2">
        <v>1106859.57</v>
      </c>
      <c r="I877" s="2">
        <v>164</v>
      </c>
      <c r="J877" s="2" t="s">
        <v>1654</v>
      </c>
      <c r="K877" s="2">
        <v>87</v>
      </c>
      <c r="L877" s="2">
        <v>30</v>
      </c>
      <c r="M877" s="2">
        <v>12</v>
      </c>
      <c r="N877" s="2">
        <v>8</v>
      </c>
      <c r="O877" s="2">
        <v>25</v>
      </c>
      <c r="P877" s="2">
        <v>12</v>
      </c>
      <c r="Q877" s="2" t="s">
        <v>54</v>
      </c>
      <c r="R877" s="2" t="s">
        <v>54</v>
      </c>
      <c r="S877" s="4">
        <v>44837</v>
      </c>
    </row>
    <row r="878" spans="1:19" ht="12.5" x14ac:dyDescent="0.25">
      <c r="A878" s="14" t="str">
        <f>HYPERLINK("https://gerandofalcoes.my.salesforce.com/0014P00003AN2h6QAD", "0014P00003AN2h6QAD")</f>
        <v>0014P00003AN2h6QAD</v>
      </c>
      <c r="B878" s="2" t="s">
        <v>1649</v>
      </c>
      <c r="C878" s="2" t="s">
        <v>423</v>
      </c>
      <c r="D878" s="2" t="s">
        <v>27</v>
      </c>
      <c r="E878" s="2">
        <v>98</v>
      </c>
      <c r="F878" s="2">
        <v>13</v>
      </c>
      <c r="G878" s="2">
        <v>3</v>
      </c>
      <c r="H878" s="2">
        <v>245092.99</v>
      </c>
      <c r="I878" s="2">
        <v>182</v>
      </c>
      <c r="J878" s="2" t="s">
        <v>1650</v>
      </c>
      <c r="K878" s="2">
        <v>77</v>
      </c>
      <c r="L878" s="2">
        <v>30</v>
      </c>
      <c r="M878" s="2">
        <v>12</v>
      </c>
      <c r="N878" s="2">
        <v>8</v>
      </c>
      <c r="O878" s="2">
        <v>15</v>
      </c>
      <c r="P878" s="2">
        <v>12</v>
      </c>
      <c r="Q878" s="2" t="s">
        <v>1651</v>
      </c>
      <c r="R878" s="2" t="s">
        <v>1652</v>
      </c>
      <c r="S878" s="4">
        <v>44837</v>
      </c>
    </row>
    <row r="879" spans="1:19" ht="12.5" x14ac:dyDescent="0.25">
      <c r="A879" s="14" t="str">
        <f>HYPERLINK("https://gerandofalcoes.my.salesforce.com/0014P00003AN2h7QAD", "0014P00003AN2h7QAD")</f>
        <v>0014P00003AN2h7QAD</v>
      </c>
      <c r="B879" s="2" t="s">
        <v>2988</v>
      </c>
      <c r="C879" s="2" t="s">
        <v>1684</v>
      </c>
      <c r="D879" s="2" t="s">
        <v>2</v>
      </c>
      <c r="E879" s="2"/>
      <c r="F879" s="2">
        <v>0</v>
      </c>
      <c r="G879" s="2">
        <v>0</v>
      </c>
      <c r="H879" s="2">
        <v>0</v>
      </c>
      <c r="I879" s="2">
        <v>130</v>
      </c>
      <c r="J879" s="2" t="s">
        <v>1779</v>
      </c>
      <c r="K879" s="2">
        <v>10</v>
      </c>
      <c r="L879" s="2">
        <v>0</v>
      </c>
      <c r="M879" s="2">
        <v>0</v>
      </c>
      <c r="N879" s="2">
        <v>0</v>
      </c>
      <c r="O879" s="2">
        <v>0</v>
      </c>
      <c r="P879" s="2">
        <v>10</v>
      </c>
      <c r="Q879" s="2" t="s">
        <v>2989</v>
      </c>
      <c r="R879" s="2" t="s">
        <v>602</v>
      </c>
      <c r="S879" s="4">
        <v>44837</v>
      </c>
    </row>
    <row r="880" spans="1:19" ht="12.5" x14ac:dyDescent="0.25">
      <c r="A880" s="14" t="str">
        <f>HYPERLINK("https://gerandofalcoes.my.salesforce.com/0014P00003AN6yVQAT", "0014P00003AN6yVQAT")</f>
        <v>0014P00003AN6yVQAT</v>
      </c>
      <c r="B880" s="2" t="s">
        <v>1798</v>
      </c>
      <c r="C880" s="2" t="s">
        <v>423</v>
      </c>
      <c r="D880" s="2" t="s">
        <v>2</v>
      </c>
      <c r="E880" s="2">
        <v>68</v>
      </c>
      <c r="F880" s="2">
        <v>0</v>
      </c>
      <c r="G880" s="2">
        <v>2</v>
      </c>
      <c r="H880" s="2">
        <v>9586512</v>
      </c>
      <c r="I880" s="2">
        <v>151</v>
      </c>
      <c r="J880" s="2" t="s">
        <v>1671</v>
      </c>
      <c r="K880" s="2">
        <v>63</v>
      </c>
      <c r="L880" s="2">
        <v>20</v>
      </c>
      <c r="M880" s="2">
        <v>0</v>
      </c>
      <c r="N880" s="2">
        <v>6</v>
      </c>
      <c r="O880" s="2">
        <v>25</v>
      </c>
      <c r="P880" s="2">
        <v>12</v>
      </c>
      <c r="Q880" s="2" t="s">
        <v>560</v>
      </c>
      <c r="R880" s="2" t="s">
        <v>560</v>
      </c>
      <c r="S880" s="4">
        <v>44837</v>
      </c>
    </row>
    <row r="881" spans="1:19" ht="12.5" x14ac:dyDescent="0.25">
      <c r="A881" s="14" t="str">
        <f>HYPERLINK("https://gerandofalcoes.my.salesforce.com/0014P00003AN72DQAT", "0014P00003AN72DQAT")</f>
        <v>0014P00003AN72DQAT</v>
      </c>
      <c r="B881" s="2" t="s">
        <v>1722</v>
      </c>
      <c r="C881" s="2" t="s">
        <v>423</v>
      </c>
      <c r="D881" s="2" t="s">
        <v>2</v>
      </c>
      <c r="E881" s="2">
        <v>74</v>
      </c>
      <c r="F881" s="2">
        <v>35</v>
      </c>
      <c r="G881" s="2">
        <v>5</v>
      </c>
      <c r="H881" s="2">
        <v>1000000</v>
      </c>
      <c r="I881" s="2">
        <v>506</v>
      </c>
      <c r="J881" s="2" t="s">
        <v>1654</v>
      </c>
      <c r="K881" s="2">
        <v>90</v>
      </c>
      <c r="L881" s="2">
        <v>20</v>
      </c>
      <c r="M881" s="2">
        <v>15</v>
      </c>
      <c r="N881" s="2">
        <v>10</v>
      </c>
      <c r="O881" s="2">
        <v>25</v>
      </c>
      <c r="P881" s="2">
        <v>20</v>
      </c>
      <c r="Q881" s="2" t="s">
        <v>565</v>
      </c>
      <c r="R881" s="2" t="s">
        <v>565</v>
      </c>
      <c r="S881" s="4">
        <v>44837</v>
      </c>
    </row>
    <row r="882" spans="1:19" ht="12.5" x14ac:dyDescent="0.25">
      <c r="A882" s="14" t="str">
        <f>HYPERLINK("https://gerandofalcoes.my.salesforce.com/0014P00003AN76yQAD", "0014P00003AN76yQAD")</f>
        <v>0014P00003AN76yQAD</v>
      </c>
      <c r="B882" s="2" t="s">
        <v>49</v>
      </c>
      <c r="C882" s="2" t="s">
        <v>423</v>
      </c>
      <c r="D882" s="2" t="s">
        <v>27</v>
      </c>
      <c r="E882" s="2">
        <v>68.069999999999993</v>
      </c>
      <c r="F882" s="2">
        <v>6</v>
      </c>
      <c r="G882" s="2">
        <v>2</v>
      </c>
      <c r="H882" s="2">
        <v>80000</v>
      </c>
      <c r="I882" s="2">
        <v>80</v>
      </c>
      <c r="J882" s="2" t="s">
        <v>1671</v>
      </c>
      <c r="K882" s="2">
        <v>56</v>
      </c>
      <c r="L882" s="2">
        <v>20</v>
      </c>
      <c r="M882" s="2">
        <v>10</v>
      </c>
      <c r="N882" s="2">
        <v>6</v>
      </c>
      <c r="O882" s="2">
        <v>10</v>
      </c>
      <c r="P882" s="2">
        <v>10</v>
      </c>
      <c r="Q882" s="2" t="s">
        <v>1716</v>
      </c>
      <c r="R882" s="2" t="s">
        <v>1716</v>
      </c>
      <c r="S882" s="4">
        <v>44837</v>
      </c>
    </row>
    <row r="883" spans="1:19" ht="12.5" x14ac:dyDescent="0.25">
      <c r="A883" s="14" t="str">
        <f>HYPERLINK("https://gerandofalcoes.my.salesforce.com/0014P00003ERUfsQAH", "0014P00003ERUfsQAH")</f>
        <v>0014P00003ERUfsQAH</v>
      </c>
      <c r="B883" s="2" t="s">
        <v>1668</v>
      </c>
      <c r="C883" s="2" t="s">
        <v>423</v>
      </c>
      <c r="D883" s="2" t="s">
        <v>27</v>
      </c>
      <c r="E883" s="2">
        <v>91</v>
      </c>
      <c r="F883" s="2">
        <v>30</v>
      </c>
      <c r="G883" s="2">
        <v>4</v>
      </c>
      <c r="H883" s="2">
        <v>155230.70000000001</v>
      </c>
      <c r="I883" s="2">
        <v>782</v>
      </c>
      <c r="J883" s="2" t="s">
        <v>1654</v>
      </c>
      <c r="K883" s="2">
        <v>87</v>
      </c>
      <c r="L883" s="2">
        <v>30</v>
      </c>
      <c r="M883" s="2">
        <v>12</v>
      </c>
      <c r="N883" s="2">
        <v>10</v>
      </c>
      <c r="O883" s="2">
        <v>15</v>
      </c>
      <c r="P883" s="2">
        <v>20</v>
      </c>
      <c r="Q883" s="2" t="s">
        <v>73</v>
      </c>
      <c r="R883" s="2" t="s">
        <v>73</v>
      </c>
      <c r="S883" s="4">
        <v>44837</v>
      </c>
    </row>
    <row r="884" spans="1:19" ht="12.5" x14ac:dyDescent="0.25">
      <c r="A884" s="14" t="str">
        <f>HYPERLINK("https://gerandofalcoes.my.salesforce.com/0014P00003ERakHQAT", "0014P00003ERakHQAT")</f>
        <v>0014P00003ERakHQAT</v>
      </c>
      <c r="B884" s="2" t="s">
        <v>2983</v>
      </c>
      <c r="C884" s="2" t="s">
        <v>1684</v>
      </c>
      <c r="D884" s="2" t="s">
        <v>2</v>
      </c>
      <c r="E884" s="2"/>
      <c r="F884" s="2">
        <v>0</v>
      </c>
      <c r="G884" s="2">
        <v>0</v>
      </c>
      <c r="H884" s="2">
        <v>0</v>
      </c>
      <c r="I884" s="2">
        <v>300</v>
      </c>
      <c r="J884" s="2" t="s">
        <v>1779</v>
      </c>
      <c r="K884" s="2">
        <v>15</v>
      </c>
      <c r="L884" s="2">
        <v>0</v>
      </c>
      <c r="M884" s="2">
        <v>0</v>
      </c>
      <c r="N884" s="2">
        <v>0</v>
      </c>
      <c r="O884" s="2">
        <v>0</v>
      </c>
      <c r="P884" s="2">
        <v>15</v>
      </c>
      <c r="Q884" s="2" t="s">
        <v>2984</v>
      </c>
      <c r="R884" s="2" t="s">
        <v>2984</v>
      </c>
      <c r="S884" s="4">
        <v>44837</v>
      </c>
    </row>
    <row r="885" spans="1:19" ht="12.5" x14ac:dyDescent="0.25">
      <c r="A885" s="14" t="str">
        <f>HYPERLINK("https://gerandofalcoes.my.salesforce.com/0014P00003ERavoQAD", "0014P00003ERavoQAD")</f>
        <v>0014P00003ERavoQAD</v>
      </c>
      <c r="B885" s="2" t="s">
        <v>77</v>
      </c>
      <c r="C885" s="2" t="s">
        <v>423</v>
      </c>
      <c r="D885" s="2" t="s">
        <v>27</v>
      </c>
      <c r="E885" s="2">
        <v>86</v>
      </c>
      <c r="F885" s="2">
        <v>5</v>
      </c>
      <c r="G885" s="2">
        <v>4</v>
      </c>
      <c r="H885" s="2">
        <v>275378.40000000002</v>
      </c>
      <c r="I885" s="2">
        <v>184</v>
      </c>
      <c r="J885" s="2" t="s">
        <v>1650</v>
      </c>
      <c r="K885" s="2">
        <v>67</v>
      </c>
      <c r="L885" s="2">
        <v>25</v>
      </c>
      <c r="M885" s="2">
        <v>5</v>
      </c>
      <c r="N885" s="2">
        <v>10</v>
      </c>
      <c r="O885" s="2">
        <v>15</v>
      </c>
      <c r="P885" s="2">
        <v>12</v>
      </c>
      <c r="Q885" s="2" t="s">
        <v>78</v>
      </c>
      <c r="R885" s="2" t="s">
        <v>78</v>
      </c>
      <c r="S885" s="4">
        <v>44837</v>
      </c>
    </row>
    <row r="886" spans="1:19" ht="12.5" x14ac:dyDescent="0.25">
      <c r="A886" s="14" t="str">
        <f>HYPERLINK("https://gerandofalcoes.my.salesforce.com/0014P00003MjNTIQA3", "0014P00003MjNTIQA3")</f>
        <v>0014P00003MjNTIQA3</v>
      </c>
      <c r="B886" s="2" t="s">
        <v>2976</v>
      </c>
      <c r="C886" s="2" t="s">
        <v>423</v>
      </c>
      <c r="D886" s="2" t="s">
        <v>66</v>
      </c>
      <c r="E886" s="2">
        <v>0</v>
      </c>
      <c r="F886" s="2">
        <v>10</v>
      </c>
      <c r="G886" s="2">
        <v>0</v>
      </c>
      <c r="H886" s="2">
        <v>0</v>
      </c>
      <c r="I886" s="2">
        <v>0</v>
      </c>
      <c r="J886" s="2" t="s">
        <v>1779</v>
      </c>
      <c r="K886" s="2">
        <v>10</v>
      </c>
      <c r="L886" s="2">
        <v>0</v>
      </c>
      <c r="M886" s="2">
        <v>10</v>
      </c>
      <c r="N886" s="2">
        <v>0</v>
      </c>
      <c r="O886" s="2">
        <v>0</v>
      </c>
      <c r="P886" s="2">
        <v>0</v>
      </c>
      <c r="Q886" s="2" t="s">
        <v>862</v>
      </c>
      <c r="R886" s="2" t="s">
        <v>862</v>
      </c>
      <c r="S886" s="4">
        <v>44837</v>
      </c>
    </row>
    <row r="887" spans="1:19" ht="12.5" x14ac:dyDescent="0.25">
      <c r="A887" s="14" t="str">
        <f>HYPERLINK("https://gerandofalcoes.my.salesforce.com/0014P00003MjOsqQAF", "0014P00003MjOsqQAF")</f>
        <v>0014P00003MjOsqQAF</v>
      </c>
      <c r="B887" s="2" t="s">
        <v>2977</v>
      </c>
      <c r="C887" s="2" t="s">
        <v>1684</v>
      </c>
      <c r="D887" s="2" t="s">
        <v>66</v>
      </c>
      <c r="E887" s="2">
        <v>0</v>
      </c>
      <c r="F887" s="2">
        <v>6</v>
      </c>
      <c r="G887" s="2">
        <v>1</v>
      </c>
      <c r="H887" s="2">
        <v>0</v>
      </c>
      <c r="I887" s="2">
        <v>0</v>
      </c>
      <c r="J887" s="2" t="s">
        <v>1779</v>
      </c>
      <c r="K887" s="2">
        <v>14</v>
      </c>
      <c r="L887" s="2">
        <v>0</v>
      </c>
      <c r="M887" s="2">
        <v>10</v>
      </c>
      <c r="N887" s="2">
        <v>4</v>
      </c>
      <c r="O887" s="2">
        <v>0</v>
      </c>
      <c r="P887" s="2">
        <v>0</v>
      </c>
      <c r="Q887" s="2" t="s">
        <v>71</v>
      </c>
      <c r="R887" s="2" t="s">
        <v>870</v>
      </c>
      <c r="S887" s="4">
        <v>44837</v>
      </c>
    </row>
    <row r="888" spans="1:19" ht="12.5" x14ac:dyDescent="0.25">
      <c r="A888" s="14" t="str">
        <f>HYPERLINK("https://gerandofalcoes.my.salesforce.com/0014P00003MjR9oQAF", "0014P00003MjR9oQAF")</f>
        <v>0014P00003MjR9oQAF</v>
      </c>
      <c r="B888" s="2" t="s">
        <v>2978</v>
      </c>
      <c r="C888" s="2" t="s">
        <v>423</v>
      </c>
      <c r="D888" s="2" t="s">
        <v>66</v>
      </c>
      <c r="E888" s="2">
        <v>0</v>
      </c>
      <c r="F888" s="2">
        <v>23</v>
      </c>
      <c r="G888" s="2">
        <v>1</v>
      </c>
      <c r="H888" s="2">
        <v>0</v>
      </c>
      <c r="I888" s="2">
        <v>0</v>
      </c>
      <c r="J888" s="2" t="s">
        <v>1779</v>
      </c>
      <c r="K888" s="2">
        <v>16</v>
      </c>
      <c r="L888" s="2">
        <v>0</v>
      </c>
      <c r="M888" s="2">
        <v>12</v>
      </c>
      <c r="N888" s="2">
        <v>4</v>
      </c>
      <c r="O888" s="2">
        <v>0</v>
      </c>
      <c r="P888" s="2">
        <v>0</v>
      </c>
      <c r="Q888" s="2" t="s">
        <v>67</v>
      </c>
      <c r="R888" s="2" t="s">
        <v>2979</v>
      </c>
      <c r="S888" s="4">
        <v>44837</v>
      </c>
    </row>
    <row r="889" spans="1:19" ht="12.5" x14ac:dyDescent="0.25">
      <c r="A889" s="14" t="str">
        <f>HYPERLINK("https://gerandofalcoes.my.salesforce.com/0014X00002YggooQAB", "0014X00002YggooQAB")</f>
        <v>0014X00002YggooQAB</v>
      </c>
      <c r="B889" s="2" t="s">
        <v>3047</v>
      </c>
      <c r="C889" s="2" t="s">
        <v>423</v>
      </c>
      <c r="D889" s="2" t="s">
        <v>2</v>
      </c>
      <c r="E889" s="2"/>
      <c r="F889" s="2">
        <v>1</v>
      </c>
      <c r="G889" s="2">
        <v>3</v>
      </c>
      <c r="H889" s="2">
        <v>19000</v>
      </c>
      <c r="I889" s="2">
        <v>30</v>
      </c>
      <c r="J889" s="2"/>
      <c r="K889" s="2">
        <v>23</v>
      </c>
      <c r="L889" s="2">
        <v>0</v>
      </c>
      <c r="M889" s="2">
        <v>5</v>
      </c>
      <c r="N889" s="2">
        <v>8</v>
      </c>
      <c r="O889" s="2">
        <v>5</v>
      </c>
      <c r="P889" s="2">
        <v>5</v>
      </c>
      <c r="Q889" s="2" t="s">
        <v>3048</v>
      </c>
      <c r="R889" s="2" t="s">
        <v>3049</v>
      </c>
      <c r="S889" s="4">
        <v>44946</v>
      </c>
    </row>
    <row r="890" spans="1:19" ht="12.5" x14ac:dyDescent="0.25">
      <c r="A890" s="14" t="str">
        <f>HYPERLINK("https://gerandofalcoes.my.salesforce.com/0014X00002YggpCQAR", "0014X00002YggpCQAR")</f>
        <v>0014X00002YggpCQAR</v>
      </c>
      <c r="B890" s="2" t="s">
        <v>3120</v>
      </c>
      <c r="C890" s="2" t="s">
        <v>423</v>
      </c>
      <c r="D890" s="2" t="s">
        <v>2</v>
      </c>
      <c r="E890" s="2"/>
      <c r="F890" s="2">
        <v>0</v>
      </c>
      <c r="G890" s="2">
        <v>10</v>
      </c>
      <c r="H890" s="2">
        <v>1100</v>
      </c>
      <c r="I890" s="2">
        <v>0</v>
      </c>
      <c r="J890" s="2"/>
      <c r="K890" s="2">
        <v>15</v>
      </c>
      <c r="L890" s="2">
        <v>0</v>
      </c>
      <c r="M890" s="2">
        <v>0</v>
      </c>
      <c r="N890" s="2">
        <v>10</v>
      </c>
      <c r="O890" s="2">
        <v>5</v>
      </c>
      <c r="P890" s="2">
        <v>0</v>
      </c>
      <c r="Q890" s="2" t="s">
        <v>3121</v>
      </c>
      <c r="R890" s="2" t="s">
        <v>3121</v>
      </c>
      <c r="S890" s="4">
        <v>44949</v>
      </c>
    </row>
    <row r="891" spans="1:19" ht="12.5" x14ac:dyDescent="0.25">
      <c r="A891" s="14" t="str">
        <f>HYPERLINK("https://gerandofalcoes.my.salesforce.com/0014X00002YggkqQAB", "0014X00002YggkqQAB")</f>
        <v>0014X00002YggkqQAB</v>
      </c>
      <c r="B891" s="2" t="s">
        <v>3035</v>
      </c>
      <c r="C891" s="2" t="s">
        <v>423</v>
      </c>
      <c r="D891" s="2" t="s">
        <v>2</v>
      </c>
      <c r="E891" s="2"/>
      <c r="F891" s="2">
        <v>0</v>
      </c>
      <c r="G891" s="2">
        <v>3</v>
      </c>
      <c r="H891" s="2">
        <v>11000</v>
      </c>
      <c r="I891" s="2">
        <v>530</v>
      </c>
      <c r="J891" s="2"/>
      <c r="K891" s="2">
        <v>33</v>
      </c>
      <c r="L891" s="2">
        <v>0</v>
      </c>
      <c r="M891" s="2">
        <v>0</v>
      </c>
      <c r="N891" s="2">
        <v>8</v>
      </c>
      <c r="O891" s="2">
        <v>5</v>
      </c>
      <c r="P891" s="2">
        <v>20</v>
      </c>
      <c r="Q891" s="2" t="s">
        <v>3036</v>
      </c>
      <c r="R891" s="2" t="s">
        <v>3037</v>
      </c>
      <c r="S891" s="4">
        <v>44945</v>
      </c>
    </row>
    <row r="892" spans="1:19" ht="12.5" x14ac:dyDescent="0.25">
      <c r="A892" s="14" t="str">
        <f>HYPERLINK("https://gerandofalcoes.my.salesforce.com/0014X00002VKCqEQAX", "0014X00002VKCqEQAX")</f>
        <v>0014X00002VKCqEQAX</v>
      </c>
      <c r="B892" s="2" t="s">
        <v>2349</v>
      </c>
      <c r="C892" s="2" t="s">
        <v>1800</v>
      </c>
      <c r="D892" s="2" t="s">
        <v>2</v>
      </c>
      <c r="E892" s="2">
        <v>27</v>
      </c>
      <c r="F892" s="2">
        <v>0</v>
      </c>
      <c r="G892" s="2">
        <v>6</v>
      </c>
      <c r="H892" s="2">
        <v>18500</v>
      </c>
      <c r="I892" s="2">
        <v>116</v>
      </c>
      <c r="J892" s="2" t="s">
        <v>1671</v>
      </c>
      <c r="K892" s="2">
        <v>40</v>
      </c>
      <c r="L892" s="2">
        <v>15</v>
      </c>
      <c r="M892" s="2">
        <v>0</v>
      </c>
      <c r="N892" s="2">
        <v>10</v>
      </c>
      <c r="O892" s="2">
        <v>5</v>
      </c>
      <c r="P892" s="2">
        <v>10</v>
      </c>
      <c r="Q892" s="2" t="s">
        <v>2350</v>
      </c>
      <c r="R892" s="2" t="s">
        <v>2351</v>
      </c>
      <c r="S892" s="4">
        <v>44837</v>
      </c>
    </row>
    <row r="893" spans="1:19" ht="12.5" x14ac:dyDescent="0.25">
      <c r="A893" s="14" t="str">
        <f>HYPERLINK("https://gerandofalcoes.my.salesforce.com/0014X00002YggpOQAR", "0014X00002YggpOQAR")</f>
        <v>0014X00002YggpOQAR</v>
      </c>
      <c r="B893" s="2" t="s">
        <v>3053</v>
      </c>
      <c r="C893" s="2" t="s">
        <v>423</v>
      </c>
      <c r="D893" s="2" t="s">
        <v>2</v>
      </c>
      <c r="E893" s="2"/>
      <c r="F893" s="2">
        <v>34</v>
      </c>
      <c r="G893" s="2">
        <v>2</v>
      </c>
      <c r="H893" s="2">
        <v>343</v>
      </c>
      <c r="I893" s="2">
        <v>64</v>
      </c>
      <c r="J893" s="2"/>
      <c r="K893" s="2">
        <v>31</v>
      </c>
      <c r="L893" s="2">
        <v>0</v>
      </c>
      <c r="M893" s="2">
        <v>15</v>
      </c>
      <c r="N893" s="2">
        <v>6</v>
      </c>
      <c r="O893" s="2">
        <v>5</v>
      </c>
      <c r="P893" s="2">
        <v>5</v>
      </c>
      <c r="Q893" s="2" t="s">
        <v>3054</v>
      </c>
      <c r="R893" s="2" t="s">
        <v>3055</v>
      </c>
      <c r="S893" s="4">
        <v>44946</v>
      </c>
    </row>
    <row r="894" spans="1:19" ht="12.5" x14ac:dyDescent="0.25">
      <c r="A894" s="14" t="str">
        <f>HYPERLINK("https://gerandofalcoes.my.salesforce.com/0014X00002YggkiQAB", "0014X00002YggkiQAB")</f>
        <v>0014X00002YggkiQAB</v>
      </c>
      <c r="B894" s="2" t="s">
        <v>3067</v>
      </c>
      <c r="C894" s="2" t="s">
        <v>423</v>
      </c>
      <c r="D894" s="2" t="s">
        <v>2</v>
      </c>
      <c r="E894" s="2"/>
      <c r="F894" s="2">
        <v>0</v>
      </c>
      <c r="G894" s="2">
        <v>2</v>
      </c>
      <c r="H894" s="2">
        <v>0</v>
      </c>
      <c r="I894" s="2">
        <v>80</v>
      </c>
      <c r="J894" s="2"/>
      <c r="K894" s="2">
        <v>16</v>
      </c>
      <c r="L894" s="2">
        <v>0</v>
      </c>
      <c r="M894" s="2">
        <v>0</v>
      </c>
      <c r="N894" s="2">
        <v>6</v>
      </c>
      <c r="O894" s="2">
        <v>0</v>
      </c>
      <c r="P894" s="2">
        <v>10</v>
      </c>
      <c r="Q894" s="2" t="s">
        <v>3068</v>
      </c>
      <c r="R894" s="2" t="s">
        <v>3068</v>
      </c>
      <c r="S894" s="4">
        <v>44946</v>
      </c>
    </row>
    <row r="895" spans="1:19" ht="12.5" x14ac:dyDescent="0.25">
      <c r="A895" s="14" t="str">
        <f>HYPERLINK("https://gerandofalcoes.my.salesforce.com/0014X00002YggltQAB", "0014X00002YggltQAB")</f>
        <v>0014X00002YggltQAB</v>
      </c>
      <c r="B895" s="2" t="s">
        <v>3142</v>
      </c>
      <c r="C895" s="2" t="s">
        <v>423</v>
      </c>
      <c r="D895" s="2" t="s">
        <v>2</v>
      </c>
      <c r="E895" s="2"/>
      <c r="F895" s="2">
        <v>0</v>
      </c>
      <c r="G895" s="2">
        <v>5</v>
      </c>
      <c r="H895" s="2">
        <v>3000</v>
      </c>
      <c r="I895" s="2">
        <v>10</v>
      </c>
      <c r="J895" s="2"/>
      <c r="K895" s="2">
        <v>20</v>
      </c>
      <c r="L895" s="2">
        <v>0</v>
      </c>
      <c r="M895" s="2">
        <v>0</v>
      </c>
      <c r="N895" s="2">
        <v>10</v>
      </c>
      <c r="O895" s="2">
        <v>5</v>
      </c>
      <c r="P895" s="2">
        <v>5</v>
      </c>
      <c r="Q895" s="2" t="s">
        <v>3143</v>
      </c>
      <c r="R895" s="2" t="s">
        <v>3143</v>
      </c>
      <c r="S895" s="4">
        <v>44949</v>
      </c>
    </row>
    <row r="896" spans="1:19" ht="12.5" x14ac:dyDescent="0.25">
      <c r="A896" s="14" t="str">
        <f>HYPERLINK("https://gerandofalcoes.my.salesforce.com/0014X00002YggntQAB", "0014X00002YggntQAB")</f>
        <v>0014X00002YggntQAB</v>
      </c>
      <c r="B896" s="2" t="s">
        <v>3109</v>
      </c>
      <c r="C896" s="2" t="s">
        <v>423</v>
      </c>
      <c r="D896" s="2" t="s">
        <v>2</v>
      </c>
      <c r="E896" s="2"/>
      <c r="F896" s="2">
        <v>0</v>
      </c>
      <c r="G896" s="2">
        <v>2</v>
      </c>
      <c r="H896" s="2">
        <v>40000</v>
      </c>
      <c r="I896" s="2">
        <v>0</v>
      </c>
      <c r="J896" s="2"/>
      <c r="K896" s="2">
        <v>16</v>
      </c>
      <c r="L896" s="2">
        <v>0</v>
      </c>
      <c r="M896" s="2">
        <v>0</v>
      </c>
      <c r="N896" s="2">
        <v>6</v>
      </c>
      <c r="O896" s="2">
        <v>10</v>
      </c>
      <c r="P896" s="2">
        <v>0</v>
      </c>
      <c r="Q896" s="2" t="s">
        <v>3110</v>
      </c>
      <c r="R896" s="2" t="s">
        <v>3110</v>
      </c>
      <c r="S896" s="4">
        <v>44948</v>
      </c>
    </row>
    <row r="897" spans="1:19" ht="12.5" x14ac:dyDescent="0.25">
      <c r="A897" s="14" t="str">
        <f>HYPERLINK("https://gerandofalcoes.my.salesforce.com/0014X00002YggpbQAB", "0014X00002YggpbQAB")</f>
        <v>0014X00002YggpbQAB</v>
      </c>
      <c r="B897" s="2" t="s">
        <v>3038</v>
      </c>
      <c r="C897" s="2" t="s">
        <v>423</v>
      </c>
      <c r="D897" s="2" t="s">
        <v>2</v>
      </c>
      <c r="E897" s="2"/>
      <c r="F897" s="2">
        <v>10</v>
      </c>
      <c r="G897" s="2">
        <v>2</v>
      </c>
      <c r="H897" s="2">
        <v>15000</v>
      </c>
      <c r="I897" s="2">
        <v>240</v>
      </c>
      <c r="J897" s="2"/>
      <c r="K897" s="2">
        <v>33</v>
      </c>
      <c r="L897" s="2">
        <v>0</v>
      </c>
      <c r="M897" s="2">
        <v>10</v>
      </c>
      <c r="N897" s="2">
        <v>6</v>
      </c>
      <c r="O897" s="2">
        <v>5</v>
      </c>
      <c r="P897" s="2">
        <v>12</v>
      </c>
      <c r="Q897" s="2" t="s">
        <v>3039</v>
      </c>
      <c r="R897" s="2" t="s">
        <v>3039</v>
      </c>
      <c r="S897" s="4">
        <v>44945</v>
      </c>
    </row>
    <row r="898" spans="1:19" ht="12.5" x14ac:dyDescent="0.25">
      <c r="A898" s="14" t="str">
        <f>HYPERLINK("https://gerandofalcoes.my.salesforce.com/0014X00002YggmlQAB", "0014X00002YggmlQAB")</f>
        <v>0014X00002YggmlQAB</v>
      </c>
      <c r="B898" s="2" t="s">
        <v>3078</v>
      </c>
      <c r="C898" s="2" t="s">
        <v>423</v>
      </c>
      <c r="D898" s="2" t="s">
        <v>2</v>
      </c>
      <c r="E898" s="2"/>
      <c r="F898" s="2">
        <v>1</v>
      </c>
      <c r="G898" s="2">
        <v>2</v>
      </c>
      <c r="H898" s="2">
        <v>30000</v>
      </c>
      <c r="I898" s="2">
        <v>90</v>
      </c>
      <c r="J898" s="2"/>
      <c r="K898" s="2">
        <v>31</v>
      </c>
      <c r="L898" s="2">
        <v>0</v>
      </c>
      <c r="M898" s="2">
        <v>5</v>
      </c>
      <c r="N898" s="2">
        <v>6</v>
      </c>
      <c r="O898" s="2">
        <v>10</v>
      </c>
      <c r="P898" s="2">
        <v>10</v>
      </c>
      <c r="Q898" s="2" t="s">
        <v>3079</v>
      </c>
      <c r="R898" s="2" t="s">
        <v>3080</v>
      </c>
      <c r="S898" s="4">
        <v>44946</v>
      </c>
    </row>
    <row r="899" spans="1:19" ht="12.5" x14ac:dyDescent="0.25">
      <c r="A899" s="14" t="str">
        <f>HYPERLINK("https://gerandofalcoes.my.salesforce.com/0014X00002YggmBQAR", "0014X00002YggmBQAR")</f>
        <v>0014X00002YggmBQAR</v>
      </c>
      <c r="B899" s="2" t="s">
        <v>3125</v>
      </c>
      <c r="C899" s="2" t="s">
        <v>423</v>
      </c>
      <c r="D899" s="2" t="s">
        <v>2</v>
      </c>
      <c r="E899" s="2"/>
      <c r="F899" s="2">
        <v>5</v>
      </c>
      <c r="G899" s="2">
        <v>8</v>
      </c>
      <c r="H899" s="2">
        <v>35000</v>
      </c>
      <c r="I899" s="2">
        <v>120</v>
      </c>
      <c r="J899" s="2"/>
      <c r="K899" s="2">
        <v>35</v>
      </c>
      <c r="L899" s="2">
        <v>0</v>
      </c>
      <c r="M899" s="2">
        <v>5</v>
      </c>
      <c r="N899" s="2">
        <v>10</v>
      </c>
      <c r="O899" s="2">
        <v>10</v>
      </c>
      <c r="P899" s="2">
        <v>10</v>
      </c>
      <c r="Q899" s="2" t="s">
        <v>3126</v>
      </c>
      <c r="R899" s="2" t="s">
        <v>3127</v>
      </c>
      <c r="S899" s="4">
        <v>44949</v>
      </c>
    </row>
    <row r="900" spans="1:19" ht="12.5" x14ac:dyDescent="0.25">
      <c r="A900" s="14" t="str">
        <f>HYPERLINK("https://gerandofalcoes.my.salesforce.com/0014X00002YgghgQAB", "0014X00002YgghgQAB")</f>
        <v>0014X00002YgghgQAB</v>
      </c>
      <c r="B900" s="2" t="s">
        <v>3093</v>
      </c>
      <c r="C900" s="2" t="s">
        <v>423</v>
      </c>
      <c r="D900" s="2" t="s">
        <v>2</v>
      </c>
      <c r="E900" s="2"/>
      <c r="F900" s="2">
        <v>0</v>
      </c>
      <c r="G900" s="2">
        <v>10</v>
      </c>
      <c r="H900" s="2">
        <v>5000</v>
      </c>
      <c r="I900" s="2">
        <v>132</v>
      </c>
      <c r="J900" s="2"/>
      <c r="K900" s="2">
        <v>25</v>
      </c>
      <c r="L900" s="2">
        <v>0</v>
      </c>
      <c r="M900" s="2">
        <v>0</v>
      </c>
      <c r="N900" s="2">
        <v>10</v>
      </c>
      <c r="O900" s="2">
        <v>5</v>
      </c>
      <c r="P900" s="2">
        <v>10</v>
      </c>
      <c r="Q900" s="2" t="s">
        <v>3094</v>
      </c>
      <c r="R900" s="2" t="s">
        <v>3095</v>
      </c>
      <c r="S900" s="4">
        <v>44947</v>
      </c>
    </row>
    <row r="901" spans="1:19" ht="12.5" x14ac:dyDescent="0.25">
      <c r="A901" s="14" t="str">
        <f>HYPERLINK("https://gerandofalcoes.my.salesforce.com/0014X00002YgggQQAR", "0014X00002YgggQQAR")</f>
        <v>0014X00002YgggQQAR</v>
      </c>
      <c r="B901" s="2" t="s">
        <v>3111</v>
      </c>
      <c r="C901" s="2" t="s">
        <v>423</v>
      </c>
      <c r="D901" s="2" t="s">
        <v>2</v>
      </c>
      <c r="E901" s="2"/>
      <c r="F901" s="2">
        <v>2</v>
      </c>
      <c r="G901" s="2">
        <v>2</v>
      </c>
      <c r="H901" s="2">
        <v>55000</v>
      </c>
      <c r="I901" s="2">
        <v>20</v>
      </c>
      <c r="J901" s="2"/>
      <c r="K901" s="2">
        <v>26</v>
      </c>
      <c r="L901" s="2">
        <v>0</v>
      </c>
      <c r="M901" s="2">
        <v>5</v>
      </c>
      <c r="N901" s="2">
        <v>6</v>
      </c>
      <c r="O901" s="2">
        <v>10</v>
      </c>
      <c r="P901" s="2">
        <v>5</v>
      </c>
      <c r="Q901" s="2" t="s">
        <v>3112</v>
      </c>
      <c r="R901" s="2" t="s">
        <v>3113</v>
      </c>
      <c r="S901" s="4">
        <v>44949</v>
      </c>
    </row>
    <row r="902" spans="1:19" ht="12.5" x14ac:dyDescent="0.25">
      <c r="A902" s="14" t="str">
        <f>HYPERLINK("https://gerandofalcoes.my.salesforce.com/0014X00002YggjvQAB", "0014X00002YggjvQAB")</f>
        <v>0014X00002YggjvQAB</v>
      </c>
      <c r="B902" s="2" t="s">
        <v>3365</v>
      </c>
      <c r="C902" s="2" t="s">
        <v>423</v>
      </c>
      <c r="D902" s="2" t="s">
        <v>2</v>
      </c>
      <c r="E902" s="2"/>
      <c r="F902" s="2">
        <v>6</v>
      </c>
      <c r="G902" s="2">
        <v>2</v>
      </c>
      <c r="H902" s="2">
        <v>13000</v>
      </c>
      <c r="I902" s="2">
        <v>60</v>
      </c>
      <c r="J902" s="2"/>
      <c r="K902" s="2">
        <v>26</v>
      </c>
      <c r="L902" s="2">
        <v>0</v>
      </c>
      <c r="M902" s="2">
        <v>10</v>
      </c>
      <c r="N902" s="2">
        <v>6</v>
      </c>
      <c r="O902" s="2">
        <v>5</v>
      </c>
      <c r="P902" s="2">
        <v>5</v>
      </c>
      <c r="Q902" s="2" t="s">
        <v>3366</v>
      </c>
      <c r="R902" s="2" t="s">
        <v>3366</v>
      </c>
      <c r="S902" s="4">
        <v>44953</v>
      </c>
    </row>
    <row r="903" spans="1:19" ht="12.5" x14ac:dyDescent="0.25">
      <c r="A903" s="14" t="str">
        <f>HYPERLINK("https://gerandofalcoes.my.salesforce.com/0014X00002YgglqQAB", "0014X00002YgglqQAB")</f>
        <v>0014X00002YgglqQAB</v>
      </c>
      <c r="B903" s="2" t="s">
        <v>3062</v>
      </c>
      <c r="C903" s="2" t="s">
        <v>423</v>
      </c>
      <c r="D903" s="2" t="s">
        <v>2</v>
      </c>
      <c r="E903" s="2"/>
      <c r="F903" s="2">
        <v>0</v>
      </c>
      <c r="G903" s="2">
        <v>3</v>
      </c>
      <c r="H903" s="2">
        <v>200</v>
      </c>
      <c r="I903" s="2">
        <v>0</v>
      </c>
      <c r="J903" s="2"/>
      <c r="K903" s="2">
        <v>13</v>
      </c>
      <c r="L903" s="2">
        <v>0</v>
      </c>
      <c r="M903" s="2">
        <v>0</v>
      </c>
      <c r="N903" s="2">
        <v>8</v>
      </c>
      <c r="O903" s="2">
        <v>5</v>
      </c>
      <c r="P903" s="2">
        <v>0</v>
      </c>
      <c r="Q903" s="2" t="s">
        <v>3063</v>
      </c>
      <c r="R903" s="2" t="s">
        <v>3064</v>
      </c>
      <c r="S903" s="4">
        <v>44946</v>
      </c>
    </row>
    <row r="904" spans="1:19" ht="12.5" x14ac:dyDescent="0.25">
      <c r="A904" s="14" t="str">
        <f>HYPERLINK("https://gerandofalcoes.my.salesforce.com/0014X00002VKCp2QAH", "0014X00002VKCp2QAH")</f>
        <v>0014X00002VKCp2QAH</v>
      </c>
      <c r="B904" s="2" t="s">
        <v>3828</v>
      </c>
      <c r="C904" s="2" t="s">
        <v>423</v>
      </c>
      <c r="D904" s="2" t="s">
        <v>2</v>
      </c>
      <c r="E904" s="2">
        <v>19</v>
      </c>
      <c r="F904" s="2">
        <v>10</v>
      </c>
      <c r="G904" s="2">
        <v>1</v>
      </c>
      <c r="H904" s="2">
        <v>3300000</v>
      </c>
      <c r="I904" s="2">
        <v>0</v>
      </c>
      <c r="J904" s="2" t="s">
        <v>1671</v>
      </c>
      <c r="K904" s="2">
        <v>49</v>
      </c>
      <c r="L904" s="2">
        <v>10</v>
      </c>
      <c r="M904" s="2">
        <v>10</v>
      </c>
      <c r="N904" s="2">
        <v>4</v>
      </c>
      <c r="O904" s="2">
        <v>25</v>
      </c>
      <c r="P904" s="2">
        <v>0</v>
      </c>
      <c r="Q904" s="2" t="s">
        <v>2917</v>
      </c>
      <c r="R904" s="2" t="s">
        <v>2917</v>
      </c>
      <c r="S904" s="4">
        <v>45015</v>
      </c>
    </row>
    <row r="905" spans="1:19" ht="12.5" x14ac:dyDescent="0.25">
      <c r="A905" s="14" t="str">
        <f>HYPERLINK("https://gerandofalcoes.my.salesforce.com/0014X00002VKCtZQAX", "0014X00002VKCtZQAX")</f>
        <v>0014X00002VKCtZQAX</v>
      </c>
      <c r="B905" s="2" t="s">
        <v>3833</v>
      </c>
      <c r="C905" s="2" t="s">
        <v>423</v>
      </c>
      <c r="D905" s="2" t="s">
        <v>2</v>
      </c>
      <c r="E905" s="2">
        <v>10</v>
      </c>
      <c r="F905" s="2">
        <v>0</v>
      </c>
      <c r="G905" s="2">
        <v>0</v>
      </c>
      <c r="H905" s="2">
        <v>200000000</v>
      </c>
      <c r="I905" s="2">
        <v>150</v>
      </c>
      <c r="J905" s="2" t="s">
        <v>1671</v>
      </c>
      <c r="K905" s="2">
        <v>47</v>
      </c>
      <c r="L905" s="2">
        <v>10</v>
      </c>
      <c r="M905" s="2">
        <v>0</v>
      </c>
      <c r="N905" s="2">
        <v>0</v>
      </c>
      <c r="O905" s="2">
        <v>25</v>
      </c>
      <c r="P905" s="2">
        <v>12</v>
      </c>
      <c r="Q905" s="2" t="s">
        <v>3834</v>
      </c>
      <c r="R905" s="2" t="s">
        <v>3834</v>
      </c>
      <c r="S905" s="4">
        <v>45015</v>
      </c>
    </row>
    <row r="906" spans="1:19" ht="12.5" x14ac:dyDescent="0.25">
      <c r="A906" s="14" t="str">
        <f>HYPERLINK("https://gerandofalcoes.my.salesforce.com/0014X00002Yggj9QAB", "0014X00002Yggj9QAB")</f>
        <v>0014X00002Yggj9QAB</v>
      </c>
      <c r="B906" s="2" t="s">
        <v>3090</v>
      </c>
      <c r="C906" s="2" t="s">
        <v>423</v>
      </c>
      <c r="D906" s="2" t="s">
        <v>2</v>
      </c>
      <c r="E906" s="2"/>
      <c r="F906" s="2">
        <v>30</v>
      </c>
      <c r="G906" s="2">
        <v>3</v>
      </c>
      <c r="H906" s="2">
        <v>1200000</v>
      </c>
      <c r="I906" s="2">
        <v>0</v>
      </c>
      <c r="J906" s="2"/>
      <c r="K906" s="2">
        <v>45</v>
      </c>
      <c r="L906" s="2">
        <v>0</v>
      </c>
      <c r="M906" s="2">
        <v>12</v>
      </c>
      <c r="N906" s="2">
        <v>8</v>
      </c>
      <c r="O906" s="2">
        <v>25</v>
      </c>
      <c r="P906" s="2">
        <v>0</v>
      </c>
      <c r="Q906" s="2" t="s">
        <v>3091</v>
      </c>
      <c r="R906" s="2" t="s">
        <v>3092</v>
      </c>
      <c r="S906" s="4">
        <v>44946</v>
      </c>
    </row>
    <row r="907" spans="1:19" ht="12.5" x14ac:dyDescent="0.25">
      <c r="A907" s="14" t="str">
        <f>HYPERLINK("https://gerandofalcoes.my.salesforce.com/0014X00002Yggr1QAB", "0014X00002Yggr1QAB")</f>
        <v>0014X00002Yggr1QAB</v>
      </c>
      <c r="B907" s="2" t="s">
        <v>3002</v>
      </c>
      <c r="C907" s="2" t="s">
        <v>423</v>
      </c>
      <c r="D907" s="2" t="s">
        <v>2</v>
      </c>
      <c r="E907" s="2"/>
      <c r="F907" s="2">
        <v>24</v>
      </c>
      <c r="G907" s="2">
        <v>5</v>
      </c>
      <c r="H907" s="2">
        <v>35000</v>
      </c>
      <c r="I907" s="2">
        <v>85</v>
      </c>
      <c r="J907" s="2"/>
      <c r="K907" s="2">
        <v>42</v>
      </c>
      <c r="L907" s="2">
        <v>0</v>
      </c>
      <c r="M907" s="2">
        <v>12</v>
      </c>
      <c r="N907" s="2">
        <v>10</v>
      </c>
      <c r="O907" s="2">
        <v>10</v>
      </c>
      <c r="P907" s="2">
        <v>10</v>
      </c>
      <c r="Q907" s="2" t="s">
        <v>3003</v>
      </c>
      <c r="R907" s="2" t="s">
        <v>3004</v>
      </c>
      <c r="S907" s="4">
        <v>44944</v>
      </c>
    </row>
    <row r="908" spans="1:19" ht="12.5" x14ac:dyDescent="0.25">
      <c r="A908" s="14" t="str">
        <f>HYPERLINK("https://gerandofalcoes.my.salesforce.com/0014X00002YggqdQAB", "0014X00002YggqdQAB")</f>
        <v>0014X00002YggqdQAB</v>
      </c>
      <c r="B908" s="2" t="s">
        <v>3117</v>
      </c>
      <c r="C908" s="2" t="s">
        <v>423</v>
      </c>
      <c r="D908" s="2" t="s">
        <v>2</v>
      </c>
      <c r="E908" s="2"/>
      <c r="F908" s="2">
        <v>1</v>
      </c>
      <c r="G908" s="2">
        <v>3</v>
      </c>
      <c r="H908" s="2">
        <v>1000</v>
      </c>
      <c r="I908" s="2">
        <v>0</v>
      </c>
      <c r="J908" s="2"/>
      <c r="K908" s="2">
        <v>18</v>
      </c>
      <c r="L908" s="2">
        <v>0</v>
      </c>
      <c r="M908" s="2">
        <v>5</v>
      </c>
      <c r="N908" s="2">
        <v>8</v>
      </c>
      <c r="O908" s="2">
        <v>5</v>
      </c>
      <c r="P908" s="2">
        <v>0</v>
      </c>
      <c r="Q908" s="2" t="s">
        <v>3118</v>
      </c>
      <c r="R908" s="2" t="s">
        <v>3119</v>
      </c>
      <c r="S908" s="4">
        <v>44949</v>
      </c>
    </row>
    <row r="909" spans="1:19" ht="12.5" x14ac:dyDescent="0.25">
      <c r="A909" s="14" t="str">
        <f>HYPERLINK("https://gerandofalcoes.my.salesforce.com/0014X00002YggojQAB", "0014X00002YggojQAB")</f>
        <v>0014X00002YggojQAB</v>
      </c>
      <c r="B909" s="2" t="s">
        <v>3136</v>
      </c>
      <c r="C909" s="2" t="s">
        <v>423</v>
      </c>
      <c r="D909" s="2" t="s">
        <v>2</v>
      </c>
      <c r="E909" s="2"/>
      <c r="F909" s="2">
        <v>0</v>
      </c>
      <c r="G909" s="2">
        <v>4</v>
      </c>
      <c r="H909" s="2">
        <v>0</v>
      </c>
      <c r="I909" s="2">
        <v>44</v>
      </c>
      <c r="J909" s="2"/>
      <c r="K909" s="2">
        <v>15</v>
      </c>
      <c r="L909" s="2">
        <v>0</v>
      </c>
      <c r="M909" s="2">
        <v>0</v>
      </c>
      <c r="N909" s="2">
        <v>10</v>
      </c>
      <c r="O909" s="2">
        <v>0</v>
      </c>
      <c r="P909" s="2">
        <v>5</v>
      </c>
      <c r="Q909" s="2" t="s">
        <v>3137</v>
      </c>
      <c r="R909" s="2" t="s">
        <v>3138</v>
      </c>
      <c r="S909" s="4">
        <v>44949</v>
      </c>
    </row>
    <row r="910" spans="1:19" ht="12.5" x14ac:dyDescent="0.25">
      <c r="A910" s="14" t="str">
        <f>HYPERLINK("https://gerandofalcoes.my.salesforce.com/0014X00002YggleQAB", "0014X00002YggleQAB")</f>
        <v>0014X00002YggleQAB</v>
      </c>
      <c r="B910" s="2" t="s">
        <v>3083</v>
      </c>
      <c r="C910" s="2" t="s">
        <v>423</v>
      </c>
      <c r="D910" s="2" t="s">
        <v>2</v>
      </c>
      <c r="F910" s="2">
        <v>0</v>
      </c>
      <c r="G910" s="2">
        <v>2</v>
      </c>
      <c r="H910" s="2">
        <v>50000</v>
      </c>
      <c r="I910" s="2">
        <v>50</v>
      </c>
      <c r="K910" s="2">
        <v>21</v>
      </c>
      <c r="L910" s="2">
        <v>0</v>
      </c>
      <c r="M910" s="2">
        <v>0</v>
      </c>
      <c r="N910" s="2">
        <v>6</v>
      </c>
      <c r="O910" s="2">
        <v>10</v>
      </c>
      <c r="P910" s="2">
        <v>5</v>
      </c>
      <c r="Q910" s="2" t="s">
        <v>3084</v>
      </c>
      <c r="R910" s="2" t="s">
        <v>3084</v>
      </c>
      <c r="S910" s="4">
        <v>44946</v>
      </c>
    </row>
    <row r="911" spans="1:19" ht="12.5" x14ac:dyDescent="0.25">
      <c r="A911" s="14" t="str">
        <f>HYPERLINK("https://gerandofalcoes.my.salesforce.com/0014X00002YggkDQAR", "0014X00002YggkDQAR")</f>
        <v>0014X00002YggkDQAR</v>
      </c>
      <c r="B911" s="2" t="s">
        <v>3023</v>
      </c>
      <c r="C911" s="2" t="s">
        <v>423</v>
      </c>
      <c r="D911" s="2" t="s">
        <v>2</v>
      </c>
      <c r="F911" s="2">
        <v>0</v>
      </c>
      <c r="G911" s="2">
        <v>4</v>
      </c>
      <c r="H911" s="2">
        <v>78654</v>
      </c>
      <c r="I911" s="2">
        <v>0</v>
      </c>
      <c r="K911" s="2">
        <v>20</v>
      </c>
      <c r="L911" s="2">
        <v>0</v>
      </c>
      <c r="M911" s="2">
        <v>0</v>
      </c>
      <c r="N911" s="2">
        <v>10</v>
      </c>
      <c r="O911" s="2">
        <v>10</v>
      </c>
      <c r="P911" s="2">
        <v>0</v>
      </c>
      <c r="Q911" s="2" t="s">
        <v>3024</v>
      </c>
      <c r="R911" s="2" t="s">
        <v>3025</v>
      </c>
      <c r="S911" s="4">
        <v>44945</v>
      </c>
    </row>
    <row r="912" spans="1:19" ht="12.5" x14ac:dyDescent="0.25">
      <c r="A912" s="14" t="str">
        <f>HYPERLINK("https://gerandofalcoes.my.salesforce.com/0014X00002YggoVQAR", "0014X00002YggoVQAR")</f>
        <v>0014X00002YggoVQAR</v>
      </c>
      <c r="B912" s="2" t="s">
        <v>3101</v>
      </c>
      <c r="C912" s="2" t="s">
        <v>423</v>
      </c>
      <c r="D912" s="2" t="s">
        <v>2</v>
      </c>
      <c r="F912" s="2">
        <v>0</v>
      </c>
      <c r="G912" s="2">
        <v>4</v>
      </c>
      <c r="H912" s="2">
        <v>300</v>
      </c>
      <c r="I912" s="2">
        <v>30</v>
      </c>
      <c r="K912" s="2">
        <v>20</v>
      </c>
      <c r="L912" s="2">
        <v>0</v>
      </c>
      <c r="M912" s="2">
        <v>0</v>
      </c>
      <c r="N912" s="2">
        <v>10</v>
      </c>
      <c r="O912" s="2">
        <v>5</v>
      </c>
      <c r="P912" s="2">
        <v>5</v>
      </c>
      <c r="Q912" s="2" t="s">
        <v>3102</v>
      </c>
      <c r="R912" s="2" t="s">
        <v>3102</v>
      </c>
      <c r="S912" s="4">
        <v>44948</v>
      </c>
    </row>
    <row r="913" spans="1:19" ht="12.5" x14ac:dyDescent="0.25">
      <c r="A913" s="14" t="str">
        <f>HYPERLINK("https://gerandofalcoes.my.salesforce.com/0014X00002YggjeQAB", "0014X00002YggjeQAB")</f>
        <v>0014X00002YggjeQAB</v>
      </c>
      <c r="B913" s="2" t="s">
        <v>3098</v>
      </c>
      <c r="C913" s="2" t="s">
        <v>423</v>
      </c>
      <c r="D913" s="2" t="s">
        <v>2</v>
      </c>
      <c r="E913" s="2"/>
      <c r="F913" s="2">
        <v>5</v>
      </c>
      <c r="G913" s="2">
        <v>3</v>
      </c>
      <c r="H913" s="2">
        <v>26000</v>
      </c>
      <c r="I913" s="2">
        <v>150</v>
      </c>
      <c r="J913" s="2"/>
      <c r="K913" s="2">
        <v>35</v>
      </c>
      <c r="L913" s="2">
        <v>0</v>
      </c>
      <c r="M913" s="2">
        <v>5</v>
      </c>
      <c r="N913" s="2">
        <v>8</v>
      </c>
      <c r="O913" s="2">
        <v>10</v>
      </c>
      <c r="P913" s="2">
        <v>12</v>
      </c>
      <c r="Q913" s="2" t="s">
        <v>3099</v>
      </c>
      <c r="R913" s="2" t="s">
        <v>3100</v>
      </c>
      <c r="S913" s="4">
        <v>44948</v>
      </c>
    </row>
  </sheetData>
  <pageMargins left="0.511811024" right="0.511811024" top="0.78740157499999996" bottom="0.78740157499999996" header="0.31496062000000002" footer="0.31496062000000002"/>
  <pageSetup paperSize="9" orientation="portrait" verticalDpi="597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B0"/>
    <outlinePr summaryBelow="0" summaryRight="0"/>
  </sheetPr>
  <dimension ref="A1:Z901"/>
  <sheetViews>
    <sheetView workbookViewId="0">
      <pane ySplit="2" topLeftCell="A3" activePane="bottomLeft" state="frozen"/>
      <selection pane="bottomLeft" activeCell="B4" sqref="B4"/>
    </sheetView>
  </sheetViews>
  <sheetFormatPr defaultColWidth="12.6328125" defaultRowHeight="15.75" customHeight="1" x14ac:dyDescent="0.25"/>
  <cols>
    <col min="1" max="1" width="20.08984375" customWidth="1"/>
    <col min="2" max="2" width="37.6328125" customWidth="1"/>
    <col min="3" max="3" width="13.08984375" customWidth="1"/>
    <col min="4" max="4" width="16.08984375" customWidth="1"/>
    <col min="5" max="5" width="14.08984375" customWidth="1"/>
    <col min="6" max="6" width="17.08984375" customWidth="1"/>
    <col min="7" max="8" width="19.08984375" customWidth="1"/>
    <col min="9" max="9" width="14.08984375" customWidth="1"/>
    <col min="10" max="10" width="16.36328125" customWidth="1"/>
    <col min="11" max="11" width="11.08984375" customWidth="1"/>
    <col min="12" max="12" width="18.08984375" customWidth="1"/>
    <col min="13" max="13" width="21.08984375" customWidth="1"/>
    <col min="14" max="15" width="23.08984375" customWidth="1"/>
    <col min="16" max="16" width="18.08984375" customWidth="1"/>
    <col min="17" max="18" width="37.6328125" customWidth="1"/>
    <col min="19" max="19" width="30.08984375" customWidth="1"/>
  </cols>
  <sheetData>
    <row r="1" spans="1:26" ht="33.75" customHeight="1" x14ac:dyDescent="0.25">
      <c r="A1" s="17" t="s">
        <v>7180</v>
      </c>
      <c r="B1" s="17" t="s">
        <v>1632</v>
      </c>
      <c r="C1" s="17" t="s">
        <v>1632</v>
      </c>
      <c r="D1" s="17" t="s">
        <v>1632</v>
      </c>
      <c r="E1" s="17" t="s">
        <v>1632</v>
      </c>
      <c r="F1" s="17" t="s">
        <v>1632</v>
      </c>
      <c r="G1" s="17" t="s">
        <v>1632</v>
      </c>
      <c r="H1" s="17" t="s">
        <v>1632</v>
      </c>
      <c r="I1" s="17" t="s">
        <v>1632</v>
      </c>
      <c r="J1" s="17" t="s">
        <v>1632</v>
      </c>
      <c r="K1" s="17" t="s">
        <v>1632</v>
      </c>
      <c r="L1" s="17" t="s">
        <v>1632</v>
      </c>
      <c r="M1" s="17" t="s">
        <v>1632</v>
      </c>
      <c r="N1" s="17" t="s">
        <v>1632</v>
      </c>
      <c r="O1" s="17" t="s">
        <v>1632</v>
      </c>
      <c r="P1" s="17" t="s">
        <v>1632</v>
      </c>
      <c r="Q1" s="17" t="s">
        <v>1632</v>
      </c>
      <c r="R1" s="17" t="s">
        <v>1632</v>
      </c>
      <c r="S1" s="17" t="s">
        <v>1632</v>
      </c>
      <c r="T1" s="17"/>
      <c r="U1" s="17"/>
      <c r="V1" s="17"/>
      <c r="W1" s="17"/>
      <c r="X1" s="17"/>
      <c r="Y1" s="17"/>
      <c r="Z1" s="17"/>
    </row>
    <row r="2" spans="1:26" ht="22.5" customHeight="1" x14ac:dyDescent="0.25">
      <c r="A2" s="15" t="s">
        <v>1633</v>
      </c>
      <c r="B2" s="15" t="s">
        <v>1634</v>
      </c>
      <c r="C2" s="15" t="s">
        <v>1635</v>
      </c>
      <c r="D2" s="15" t="s">
        <v>0</v>
      </c>
      <c r="E2" s="15" t="s">
        <v>1636</v>
      </c>
      <c r="F2" s="15" t="s">
        <v>1637</v>
      </c>
      <c r="G2" s="15" t="s">
        <v>1638</v>
      </c>
      <c r="H2" s="15" t="s">
        <v>1639</v>
      </c>
      <c r="I2" s="15" t="s">
        <v>1640</v>
      </c>
      <c r="J2" s="15" t="s">
        <v>1625</v>
      </c>
      <c r="K2" s="15" t="s">
        <v>1641</v>
      </c>
      <c r="L2" s="15" t="s">
        <v>1642</v>
      </c>
      <c r="M2" s="15" t="s">
        <v>1643</v>
      </c>
      <c r="N2" s="15" t="s">
        <v>1644</v>
      </c>
      <c r="O2" s="15" t="s">
        <v>1645</v>
      </c>
      <c r="P2" s="15" t="s">
        <v>1646</v>
      </c>
      <c r="Q2" s="15" t="s">
        <v>1647</v>
      </c>
      <c r="R2" s="15" t="s">
        <v>387</v>
      </c>
      <c r="S2" s="15" t="s">
        <v>1648</v>
      </c>
      <c r="T2" s="16"/>
      <c r="U2" s="16"/>
      <c r="V2" s="16"/>
      <c r="W2" s="16"/>
      <c r="X2" s="16"/>
      <c r="Y2" s="16"/>
      <c r="Z2" s="16"/>
    </row>
    <row r="3" spans="1:26" ht="12.5" x14ac:dyDescent="0.25">
      <c r="A3" s="14" t="str">
        <f>HYPERLINK("https://gerandofalcoes.my.salesforce.com/0014X00002YgglYQAR", "0014X00002YgglYQAR")</f>
        <v>0014X00002YgglYQAR</v>
      </c>
      <c r="B3" s="2" t="s">
        <v>3154</v>
      </c>
      <c r="C3" s="2" t="s">
        <v>423</v>
      </c>
      <c r="D3" s="2" t="s">
        <v>2</v>
      </c>
      <c r="E3" s="2"/>
      <c r="F3" s="2">
        <v>0</v>
      </c>
      <c r="G3" s="2">
        <v>2</v>
      </c>
      <c r="H3" s="2">
        <v>5000</v>
      </c>
      <c r="I3" s="2">
        <v>30</v>
      </c>
      <c r="J3" s="2"/>
      <c r="K3" s="2">
        <v>16</v>
      </c>
      <c r="L3" s="2">
        <v>0</v>
      </c>
      <c r="M3" s="2">
        <v>0</v>
      </c>
      <c r="N3" s="2">
        <v>6</v>
      </c>
      <c r="O3" s="2">
        <v>5</v>
      </c>
      <c r="P3" s="2">
        <v>5</v>
      </c>
      <c r="Q3" s="2" t="s">
        <v>3155</v>
      </c>
      <c r="R3" s="2" t="s">
        <v>3156</v>
      </c>
      <c r="S3" s="4">
        <v>44950</v>
      </c>
    </row>
    <row r="4" spans="1:26" ht="12.5" x14ac:dyDescent="0.25">
      <c r="A4" s="14" t="str">
        <f>HYPERLINK("https://gerandofalcoes.my.salesforce.com/0014X00002YgglpQAB", "0014X00002YgglpQAB")</f>
        <v>0014X00002YgglpQAB</v>
      </c>
      <c r="B4" s="2" t="s">
        <v>3360</v>
      </c>
      <c r="C4" s="2" t="s">
        <v>423</v>
      </c>
      <c r="D4" s="2" t="s">
        <v>2</v>
      </c>
      <c r="E4" s="2"/>
      <c r="F4" s="2">
        <v>24</v>
      </c>
      <c r="G4" s="2">
        <v>8</v>
      </c>
      <c r="H4" s="2">
        <v>12828162</v>
      </c>
      <c r="I4" s="2">
        <v>60</v>
      </c>
      <c r="J4" s="2"/>
      <c r="K4" s="2">
        <v>52</v>
      </c>
      <c r="L4" s="2">
        <v>0</v>
      </c>
      <c r="M4" s="2">
        <v>12</v>
      </c>
      <c r="N4" s="2">
        <v>10</v>
      </c>
      <c r="O4" s="2">
        <v>25</v>
      </c>
      <c r="P4" s="2">
        <v>5</v>
      </c>
      <c r="Q4" s="2" t="s">
        <v>3361</v>
      </c>
      <c r="R4" s="2" t="s">
        <v>3362</v>
      </c>
      <c r="S4" s="4">
        <v>44953</v>
      </c>
    </row>
    <row r="5" spans="1:26" ht="12.5" x14ac:dyDescent="0.25">
      <c r="A5" s="14" t="str">
        <f>HYPERLINK("https://gerandofalcoes.my.salesforce.com/0014X00002YggmKQAR", "0014X00002YggmKQAR")</f>
        <v>0014X00002YggmKQAR</v>
      </c>
      <c r="B5" s="2" t="s">
        <v>3043</v>
      </c>
      <c r="C5" s="2" t="s">
        <v>423</v>
      </c>
      <c r="D5" s="2" t="s">
        <v>2</v>
      </c>
      <c r="E5" s="2"/>
      <c r="F5" s="2">
        <v>0</v>
      </c>
      <c r="G5" s="2">
        <v>2</v>
      </c>
      <c r="H5" s="2">
        <v>10000</v>
      </c>
      <c r="I5" s="2">
        <v>0</v>
      </c>
      <c r="J5" s="2"/>
      <c r="K5" s="2">
        <v>11</v>
      </c>
      <c r="L5" s="2">
        <v>0</v>
      </c>
      <c r="M5" s="2">
        <v>0</v>
      </c>
      <c r="N5" s="2">
        <v>6</v>
      </c>
      <c r="O5" s="2">
        <v>5</v>
      </c>
      <c r="P5" s="2">
        <v>0</v>
      </c>
      <c r="Q5" s="2" t="s">
        <v>3044</v>
      </c>
      <c r="R5" s="2" t="s">
        <v>3044</v>
      </c>
      <c r="S5" s="4">
        <v>44945</v>
      </c>
    </row>
    <row r="6" spans="1:26" ht="12.5" x14ac:dyDescent="0.25">
      <c r="A6" s="14" t="str">
        <f>HYPERLINK("https://gerandofalcoes.my.salesforce.com/0014X00002YggjJQAR", "0014X00002YggjJQAR")</f>
        <v>0014X00002YggjJQAR</v>
      </c>
      <c r="B6" s="2" t="s">
        <v>3011</v>
      </c>
      <c r="C6" s="2" t="s">
        <v>423</v>
      </c>
      <c r="D6" s="2" t="s">
        <v>2</v>
      </c>
      <c r="E6" s="2"/>
      <c r="F6" s="2">
        <v>24</v>
      </c>
      <c r="G6" s="2">
        <v>4</v>
      </c>
      <c r="H6" s="2">
        <v>89800000</v>
      </c>
      <c r="I6" s="2">
        <v>250</v>
      </c>
      <c r="J6" s="2"/>
      <c r="K6" s="2">
        <v>59</v>
      </c>
      <c r="L6" s="2">
        <v>0</v>
      </c>
      <c r="M6" s="2">
        <v>12</v>
      </c>
      <c r="N6" s="2">
        <v>10</v>
      </c>
      <c r="O6" s="2">
        <v>25</v>
      </c>
      <c r="P6" s="2">
        <v>12</v>
      </c>
      <c r="Q6" s="2" t="s">
        <v>3012</v>
      </c>
      <c r="R6" s="2" t="s">
        <v>3012</v>
      </c>
      <c r="S6" s="4">
        <v>44945</v>
      </c>
    </row>
    <row r="7" spans="1:26" ht="12.5" x14ac:dyDescent="0.25">
      <c r="A7" s="14" t="str">
        <f>HYPERLINK("https://gerandofalcoes.my.salesforce.com/0014X00002YgghKQAR", "0014X00002YgghKQAR")</f>
        <v>0014X00002YgghKQAR</v>
      </c>
      <c r="B7" s="2" t="s">
        <v>3065</v>
      </c>
      <c r="C7" s="2" t="s">
        <v>423</v>
      </c>
      <c r="D7" s="2" t="s">
        <v>2</v>
      </c>
      <c r="E7" s="2"/>
      <c r="F7" s="2">
        <v>0</v>
      </c>
      <c r="G7" s="2">
        <v>5</v>
      </c>
      <c r="H7" s="2">
        <v>500</v>
      </c>
      <c r="I7" s="2">
        <v>0</v>
      </c>
      <c r="J7" s="2"/>
      <c r="K7" s="2">
        <v>15</v>
      </c>
      <c r="L7" s="2">
        <v>0</v>
      </c>
      <c r="M7" s="2">
        <v>0</v>
      </c>
      <c r="N7" s="2">
        <v>10</v>
      </c>
      <c r="O7" s="2">
        <v>5</v>
      </c>
      <c r="P7" s="2">
        <v>0</v>
      </c>
      <c r="Q7" s="2" t="s">
        <v>3066</v>
      </c>
      <c r="R7" s="2" t="s">
        <v>3066</v>
      </c>
      <c r="S7" s="4">
        <v>44946</v>
      </c>
    </row>
    <row r="8" spans="1:26" ht="12.5" x14ac:dyDescent="0.25">
      <c r="A8" s="14" t="str">
        <f>HYPERLINK("https://gerandofalcoes.my.salesforce.com/0014X00002YgghdQAB", "0014X00002YgghdQAB")</f>
        <v>0014X00002YgghdQAB</v>
      </c>
      <c r="B8" s="2" t="s">
        <v>3163</v>
      </c>
      <c r="C8" s="2" t="s">
        <v>423</v>
      </c>
      <c r="D8" s="2" t="s">
        <v>2</v>
      </c>
      <c r="E8" s="2"/>
      <c r="F8" s="2">
        <v>0</v>
      </c>
      <c r="G8" s="2">
        <v>4</v>
      </c>
      <c r="H8" s="2">
        <v>2000</v>
      </c>
      <c r="I8" s="2">
        <v>300</v>
      </c>
      <c r="J8" s="2"/>
      <c r="K8" s="2">
        <v>30</v>
      </c>
      <c r="L8" s="2">
        <v>0</v>
      </c>
      <c r="M8" s="2">
        <v>0</v>
      </c>
      <c r="N8" s="2">
        <v>10</v>
      </c>
      <c r="O8" s="2">
        <v>5</v>
      </c>
      <c r="P8" s="2">
        <v>15</v>
      </c>
      <c r="Q8" s="2" t="s">
        <v>3164</v>
      </c>
      <c r="R8" s="2" t="s">
        <v>3165</v>
      </c>
      <c r="S8" s="4">
        <v>44950</v>
      </c>
    </row>
    <row r="9" spans="1:26" ht="12.5" x14ac:dyDescent="0.25">
      <c r="A9" s="14" t="str">
        <f>HYPERLINK("https://gerandofalcoes.my.salesforce.com/0014X00002YgghXQAR", "0014X00002YgghXQAR")</f>
        <v>0014X00002YgghXQAR</v>
      </c>
      <c r="B9" s="2" t="s">
        <v>3258</v>
      </c>
      <c r="C9" s="2" t="s">
        <v>423</v>
      </c>
      <c r="D9" s="2" t="s">
        <v>2</v>
      </c>
      <c r="E9" s="2"/>
      <c r="F9" s="2">
        <v>20</v>
      </c>
      <c r="G9" s="2">
        <v>4</v>
      </c>
      <c r="H9" s="2">
        <v>5000</v>
      </c>
      <c r="I9" s="2">
        <v>75</v>
      </c>
      <c r="J9" s="2"/>
      <c r="K9" s="2">
        <v>32</v>
      </c>
      <c r="L9" s="2">
        <v>0</v>
      </c>
      <c r="M9" s="2">
        <v>12</v>
      </c>
      <c r="N9" s="2">
        <v>10</v>
      </c>
      <c r="O9" s="2">
        <v>5</v>
      </c>
      <c r="P9" s="2">
        <v>5</v>
      </c>
      <c r="Q9" s="2" t="s">
        <v>3259</v>
      </c>
      <c r="R9" s="2" t="s">
        <v>3260</v>
      </c>
      <c r="S9" s="4">
        <v>44952</v>
      </c>
    </row>
    <row r="10" spans="1:26" ht="12.5" x14ac:dyDescent="0.25">
      <c r="A10" s="14" t="str">
        <f>HYPERLINK("https://gerandofalcoes.my.salesforce.com/0014X00002YggoAQAR", "0014X00002YggoAQAR")</f>
        <v>0014X00002YggoAQAR</v>
      </c>
      <c r="B10" s="2" t="s">
        <v>3377</v>
      </c>
      <c r="C10" s="2" t="s">
        <v>423</v>
      </c>
      <c r="D10" s="2" t="s">
        <v>2</v>
      </c>
      <c r="E10" s="2"/>
      <c r="F10" s="2">
        <v>0</v>
      </c>
      <c r="G10" s="2">
        <v>310</v>
      </c>
      <c r="H10" s="2">
        <v>3000</v>
      </c>
      <c r="I10" s="2">
        <v>0</v>
      </c>
      <c r="J10" s="2"/>
      <c r="K10" s="2">
        <v>15</v>
      </c>
      <c r="L10" s="2">
        <v>0</v>
      </c>
      <c r="M10" s="2">
        <v>0</v>
      </c>
      <c r="N10" s="2">
        <v>10</v>
      </c>
      <c r="O10" s="2">
        <v>5</v>
      </c>
      <c r="P10" s="2">
        <v>0</v>
      </c>
      <c r="Q10" s="2" t="s">
        <v>3378</v>
      </c>
      <c r="R10" s="2" t="s">
        <v>3378</v>
      </c>
      <c r="S10" s="4">
        <v>44953</v>
      </c>
    </row>
    <row r="11" spans="1:26" ht="12.5" x14ac:dyDescent="0.25">
      <c r="A11" s="14" t="str">
        <f>HYPERLINK("https://gerandofalcoes.my.salesforce.com/0014X00002YgghEQAR", "0014X00002YgghEQAR")</f>
        <v>0014X00002YgghEQAR</v>
      </c>
      <c r="B11" s="2" t="s">
        <v>3314</v>
      </c>
      <c r="C11" s="2" t="s">
        <v>423</v>
      </c>
      <c r="D11" s="2" t="s">
        <v>2</v>
      </c>
      <c r="E11" s="2"/>
      <c r="F11" s="2">
        <v>22</v>
      </c>
      <c r="G11" s="2">
        <v>5</v>
      </c>
      <c r="H11" s="2">
        <v>100000</v>
      </c>
      <c r="I11" s="2">
        <v>150</v>
      </c>
      <c r="J11" s="2"/>
      <c r="K11" s="2">
        <v>49</v>
      </c>
      <c r="L11" s="2">
        <v>0</v>
      </c>
      <c r="M11" s="2">
        <v>12</v>
      </c>
      <c r="N11" s="2">
        <v>10</v>
      </c>
      <c r="O11" s="2">
        <v>15</v>
      </c>
      <c r="P11" s="2">
        <v>12</v>
      </c>
      <c r="Q11" s="2" t="s">
        <v>3315</v>
      </c>
      <c r="R11" s="2" t="s">
        <v>3315</v>
      </c>
      <c r="S11" s="4">
        <v>44953</v>
      </c>
    </row>
    <row r="12" spans="1:26" ht="12.5" x14ac:dyDescent="0.25">
      <c r="A12" s="14" t="str">
        <f>HYPERLINK("https://gerandofalcoes.my.salesforce.com/0014X00002YggoaQAB", "0014X00002YggoaQAB")</f>
        <v>0014X00002YggoaQAB</v>
      </c>
      <c r="B12" s="2" t="s">
        <v>3340</v>
      </c>
      <c r="C12" s="2" t="s">
        <v>423</v>
      </c>
      <c r="D12" s="2" t="s">
        <v>2</v>
      </c>
      <c r="E12" s="2"/>
      <c r="F12" s="2">
        <v>10</v>
      </c>
      <c r="G12" s="2">
        <v>4</v>
      </c>
      <c r="H12" s="2">
        <v>581000</v>
      </c>
      <c r="I12" s="2">
        <v>323</v>
      </c>
      <c r="J12" s="2"/>
      <c r="K12" s="2">
        <v>55</v>
      </c>
      <c r="L12" s="2">
        <v>0</v>
      </c>
      <c r="M12" s="2">
        <v>10</v>
      </c>
      <c r="N12" s="2">
        <v>10</v>
      </c>
      <c r="O12" s="2">
        <v>20</v>
      </c>
      <c r="P12" s="2">
        <v>15</v>
      </c>
      <c r="Q12" s="2" t="s">
        <v>3341</v>
      </c>
      <c r="R12" s="2" t="s">
        <v>3342</v>
      </c>
      <c r="S12" s="4">
        <v>44953</v>
      </c>
    </row>
    <row r="13" spans="1:26" ht="12.5" x14ac:dyDescent="0.25">
      <c r="A13" s="14" t="str">
        <f>HYPERLINK("https://gerandofalcoes.my.salesforce.com/0014X00002YggiSQAR", "0014X00002YggiSQAR")</f>
        <v>0014X00002YggiSQAR</v>
      </c>
      <c r="B13" s="2" t="s">
        <v>3075</v>
      </c>
      <c r="C13" s="2" t="s">
        <v>423</v>
      </c>
      <c r="D13" s="2" t="s">
        <v>2</v>
      </c>
      <c r="E13" s="2"/>
      <c r="F13" s="2">
        <v>0</v>
      </c>
      <c r="G13" s="2">
        <v>3</v>
      </c>
      <c r="H13" s="2">
        <v>10000</v>
      </c>
      <c r="I13" s="2">
        <v>100</v>
      </c>
      <c r="J13" s="2"/>
      <c r="K13" s="2">
        <v>23</v>
      </c>
      <c r="L13" s="2">
        <v>0</v>
      </c>
      <c r="M13" s="2">
        <v>0</v>
      </c>
      <c r="N13" s="2">
        <v>8</v>
      </c>
      <c r="O13" s="2">
        <v>5</v>
      </c>
      <c r="P13" s="2">
        <v>10</v>
      </c>
      <c r="Q13" s="2" t="s">
        <v>3076</v>
      </c>
      <c r="R13" s="2" t="s">
        <v>3077</v>
      </c>
      <c r="S13" s="4">
        <v>44946</v>
      </c>
    </row>
    <row r="14" spans="1:26" ht="12.5" x14ac:dyDescent="0.25">
      <c r="A14" s="14" t="str">
        <f>HYPERLINK("https://gerandofalcoes.my.salesforce.com/0014X00002YgbktQAB", "0014X00002YgbktQAB")</f>
        <v>0014X00002YgbktQAB</v>
      </c>
      <c r="B14" s="2" t="s">
        <v>3787</v>
      </c>
      <c r="C14" s="2" t="s">
        <v>423</v>
      </c>
      <c r="D14" s="2" t="s">
        <v>2</v>
      </c>
      <c r="E14" s="2"/>
      <c r="F14" s="2">
        <v>0</v>
      </c>
      <c r="G14" s="2">
        <v>0</v>
      </c>
      <c r="H14" s="2">
        <v>0</v>
      </c>
      <c r="I14" s="2">
        <v>0</v>
      </c>
      <c r="J14" s="2"/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 t="s">
        <v>3788</v>
      </c>
      <c r="R14" s="2" t="s">
        <v>3788</v>
      </c>
      <c r="S14" s="4">
        <v>44968</v>
      </c>
    </row>
    <row r="15" spans="1:26" ht="12.5" x14ac:dyDescent="0.25">
      <c r="A15" s="14" t="str">
        <f>HYPERLINK("https://gerandofalcoes.my.salesforce.com/0014X00002YgghFQAR", "0014X00002YgghFQAR")</f>
        <v>0014X00002YgghFQAR</v>
      </c>
      <c r="B15" s="2" t="s">
        <v>3247</v>
      </c>
      <c r="C15" s="2" t="s">
        <v>423</v>
      </c>
      <c r="D15" s="2" t="s">
        <v>2</v>
      </c>
      <c r="E15" s="2"/>
      <c r="F15" s="2">
        <v>0</v>
      </c>
      <c r="G15" s="2">
        <v>2</v>
      </c>
      <c r="H15" s="2">
        <v>5000</v>
      </c>
      <c r="I15" s="2">
        <v>27</v>
      </c>
      <c r="J15" s="2"/>
      <c r="K15" s="2">
        <v>16</v>
      </c>
      <c r="L15" s="2">
        <v>0</v>
      </c>
      <c r="M15" s="2">
        <v>0</v>
      </c>
      <c r="N15" s="2">
        <v>6</v>
      </c>
      <c r="O15" s="2">
        <v>5</v>
      </c>
      <c r="P15" s="2">
        <v>5</v>
      </c>
      <c r="Q15" s="2" t="s">
        <v>3248</v>
      </c>
      <c r="R15" s="2" t="s">
        <v>3249</v>
      </c>
      <c r="S15" s="4">
        <v>44952</v>
      </c>
    </row>
    <row r="16" spans="1:26" ht="12.5" x14ac:dyDescent="0.25">
      <c r="A16" s="14" t="str">
        <f>HYPERLINK("https://gerandofalcoes.my.salesforce.com/0014X00002YgghhQAB", "0014X00002YgghhQAB")</f>
        <v>0014X00002YgghhQAB</v>
      </c>
      <c r="B16" s="2" t="s">
        <v>3286</v>
      </c>
      <c r="C16" s="2" t="s">
        <v>423</v>
      </c>
      <c r="D16" s="2" t="s">
        <v>2</v>
      </c>
      <c r="E16" s="2"/>
      <c r="F16" s="2">
        <v>1</v>
      </c>
      <c r="G16" s="2">
        <v>2</v>
      </c>
      <c r="H16" s="2">
        <v>0</v>
      </c>
      <c r="I16" s="2">
        <v>46</v>
      </c>
      <c r="J16" s="2"/>
      <c r="K16" s="2">
        <v>16</v>
      </c>
      <c r="L16" s="2">
        <v>0</v>
      </c>
      <c r="M16" s="2">
        <v>5</v>
      </c>
      <c r="N16" s="2">
        <v>6</v>
      </c>
      <c r="O16" s="2">
        <v>0</v>
      </c>
      <c r="P16" s="2">
        <v>5</v>
      </c>
      <c r="Q16" s="2" t="s">
        <v>3287</v>
      </c>
      <c r="R16" s="2" t="s">
        <v>3288</v>
      </c>
      <c r="S16" s="4">
        <v>44952</v>
      </c>
    </row>
    <row r="17" spans="1:19" ht="12.5" x14ac:dyDescent="0.25">
      <c r="A17" s="14" t="str">
        <f>HYPERLINK("https://gerandofalcoes.my.salesforce.com/0014X00002YggpmQAB", "0014X00002YggpmQAB")</f>
        <v>0014X00002YggpmQAB</v>
      </c>
      <c r="B17" s="2" t="s">
        <v>3244</v>
      </c>
      <c r="C17" s="2" t="s">
        <v>423</v>
      </c>
      <c r="D17" s="2" t="s">
        <v>2</v>
      </c>
      <c r="E17" s="2"/>
      <c r="F17" s="2">
        <v>0</v>
      </c>
      <c r="G17" s="2">
        <v>3</v>
      </c>
      <c r="H17" s="2">
        <v>20000</v>
      </c>
      <c r="I17" s="2">
        <v>190</v>
      </c>
      <c r="J17" s="2"/>
      <c r="K17" s="2">
        <v>25</v>
      </c>
      <c r="L17" s="2">
        <v>0</v>
      </c>
      <c r="M17" s="2">
        <v>0</v>
      </c>
      <c r="N17" s="2">
        <v>8</v>
      </c>
      <c r="O17" s="2">
        <v>5</v>
      </c>
      <c r="P17" s="2">
        <v>12</v>
      </c>
      <c r="Q17" s="2" t="s">
        <v>3245</v>
      </c>
      <c r="R17" s="2" t="s">
        <v>3246</v>
      </c>
      <c r="S17" s="4">
        <v>44952</v>
      </c>
    </row>
    <row r="18" spans="1:19" ht="12.5" x14ac:dyDescent="0.25">
      <c r="A18" s="14" t="str">
        <f>HYPERLINK("https://gerandofalcoes.my.salesforce.com/0014X00002YggguQAB", "0014X00002YggguQAB")</f>
        <v>0014X00002YggguQAB</v>
      </c>
      <c r="B18" s="2" t="s">
        <v>3367</v>
      </c>
      <c r="C18" s="2" t="s">
        <v>423</v>
      </c>
      <c r="D18" s="2" t="s">
        <v>2</v>
      </c>
      <c r="E18" s="2"/>
      <c r="F18" s="2">
        <v>5</v>
      </c>
      <c r="G18" s="2">
        <v>80</v>
      </c>
      <c r="H18" s="2">
        <v>15000</v>
      </c>
      <c r="I18" s="2">
        <v>30</v>
      </c>
      <c r="J18" s="2"/>
      <c r="K18" s="2">
        <v>25</v>
      </c>
      <c r="L18" s="2">
        <v>0</v>
      </c>
      <c r="M18" s="2">
        <v>5</v>
      </c>
      <c r="N18" s="2">
        <v>10</v>
      </c>
      <c r="O18" s="2">
        <v>5</v>
      </c>
      <c r="P18" s="2">
        <v>5</v>
      </c>
      <c r="Q18" s="2" t="s">
        <v>3368</v>
      </c>
      <c r="R18" s="2" t="s">
        <v>3369</v>
      </c>
      <c r="S18" s="4">
        <v>44953</v>
      </c>
    </row>
    <row r="19" spans="1:19" ht="12.5" x14ac:dyDescent="0.25">
      <c r="A19" s="14" t="str">
        <f>HYPERLINK("https://gerandofalcoes.my.salesforce.com/0014X00002YggjdQAB", "0014X00002YggjdQAB")</f>
        <v>0014X00002YggjdQAB</v>
      </c>
      <c r="B19" s="2" t="s">
        <v>3085</v>
      </c>
      <c r="C19" s="2" t="s">
        <v>423</v>
      </c>
      <c r="D19" s="2" t="s">
        <v>2</v>
      </c>
      <c r="E19" s="2"/>
      <c r="F19" s="2">
        <v>3</v>
      </c>
      <c r="G19" s="2">
        <v>2</v>
      </c>
      <c r="H19" s="2">
        <v>1000</v>
      </c>
      <c r="I19" s="2">
        <v>30</v>
      </c>
      <c r="J19" s="2"/>
      <c r="K19" s="2">
        <v>21</v>
      </c>
      <c r="L19" s="2">
        <v>0</v>
      </c>
      <c r="M19" s="2">
        <v>5</v>
      </c>
      <c r="N19" s="2">
        <v>6</v>
      </c>
      <c r="O19" s="2">
        <v>5</v>
      </c>
      <c r="P19" s="2">
        <v>5</v>
      </c>
      <c r="Q19" s="2" t="s">
        <v>3086</v>
      </c>
      <c r="R19" s="2" t="s">
        <v>3086</v>
      </c>
      <c r="S19" s="4">
        <v>44946</v>
      </c>
    </row>
    <row r="20" spans="1:19" ht="12.5" x14ac:dyDescent="0.25">
      <c r="A20" s="14" t="str">
        <f>HYPERLINK("https://gerandofalcoes.my.salesforce.com/0014X00002YgggRQAR", "0014X00002YgggRQAR")</f>
        <v>0014X00002YgggRQAR</v>
      </c>
      <c r="B20" s="2" t="s">
        <v>4913</v>
      </c>
      <c r="C20" s="2" t="s">
        <v>423</v>
      </c>
      <c r="D20" s="2" t="s">
        <v>2</v>
      </c>
      <c r="E20" s="2"/>
      <c r="F20" s="2">
        <v>200</v>
      </c>
      <c r="G20" s="2">
        <v>5</v>
      </c>
      <c r="H20" s="2">
        <v>1000</v>
      </c>
      <c r="I20" s="2">
        <v>100</v>
      </c>
      <c r="J20" s="2"/>
      <c r="K20" s="2">
        <v>40</v>
      </c>
      <c r="L20" s="2">
        <v>0</v>
      </c>
      <c r="M20" s="2">
        <v>15</v>
      </c>
      <c r="N20" s="2">
        <v>10</v>
      </c>
      <c r="O20" s="2">
        <v>5</v>
      </c>
      <c r="P20" s="2">
        <v>10</v>
      </c>
      <c r="Q20" s="2" t="s">
        <v>7181</v>
      </c>
      <c r="R20" s="2" t="s">
        <v>3739</v>
      </c>
      <c r="S20" s="4">
        <v>44967</v>
      </c>
    </row>
    <row r="21" spans="1:19" ht="12.5" x14ac:dyDescent="0.25">
      <c r="A21" s="14" t="str">
        <f>HYPERLINK("https://gerandofalcoes.my.salesforce.com/0014X00002YgggEQAR", "0014X00002YgggEQAR")</f>
        <v>0014X00002YgggEQAR</v>
      </c>
      <c r="B21" s="2" t="s">
        <v>3008</v>
      </c>
      <c r="C21" s="2" t="s">
        <v>423</v>
      </c>
      <c r="D21" s="2" t="s">
        <v>2</v>
      </c>
      <c r="E21" s="2"/>
      <c r="F21" s="2">
        <v>112</v>
      </c>
      <c r="G21" s="2">
        <v>3</v>
      </c>
      <c r="H21" s="2">
        <v>6</v>
      </c>
      <c r="I21" s="2">
        <v>50</v>
      </c>
      <c r="J21" s="2"/>
      <c r="K21" s="2">
        <v>33</v>
      </c>
      <c r="L21" s="2">
        <v>0</v>
      </c>
      <c r="M21" s="2">
        <v>15</v>
      </c>
      <c r="N21" s="2">
        <v>8</v>
      </c>
      <c r="O21" s="2">
        <v>5</v>
      </c>
      <c r="P21" s="2">
        <v>5</v>
      </c>
      <c r="Q21" s="2" t="s">
        <v>3009</v>
      </c>
      <c r="R21" s="2" t="s">
        <v>3010</v>
      </c>
      <c r="S21" s="4">
        <v>44944</v>
      </c>
    </row>
    <row r="22" spans="1:19" ht="12.5" x14ac:dyDescent="0.25">
      <c r="A22" s="14" t="str">
        <f>HYPERLINK("https://gerandofalcoes.my.salesforce.com/0014X00002YggmgQAB", "0014X00002YggmgQAB")</f>
        <v>0014X00002YggmgQAB</v>
      </c>
      <c r="B22" s="2" t="s">
        <v>3005</v>
      </c>
      <c r="C22" s="2" t="s">
        <v>423</v>
      </c>
      <c r="D22" s="2" t="s">
        <v>2</v>
      </c>
      <c r="E22" s="2"/>
      <c r="F22" s="2">
        <v>0</v>
      </c>
      <c r="G22" s="2">
        <v>4</v>
      </c>
      <c r="H22" s="2">
        <v>600</v>
      </c>
      <c r="I22" s="2">
        <v>150</v>
      </c>
      <c r="J22" s="2"/>
      <c r="K22" s="2">
        <v>27</v>
      </c>
      <c r="L22" s="2">
        <v>0</v>
      </c>
      <c r="M22" s="2">
        <v>0</v>
      </c>
      <c r="N22" s="2">
        <v>10</v>
      </c>
      <c r="O22" s="2">
        <v>5</v>
      </c>
      <c r="P22" s="2">
        <v>12</v>
      </c>
      <c r="Q22" s="2" t="s">
        <v>2987</v>
      </c>
      <c r="R22" s="2" t="s">
        <v>2987</v>
      </c>
      <c r="S22" s="4">
        <v>44944</v>
      </c>
    </row>
    <row r="23" spans="1:19" ht="12.5" x14ac:dyDescent="0.25">
      <c r="A23" s="14" t="str">
        <f>HYPERLINK("https://gerandofalcoes.my.salesforce.com/0014X00002YggkfQAB", "0014X00002YggkfQAB")</f>
        <v>0014X00002YggkfQAB</v>
      </c>
      <c r="B23" s="2" t="s">
        <v>3006</v>
      </c>
      <c r="C23" s="2" t="s">
        <v>423</v>
      </c>
      <c r="D23" s="2" t="s">
        <v>2</v>
      </c>
      <c r="E23" s="2"/>
      <c r="F23" s="2">
        <v>8</v>
      </c>
      <c r="G23" s="2">
        <v>2</v>
      </c>
      <c r="H23" s="2">
        <v>700</v>
      </c>
      <c r="I23" s="2">
        <v>400</v>
      </c>
      <c r="J23" s="2"/>
      <c r="K23" s="2">
        <v>36</v>
      </c>
      <c r="L23" s="2">
        <v>0</v>
      </c>
      <c r="M23" s="2">
        <v>10</v>
      </c>
      <c r="N23" s="2">
        <v>6</v>
      </c>
      <c r="O23" s="2">
        <v>5</v>
      </c>
      <c r="P23" s="2">
        <v>15</v>
      </c>
      <c r="Q23" s="2" t="s">
        <v>3007</v>
      </c>
      <c r="R23" s="2" t="s">
        <v>3007</v>
      </c>
      <c r="S23" s="4">
        <v>44944</v>
      </c>
    </row>
    <row r="24" spans="1:19" ht="12.5" x14ac:dyDescent="0.25">
      <c r="A24" s="14" t="str">
        <f>HYPERLINK("https://gerandofalcoes.my.salesforce.com/0014X00002YggiuQAB", "0014X00002YggiuQAB")</f>
        <v>0014X00002YggiuQAB</v>
      </c>
      <c r="B24" s="2" t="s">
        <v>3031</v>
      </c>
      <c r="C24" s="2" t="s">
        <v>423</v>
      </c>
      <c r="D24" s="2" t="s">
        <v>2</v>
      </c>
      <c r="E24" s="2"/>
      <c r="F24" s="2">
        <v>0</v>
      </c>
      <c r="G24" s="2">
        <v>2</v>
      </c>
      <c r="H24" s="2">
        <v>7000</v>
      </c>
      <c r="I24" s="2">
        <v>100</v>
      </c>
      <c r="J24" s="2"/>
      <c r="K24" s="2">
        <v>21</v>
      </c>
      <c r="L24" s="2">
        <v>0</v>
      </c>
      <c r="M24" s="2">
        <v>0</v>
      </c>
      <c r="N24" s="2">
        <v>6</v>
      </c>
      <c r="O24" s="2">
        <v>5</v>
      </c>
      <c r="P24" s="2">
        <v>10</v>
      </c>
      <c r="Q24" s="2" t="s">
        <v>3032</v>
      </c>
      <c r="R24" s="2" t="s">
        <v>3032</v>
      </c>
      <c r="S24" s="4">
        <v>44945</v>
      </c>
    </row>
    <row r="25" spans="1:19" ht="12.5" x14ac:dyDescent="0.25">
      <c r="A25" s="14" t="str">
        <f>HYPERLINK("https://gerandofalcoes.my.salesforce.com/0014X00002YggiXQAR", "0014X00002YggiXQAR")</f>
        <v>0014X00002YggiXQAR</v>
      </c>
      <c r="B25" s="2" t="s">
        <v>3114</v>
      </c>
      <c r="C25" s="2" t="s">
        <v>423</v>
      </c>
      <c r="D25" s="2" t="s">
        <v>2</v>
      </c>
      <c r="E25" s="2"/>
      <c r="F25" s="2">
        <v>1</v>
      </c>
      <c r="G25" s="2">
        <v>3</v>
      </c>
      <c r="H25" s="2">
        <v>24000</v>
      </c>
      <c r="I25" s="2">
        <v>64</v>
      </c>
      <c r="J25" s="2"/>
      <c r="K25" s="2">
        <v>23</v>
      </c>
      <c r="L25" s="2">
        <v>0</v>
      </c>
      <c r="M25" s="2">
        <v>5</v>
      </c>
      <c r="N25" s="2">
        <v>8</v>
      </c>
      <c r="O25" s="2">
        <v>5</v>
      </c>
      <c r="P25" s="2">
        <v>5</v>
      </c>
      <c r="Q25" s="2" t="s">
        <v>3115</v>
      </c>
      <c r="R25" s="2" t="s">
        <v>3116</v>
      </c>
      <c r="S25" s="4">
        <v>44949</v>
      </c>
    </row>
    <row r="26" spans="1:19" ht="12.5" x14ac:dyDescent="0.25">
      <c r="A26" s="14" t="str">
        <f>HYPERLINK("https://gerandofalcoes.my.salesforce.com/0014X00002Yggo3QAB", "0014X00002Yggo3QAB")</f>
        <v>0014X00002Yggo3QAB</v>
      </c>
      <c r="B26" s="2" t="s">
        <v>7182</v>
      </c>
      <c r="C26" s="2" t="s">
        <v>423</v>
      </c>
      <c r="D26" s="2" t="s">
        <v>2</v>
      </c>
      <c r="E26" s="2"/>
      <c r="F26" s="2">
        <v>0</v>
      </c>
      <c r="G26" s="2">
        <v>2</v>
      </c>
      <c r="H26" s="2">
        <v>10000</v>
      </c>
      <c r="I26" s="2">
        <v>0</v>
      </c>
      <c r="J26" s="2"/>
      <c r="K26" s="2">
        <v>11</v>
      </c>
      <c r="L26" s="2">
        <v>0</v>
      </c>
      <c r="M26" s="2">
        <v>0</v>
      </c>
      <c r="N26" s="2">
        <v>6</v>
      </c>
      <c r="O26" s="2">
        <v>5</v>
      </c>
      <c r="P26" s="2">
        <v>0</v>
      </c>
      <c r="Q26" s="2" t="s">
        <v>3104</v>
      </c>
      <c r="R26" s="2" t="s">
        <v>3105</v>
      </c>
      <c r="S26" s="4">
        <v>44948</v>
      </c>
    </row>
    <row r="27" spans="1:19" ht="12.5" x14ac:dyDescent="0.25">
      <c r="A27" s="14" t="str">
        <f>HYPERLINK("https://gerandofalcoes.my.salesforce.com/0014X00002YggmXQAR", "0014X00002YggmXQAR")</f>
        <v>0014X00002YggmXQAR</v>
      </c>
      <c r="B27" s="2" t="s">
        <v>3056</v>
      </c>
      <c r="C27" s="2" t="s">
        <v>423</v>
      </c>
      <c r="D27" s="2" t="s">
        <v>2</v>
      </c>
      <c r="E27" s="2"/>
      <c r="F27" s="2">
        <v>0</v>
      </c>
      <c r="G27" s="2">
        <v>2</v>
      </c>
      <c r="H27" s="2">
        <v>1000</v>
      </c>
      <c r="I27" s="2">
        <v>73</v>
      </c>
      <c r="J27" s="2"/>
      <c r="K27" s="2">
        <v>16</v>
      </c>
      <c r="L27" s="2">
        <v>0</v>
      </c>
      <c r="M27" s="2">
        <v>0</v>
      </c>
      <c r="N27" s="2">
        <v>6</v>
      </c>
      <c r="O27" s="2">
        <v>5</v>
      </c>
      <c r="P27" s="2">
        <v>5</v>
      </c>
      <c r="Q27" s="2" t="s">
        <v>3057</v>
      </c>
      <c r="R27" s="2" t="s">
        <v>3058</v>
      </c>
      <c r="S27" s="4">
        <v>44946</v>
      </c>
    </row>
    <row r="28" spans="1:19" ht="12.5" x14ac:dyDescent="0.25">
      <c r="A28" s="14" t="str">
        <f>HYPERLINK("https://gerandofalcoes.my.salesforce.com/0014X00002YggpVQAR", "0014X00002YggpVQAR")</f>
        <v>0014X00002YggpVQAR</v>
      </c>
      <c r="B28" s="2" t="s">
        <v>3072</v>
      </c>
      <c r="C28" s="2" t="s">
        <v>423</v>
      </c>
      <c r="D28" s="2" t="s">
        <v>2</v>
      </c>
      <c r="E28" s="2"/>
      <c r="F28" s="2">
        <v>0</v>
      </c>
      <c r="G28" s="2">
        <v>2</v>
      </c>
      <c r="H28" s="2">
        <v>13000</v>
      </c>
      <c r="I28" s="2">
        <v>190</v>
      </c>
      <c r="J28" s="2"/>
      <c r="K28" s="2">
        <v>23</v>
      </c>
      <c r="L28" s="2">
        <v>0</v>
      </c>
      <c r="M28" s="2">
        <v>0</v>
      </c>
      <c r="N28" s="2">
        <v>6</v>
      </c>
      <c r="O28" s="2">
        <v>5</v>
      </c>
      <c r="P28" s="2">
        <v>12</v>
      </c>
      <c r="Q28" s="2" t="s">
        <v>3073</v>
      </c>
      <c r="R28" s="2" t="s">
        <v>3074</v>
      </c>
      <c r="S28" s="4">
        <v>44946</v>
      </c>
    </row>
    <row r="29" spans="1:19" ht="12.5" x14ac:dyDescent="0.25">
      <c r="A29" s="14" t="str">
        <f>HYPERLINK("https://gerandofalcoes.my.salesforce.com/0014X00002YggibQAB", "0014X00002YggibQAB")</f>
        <v>0014X00002YggibQAB</v>
      </c>
      <c r="B29" s="2" t="s">
        <v>3026</v>
      </c>
      <c r="C29" s="2" t="s">
        <v>423</v>
      </c>
      <c r="D29" s="2" t="s">
        <v>2</v>
      </c>
      <c r="E29" s="2"/>
      <c r="F29" s="2">
        <v>0</v>
      </c>
      <c r="G29" s="2">
        <v>6</v>
      </c>
      <c r="H29" s="2">
        <v>8000</v>
      </c>
      <c r="I29" s="2">
        <v>16</v>
      </c>
      <c r="J29" s="2"/>
      <c r="K29" s="2">
        <v>20</v>
      </c>
      <c r="L29" s="2">
        <v>0</v>
      </c>
      <c r="M29" s="2">
        <v>0</v>
      </c>
      <c r="N29" s="2">
        <v>10</v>
      </c>
      <c r="O29" s="2">
        <v>5</v>
      </c>
      <c r="P29" s="2">
        <v>5</v>
      </c>
      <c r="Q29" s="2" t="s">
        <v>3027</v>
      </c>
      <c r="R29" s="2" t="s">
        <v>3027</v>
      </c>
      <c r="S29" s="4">
        <v>44945</v>
      </c>
    </row>
    <row r="30" spans="1:19" ht="12.5" x14ac:dyDescent="0.25">
      <c r="A30" s="14" t="str">
        <f>HYPERLINK("https://gerandofalcoes.my.salesforce.com/0014X00002YggqMQAR", "0014X00002YggqMQAR")</f>
        <v>0014X00002YggqMQAR</v>
      </c>
      <c r="B30" s="2" t="s">
        <v>3045</v>
      </c>
      <c r="C30" s="2" t="s">
        <v>423</v>
      </c>
      <c r="D30" s="2" t="s">
        <v>2</v>
      </c>
      <c r="E30" s="2"/>
      <c r="F30" s="2">
        <v>0</v>
      </c>
      <c r="G30" s="2">
        <v>2</v>
      </c>
      <c r="H30" s="2">
        <v>0</v>
      </c>
      <c r="I30" s="2">
        <v>0</v>
      </c>
      <c r="J30" s="2"/>
      <c r="K30" s="2">
        <v>6</v>
      </c>
      <c r="L30" s="2">
        <v>0</v>
      </c>
      <c r="M30" s="2">
        <v>0</v>
      </c>
      <c r="N30" s="2">
        <v>6</v>
      </c>
      <c r="O30" s="2">
        <v>0</v>
      </c>
      <c r="P30" s="2">
        <v>0</v>
      </c>
      <c r="Q30" s="2" t="s">
        <v>3046</v>
      </c>
      <c r="R30" s="2" t="s">
        <v>3046</v>
      </c>
      <c r="S30" s="4">
        <v>44945</v>
      </c>
    </row>
    <row r="31" spans="1:19" ht="12.5" x14ac:dyDescent="0.25">
      <c r="A31" s="14" t="str">
        <f>HYPERLINK("https://gerandofalcoes.my.salesforce.com/0014X00002Yggh6QAB", "0014X00002Yggh6QAB")</f>
        <v>0014X00002Yggh6QAB</v>
      </c>
      <c r="B31" s="2" t="s">
        <v>3122</v>
      </c>
      <c r="C31" s="2" t="s">
        <v>423</v>
      </c>
      <c r="D31" s="2" t="s">
        <v>2</v>
      </c>
      <c r="E31" s="2"/>
      <c r="F31" s="2">
        <v>6</v>
      </c>
      <c r="G31" s="2">
        <v>2</v>
      </c>
      <c r="H31" s="2">
        <v>481000</v>
      </c>
      <c r="I31" s="2">
        <v>200</v>
      </c>
      <c r="J31" s="2"/>
      <c r="K31" s="2">
        <v>48</v>
      </c>
      <c r="L31" s="2">
        <v>0</v>
      </c>
      <c r="M31" s="2">
        <v>10</v>
      </c>
      <c r="N31" s="2">
        <v>6</v>
      </c>
      <c r="O31" s="2">
        <v>20</v>
      </c>
      <c r="P31" s="2">
        <v>12</v>
      </c>
      <c r="Q31" s="2" t="s">
        <v>3123</v>
      </c>
      <c r="R31" s="2" t="s">
        <v>3124</v>
      </c>
      <c r="S31" s="4">
        <v>44949</v>
      </c>
    </row>
    <row r="32" spans="1:19" ht="12.5" x14ac:dyDescent="0.25">
      <c r="A32" s="14" t="str">
        <f>HYPERLINK("https://gerandofalcoes.my.salesforce.com/0014X00002YggopQAB", "0014X00002YggopQAB")</f>
        <v>0014X00002YggopQAB</v>
      </c>
      <c r="B32" s="2" t="s">
        <v>3614</v>
      </c>
      <c r="C32" s="2" t="s">
        <v>423</v>
      </c>
      <c r="D32" s="2" t="s">
        <v>2</v>
      </c>
      <c r="E32" s="2"/>
      <c r="F32" s="2">
        <v>10</v>
      </c>
      <c r="G32" s="2">
        <v>2</v>
      </c>
      <c r="H32" s="2">
        <v>900</v>
      </c>
      <c r="I32" s="2">
        <v>20</v>
      </c>
      <c r="J32" s="2"/>
      <c r="K32" s="2">
        <v>26</v>
      </c>
      <c r="L32" s="2">
        <v>0</v>
      </c>
      <c r="M32" s="2">
        <v>10</v>
      </c>
      <c r="N32" s="2">
        <v>6</v>
      </c>
      <c r="O32" s="2">
        <v>5</v>
      </c>
      <c r="P32" s="2">
        <v>5</v>
      </c>
      <c r="Q32" s="2" t="s">
        <v>3615</v>
      </c>
      <c r="R32" s="2" t="s">
        <v>3616</v>
      </c>
      <c r="S32" s="4">
        <v>44963</v>
      </c>
    </row>
    <row r="33" spans="1:19" ht="12.5" x14ac:dyDescent="0.25">
      <c r="A33" s="14" t="str">
        <f>HYPERLINK("https://gerandofalcoes.my.salesforce.com/0014X00002YgghzQAB", "0014X00002YgghzQAB")</f>
        <v>0014X00002YgghzQAB</v>
      </c>
      <c r="B33" s="2" t="s">
        <v>3139</v>
      </c>
      <c r="C33" s="2" t="s">
        <v>423</v>
      </c>
      <c r="D33" s="2" t="s">
        <v>2</v>
      </c>
      <c r="E33" s="2"/>
      <c r="F33" s="2">
        <v>1</v>
      </c>
      <c r="G33" s="2">
        <v>4</v>
      </c>
      <c r="H33" s="2">
        <v>2500</v>
      </c>
      <c r="I33" s="2">
        <v>25</v>
      </c>
      <c r="J33" s="2"/>
      <c r="K33" s="2">
        <v>25</v>
      </c>
      <c r="L33" s="2">
        <v>0</v>
      </c>
      <c r="M33" s="2">
        <v>5</v>
      </c>
      <c r="N33" s="2">
        <v>10</v>
      </c>
      <c r="O33" s="2">
        <v>5</v>
      </c>
      <c r="P33" s="2">
        <v>5</v>
      </c>
      <c r="Q33" s="2" t="s">
        <v>3140</v>
      </c>
      <c r="R33" s="2" t="s">
        <v>3141</v>
      </c>
      <c r="S33" s="4">
        <v>44949</v>
      </c>
    </row>
    <row r="34" spans="1:19" ht="12.5" x14ac:dyDescent="0.25">
      <c r="A34" s="14" t="str">
        <f>HYPERLINK("https://gerandofalcoes.my.salesforce.com/0014X00002YggpnQAB", "0014X00002YggpnQAB")</f>
        <v>0014X00002YggpnQAB</v>
      </c>
      <c r="B34" s="2" t="s">
        <v>3128</v>
      </c>
      <c r="C34" s="2" t="s">
        <v>423</v>
      </c>
      <c r="D34" s="2" t="s">
        <v>2</v>
      </c>
      <c r="E34" s="2"/>
      <c r="F34" s="2">
        <v>0</v>
      </c>
      <c r="G34" s="2">
        <v>2</v>
      </c>
      <c r="H34" s="2">
        <v>2000</v>
      </c>
      <c r="I34" s="2">
        <v>90</v>
      </c>
      <c r="J34" s="2"/>
      <c r="K34" s="2">
        <v>21</v>
      </c>
      <c r="L34" s="2">
        <v>0</v>
      </c>
      <c r="M34" s="2">
        <v>0</v>
      </c>
      <c r="N34" s="2">
        <v>6</v>
      </c>
      <c r="O34" s="2">
        <v>5</v>
      </c>
      <c r="P34" s="2">
        <v>10</v>
      </c>
      <c r="Q34" s="2" t="s">
        <v>3129</v>
      </c>
      <c r="R34" s="2" t="s">
        <v>3129</v>
      </c>
      <c r="S34" s="4">
        <v>44949</v>
      </c>
    </row>
    <row r="35" spans="1:19" ht="12.5" x14ac:dyDescent="0.25">
      <c r="A35" s="14" t="str">
        <f>HYPERLINK("https://gerandofalcoes.my.salesforce.com/0014P00003YSp7jQAD", "0014P00003YSp7jQAD")</f>
        <v>0014P00003YSp7jQAD</v>
      </c>
      <c r="B35" s="2" t="s">
        <v>3000</v>
      </c>
      <c r="C35" s="2" t="s">
        <v>1684</v>
      </c>
      <c r="D35" s="2" t="s">
        <v>2</v>
      </c>
      <c r="E35" s="2">
        <v>41</v>
      </c>
      <c r="F35" s="2">
        <v>12</v>
      </c>
      <c r="G35" s="2">
        <v>3</v>
      </c>
      <c r="H35" s="2">
        <v>200000</v>
      </c>
      <c r="I35" s="2">
        <v>0</v>
      </c>
      <c r="J35" s="2" t="s">
        <v>1671</v>
      </c>
      <c r="K35" s="2">
        <v>50</v>
      </c>
      <c r="L35" s="2">
        <v>15</v>
      </c>
      <c r="M35" s="2">
        <v>12</v>
      </c>
      <c r="N35" s="2">
        <v>8</v>
      </c>
      <c r="O35" s="2">
        <v>15</v>
      </c>
      <c r="P35" s="2">
        <v>0</v>
      </c>
      <c r="Q35" s="2" t="s">
        <v>3001</v>
      </c>
      <c r="R35" s="2"/>
      <c r="S35" s="4">
        <v>44911</v>
      </c>
    </row>
    <row r="36" spans="1:19" ht="12.5" x14ac:dyDescent="0.25">
      <c r="A36" s="14" t="str">
        <f>HYPERLINK("https://gerandofalcoes.my.salesforce.com/0014X00002YggqSQAR", "0014X00002YggqSQAR")</f>
        <v>0014X00002YggqSQAR</v>
      </c>
      <c r="B36" s="2" t="s">
        <v>3021</v>
      </c>
      <c r="C36" s="2" t="s">
        <v>423</v>
      </c>
      <c r="D36" s="2" t="s">
        <v>2</v>
      </c>
      <c r="E36" s="2"/>
      <c r="F36" s="2">
        <v>0</v>
      </c>
      <c r="G36" s="2">
        <v>3</v>
      </c>
      <c r="H36" s="2">
        <v>7000</v>
      </c>
      <c r="I36" s="2">
        <v>100</v>
      </c>
      <c r="J36" s="2"/>
      <c r="K36" s="2">
        <v>23</v>
      </c>
      <c r="L36" s="2">
        <v>0</v>
      </c>
      <c r="M36" s="2">
        <v>0</v>
      </c>
      <c r="N36" s="2">
        <v>8</v>
      </c>
      <c r="O36" s="2">
        <v>5</v>
      </c>
      <c r="P36" s="2">
        <v>10</v>
      </c>
      <c r="Q36" s="2" t="s">
        <v>3022</v>
      </c>
      <c r="R36" s="2" t="s">
        <v>3022</v>
      </c>
      <c r="S36" s="4">
        <v>44945</v>
      </c>
    </row>
    <row r="37" spans="1:19" ht="12.5" x14ac:dyDescent="0.25">
      <c r="A37" s="14" t="str">
        <f>HYPERLINK("https://gerandofalcoes.my.salesforce.com/0014X00002Yggi8QAB", "0014X00002Yggi8QAB")</f>
        <v>0014X00002Yggi8QAB</v>
      </c>
      <c r="B37" s="2" t="s">
        <v>3081</v>
      </c>
      <c r="C37" s="2" t="s">
        <v>423</v>
      </c>
      <c r="D37" s="2" t="s">
        <v>2</v>
      </c>
      <c r="E37" s="2"/>
      <c r="F37" s="2">
        <v>0</v>
      </c>
      <c r="G37" s="2">
        <v>2</v>
      </c>
      <c r="H37" s="2">
        <v>50</v>
      </c>
      <c r="I37" s="2">
        <v>50</v>
      </c>
      <c r="J37" s="2"/>
      <c r="K37" s="2">
        <v>16</v>
      </c>
      <c r="L37" s="2">
        <v>0</v>
      </c>
      <c r="M37" s="2">
        <v>0</v>
      </c>
      <c r="N37" s="2">
        <v>6</v>
      </c>
      <c r="O37" s="2">
        <v>5</v>
      </c>
      <c r="P37" s="2">
        <v>5</v>
      </c>
      <c r="Q37" s="2" t="s">
        <v>3082</v>
      </c>
      <c r="R37" s="2" t="s">
        <v>3082</v>
      </c>
      <c r="S37" s="4">
        <v>44946</v>
      </c>
    </row>
    <row r="38" spans="1:19" ht="12.5" x14ac:dyDescent="0.25">
      <c r="A38" s="14" t="str">
        <f>HYPERLINK("https://gerandofalcoes.my.salesforce.com/0014X00002YgglFQAR", "0014X00002YgglFQAR")</f>
        <v>0014X00002YgglFQAR</v>
      </c>
      <c r="B38" s="2" t="s">
        <v>3087</v>
      </c>
      <c r="C38" s="2" t="s">
        <v>423</v>
      </c>
      <c r="D38" s="2" t="s">
        <v>2</v>
      </c>
      <c r="E38" s="2"/>
      <c r="F38" s="2">
        <v>0</v>
      </c>
      <c r="G38" s="2">
        <v>5</v>
      </c>
      <c r="H38" s="2">
        <v>0</v>
      </c>
      <c r="I38" s="2">
        <v>0</v>
      </c>
      <c r="J38" s="2"/>
      <c r="K38" s="2">
        <v>10</v>
      </c>
      <c r="L38" s="2">
        <v>0</v>
      </c>
      <c r="M38" s="2">
        <v>0</v>
      </c>
      <c r="N38" s="2">
        <v>10</v>
      </c>
      <c r="O38" s="2">
        <v>0</v>
      </c>
      <c r="P38" s="2">
        <v>0</v>
      </c>
      <c r="Q38" s="2" t="s">
        <v>3088</v>
      </c>
      <c r="R38" s="2" t="s">
        <v>3089</v>
      </c>
      <c r="S38" s="4">
        <v>44946</v>
      </c>
    </row>
    <row r="39" spans="1:19" ht="12.5" x14ac:dyDescent="0.25">
      <c r="A39" s="14" t="str">
        <f>HYPERLINK("https://gerandofalcoes.my.salesforce.com/0014X00002YggmGQAR", "0014X00002YggmGQAR")</f>
        <v>0014X00002YggmGQAR</v>
      </c>
      <c r="B39" s="2" t="s">
        <v>3130</v>
      </c>
      <c r="C39" s="2" t="s">
        <v>423</v>
      </c>
      <c r="D39" s="2" t="s">
        <v>2</v>
      </c>
      <c r="E39" s="2"/>
      <c r="F39" s="2">
        <v>10</v>
      </c>
      <c r="G39" s="2">
        <v>2</v>
      </c>
      <c r="H39" s="2">
        <v>3000</v>
      </c>
      <c r="I39" s="2">
        <v>60</v>
      </c>
      <c r="J39" s="2"/>
      <c r="K39" s="2">
        <v>26</v>
      </c>
      <c r="L39" s="2">
        <v>0</v>
      </c>
      <c r="M39" s="2">
        <v>10</v>
      </c>
      <c r="N39" s="2">
        <v>6</v>
      </c>
      <c r="O39" s="2">
        <v>5</v>
      </c>
      <c r="P39" s="2">
        <v>5</v>
      </c>
      <c r="Q39" s="2" t="s">
        <v>3131</v>
      </c>
      <c r="R39" s="2" t="s">
        <v>3132</v>
      </c>
      <c r="S39" s="4">
        <v>44949</v>
      </c>
    </row>
    <row r="40" spans="1:19" ht="12.5" x14ac:dyDescent="0.25">
      <c r="A40" s="14" t="str">
        <f>HYPERLINK("https://gerandofalcoes.my.salesforce.com/0014X00002YggglQAB", "0014X00002YggglQAB")</f>
        <v>0014X00002YggglQAB</v>
      </c>
      <c r="B40" s="2" t="s">
        <v>7154</v>
      </c>
      <c r="C40" s="2" t="s">
        <v>423</v>
      </c>
      <c r="D40" s="2" t="s">
        <v>2</v>
      </c>
      <c r="E40" s="2"/>
      <c r="F40" s="2">
        <v>0</v>
      </c>
      <c r="G40" s="2">
        <v>2</v>
      </c>
      <c r="H40" s="2">
        <v>15000</v>
      </c>
      <c r="I40" s="2">
        <v>0</v>
      </c>
      <c r="J40" s="2"/>
      <c r="K40" s="2">
        <v>11</v>
      </c>
      <c r="L40" s="2">
        <v>0</v>
      </c>
      <c r="M40" s="2">
        <v>0</v>
      </c>
      <c r="N40" s="2">
        <v>6</v>
      </c>
      <c r="O40" s="2">
        <v>5</v>
      </c>
      <c r="P40" s="2">
        <v>0</v>
      </c>
      <c r="Q40" s="2" t="s">
        <v>7155</v>
      </c>
      <c r="R40" s="2" t="s">
        <v>3145</v>
      </c>
      <c r="S40" s="4">
        <v>44949</v>
      </c>
    </row>
    <row r="41" spans="1:19" ht="12.5" x14ac:dyDescent="0.25">
      <c r="A41" s="14" t="str">
        <f>HYPERLINK("https://gerandofalcoes.my.salesforce.com/0014X00002Yggp5QAB", "0014X00002Yggp5QAB")</f>
        <v>0014X00002Yggp5QAB</v>
      </c>
      <c r="B41" s="2" t="s">
        <v>3050</v>
      </c>
      <c r="C41" s="2" t="s">
        <v>423</v>
      </c>
      <c r="D41" s="2" t="s">
        <v>2</v>
      </c>
      <c r="E41" s="2"/>
      <c r="F41" s="2">
        <v>0</v>
      </c>
      <c r="G41" s="2">
        <v>2</v>
      </c>
      <c r="H41" s="2">
        <v>0</v>
      </c>
      <c r="I41" s="2">
        <v>0</v>
      </c>
      <c r="J41" s="2"/>
      <c r="K41" s="2">
        <v>6</v>
      </c>
      <c r="L41" s="2">
        <v>0</v>
      </c>
      <c r="M41" s="2">
        <v>0</v>
      </c>
      <c r="N41" s="2">
        <v>6</v>
      </c>
      <c r="O41" s="2">
        <v>0</v>
      </c>
      <c r="P41" s="2">
        <v>0</v>
      </c>
      <c r="Q41" s="2" t="s">
        <v>3051</v>
      </c>
      <c r="R41" s="2" t="s">
        <v>3052</v>
      </c>
      <c r="S41" s="4">
        <v>44946</v>
      </c>
    </row>
    <row r="42" spans="1:19" ht="12.5" x14ac:dyDescent="0.25">
      <c r="A42" s="14" t="str">
        <f>HYPERLINK("https://gerandofalcoes.my.salesforce.com/0014X00002YgbknQAB", "0014X00002YgbknQAB")</f>
        <v>0014X00002YgbknQAB</v>
      </c>
      <c r="B42" s="2" t="s">
        <v>3096</v>
      </c>
      <c r="C42" s="2" t="s">
        <v>423</v>
      </c>
      <c r="D42" s="2" t="s">
        <v>2</v>
      </c>
      <c r="E42" s="2"/>
      <c r="F42" s="2">
        <v>0</v>
      </c>
      <c r="G42" s="2">
        <v>0</v>
      </c>
      <c r="H42" s="2">
        <v>0</v>
      </c>
      <c r="I42" s="2">
        <v>0</v>
      </c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 t="s">
        <v>3097</v>
      </c>
      <c r="R42" s="2" t="s">
        <v>3097</v>
      </c>
      <c r="S42" s="4">
        <v>44947</v>
      </c>
    </row>
    <row r="43" spans="1:19" ht="12.5" x14ac:dyDescent="0.25">
      <c r="A43" s="14" t="str">
        <f>HYPERLINK("https://gerandofalcoes.my.salesforce.com/0014X00002YggimQAB", "0014X00002YggimQAB")</f>
        <v>0014X00002YggimQAB</v>
      </c>
      <c r="B43" s="2" t="s">
        <v>7170</v>
      </c>
      <c r="C43" s="2" t="s">
        <v>423</v>
      </c>
      <c r="D43" s="2" t="s">
        <v>2</v>
      </c>
      <c r="E43" s="2"/>
      <c r="F43" s="2">
        <v>0</v>
      </c>
      <c r="G43" s="2">
        <v>2</v>
      </c>
      <c r="H43" s="2">
        <v>200</v>
      </c>
      <c r="I43" s="2">
        <v>0</v>
      </c>
      <c r="J43" s="2"/>
      <c r="K43" s="2">
        <v>11</v>
      </c>
      <c r="L43" s="2">
        <v>0</v>
      </c>
      <c r="M43" s="2">
        <v>0</v>
      </c>
      <c r="N43" s="2">
        <v>6</v>
      </c>
      <c r="O43" s="2">
        <v>5</v>
      </c>
      <c r="P43" s="2">
        <v>0</v>
      </c>
      <c r="Q43" s="2" t="s">
        <v>3148</v>
      </c>
      <c r="R43" s="2" t="s">
        <v>3148</v>
      </c>
      <c r="S43" s="4">
        <v>44949</v>
      </c>
    </row>
    <row r="44" spans="1:19" ht="12.5" x14ac:dyDescent="0.25">
      <c r="A44" s="14" t="str">
        <f>HYPERLINK("https://gerandofalcoes.my.salesforce.com/0014X00002YggoKQAR", "0014X00002YggoKQAR")</f>
        <v>0014X00002YggoKQAR</v>
      </c>
      <c r="B44" s="2" t="s">
        <v>3019</v>
      </c>
      <c r="C44" s="2" t="s">
        <v>423</v>
      </c>
      <c r="D44" s="2" t="s">
        <v>2</v>
      </c>
      <c r="E44" s="2"/>
      <c r="F44" s="2">
        <v>1</v>
      </c>
      <c r="G44" s="2">
        <v>2</v>
      </c>
      <c r="H44" s="2">
        <v>7000</v>
      </c>
      <c r="I44" s="2">
        <v>0</v>
      </c>
      <c r="J44" s="2"/>
      <c r="K44" s="2">
        <v>16</v>
      </c>
      <c r="L44" s="2">
        <v>0</v>
      </c>
      <c r="M44" s="2">
        <v>5</v>
      </c>
      <c r="N44" s="2">
        <v>6</v>
      </c>
      <c r="O44" s="2">
        <v>5</v>
      </c>
      <c r="P44" s="2">
        <v>0</v>
      </c>
      <c r="Q44" s="2" t="s">
        <v>3020</v>
      </c>
      <c r="R44" s="2" t="s">
        <v>3020</v>
      </c>
      <c r="S44" s="4">
        <v>44945</v>
      </c>
    </row>
    <row r="45" spans="1:19" ht="12.5" x14ac:dyDescent="0.25">
      <c r="A45" s="14" t="str">
        <f>HYPERLINK("https://gerandofalcoes.my.salesforce.com/0014X00002YggjpQAB", "0014X00002YggjpQAB")</f>
        <v>0014X00002YggjpQAB</v>
      </c>
      <c r="B45" s="2" t="s">
        <v>3800</v>
      </c>
      <c r="C45" s="2" t="s">
        <v>423</v>
      </c>
      <c r="D45" s="2" t="s">
        <v>2</v>
      </c>
      <c r="E45" s="2"/>
      <c r="F45" s="2">
        <v>4</v>
      </c>
      <c r="G45" s="2">
        <v>5</v>
      </c>
      <c r="H45" s="2">
        <v>8500</v>
      </c>
      <c r="I45" s="2">
        <v>7</v>
      </c>
      <c r="J45" s="2"/>
      <c r="K45" s="2">
        <v>25</v>
      </c>
      <c r="L45" s="2">
        <v>0</v>
      </c>
      <c r="M45" s="2">
        <v>5</v>
      </c>
      <c r="N45" s="2">
        <v>10</v>
      </c>
      <c r="O45" s="2">
        <v>5</v>
      </c>
      <c r="P45" s="2">
        <v>5</v>
      </c>
      <c r="Q45" s="2" t="s">
        <v>3801</v>
      </c>
      <c r="R45" s="2" t="s">
        <v>3801</v>
      </c>
      <c r="S45" s="4">
        <v>44970</v>
      </c>
    </row>
    <row r="46" spans="1:19" ht="12.5" x14ac:dyDescent="0.25">
      <c r="A46" s="14" t="str">
        <f>HYPERLINK("https://gerandofalcoes.my.salesforce.com/0014X00002YggmSQAR", "0014X00002YggmSQAR")</f>
        <v>0014X00002YggmSQAR</v>
      </c>
      <c r="B46" s="2" t="s">
        <v>4626</v>
      </c>
      <c r="C46" s="2" t="s">
        <v>423</v>
      </c>
      <c r="D46" s="2" t="s">
        <v>2</v>
      </c>
      <c r="E46" s="2"/>
      <c r="F46" s="2">
        <v>4</v>
      </c>
      <c r="G46" s="2">
        <v>5</v>
      </c>
      <c r="H46" s="2">
        <v>12000</v>
      </c>
      <c r="I46" s="2">
        <v>0</v>
      </c>
      <c r="J46" s="2"/>
      <c r="K46" s="2">
        <v>20</v>
      </c>
      <c r="L46" s="2">
        <v>0</v>
      </c>
      <c r="M46" s="2">
        <v>5</v>
      </c>
      <c r="N46" s="2">
        <v>10</v>
      </c>
      <c r="O46" s="2">
        <v>5</v>
      </c>
      <c r="P46" s="2">
        <v>0</v>
      </c>
      <c r="Q46" s="2" t="s">
        <v>3060</v>
      </c>
      <c r="R46" s="2" t="s">
        <v>3061</v>
      </c>
      <c r="S46" s="4">
        <v>44946</v>
      </c>
    </row>
    <row r="47" spans="1:19" ht="12.5" x14ac:dyDescent="0.25">
      <c r="A47" s="14" t="str">
        <f>HYPERLINK("https://gerandofalcoes.my.salesforce.com/0014X00002YggmHQAR", "0014X00002YggmHQAR")</f>
        <v>0014X00002YggmHQAR</v>
      </c>
      <c r="B47" s="2" t="s">
        <v>3016</v>
      </c>
      <c r="C47" s="2" t="s">
        <v>423</v>
      </c>
      <c r="D47" s="2" t="s">
        <v>2</v>
      </c>
      <c r="E47" s="2"/>
      <c r="F47" s="2">
        <v>0</v>
      </c>
      <c r="G47" s="2">
        <v>5</v>
      </c>
      <c r="H47" s="2">
        <v>280524</v>
      </c>
      <c r="I47" s="2">
        <v>100</v>
      </c>
      <c r="J47" s="2"/>
      <c r="K47" s="2">
        <v>35</v>
      </c>
      <c r="L47" s="2">
        <v>0</v>
      </c>
      <c r="M47" s="2">
        <v>0</v>
      </c>
      <c r="N47" s="2">
        <v>10</v>
      </c>
      <c r="O47" s="2">
        <v>15</v>
      </c>
      <c r="P47" s="2">
        <v>10</v>
      </c>
      <c r="Q47" s="2" t="s">
        <v>3017</v>
      </c>
      <c r="R47" s="2" t="s">
        <v>3018</v>
      </c>
      <c r="S47" s="4">
        <v>44945</v>
      </c>
    </row>
    <row r="48" spans="1:19" ht="12.5" x14ac:dyDescent="0.25">
      <c r="A48" s="14" t="str">
        <f>HYPERLINK("https://gerandofalcoes.my.salesforce.com/0014X00002YggjKQAR", "0014X00002YggjKQAR")</f>
        <v>0014X00002YggjKQAR</v>
      </c>
      <c r="B48" s="2" t="s">
        <v>3133</v>
      </c>
      <c r="C48" s="2" t="s">
        <v>423</v>
      </c>
      <c r="D48" s="2" t="s">
        <v>2</v>
      </c>
      <c r="E48" s="2"/>
      <c r="F48" s="2">
        <v>4</v>
      </c>
      <c r="G48" s="2">
        <v>3</v>
      </c>
      <c r="H48" s="2">
        <v>18000</v>
      </c>
      <c r="I48" s="2">
        <v>50</v>
      </c>
      <c r="J48" s="2"/>
      <c r="K48" s="2">
        <v>23</v>
      </c>
      <c r="L48" s="2">
        <v>0</v>
      </c>
      <c r="M48" s="2">
        <v>5</v>
      </c>
      <c r="N48" s="2">
        <v>8</v>
      </c>
      <c r="O48" s="2">
        <v>5</v>
      </c>
      <c r="P48" s="2">
        <v>5</v>
      </c>
      <c r="Q48" s="2" t="s">
        <v>3134</v>
      </c>
      <c r="R48" s="2" t="s">
        <v>3135</v>
      </c>
      <c r="S48" s="4">
        <v>44949</v>
      </c>
    </row>
    <row r="49" spans="1:19" ht="12.5" x14ac:dyDescent="0.25">
      <c r="A49" s="14" t="str">
        <f>HYPERLINK("https://gerandofalcoes.my.salesforce.com/0014X00002YgggwQAB", "0014X00002YgggwQAB")</f>
        <v>0014X00002YgggwQAB</v>
      </c>
      <c r="B49" s="2" t="s">
        <v>3106</v>
      </c>
      <c r="C49" s="2" t="s">
        <v>423</v>
      </c>
      <c r="D49" s="2" t="s">
        <v>2</v>
      </c>
      <c r="E49" s="2"/>
      <c r="F49" s="2">
        <v>0</v>
      </c>
      <c r="G49" s="2">
        <v>3</v>
      </c>
      <c r="H49" s="2">
        <v>1000</v>
      </c>
      <c r="I49" s="2">
        <v>0</v>
      </c>
      <c r="J49" s="2"/>
      <c r="K49" s="2">
        <v>13</v>
      </c>
      <c r="L49" s="2">
        <v>0</v>
      </c>
      <c r="M49" s="2">
        <v>0</v>
      </c>
      <c r="N49" s="2">
        <v>8</v>
      </c>
      <c r="O49" s="2">
        <v>5</v>
      </c>
      <c r="P49" s="2">
        <v>0</v>
      </c>
      <c r="Q49" s="2" t="s">
        <v>3107</v>
      </c>
      <c r="R49" s="2" t="s">
        <v>3108</v>
      </c>
      <c r="S49" s="4">
        <v>44948</v>
      </c>
    </row>
    <row r="50" spans="1:19" ht="12.5" x14ac:dyDescent="0.25">
      <c r="A50" s="14" t="str">
        <f>HYPERLINK("https://gerandofalcoes.my.salesforce.com/0014X00002YggnDQAR", "0014X00002YggnDQAR")</f>
        <v>0014X00002YggnDQAR</v>
      </c>
      <c r="B50" s="2" t="s">
        <v>3334</v>
      </c>
      <c r="C50" s="2" t="s">
        <v>423</v>
      </c>
      <c r="D50" s="2" t="s">
        <v>2</v>
      </c>
      <c r="E50" s="2"/>
      <c r="F50" s="2">
        <v>0</v>
      </c>
      <c r="G50" s="2">
        <v>3</v>
      </c>
      <c r="H50" s="2">
        <v>5000</v>
      </c>
      <c r="I50" s="2">
        <v>2000</v>
      </c>
      <c r="J50" s="2"/>
      <c r="K50" s="2">
        <v>33</v>
      </c>
      <c r="L50" s="2">
        <v>0</v>
      </c>
      <c r="M50" s="2">
        <v>0</v>
      </c>
      <c r="N50" s="2">
        <v>8</v>
      </c>
      <c r="O50" s="2">
        <v>5</v>
      </c>
      <c r="P50" s="2">
        <v>20</v>
      </c>
      <c r="Q50" s="2" t="s">
        <v>3335</v>
      </c>
      <c r="R50" s="2" t="s">
        <v>3336</v>
      </c>
      <c r="S50" s="4">
        <v>44953</v>
      </c>
    </row>
    <row r="51" spans="1:19" ht="12.5" x14ac:dyDescent="0.25">
      <c r="A51" s="14" t="str">
        <f>HYPERLINK("https://gerandofalcoes.my.salesforce.com/0014X00002YggnIQAR", "0014X00002YggnIQAR")</f>
        <v>0014X00002YggnIQAR</v>
      </c>
      <c r="B51" s="2" t="s">
        <v>3789</v>
      </c>
      <c r="C51" s="2" t="s">
        <v>423</v>
      </c>
      <c r="D51" s="2" t="s">
        <v>2</v>
      </c>
      <c r="E51" s="2"/>
      <c r="F51" s="2">
        <v>0</v>
      </c>
      <c r="G51" s="2">
        <v>2</v>
      </c>
      <c r="H51" s="2">
        <v>1000</v>
      </c>
      <c r="I51" s="2">
        <v>20</v>
      </c>
      <c r="J51" s="2"/>
      <c r="K51" s="2">
        <v>16</v>
      </c>
      <c r="L51" s="2">
        <v>0</v>
      </c>
      <c r="M51" s="2">
        <v>0</v>
      </c>
      <c r="N51" s="2">
        <v>6</v>
      </c>
      <c r="O51" s="2">
        <v>5</v>
      </c>
      <c r="P51" s="2">
        <v>5</v>
      </c>
      <c r="Q51" s="2" t="s">
        <v>3790</v>
      </c>
      <c r="R51" s="2" t="s">
        <v>3791</v>
      </c>
      <c r="S51" s="4">
        <v>44968</v>
      </c>
    </row>
    <row r="52" spans="1:19" ht="12.5" x14ac:dyDescent="0.25">
      <c r="A52" s="14" t="str">
        <f>HYPERLINK("https://gerandofalcoes.my.salesforce.com/0014X00002YgbkdQAB", "0014X00002YgbkdQAB")</f>
        <v>0014X00002YgbkdQAB</v>
      </c>
      <c r="B52" s="2" t="s">
        <v>3157</v>
      </c>
      <c r="C52" s="2" t="s">
        <v>423</v>
      </c>
      <c r="D52" s="2" t="s">
        <v>2</v>
      </c>
      <c r="E52" s="2"/>
      <c r="F52" s="2">
        <v>0</v>
      </c>
      <c r="G52" s="2">
        <v>0</v>
      </c>
      <c r="H52" s="2">
        <v>0</v>
      </c>
      <c r="I52" s="2">
        <v>0</v>
      </c>
      <c r="J52" s="2"/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 t="s">
        <v>3158</v>
      </c>
      <c r="R52" s="2" t="s">
        <v>3159</v>
      </c>
      <c r="S52" s="4">
        <v>44950</v>
      </c>
    </row>
    <row r="53" spans="1:19" ht="12.5" x14ac:dyDescent="0.25">
      <c r="A53" s="14" t="str">
        <f>HYPERLINK("https://gerandofalcoes.my.salesforce.com/0014X00002YggquQAB", "0014X00002YggquQAB")</f>
        <v>0014X00002YggquQAB</v>
      </c>
      <c r="B53" s="2" t="s">
        <v>3171</v>
      </c>
      <c r="C53" s="2" t="s">
        <v>423</v>
      </c>
      <c r="D53" s="2" t="s">
        <v>2</v>
      </c>
      <c r="E53" s="2"/>
      <c r="F53" s="2">
        <v>4</v>
      </c>
      <c r="G53" s="2">
        <v>11</v>
      </c>
      <c r="H53" s="2">
        <v>0</v>
      </c>
      <c r="I53" s="2">
        <v>0</v>
      </c>
      <c r="J53" s="2"/>
      <c r="K53" s="2">
        <v>15</v>
      </c>
      <c r="L53" s="2">
        <v>0</v>
      </c>
      <c r="M53" s="2">
        <v>5</v>
      </c>
      <c r="N53" s="2">
        <v>10</v>
      </c>
      <c r="O53" s="2">
        <v>0</v>
      </c>
      <c r="P53" s="2">
        <v>0</v>
      </c>
      <c r="Q53" s="2" t="s">
        <v>3172</v>
      </c>
      <c r="R53" s="2" t="s">
        <v>3172</v>
      </c>
      <c r="S53" s="4">
        <v>44950</v>
      </c>
    </row>
    <row r="54" spans="1:19" ht="12.5" x14ac:dyDescent="0.25">
      <c r="A54" s="14" t="str">
        <f>HYPERLINK("https://gerandofalcoes.my.salesforce.com/0014X00002YggprQAB", "0014X00002YggprQAB")</f>
        <v>0014X00002YggprQAB</v>
      </c>
      <c r="B54" s="2" t="s">
        <v>3168</v>
      </c>
      <c r="C54" s="2" t="s">
        <v>423</v>
      </c>
      <c r="D54" s="2" t="s">
        <v>2</v>
      </c>
      <c r="E54" s="2"/>
      <c r="F54" s="2">
        <v>0</v>
      </c>
      <c r="G54" s="2">
        <v>2</v>
      </c>
      <c r="H54" s="2">
        <v>300</v>
      </c>
      <c r="I54" s="2">
        <v>60</v>
      </c>
      <c r="J54" s="2"/>
      <c r="K54" s="2">
        <v>16</v>
      </c>
      <c r="L54" s="2">
        <v>0</v>
      </c>
      <c r="M54" s="2">
        <v>0</v>
      </c>
      <c r="N54" s="2">
        <v>6</v>
      </c>
      <c r="O54" s="2">
        <v>5</v>
      </c>
      <c r="P54" s="2">
        <v>5</v>
      </c>
      <c r="Q54" s="2" t="s">
        <v>3169</v>
      </c>
      <c r="R54" s="2" t="s">
        <v>3170</v>
      </c>
      <c r="S54" s="4">
        <v>44950</v>
      </c>
    </row>
    <row r="55" spans="1:19" ht="12.5" x14ac:dyDescent="0.25">
      <c r="A55" s="14" t="str">
        <f>HYPERLINK("https://gerandofalcoes.my.salesforce.com/0014X00002Yggi2QAB", "0014X00002Yggi2QAB")</f>
        <v>0014X00002Yggi2QAB</v>
      </c>
      <c r="B55" s="2" t="s">
        <v>3152</v>
      </c>
      <c r="C55" s="2" t="s">
        <v>423</v>
      </c>
      <c r="D55" s="2" t="s">
        <v>2</v>
      </c>
      <c r="E55" s="2"/>
      <c r="F55" s="2">
        <v>0</v>
      </c>
      <c r="G55" s="2">
        <v>2</v>
      </c>
      <c r="H55" s="2">
        <v>1200</v>
      </c>
      <c r="I55" s="2">
        <v>320</v>
      </c>
      <c r="J55" s="2"/>
      <c r="K55" s="2">
        <v>26</v>
      </c>
      <c r="L55" s="2">
        <v>0</v>
      </c>
      <c r="M55" s="2">
        <v>0</v>
      </c>
      <c r="N55" s="2">
        <v>6</v>
      </c>
      <c r="O55" s="2">
        <v>5</v>
      </c>
      <c r="P55" s="2">
        <v>15</v>
      </c>
      <c r="Q55" s="2" t="s">
        <v>3153</v>
      </c>
      <c r="R55" s="2" t="s">
        <v>3153</v>
      </c>
      <c r="S55" s="4">
        <v>44950</v>
      </c>
    </row>
    <row r="56" spans="1:19" ht="12.5" x14ac:dyDescent="0.25">
      <c r="A56" s="14" t="str">
        <f>HYPERLINK("https://gerandofalcoes.my.salesforce.com/0014X00002YggnfQAB", "0014X00002YggnfQAB")</f>
        <v>0014X00002YggnfQAB</v>
      </c>
      <c r="B56" s="2" t="s">
        <v>3166</v>
      </c>
      <c r="C56" s="2" t="s">
        <v>423</v>
      </c>
      <c r="D56" s="2" t="s">
        <v>2</v>
      </c>
      <c r="E56" s="2"/>
      <c r="F56" s="2">
        <v>1</v>
      </c>
      <c r="G56" s="2">
        <v>4</v>
      </c>
      <c r="H56" s="2">
        <v>4000</v>
      </c>
      <c r="I56" s="2">
        <v>90</v>
      </c>
      <c r="J56" s="2"/>
      <c r="K56" s="2">
        <v>30</v>
      </c>
      <c r="L56" s="2">
        <v>0</v>
      </c>
      <c r="M56" s="2">
        <v>5</v>
      </c>
      <c r="N56" s="2">
        <v>10</v>
      </c>
      <c r="O56" s="2">
        <v>5</v>
      </c>
      <c r="P56" s="2">
        <v>10</v>
      </c>
      <c r="Q56" s="2" t="s">
        <v>3167</v>
      </c>
      <c r="R56" s="2" t="s">
        <v>3167</v>
      </c>
      <c r="S56" s="4">
        <v>44950</v>
      </c>
    </row>
    <row r="57" spans="1:19" ht="12.5" x14ac:dyDescent="0.25">
      <c r="A57" s="14" t="str">
        <f>HYPERLINK("https://gerandofalcoes.my.salesforce.com/0014X00002YggiVQAR", "0014X00002YggiVQAR")</f>
        <v>0014X00002YggiVQAR</v>
      </c>
      <c r="B57" s="2" t="s">
        <v>3182</v>
      </c>
      <c r="C57" s="2" t="s">
        <v>423</v>
      </c>
      <c r="D57" s="2" t="s">
        <v>2</v>
      </c>
      <c r="E57" s="2"/>
      <c r="F57" s="2">
        <v>10</v>
      </c>
      <c r="G57" s="2">
        <v>2</v>
      </c>
      <c r="H57" s="2">
        <v>8000</v>
      </c>
      <c r="I57" s="2">
        <v>40</v>
      </c>
      <c r="J57" s="2"/>
      <c r="K57" s="2">
        <v>26</v>
      </c>
      <c r="L57" s="2">
        <v>0</v>
      </c>
      <c r="M57" s="2">
        <v>10</v>
      </c>
      <c r="N57" s="2">
        <v>6</v>
      </c>
      <c r="O57" s="2">
        <v>5</v>
      </c>
      <c r="P57" s="2">
        <v>5</v>
      </c>
      <c r="Q57" s="2" t="s">
        <v>3183</v>
      </c>
      <c r="R57" s="2" t="s">
        <v>3184</v>
      </c>
      <c r="S57" s="4">
        <v>44951</v>
      </c>
    </row>
    <row r="58" spans="1:19" ht="12.5" x14ac:dyDescent="0.25">
      <c r="A58" s="14" t="str">
        <f>HYPERLINK("https://gerandofalcoes.my.salesforce.com/0014X00002YggoXQAR", "0014X00002YggoXQAR")</f>
        <v>0014X00002YggoXQAR</v>
      </c>
      <c r="B58" s="2" t="s">
        <v>3195</v>
      </c>
      <c r="C58" s="2" t="s">
        <v>423</v>
      </c>
      <c r="D58" s="2" t="s">
        <v>2</v>
      </c>
      <c r="E58" s="2"/>
      <c r="F58" s="2">
        <v>10</v>
      </c>
      <c r="G58" s="2">
        <v>2</v>
      </c>
      <c r="H58" s="2">
        <v>8000</v>
      </c>
      <c r="I58" s="2">
        <v>60</v>
      </c>
      <c r="J58" s="2"/>
      <c r="K58" s="2">
        <v>26</v>
      </c>
      <c r="L58" s="2">
        <v>0</v>
      </c>
      <c r="M58" s="2">
        <v>10</v>
      </c>
      <c r="N58" s="2">
        <v>6</v>
      </c>
      <c r="O58" s="2">
        <v>5</v>
      </c>
      <c r="P58" s="2">
        <v>5</v>
      </c>
      <c r="Q58" s="2" t="s">
        <v>3196</v>
      </c>
      <c r="R58" s="2" t="s">
        <v>3197</v>
      </c>
      <c r="S58" s="4">
        <v>44951</v>
      </c>
    </row>
    <row r="59" spans="1:19" ht="12.5" x14ac:dyDescent="0.25">
      <c r="A59" s="14" t="str">
        <f>HYPERLINK("https://gerandofalcoes.my.salesforce.com/0014X00002YggmRQAR", "0014X00002YggmRQAR")</f>
        <v>0014X00002YggmRQAR</v>
      </c>
      <c r="B59" s="2" t="s">
        <v>3198</v>
      </c>
      <c r="C59" s="2" t="s">
        <v>423</v>
      </c>
      <c r="D59" s="2" t="s">
        <v>2</v>
      </c>
      <c r="E59" s="2"/>
      <c r="F59" s="2">
        <v>0</v>
      </c>
      <c r="G59" s="2">
        <v>2</v>
      </c>
      <c r="H59" s="2">
        <v>5000</v>
      </c>
      <c r="I59" s="2">
        <v>20</v>
      </c>
      <c r="J59" s="2"/>
      <c r="K59" s="2">
        <v>16</v>
      </c>
      <c r="L59" s="2">
        <v>0</v>
      </c>
      <c r="M59" s="2">
        <v>0</v>
      </c>
      <c r="N59" s="2">
        <v>6</v>
      </c>
      <c r="O59" s="2">
        <v>5</v>
      </c>
      <c r="P59" s="2">
        <v>5</v>
      </c>
      <c r="Q59" s="2" t="s">
        <v>3199</v>
      </c>
      <c r="R59" s="2" t="s">
        <v>3199</v>
      </c>
      <c r="S59" s="4">
        <v>44951</v>
      </c>
    </row>
    <row r="60" spans="1:19" ht="12.5" x14ac:dyDescent="0.25">
      <c r="A60" s="14" t="str">
        <f>HYPERLINK("https://gerandofalcoes.my.salesforce.com/0014X00002YggnzQAB", "0014X00002YggnzQAB")</f>
        <v>0014X00002YggnzQAB</v>
      </c>
      <c r="B60" s="2" t="s">
        <v>3228</v>
      </c>
      <c r="C60" s="2" t="s">
        <v>423</v>
      </c>
      <c r="D60" s="2" t="s">
        <v>2</v>
      </c>
      <c r="E60" s="2"/>
      <c r="F60" s="2">
        <v>3</v>
      </c>
      <c r="G60" s="2">
        <v>3</v>
      </c>
      <c r="H60" s="2">
        <v>19000</v>
      </c>
      <c r="I60" s="2">
        <v>25</v>
      </c>
      <c r="J60" s="2"/>
      <c r="K60" s="2">
        <v>23</v>
      </c>
      <c r="L60" s="2">
        <v>0</v>
      </c>
      <c r="M60" s="2">
        <v>5</v>
      </c>
      <c r="N60" s="2">
        <v>8</v>
      </c>
      <c r="O60" s="2">
        <v>5</v>
      </c>
      <c r="P60" s="2">
        <v>5</v>
      </c>
      <c r="Q60" s="2" t="s">
        <v>3229</v>
      </c>
      <c r="R60" s="2" t="s">
        <v>3229</v>
      </c>
      <c r="S60" s="4">
        <v>44951</v>
      </c>
    </row>
    <row r="61" spans="1:19" ht="12.5" x14ac:dyDescent="0.25">
      <c r="A61" s="14" t="str">
        <f>HYPERLINK("https://gerandofalcoes.my.salesforce.com/0014X00002YggpQQAR", "0014X00002YggpQQAR")</f>
        <v>0014X00002YggpQQAR</v>
      </c>
      <c r="B61" s="2" t="s">
        <v>3202</v>
      </c>
      <c r="C61" s="2" t="s">
        <v>423</v>
      </c>
      <c r="D61" s="2" t="s">
        <v>2</v>
      </c>
      <c r="E61" s="2"/>
      <c r="F61" s="2">
        <v>1</v>
      </c>
      <c r="G61" s="2">
        <v>3</v>
      </c>
      <c r="H61" s="2">
        <v>3000</v>
      </c>
      <c r="I61" s="2">
        <v>50</v>
      </c>
      <c r="J61" s="2"/>
      <c r="K61" s="2">
        <v>23</v>
      </c>
      <c r="L61" s="2">
        <v>0</v>
      </c>
      <c r="M61" s="2">
        <v>5</v>
      </c>
      <c r="N61" s="2">
        <v>8</v>
      </c>
      <c r="O61" s="2">
        <v>5</v>
      </c>
      <c r="P61" s="2">
        <v>5</v>
      </c>
      <c r="Q61" s="2" t="s">
        <v>3203</v>
      </c>
      <c r="R61" s="2" t="s">
        <v>3203</v>
      </c>
      <c r="S61" s="4">
        <v>44951</v>
      </c>
    </row>
    <row r="62" spans="1:19" ht="12.5" x14ac:dyDescent="0.25">
      <c r="A62" s="14" t="str">
        <f>HYPERLINK("https://gerandofalcoes.my.salesforce.com/0014X00002YgglMQAR", "0014X00002YgglMQAR")</f>
        <v>0014X00002YgglMQAR</v>
      </c>
      <c r="B62" s="2" t="s">
        <v>3188</v>
      </c>
      <c r="C62" s="2" t="s">
        <v>423</v>
      </c>
      <c r="D62" s="2" t="s">
        <v>2</v>
      </c>
      <c r="E62" s="2"/>
      <c r="F62" s="2">
        <v>1</v>
      </c>
      <c r="G62" s="2">
        <v>2</v>
      </c>
      <c r="H62" s="2">
        <v>12000</v>
      </c>
      <c r="I62" s="2">
        <v>3</v>
      </c>
      <c r="J62" s="2"/>
      <c r="K62" s="2">
        <v>21</v>
      </c>
      <c r="L62" s="2">
        <v>0</v>
      </c>
      <c r="M62" s="2">
        <v>5</v>
      </c>
      <c r="N62" s="2">
        <v>6</v>
      </c>
      <c r="O62" s="2">
        <v>5</v>
      </c>
      <c r="P62" s="2">
        <v>5</v>
      </c>
      <c r="Q62" s="2" t="s">
        <v>3189</v>
      </c>
      <c r="R62" s="2" t="s">
        <v>3190</v>
      </c>
      <c r="S62" s="4">
        <v>44951</v>
      </c>
    </row>
    <row r="63" spans="1:19" ht="12.5" x14ac:dyDescent="0.25">
      <c r="A63" s="14" t="str">
        <f>HYPERLINK("https://gerandofalcoes.my.salesforce.com/0014X00002YggjZQAR", "0014X00002YggjZQAR")</f>
        <v>0014X00002YggjZQAR</v>
      </c>
      <c r="B63" s="2" t="s">
        <v>3281</v>
      </c>
      <c r="C63" s="2" t="s">
        <v>423</v>
      </c>
      <c r="D63" s="2" t="s">
        <v>2</v>
      </c>
      <c r="E63" s="2"/>
      <c r="F63" s="2">
        <v>0</v>
      </c>
      <c r="G63" s="2">
        <v>3</v>
      </c>
      <c r="H63" s="2">
        <v>9000</v>
      </c>
      <c r="I63" s="2">
        <v>75</v>
      </c>
      <c r="J63" s="2"/>
      <c r="K63" s="2">
        <v>18</v>
      </c>
      <c r="L63" s="2">
        <v>0</v>
      </c>
      <c r="M63" s="2">
        <v>0</v>
      </c>
      <c r="N63" s="2">
        <v>8</v>
      </c>
      <c r="O63" s="2">
        <v>5</v>
      </c>
      <c r="P63" s="2">
        <v>5</v>
      </c>
      <c r="Q63" s="2" t="s">
        <v>3282</v>
      </c>
      <c r="R63" s="2" t="s">
        <v>3282</v>
      </c>
      <c r="S63" s="4">
        <v>44952</v>
      </c>
    </row>
    <row r="64" spans="1:19" ht="12.5" x14ac:dyDescent="0.25">
      <c r="A64" s="14" t="str">
        <f>HYPERLINK("https://gerandofalcoes.my.salesforce.com/0014X00002YggjoQAB", "0014X00002YggjoQAB")</f>
        <v>0014X00002YggjoQAB</v>
      </c>
      <c r="B64" s="2" t="s">
        <v>3283</v>
      </c>
      <c r="C64" s="2" t="s">
        <v>423</v>
      </c>
      <c r="D64" s="2" t="s">
        <v>2</v>
      </c>
      <c r="E64" s="2"/>
      <c r="F64" s="2">
        <v>3</v>
      </c>
      <c r="G64" s="2">
        <v>2</v>
      </c>
      <c r="H64" s="2">
        <v>280000</v>
      </c>
      <c r="I64" s="2">
        <v>50</v>
      </c>
      <c r="J64" s="2"/>
      <c r="K64" s="2">
        <v>31</v>
      </c>
      <c r="L64" s="2">
        <v>0</v>
      </c>
      <c r="M64" s="2">
        <v>5</v>
      </c>
      <c r="N64" s="2">
        <v>6</v>
      </c>
      <c r="O64" s="2">
        <v>15</v>
      </c>
      <c r="P64" s="2">
        <v>5</v>
      </c>
      <c r="Q64" s="2" t="s">
        <v>3284</v>
      </c>
      <c r="R64" s="2" t="s">
        <v>3285</v>
      </c>
      <c r="S64" s="4">
        <v>44952</v>
      </c>
    </row>
    <row r="65" spans="1:19" ht="12.5" x14ac:dyDescent="0.25">
      <c r="A65" s="14" t="str">
        <f>HYPERLINK("https://gerandofalcoes.my.salesforce.com/0014X00002YggiiQAB", "0014X00002YggiiQAB")</f>
        <v>0014X00002YggiiQAB</v>
      </c>
      <c r="B65" s="2" t="s">
        <v>3265</v>
      </c>
      <c r="C65" s="2" t="s">
        <v>423</v>
      </c>
      <c r="D65" s="2" t="s">
        <v>2</v>
      </c>
      <c r="E65" s="2"/>
      <c r="F65" s="2">
        <v>0</v>
      </c>
      <c r="G65" s="2">
        <v>2</v>
      </c>
      <c r="H65" s="2">
        <v>1500</v>
      </c>
      <c r="I65" s="2">
        <v>30</v>
      </c>
      <c r="J65" s="2"/>
      <c r="K65" s="2">
        <v>16</v>
      </c>
      <c r="L65" s="2">
        <v>0</v>
      </c>
      <c r="M65" s="2">
        <v>0</v>
      </c>
      <c r="N65" s="2">
        <v>6</v>
      </c>
      <c r="O65" s="2">
        <v>5</v>
      </c>
      <c r="P65" s="2">
        <v>5</v>
      </c>
      <c r="Q65" s="2" t="s">
        <v>3267</v>
      </c>
      <c r="R65" s="2" t="s">
        <v>3267</v>
      </c>
      <c r="S65" s="4">
        <v>44952</v>
      </c>
    </row>
    <row r="66" spans="1:19" ht="12.5" x14ac:dyDescent="0.25">
      <c r="A66" s="14" t="str">
        <f>HYPERLINK("https://gerandofalcoes.my.salesforce.com/0014X00002YggivQAB", "0014X00002YggivQAB")</f>
        <v>0014X00002YggivQAB</v>
      </c>
      <c r="B66" s="2" t="s">
        <v>3931</v>
      </c>
      <c r="C66" s="2" t="s">
        <v>423</v>
      </c>
      <c r="D66" s="2" t="s">
        <v>2</v>
      </c>
      <c r="E66" s="2"/>
      <c r="F66" s="2">
        <v>4</v>
      </c>
      <c r="G66" s="2">
        <v>6</v>
      </c>
      <c r="H66" s="2">
        <v>20</v>
      </c>
      <c r="I66" s="2">
        <v>200</v>
      </c>
      <c r="J66" s="2"/>
      <c r="K66" s="2">
        <v>32</v>
      </c>
      <c r="L66" s="2">
        <v>0</v>
      </c>
      <c r="M66" s="2">
        <v>5</v>
      </c>
      <c r="N66" s="2">
        <v>10</v>
      </c>
      <c r="O66" s="2">
        <v>5</v>
      </c>
      <c r="P66" s="2">
        <v>12</v>
      </c>
      <c r="Q66" s="2" t="s">
        <v>3932</v>
      </c>
      <c r="R66" s="2" t="s">
        <v>3932</v>
      </c>
      <c r="S66" s="4">
        <v>44952</v>
      </c>
    </row>
    <row r="67" spans="1:19" ht="12.5" x14ac:dyDescent="0.25">
      <c r="A67" s="14" t="str">
        <f>HYPERLINK("https://gerandofalcoes.my.salesforce.com/0014X00002YgggtQAB", "0014X00002YgggtQAB")</f>
        <v>0014X00002YgggtQAB</v>
      </c>
      <c r="B67" s="2" t="s">
        <v>3275</v>
      </c>
      <c r="C67" s="2" t="s">
        <v>423</v>
      </c>
      <c r="D67" s="2" t="s">
        <v>2</v>
      </c>
      <c r="E67" s="2"/>
      <c r="F67" s="2">
        <v>6</v>
      </c>
      <c r="G67" s="2">
        <v>4</v>
      </c>
      <c r="H67" s="2">
        <v>142000</v>
      </c>
      <c r="I67" s="2">
        <v>120</v>
      </c>
      <c r="J67" s="2"/>
      <c r="K67" s="2">
        <v>45</v>
      </c>
      <c r="L67" s="2">
        <v>0</v>
      </c>
      <c r="M67" s="2">
        <v>10</v>
      </c>
      <c r="N67" s="2">
        <v>10</v>
      </c>
      <c r="O67" s="2">
        <v>15</v>
      </c>
      <c r="P67" s="2">
        <v>10</v>
      </c>
      <c r="Q67" s="2" t="s">
        <v>3276</v>
      </c>
      <c r="R67" s="2" t="s">
        <v>3277</v>
      </c>
      <c r="S67" s="4">
        <v>44952</v>
      </c>
    </row>
    <row r="68" spans="1:19" ht="12.5" x14ac:dyDescent="0.25">
      <c r="A68" s="14" t="str">
        <f>HYPERLINK("https://gerandofalcoes.my.salesforce.com/0014X00002YggpMQAR", "0014X00002YggpMQAR")</f>
        <v>0014X00002YggpMQAR</v>
      </c>
      <c r="B68" s="2" t="s">
        <v>3261</v>
      </c>
      <c r="C68" s="2" t="s">
        <v>423</v>
      </c>
      <c r="D68" s="2" t="s">
        <v>2</v>
      </c>
      <c r="E68" s="2"/>
      <c r="F68" s="2">
        <v>0</v>
      </c>
      <c r="G68" s="2">
        <v>5</v>
      </c>
      <c r="H68" s="2">
        <v>2000</v>
      </c>
      <c r="I68" s="2">
        <v>15</v>
      </c>
      <c r="J68" s="2"/>
      <c r="K68" s="2">
        <v>20</v>
      </c>
      <c r="L68" s="2">
        <v>0</v>
      </c>
      <c r="M68" s="2">
        <v>0</v>
      </c>
      <c r="N68" s="2">
        <v>10</v>
      </c>
      <c r="O68" s="2">
        <v>5</v>
      </c>
      <c r="P68" s="2">
        <v>5</v>
      </c>
      <c r="Q68" s="2" t="s">
        <v>3262</v>
      </c>
      <c r="R68" s="2" t="s">
        <v>3262</v>
      </c>
      <c r="S68" s="4">
        <v>44952</v>
      </c>
    </row>
    <row r="69" spans="1:19" ht="12.5" x14ac:dyDescent="0.25">
      <c r="A69" s="14" t="str">
        <f>HYPERLINK("https://gerandofalcoes.my.salesforce.com/0014X00002YggkaQAB", "0014X00002YggkaQAB")</f>
        <v>0014X00002YggkaQAB</v>
      </c>
      <c r="B69" s="2" t="s">
        <v>3253</v>
      </c>
      <c r="C69" s="2" t="s">
        <v>423</v>
      </c>
      <c r="D69" s="2" t="s">
        <v>2</v>
      </c>
      <c r="E69" s="2"/>
      <c r="F69" s="2">
        <v>0</v>
      </c>
      <c r="G69" s="2">
        <v>2</v>
      </c>
      <c r="H69" s="2">
        <v>0</v>
      </c>
      <c r="I69" s="2">
        <v>40</v>
      </c>
      <c r="J69" s="2"/>
      <c r="K69" s="2">
        <v>11</v>
      </c>
      <c r="L69" s="2">
        <v>0</v>
      </c>
      <c r="M69" s="2">
        <v>0</v>
      </c>
      <c r="N69" s="2">
        <v>6</v>
      </c>
      <c r="O69" s="2">
        <v>0</v>
      </c>
      <c r="P69" s="2">
        <v>5</v>
      </c>
      <c r="Q69" s="2" t="s">
        <v>3254</v>
      </c>
      <c r="R69" s="2" t="s">
        <v>3254</v>
      </c>
      <c r="S69" s="4">
        <v>44952</v>
      </c>
    </row>
    <row r="70" spans="1:19" ht="12.5" x14ac:dyDescent="0.25">
      <c r="A70" s="14" t="str">
        <f>HYPERLINK("https://gerandofalcoes.my.salesforce.com/0014X00002YggjIQAR", "0014X00002YggjIQAR")</f>
        <v>0014X00002YggjIQAR</v>
      </c>
      <c r="B70" s="2" t="s">
        <v>3272</v>
      </c>
      <c r="C70" s="2" t="s">
        <v>423</v>
      </c>
      <c r="D70" s="2" t="s">
        <v>2</v>
      </c>
      <c r="E70" s="2"/>
      <c r="F70" s="2">
        <v>3</v>
      </c>
      <c r="G70" s="2">
        <v>2</v>
      </c>
      <c r="H70" s="2">
        <v>2000</v>
      </c>
      <c r="I70" s="2">
        <v>125</v>
      </c>
      <c r="J70" s="2"/>
      <c r="K70" s="2">
        <v>26</v>
      </c>
      <c r="L70" s="2">
        <v>0</v>
      </c>
      <c r="M70" s="2">
        <v>5</v>
      </c>
      <c r="N70" s="2">
        <v>6</v>
      </c>
      <c r="O70" s="2">
        <v>5</v>
      </c>
      <c r="P70" s="2">
        <v>10</v>
      </c>
      <c r="Q70" s="2" t="s">
        <v>3273</v>
      </c>
      <c r="R70" s="2" t="s">
        <v>3274</v>
      </c>
      <c r="S70" s="4">
        <v>44952</v>
      </c>
    </row>
    <row r="71" spans="1:19" ht="12.5" x14ac:dyDescent="0.25">
      <c r="A71" s="14" t="str">
        <f>HYPERLINK("https://gerandofalcoes.my.salesforce.com/0014X00002YggoMQAR", "0014X00002YggoMQAR")</f>
        <v>0014X00002YggoMQAR</v>
      </c>
      <c r="B71" s="2" t="s">
        <v>3299</v>
      </c>
      <c r="C71" s="2" t="s">
        <v>423</v>
      </c>
      <c r="D71" s="2" t="s">
        <v>2</v>
      </c>
      <c r="E71" s="2"/>
      <c r="F71" s="2">
        <v>6</v>
      </c>
      <c r="G71" s="2">
        <v>3</v>
      </c>
      <c r="H71" s="2">
        <v>250000</v>
      </c>
      <c r="I71" s="2">
        <v>550</v>
      </c>
      <c r="J71" s="2"/>
      <c r="K71" s="2">
        <v>53</v>
      </c>
      <c r="L71" s="2">
        <v>0</v>
      </c>
      <c r="M71" s="2">
        <v>10</v>
      </c>
      <c r="N71" s="2">
        <v>8</v>
      </c>
      <c r="O71" s="2">
        <v>15</v>
      </c>
      <c r="P71" s="2">
        <v>20</v>
      </c>
      <c r="Q71" s="2" t="s">
        <v>3300</v>
      </c>
      <c r="R71" s="2" t="s">
        <v>3301</v>
      </c>
      <c r="S71" s="4">
        <v>44953</v>
      </c>
    </row>
    <row r="72" spans="1:19" ht="12.5" x14ac:dyDescent="0.25">
      <c r="A72" s="14" t="str">
        <f>HYPERLINK("https://gerandofalcoes.my.salesforce.com/0014X00002YggiEQAR", "0014X00002YggiEQAR")</f>
        <v>0014X00002YggiEQAR</v>
      </c>
      <c r="B72" s="2" t="s">
        <v>3241</v>
      </c>
      <c r="C72" s="2" t="s">
        <v>423</v>
      </c>
      <c r="D72" s="2" t="s">
        <v>2</v>
      </c>
      <c r="E72" s="2"/>
      <c r="F72" s="2">
        <v>23</v>
      </c>
      <c r="G72" s="2">
        <v>4</v>
      </c>
      <c r="H72" s="2">
        <v>750000</v>
      </c>
      <c r="I72" s="2">
        <v>0</v>
      </c>
      <c r="J72" s="2"/>
      <c r="K72" s="2">
        <v>42</v>
      </c>
      <c r="L72" s="2">
        <v>0</v>
      </c>
      <c r="M72" s="2">
        <v>12</v>
      </c>
      <c r="N72" s="2">
        <v>10</v>
      </c>
      <c r="O72" s="2">
        <v>20</v>
      </c>
      <c r="P72" s="2">
        <v>0</v>
      </c>
      <c r="Q72" s="2" t="s">
        <v>3242</v>
      </c>
      <c r="R72" s="2" t="s">
        <v>3243</v>
      </c>
      <c r="S72" s="4">
        <v>44952</v>
      </c>
    </row>
    <row r="73" spans="1:19" ht="12.5" x14ac:dyDescent="0.25">
      <c r="A73" s="14" t="str">
        <f>HYPERLINK("https://gerandofalcoes.my.salesforce.com/0014X00002YggqwQAB", "0014X00002YggqwQAB")</f>
        <v>0014X00002YggqwQAB</v>
      </c>
      <c r="B73" s="2" t="s">
        <v>3319</v>
      </c>
      <c r="C73" s="2" t="s">
        <v>423</v>
      </c>
      <c r="D73" s="2" t="s">
        <v>2</v>
      </c>
      <c r="E73" s="2"/>
      <c r="F73" s="2">
        <v>4</v>
      </c>
      <c r="G73" s="2">
        <v>2</v>
      </c>
      <c r="H73" s="2">
        <v>6082</v>
      </c>
      <c r="I73" s="2">
        <v>50</v>
      </c>
      <c r="J73" s="2"/>
      <c r="K73" s="2">
        <v>21</v>
      </c>
      <c r="L73" s="2">
        <v>0</v>
      </c>
      <c r="M73" s="2">
        <v>5</v>
      </c>
      <c r="N73" s="2">
        <v>6</v>
      </c>
      <c r="O73" s="2">
        <v>5</v>
      </c>
      <c r="P73" s="2">
        <v>5</v>
      </c>
      <c r="Q73" s="2" t="s">
        <v>3320</v>
      </c>
      <c r="R73" s="2" t="s">
        <v>3321</v>
      </c>
      <c r="S73" s="4">
        <v>44953</v>
      </c>
    </row>
    <row r="74" spans="1:19" ht="12.5" x14ac:dyDescent="0.25">
      <c r="A74" s="14" t="str">
        <f>HYPERLINK("https://gerandofalcoes.my.salesforce.com/0014X00002Yggj3QAB", "0014X00002Yggj3QAB")</f>
        <v>0014X00002Yggj3QAB</v>
      </c>
      <c r="B74" s="2" t="s">
        <v>3357</v>
      </c>
      <c r="C74" s="2" t="s">
        <v>423</v>
      </c>
      <c r="D74" s="2" t="s">
        <v>2</v>
      </c>
      <c r="E74" s="2"/>
      <c r="F74" s="2">
        <v>0</v>
      </c>
      <c r="G74" s="2">
        <v>5</v>
      </c>
      <c r="H74" s="2">
        <v>1000</v>
      </c>
      <c r="I74" s="2">
        <v>80</v>
      </c>
      <c r="J74" s="2"/>
      <c r="K74" s="2">
        <v>25</v>
      </c>
      <c r="L74" s="2">
        <v>0</v>
      </c>
      <c r="M74" s="2">
        <v>0</v>
      </c>
      <c r="N74" s="2">
        <v>10</v>
      </c>
      <c r="O74" s="2">
        <v>5</v>
      </c>
      <c r="P74" s="2">
        <v>10</v>
      </c>
      <c r="Q74" s="2" t="s">
        <v>3358</v>
      </c>
      <c r="R74" s="2" t="s">
        <v>3359</v>
      </c>
      <c r="S74" s="4">
        <v>44953</v>
      </c>
    </row>
    <row r="75" spans="1:19" ht="12.5" x14ac:dyDescent="0.25">
      <c r="A75" s="14" t="str">
        <f>HYPERLINK("https://gerandofalcoes.my.salesforce.com/0014X00002YgbkTQAR", "0014X00002YgbkTQAR")</f>
        <v>0014X00002YgbkTQAR</v>
      </c>
      <c r="B75" s="2" t="s">
        <v>3337</v>
      </c>
      <c r="C75" s="2" t="s">
        <v>423</v>
      </c>
      <c r="D75" s="2" t="s">
        <v>2</v>
      </c>
      <c r="E75" s="2"/>
      <c r="F75" s="2">
        <v>0</v>
      </c>
      <c r="G75" s="2">
        <v>0</v>
      </c>
      <c r="H75" s="2">
        <v>0</v>
      </c>
      <c r="I75" s="2">
        <v>0</v>
      </c>
      <c r="J75" s="2"/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 t="s">
        <v>3338</v>
      </c>
      <c r="R75" s="2" t="s">
        <v>3339</v>
      </c>
      <c r="S75" s="4">
        <v>44953</v>
      </c>
    </row>
    <row r="76" spans="1:19" ht="12.5" x14ac:dyDescent="0.25">
      <c r="A76" s="14" t="str">
        <f>HYPERLINK("https://gerandofalcoes.my.salesforce.com/0014X00002YggqKQAR", "0014X00002YggqKQAR")</f>
        <v>0014X00002YggqKQAR</v>
      </c>
      <c r="B76" s="2" t="s">
        <v>3372</v>
      </c>
      <c r="C76" s="2" t="s">
        <v>423</v>
      </c>
      <c r="D76" s="2" t="s">
        <v>2</v>
      </c>
      <c r="E76" s="2"/>
      <c r="F76" s="2">
        <v>0</v>
      </c>
      <c r="G76" s="2">
        <v>4</v>
      </c>
      <c r="H76" s="2">
        <v>11000</v>
      </c>
      <c r="I76" s="2">
        <v>10</v>
      </c>
      <c r="J76" s="2"/>
      <c r="K76" s="2">
        <v>20</v>
      </c>
      <c r="L76" s="2">
        <v>0</v>
      </c>
      <c r="M76" s="2">
        <v>0</v>
      </c>
      <c r="N76" s="2">
        <v>10</v>
      </c>
      <c r="O76" s="2">
        <v>5</v>
      </c>
      <c r="P76" s="2">
        <v>5</v>
      </c>
      <c r="Q76" s="2" t="s">
        <v>3373</v>
      </c>
      <c r="R76" s="2" t="s">
        <v>3374</v>
      </c>
      <c r="S76" s="4">
        <v>44953</v>
      </c>
    </row>
    <row r="77" spans="1:19" ht="12.5" x14ac:dyDescent="0.25">
      <c r="A77" s="14" t="str">
        <f>HYPERLINK("https://gerandofalcoes.my.salesforce.com/0014X00002YggoDQAR", "0014X00002YggoDQAR")</f>
        <v>0014X00002YggoDQAR</v>
      </c>
      <c r="B77" s="2" t="s">
        <v>3662</v>
      </c>
      <c r="C77" s="2" t="s">
        <v>423</v>
      </c>
      <c r="D77" s="2" t="s">
        <v>2</v>
      </c>
      <c r="E77" s="2"/>
      <c r="F77" s="2">
        <v>0</v>
      </c>
      <c r="G77" s="2">
        <v>2</v>
      </c>
      <c r="H77" s="2">
        <v>0</v>
      </c>
      <c r="I77" s="2">
        <v>20</v>
      </c>
      <c r="J77" s="2"/>
      <c r="K77" s="2">
        <v>11</v>
      </c>
      <c r="L77" s="2">
        <v>0</v>
      </c>
      <c r="M77" s="2">
        <v>0</v>
      </c>
      <c r="N77" s="2">
        <v>6</v>
      </c>
      <c r="O77" s="2">
        <v>0</v>
      </c>
      <c r="P77" s="2">
        <v>5</v>
      </c>
      <c r="Q77" s="2" t="s">
        <v>3664</v>
      </c>
      <c r="R77" s="2" t="s">
        <v>3664</v>
      </c>
      <c r="S77" s="4">
        <v>44964</v>
      </c>
    </row>
    <row r="78" spans="1:19" ht="12.5" x14ac:dyDescent="0.25">
      <c r="A78" s="14" t="str">
        <f>HYPERLINK("https://gerandofalcoes.my.salesforce.com/0014X00002YggjqQAB", "0014X00002YggjqQAB")</f>
        <v>0014X00002YggjqQAB</v>
      </c>
      <c r="B78" s="2" t="s">
        <v>3617</v>
      </c>
      <c r="C78" s="2" t="s">
        <v>423</v>
      </c>
      <c r="D78" s="2" t="s">
        <v>2</v>
      </c>
      <c r="E78" s="2"/>
      <c r="F78" s="2">
        <v>2</v>
      </c>
      <c r="G78" s="2">
        <v>7</v>
      </c>
      <c r="H78" s="2">
        <v>100000</v>
      </c>
      <c r="I78" s="2">
        <v>120</v>
      </c>
      <c r="J78" s="2"/>
      <c r="K78" s="2">
        <v>40</v>
      </c>
      <c r="L78" s="2">
        <v>0</v>
      </c>
      <c r="M78" s="2">
        <v>5</v>
      </c>
      <c r="N78" s="2">
        <v>10</v>
      </c>
      <c r="O78" s="2">
        <v>15</v>
      </c>
      <c r="P78" s="2">
        <v>10</v>
      </c>
      <c r="Q78" s="2" t="s">
        <v>3618</v>
      </c>
      <c r="R78" s="2" t="s">
        <v>3619</v>
      </c>
      <c r="S78" s="4">
        <v>44963</v>
      </c>
    </row>
    <row r="79" spans="1:19" ht="12.5" x14ac:dyDescent="0.25">
      <c r="A79" s="14" t="str">
        <f>HYPERLINK("https://gerandofalcoes.my.salesforce.com/0014X00002YggiwQAB", "0014X00002YggiwQAB")</f>
        <v>0014X00002YggiwQAB</v>
      </c>
      <c r="B79" s="2" t="s">
        <v>3452</v>
      </c>
      <c r="C79" s="2" t="s">
        <v>423</v>
      </c>
      <c r="D79" s="2" t="s">
        <v>2</v>
      </c>
      <c r="E79" s="2"/>
      <c r="F79" s="2">
        <v>22</v>
      </c>
      <c r="G79" s="2">
        <v>5</v>
      </c>
      <c r="H79" s="2">
        <v>14400</v>
      </c>
      <c r="I79" s="2">
        <v>60</v>
      </c>
      <c r="J79" s="2"/>
      <c r="K79" s="2">
        <v>32</v>
      </c>
      <c r="L79" s="2">
        <v>0</v>
      </c>
      <c r="M79" s="2">
        <v>12</v>
      </c>
      <c r="N79" s="2">
        <v>10</v>
      </c>
      <c r="O79" s="2">
        <v>5</v>
      </c>
      <c r="P79" s="2">
        <v>5</v>
      </c>
      <c r="Q79" s="2" t="s">
        <v>3453</v>
      </c>
      <c r="R79" s="2" t="s">
        <v>3454</v>
      </c>
      <c r="S79" s="4">
        <v>44958</v>
      </c>
    </row>
    <row r="80" spans="1:19" ht="12.5" x14ac:dyDescent="0.25">
      <c r="A80" s="14" t="str">
        <f>HYPERLINK("https://gerandofalcoes.my.salesforce.com/0014X00002YggoRQAR", "0014X00002YggoRQAR")</f>
        <v>0014X00002YggoRQAR</v>
      </c>
      <c r="B80" s="2" t="s">
        <v>4299</v>
      </c>
      <c r="C80" s="2" t="s">
        <v>423</v>
      </c>
      <c r="D80" s="2" t="s">
        <v>2</v>
      </c>
      <c r="E80" s="2"/>
      <c r="F80" s="2">
        <v>0</v>
      </c>
      <c r="G80" s="2">
        <v>2</v>
      </c>
      <c r="H80" s="2">
        <v>0</v>
      </c>
      <c r="I80" s="2">
        <v>0</v>
      </c>
      <c r="J80" s="2"/>
      <c r="K80" s="2">
        <v>6</v>
      </c>
      <c r="L80" s="2">
        <v>0</v>
      </c>
      <c r="M80" s="2">
        <v>0</v>
      </c>
      <c r="N80" s="2">
        <v>6</v>
      </c>
      <c r="O80" s="2">
        <v>0</v>
      </c>
      <c r="P80" s="2">
        <v>0</v>
      </c>
      <c r="Q80" s="2" t="s">
        <v>3511</v>
      </c>
      <c r="R80" s="2" t="s">
        <v>3511</v>
      </c>
      <c r="S80" s="4">
        <v>44958</v>
      </c>
    </row>
    <row r="81" spans="1:19" ht="12.5" x14ac:dyDescent="0.25">
      <c r="A81" s="14" t="str">
        <f>HYPERLINK("https://gerandofalcoes.my.salesforce.com/0014X00002YgglLQAR", "0014X00002YgglLQAR")</f>
        <v>0014X00002YgglLQAR</v>
      </c>
      <c r="B81" s="2" t="s">
        <v>3547</v>
      </c>
      <c r="C81" s="2" t="s">
        <v>423</v>
      </c>
      <c r="D81" s="2" t="s">
        <v>2</v>
      </c>
      <c r="E81" s="2"/>
      <c r="F81" s="2">
        <v>7</v>
      </c>
      <c r="G81" s="2">
        <v>2</v>
      </c>
      <c r="H81" s="2">
        <v>1800</v>
      </c>
      <c r="I81" s="2">
        <v>48</v>
      </c>
      <c r="J81" s="2"/>
      <c r="K81" s="2">
        <v>26</v>
      </c>
      <c r="L81" s="2">
        <v>0</v>
      </c>
      <c r="M81" s="2">
        <v>10</v>
      </c>
      <c r="N81" s="2">
        <v>6</v>
      </c>
      <c r="O81" s="2">
        <v>5</v>
      </c>
      <c r="P81" s="2">
        <v>5</v>
      </c>
      <c r="Q81" s="2" t="s">
        <v>3548</v>
      </c>
      <c r="R81" s="2" t="s">
        <v>3548</v>
      </c>
      <c r="S81" s="4">
        <v>44959</v>
      </c>
    </row>
    <row r="82" spans="1:19" ht="12.5" x14ac:dyDescent="0.25">
      <c r="A82" s="14" t="str">
        <f>HYPERLINK("https://gerandofalcoes.my.salesforce.com/0014X00002YgbkQQAR", "0014X00002YgbkQQAR")</f>
        <v>0014X00002YgbkQQAR</v>
      </c>
      <c r="B82" s="2" t="s">
        <v>3542</v>
      </c>
      <c r="C82" s="2" t="s">
        <v>423</v>
      </c>
      <c r="D82" s="2" t="s">
        <v>2</v>
      </c>
      <c r="E82" s="2"/>
      <c r="F82" s="2">
        <v>0</v>
      </c>
      <c r="G82" s="2">
        <v>0</v>
      </c>
      <c r="H82" s="2">
        <v>0</v>
      </c>
      <c r="I82" s="2">
        <v>0</v>
      </c>
      <c r="J82" s="2"/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 t="s">
        <v>3543</v>
      </c>
      <c r="R82" s="2" t="s">
        <v>3544</v>
      </c>
      <c r="S82" s="4">
        <v>44959</v>
      </c>
    </row>
    <row r="83" spans="1:19" ht="12.5" x14ac:dyDescent="0.25">
      <c r="A83" s="14" t="str">
        <f>HYPERLINK("https://gerandofalcoes.my.salesforce.com/0014X00002Yggj6QAB", "0014X00002Yggj6QAB")</f>
        <v>0014X00002Yggj6QAB</v>
      </c>
      <c r="B83" s="2" t="s">
        <v>3535</v>
      </c>
      <c r="C83" s="2" t="s">
        <v>423</v>
      </c>
      <c r="D83" s="2" t="s">
        <v>2</v>
      </c>
      <c r="E83" s="2"/>
      <c r="F83" s="2">
        <v>1</v>
      </c>
      <c r="G83" s="2">
        <v>2</v>
      </c>
      <c r="H83" s="2">
        <v>4000</v>
      </c>
      <c r="I83" s="2">
        <v>50</v>
      </c>
      <c r="J83" s="2"/>
      <c r="K83" s="2">
        <v>21</v>
      </c>
      <c r="L83" s="2">
        <v>0</v>
      </c>
      <c r="M83" s="2">
        <v>5</v>
      </c>
      <c r="N83" s="2">
        <v>6</v>
      </c>
      <c r="O83" s="2">
        <v>5</v>
      </c>
      <c r="P83" s="2">
        <v>5</v>
      </c>
      <c r="Q83" s="2" t="s">
        <v>3536</v>
      </c>
      <c r="R83" s="2" t="s">
        <v>3536</v>
      </c>
      <c r="S83" s="4">
        <v>44959</v>
      </c>
    </row>
    <row r="84" spans="1:19" ht="12.5" x14ac:dyDescent="0.25">
      <c r="A84" s="14" t="str">
        <f>HYPERLINK("https://gerandofalcoes.my.salesforce.com/0014X00002YggkTQAR", "0014X00002YggkTQAR")</f>
        <v>0014X00002YggkTQAR</v>
      </c>
      <c r="B84" s="2" t="s">
        <v>3777</v>
      </c>
      <c r="C84" s="2" t="s">
        <v>423</v>
      </c>
      <c r="D84" s="2" t="s">
        <v>2</v>
      </c>
      <c r="E84" s="2"/>
      <c r="F84" s="2">
        <v>1</v>
      </c>
      <c r="G84" s="2">
        <v>4</v>
      </c>
      <c r="H84" s="2">
        <v>7134525</v>
      </c>
      <c r="I84" s="2">
        <v>20</v>
      </c>
      <c r="J84" s="2"/>
      <c r="K84" s="2">
        <v>45</v>
      </c>
      <c r="L84" s="2">
        <v>0</v>
      </c>
      <c r="M84" s="2">
        <v>5</v>
      </c>
      <c r="N84" s="2">
        <v>10</v>
      </c>
      <c r="O84" s="2">
        <v>25</v>
      </c>
      <c r="P84" s="2">
        <v>5</v>
      </c>
      <c r="Q84" s="2" t="s">
        <v>3778</v>
      </c>
      <c r="R84" s="2" t="s">
        <v>3778</v>
      </c>
      <c r="S84" s="4">
        <v>44968</v>
      </c>
    </row>
    <row r="85" spans="1:19" ht="12.5" x14ac:dyDescent="0.25">
      <c r="A85" s="14" t="str">
        <f>HYPERLINK("https://gerandofalcoes.my.salesforce.com/0014X00002YgghTQAR", "0014X00002YgghTQAR")</f>
        <v>0014X00002YgghTQAR</v>
      </c>
      <c r="B85" s="2" t="s">
        <v>3792</v>
      </c>
      <c r="C85" s="2" t="s">
        <v>423</v>
      </c>
      <c r="D85" s="2" t="s">
        <v>2</v>
      </c>
      <c r="E85" s="2"/>
      <c r="F85" s="2">
        <v>2</v>
      </c>
      <c r="G85" s="2">
        <v>2</v>
      </c>
      <c r="H85" s="2">
        <v>4500</v>
      </c>
      <c r="I85" s="2">
        <v>77</v>
      </c>
      <c r="J85" s="2"/>
      <c r="K85" s="2">
        <v>21</v>
      </c>
      <c r="L85" s="2">
        <v>0</v>
      </c>
      <c r="M85" s="2">
        <v>5</v>
      </c>
      <c r="N85" s="2">
        <v>6</v>
      </c>
      <c r="O85" s="2">
        <v>5</v>
      </c>
      <c r="P85" s="2">
        <v>5</v>
      </c>
      <c r="Q85" s="2" t="s">
        <v>3793</v>
      </c>
      <c r="R85" s="2" t="s">
        <v>3793</v>
      </c>
      <c r="S85" s="4">
        <v>44968</v>
      </c>
    </row>
    <row r="86" spans="1:19" ht="12.5" x14ac:dyDescent="0.25">
      <c r="A86" s="14" t="str">
        <f>HYPERLINK("https://gerandofalcoes.my.salesforce.com/0014X00002YggiQQAR", "0014X00002YggiQQAR")</f>
        <v>0014X00002YggiQQAR</v>
      </c>
      <c r="B86" s="2" t="s">
        <v>3149</v>
      </c>
      <c r="C86" s="2" t="s">
        <v>423</v>
      </c>
      <c r="D86" s="2" t="s">
        <v>2</v>
      </c>
      <c r="E86" s="2"/>
      <c r="F86" s="2">
        <v>30</v>
      </c>
      <c r="G86" s="2">
        <v>5</v>
      </c>
      <c r="H86" s="2">
        <v>190000</v>
      </c>
      <c r="I86" s="2">
        <v>178</v>
      </c>
      <c r="J86" s="2"/>
      <c r="K86" s="2">
        <v>49</v>
      </c>
      <c r="L86" s="2">
        <v>0</v>
      </c>
      <c r="M86" s="2">
        <v>12</v>
      </c>
      <c r="N86" s="2">
        <v>10</v>
      </c>
      <c r="O86" s="2">
        <v>15</v>
      </c>
      <c r="P86" s="2">
        <v>12</v>
      </c>
      <c r="Q86" s="2" t="s">
        <v>3150</v>
      </c>
      <c r="R86" s="2" t="s">
        <v>3151</v>
      </c>
      <c r="S86" s="4">
        <v>44950</v>
      </c>
    </row>
    <row r="87" spans="1:19" ht="12.5" x14ac:dyDescent="0.25">
      <c r="A87" s="14" t="str">
        <f>HYPERLINK("https://gerandofalcoes.my.salesforce.com/0014X00002YggmUQAR", "0014X00002YggmUQAR")</f>
        <v>0014X00002YggmUQAR</v>
      </c>
      <c r="B87" s="2" t="s">
        <v>3160</v>
      </c>
      <c r="C87" s="2" t="s">
        <v>423</v>
      </c>
      <c r="D87" s="2" t="s">
        <v>2</v>
      </c>
      <c r="E87" s="2"/>
      <c r="F87" s="2">
        <v>2</v>
      </c>
      <c r="G87" s="2">
        <v>2</v>
      </c>
      <c r="H87" s="2">
        <v>24750</v>
      </c>
      <c r="I87" s="2">
        <v>190</v>
      </c>
      <c r="J87" s="2"/>
      <c r="K87" s="2">
        <v>28</v>
      </c>
      <c r="L87" s="2">
        <v>0</v>
      </c>
      <c r="M87" s="2">
        <v>5</v>
      </c>
      <c r="N87" s="2">
        <v>6</v>
      </c>
      <c r="O87" s="2">
        <v>5</v>
      </c>
      <c r="P87" s="2">
        <v>12</v>
      </c>
      <c r="Q87" s="2" t="s">
        <v>3161</v>
      </c>
      <c r="R87" s="2" t="s">
        <v>3162</v>
      </c>
      <c r="S87" s="4">
        <v>44950</v>
      </c>
    </row>
    <row r="88" spans="1:19" ht="12.5" x14ac:dyDescent="0.25">
      <c r="A88" s="14" t="str">
        <f>HYPERLINK("https://gerandofalcoes.my.salesforce.com/0014X00002YgbkmQAB", "0014X00002YgbkmQAB")</f>
        <v>0014X00002YgbkmQAB</v>
      </c>
      <c r="B88" s="2" t="s">
        <v>3796</v>
      </c>
      <c r="C88" s="2" t="s">
        <v>423</v>
      </c>
      <c r="D88" s="2" t="s">
        <v>2</v>
      </c>
      <c r="E88" s="2"/>
      <c r="F88" s="2">
        <v>0</v>
      </c>
      <c r="G88" s="2">
        <v>0</v>
      </c>
      <c r="H88" s="2">
        <v>0</v>
      </c>
      <c r="I88" s="2">
        <v>0</v>
      </c>
      <c r="J88" s="2"/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 t="s">
        <v>3797</v>
      </c>
      <c r="R88" s="2" t="s">
        <v>3797</v>
      </c>
      <c r="S88" s="4">
        <v>44968</v>
      </c>
    </row>
    <row r="89" spans="1:19" ht="12.5" x14ac:dyDescent="0.25">
      <c r="A89" s="14" t="str">
        <f>HYPERLINK("https://gerandofalcoes.my.salesforce.com/0014X00002YggirQAB", "0014X00002YggirQAB")</f>
        <v>0014X00002YggirQAB</v>
      </c>
      <c r="B89" s="2" t="s">
        <v>3213</v>
      </c>
      <c r="C89" s="2" t="s">
        <v>423</v>
      </c>
      <c r="D89" s="2" t="s">
        <v>2</v>
      </c>
      <c r="E89" s="2"/>
      <c r="F89" s="2">
        <v>0</v>
      </c>
      <c r="G89" s="2">
        <v>2</v>
      </c>
      <c r="H89" s="2">
        <v>5000</v>
      </c>
      <c r="I89" s="2">
        <v>100</v>
      </c>
      <c r="J89" s="2"/>
      <c r="K89" s="2">
        <v>21</v>
      </c>
      <c r="L89" s="2">
        <v>0</v>
      </c>
      <c r="M89" s="2">
        <v>0</v>
      </c>
      <c r="N89" s="2">
        <v>6</v>
      </c>
      <c r="O89" s="2">
        <v>5</v>
      </c>
      <c r="P89" s="2">
        <v>10</v>
      </c>
      <c r="Q89" s="2" t="s">
        <v>3214</v>
      </c>
      <c r="R89" s="2" t="s">
        <v>3214</v>
      </c>
      <c r="S89" s="4">
        <v>44951</v>
      </c>
    </row>
    <row r="90" spans="1:19" ht="12.5" x14ac:dyDescent="0.25">
      <c r="A90" s="14" t="str">
        <f>HYPERLINK("https://gerandofalcoes.my.salesforce.com/0014X00002YggnQQAR", "0014X00002YggnQQAR")</f>
        <v>0014X00002YggnQQAR</v>
      </c>
      <c r="B90" s="2" t="s">
        <v>3210</v>
      </c>
      <c r="C90" s="2" t="s">
        <v>423</v>
      </c>
      <c r="D90" s="2" t="s">
        <v>2</v>
      </c>
      <c r="E90" s="2"/>
      <c r="F90" s="2">
        <v>12</v>
      </c>
      <c r="G90" s="2">
        <v>5</v>
      </c>
      <c r="H90" s="2">
        <v>226000</v>
      </c>
      <c r="I90" s="2">
        <v>323</v>
      </c>
      <c r="J90" s="2"/>
      <c r="K90" s="2">
        <v>52</v>
      </c>
      <c r="L90" s="2">
        <v>0</v>
      </c>
      <c r="M90" s="2">
        <v>12</v>
      </c>
      <c r="N90" s="2">
        <v>10</v>
      </c>
      <c r="O90" s="2">
        <v>15</v>
      </c>
      <c r="P90" s="2">
        <v>15</v>
      </c>
      <c r="Q90" s="2" t="s">
        <v>3211</v>
      </c>
      <c r="R90" s="2" t="s">
        <v>3212</v>
      </c>
      <c r="S90" s="4">
        <v>44951</v>
      </c>
    </row>
    <row r="91" spans="1:19" ht="12.5" x14ac:dyDescent="0.25">
      <c r="A91" s="14" t="str">
        <f>HYPERLINK("https://gerandofalcoes.my.salesforce.com/0014X00002YgglxQAB", "0014X00002YgglxQAB")</f>
        <v>0014X00002YgglxQAB</v>
      </c>
      <c r="B91" s="2" t="s">
        <v>3222</v>
      </c>
      <c r="C91" s="2" t="s">
        <v>423</v>
      </c>
      <c r="D91" s="2" t="s">
        <v>2</v>
      </c>
      <c r="E91" s="2"/>
      <c r="F91" s="2">
        <v>0</v>
      </c>
      <c r="G91" s="2">
        <v>2</v>
      </c>
      <c r="H91" s="2">
        <v>2500</v>
      </c>
      <c r="I91" s="2">
        <v>40</v>
      </c>
      <c r="J91" s="2"/>
      <c r="K91" s="2">
        <v>16</v>
      </c>
      <c r="L91" s="2">
        <v>0</v>
      </c>
      <c r="M91" s="2">
        <v>0</v>
      </c>
      <c r="N91" s="2">
        <v>6</v>
      </c>
      <c r="O91" s="2">
        <v>5</v>
      </c>
      <c r="P91" s="2">
        <v>5</v>
      </c>
      <c r="Q91" s="2" t="s">
        <v>3223</v>
      </c>
      <c r="R91" s="2" t="s">
        <v>3224</v>
      </c>
      <c r="S91" s="4">
        <v>44951</v>
      </c>
    </row>
    <row r="92" spans="1:19" ht="12.5" x14ac:dyDescent="0.25">
      <c r="A92" s="14" t="str">
        <f>HYPERLINK("https://gerandofalcoes.my.salesforce.com/0014X00002Yggl7QAB", "0014X00002Yggl7QAB")</f>
        <v>0014X00002Yggl7QAB</v>
      </c>
      <c r="B92" s="2" t="s">
        <v>3204</v>
      </c>
      <c r="C92" s="2" t="s">
        <v>423</v>
      </c>
      <c r="D92" s="2" t="s">
        <v>2</v>
      </c>
      <c r="E92" s="2"/>
      <c r="F92" s="2">
        <v>0</v>
      </c>
      <c r="G92" s="2">
        <v>4</v>
      </c>
      <c r="H92" s="2">
        <v>20000</v>
      </c>
      <c r="I92" s="2">
        <v>2000</v>
      </c>
      <c r="J92" s="2"/>
      <c r="K92" s="2">
        <v>35</v>
      </c>
      <c r="L92" s="2">
        <v>0</v>
      </c>
      <c r="M92" s="2">
        <v>0</v>
      </c>
      <c r="N92" s="2">
        <v>10</v>
      </c>
      <c r="O92" s="2">
        <v>5</v>
      </c>
      <c r="P92" s="2">
        <v>20</v>
      </c>
      <c r="Q92" s="2" t="s">
        <v>3205</v>
      </c>
      <c r="R92" s="2" t="s">
        <v>3206</v>
      </c>
      <c r="S92" s="4">
        <v>44951</v>
      </c>
    </row>
    <row r="93" spans="1:19" ht="12.5" x14ac:dyDescent="0.25">
      <c r="A93" s="14" t="str">
        <f>HYPERLINK("https://gerandofalcoes.my.salesforce.com/0014X00002YggolQAB", "0014X00002YggolQAB")</f>
        <v>0014X00002YggolQAB</v>
      </c>
      <c r="B93" s="2" t="s">
        <v>3215</v>
      </c>
      <c r="C93" s="2" t="s">
        <v>423</v>
      </c>
      <c r="D93" s="2" t="s">
        <v>2</v>
      </c>
      <c r="E93" s="2"/>
      <c r="F93" s="2">
        <v>0</v>
      </c>
      <c r="G93" s="2">
        <v>2</v>
      </c>
      <c r="H93" s="2">
        <v>0</v>
      </c>
      <c r="I93" s="2">
        <v>100</v>
      </c>
      <c r="J93" s="2"/>
      <c r="K93" s="2">
        <v>16</v>
      </c>
      <c r="L93" s="2">
        <v>0</v>
      </c>
      <c r="M93" s="2">
        <v>0</v>
      </c>
      <c r="N93" s="2">
        <v>6</v>
      </c>
      <c r="O93" s="2">
        <v>0</v>
      </c>
      <c r="P93" s="2">
        <v>10</v>
      </c>
      <c r="Q93" s="2" t="s">
        <v>3216</v>
      </c>
      <c r="R93" s="2" t="s">
        <v>3217</v>
      </c>
      <c r="S93" s="4">
        <v>44951</v>
      </c>
    </row>
    <row r="94" spans="1:19" ht="12.5" x14ac:dyDescent="0.25">
      <c r="A94" s="14" t="str">
        <f>HYPERLINK("https://gerandofalcoes.my.salesforce.com/0014X00002YggqZQAR", "0014X00002YggqZQAR")</f>
        <v>0014X00002YggqZQAR</v>
      </c>
      <c r="B94" s="2" t="s">
        <v>3289</v>
      </c>
      <c r="C94" s="2" t="s">
        <v>423</v>
      </c>
      <c r="D94" s="2" t="s">
        <v>2</v>
      </c>
      <c r="E94" s="2"/>
      <c r="F94" s="2">
        <v>5</v>
      </c>
      <c r="G94" s="2">
        <v>3</v>
      </c>
      <c r="H94" s="2">
        <v>1000</v>
      </c>
      <c r="I94" s="2">
        <v>23</v>
      </c>
      <c r="J94" s="2"/>
      <c r="K94" s="2">
        <v>23</v>
      </c>
      <c r="L94" s="2">
        <v>0</v>
      </c>
      <c r="M94" s="2">
        <v>5</v>
      </c>
      <c r="N94" s="2">
        <v>8</v>
      </c>
      <c r="O94" s="2">
        <v>5</v>
      </c>
      <c r="P94" s="2">
        <v>5</v>
      </c>
      <c r="Q94" s="2" t="s">
        <v>3290</v>
      </c>
      <c r="R94" s="2" t="s">
        <v>3290</v>
      </c>
      <c r="S94" s="4">
        <v>44952</v>
      </c>
    </row>
    <row r="95" spans="1:19" ht="12.5" x14ac:dyDescent="0.25">
      <c r="A95" s="14" t="str">
        <f>HYPERLINK("https://gerandofalcoes.my.salesforce.com/0014X00002YggkAQAR", "0014X00002YggkAQAR")</f>
        <v>0014X00002YggkAQAR</v>
      </c>
      <c r="B95" s="2" t="s">
        <v>4569</v>
      </c>
      <c r="C95" s="2" t="s">
        <v>423</v>
      </c>
      <c r="D95" s="2" t="s">
        <v>2</v>
      </c>
      <c r="E95" s="2"/>
      <c r="F95" s="2">
        <v>12</v>
      </c>
      <c r="G95" s="2">
        <v>2</v>
      </c>
      <c r="H95" s="2">
        <v>4000</v>
      </c>
      <c r="I95" s="2">
        <v>0</v>
      </c>
      <c r="J95" s="2"/>
      <c r="K95" s="2">
        <v>23</v>
      </c>
      <c r="L95" s="2">
        <v>0</v>
      </c>
      <c r="M95" s="2">
        <v>12</v>
      </c>
      <c r="N95" s="2">
        <v>6</v>
      </c>
      <c r="O95" s="2">
        <v>5</v>
      </c>
      <c r="P95" s="2">
        <v>0</v>
      </c>
      <c r="Q95" s="2" t="s">
        <v>3256</v>
      </c>
      <c r="R95" s="2" t="s">
        <v>3257</v>
      </c>
      <c r="S95" s="4">
        <v>44952</v>
      </c>
    </row>
    <row r="96" spans="1:19" ht="12.5" x14ac:dyDescent="0.25">
      <c r="A96" s="14" t="str">
        <f>HYPERLINK("https://gerandofalcoes.my.salesforce.com/0014X00002YggnkQAB", "0014X00002YggnkQAB")</f>
        <v>0014X00002YggnkQAB</v>
      </c>
      <c r="B96" s="2" t="s">
        <v>3263</v>
      </c>
      <c r="C96" s="2" t="s">
        <v>423</v>
      </c>
      <c r="D96" s="2" t="s">
        <v>2</v>
      </c>
      <c r="E96" s="2"/>
      <c r="F96" s="2">
        <v>0</v>
      </c>
      <c r="G96" s="2">
        <v>2</v>
      </c>
      <c r="H96" s="2">
        <v>0</v>
      </c>
      <c r="I96" s="2">
        <v>120</v>
      </c>
      <c r="J96" s="2"/>
      <c r="K96" s="2">
        <v>16</v>
      </c>
      <c r="L96" s="2">
        <v>0</v>
      </c>
      <c r="M96" s="2">
        <v>0</v>
      </c>
      <c r="N96" s="2">
        <v>6</v>
      </c>
      <c r="O96" s="2">
        <v>0</v>
      </c>
      <c r="P96" s="2">
        <v>10</v>
      </c>
      <c r="Q96" s="2" t="s">
        <v>3264</v>
      </c>
      <c r="R96" s="2" t="s">
        <v>3264</v>
      </c>
      <c r="S96" s="4">
        <v>44952</v>
      </c>
    </row>
    <row r="97" spans="1:19" ht="12.5" x14ac:dyDescent="0.25">
      <c r="A97" s="14" t="str">
        <f>HYPERLINK("https://gerandofalcoes.my.salesforce.com/0014X00002YgghNQAR", "0014X00002YgghNQAR")</f>
        <v>0014X00002YgghNQAR</v>
      </c>
      <c r="B97" s="2" t="s">
        <v>3268</v>
      </c>
      <c r="C97" s="2" t="s">
        <v>423</v>
      </c>
      <c r="D97" s="2" t="s">
        <v>2</v>
      </c>
      <c r="E97" s="2"/>
      <c r="F97" s="2">
        <v>0</v>
      </c>
      <c r="G97" s="2">
        <v>5</v>
      </c>
      <c r="H97" s="2">
        <v>150</v>
      </c>
      <c r="I97" s="2">
        <v>350</v>
      </c>
      <c r="J97" s="2"/>
      <c r="K97" s="2">
        <v>30</v>
      </c>
      <c r="L97" s="2">
        <v>0</v>
      </c>
      <c r="M97" s="2">
        <v>0</v>
      </c>
      <c r="N97" s="2">
        <v>10</v>
      </c>
      <c r="O97" s="2">
        <v>5</v>
      </c>
      <c r="P97" s="2">
        <v>15</v>
      </c>
      <c r="Q97" s="2" t="s">
        <v>3269</v>
      </c>
      <c r="R97" s="2" t="s">
        <v>3269</v>
      </c>
      <c r="S97" s="4">
        <v>44952</v>
      </c>
    </row>
    <row r="98" spans="1:19" ht="12.5" x14ac:dyDescent="0.25">
      <c r="A98" s="14" t="str">
        <f>HYPERLINK("https://gerandofalcoes.my.salesforce.com/0014X00002Yggo7QAB", "0014X00002Yggo7QAB")</f>
        <v>0014X00002Yggo7QAB</v>
      </c>
      <c r="B98" s="2" t="s">
        <v>3270</v>
      </c>
      <c r="C98" s="2" t="s">
        <v>423</v>
      </c>
      <c r="D98" s="2" t="s">
        <v>2</v>
      </c>
      <c r="E98" s="2"/>
      <c r="F98" s="2">
        <v>0</v>
      </c>
      <c r="G98" s="2">
        <v>2</v>
      </c>
      <c r="H98" s="2">
        <v>9000</v>
      </c>
      <c r="I98" s="2">
        <v>300</v>
      </c>
      <c r="J98" s="2"/>
      <c r="K98" s="2">
        <v>26</v>
      </c>
      <c r="L98" s="2">
        <v>0</v>
      </c>
      <c r="M98" s="2">
        <v>0</v>
      </c>
      <c r="N98" s="2">
        <v>6</v>
      </c>
      <c r="O98" s="2">
        <v>5</v>
      </c>
      <c r="P98" s="2">
        <v>15</v>
      </c>
      <c r="Q98" s="2" t="s">
        <v>3271</v>
      </c>
      <c r="R98" s="2" t="s">
        <v>3271</v>
      </c>
      <c r="S98" s="4">
        <v>44952</v>
      </c>
    </row>
    <row r="99" spans="1:19" ht="12.5" x14ac:dyDescent="0.25">
      <c r="A99" s="14" t="str">
        <f>HYPERLINK("https://gerandofalcoes.my.salesforce.com/0014X00002YggmJQAR", "0014X00002YggmJQAR")</f>
        <v>0014X00002YggmJQAR</v>
      </c>
      <c r="B99" s="2" t="s">
        <v>3343</v>
      </c>
      <c r="C99" s="2" t="s">
        <v>423</v>
      </c>
      <c r="D99" s="2" t="s">
        <v>2</v>
      </c>
      <c r="E99" s="2"/>
      <c r="F99" s="2">
        <v>0</v>
      </c>
      <c r="G99" s="2">
        <v>2</v>
      </c>
      <c r="H99" s="2">
        <v>15000</v>
      </c>
      <c r="I99" s="2">
        <v>130</v>
      </c>
      <c r="J99" s="2"/>
      <c r="K99" s="2">
        <v>21</v>
      </c>
      <c r="L99" s="2">
        <v>0</v>
      </c>
      <c r="M99" s="2">
        <v>0</v>
      </c>
      <c r="N99" s="2">
        <v>6</v>
      </c>
      <c r="O99" s="2">
        <v>5</v>
      </c>
      <c r="P99" s="2">
        <v>10</v>
      </c>
      <c r="Q99" s="2" t="s">
        <v>3344</v>
      </c>
      <c r="R99" s="2" t="s">
        <v>3345</v>
      </c>
      <c r="S99" s="4">
        <v>44953</v>
      </c>
    </row>
    <row r="100" spans="1:19" ht="12.5" x14ac:dyDescent="0.25">
      <c r="A100" s="14" t="str">
        <f>HYPERLINK("https://gerandofalcoes.my.salesforce.com/0014X00002Yggq6QAB", "0014X00002Yggq6QAB")</f>
        <v>0014X00002Yggq6QAB</v>
      </c>
      <c r="B100" s="2" t="s">
        <v>3328</v>
      </c>
      <c r="C100" s="2" t="s">
        <v>423</v>
      </c>
      <c r="D100" s="2" t="s">
        <v>2</v>
      </c>
      <c r="E100" s="2"/>
      <c r="F100" s="2">
        <v>0</v>
      </c>
      <c r="G100" s="2">
        <v>3</v>
      </c>
      <c r="H100" s="2">
        <v>3500</v>
      </c>
      <c r="I100" s="2">
        <v>30</v>
      </c>
      <c r="J100" s="2"/>
      <c r="K100" s="2">
        <v>18</v>
      </c>
      <c r="L100" s="2">
        <v>0</v>
      </c>
      <c r="M100" s="2">
        <v>0</v>
      </c>
      <c r="N100" s="2">
        <v>8</v>
      </c>
      <c r="O100" s="2">
        <v>5</v>
      </c>
      <c r="P100" s="2">
        <v>5</v>
      </c>
      <c r="Q100" s="2" t="s">
        <v>3329</v>
      </c>
      <c r="R100" s="2" t="s">
        <v>3330</v>
      </c>
      <c r="S100" s="4">
        <v>44953</v>
      </c>
    </row>
    <row r="101" spans="1:19" ht="12.5" x14ac:dyDescent="0.25">
      <c r="A101" s="14" t="str">
        <f>HYPERLINK("https://gerandofalcoes.my.salesforce.com/0014X00002Yggk6QAB", "0014X00002Yggk6QAB")</f>
        <v>0014X00002Yggk6QAB</v>
      </c>
      <c r="B101" s="2" t="s">
        <v>3370</v>
      </c>
      <c r="C101" s="2" t="s">
        <v>423</v>
      </c>
      <c r="D101" s="2" t="s">
        <v>2</v>
      </c>
      <c r="E101" s="2"/>
      <c r="F101" s="2">
        <v>0</v>
      </c>
      <c r="G101" s="2">
        <v>2</v>
      </c>
      <c r="H101" s="2">
        <v>1000</v>
      </c>
      <c r="I101" s="2">
        <v>20</v>
      </c>
      <c r="J101" s="2"/>
      <c r="K101" s="2">
        <v>16</v>
      </c>
      <c r="L101" s="2">
        <v>0</v>
      </c>
      <c r="M101" s="2">
        <v>0</v>
      </c>
      <c r="N101" s="2">
        <v>6</v>
      </c>
      <c r="O101" s="2">
        <v>5</v>
      </c>
      <c r="P101" s="2">
        <v>5</v>
      </c>
      <c r="Q101" s="2" t="s">
        <v>3371</v>
      </c>
      <c r="R101" s="2" t="s">
        <v>3371</v>
      </c>
      <c r="S101" s="4">
        <v>44953</v>
      </c>
    </row>
    <row r="102" spans="1:19" ht="12.5" x14ac:dyDescent="0.25">
      <c r="A102" s="14" t="str">
        <f>HYPERLINK("https://gerandofalcoes.my.salesforce.com/0014X00002YggnjQAB", "0014X00002YggnjQAB")</f>
        <v>0014X00002YggnjQAB</v>
      </c>
      <c r="B102" s="2" t="s">
        <v>3346</v>
      </c>
      <c r="C102" s="2" t="s">
        <v>423</v>
      </c>
      <c r="D102" s="2" t="s">
        <v>2</v>
      </c>
      <c r="E102" s="2"/>
      <c r="F102" s="2">
        <v>9</v>
      </c>
      <c r="G102" s="2">
        <v>3</v>
      </c>
      <c r="H102" s="2">
        <v>2500</v>
      </c>
      <c r="I102" s="2">
        <v>120</v>
      </c>
      <c r="J102" s="2"/>
      <c r="K102" s="2">
        <v>33</v>
      </c>
      <c r="L102" s="2">
        <v>0</v>
      </c>
      <c r="M102" s="2">
        <v>10</v>
      </c>
      <c r="N102" s="2">
        <v>8</v>
      </c>
      <c r="O102" s="2">
        <v>5</v>
      </c>
      <c r="P102" s="2">
        <v>10</v>
      </c>
      <c r="Q102" s="2" t="s">
        <v>3347</v>
      </c>
      <c r="R102" s="2" t="s">
        <v>3348</v>
      </c>
      <c r="S102" s="4">
        <v>44953</v>
      </c>
    </row>
    <row r="103" spans="1:19" ht="12.5" x14ac:dyDescent="0.25">
      <c r="A103" s="14" t="str">
        <f>HYPERLINK("https://gerandofalcoes.my.salesforce.com/0014X00002YggiBQAR", "0014X00002YggiBQAR")</f>
        <v>0014X00002YggiBQAR</v>
      </c>
      <c r="B103" s="2" t="s">
        <v>3322</v>
      </c>
      <c r="C103" s="2" t="s">
        <v>423</v>
      </c>
      <c r="D103" s="2" t="s">
        <v>2</v>
      </c>
      <c r="E103" s="2"/>
      <c r="F103" s="2">
        <v>123</v>
      </c>
      <c r="G103" s="2">
        <v>5</v>
      </c>
      <c r="H103" s="2">
        <v>20000</v>
      </c>
      <c r="I103" s="2">
        <v>100</v>
      </c>
      <c r="J103" s="2"/>
      <c r="K103" s="2">
        <v>40</v>
      </c>
      <c r="L103" s="2">
        <v>0</v>
      </c>
      <c r="M103" s="2">
        <v>15</v>
      </c>
      <c r="N103" s="2">
        <v>10</v>
      </c>
      <c r="O103" s="2">
        <v>5</v>
      </c>
      <c r="P103" s="2">
        <v>10</v>
      </c>
      <c r="Q103" s="2" t="s">
        <v>3323</v>
      </c>
      <c r="R103" s="2" t="s">
        <v>3324</v>
      </c>
      <c r="S103" s="4">
        <v>44953</v>
      </c>
    </row>
    <row r="104" spans="1:19" ht="12.5" x14ac:dyDescent="0.25">
      <c r="A104" s="14" t="str">
        <f>HYPERLINK("https://gerandofalcoes.my.salesforce.com/0014X00002YggnRQAR", "0014X00002YggnRQAR")</f>
        <v>0014X00002YggnRQAR</v>
      </c>
      <c r="B104" s="2" t="s">
        <v>3392</v>
      </c>
      <c r="C104" s="2" t="s">
        <v>423</v>
      </c>
      <c r="D104" s="2" t="s">
        <v>2</v>
      </c>
      <c r="E104" s="2"/>
      <c r="F104" s="2">
        <v>4</v>
      </c>
      <c r="G104" s="2">
        <v>4</v>
      </c>
      <c r="H104" s="2">
        <v>10000</v>
      </c>
      <c r="I104" s="2">
        <v>400</v>
      </c>
      <c r="J104" s="2"/>
      <c r="K104" s="2">
        <v>35</v>
      </c>
      <c r="L104" s="2">
        <v>0</v>
      </c>
      <c r="M104" s="2">
        <v>5</v>
      </c>
      <c r="N104" s="2">
        <v>10</v>
      </c>
      <c r="O104" s="2">
        <v>5</v>
      </c>
      <c r="P104" s="2">
        <v>15</v>
      </c>
      <c r="Q104" s="2" t="s">
        <v>3393</v>
      </c>
      <c r="R104" s="2" t="s">
        <v>3394</v>
      </c>
      <c r="S104" s="4">
        <v>44958</v>
      </c>
    </row>
    <row r="105" spans="1:19" ht="12.5" x14ac:dyDescent="0.25">
      <c r="A105" s="14" t="str">
        <f>HYPERLINK("https://gerandofalcoes.my.salesforce.com/0014X00002YgbkPQAR", "0014X00002YgbkPQAR")</f>
        <v>0014X00002YgbkPQAR</v>
      </c>
      <c r="B105" s="2" t="s">
        <v>3515</v>
      </c>
      <c r="C105" s="2" t="s">
        <v>423</v>
      </c>
      <c r="D105" s="2" t="s">
        <v>2</v>
      </c>
      <c r="E105" s="2"/>
      <c r="F105" s="2">
        <v>0</v>
      </c>
      <c r="G105" s="2">
        <v>0</v>
      </c>
      <c r="H105" s="2">
        <v>0</v>
      </c>
      <c r="I105" s="2">
        <v>0</v>
      </c>
      <c r="J105" s="2"/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 t="s">
        <v>3516</v>
      </c>
      <c r="R105" s="2" t="s">
        <v>3516</v>
      </c>
      <c r="S105" s="4">
        <v>44958</v>
      </c>
    </row>
    <row r="106" spans="1:19" ht="12.5" x14ac:dyDescent="0.25">
      <c r="A106" s="14" t="str">
        <f>HYPERLINK("https://gerandofalcoes.my.salesforce.com/0014X00002YgggLQAR", "0014X00002YgggLQAR")</f>
        <v>0014X00002YgggLQAR</v>
      </c>
      <c r="B106" s="2" t="s">
        <v>3486</v>
      </c>
      <c r="C106" s="2" t="s">
        <v>423</v>
      </c>
      <c r="D106" s="2" t="s">
        <v>2</v>
      </c>
      <c r="E106" s="2"/>
      <c r="F106" s="2">
        <v>10</v>
      </c>
      <c r="G106" s="2">
        <v>4</v>
      </c>
      <c r="H106" s="2">
        <v>208</v>
      </c>
      <c r="I106" s="2">
        <v>108</v>
      </c>
      <c r="J106" s="2"/>
      <c r="K106" s="2">
        <v>35</v>
      </c>
      <c r="L106" s="2">
        <v>0</v>
      </c>
      <c r="M106" s="2">
        <v>10</v>
      </c>
      <c r="N106" s="2">
        <v>10</v>
      </c>
      <c r="O106" s="2">
        <v>5</v>
      </c>
      <c r="P106" s="2">
        <v>10</v>
      </c>
      <c r="Q106" s="2" t="s">
        <v>3487</v>
      </c>
      <c r="R106" s="2" t="s">
        <v>3488</v>
      </c>
      <c r="S106" s="4">
        <v>44958</v>
      </c>
    </row>
    <row r="107" spans="1:19" ht="12.5" x14ac:dyDescent="0.25">
      <c r="A107" s="14" t="str">
        <f>HYPERLINK("https://gerandofalcoes.my.salesforce.com/0014X00002YgbkgQAB", "0014X00002YgbkgQAB")</f>
        <v>0014X00002YgbkgQAB</v>
      </c>
      <c r="B107" s="2" t="s">
        <v>3517</v>
      </c>
      <c r="C107" s="2" t="s">
        <v>423</v>
      </c>
      <c r="D107" s="2" t="s">
        <v>2</v>
      </c>
      <c r="E107" s="2"/>
      <c r="F107" s="2">
        <v>0</v>
      </c>
      <c r="G107" s="2">
        <v>0</v>
      </c>
      <c r="H107" s="2">
        <v>0</v>
      </c>
      <c r="I107" s="2">
        <v>0</v>
      </c>
      <c r="J107" s="2"/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 t="s">
        <v>3518</v>
      </c>
      <c r="R107" s="2" t="s">
        <v>3518</v>
      </c>
      <c r="S107" s="4">
        <v>44958</v>
      </c>
    </row>
    <row r="108" spans="1:19" ht="12.5" x14ac:dyDescent="0.25">
      <c r="A108" s="14" t="str">
        <f>HYPERLINK("https://gerandofalcoes.my.salesforce.com/0014X00002Yggh4QAB", "0014X00002Yggh4QAB")</f>
        <v>0014X00002Yggh4QAB</v>
      </c>
      <c r="B108" s="2" t="s">
        <v>3505</v>
      </c>
      <c r="C108" s="2" t="s">
        <v>423</v>
      </c>
      <c r="D108" s="2" t="s">
        <v>2</v>
      </c>
      <c r="E108" s="2"/>
      <c r="F108" s="2">
        <v>0</v>
      </c>
      <c r="G108" s="2">
        <v>2</v>
      </c>
      <c r="H108" s="2">
        <v>45000</v>
      </c>
      <c r="I108" s="2">
        <v>20</v>
      </c>
      <c r="J108" s="2"/>
      <c r="K108" s="2">
        <v>21</v>
      </c>
      <c r="L108" s="2">
        <v>0</v>
      </c>
      <c r="M108" s="2">
        <v>0</v>
      </c>
      <c r="N108" s="2">
        <v>6</v>
      </c>
      <c r="O108" s="2">
        <v>10</v>
      </c>
      <c r="P108" s="2">
        <v>5</v>
      </c>
      <c r="Q108" s="2" t="s">
        <v>3506</v>
      </c>
      <c r="R108" s="2" t="s">
        <v>3507</v>
      </c>
      <c r="S108" s="4">
        <v>44958</v>
      </c>
    </row>
    <row r="109" spans="1:19" ht="12.5" x14ac:dyDescent="0.25">
      <c r="A109" s="14" t="str">
        <f>HYPERLINK("https://gerandofalcoes.my.salesforce.com/0014X00002Yggh5QAB", "0014X00002Yggh5QAB")</f>
        <v>0014X00002Yggh5QAB</v>
      </c>
      <c r="B109" s="2" t="s">
        <v>3397</v>
      </c>
      <c r="C109" s="2" t="s">
        <v>423</v>
      </c>
      <c r="D109" s="2" t="s">
        <v>2</v>
      </c>
      <c r="E109" s="2"/>
      <c r="F109" s="2">
        <v>0</v>
      </c>
      <c r="G109" s="2">
        <v>2</v>
      </c>
      <c r="H109" s="2">
        <v>0</v>
      </c>
      <c r="I109" s="2">
        <v>120</v>
      </c>
      <c r="J109" s="2"/>
      <c r="K109" s="2">
        <v>16</v>
      </c>
      <c r="L109" s="2">
        <v>0</v>
      </c>
      <c r="M109" s="2">
        <v>0</v>
      </c>
      <c r="N109" s="2">
        <v>6</v>
      </c>
      <c r="O109" s="2">
        <v>0</v>
      </c>
      <c r="P109" s="2">
        <v>10</v>
      </c>
      <c r="Q109" s="2" t="s">
        <v>3398</v>
      </c>
      <c r="R109" s="2" t="s">
        <v>3399</v>
      </c>
      <c r="S109" s="4">
        <v>44958</v>
      </c>
    </row>
    <row r="110" spans="1:19" ht="12.5" x14ac:dyDescent="0.25">
      <c r="A110" s="14" t="str">
        <f>HYPERLINK("https://gerandofalcoes.my.salesforce.com/0014X00002YgghlQAB", "0014X00002YgghlQAB")</f>
        <v>0014X00002YgghlQAB</v>
      </c>
      <c r="B110" s="2" t="s">
        <v>3458</v>
      </c>
      <c r="C110" s="2" t="s">
        <v>423</v>
      </c>
      <c r="D110" s="2" t="s">
        <v>2</v>
      </c>
      <c r="E110" s="2"/>
      <c r="F110" s="2">
        <v>4</v>
      </c>
      <c r="G110" s="2">
        <v>5</v>
      </c>
      <c r="H110" s="2">
        <v>4000</v>
      </c>
      <c r="I110" s="2">
        <v>0</v>
      </c>
      <c r="J110" s="2"/>
      <c r="K110" s="2">
        <v>20</v>
      </c>
      <c r="L110" s="2">
        <v>0</v>
      </c>
      <c r="M110" s="2">
        <v>5</v>
      </c>
      <c r="N110" s="2">
        <v>10</v>
      </c>
      <c r="O110" s="2">
        <v>5</v>
      </c>
      <c r="P110" s="2">
        <v>0</v>
      </c>
      <c r="Q110" s="2" t="s">
        <v>3459</v>
      </c>
      <c r="R110" s="2" t="s">
        <v>3460</v>
      </c>
      <c r="S110" s="4">
        <v>44958</v>
      </c>
    </row>
    <row r="111" spans="1:19" ht="12.5" x14ac:dyDescent="0.25">
      <c r="A111" s="14" t="str">
        <f>HYPERLINK("https://gerandofalcoes.my.salesforce.com/0014X00002bCk8nQAC", "0014X00002bCk8nQAC")</f>
        <v>0014X00002bCk8nQAC</v>
      </c>
      <c r="B111" s="2" t="s">
        <v>3479</v>
      </c>
      <c r="C111" s="2" t="s">
        <v>423</v>
      </c>
      <c r="D111" s="2" t="s">
        <v>2</v>
      </c>
      <c r="E111" s="2"/>
      <c r="F111" s="2">
        <v>0</v>
      </c>
      <c r="G111" s="2">
        <v>2</v>
      </c>
      <c r="H111" s="2">
        <v>5000</v>
      </c>
      <c r="I111" s="2">
        <v>200</v>
      </c>
      <c r="J111" s="2"/>
      <c r="K111" s="2">
        <v>23</v>
      </c>
      <c r="L111" s="2">
        <v>0</v>
      </c>
      <c r="M111" s="2">
        <v>0</v>
      </c>
      <c r="N111" s="2">
        <v>6</v>
      </c>
      <c r="O111" s="2">
        <v>5</v>
      </c>
      <c r="P111" s="2">
        <v>12</v>
      </c>
      <c r="Q111" s="2" t="s">
        <v>3480</v>
      </c>
      <c r="R111" s="2" t="s">
        <v>3480</v>
      </c>
      <c r="S111" s="4">
        <v>44958</v>
      </c>
    </row>
    <row r="112" spans="1:19" ht="12.5" x14ac:dyDescent="0.25">
      <c r="A112" s="14" t="str">
        <f>HYPERLINK("https://gerandofalcoes.my.salesforce.com/0014X00002YggnNQAR", "0014X00002YggnNQAR")</f>
        <v>0014X00002YggnNQAR</v>
      </c>
      <c r="B112" s="2" t="s">
        <v>3403</v>
      </c>
      <c r="C112" s="2" t="s">
        <v>423</v>
      </c>
      <c r="D112" s="2" t="s">
        <v>2</v>
      </c>
      <c r="E112" s="2"/>
      <c r="F112" s="2">
        <v>5</v>
      </c>
      <c r="G112" s="2">
        <v>2</v>
      </c>
      <c r="H112" s="2">
        <v>5400</v>
      </c>
      <c r="I112" s="2">
        <v>0</v>
      </c>
      <c r="J112" s="2"/>
      <c r="K112" s="2">
        <v>16</v>
      </c>
      <c r="L112" s="2">
        <v>0</v>
      </c>
      <c r="M112" s="2">
        <v>5</v>
      </c>
      <c r="N112" s="2">
        <v>6</v>
      </c>
      <c r="O112" s="2">
        <v>5</v>
      </c>
      <c r="P112" s="2">
        <v>0</v>
      </c>
      <c r="Q112" s="2" t="s">
        <v>3404</v>
      </c>
      <c r="R112" s="2" t="s">
        <v>3404</v>
      </c>
      <c r="S112" s="4">
        <v>44958</v>
      </c>
    </row>
    <row r="113" spans="1:19" ht="12.5" x14ac:dyDescent="0.25">
      <c r="A113" s="14" t="str">
        <f>HYPERLINK("https://gerandofalcoes.my.salesforce.com/0014X00002YggnCQAR", "0014X00002YggnCQAR")</f>
        <v>0014X00002YggnCQAR</v>
      </c>
      <c r="B113" s="2" t="s">
        <v>3427</v>
      </c>
      <c r="C113" s="2" t="s">
        <v>423</v>
      </c>
      <c r="D113" s="2" t="s">
        <v>2</v>
      </c>
      <c r="E113" s="2"/>
      <c r="F113" s="2">
        <v>10</v>
      </c>
      <c r="G113" s="2">
        <v>6</v>
      </c>
      <c r="H113" s="2">
        <v>11000</v>
      </c>
      <c r="I113" s="2">
        <v>30</v>
      </c>
      <c r="J113" s="2"/>
      <c r="K113" s="2">
        <v>30</v>
      </c>
      <c r="L113" s="2">
        <v>0</v>
      </c>
      <c r="M113" s="2">
        <v>10</v>
      </c>
      <c r="N113" s="2">
        <v>10</v>
      </c>
      <c r="O113" s="2">
        <v>5</v>
      </c>
      <c r="P113" s="2">
        <v>5</v>
      </c>
      <c r="Q113" s="2" t="s">
        <v>3428</v>
      </c>
      <c r="R113" s="2" t="s">
        <v>3428</v>
      </c>
      <c r="S113" s="4">
        <v>44958</v>
      </c>
    </row>
    <row r="114" spans="1:19" ht="12.5" x14ac:dyDescent="0.25">
      <c r="A114" s="14" t="str">
        <f>HYPERLINK("https://gerandofalcoes.my.salesforce.com/0014X00002YggqaQAB", "0014X00002YggqaQAB")</f>
        <v>0014X00002YggqaQAB</v>
      </c>
      <c r="B114" s="2" t="s">
        <v>3424</v>
      </c>
      <c r="C114" s="2" t="s">
        <v>423</v>
      </c>
      <c r="D114" s="2" t="s">
        <v>2</v>
      </c>
      <c r="E114" s="2"/>
      <c r="F114" s="2">
        <v>0</v>
      </c>
      <c r="G114" s="2">
        <v>2</v>
      </c>
      <c r="H114" s="2">
        <v>2000</v>
      </c>
      <c r="I114" s="2">
        <v>400</v>
      </c>
      <c r="J114" s="2"/>
      <c r="K114" s="2">
        <v>26</v>
      </c>
      <c r="L114" s="2">
        <v>0</v>
      </c>
      <c r="M114" s="2">
        <v>0</v>
      </c>
      <c r="N114" s="2">
        <v>6</v>
      </c>
      <c r="O114" s="2">
        <v>5</v>
      </c>
      <c r="P114" s="2">
        <v>15</v>
      </c>
      <c r="Q114" s="2" t="s">
        <v>3425</v>
      </c>
      <c r="R114" s="2" t="s">
        <v>3426</v>
      </c>
      <c r="S114" s="4">
        <v>44958</v>
      </c>
    </row>
    <row r="115" spans="1:19" ht="12.5" x14ac:dyDescent="0.25">
      <c r="A115" s="14" t="str">
        <f>HYPERLINK("https://gerandofalcoes.my.salesforce.com/0014X00002YggqqQAB", "0014X00002YggqqQAB")</f>
        <v>0014X00002YggqqQAB</v>
      </c>
      <c r="B115" s="2" t="s">
        <v>3503</v>
      </c>
      <c r="C115" s="2" t="s">
        <v>423</v>
      </c>
      <c r="D115" s="2" t="s">
        <v>2</v>
      </c>
      <c r="E115" s="2"/>
      <c r="F115" s="2">
        <v>1</v>
      </c>
      <c r="G115" s="2">
        <v>2</v>
      </c>
      <c r="H115" s="2">
        <v>5000</v>
      </c>
      <c r="I115" s="2">
        <v>25</v>
      </c>
      <c r="J115" s="2"/>
      <c r="K115" s="2">
        <v>21</v>
      </c>
      <c r="L115" s="2">
        <v>0</v>
      </c>
      <c r="M115" s="2">
        <v>5</v>
      </c>
      <c r="N115" s="2">
        <v>6</v>
      </c>
      <c r="O115" s="2">
        <v>5</v>
      </c>
      <c r="P115" s="2">
        <v>5</v>
      </c>
      <c r="Q115" s="2" t="s">
        <v>3504</v>
      </c>
      <c r="R115" s="2" t="s">
        <v>3504</v>
      </c>
      <c r="S115" s="4">
        <v>44958</v>
      </c>
    </row>
    <row r="116" spans="1:19" ht="12.5" x14ac:dyDescent="0.25">
      <c r="A116" s="14" t="str">
        <f>HYPERLINK("https://gerandofalcoes.my.salesforce.com/0014X00002YggqvQAB", "0014X00002YggqvQAB")</f>
        <v>0014X00002YggqvQAB</v>
      </c>
      <c r="B116" s="2" t="s">
        <v>3435</v>
      </c>
      <c r="C116" s="2" t="s">
        <v>423</v>
      </c>
      <c r="D116" s="2" t="s">
        <v>2</v>
      </c>
      <c r="E116" s="2"/>
      <c r="F116" s="2">
        <v>0</v>
      </c>
      <c r="G116" s="2">
        <v>3</v>
      </c>
      <c r="H116" s="2">
        <v>24000</v>
      </c>
      <c r="I116" s="2">
        <v>0</v>
      </c>
      <c r="J116" s="2"/>
      <c r="K116" s="2">
        <v>13</v>
      </c>
      <c r="L116" s="2">
        <v>0</v>
      </c>
      <c r="M116" s="2">
        <v>0</v>
      </c>
      <c r="N116" s="2">
        <v>8</v>
      </c>
      <c r="O116" s="2">
        <v>5</v>
      </c>
      <c r="P116" s="2">
        <v>0</v>
      </c>
      <c r="Q116" s="2" t="s">
        <v>3436</v>
      </c>
      <c r="R116" s="2" t="s">
        <v>3437</v>
      </c>
      <c r="S116" s="4">
        <v>44958</v>
      </c>
    </row>
    <row r="117" spans="1:19" ht="12.5" x14ac:dyDescent="0.25">
      <c r="A117" s="14" t="str">
        <f>HYPERLINK("https://gerandofalcoes.my.salesforce.com/0014X00002YgggWQAR", "0014X00002YgggWQAR")</f>
        <v>0014X00002YgggWQAR</v>
      </c>
      <c r="B117" s="2" t="s">
        <v>3476</v>
      </c>
      <c r="C117" s="2" t="s">
        <v>423</v>
      </c>
      <c r="D117" s="2" t="s">
        <v>2</v>
      </c>
      <c r="E117" s="2"/>
      <c r="F117" s="2">
        <v>0</v>
      </c>
      <c r="G117" s="2">
        <v>2</v>
      </c>
      <c r="H117" s="2">
        <v>0</v>
      </c>
      <c r="I117" s="2">
        <v>250</v>
      </c>
      <c r="J117" s="2"/>
      <c r="K117" s="2">
        <v>18</v>
      </c>
      <c r="L117" s="2">
        <v>0</v>
      </c>
      <c r="M117" s="2">
        <v>0</v>
      </c>
      <c r="N117" s="2">
        <v>6</v>
      </c>
      <c r="O117" s="2">
        <v>0</v>
      </c>
      <c r="P117" s="2">
        <v>12</v>
      </c>
      <c r="Q117" s="2" t="s">
        <v>3477</v>
      </c>
      <c r="R117" s="2" t="s">
        <v>3478</v>
      </c>
      <c r="S117" s="4">
        <v>44958</v>
      </c>
    </row>
    <row r="118" spans="1:19" ht="12.5" x14ac:dyDescent="0.25">
      <c r="A118" s="14" t="str">
        <f>HYPERLINK("https://gerandofalcoes.my.salesforce.com/0014X00002YggmkQAB", "0014X00002YggmkQAB")</f>
        <v>0014X00002YggmkQAB</v>
      </c>
      <c r="B118" s="2" t="s">
        <v>3408</v>
      </c>
      <c r="C118" s="2" t="s">
        <v>423</v>
      </c>
      <c r="D118" s="2" t="s">
        <v>2</v>
      </c>
      <c r="E118" s="2"/>
      <c r="F118" s="2">
        <v>8</v>
      </c>
      <c r="G118" s="2">
        <v>6</v>
      </c>
      <c r="H118" s="2">
        <v>30000</v>
      </c>
      <c r="I118" s="2">
        <v>80</v>
      </c>
      <c r="J118" s="2"/>
      <c r="K118" s="2">
        <v>40</v>
      </c>
      <c r="L118" s="2">
        <v>0</v>
      </c>
      <c r="M118" s="2">
        <v>10</v>
      </c>
      <c r="N118" s="2">
        <v>10</v>
      </c>
      <c r="O118" s="2">
        <v>10</v>
      </c>
      <c r="P118" s="2">
        <v>10</v>
      </c>
      <c r="Q118" s="2" t="s">
        <v>3409</v>
      </c>
      <c r="R118" s="2" t="s">
        <v>3409</v>
      </c>
      <c r="S118" s="4">
        <v>44958</v>
      </c>
    </row>
    <row r="119" spans="1:19" ht="12.5" x14ac:dyDescent="0.25">
      <c r="A119" s="14" t="str">
        <f>HYPERLINK("https://gerandofalcoes.my.salesforce.com/0014X00002YgghyQAB", "0014X00002YgghyQAB")</f>
        <v>0014X00002YgghyQAB</v>
      </c>
      <c r="B119" s="2" t="s">
        <v>3421</v>
      </c>
      <c r="C119" s="2" t="s">
        <v>423</v>
      </c>
      <c r="D119" s="2" t="s">
        <v>2</v>
      </c>
      <c r="E119" s="2"/>
      <c r="F119" s="2">
        <v>3</v>
      </c>
      <c r="G119" s="2">
        <v>4</v>
      </c>
      <c r="H119" s="2">
        <v>50000</v>
      </c>
      <c r="I119" s="2">
        <v>100</v>
      </c>
      <c r="J119" s="2"/>
      <c r="K119" s="2">
        <v>35</v>
      </c>
      <c r="L119" s="2">
        <v>0</v>
      </c>
      <c r="M119" s="2">
        <v>5</v>
      </c>
      <c r="N119" s="2">
        <v>10</v>
      </c>
      <c r="O119" s="2">
        <v>10</v>
      </c>
      <c r="P119" s="2">
        <v>10</v>
      </c>
      <c r="Q119" s="2" t="s">
        <v>3422</v>
      </c>
      <c r="R119" s="2" t="s">
        <v>3423</v>
      </c>
      <c r="S119" s="4">
        <v>44958</v>
      </c>
    </row>
    <row r="120" spans="1:19" ht="12.5" x14ac:dyDescent="0.25">
      <c r="A120" s="14" t="str">
        <f>HYPERLINK("https://gerandofalcoes.my.salesforce.com/0014X00002YggqLQAR", "0014X00002YggqLQAR")</f>
        <v>0014X00002YggqLQAR</v>
      </c>
      <c r="B120" s="2" t="s">
        <v>3500</v>
      </c>
      <c r="C120" s="2" t="s">
        <v>423</v>
      </c>
      <c r="D120" s="2" t="s">
        <v>2</v>
      </c>
      <c r="E120" s="2"/>
      <c r="F120" s="2">
        <v>0</v>
      </c>
      <c r="G120" s="2">
        <v>2</v>
      </c>
      <c r="H120" s="2">
        <v>400</v>
      </c>
      <c r="I120" s="2">
        <v>30</v>
      </c>
      <c r="J120" s="2"/>
      <c r="K120" s="2">
        <v>16</v>
      </c>
      <c r="L120" s="2">
        <v>0</v>
      </c>
      <c r="M120" s="2">
        <v>0</v>
      </c>
      <c r="N120" s="2">
        <v>6</v>
      </c>
      <c r="O120" s="2">
        <v>5</v>
      </c>
      <c r="P120" s="2">
        <v>5</v>
      </c>
      <c r="Q120" s="2" t="s">
        <v>3501</v>
      </c>
      <c r="R120" s="2" t="s">
        <v>3502</v>
      </c>
      <c r="S120" s="4">
        <v>44958</v>
      </c>
    </row>
    <row r="121" spans="1:19" ht="12.5" x14ac:dyDescent="0.25">
      <c r="A121" s="14" t="str">
        <f>HYPERLINK("https://gerandofalcoes.my.salesforce.com/0014X00002Yggi1QAB", "0014X00002Yggi1QAB")</f>
        <v>0014X00002Yggi1QAB</v>
      </c>
      <c r="B121" s="2" t="s">
        <v>3444</v>
      </c>
      <c r="C121" s="2" t="s">
        <v>423</v>
      </c>
      <c r="D121" s="2" t="s">
        <v>2</v>
      </c>
      <c r="E121" s="2"/>
      <c r="F121" s="2">
        <v>0</v>
      </c>
      <c r="G121" s="2">
        <v>2</v>
      </c>
      <c r="H121" s="2">
        <v>500</v>
      </c>
      <c r="I121" s="2">
        <v>0</v>
      </c>
      <c r="J121" s="2"/>
      <c r="K121" s="2">
        <v>11</v>
      </c>
      <c r="L121" s="2">
        <v>0</v>
      </c>
      <c r="M121" s="2">
        <v>0</v>
      </c>
      <c r="N121" s="2">
        <v>6</v>
      </c>
      <c r="O121" s="2">
        <v>5</v>
      </c>
      <c r="P121" s="2">
        <v>0</v>
      </c>
      <c r="Q121" s="2" t="s">
        <v>3445</v>
      </c>
      <c r="R121" s="2" t="s">
        <v>3446</v>
      </c>
      <c r="S121" s="4">
        <v>44958</v>
      </c>
    </row>
    <row r="122" spans="1:19" ht="12.5" x14ac:dyDescent="0.25">
      <c r="A122" s="14" t="str">
        <f>HYPERLINK("https://gerandofalcoes.my.salesforce.com/0014X00002YggiHQAR", "0014X00002YggiHQAR")</f>
        <v>0014X00002YggiHQAR</v>
      </c>
      <c r="B122" s="2" t="s">
        <v>3410</v>
      </c>
      <c r="C122" s="2" t="s">
        <v>423</v>
      </c>
      <c r="D122" s="2" t="s">
        <v>2</v>
      </c>
      <c r="E122" s="2"/>
      <c r="F122" s="2">
        <v>3</v>
      </c>
      <c r="G122" s="2">
        <v>2</v>
      </c>
      <c r="H122" s="2">
        <v>198540</v>
      </c>
      <c r="I122" s="2">
        <v>30</v>
      </c>
      <c r="J122" s="2"/>
      <c r="K122" s="2">
        <v>31</v>
      </c>
      <c r="L122" s="2">
        <v>0</v>
      </c>
      <c r="M122" s="2">
        <v>5</v>
      </c>
      <c r="N122" s="2">
        <v>6</v>
      </c>
      <c r="O122" s="2">
        <v>15</v>
      </c>
      <c r="P122" s="2">
        <v>5</v>
      </c>
      <c r="Q122" s="2" t="s">
        <v>3411</v>
      </c>
      <c r="R122" s="2" t="s">
        <v>3412</v>
      </c>
      <c r="S122" s="4">
        <v>44958</v>
      </c>
    </row>
    <row r="123" spans="1:19" ht="12.5" x14ac:dyDescent="0.25">
      <c r="A123" s="14" t="str">
        <f>HYPERLINK("https://gerandofalcoes.my.salesforce.com/0014X00002YgbkZQAR", "0014X00002YgbkZQAR")</f>
        <v>0014X00002YgbkZQAR</v>
      </c>
      <c r="B123" s="2" t="s">
        <v>3455</v>
      </c>
      <c r="C123" s="2" t="s">
        <v>423</v>
      </c>
      <c r="D123" s="2" t="s">
        <v>2</v>
      </c>
      <c r="E123" s="2"/>
      <c r="F123" s="2">
        <v>0</v>
      </c>
      <c r="G123" s="2">
        <v>0</v>
      </c>
      <c r="H123" s="2">
        <v>0</v>
      </c>
      <c r="I123" s="2">
        <v>0</v>
      </c>
      <c r="J123" s="2"/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 t="s">
        <v>3456</v>
      </c>
      <c r="R123" s="2" t="s">
        <v>3457</v>
      </c>
      <c r="S123" s="4">
        <v>44958</v>
      </c>
    </row>
    <row r="124" spans="1:19" ht="12.5" x14ac:dyDescent="0.25">
      <c r="A124" s="14" t="str">
        <f>HYPERLINK("https://gerandofalcoes.my.salesforce.com/0014X00002YggkHQAR", "0014X00002YggkHQAR")</f>
        <v>0014X00002YggkHQAR</v>
      </c>
      <c r="B124" s="2" t="s">
        <v>3467</v>
      </c>
      <c r="C124" s="2" t="s">
        <v>423</v>
      </c>
      <c r="D124" s="2" t="s">
        <v>2</v>
      </c>
      <c r="E124" s="2"/>
      <c r="F124" s="2">
        <v>0</v>
      </c>
      <c r="G124" s="2">
        <v>5</v>
      </c>
      <c r="H124" s="2">
        <v>8000</v>
      </c>
      <c r="I124" s="2">
        <v>0</v>
      </c>
      <c r="J124" s="2"/>
      <c r="K124" s="2">
        <v>15</v>
      </c>
      <c r="L124" s="2">
        <v>0</v>
      </c>
      <c r="M124" s="2">
        <v>0</v>
      </c>
      <c r="N124" s="2">
        <v>10</v>
      </c>
      <c r="O124" s="2">
        <v>5</v>
      </c>
      <c r="P124" s="2">
        <v>0</v>
      </c>
      <c r="Q124" s="2" t="s">
        <v>3468</v>
      </c>
      <c r="R124" s="2" t="s">
        <v>3469</v>
      </c>
      <c r="S124" s="4">
        <v>44958</v>
      </c>
    </row>
    <row r="125" spans="1:19" ht="12.5" x14ac:dyDescent="0.25">
      <c r="A125" s="14" t="str">
        <f>HYPERLINK("https://gerandofalcoes.my.salesforce.com/0014X00002Yggl2QAB", "0014X00002Yggl2QAB")</f>
        <v>0014X00002Yggl2QAB</v>
      </c>
      <c r="B125" s="2" t="s">
        <v>3540</v>
      </c>
      <c r="C125" s="2" t="s">
        <v>423</v>
      </c>
      <c r="D125" s="2" t="s">
        <v>2</v>
      </c>
      <c r="E125" s="2"/>
      <c r="F125" s="2">
        <v>0</v>
      </c>
      <c r="G125" s="2">
        <v>2</v>
      </c>
      <c r="H125" s="2">
        <v>0</v>
      </c>
      <c r="I125" s="2">
        <v>0</v>
      </c>
      <c r="J125" s="2"/>
      <c r="K125" s="2">
        <v>6</v>
      </c>
      <c r="L125" s="2">
        <v>0</v>
      </c>
      <c r="M125" s="2">
        <v>0</v>
      </c>
      <c r="N125" s="2">
        <v>6</v>
      </c>
      <c r="O125" s="2">
        <v>0</v>
      </c>
      <c r="P125" s="2">
        <v>0</v>
      </c>
      <c r="Q125" s="2" t="s">
        <v>7171</v>
      </c>
      <c r="R125" s="2" t="s">
        <v>7172</v>
      </c>
      <c r="S125" s="4">
        <v>44959</v>
      </c>
    </row>
    <row r="126" spans="1:19" ht="12.5" x14ac:dyDescent="0.25">
      <c r="A126" s="14" t="str">
        <f>HYPERLINK("https://gerandofalcoes.my.salesforce.com/0014X00002YggkGQAR", "0014X00002YggkGQAR")</f>
        <v>0014X00002YggkGQAR</v>
      </c>
      <c r="B126" s="2" t="s">
        <v>3566</v>
      </c>
      <c r="C126" s="2" t="s">
        <v>423</v>
      </c>
      <c r="D126" s="2" t="s">
        <v>2</v>
      </c>
      <c r="E126" s="2"/>
      <c r="F126" s="2">
        <v>5</v>
      </c>
      <c r="G126" s="2">
        <v>3</v>
      </c>
      <c r="H126" s="2">
        <v>6000</v>
      </c>
      <c r="I126" s="2">
        <v>230</v>
      </c>
      <c r="J126" s="2"/>
      <c r="K126" s="2">
        <v>30</v>
      </c>
      <c r="L126" s="2">
        <v>0</v>
      </c>
      <c r="M126" s="2">
        <v>5</v>
      </c>
      <c r="N126" s="2">
        <v>8</v>
      </c>
      <c r="O126" s="2">
        <v>5</v>
      </c>
      <c r="P126" s="2">
        <v>12</v>
      </c>
      <c r="Q126" s="2" t="s">
        <v>3567</v>
      </c>
      <c r="R126" s="2" t="s">
        <v>3568</v>
      </c>
      <c r="S126" s="4">
        <v>44960</v>
      </c>
    </row>
    <row r="127" spans="1:19" ht="12.5" x14ac:dyDescent="0.25">
      <c r="A127" s="14" t="str">
        <f>HYPERLINK("https://gerandofalcoes.my.salesforce.com/0014X00002YgggNQAR", "0014X00002YgggNQAR")</f>
        <v>0014X00002YgggNQAR</v>
      </c>
      <c r="B127" s="2" t="s">
        <v>3600</v>
      </c>
      <c r="C127" s="2" t="s">
        <v>423</v>
      </c>
      <c r="D127" s="2" t="s">
        <v>2</v>
      </c>
      <c r="E127" s="2"/>
      <c r="F127" s="2">
        <v>0</v>
      </c>
      <c r="G127" s="2">
        <v>2</v>
      </c>
      <c r="H127" s="2">
        <v>2000</v>
      </c>
      <c r="I127" s="2">
        <v>150</v>
      </c>
      <c r="J127" s="2"/>
      <c r="K127" s="2">
        <v>23</v>
      </c>
      <c r="L127" s="2">
        <v>0</v>
      </c>
      <c r="M127" s="2">
        <v>0</v>
      </c>
      <c r="N127" s="2">
        <v>6</v>
      </c>
      <c r="O127" s="2">
        <v>5</v>
      </c>
      <c r="P127" s="2">
        <v>12</v>
      </c>
      <c r="Q127" s="2" t="s">
        <v>3601</v>
      </c>
      <c r="R127" s="2" t="s">
        <v>3602</v>
      </c>
      <c r="S127" s="4">
        <v>44962</v>
      </c>
    </row>
    <row r="128" spans="1:19" ht="12.5" x14ac:dyDescent="0.25">
      <c r="A128" s="14" t="str">
        <f>HYPERLINK("https://gerandofalcoes.my.salesforce.com/0014X00002YgghPQAR", "0014X00002YgghPQAR")</f>
        <v>0014X00002YgghPQAR</v>
      </c>
      <c r="B128" s="2" t="s">
        <v>3628</v>
      </c>
      <c r="C128" s="2" t="s">
        <v>423</v>
      </c>
      <c r="D128" s="2" t="s">
        <v>2</v>
      </c>
      <c r="E128" s="2"/>
      <c r="F128" s="2">
        <v>0</v>
      </c>
      <c r="G128" s="2">
        <v>2</v>
      </c>
      <c r="H128" s="2">
        <v>1100000</v>
      </c>
      <c r="I128" s="2">
        <v>70</v>
      </c>
      <c r="J128" s="2"/>
      <c r="K128" s="2">
        <v>36</v>
      </c>
      <c r="L128" s="2">
        <v>0</v>
      </c>
      <c r="M128" s="2">
        <v>0</v>
      </c>
      <c r="N128" s="2">
        <v>6</v>
      </c>
      <c r="O128" s="2">
        <v>25</v>
      </c>
      <c r="P128" s="2">
        <v>5</v>
      </c>
      <c r="Q128" s="2" t="s">
        <v>3629</v>
      </c>
      <c r="R128" s="2" t="s">
        <v>3630</v>
      </c>
      <c r="S128" s="4">
        <v>44963</v>
      </c>
    </row>
    <row r="129" spans="1:19" ht="12.5" x14ac:dyDescent="0.25">
      <c r="A129" s="14" t="str">
        <f>HYPERLINK("https://gerandofalcoes.my.salesforce.com/0014X00002YgghuQAB", "0014X00002YgghuQAB")</f>
        <v>0014X00002YgghuQAB</v>
      </c>
      <c r="B129" s="2" t="s">
        <v>3667</v>
      </c>
      <c r="C129" s="2" t="s">
        <v>423</v>
      </c>
      <c r="D129" s="2" t="s">
        <v>2</v>
      </c>
      <c r="E129" s="2"/>
      <c r="F129" s="2">
        <v>6</v>
      </c>
      <c r="G129" s="2">
        <v>4</v>
      </c>
      <c r="H129" s="2">
        <v>20000</v>
      </c>
      <c r="I129" s="2">
        <v>100</v>
      </c>
      <c r="J129" s="2"/>
      <c r="K129" s="2">
        <v>35</v>
      </c>
      <c r="L129" s="2">
        <v>0</v>
      </c>
      <c r="M129" s="2">
        <v>10</v>
      </c>
      <c r="N129" s="2">
        <v>10</v>
      </c>
      <c r="O129" s="2">
        <v>5</v>
      </c>
      <c r="P129" s="2">
        <v>10</v>
      </c>
      <c r="Q129" s="2" t="s">
        <v>3668</v>
      </c>
      <c r="R129" s="2" t="s">
        <v>3669</v>
      </c>
      <c r="S129" s="4">
        <v>44964</v>
      </c>
    </row>
    <row r="130" spans="1:19" ht="12.5" x14ac:dyDescent="0.25">
      <c r="A130" s="14" t="str">
        <f>HYPERLINK("https://gerandofalcoes.my.salesforce.com/0014X00002Yggj5QAB", "0014X00002Yggj5QAB")</f>
        <v>0014X00002Yggj5QAB</v>
      </c>
      <c r="B130" s="2" t="s">
        <v>3714</v>
      </c>
      <c r="C130" s="2" t="s">
        <v>423</v>
      </c>
      <c r="D130" s="2" t="s">
        <v>2</v>
      </c>
      <c r="E130" s="2"/>
      <c r="F130" s="2">
        <v>0</v>
      </c>
      <c r="G130" s="2">
        <v>2</v>
      </c>
      <c r="H130" s="2">
        <v>3000</v>
      </c>
      <c r="I130" s="2">
        <v>0</v>
      </c>
      <c r="J130" s="2"/>
      <c r="K130" s="2">
        <v>11</v>
      </c>
      <c r="L130" s="2">
        <v>0</v>
      </c>
      <c r="M130" s="2">
        <v>0</v>
      </c>
      <c r="N130" s="2">
        <v>6</v>
      </c>
      <c r="O130" s="2">
        <v>5</v>
      </c>
      <c r="P130" s="2">
        <v>0</v>
      </c>
      <c r="Q130" s="2" t="s">
        <v>3715</v>
      </c>
      <c r="R130" s="2" t="s">
        <v>3715</v>
      </c>
      <c r="S130" s="4">
        <v>44967</v>
      </c>
    </row>
    <row r="131" spans="1:19" ht="12.5" x14ac:dyDescent="0.25">
      <c r="A131" s="14" t="str">
        <f>HYPERLINK("https://gerandofalcoes.my.salesforce.com/0014X00002YgglcQAB", "0014X00002YgglcQAB")</f>
        <v>0014X00002YgglcQAB</v>
      </c>
      <c r="B131" s="2" t="s">
        <v>3709</v>
      </c>
      <c r="C131" s="2" t="s">
        <v>423</v>
      </c>
      <c r="D131" s="2" t="s">
        <v>2</v>
      </c>
      <c r="E131" s="2"/>
      <c r="F131" s="2">
        <v>0</v>
      </c>
      <c r="G131" s="2">
        <v>2</v>
      </c>
      <c r="H131" s="2">
        <v>60000</v>
      </c>
      <c r="I131" s="2">
        <v>0</v>
      </c>
      <c r="J131" s="2"/>
      <c r="K131" s="2">
        <v>16</v>
      </c>
      <c r="L131" s="2">
        <v>0</v>
      </c>
      <c r="M131" s="2">
        <v>0</v>
      </c>
      <c r="N131" s="2">
        <v>6</v>
      </c>
      <c r="O131" s="2">
        <v>10</v>
      </c>
      <c r="P131" s="2">
        <v>0</v>
      </c>
      <c r="Q131" s="2" t="s">
        <v>3710</v>
      </c>
      <c r="R131" s="2" t="s">
        <v>3710</v>
      </c>
      <c r="S131" s="4">
        <v>44967</v>
      </c>
    </row>
    <row r="132" spans="1:19" ht="12.5" x14ac:dyDescent="0.25">
      <c r="A132" s="14" t="str">
        <f>HYPERLINK("https://gerandofalcoes.my.salesforce.com/0014X00002YgggOQAR", "0014X00002YgggOQAR")</f>
        <v>0014X00002YgggOQAR</v>
      </c>
      <c r="B132" s="2" t="s">
        <v>3755</v>
      </c>
      <c r="C132" s="2" t="s">
        <v>423</v>
      </c>
      <c r="D132" s="2" t="s">
        <v>2</v>
      </c>
      <c r="E132" s="2"/>
      <c r="F132" s="2">
        <v>0</v>
      </c>
      <c r="G132" s="2">
        <v>2</v>
      </c>
      <c r="H132" s="2">
        <v>1000</v>
      </c>
      <c r="I132" s="2">
        <v>20</v>
      </c>
      <c r="J132" s="2"/>
      <c r="K132" s="2">
        <v>16</v>
      </c>
      <c r="L132" s="2">
        <v>0</v>
      </c>
      <c r="M132" s="2">
        <v>0</v>
      </c>
      <c r="N132" s="2">
        <v>6</v>
      </c>
      <c r="O132" s="2">
        <v>5</v>
      </c>
      <c r="P132" s="2">
        <v>5</v>
      </c>
      <c r="Q132" s="2" t="s">
        <v>3756</v>
      </c>
      <c r="R132" s="2" t="s">
        <v>3757</v>
      </c>
      <c r="S132" s="4">
        <v>44967</v>
      </c>
    </row>
    <row r="133" spans="1:19" ht="12.5" x14ac:dyDescent="0.25">
      <c r="A133" s="14" t="str">
        <f>HYPERLINK("https://gerandofalcoes.my.salesforce.com/0014X00002YggnwQAB", "0014X00002YggnwQAB")</f>
        <v>0014X00002YggnwQAB</v>
      </c>
      <c r="B133" s="2" t="s">
        <v>3724</v>
      </c>
      <c r="C133" s="2" t="s">
        <v>423</v>
      </c>
      <c r="D133" s="2" t="s">
        <v>2</v>
      </c>
      <c r="E133" s="2"/>
      <c r="F133" s="2">
        <v>1</v>
      </c>
      <c r="G133" s="2">
        <v>2</v>
      </c>
      <c r="H133" s="2">
        <v>86196</v>
      </c>
      <c r="I133" s="2">
        <v>10</v>
      </c>
      <c r="J133" s="2"/>
      <c r="K133" s="2">
        <v>26</v>
      </c>
      <c r="L133" s="2">
        <v>0</v>
      </c>
      <c r="M133" s="2">
        <v>5</v>
      </c>
      <c r="N133" s="2">
        <v>6</v>
      </c>
      <c r="O133" s="2">
        <v>10</v>
      </c>
      <c r="P133" s="2">
        <v>5</v>
      </c>
      <c r="Q133" s="2" t="s">
        <v>3725</v>
      </c>
      <c r="R133" s="2" t="s">
        <v>3726</v>
      </c>
      <c r="S133" s="4">
        <v>44967</v>
      </c>
    </row>
    <row r="134" spans="1:19" ht="12.5" x14ac:dyDescent="0.25">
      <c r="A134" s="14" t="str">
        <f>HYPERLINK("https://gerandofalcoes.my.salesforce.com/0014X00002YggouQAB", "0014X00002YggouQAB")</f>
        <v>0014X00002YggouQAB</v>
      </c>
      <c r="B134" s="2" t="s">
        <v>5909</v>
      </c>
      <c r="C134" s="2" t="s">
        <v>423</v>
      </c>
      <c r="D134" s="2" t="s">
        <v>2</v>
      </c>
      <c r="E134" s="2"/>
      <c r="F134" s="2">
        <v>0</v>
      </c>
      <c r="G134" s="2">
        <v>2</v>
      </c>
      <c r="H134" s="2">
        <v>15000</v>
      </c>
      <c r="I134" s="2">
        <v>100</v>
      </c>
      <c r="J134" s="2"/>
      <c r="K134" s="2">
        <v>21</v>
      </c>
      <c r="L134" s="2">
        <v>0</v>
      </c>
      <c r="M134" s="2">
        <v>0</v>
      </c>
      <c r="N134" s="2">
        <v>6</v>
      </c>
      <c r="O134" s="2">
        <v>5</v>
      </c>
      <c r="P134" s="2">
        <v>10</v>
      </c>
      <c r="Q134" s="2" t="s">
        <v>3177</v>
      </c>
      <c r="R134" s="2" t="s">
        <v>3178</v>
      </c>
      <c r="S134" s="4">
        <v>44951</v>
      </c>
    </row>
    <row r="135" spans="1:19" ht="12.5" x14ac:dyDescent="0.25">
      <c r="A135" s="14" t="str">
        <f>HYPERLINK("https://gerandofalcoes.my.salesforce.com/0014X00002YggnKQAR", "0014X00002YggnKQAR")</f>
        <v>0014X00002YggnKQAR</v>
      </c>
      <c r="B135" s="2" t="s">
        <v>3207</v>
      </c>
      <c r="C135" s="2" t="s">
        <v>423</v>
      </c>
      <c r="D135" s="2" t="s">
        <v>2</v>
      </c>
      <c r="E135" s="2"/>
      <c r="F135" s="2">
        <v>0</v>
      </c>
      <c r="G135" s="2">
        <v>4</v>
      </c>
      <c r="H135" s="2">
        <v>83242522</v>
      </c>
      <c r="I135" s="2">
        <v>1117</v>
      </c>
      <c r="J135" s="2"/>
      <c r="K135" s="2">
        <v>55</v>
      </c>
      <c r="L135" s="2">
        <v>0</v>
      </c>
      <c r="M135" s="2">
        <v>0</v>
      </c>
      <c r="N135" s="2">
        <v>10</v>
      </c>
      <c r="O135" s="2">
        <v>25</v>
      </c>
      <c r="P135" s="2">
        <v>20</v>
      </c>
      <c r="Q135" s="2" t="s">
        <v>3208</v>
      </c>
      <c r="R135" s="2" t="s">
        <v>3209</v>
      </c>
      <c r="S135" s="4">
        <v>44951</v>
      </c>
    </row>
    <row r="136" spans="1:19" ht="12.5" x14ac:dyDescent="0.25">
      <c r="A136" s="14" t="str">
        <f>HYPERLINK("https://gerandofalcoes.my.salesforce.com/0014X00002YggnOQAR", "0014X00002YggnOQAR")</f>
        <v>0014X00002YggnOQAR</v>
      </c>
      <c r="B136" s="2" t="s">
        <v>3316</v>
      </c>
      <c r="C136" s="2" t="s">
        <v>423</v>
      </c>
      <c r="D136" s="2" t="s">
        <v>2</v>
      </c>
      <c r="E136" s="2"/>
      <c r="F136" s="2">
        <v>0</v>
      </c>
      <c r="G136" s="2">
        <v>2</v>
      </c>
      <c r="H136" s="2">
        <v>0</v>
      </c>
      <c r="I136" s="2">
        <v>128</v>
      </c>
      <c r="J136" s="2"/>
      <c r="K136" s="2">
        <v>16</v>
      </c>
      <c r="L136" s="2">
        <v>0</v>
      </c>
      <c r="M136" s="2">
        <v>0</v>
      </c>
      <c r="N136" s="2">
        <v>6</v>
      </c>
      <c r="O136" s="2">
        <v>0</v>
      </c>
      <c r="P136" s="2">
        <v>10</v>
      </c>
      <c r="Q136" s="2" t="s">
        <v>3317</v>
      </c>
      <c r="R136" s="2" t="s">
        <v>3318</v>
      </c>
      <c r="S136" s="4">
        <v>44953</v>
      </c>
    </row>
    <row r="137" spans="1:19" ht="12.5" x14ac:dyDescent="0.25">
      <c r="A137" s="14" t="str">
        <f>HYPERLINK("https://gerandofalcoes.my.salesforce.com/0014X00002Yggl5QAB", "0014X00002Yggl5QAB")</f>
        <v>0014X00002Yggl5QAB</v>
      </c>
      <c r="B137" s="2" t="s">
        <v>3484</v>
      </c>
      <c r="C137" s="2" t="s">
        <v>423</v>
      </c>
      <c r="D137" s="2" t="s">
        <v>2</v>
      </c>
      <c r="E137" s="2"/>
      <c r="F137" s="2">
        <v>4</v>
      </c>
      <c r="G137" s="2">
        <v>4</v>
      </c>
      <c r="H137" s="2">
        <v>700</v>
      </c>
      <c r="I137" s="2">
        <v>120</v>
      </c>
      <c r="J137" s="2"/>
      <c r="K137" s="2">
        <v>30</v>
      </c>
      <c r="L137" s="2">
        <v>0</v>
      </c>
      <c r="M137" s="2">
        <v>5</v>
      </c>
      <c r="N137" s="2">
        <v>10</v>
      </c>
      <c r="O137" s="2">
        <v>5</v>
      </c>
      <c r="P137" s="2">
        <v>10</v>
      </c>
      <c r="Q137" s="2" t="s">
        <v>3485</v>
      </c>
      <c r="R137" s="2" t="s">
        <v>3485</v>
      </c>
      <c r="S137" s="4">
        <v>44958</v>
      </c>
    </row>
    <row r="138" spans="1:19" ht="12.5" x14ac:dyDescent="0.25">
      <c r="A138" s="14" t="str">
        <f>HYPERLINK("https://gerandofalcoes.my.salesforce.com/0014X00002Yggh2QAB", "0014X00002Yggh2QAB")</f>
        <v>0014X00002Yggh2QAB</v>
      </c>
      <c r="B138" s="2" t="s">
        <v>3449</v>
      </c>
      <c r="C138" s="2" t="s">
        <v>423</v>
      </c>
      <c r="D138" s="2" t="s">
        <v>2</v>
      </c>
      <c r="E138" s="2"/>
      <c r="F138" s="2">
        <v>0</v>
      </c>
      <c r="G138" s="2">
        <v>2</v>
      </c>
      <c r="H138" s="2">
        <v>500</v>
      </c>
      <c r="I138" s="2">
        <v>50</v>
      </c>
      <c r="J138" s="2"/>
      <c r="K138" s="2">
        <v>16</v>
      </c>
      <c r="L138" s="2">
        <v>0</v>
      </c>
      <c r="M138" s="2">
        <v>0</v>
      </c>
      <c r="N138" s="2">
        <v>6</v>
      </c>
      <c r="O138" s="2">
        <v>5</v>
      </c>
      <c r="P138" s="2">
        <v>5</v>
      </c>
      <c r="Q138" s="2" t="s">
        <v>3450</v>
      </c>
      <c r="R138" s="2" t="s">
        <v>3451</v>
      </c>
      <c r="S138" s="4">
        <v>44958</v>
      </c>
    </row>
    <row r="139" spans="1:19" ht="12.5" x14ac:dyDescent="0.25">
      <c r="A139" s="14" t="str">
        <f>HYPERLINK("https://gerandofalcoes.my.salesforce.com/0014X00002YggkwQAB", "0014X00002YggkwQAB")</f>
        <v>0014X00002YggkwQAB</v>
      </c>
      <c r="B139" s="2" t="s">
        <v>3440</v>
      </c>
      <c r="C139" s="2" t="s">
        <v>423</v>
      </c>
      <c r="D139" s="2" t="s">
        <v>2</v>
      </c>
      <c r="E139" s="2"/>
      <c r="F139" s="2">
        <v>0</v>
      </c>
      <c r="G139" s="2">
        <v>2</v>
      </c>
      <c r="H139" s="2">
        <v>100</v>
      </c>
      <c r="I139" s="2">
        <v>30</v>
      </c>
      <c r="J139" s="2"/>
      <c r="K139" s="2">
        <v>16</v>
      </c>
      <c r="L139" s="2">
        <v>0</v>
      </c>
      <c r="M139" s="2">
        <v>0</v>
      </c>
      <c r="N139" s="2">
        <v>6</v>
      </c>
      <c r="O139" s="2">
        <v>5</v>
      </c>
      <c r="P139" s="2">
        <v>5</v>
      </c>
      <c r="Q139" s="2" t="s">
        <v>3441</v>
      </c>
      <c r="R139" s="2" t="s">
        <v>3441</v>
      </c>
      <c r="S139" s="4">
        <v>44958</v>
      </c>
    </row>
    <row r="140" spans="1:19" ht="12.5" x14ac:dyDescent="0.25">
      <c r="A140" s="14" t="str">
        <f>HYPERLINK("https://gerandofalcoes.my.salesforce.com/0014X00002YggiDQAR", "0014X00002YggiDQAR")</f>
        <v>0014X00002YggiDQAR</v>
      </c>
      <c r="B140" s="2" t="s">
        <v>3400</v>
      </c>
      <c r="C140" s="2" t="s">
        <v>423</v>
      </c>
      <c r="D140" s="2" t="s">
        <v>2</v>
      </c>
      <c r="E140" s="2"/>
      <c r="F140" s="2">
        <v>3</v>
      </c>
      <c r="G140" s="2">
        <v>6</v>
      </c>
      <c r="H140" s="2">
        <v>315738</v>
      </c>
      <c r="I140" s="2">
        <v>8</v>
      </c>
      <c r="J140" s="2"/>
      <c r="K140" s="2">
        <v>40</v>
      </c>
      <c r="L140" s="2">
        <v>0</v>
      </c>
      <c r="M140" s="2">
        <v>5</v>
      </c>
      <c r="N140" s="2">
        <v>10</v>
      </c>
      <c r="O140" s="2">
        <v>20</v>
      </c>
      <c r="P140" s="2">
        <v>5</v>
      </c>
      <c r="Q140" s="2" t="s">
        <v>3401</v>
      </c>
      <c r="R140" s="2" t="s">
        <v>3402</v>
      </c>
      <c r="S140" s="4">
        <v>44958</v>
      </c>
    </row>
    <row r="141" spans="1:19" ht="12.5" x14ac:dyDescent="0.25">
      <c r="A141" s="14" t="str">
        <f>HYPERLINK("https://gerandofalcoes.my.salesforce.com/0014X00002YgglwQAB", "0014X00002YgglwQAB")</f>
        <v>0014X00002YgglwQAB</v>
      </c>
      <c r="B141" s="2" t="s">
        <v>3416</v>
      </c>
      <c r="C141" s="2" t="s">
        <v>423</v>
      </c>
      <c r="D141" s="2" t="s">
        <v>2</v>
      </c>
      <c r="E141" s="2"/>
      <c r="F141" s="2">
        <v>6</v>
      </c>
      <c r="G141" s="2">
        <v>6</v>
      </c>
      <c r="H141" s="2">
        <v>60000</v>
      </c>
      <c r="I141" s="2">
        <v>30</v>
      </c>
      <c r="J141" s="2"/>
      <c r="K141" s="2">
        <v>35</v>
      </c>
      <c r="L141" s="2">
        <v>0</v>
      </c>
      <c r="M141" s="2">
        <v>10</v>
      </c>
      <c r="N141" s="2">
        <v>10</v>
      </c>
      <c r="O141" s="2">
        <v>10</v>
      </c>
      <c r="P141" s="2">
        <v>5</v>
      </c>
      <c r="Q141" s="2" t="s">
        <v>3417</v>
      </c>
      <c r="R141" s="2" t="s">
        <v>3418</v>
      </c>
      <c r="S141" s="4">
        <v>44958</v>
      </c>
    </row>
    <row r="142" spans="1:19" ht="12.5" x14ac:dyDescent="0.25">
      <c r="A142" s="14" t="str">
        <f>HYPERLINK("https://gerandofalcoes.my.salesforce.com/0014X00002YggnyQAB", "0014X00002YggnyQAB")</f>
        <v>0014X00002YggnyQAB</v>
      </c>
      <c r="B142" s="2" t="s">
        <v>3519</v>
      </c>
      <c r="C142" s="2" t="s">
        <v>423</v>
      </c>
      <c r="D142" s="2" t="s">
        <v>2</v>
      </c>
      <c r="E142" s="2"/>
      <c r="F142" s="2">
        <v>25</v>
      </c>
      <c r="G142" s="2">
        <v>3</v>
      </c>
      <c r="H142" s="2">
        <v>49000</v>
      </c>
      <c r="I142" s="2">
        <v>0</v>
      </c>
      <c r="J142" s="2"/>
      <c r="K142" s="2">
        <v>30</v>
      </c>
      <c r="L142" s="2">
        <v>0</v>
      </c>
      <c r="M142" s="2">
        <v>12</v>
      </c>
      <c r="N142" s="2">
        <v>8</v>
      </c>
      <c r="O142" s="2">
        <v>10</v>
      </c>
      <c r="P142" s="2">
        <v>0</v>
      </c>
      <c r="Q142" s="2" t="s">
        <v>3520</v>
      </c>
      <c r="R142" s="2" t="s">
        <v>3521</v>
      </c>
      <c r="S142" s="4">
        <v>44958</v>
      </c>
    </row>
    <row r="143" spans="1:19" ht="12.5" x14ac:dyDescent="0.25">
      <c r="A143" s="14" t="str">
        <f>HYPERLINK("https://gerandofalcoes.my.salesforce.com/0014X00002YggjLQAR", "0014X00002YggjLQAR")</f>
        <v>0014X00002YggjLQAR</v>
      </c>
      <c r="B143" s="2" t="s">
        <v>3489</v>
      </c>
      <c r="C143" s="2" t="s">
        <v>423</v>
      </c>
      <c r="D143" s="2" t="s">
        <v>2</v>
      </c>
      <c r="E143" s="2"/>
      <c r="F143" s="2">
        <v>0</v>
      </c>
      <c r="G143" s="2">
        <v>2</v>
      </c>
      <c r="H143" s="2">
        <v>1000</v>
      </c>
      <c r="I143" s="2">
        <v>70</v>
      </c>
      <c r="J143" s="2"/>
      <c r="K143" s="2">
        <v>16</v>
      </c>
      <c r="L143" s="2">
        <v>0</v>
      </c>
      <c r="M143" s="2">
        <v>0</v>
      </c>
      <c r="N143" s="2">
        <v>6</v>
      </c>
      <c r="O143" s="2">
        <v>5</v>
      </c>
      <c r="P143" s="2">
        <v>5</v>
      </c>
      <c r="Q143" s="2" t="s">
        <v>3490</v>
      </c>
      <c r="R143" s="2" t="s">
        <v>3491</v>
      </c>
      <c r="S143" s="4">
        <v>44958</v>
      </c>
    </row>
    <row r="144" spans="1:19" ht="12.5" x14ac:dyDescent="0.25">
      <c r="A144" s="14" t="str">
        <f>HYPERLINK("https://gerandofalcoes.my.salesforce.com/0014X00002YggnnQAB", "0014X00002YggnnQAB")</f>
        <v>0014X00002YggnnQAB</v>
      </c>
      <c r="B144" s="2" t="s">
        <v>3405</v>
      </c>
      <c r="C144" s="2" t="s">
        <v>423</v>
      </c>
      <c r="D144" s="2" t="s">
        <v>2</v>
      </c>
      <c r="E144" s="2"/>
      <c r="F144" s="2">
        <v>0</v>
      </c>
      <c r="G144" s="2">
        <v>3</v>
      </c>
      <c r="H144" s="2">
        <v>135000</v>
      </c>
      <c r="I144" s="2">
        <v>50</v>
      </c>
      <c r="J144" s="2"/>
      <c r="K144" s="2">
        <v>28</v>
      </c>
      <c r="L144" s="2">
        <v>0</v>
      </c>
      <c r="M144" s="2">
        <v>0</v>
      </c>
      <c r="N144" s="2">
        <v>8</v>
      </c>
      <c r="O144" s="2">
        <v>15</v>
      </c>
      <c r="P144" s="2">
        <v>5</v>
      </c>
      <c r="Q144" s="2" t="s">
        <v>3406</v>
      </c>
      <c r="R144" s="2" t="s">
        <v>3407</v>
      </c>
      <c r="S144" s="4">
        <v>44958</v>
      </c>
    </row>
    <row r="145" spans="1:19" ht="12.5" x14ac:dyDescent="0.25">
      <c r="A145" s="14" t="str">
        <f>HYPERLINK("https://gerandofalcoes.my.salesforce.com/0014X00002Yggp4QAB", "0014X00002Yggp4QAB")</f>
        <v>0014X00002Yggp4QAB</v>
      </c>
      <c r="B145" s="2" t="s">
        <v>3447</v>
      </c>
      <c r="C145" s="2" t="s">
        <v>423</v>
      </c>
      <c r="D145" s="2" t="s">
        <v>2</v>
      </c>
      <c r="E145" s="2"/>
      <c r="F145" s="2">
        <v>0</v>
      </c>
      <c r="G145" s="2">
        <v>5</v>
      </c>
      <c r="H145" s="2">
        <v>2000</v>
      </c>
      <c r="I145" s="2">
        <v>150</v>
      </c>
      <c r="J145" s="2"/>
      <c r="K145" s="2">
        <v>27</v>
      </c>
      <c r="L145" s="2">
        <v>0</v>
      </c>
      <c r="M145" s="2">
        <v>0</v>
      </c>
      <c r="N145" s="2">
        <v>10</v>
      </c>
      <c r="O145" s="2">
        <v>5</v>
      </c>
      <c r="P145" s="2">
        <v>12</v>
      </c>
      <c r="Q145" s="2" t="s">
        <v>3448</v>
      </c>
      <c r="R145" s="2" t="s">
        <v>3448</v>
      </c>
      <c r="S145" s="4">
        <v>44958</v>
      </c>
    </row>
    <row r="146" spans="1:19" ht="12.5" x14ac:dyDescent="0.25">
      <c r="A146" s="14" t="str">
        <f>HYPERLINK("https://gerandofalcoes.my.salesforce.com/0014X00002YgghnQAB", "0014X00002YgghnQAB")</f>
        <v>0014X00002YgghnQAB</v>
      </c>
      <c r="B146" s="2" t="s">
        <v>3470</v>
      </c>
      <c r="C146" s="2" t="s">
        <v>423</v>
      </c>
      <c r="D146" s="2" t="s">
        <v>2</v>
      </c>
      <c r="E146" s="2"/>
      <c r="F146" s="2">
        <v>20</v>
      </c>
      <c r="G146" s="2">
        <v>3</v>
      </c>
      <c r="H146" s="2">
        <v>263610</v>
      </c>
      <c r="I146" s="2">
        <v>180</v>
      </c>
      <c r="J146" s="2"/>
      <c r="K146" s="2">
        <v>47</v>
      </c>
      <c r="L146" s="2">
        <v>0</v>
      </c>
      <c r="M146" s="2">
        <v>12</v>
      </c>
      <c r="N146" s="2">
        <v>8</v>
      </c>
      <c r="O146" s="2">
        <v>15</v>
      </c>
      <c r="P146" s="2">
        <v>12</v>
      </c>
      <c r="Q146" s="2" t="s">
        <v>3471</v>
      </c>
      <c r="R146" s="2" t="s">
        <v>3472</v>
      </c>
      <c r="S146" s="4">
        <v>44958</v>
      </c>
    </row>
    <row r="147" spans="1:19" ht="12.5" x14ac:dyDescent="0.25">
      <c r="A147" s="14" t="str">
        <f>HYPERLINK("https://gerandofalcoes.my.salesforce.com/0014X00002YggjDQAR", "0014X00002YggjDQAR")</f>
        <v>0014X00002YggjDQAR</v>
      </c>
      <c r="B147" s="2" t="s">
        <v>3419</v>
      </c>
      <c r="C147" s="2" t="s">
        <v>423</v>
      </c>
      <c r="D147" s="2" t="s">
        <v>2</v>
      </c>
      <c r="E147" s="2"/>
      <c r="F147" s="2">
        <v>6</v>
      </c>
      <c r="G147" s="2">
        <v>4</v>
      </c>
      <c r="H147" s="2">
        <v>2000</v>
      </c>
      <c r="I147" s="2">
        <v>60</v>
      </c>
      <c r="J147" s="2"/>
      <c r="K147" s="2">
        <v>30</v>
      </c>
      <c r="L147" s="2">
        <v>0</v>
      </c>
      <c r="M147" s="2">
        <v>10</v>
      </c>
      <c r="N147" s="2">
        <v>10</v>
      </c>
      <c r="O147" s="2">
        <v>5</v>
      </c>
      <c r="P147" s="2">
        <v>5</v>
      </c>
      <c r="Q147" s="2" t="s">
        <v>3420</v>
      </c>
      <c r="R147" s="2" t="s">
        <v>3420</v>
      </c>
      <c r="S147" s="4">
        <v>44958</v>
      </c>
    </row>
    <row r="148" spans="1:19" ht="12.5" x14ac:dyDescent="0.25">
      <c r="A148" s="14" t="str">
        <f>HYPERLINK("https://gerandofalcoes.my.salesforce.com/0014X00002YgggdQAB", "0014X00002YgggdQAB")</f>
        <v>0014X00002YgggdQAB</v>
      </c>
      <c r="B148" s="2" t="s">
        <v>3492</v>
      </c>
      <c r="C148" s="2" t="s">
        <v>423</v>
      </c>
      <c r="D148" s="2" t="s">
        <v>2</v>
      </c>
      <c r="E148" s="2"/>
      <c r="F148" s="2">
        <v>0</v>
      </c>
      <c r="G148" s="2">
        <v>2</v>
      </c>
      <c r="H148" s="2">
        <v>6000</v>
      </c>
      <c r="I148" s="2">
        <v>52</v>
      </c>
      <c r="J148" s="2"/>
      <c r="K148" s="2">
        <v>16</v>
      </c>
      <c r="L148" s="2">
        <v>0</v>
      </c>
      <c r="M148" s="2">
        <v>0</v>
      </c>
      <c r="N148" s="2">
        <v>6</v>
      </c>
      <c r="O148" s="2">
        <v>5</v>
      </c>
      <c r="P148" s="2">
        <v>5</v>
      </c>
      <c r="Q148" s="2" t="s">
        <v>3493</v>
      </c>
      <c r="R148" s="2" t="s">
        <v>3493</v>
      </c>
      <c r="S148" s="4">
        <v>44958</v>
      </c>
    </row>
    <row r="149" spans="1:19" ht="12.5" x14ac:dyDescent="0.25">
      <c r="A149" s="14" t="str">
        <f>HYPERLINK("https://gerandofalcoes.my.salesforce.com/0014X00002YggmhQAB", "0014X00002YggmhQAB")</f>
        <v>0014X00002YggmhQAB</v>
      </c>
      <c r="B149" s="2" t="s">
        <v>3442</v>
      </c>
      <c r="C149" s="2" t="s">
        <v>423</v>
      </c>
      <c r="D149" s="2" t="s">
        <v>2</v>
      </c>
      <c r="E149" s="2"/>
      <c r="F149" s="2">
        <v>0</v>
      </c>
      <c r="G149" s="2">
        <v>3</v>
      </c>
      <c r="H149" s="2">
        <v>100000</v>
      </c>
      <c r="I149" s="2">
        <v>200</v>
      </c>
      <c r="J149" s="2"/>
      <c r="K149" s="2">
        <v>35</v>
      </c>
      <c r="L149" s="2">
        <v>0</v>
      </c>
      <c r="M149" s="2">
        <v>0</v>
      </c>
      <c r="N149" s="2">
        <v>8</v>
      </c>
      <c r="O149" s="2">
        <v>15</v>
      </c>
      <c r="P149" s="2">
        <v>12</v>
      </c>
      <c r="Q149" s="2" t="s">
        <v>3443</v>
      </c>
      <c r="R149" s="2" t="s">
        <v>3443</v>
      </c>
      <c r="S149" s="4">
        <v>44958</v>
      </c>
    </row>
    <row r="150" spans="1:19" ht="12.5" x14ac:dyDescent="0.25">
      <c r="A150" s="14" t="str">
        <f>HYPERLINK("https://gerandofalcoes.my.salesforce.com/0014X00002YgggjQAB", "0014X00002YgggjQAB")</f>
        <v>0014X00002YgggjQAB</v>
      </c>
      <c r="B150" s="2" t="s">
        <v>3481</v>
      </c>
      <c r="C150" s="2" t="s">
        <v>423</v>
      </c>
      <c r="D150" s="2" t="s">
        <v>2</v>
      </c>
      <c r="E150" s="2"/>
      <c r="F150" s="2">
        <v>0</v>
      </c>
      <c r="G150" s="2">
        <v>2</v>
      </c>
      <c r="H150" s="2">
        <v>200000</v>
      </c>
      <c r="I150" s="2">
        <v>198</v>
      </c>
      <c r="J150" s="2"/>
      <c r="K150" s="2">
        <v>33</v>
      </c>
      <c r="L150" s="2">
        <v>0</v>
      </c>
      <c r="M150" s="2">
        <v>0</v>
      </c>
      <c r="N150" s="2">
        <v>6</v>
      </c>
      <c r="O150" s="2">
        <v>15</v>
      </c>
      <c r="P150" s="2">
        <v>12</v>
      </c>
      <c r="Q150" s="2" t="s">
        <v>3482</v>
      </c>
      <c r="R150" s="2" t="s">
        <v>3483</v>
      </c>
      <c r="S150" s="4">
        <v>44958</v>
      </c>
    </row>
    <row r="151" spans="1:19" ht="12.5" x14ac:dyDescent="0.25">
      <c r="A151" s="14" t="str">
        <f>HYPERLINK("https://gerandofalcoes.my.salesforce.com/0014X00002YgggqQAB", "0014X00002YgggqQAB")</f>
        <v>0014X00002YgggqQAB</v>
      </c>
      <c r="B151" s="2" t="s">
        <v>3522</v>
      </c>
      <c r="C151" s="2" t="s">
        <v>423</v>
      </c>
      <c r="D151" s="2" t="s">
        <v>2</v>
      </c>
      <c r="E151" s="2"/>
      <c r="F151" s="2">
        <v>0</v>
      </c>
      <c r="G151" s="2">
        <v>3</v>
      </c>
      <c r="H151" s="2">
        <v>30000</v>
      </c>
      <c r="I151" s="2">
        <v>0</v>
      </c>
      <c r="J151" s="2"/>
      <c r="K151" s="2">
        <v>18</v>
      </c>
      <c r="L151" s="2">
        <v>0</v>
      </c>
      <c r="M151" s="2">
        <v>0</v>
      </c>
      <c r="N151" s="2">
        <v>8</v>
      </c>
      <c r="O151" s="2">
        <v>10</v>
      </c>
      <c r="P151" s="2">
        <v>0</v>
      </c>
      <c r="Q151" s="2" t="s">
        <v>3523</v>
      </c>
      <c r="R151" s="2" t="s">
        <v>3523</v>
      </c>
      <c r="S151" s="4">
        <v>44958</v>
      </c>
    </row>
    <row r="152" spans="1:19" ht="12.5" x14ac:dyDescent="0.25">
      <c r="A152" s="14" t="str">
        <f>HYPERLINK("https://gerandofalcoes.my.salesforce.com/0014X00002YggocQAB", "0014X00002YggocQAB")</f>
        <v>0014X00002YggocQAB</v>
      </c>
      <c r="B152" s="2" t="s">
        <v>3432</v>
      </c>
      <c r="C152" s="2" t="s">
        <v>423</v>
      </c>
      <c r="D152" s="2" t="s">
        <v>2</v>
      </c>
      <c r="E152" s="2"/>
      <c r="F152" s="2">
        <v>0</v>
      </c>
      <c r="G152" s="2">
        <v>3</v>
      </c>
      <c r="H152" s="2">
        <v>5000</v>
      </c>
      <c r="I152" s="2">
        <v>150</v>
      </c>
      <c r="J152" s="2"/>
      <c r="K152" s="2">
        <v>25</v>
      </c>
      <c r="L152" s="2">
        <v>0</v>
      </c>
      <c r="M152" s="2">
        <v>0</v>
      </c>
      <c r="N152" s="2">
        <v>8</v>
      </c>
      <c r="O152" s="2">
        <v>5</v>
      </c>
      <c r="P152" s="2">
        <v>12</v>
      </c>
      <c r="Q152" s="2" t="s">
        <v>3433</v>
      </c>
      <c r="R152" s="2" t="s">
        <v>3434</v>
      </c>
      <c r="S152" s="4">
        <v>44958</v>
      </c>
    </row>
    <row r="153" spans="1:19" ht="12.5" x14ac:dyDescent="0.25">
      <c r="A153" s="14" t="str">
        <f>HYPERLINK("https://gerandofalcoes.my.salesforce.com/0014X00002YggkvQAB", "0014X00002YggkvQAB")</f>
        <v>0014X00002YggkvQAB</v>
      </c>
      <c r="B153" s="2" t="s">
        <v>3494</v>
      </c>
      <c r="C153" s="2" t="s">
        <v>423</v>
      </c>
      <c r="D153" s="2" t="s">
        <v>2</v>
      </c>
      <c r="E153" s="2"/>
      <c r="F153" s="2">
        <v>5</v>
      </c>
      <c r="G153" s="2">
        <v>2</v>
      </c>
      <c r="H153" s="2">
        <v>250</v>
      </c>
      <c r="I153" s="2">
        <v>50</v>
      </c>
      <c r="J153" s="2"/>
      <c r="K153" s="2">
        <v>21</v>
      </c>
      <c r="L153" s="2">
        <v>0</v>
      </c>
      <c r="M153" s="2">
        <v>5</v>
      </c>
      <c r="N153" s="2">
        <v>6</v>
      </c>
      <c r="O153" s="2">
        <v>5</v>
      </c>
      <c r="P153" s="2">
        <v>5</v>
      </c>
      <c r="Q153" s="2" t="s">
        <v>3495</v>
      </c>
      <c r="R153" s="2" t="s">
        <v>3496</v>
      </c>
      <c r="S153" s="4">
        <v>44958</v>
      </c>
    </row>
    <row r="154" spans="1:19" ht="12.5" x14ac:dyDescent="0.25">
      <c r="A154" s="14" t="str">
        <f>HYPERLINK("https://gerandofalcoes.my.salesforce.com/0014X00002Yggp8QAB", "0014X00002Yggp8QAB")</f>
        <v>0014X00002Yggp8QAB</v>
      </c>
      <c r="B154" s="2" t="s">
        <v>3508</v>
      </c>
      <c r="C154" s="2" t="s">
        <v>423</v>
      </c>
      <c r="D154" s="2" t="s">
        <v>2</v>
      </c>
      <c r="E154" s="2"/>
      <c r="F154" s="2">
        <v>17</v>
      </c>
      <c r="G154" s="2">
        <v>5</v>
      </c>
      <c r="H154" s="2">
        <v>75898</v>
      </c>
      <c r="I154" s="2">
        <v>15</v>
      </c>
      <c r="J154" s="2"/>
      <c r="K154" s="2">
        <v>37</v>
      </c>
      <c r="L154" s="2">
        <v>0</v>
      </c>
      <c r="M154" s="2">
        <v>12</v>
      </c>
      <c r="N154" s="2">
        <v>10</v>
      </c>
      <c r="O154" s="2">
        <v>10</v>
      </c>
      <c r="P154" s="2">
        <v>5</v>
      </c>
      <c r="Q154" s="2" t="s">
        <v>5552</v>
      </c>
      <c r="R154" s="2" t="s">
        <v>3509</v>
      </c>
      <c r="S154" s="4">
        <v>44958</v>
      </c>
    </row>
    <row r="155" spans="1:19" ht="12.5" x14ac:dyDescent="0.25">
      <c r="A155" s="14" t="str">
        <f>HYPERLINK("https://gerandofalcoes.my.salesforce.com/0014X00002YgglUQAR", "0014X00002YgglUQAR")</f>
        <v>0014X00002YgglUQAR</v>
      </c>
      <c r="B155" s="2" t="s">
        <v>3473</v>
      </c>
      <c r="C155" s="2" t="s">
        <v>423</v>
      </c>
      <c r="D155" s="2" t="s">
        <v>2</v>
      </c>
      <c r="E155" s="2"/>
      <c r="F155" s="2">
        <v>0</v>
      </c>
      <c r="G155" s="2">
        <v>2</v>
      </c>
      <c r="H155" s="2">
        <v>0</v>
      </c>
      <c r="I155" s="2">
        <v>0</v>
      </c>
      <c r="J155" s="2"/>
      <c r="K155" s="2">
        <v>6</v>
      </c>
      <c r="L155" s="2">
        <v>0</v>
      </c>
      <c r="M155" s="2">
        <v>0</v>
      </c>
      <c r="N155" s="2">
        <v>6</v>
      </c>
      <c r="O155" s="2">
        <v>0</v>
      </c>
      <c r="P155" s="2">
        <v>0</v>
      </c>
      <c r="Q155" s="2" t="s">
        <v>3474</v>
      </c>
      <c r="R155" s="2" t="s">
        <v>3475</v>
      </c>
      <c r="S155" s="4">
        <v>44958</v>
      </c>
    </row>
    <row r="156" spans="1:19" ht="12.5" x14ac:dyDescent="0.25">
      <c r="A156" s="14" t="str">
        <f>HYPERLINK("https://gerandofalcoes.my.salesforce.com/0014X00002YggluQAB", "0014X00002YggluQAB")</f>
        <v>0014X00002YggluQAB</v>
      </c>
      <c r="B156" s="2" t="s">
        <v>3524</v>
      </c>
      <c r="C156" s="2" t="s">
        <v>423</v>
      </c>
      <c r="D156" s="2" t="s">
        <v>2</v>
      </c>
      <c r="E156" s="2"/>
      <c r="F156" s="2">
        <v>0</v>
      </c>
      <c r="G156" s="2">
        <v>2</v>
      </c>
      <c r="H156" s="2">
        <v>3745000</v>
      </c>
      <c r="I156" s="2">
        <v>0</v>
      </c>
      <c r="J156" s="2"/>
      <c r="K156" s="2">
        <v>31</v>
      </c>
      <c r="L156" s="2">
        <v>0</v>
      </c>
      <c r="M156" s="2">
        <v>0</v>
      </c>
      <c r="N156" s="2">
        <v>6</v>
      </c>
      <c r="O156" s="2">
        <v>25</v>
      </c>
      <c r="P156" s="2">
        <v>0</v>
      </c>
      <c r="Q156" s="2" t="s">
        <v>3525</v>
      </c>
      <c r="R156" s="2" t="s">
        <v>3526</v>
      </c>
      <c r="S156" s="4">
        <v>44958</v>
      </c>
    </row>
    <row r="157" spans="1:19" ht="12.5" x14ac:dyDescent="0.25">
      <c r="A157" s="14" t="str">
        <f>HYPERLINK("https://gerandofalcoes.my.salesforce.com/0014X00002YggkQQAR", "0014X00002YggkQQAR")</f>
        <v>0014X00002YggkQQAR</v>
      </c>
      <c r="B157" s="2" t="s">
        <v>3461</v>
      </c>
      <c r="C157" s="2" t="s">
        <v>423</v>
      </c>
      <c r="D157" s="2" t="s">
        <v>2</v>
      </c>
      <c r="E157" s="2"/>
      <c r="F157" s="2">
        <v>5</v>
      </c>
      <c r="G157" s="2">
        <v>5</v>
      </c>
      <c r="H157" s="2">
        <v>3000</v>
      </c>
      <c r="I157" s="2">
        <v>250</v>
      </c>
      <c r="J157" s="2"/>
      <c r="K157" s="2">
        <v>32</v>
      </c>
      <c r="L157" s="2">
        <v>0</v>
      </c>
      <c r="M157" s="2">
        <v>5</v>
      </c>
      <c r="N157" s="2">
        <v>10</v>
      </c>
      <c r="O157" s="2">
        <v>5</v>
      </c>
      <c r="P157" s="2">
        <v>12</v>
      </c>
      <c r="Q157" s="2" t="s">
        <v>3462</v>
      </c>
      <c r="R157" s="2" t="s">
        <v>3463</v>
      </c>
      <c r="S157" s="4">
        <v>44958</v>
      </c>
    </row>
    <row r="158" spans="1:19" ht="12.5" x14ac:dyDescent="0.25">
      <c r="A158" s="14" t="str">
        <f>HYPERLINK("https://gerandofalcoes.my.salesforce.com/0014X00002Yggn8QAB", "0014X00002Yggn8QAB")</f>
        <v>0014X00002Yggn8QAB</v>
      </c>
      <c r="B158" s="2" t="s">
        <v>3497</v>
      </c>
      <c r="C158" s="2" t="s">
        <v>423</v>
      </c>
      <c r="D158" s="2" t="s">
        <v>2</v>
      </c>
      <c r="E158" s="2"/>
      <c r="F158" s="2">
        <v>0</v>
      </c>
      <c r="G158" s="2">
        <v>2</v>
      </c>
      <c r="H158" s="2">
        <v>0</v>
      </c>
      <c r="I158" s="2">
        <v>30</v>
      </c>
      <c r="J158" s="2"/>
      <c r="K158" s="2">
        <v>11</v>
      </c>
      <c r="L158" s="2">
        <v>0</v>
      </c>
      <c r="M158" s="2">
        <v>0</v>
      </c>
      <c r="N158" s="2">
        <v>6</v>
      </c>
      <c r="O158" s="2">
        <v>0</v>
      </c>
      <c r="P158" s="2">
        <v>5</v>
      </c>
      <c r="Q158" s="2" t="s">
        <v>3498</v>
      </c>
      <c r="R158" s="2" t="s">
        <v>3499</v>
      </c>
      <c r="S158" s="4">
        <v>44958</v>
      </c>
    </row>
    <row r="159" spans="1:19" ht="12.5" x14ac:dyDescent="0.25">
      <c r="A159" s="14" t="str">
        <f>HYPERLINK("https://gerandofalcoes.my.salesforce.com/0014X00002YggpTQAR", "0014X00002YggpTQAR")</f>
        <v>0014X00002YggpTQAR</v>
      </c>
      <c r="B159" s="2" t="s">
        <v>3438</v>
      </c>
      <c r="C159" s="2" t="s">
        <v>423</v>
      </c>
      <c r="D159" s="2" t="s">
        <v>2</v>
      </c>
      <c r="E159" s="2"/>
      <c r="F159" s="2">
        <v>0</v>
      </c>
      <c r="G159" s="2">
        <v>2</v>
      </c>
      <c r="H159" s="2">
        <v>0</v>
      </c>
      <c r="I159" s="2">
        <v>0</v>
      </c>
      <c r="J159" s="2"/>
      <c r="K159" s="2">
        <v>6</v>
      </c>
      <c r="L159" s="2">
        <v>0</v>
      </c>
      <c r="M159" s="2">
        <v>0</v>
      </c>
      <c r="N159" s="2">
        <v>6</v>
      </c>
      <c r="O159" s="2">
        <v>0</v>
      </c>
      <c r="P159" s="2">
        <v>0</v>
      </c>
      <c r="Q159" s="2" t="s">
        <v>3439</v>
      </c>
      <c r="R159" s="2" t="s">
        <v>3439</v>
      </c>
      <c r="S159" s="4">
        <v>44958</v>
      </c>
    </row>
    <row r="160" spans="1:19" ht="12.5" x14ac:dyDescent="0.25">
      <c r="A160" s="14" t="str">
        <f>HYPERLINK("https://gerandofalcoes.my.salesforce.com/0014X00002Yggm2QAB", "0014X00002Yggm2QAB")</f>
        <v>0014X00002Yggm2QAB</v>
      </c>
      <c r="B160" s="2" t="s">
        <v>3527</v>
      </c>
      <c r="C160" s="2" t="s">
        <v>423</v>
      </c>
      <c r="D160" s="2" t="s">
        <v>2</v>
      </c>
      <c r="E160" s="2"/>
      <c r="F160" s="2">
        <v>0</v>
      </c>
      <c r="G160" s="2">
        <v>2</v>
      </c>
      <c r="H160" s="2">
        <v>2000</v>
      </c>
      <c r="I160" s="2">
        <v>0</v>
      </c>
      <c r="J160" s="2"/>
      <c r="K160" s="2">
        <v>11</v>
      </c>
      <c r="L160" s="2">
        <v>0</v>
      </c>
      <c r="M160" s="2">
        <v>0</v>
      </c>
      <c r="N160" s="2">
        <v>6</v>
      </c>
      <c r="O160" s="2">
        <v>5</v>
      </c>
      <c r="P160" s="2">
        <v>0</v>
      </c>
      <c r="Q160" s="2" t="s">
        <v>3528</v>
      </c>
      <c r="R160" s="2" t="s">
        <v>3529</v>
      </c>
      <c r="S160" s="4">
        <v>44958</v>
      </c>
    </row>
    <row r="161" spans="1:19" ht="12.5" x14ac:dyDescent="0.25">
      <c r="A161" s="14" t="str">
        <f>HYPERLINK("https://gerandofalcoes.my.salesforce.com/0014X00002YggmuQAB", "0014X00002YggmuQAB")</f>
        <v>0014X00002YggmuQAB</v>
      </c>
      <c r="B161" s="2" t="s">
        <v>3464</v>
      </c>
      <c r="C161" s="2" t="s">
        <v>423</v>
      </c>
      <c r="D161" s="2" t="s">
        <v>2</v>
      </c>
      <c r="E161" s="2"/>
      <c r="F161" s="2">
        <v>0</v>
      </c>
      <c r="G161" s="2">
        <v>3</v>
      </c>
      <c r="H161" s="2">
        <v>11000</v>
      </c>
      <c r="I161" s="2">
        <v>67</v>
      </c>
      <c r="J161" s="2"/>
      <c r="K161" s="2">
        <v>18</v>
      </c>
      <c r="L161" s="2">
        <v>0</v>
      </c>
      <c r="M161" s="2">
        <v>0</v>
      </c>
      <c r="N161" s="2">
        <v>8</v>
      </c>
      <c r="O161" s="2">
        <v>5</v>
      </c>
      <c r="P161" s="2">
        <v>5</v>
      </c>
      <c r="Q161" s="2" t="s">
        <v>3465</v>
      </c>
      <c r="R161" s="2" t="s">
        <v>3466</v>
      </c>
      <c r="S161" s="4">
        <v>44958</v>
      </c>
    </row>
    <row r="162" spans="1:19" ht="12.5" x14ac:dyDescent="0.25">
      <c r="A162" s="14" t="str">
        <f>HYPERLINK("https://gerandofalcoes.my.salesforce.com/0014X00002Yggk5QAB", "0014X00002Yggk5QAB")</f>
        <v>0014X00002Yggk5QAB</v>
      </c>
      <c r="B162" s="2" t="s">
        <v>3413</v>
      </c>
      <c r="C162" s="2" t="s">
        <v>423</v>
      </c>
      <c r="D162" s="2" t="s">
        <v>2</v>
      </c>
      <c r="E162" s="2"/>
      <c r="F162" s="2">
        <v>27</v>
      </c>
      <c r="G162" s="2">
        <v>4</v>
      </c>
      <c r="H162" s="2">
        <v>30000</v>
      </c>
      <c r="I162" s="2">
        <v>25</v>
      </c>
      <c r="J162" s="2"/>
      <c r="K162" s="2">
        <v>37</v>
      </c>
      <c r="L162" s="2">
        <v>0</v>
      </c>
      <c r="M162" s="2">
        <v>12</v>
      </c>
      <c r="N162" s="2">
        <v>10</v>
      </c>
      <c r="O162" s="2">
        <v>10</v>
      </c>
      <c r="P162" s="2">
        <v>5</v>
      </c>
      <c r="Q162" s="2" t="s">
        <v>3414</v>
      </c>
      <c r="R162" s="2" t="s">
        <v>3415</v>
      </c>
      <c r="S162" s="4">
        <v>44958</v>
      </c>
    </row>
    <row r="163" spans="1:19" ht="12.5" x14ac:dyDescent="0.25">
      <c r="A163" s="14" t="str">
        <f>HYPERLINK("https://gerandofalcoes.my.salesforce.com/0014X00002Yggl1QAB", "0014X00002Yggl1QAB")</f>
        <v>0014X00002Yggl1QAB</v>
      </c>
      <c r="B163" s="2" t="s">
        <v>3530</v>
      </c>
      <c r="C163" s="2" t="s">
        <v>423</v>
      </c>
      <c r="D163" s="2" t="s">
        <v>2</v>
      </c>
      <c r="E163" s="2"/>
      <c r="F163" s="2">
        <v>0</v>
      </c>
      <c r="G163" s="2">
        <v>2</v>
      </c>
      <c r="H163" s="2">
        <v>1000</v>
      </c>
      <c r="I163" s="2">
        <v>0</v>
      </c>
      <c r="J163" s="2"/>
      <c r="K163" s="2">
        <v>11</v>
      </c>
      <c r="L163" s="2">
        <v>0</v>
      </c>
      <c r="M163" s="2">
        <v>0</v>
      </c>
      <c r="N163" s="2">
        <v>6</v>
      </c>
      <c r="O163" s="2">
        <v>5</v>
      </c>
      <c r="P163" s="2">
        <v>0</v>
      </c>
      <c r="Q163" s="2" t="s">
        <v>3531</v>
      </c>
      <c r="R163" s="2" t="s">
        <v>3531</v>
      </c>
      <c r="S163" s="4">
        <v>44958</v>
      </c>
    </row>
    <row r="164" spans="1:19" ht="12.5" x14ac:dyDescent="0.25">
      <c r="A164" s="14" t="str">
        <f>HYPERLINK("https://gerandofalcoes.my.salesforce.com/0014X00002YggmxQAB", "0014X00002YggmxQAB")</f>
        <v>0014X00002YggmxQAB</v>
      </c>
      <c r="B164" s="2" t="s">
        <v>3429</v>
      </c>
      <c r="C164" s="2" t="s">
        <v>423</v>
      </c>
      <c r="D164" s="2" t="s">
        <v>2</v>
      </c>
      <c r="E164" s="2"/>
      <c r="F164" s="2">
        <v>0</v>
      </c>
      <c r="G164" s="2">
        <v>2</v>
      </c>
      <c r="H164" s="2">
        <v>30000</v>
      </c>
      <c r="I164" s="2">
        <v>120</v>
      </c>
      <c r="J164" s="2"/>
      <c r="K164" s="2">
        <v>26</v>
      </c>
      <c r="L164" s="2">
        <v>0</v>
      </c>
      <c r="M164" s="2">
        <v>0</v>
      </c>
      <c r="N164" s="2">
        <v>6</v>
      </c>
      <c r="O164" s="2">
        <v>10</v>
      </c>
      <c r="P164" s="2">
        <v>10</v>
      </c>
      <c r="Q164" s="2" t="s">
        <v>3430</v>
      </c>
      <c r="R164" s="2" t="s">
        <v>3431</v>
      </c>
      <c r="S164" s="4">
        <v>44958</v>
      </c>
    </row>
    <row r="165" spans="1:19" ht="12.5" x14ac:dyDescent="0.25">
      <c r="A165" s="14" t="str">
        <f>HYPERLINK("https://gerandofalcoes.my.salesforce.com/0014X00002YggqsQAB", "0014X00002YggqsQAB")</f>
        <v>0014X00002YggqsQAB</v>
      </c>
      <c r="B165" s="2" t="s">
        <v>3395</v>
      </c>
      <c r="C165" s="2" t="s">
        <v>423</v>
      </c>
      <c r="D165" s="2" t="s">
        <v>2</v>
      </c>
      <c r="E165" s="2"/>
      <c r="F165" s="2">
        <v>230</v>
      </c>
      <c r="G165" s="2">
        <v>3</v>
      </c>
      <c r="H165" s="2">
        <v>10000</v>
      </c>
      <c r="I165" s="2">
        <v>180</v>
      </c>
      <c r="J165" s="2"/>
      <c r="K165" s="2">
        <v>40</v>
      </c>
      <c r="L165" s="2">
        <v>0</v>
      </c>
      <c r="M165" s="2">
        <v>15</v>
      </c>
      <c r="N165" s="2">
        <v>8</v>
      </c>
      <c r="O165" s="2">
        <v>5</v>
      </c>
      <c r="P165" s="2">
        <v>12</v>
      </c>
      <c r="Q165" s="2" t="s">
        <v>3396</v>
      </c>
      <c r="R165" s="2" t="s">
        <v>3396</v>
      </c>
      <c r="S165" s="4">
        <v>44958</v>
      </c>
    </row>
    <row r="166" spans="1:19" ht="12.5" x14ac:dyDescent="0.25">
      <c r="A166" s="14" t="str">
        <f>HYPERLINK("https://gerandofalcoes.my.salesforce.com/0014X00002YgggHQAR", "0014X00002YgggHQAR")</f>
        <v>0014X00002YgggHQAR</v>
      </c>
      <c r="B166" s="2" t="s">
        <v>3512</v>
      </c>
      <c r="C166" s="2" t="s">
        <v>423</v>
      </c>
      <c r="D166" s="2" t="s">
        <v>2</v>
      </c>
      <c r="E166" s="2"/>
      <c r="F166" s="2">
        <v>15</v>
      </c>
      <c r="G166" s="2">
        <v>4</v>
      </c>
      <c r="H166" s="2">
        <v>23000</v>
      </c>
      <c r="I166" s="2">
        <v>0</v>
      </c>
      <c r="J166" s="2"/>
      <c r="K166" s="2">
        <v>27</v>
      </c>
      <c r="L166" s="2">
        <v>0</v>
      </c>
      <c r="M166" s="2">
        <v>12</v>
      </c>
      <c r="N166" s="2">
        <v>10</v>
      </c>
      <c r="O166" s="2">
        <v>5</v>
      </c>
      <c r="P166" s="2">
        <v>0</v>
      </c>
      <c r="Q166" s="2" t="s">
        <v>3513</v>
      </c>
      <c r="R166" s="2" t="s">
        <v>3514</v>
      </c>
      <c r="S166" s="4">
        <v>44958</v>
      </c>
    </row>
    <row r="167" spans="1:19" ht="12.5" x14ac:dyDescent="0.25">
      <c r="A167" s="14" t="str">
        <f>HYPERLINK("https://gerandofalcoes.my.salesforce.com/0014X00002Yggi3QAB", "0014X00002Yggi3QAB")</f>
        <v>0014X00002Yggi3QAB</v>
      </c>
      <c r="B167" s="2" t="s">
        <v>3558</v>
      </c>
      <c r="C167" s="2" t="s">
        <v>423</v>
      </c>
      <c r="D167" s="2" t="s">
        <v>2</v>
      </c>
      <c r="E167" s="2"/>
      <c r="F167" s="2">
        <v>0</v>
      </c>
      <c r="G167" s="2">
        <v>2</v>
      </c>
      <c r="H167" s="2">
        <v>3000</v>
      </c>
      <c r="I167" s="2">
        <v>0</v>
      </c>
      <c r="J167" s="2"/>
      <c r="K167" s="2">
        <v>11</v>
      </c>
      <c r="L167" s="2">
        <v>0</v>
      </c>
      <c r="M167" s="2">
        <v>0</v>
      </c>
      <c r="N167" s="2">
        <v>6</v>
      </c>
      <c r="O167" s="2">
        <v>5</v>
      </c>
      <c r="P167" s="2">
        <v>0</v>
      </c>
      <c r="Q167" s="2" t="s">
        <v>3559</v>
      </c>
      <c r="R167" s="2" t="s">
        <v>3559</v>
      </c>
      <c r="S167" s="4">
        <v>44959</v>
      </c>
    </row>
    <row r="168" spans="1:19" ht="12.5" x14ac:dyDescent="0.25">
      <c r="A168" s="14" t="str">
        <f>HYPERLINK("https://gerandofalcoes.my.salesforce.com/0014X00002YgghYQAR", "0014X00002YgghYQAR")</f>
        <v>0014X00002YgghYQAR</v>
      </c>
      <c r="B168" s="2" t="s">
        <v>3545</v>
      </c>
      <c r="C168" s="2" t="s">
        <v>423</v>
      </c>
      <c r="D168" s="2" t="s">
        <v>2</v>
      </c>
      <c r="E168" s="2"/>
      <c r="F168" s="2">
        <v>10</v>
      </c>
      <c r="G168" s="2">
        <v>3</v>
      </c>
      <c r="H168" s="2">
        <v>5000</v>
      </c>
      <c r="I168" s="2">
        <v>0</v>
      </c>
      <c r="J168" s="2"/>
      <c r="K168" s="2">
        <v>23</v>
      </c>
      <c r="L168" s="2">
        <v>0</v>
      </c>
      <c r="M168" s="2">
        <v>10</v>
      </c>
      <c r="N168" s="2">
        <v>8</v>
      </c>
      <c r="O168" s="2">
        <v>5</v>
      </c>
      <c r="P168" s="2">
        <v>0</v>
      </c>
      <c r="Q168" s="2" t="s">
        <v>3546</v>
      </c>
      <c r="R168" s="2" t="s">
        <v>3546</v>
      </c>
      <c r="S168" s="4">
        <v>44959</v>
      </c>
    </row>
    <row r="169" spans="1:19" ht="12.5" x14ac:dyDescent="0.25">
      <c r="A169" s="14" t="str">
        <f>HYPERLINK("https://gerandofalcoes.my.salesforce.com/0014X00002YggmwQAB", "0014X00002YggmwQAB")</f>
        <v>0014X00002YggmwQAB</v>
      </c>
      <c r="B169" s="2" t="s">
        <v>3532</v>
      </c>
      <c r="C169" s="2" t="s">
        <v>423</v>
      </c>
      <c r="D169" s="2" t="s">
        <v>2</v>
      </c>
      <c r="E169" s="2"/>
      <c r="F169" s="2">
        <v>0</v>
      </c>
      <c r="G169" s="2">
        <v>3</v>
      </c>
      <c r="H169" s="2">
        <v>320618</v>
      </c>
      <c r="I169" s="2">
        <v>200</v>
      </c>
      <c r="J169" s="2"/>
      <c r="K169" s="2">
        <v>40</v>
      </c>
      <c r="L169" s="2">
        <v>0</v>
      </c>
      <c r="M169" s="2">
        <v>0</v>
      </c>
      <c r="N169" s="2">
        <v>8</v>
      </c>
      <c r="O169" s="2">
        <v>20</v>
      </c>
      <c r="P169" s="2">
        <v>12</v>
      </c>
      <c r="Q169" s="2" t="s">
        <v>3533</v>
      </c>
      <c r="R169" s="2" t="s">
        <v>3534</v>
      </c>
      <c r="S169" s="4">
        <v>44959</v>
      </c>
    </row>
    <row r="170" spans="1:19" ht="12.5" x14ac:dyDescent="0.25">
      <c r="A170" s="14" t="str">
        <f>HYPERLINK("https://gerandofalcoes.my.salesforce.com/0014X00002YggqFQAR", "0014X00002YggqFQAR")</f>
        <v>0014X00002YggqFQAR</v>
      </c>
      <c r="B170" s="2" t="s">
        <v>3571</v>
      </c>
      <c r="C170" s="2" t="s">
        <v>423</v>
      </c>
      <c r="D170" s="2" t="s">
        <v>2</v>
      </c>
      <c r="E170" s="2"/>
      <c r="F170" s="2">
        <v>20</v>
      </c>
      <c r="G170" s="2">
        <v>5</v>
      </c>
      <c r="H170" s="2">
        <v>128992691</v>
      </c>
      <c r="I170" s="2">
        <v>314</v>
      </c>
      <c r="J170" s="2"/>
      <c r="K170" s="2">
        <v>62</v>
      </c>
      <c r="L170" s="2">
        <v>0</v>
      </c>
      <c r="M170" s="2">
        <v>12</v>
      </c>
      <c r="N170" s="2">
        <v>10</v>
      </c>
      <c r="O170" s="2">
        <v>25</v>
      </c>
      <c r="P170" s="2">
        <v>15</v>
      </c>
      <c r="Q170" s="2" t="s">
        <v>3572</v>
      </c>
      <c r="R170" s="2" t="s">
        <v>3573</v>
      </c>
      <c r="S170" s="4">
        <v>44960</v>
      </c>
    </row>
    <row r="171" spans="1:19" ht="12.5" x14ac:dyDescent="0.25">
      <c r="A171" s="14" t="str">
        <f>HYPERLINK("https://gerandofalcoes.my.salesforce.com/0014X00002YggqWQAR", "0014X00002YggqWQAR")</f>
        <v>0014X00002YggqWQAR</v>
      </c>
      <c r="B171" s="2" t="s">
        <v>3574</v>
      </c>
      <c r="C171" s="2" t="s">
        <v>423</v>
      </c>
      <c r="D171" s="2" t="s">
        <v>2</v>
      </c>
      <c r="E171" s="2"/>
      <c r="F171" s="2">
        <v>18</v>
      </c>
      <c r="G171" s="2">
        <v>12</v>
      </c>
      <c r="H171" s="2">
        <v>10000</v>
      </c>
      <c r="I171" s="2">
        <v>200</v>
      </c>
      <c r="J171" s="2"/>
      <c r="K171" s="2">
        <v>39</v>
      </c>
      <c r="L171" s="2">
        <v>0</v>
      </c>
      <c r="M171" s="2">
        <v>12</v>
      </c>
      <c r="N171" s="2">
        <v>10</v>
      </c>
      <c r="O171" s="2">
        <v>5</v>
      </c>
      <c r="P171" s="2">
        <v>12</v>
      </c>
      <c r="Q171" s="2" t="s">
        <v>3575</v>
      </c>
      <c r="R171" s="2" t="s">
        <v>3576</v>
      </c>
      <c r="S171" s="4">
        <v>44960</v>
      </c>
    </row>
    <row r="172" spans="1:19" ht="12.5" x14ac:dyDescent="0.25">
      <c r="A172" s="14" t="str">
        <f>HYPERLINK("https://gerandofalcoes.my.salesforce.com/0014X00002Yggo6QAB", "0014X00002Yggo6QAB")</f>
        <v>0014X00002Yggo6QAB</v>
      </c>
      <c r="B172" s="2" t="s">
        <v>3560</v>
      </c>
      <c r="C172" s="2" t="s">
        <v>423</v>
      </c>
      <c r="D172" s="2" t="s">
        <v>2</v>
      </c>
      <c r="E172" s="2"/>
      <c r="F172" s="2">
        <v>2</v>
      </c>
      <c r="G172" s="2">
        <v>4</v>
      </c>
      <c r="H172" s="2">
        <v>38000</v>
      </c>
      <c r="I172" s="2">
        <v>30</v>
      </c>
      <c r="J172" s="2"/>
      <c r="K172" s="2">
        <v>30</v>
      </c>
      <c r="L172" s="2">
        <v>0</v>
      </c>
      <c r="M172" s="2">
        <v>5</v>
      </c>
      <c r="N172" s="2">
        <v>10</v>
      </c>
      <c r="O172" s="2">
        <v>10</v>
      </c>
      <c r="P172" s="2">
        <v>5</v>
      </c>
      <c r="Q172" s="2" t="s">
        <v>3561</v>
      </c>
      <c r="R172" s="2" t="s">
        <v>3562</v>
      </c>
      <c r="S172" s="4">
        <v>44960</v>
      </c>
    </row>
    <row r="173" spans="1:19" ht="12.5" x14ac:dyDescent="0.25">
      <c r="A173" s="14" t="str">
        <f>HYPERLINK("https://gerandofalcoes.my.salesforce.com/0014X00002YgghaQAB", "0014X00002YgghaQAB")</f>
        <v>0014X00002YgghaQAB</v>
      </c>
      <c r="B173" s="2" t="s">
        <v>7173</v>
      </c>
      <c r="C173" s="2" t="s">
        <v>423</v>
      </c>
      <c r="D173" s="2" t="s">
        <v>2</v>
      </c>
      <c r="E173" s="2"/>
      <c r="F173" s="2">
        <v>0</v>
      </c>
      <c r="G173" s="2">
        <v>3</v>
      </c>
      <c r="H173" s="2">
        <v>11000</v>
      </c>
      <c r="I173" s="2">
        <v>100</v>
      </c>
      <c r="J173" s="2"/>
      <c r="K173" s="2">
        <v>23</v>
      </c>
      <c r="L173" s="2">
        <v>0</v>
      </c>
      <c r="M173" s="2">
        <v>0</v>
      </c>
      <c r="N173" s="2">
        <v>8</v>
      </c>
      <c r="O173" s="2">
        <v>5</v>
      </c>
      <c r="P173" s="2">
        <v>10</v>
      </c>
      <c r="Q173" s="2" t="s">
        <v>3581</v>
      </c>
      <c r="R173" s="2" t="s">
        <v>3582</v>
      </c>
      <c r="S173" s="4">
        <v>44961</v>
      </c>
    </row>
    <row r="174" spans="1:19" ht="12.5" x14ac:dyDescent="0.25">
      <c r="A174" s="14" t="str">
        <f>HYPERLINK("https://gerandofalcoes.my.salesforce.com/0014X00002YggqEQAR", "0014X00002YggqEQAR")</f>
        <v>0014X00002YggqEQAR</v>
      </c>
      <c r="B174" s="2" t="s">
        <v>3577</v>
      </c>
      <c r="C174" s="2" t="s">
        <v>423</v>
      </c>
      <c r="D174" s="2" t="s">
        <v>2</v>
      </c>
      <c r="E174" s="2"/>
      <c r="F174" s="2">
        <v>16</v>
      </c>
      <c r="G174" s="2">
        <v>2</v>
      </c>
      <c r="H174" s="2">
        <v>450000</v>
      </c>
      <c r="I174" s="2">
        <v>300</v>
      </c>
      <c r="J174" s="2"/>
      <c r="K174" s="2">
        <v>53</v>
      </c>
      <c r="L174" s="2">
        <v>0</v>
      </c>
      <c r="M174" s="2">
        <v>12</v>
      </c>
      <c r="N174" s="2">
        <v>6</v>
      </c>
      <c r="O174" s="2">
        <v>20</v>
      </c>
      <c r="P174" s="2">
        <v>15</v>
      </c>
      <c r="Q174" s="2" t="s">
        <v>3578</v>
      </c>
      <c r="R174" s="2" t="s">
        <v>3579</v>
      </c>
      <c r="S174" s="4">
        <v>44961</v>
      </c>
    </row>
    <row r="175" spans="1:19" ht="12.5" x14ac:dyDescent="0.25">
      <c r="A175" s="14" t="str">
        <f>HYPERLINK("https://gerandofalcoes.my.salesforce.com/0014X00002YggnZQAR", "0014X00002YggnZQAR")</f>
        <v>0014X00002YggnZQAR</v>
      </c>
      <c r="B175" s="2" t="s">
        <v>3603</v>
      </c>
      <c r="C175" s="2" t="s">
        <v>423</v>
      </c>
      <c r="D175" s="2" t="s">
        <v>2</v>
      </c>
      <c r="E175" s="2"/>
      <c r="F175" s="2">
        <v>15</v>
      </c>
      <c r="G175" s="2">
        <v>2</v>
      </c>
      <c r="H175" s="2">
        <v>0</v>
      </c>
      <c r="I175" s="2">
        <v>60</v>
      </c>
      <c r="J175" s="2"/>
      <c r="K175" s="2">
        <v>23</v>
      </c>
      <c r="L175" s="2">
        <v>0</v>
      </c>
      <c r="M175" s="2">
        <v>12</v>
      </c>
      <c r="N175" s="2">
        <v>6</v>
      </c>
      <c r="O175" s="2">
        <v>0</v>
      </c>
      <c r="P175" s="2">
        <v>5</v>
      </c>
      <c r="Q175" s="2" t="s">
        <v>3604</v>
      </c>
      <c r="R175" s="2" t="s">
        <v>3604</v>
      </c>
      <c r="S175" s="4">
        <v>44962</v>
      </c>
    </row>
    <row r="176" spans="1:19" ht="12.5" x14ac:dyDescent="0.25">
      <c r="A176" s="14" t="str">
        <f>HYPERLINK("https://gerandofalcoes.my.salesforce.com/0014X00002Yggq4QAB", "0014X00002Yggq4QAB")</f>
        <v>0014X00002Yggq4QAB</v>
      </c>
      <c r="B176" s="2" t="s">
        <v>3594</v>
      </c>
      <c r="C176" s="2" t="s">
        <v>423</v>
      </c>
      <c r="D176" s="2" t="s">
        <v>2</v>
      </c>
      <c r="E176" s="2"/>
      <c r="F176" s="2">
        <v>4</v>
      </c>
      <c r="G176" s="2">
        <v>5</v>
      </c>
      <c r="H176" s="2">
        <v>57800</v>
      </c>
      <c r="I176" s="2">
        <v>60</v>
      </c>
      <c r="J176" s="2"/>
      <c r="K176" s="2">
        <v>30</v>
      </c>
      <c r="L176" s="2">
        <v>0</v>
      </c>
      <c r="M176" s="2">
        <v>5</v>
      </c>
      <c r="N176" s="2">
        <v>10</v>
      </c>
      <c r="O176" s="2">
        <v>10</v>
      </c>
      <c r="P176" s="2">
        <v>5</v>
      </c>
      <c r="Q176" s="2" t="s">
        <v>3595</v>
      </c>
      <c r="R176" s="2" t="s">
        <v>3596</v>
      </c>
      <c r="S176" s="4">
        <v>44962</v>
      </c>
    </row>
    <row r="177" spans="1:19" ht="12.5" x14ac:dyDescent="0.25">
      <c r="A177" s="14" t="str">
        <f>HYPERLINK("https://gerandofalcoes.my.salesforce.com/0014X00002YggqpQAB", "0014X00002YggqpQAB")</f>
        <v>0014X00002YggqpQAB</v>
      </c>
      <c r="B177" s="2" t="s">
        <v>3626</v>
      </c>
      <c r="C177" s="2" t="s">
        <v>423</v>
      </c>
      <c r="D177" s="2" t="s">
        <v>2</v>
      </c>
      <c r="E177" s="2"/>
      <c r="F177" s="2">
        <v>0</v>
      </c>
      <c r="G177" s="2">
        <v>2</v>
      </c>
      <c r="H177" s="2">
        <v>146129</v>
      </c>
      <c r="I177" s="2">
        <v>250</v>
      </c>
      <c r="J177" s="2"/>
      <c r="K177" s="2">
        <v>33</v>
      </c>
      <c r="L177" s="2">
        <v>0</v>
      </c>
      <c r="M177" s="2">
        <v>0</v>
      </c>
      <c r="N177" s="2">
        <v>6</v>
      </c>
      <c r="O177" s="2">
        <v>15</v>
      </c>
      <c r="P177" s="2">
        <v>12</v>
      </c>
      <c r="Q177" s="2" t="s">
        <v>3627</v>
      </c>
      <c r="R177" s="2" t="s">
        <v>2993</v>
      </c>
      <c r="S177" s="4">
        <v>44963</v>
      </c>
    </row>
    <row r="178" spans="1:19" ht="12.5" x14ac:dyDescent="0.25">
      <c r="A178" s="14" t="str">
        <f>HYPERLINK("https://gerandofalcoes.my.salesforce.com/0014X00002YggphQAB", "0014X00002YggphQAB")</f>
        <v>0014X00002YggphQAB</v>
      </c>
      <c r="B178" s="2" t="s">
        <v>3620</v>
      </c>
      <c r="C178" s="2" t="s">
        <v>423</v>
      </c>
      <c r="D178" s="2" t="s">
        <v>2</v>
      </c>
      <c r="E178" s="2"/>
      <c r="F178" s="2">
        <v>9</v>
      </c>
      <c r="G178" s="2">
        <v>27</v>
      </c>
      <c r="H178" s="2">
        <v>15000</v>
      </c>
      <c r="I178" s="2">
        <v>20</v>
      </c>
      <c r="J178" s="2"/>
      <c r="K178" s="2">
        <v>30</v>
      </c>
      <c r="L178" s="2">
        <v>0</v>
      </c>
      <c r="M178" s="2">
        <v>10</v>
      </c>
      <c r="N178" s="2">
        <v>10</v>
      </c>
      <c r="O178" s="2">
        <v>5</v>
      </c>
      <c r="P178" s="2">
        <v>5</v>
      </c>
      <c r="Q178" s="2" t="s">
        <v>3621</v>
      </c>
      <c r="R178" s="2" t="s">
        <v>3622</v>
      </c>
      <c r="S178" s="4">
        <v>44963</v>
      </c>
    </row>
    <row r="179" spans="1:19" ht="12.5" x14ac:dyDescent="0.25">
      <c r="A179" s="14" t="str">
        <f>HYPERLINK("https://gerandofalcoes.my.salesforce.com/0014X00002YggpqQAB", "0014X00002YggpqQAB")</f>
        <v>0014X00002YggpqQAB</v>
      </c>
      <c r="B179" s="2" t="s">
        <v>3623</v>
      </c>
      <c r="C179" s="2" t="s">
        <v>423</v>
      </c>
      <c r="D179" s="2" t="s">
        <v>2</v>
      </c>
      <c r="E179" s="2"/>
      <c r="F179" s="2">
        <v>0</v>
      </c>
      <c r="G179" s="2">
        <v>4</v>
      </c>
      <c r="H179" s="2">
        <v>0</v>
      </c>
      <c r="I179" s="2">
        <v>300</v>
      </c>
      <c r="J179" s="2"/>
      <c r="K179" s="2">
        <v>25</v>
      </c>
      <c r="L179" s="2">
        <v>0</v>
      </c>
      <c r="M179" s="2">
        <v>0</v>
      </c>
      <c r="N179" s="2">
        <v>10</v>
      </c>
      <c r="O179" s="2">
        <v>0</v>
      </c>
      <c r="P179" s="2">
        <v>15</v>
      </c>
      <c r="Q179" s="2" t="s">
        <v>3624</v>
      </c>
      <c r="R179" s="2" t="s">
        <v>3625</v>
      </c>
      <c r="S179" s="4">
        <v>44963</v>
      </c>
    </row>
    <row r="180" spans="1:19" ht="12.5" x14ac:dyDescent="0.25">
      <c r="A180" s="14" t="str">
        <f>HYPERLINK("https://gerandofalcoes.my.salesforce.com/0014X00002YggkeQAB", "0014X00002YggkeQAB")</f>
        <v>0014X00002YggkeQAB</v>
      </c>
      <c r="B180" s="2" t="s">
        <v>3660</v>
      </c>
      <c r="C180" s="2" t="s">
        <v>423</v>
      </c>
      <c r="D180" s="2" t="s">
        <v>2</v>
      </c>
      <c r="E180" s="2"/>
      <c r="F180" s="2">
        <v>1</v>
      </c>
      <c r="G180" s="2">
        <v>2</v>
      </c>
      <c r="H180" s="2">
        <v>0</v>
      </c>
      <c r="I180" s="2">
        <v>80</v>
      </c>
      <c r="J180" s="2"/>
      <c r="K180" s="2">
        <v>21</v>
      </c>
      <c r="L180" s="2">
        <v>0</v>
      </c>
      <c r="M180" s="2">
        <v>5</v>
      </c>
      <c r="N180" s="2">
        <v>6</v>
      </c>
      <c r="O180" s="2">
        <v>0</v>
      </c>
      <c r="P180" s="2">
        <v>10</v>
      </c>
      <c r="Q180" s="2" t="s">
        <v>3661</v>
      </c>
      <c r="R180" s="2" t="s">
        <v>3661</v>
      </c>
      <c r="S180" s="4">
        <v>44964</v>
      </c>
    </row>
    <row r="181" spans="1:19" ht="12.5" x14ac:dyDescent="0.25">
      <c r="A181" s="14" t="str">
        <f>HYPERLINK("https://gerandofalcoes.my.salesforce.com/0014X00002YggqTQAR", "0014X00002YggqTQAR")</f>
        <v>0014X00002YggqTQAR</v>
      </c>
      <c r="B181" s="2" t="s">
        <v>3683</v>
      </c>
      <c r="C181" s="2" t="s">
        <v>423</v>
      </c>
      <c r="D181" s="2" t="s">
        <v>2</v>
      </c>
      <c r="E181" s="2"/>
      <c r="F181" s="2">
        <v>0</v>
      </c>
      <c r="G181" s="2">
        <v>3</v>
      </c>
      <c r="H181" s="2">
        <v>0</v>
      </c>
      <c r="I181" s="2">
        <v>0</v>
      </c>
      <c r="J181" s="2"/>
      <c r="K181" s="2">
        <v>8</v>
      </c>
      <c r="L181" s="2">
        <v>0</v>
      </c>
      <c r="M181" s="2">
        <v>0</v>
      </c>
      <c r="N181" s="2">
        <v>8</v>
      </c>
      <c r="O181" s="2">
        <v>0</v>
      </c>
      <c r="P181" s="2">
        <v>0</v>
      </c>
      <c r="Q181" s="2" t="s">
        <v>3684</v>
      </c>
      <c r="R181" s="2" t="s">
        <v>3685</v>
      </c>
      <c r="S181" s="4">
        <v>44964</v>
      </c>
    </row>
    <row r="182" spans="1:19" ht="12.5" x14ac:dyDescent="0.25">
      <c r="A182" s="14" t="str">
        <f>HYPERLINK("https://gerandofalcoes.my.salesforce.com/0014X00002bCkLgQAK", "0014X00002bCkLgQAK")</f>
        <v>0014X00002bCkLgQAK</v>
      </c>
      <c r="B182" s="2" t="s">
        <v>3657</v>
      </c>
      <c r="C182" s="2" t="s">
        <v>423</v>
      </c>
      <c r="D182" s="2" t="s">
        <v>2</v>
      </c>
      <c r="E182" s="2"/>
      <c r="F182" s="2">
        <v>6</v>
      </c>
      <c r="G182" s="2">
        <v>7</v>
      </c>
      <c r="H182" s="2">
        <v>20000</v>
      </c>
      <c r="I182" s="2">
        <v>0</v>
      </c>
      <c r="J182" s="2"/>
      <c r="K182" s="2">
        <v>25</v>
      </c>
      <c r="L182" s="2">
        <v>0</v>
      </c>
      <c r="M182" s="2">
        <v>10</v>
      </c>
      <c r="N182" s="2">
        <v>10</v>
      </c>
      <c r="O182" s="2">
        <v>5</v>
      </c>
      <c r="P182" s="2">
        <v>0</v>
      </c>
      <c r="Q182" s="2" t="s">
        <v>3658</v>
      </c>
      <c r="R182" s="2" t="s">
        <v>3659</v>
      </c>
      <c r="S182" s="4">
        <v>44964</v>
      </c>
    </row>
    <row r="183" spans="1:19" ht="12.5" x14ac:dyDescent="0.25">
      <c r="A183" s="14" t="str">
        <f>HYPERLINK("https://gerandofalcoes.my.salesforce.com/0014X00002YgghDQAR", "0014X00002YgghDQAR")</f>
        <v>0014X00002YgghDQAR</v>
      </c>
      <c r="B183" s="2" t="s">
        <v>3681</v>
      </c>
      <c r="C183" s="2" t="s">
        <v>423</v>
      </c>
      <c r="D183" s="2" t="s">
        <v>2</v>
      </c>
      <c r="E183" s="2"/>
      <c r="F183" s="2">
        <v>0</v>
      </c>
      <c r="G183" s="2">
        <v>4</v>
      </c>
      <c r="H183" s="2">
        <v>3000</v>
      </c>
      <c r="I183" s="2">
        <v>30</v>
      </c>
      <c r="J183" s="2"/>
      <c r="K183" s="2">
        <v>20</v>
      </c>
      <c r="L183" s="2">
        <v>0</v>
      </c>
      <c r="M183" s="2">
        <v>0</v>
      </c>
      <c r="N183" s="2">
        <v>10</v>
      </c>
      <c r="O183" s="2">
        <v>5</v>
      </c>
      <c r="P183" s="2">
        <v>5</v>
      </c>
      <c r="Q183" s="2" t="s">
        <v>3682</v>
      </c>
      <c r="R183" s="2" t="s">
        <v>3682</v>
      </c>
      <c r="S183" s="4">
        <v>44964</v>
      </c>
    </row>
    <row r="184" spans="1:19" ht="12.5" x14ac:dyDescent="0.25">
      <c r="A184" s="14" t="str">
        <f>HYPERLINK("https://gerandofalcoes.my.salesforce.com/0014X00002YggnoQAB", "0014X00002YggnoQAB")</f>
        <v>0014X00002YggnoQAB</v>
      </c>
      <c r="B184" s="2" t="s">
        <v>3644</v>
      </c>
      <c r="C184" s="2" t="s">
        <v>423</v>
      </c>
      <c r="D184" s="2" t="s">
        <v>2</v>
      </c>
      <c r="E184" s="2"/>
      <c r="F184" s="2">
        <v>11</v>
      </c>
      <c r="G184" s="2">
        <v>5</v>
      </c>
      <c r="H184" s="2">
        <v>442412</v>
      </c>
      <c r="I184" s="2">
        <v>200</v>
      </c>
      <c r="J184" s="2"/>
      <c r="K184" s="2">
        <v>54</v>
      </c>
      <c r="L184" s="2">
        <v>0</v>
      </c>
      <c r="M184" s="2">
        <v>12</v>
      </c>
      <c r="N184" s="2">
        <v>10</v>
      </c>
      <c r="O184" s="2">
        <v>20</v>
      </c>
      <c r="P184" s="2">
        <v>12</v>
      </c>
      <c r="Q184" s="2" t="s">
        <v>3645</v>
      </c>
      <c r="R184" s="2" t="s">
        <v>3646</v>
      </c>
      <c r="S184" s="4">
        <v>44964</v>
      </c>
    </row>
    <row r="185" spans="1:19" ht="12.5" x14ac:dyDescent="0.25">
      <c r="A185" s="14" t="str">
        <f>HYPERLINK("https://gerandofalcoes.my.salesforce.com/0014X00002YggowQAB", "0014X00002YggowQAB")</f>
        <v>0014X00002YggowQAB</v>
      </c>
      <c r="B185" s="2" t="s">
        <v>3750</v>
      </c>
      <c r="C185" s="2" t="s">
        <v>423</v>
      </c>
      <c r="D185" s="2" t="s">
        <v>2</v>
      </c>
      <c r="E185" s="2"/>
      <c r="F185" s="2">
        <v>0</v>
      </c>
      <c r="G185" s="2">
        <v>2</v>
      </c>
      <c r="H185" s="2">
        <v>0</v>
      </c>
      <c r="I185" s="2">
        <v>30</v>
      </c>
      <c r="J185" s="2"/>
      <c r="K185" s="2">
        <v>11</v>
      </c>
      <c r="L185" s="2">
        <v>0</v>
      </c>
      <c r="M185" s="2">
        <v>0</v>
      </c>
      <c r="N185" s="2">
        <v>6</v>
      </c>
      <c r="O185" s="2">
        <v>0</v>
      </c>
      <c r="P185" s="2">
        <v>5</v>
      </c>
      <c r="Q185" s="2" t="s">
        <v>3751</v>
      </c>
      <c r="R185" s="2" t="s">
        <v>3751</v>
      </c>
      <c r="S185" s="4">
        <v>44967</v>
      </c>
    </row>
    <row r="186" spans="1:19" ht="12.5" x14ac:dyDescent="0.25">
      <c r="A186" s="14" t="str">
        <f>HYPERLINK("https://gerandofalcoes.my.salesforce.com/0014X00002YggkFQAR", "0014X00002YggkFQAR")</f>
        <v>0014X00002YggkFQAR</v>
      </c>
      <c r="B186" s="2" t="s">
        <v>3716</v>
      </c>
      <c r="C186" s="2" t="s">
        <v>423</v>
      </c>
      <c r="D186" s="2" t="s">
        <v>2</v>
      </c>
      <c r="E186" s="2"/>
      <c r="F186" s="2">
        <v>0</v>
      </c>
      <c r="G186" s="2">
        <v>5</v>
      </c>
      <c r="H186" s="2">
        <v>8000</v>
      </c>
      <c r="I186" s="2">
        <v>50</v>
      </c>
      <c r="J186" s="2"/>
      <c r="K186" s="2">
        <v>20</v>
      </c>
      <c r="L186" s="2">
        <v>0</v>
      </c>
      <c r="M186" s="2">
        <v>0</v>
      </c>
      <c r="N186" s="2">
        <v>10</v>
      </c>
      <c r="O186" s="2">
        <v>5</v>
      </c>
      <c r="P186" s="2">
        <v>5</v>
      </c>
      <c r="Q186" s="2" t="s">
        <v>3717</v>
      </c>
      <c r="R186" s="2" t="s">
        <v>3718</v>
      </c>
      <c r="S186" s="4">
        <v>44967</v>
      </c>
    </row>
    <row r="187" spans="1:19" ht="12.5" x14ac:dyDescent="0.25">
      <c r="A187" s="14" t="str">
        <f>HYPERLINK("https://gerandofalcoes.my.salesforce.com/0014X00002YggpjQAB", "0014X00002YggpjQAB")</f>
        <v>0014X00002YggpjQAB</v>
      </c>
      <c r="B187" s="2" t="s">
        <v>3703</v>
      </c>
      <c r="C187" s="2" t="s">
        <v>423</v>
      </c>
      <c r="D187" s="2" t="s">
        <v>2</v>
      </c>
      <c r="E187" s="2"/>
      <c r="F187" s="2">
        <v>0</v>
      </c>
      <c r="G187" s="2">
        <v>3</v>
      </c>
      <c r="H187" s="2">
        <v>2000</v>
      </c>
      <c r="I187" s="2">
        <v>0</v>
      </c>
      <c r="J187" s="2"/>
      <c r="K187" s="2">
        <v>13</v>
      </c>
      <c r="L187" s="2">
        <v>0</v>
      </c>
      <c r="M187" s="2">
        <v>0</v>
      </c>
      <c r="N187" s="2">
        <v>8</v>
      </c>
      <c r="O187" s="2">
        <v>5</v>
      </c>
      <c r="P187" s="2">
        <v>0</v>
      </c>
      <c r="Q187" s="2" t="s">
        <v>3704</v>
      </c>
      <c r="R187" s="2" t="s">
        <v>3704</v>
      </c>
      <c r="S187" s="4">
        <v>44967</v>
      </c>
    </row>
    <row r="188" spans="1:19" ht="12.5" x14ac:dyDescent="0.25">
      <c r="A188" s="14" t="str">
        <f>HYPERLINK("https://gerandofalcoes.my.salesforce.com/0014X00002YggnYQAR", "0014X00002YggnYQAR")</f>
        <v>0014X00002YggnYQAR</v>
      </c>
      <c r="B188" s="2" t="s">
        <v>3763</v>
      </c>
      <c r="C188" s="2" t="s">
        <v>423</v>
      </c>
      <c r="D188" s="2" t="s">
        <v>2</v>
      </c>
      <c r="E188" s="2"/>
      <c r="F188" s="2">
        <v>127</v>
      </c>
      <c r="G188" s="2">
        <v>4</v>
      </c>
      <c r="H188" s="2">
        <v>0</v>
      </c>
      <c r="I188" s="2">
        <v>0</v>
      </c>
      <c r="J188" s="2"/>
      <c r="K188" s="2">
        <v>25</v>
      </c>
      <c r="L188" s="2">
        <v>0</v>
      </c>
      <c r="M188" s="2">
        <v>15</v>
      </c>
      <c r="N188" s="2">
        <v>10</v>
      </c>
      <c r="O188" s="2">
        <v>0</v>
      </c>
      <c r="P188" s="2">
        <v>0</v>
      </c>
      <c r="Q188" s="2" t="s">
        <v>3764</v>
      </c>
      <c r="R188" s="2" t="s">
        <v>3764</v>
      </c>
      <c r="S188" s="4">
        <v>44967</v>
      </c>
    </row>
    <row r="189" spans="1:19" ht="12.5" x14ac:dyDescent="0.25">
      <c r="A189" s="14" t="str">
        <f>HYPERLINK("https://gerandofalcoes.my.salesforce.com/0014X00002YggonQAB", "0014X00002YggonQAB")</f>
        <v>0014X00002YggonQAB</v>
      </c>
      <c r="B189" s="2" t="s">
        <v>3705</v>
      </c>
      <c r="C189" s="2" t="s">
        <v>423</v>
      </c>
      <c r="D189" s="2" t="s">
        <v>2</v>
      </c>
      <c r="E189" s="2"/>
      <c r="F189" s="2">
        <v>0</v>
      </c>
      <c r="G189" s="2">
        <v>2</v>
      </c>
      <c r="H189" s="2">
        <v>0</v>
      </c>
      <c r="I189" s="2">
        <v>10</v>
      </c>
      <c r="J189" s="2"/>
      <c r="K189" s="2">
        <v>11</v>
      </c>
      <c r="L189" s="2">
        <v>0</v>
      </c>
      <c r="M189" s="2">
        <v>0</v>
      </c>
      <c r="N189" s="2">
        <v>6</v>
      </c>
      <c r="O189" s="2">
        <v>0</v>
      </c>
      <c r="P189" s="2">
        <v>5</v>
      </c>
      <c r="Q189" s="2" t="s">
        <v>3706</v>
      </c>
      <c r="R189" s="2" t="s">
        <v>3706</v>
      </c>
      <c r="S189" s="4">
        <v>44967</v>
      </c>
    </row>
    <row r="190" spans="1:19" ht="12.5" x14ac:dyDescent="0.25">
      <c r="A190" s="14" t="str">
        <f>HYPERLINK("https://gerandofalcoes.my.salesforce.com/0014X00002Yggr0QAB", "0014X00002Yggr0QAB")</f>
        <v>0014X00002Yggr0QAB</v>
      </c>
      <c r="B190" s="2" t="s">
        <v>3765</v>
      </c>
      <c r="C190" s="2" t="s">
        <v>423</v>
      </c>
      <c r="D190" s="2" t="s">
        <v>2</v>
      </c>
      <c r="E190" s="2"/>
      <c r="F190" s="2">
        <v>3</v>
      </c>
      <c r="G190" s="2">
        <v>122</v>
      </c>
      <c r="H190" s="2">
        <v>10000</v>
      </c>
      <c r="I190" s="2">
        <v>0</v>
      </c>
      <c r="J190" s="2"/>
      <c r="K190" s="2">
        <v>20</v>
      </c>
      <c r="L190" s="2">
        <v>0</v>
      </c>
      <c r="M190" s="2">
        <v>5</v>
      </c>
      <c r="N190" s="2">
        <v>10</v>
      </c>
      <c r="O190" s="2">
        <v>5</v>
      </c>
      <c r="P190" s="2">
        <v>0</v>
      </c>
      <c r="Q190" s="2" t="s">
        <v>3766</v>
      </c>
      <c r="R190" s="2" t="s">
        <v>3767</v>
      </c>
      <c r="S190" s="4">
        <v>44967</v>
      </c>
    </row>
    <row r="191" spans="1:19" ht="12.5" x14ac:dyDescent="0.25">
      <c r="A191" s="14" t="str">
        <f>HYPERLINK("https://gerandofalcoes.my.salesforce.com/0014X00002YgghRQAR", "0014X00002YgghRQAR")</f>
        <v>0014X00002YgghRQAR</v>
      </c>
      <c r="B191" s="2" t="s">
        <v>3689</v>
      </c>
      <c r="C191" s="2" t="s">
        <v>423</v>
      </c>
      <c r="D191" s="2" t="s">
        <v>2</v>
      </c>
      <c r="E191" s="2"/>
      <c r="F191" s="2">
        <v>220</v>
      </c>
      <c r="G191" s="2">
        <v>9</v>
      </c>
      <c r="H191" s="2">
        <v>9000000</v>
      </c>
      <c r="I191" s="2">
        <v>1600</v>
      </c>
      <c r="J191" s="2"/>
      <c r="K191" s="2">
        <v>70</v>
      </c>
      <c r="L191" s="2">
        <v>0</v>
      </c>
      <c r="M191" s="2">
        <v>15</v>
      </c>
      <c r="N191" s="2">
        <v>10</v>
      </c>
      <c r="O191" s="2">
        <v>25</v>
      </c>
      <c r="P191" s="2">
        <v>20</v>
      </c>
      <c r="Q191" s="2" t="s">
        <v>3690</v>
      </c>
      <c r="R191" s="2" t="s">
        <v>3691</v>
      </c>
      <c r="S191" s="4">
        <v>44967</v>
      </c>
    </row>
    <row r="192" spans="1:19" ht="12.5" x14ac:dyDescent="0.25">
      <c r="A192" s="14" t="str">
        <f>HYPERLINK("https://gerandofalcoes.my.salesforce.com/0014X00002YgggkQAB", "0014X00002YgggkQAB")</f>
        <v>0014X00002YgggkQAB</v>
      </c>
      <c r="B192" s="2" t="s">
        <v>3692</v>
      </c>
      <c r="C192" s="2" t="s">
        <v>423</v>
      </c>
      <c r="D192" s="2" t="s">
        <v>2</v>
      </c>
      <c r="E192" s="2"/>
      <c r="F192" s="2">
        <v>1</v>
      </c>
      <c r="G192" s="2">
        <v>3</v>
      </c>
      <c r="H192" s="2">
        <v>51325</v>
      </c>
      <c r="I192" s="2">
        <v>600</v>
      </c>
      <c r="J192" s="2"/>
      <c r="K192" s="2">
        <v>43</v>
      </c>
      <c r="L192" s="2">
        <v>0</v>
      </c>
      <c r="M192" s="2">
        <v>5</v>
      </c>
      <c r="N192" s="2">
        <v>8</v>
      </c>
      <c r="O192" s="2">
        <v>10</v>
      </c>
      <c r="P192" s="2">
        <v>20</v>
      </c>
      <c r="Q192" s="2" t="s">
        <v>3693</v>
      </c>
      <c r="R192" s="2" t="s">
        <v>3694</v>
      </c>
      <c r="S192" s="4">
        <v>44967</v>
      </c>
    </row>
    <row r="193" spans="1:19" ht="12.5" x14ac:dyDescent="0.25">
      <c r="A193" s="14" t="str">
        <f>HYPERLINK("https://gerandofalcoes.my.salesforce.com/0014X00002YggmTQAR", "0014X00002YggmTQAR")</f>
        <v>0014X00002YggmTQAR</v>
      </c>
      <c r="B193" s="2" t="s">
        <v>3758</v>
      </c>
      <c r="C193" s="2" t="s">
        <v>423</v>
      </c>
      <c r="D193" s="2" t="s">
        <v>2</v>
      </c>
      <c r="E193" s="2"/>
      <c r="F193" s="2">
        <v>1</v>
      </c>
      <c r="G193" s="2">
        <v>2</v>
      </c>
      <c r="H193" s="2">
        <v>0</v>
      </c>
      <c r="I193" s="2">
        <v>15</v>
      </c>
      <c r="J193" s="2"/>
      <c r="K193" s="2">
        <v>16</v>
      </c>
      <c r="L193" s="2">
        <v>0</v>
      </c>
      <c r="M193" s="2">
        <v>5</v>
      </c>
      <c r="N193" s="2">
        <v>6</v>
      </c>
      <c r="O193" s="2">
        <v>0</v>
      </c>
      <c r="P193" s="2">
        <v>5</v>
      </c>
      <c r="Q193" s="2" t="s">
        <v>3759</v>
      </c>
      <c r="R193" s="2" t="s">
        <v>3759</v>
      </c>
      <c r="S193" s="4">
        <v>44967</v>
      </c>
    </row>
    <row r="194" spans="1:19" ht="12.5" x14ac:dyDescent="0.25">
      <c r="A194" s="14" t="str">
        <f>HYPERLINK("https://gerandofalcoes.my.salesforce.com/0014X00002YggpxQAB", "0014X00002YggpxQAB")</f>
        <v>0014X00002YggpxQAB</v>
      </c>
      <c r="B194" s="2" t="s">
        <v>3760</v>
      </c>
      <c r="C194" s="2" t="s">
        <v>423</v>
      </c>
      <c r="D194" s="2" t="s">
        <v>2</v>
      </c>
      <c r="E194" s="2"/>
      <c r="F194" s="2">
        <v>6</v>
      </c>
      <c r="G194" s="2">
        <v>2</v>
      </c>
      <c r="H194" s="2">
        <v>235000</v>
      </c>
      <c r="I194" s="2">
        <v>10</v>
      </c>
      <c r="J194" s="2"/>
      <c r="K194" s="2">
        <v>36</v>
      </c>
      <c r="L194" s="2">
        <v>0</v>
      </c>
      <c r="M194" s="2">
        <v>10</v>
      </c>
      <c r="N194" s="2">
        <v>6</v>
      </c>
      <c r="O194" s="2">
        <v>15</v>
      </c>
      <c r="P194" s="2">
        <v>5</v>
      </c>
      <c r="Q194" s="2" t="s">
        <v>3761</v>
      </c>
      <c r="R194" s="2" t="s">
        <v>3762</v>
      </c>
      <c r="S194" s="4">
        <v>44967</v>
      </c>
    </row>
    <row r="195" spans="1:19" ht="12.5" x14ac:dyDescent="0.25">
      <c r="A195" s="14" t="str">
        <f>HYPERLINK("https://gerandofalcoes.my.salesforce.com/0014X00002YgghxQAB", "0014X00002YgghxQAB")</f>
        <v>0014X00002YgghxQAB</v>
      </c>
      <c r="B195" s="2" t="s">
        <v>3747</v>
      </c>
      <c r="C195" s="2" t="s">
        <v>423</v>
      </c>
      <c r="D195" s="2" t="s">
        <v>2</v>
      </c>
      <c r="E195" s="2"/>
      <c r="F195" s="2">
        <v>12</v>
      </c>
      <c r="G195" s="2">
        <v>3</v>
      </c>
      <c r="H195" s="2">
        <v>3000</v>
      </c>
      <c r="I195" s="2">
        <v>59</v>
      </c>
      <c r="J195" s="2"/>
      <c r="K195" s="2">
        <v>30</v>
      </c>
      <c r="L195" s="2">
        <v>0</v>
      </c>
      <c r="M195" s="2">
        <v>12</v>
      </c>
      <c r="N195" s="2">
        <v>8</v>
      </c>
      <c r="O195" s="2">
        <v>5</v>
      </c>
      <c r="P195" s="2">
        <v>5</v>
      </c>
      <c r="Q195" s="2" t="s">
        <v>3748</v>
      </c>
      <c r="R195" s="2" t="s">
        <v>3749</v>
      </c>
      <c r="S195" s="4">
        <v>44967</v>
      </c>
    </row>
    <row r="196" spans="1:19" ht="12.5" x14ac:dyDescent="0.25">
      <c r="A196" s="14" t="str">
        <f>HYPERLINK("https://gerandofalcoes.my.salesforce.com/0014X00002YgglkQAB", "0014X00002YgglkQAB")</f>
        <v>0014X00002YgglkQAB</v>
      </c>
      <c r="B196" s="2" t="s">
        <v>3711</v>
      </c>
      <c r="C196" s="2" t="s">
        <v>423</v>
      </c>
      <c r="D196" s="2" t="s">
        <v>2</v>
      </c>
      <c r="E196" s="2"/>
      <c r="F196" s="2">
        <v>2</v>
      </c>
      <c r="G196" s="2">
        <v>4</v>
      </c>
      <c r="H196" s="2">
        <v>95000</v>
      </c>
      <c r="I196" s="2">
        <v>15</v>
      </c>
      <c r="J196" s="2"/>
      <c r="K196" s="2">
        <v>30</v>
      </c>
      <c r="L196" s="2">
        <v>0</v>
      </c>
      <c r="M196" s="2">
        <v>5</v>
      </c>
      <c r="N196" s="2">
        <v>10</v>
      </c>
      <c r="O196" s="2">
        <v>10</v>
      </c>
      <c r="P196" s="2">
        <v>5</v>
      </c>
      <c r="Q196" s="2" t="s">
        <v>3712</v>
      </c>
      <c r="R196" s="2" t="s">
        <v>7183</v>
      </c>
      <c r="S196" s="4">
        <v>44967</v>
      </c>
    </row>
    <row r="197" spans="1:19" ht="12.5" x14ac:dyDescent="0.25">
      <c r="A197" s="14" t="str">
        <f>HYPERLINK("https://gerandofalcoes.my.salesforce.com/0014X00002YggpyQAB", "0014X00002YggpyQAB")</f>
        <v>0014X00002YggpyQAB</v>
      </c>
      <c r="B197" s="2" t="s">
        <v>3740</v>
      </c>
      <c r="C197" s="2" t="s">
        <v>423</v>
      </c>
      <c r="D197" s="2" t="s">
        <v>2</v>
      </c>
      <c r="E197" s="2"/>
      <c r="F197" s="2">
        <v>3</v>
      </c>
      <c r="G197" s="2">
        <v>3</v>
      </c>
      <c r="H197" s="2">
        <v>7000</v>
      </c>
      <c r="I197" s="2">
        <v>100</v>
      </c>
      <c r="J197" s="2"/>
      <c r="K197" s="2">
        <v>28</v>
      </c>
      <c r="L197" s="2">
        <v>0</v>
      </c>
      <c r="M197" s="2">
        <v>5</v>
      </c>
      <c r="N197" s="2">
        <v>8</v>
      </c>
      <c r="O197" s="2">
        <v>5</v>
      </c>
      <c r="P197" s="2">
        <v>10</v>
      </c>
      <c r="Q197" s="2" t="s">
        <v>3741</v>
      </c>
      <c r="R197" s="2" t="s">
        <v>3742</v>
      </c>
      <c r="S197" s="4">
        <v>44967</v>
      </c>
    </row>
    <row r="198" spans="1:19" ht="12.5" x14ac:dyDescent="0.25">
      <c r="A198" s="14" t="str">
        <f>HYPERLINK("https://gerandofalcoes.my.salesforce.com/0014X00002YggqbQAB", "0014X00002YggqbQAB")</f>
        <v>0014X00002YggqbQAB</v>
      </c>
      <c r="B198" s="2" t="s">
        <v>3735</v>
      </c>
      <c r="C198" s="2" t="s">
        <v>423</v>
      </c>
      <c r="D198" s="2" t="s">
        <v>2</v>
      </c>
      <c r="E198" s="2"/>
      <c r="F198" s="2">
        <v>4</v>
      </c>
      <c r="G198" s="2">
        <v>4</v>
      </c>
      <c r="H198" s="2">
        <v>300</v>
      </c>
      <c r="I198" s="2">
        <v>130</v>
      </c>
      <c r="J198" s="2"/>
      <c r="K198" s="2">
        <v>30</v>
      </c>
      <c r="L198" s="2">
        <v>0</v>
      </c>
      <c r="M198" s="2">
        <v>5</v>
      </c>
      <c r="N198" s="2">
        <v>10</v>
      </c>
      <c r="O198" s="2">
        <v>5</v>
      </c>
      <c r="P198" s="2">
        <v>10</v>
      </c>
      <c r="Q198" s="2" t="s">
        <v>3736</v>
      </c>
      <c r="R198" s="2" t="s">
        <v>3737</v>
      </c>
      <c r="S198" s="4">
        <v>44967</v>
      </c>
    </row>
    <row r="199" spans="1:19" ht="12.5" x14ac:dyDescent="0.25">
      <c r="A199" s="14" t="str">
        <f>HYPERLINK("https://gerandofalcoes.my.salesforce.com/0014X00002YggomQAB", "0014X00002YggomQAB")</f>
        <v>0014X00002YggomQAB</v>
      </c>
      <c r="B199" s="2" t="s">
        <v>6803</v>
      </c>
      <c r="C199" s="2" t="s">
        <v>423</v>
      </c>
      <c r="D199" s="2" t="s">
        <v>2</v>
      </c>
      <c r="E199" s="2"/>
      <c r="F199" s="2">
        <v>0</v>
      </c>
      <c r="G199" s="2">
        <v>3</v>
      </c>
      <c r="H199" s="2">
        <v>44682</v>
      </c>
      <c r="I199" s="2">
        <v>0</v>
      </c>
      <c r="J199" s="2"/>
      <c r="K199" s="2">
        <v>18</v>
      </c>
      <c r="L199" s="2">
        <v>0</v>
      </c>
      <c r="M199" s="2">
        <v>0</v>
      </c>
      <c r="N199" s="2">
        <v>8</v>
      </c>
      <c r="O199" s="2">
        <v>10</v>
      </c>
      <c r="P199" s="2">
        <v>0</v>
      </c>
      <c r="Q199" s="2" t="s">
        <v>3769</v>
      </c>
      <c r="R199" s="2" t="s">
        <v>3770</v>
      </c>
      <c r="S199" s="4">
        <v>44967</v>
      </c>
    </row>
    <row r="200" spans="1:19" ht="12.5" x14ac:dyDescent="0.25">
      <c r="A200" s="14" t="str">
        <f>HYPERLINK("https://gerandofalcoes.my.salesforce.com/0014X00002YggngQAB", "0014X00002YggngQAB")</f>
        <v>0014X00002YggngQAB</v>
      </c>
      <c r="B200" s="2" t="s">
        <v>3722</v>
      </c>
      <c r="C200" s="2" t="s">
        <v>423</v>
      </c>
      <c r="D200" s="2" t="s">
        <v>2</v>
      </c>
      <c r="E200" s="2"/>
      <c r="F200" s="2">
        <v>0</v>
      </c>
      <c r="G200" s="2">
        <v>4</v>
      </c>
      <c r="H200" s="2">
        <v>13562</v>
      </c>
      <c r="I200" s="2">
        <v>0</v>
      </c>
      <c r="J200" s="2"/>
      <c r="K200" s="2">
        <v>15</v>
      </c>
      <c r="L200" s="2">
        <v>0</v>
      </c>
      <c r="M200" s="2">
        <v>0</v>
      </c>
      <c r="N200" s="2">
        <v>10</v>
      </c>
      <c r="O200" s="2">
        <v>5</v>
      </c>
      <c r="P200" s="2">
        <v>0</v>
      </c>
      <c r="Q200" s="2" t="s">
        <v>3723</v>
      </c>
      <c r="R200" s="2" t="s">
        <v>3723</v>
      </c>
      <c r="S200" s="4">
        <v>44967</v>
      </c>
    </row>
    <row r="201" spans="1:19" ht="12.5" x14ac:dyDescent="0.25">
      <c r="A201" s="14" t="str">
        <f>HYPERLINK("https://gerandofalcoes.my.salesforce.com/0014X00002YgglaQAB", "0014X00002YgglaQAB")</f>
        <v>0014X00002YgglaQAB</v>
      </c>
      <c r="B201" s="2" t="s">
        <v>6658</v>
      </c>
      <c r="C201" s="2" t="s">
        <v>423</v>
      </c>
      <c r="D201" s="2" t="s">
        <v>2</v>
      </c>
      <c r="E201" s="2"/>
      <c r="F201" s="2">
        <v>10</v>
      </c>
      <c r="G201" s="2">
        <v>2</v>
      </c>
      <c r="H201" s="2">
        <v>6000</v>
      </c>
      <c r="I201" s="2">
        <v>25</v>
      </c>
      <c r="J201" s="2"/>
      <c r="K201" s="2">
        <v>26</v>
      </c>
      <c r="L201" s="2">
        <v>0</v>
      </c>
      <c r="M201" s="2">
        <v>10</v>
      </c>
      <c r="N201" s="2">
        <v>6</v>
      </c>
      <c r="O201" s="2">
        <v>5</v>
      </c>
      <c r="P201" s="2">
        <v>5</v>
      </c>
      <c r="Q201" s="2" t="s">
        <v>3803</v>
      </c>
      <c r="R201" s="2" t="s">
        <v>3804</v>
      </c>
      <c r="S201" s="4">
        <v>44970</v>
      </c>
    </row>
    <row r="202" spans="1:19" ht="12.5" x14ac:dyDescent="0.25">
      <c r="A202" s="14" t="str">
        <f>HYPERLINK("https://gerandofalcoes.my.salesforce.com/0014X00002YggnGQAR", "0014X00002YggnGQAR")</f>
        <v>0014X00002YggnGQAR</v>
      </c>
      <c r="B202" s="2" t="s">
        <v>3173</v>
      </c>
      <c r="C202" s="2" t="s">
        <v>423</v>
      </c>
      <c r="D202" s="2" t="s">
        <v>2</v>
      </c>
      <c r="E202" s="2"/>
      <c r="F202" s="2">
        <v>0</v>
      </c>
      <c r="G202" s="2">
        <v>3</v>
      </c>
      <c r="H202" s="2">
        <v>10000</v>
      </c>
      <c r="I202" s="2">
        <v>0</v>
      </c>
      <c r="J202" s="2"/>
      <c r="K202" s="2">
        <v>13</v>
      </c>
      <c r="L202" s="2">
        <v>0</v>
      </c>
      <c r="M202" s="2">
        <v>0</v>
      </c>
      <c r="N202" s="2">
        <v>8</v>
      </c>
      <c r="O202" s="2">
        <v>5</v>
      </c>
      <c r="P202" s="2">
        <v>0</v>
      </c>
      <c r="Q202" s="2" t="s">
        <v>3174</v>
      </c>
      <c r="R202" s="2" t="s">
        <v>3175</v>
      </c>
      <c r="S202" s="4">
        <v>44950</v>
      </c>
    </row>
    <row r="203" spans="1:19" ht="12.5" x14ac:dyDescent="0.25">
      <c r="A203" s="14" t="str">
        <f>HYPERLINK("https://gerandofalcoes.my.salesforce.com/0014X00002YgglbQAB", "0014X00002YgglbQAB")</f>
        <v>0014X00002YgglbQAB</v>
      </c>
      <c r="B203" s="2" t="s">
        <v>3218</v>
      </c>
      <c r="C203" s="2" t="s">
        <v>423</v>
      </c>
      <c r="D203" s="2" t="s">
        <v>2</v>
      </c>
      <c r="E203" s="2"/>
      <c r="F203" s="2">
        <v>0</v>
      </c>
      <c r="G203" s="2">
        <v>3</v>
      </c>
      <c r="H203" s="2">
        <v>100000</v>
      </c>
      <c r="I203" s="2">
        <v>75</v>
      </c>
      <c r="J203" s="2"/>
      <c r="K203" s="2">
        <v>28</v>
      </c>
      <c r="L203" s="2">
        <v>0</v>
      </c>
      <c r="M203" s="2">
        <v>0</v>
      </c>
      <c r="N203" s="2">
        <v>8</v>
      </c>
      <c r="O203" s="2">
        <v>15</v>
      </c>
      <c r="P203" s="2">
        <v>5</v>
      </c>
      <c r="Q203" s="2" t="s">
        <v>3219</v>
      </c>
      <c r="R203" s="2" t="s">
        <v>3219</v>
      </c>
      <c r="S203" s="4">
        <v>44951</v>
      </c>
    </row>
    <row r="204" spans="1:19" ht="12.5" x14ac:dyDescent="0.25">
      <c r="A204" s="14" t="str">
        <f>HYPERLINK("https://gerandofalcoes.my.salesforce.com/0014X00002YgbkpQAB", "0014X00002YgbkpQAB")</f>
        <v>0014X00002YgbkpQAB</v>
      </c>
      <c r="B204" s="2" t="s">
        <v>3200</v>
      </c>
      <c r="C204" s="2" t="s">
        <v>423</v>
      </c>
      <c r="D204" s="2" t="s">
        <v>2</v>
      </c>
      <c r="E204" s="2"/>
      <c r="F204" s="2">
        <v>0</v>
      </c>
      <c r="G204" s="2">
        <v>0</v>
      </c>
      <c r="H204" s="2">
        <v>0</v>
      </c>
      <c r="I204" s="2">
        <v>0</v>
      </c>
      <c r="J204" s="2"/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 t="s">
        <v>3201</v>
      </c>
      <c r="R204" s="2" t="s">
        <v>3201</v>
      </c>
      <c r="S204" s="4">
        <v>44951</v>
      </c>
    </row>
    <row r="205" spans="1:19" ht="12.5" x14ac:dyDescent="0.25">
      <c r="A205" s="14" t="str">
        <f>HYPERLINK("https://gerandofalcoes.my.salesforce.com/0014X00002YggjEQAR", "0014X00002YggjEQAR")</f>
        <v>0014X00002YggjEQAR</v>
      </c>
      <c r="B205" s="2" t="s">
        <v>3235</v>
      </c>
      <c r="C205" s="2" t="s">
        <v>423</v>
      </c>
      <c r="D205" s="2" t="s">
        <v>2</v>
      </c>
      <c r="E205" s="2"/>
      <c r="F205" s="2">
        <v>5</v>
      </c>
      <c r="G205" s="2">
        <v>3</v>
      </c>
      <c r="H205" s="2">
        <v>238000</v>
      </c>
      <c r="I205" s="2">
        <v>340</v>
      </c>
      <c r="J205" s="2"/>
      <c r="K205" s="2">
        <v>43</v>
      </c>
      <c r="L205" s="2">
        <v>0</v>
      </c>
      <c r="M205" s="2">
        <v>5</v>
      </c>
      <c r="N205" s="2">
        <v>8</v>
      </c>
      <c r="O205" s="2">
        <v>15</v>
      </c>
      <c r="P205" s="2">
        <v>15</v>
      </c>
      <c r="Q205" s="2" t="s">
        <v>3236</v>
      </c>
      <c r="R205" s="2" t="s">
        <v>3237</v>
      </c>
      <c r="S205" s="4">
        <v>44952</v>
      </c>
    </row>
    <row r="206" spans="1:19" ht="12.5" x14ac:dyDescent="0.25">
      <c r="A206" s="14" t="str">
        <f>HYPERLINK("https://gerandofalcoes.my.salesforce.com/0014X00002YgggZQAR", "0014X00002YgggZQAR")</f>
        <v>0014X00002YgggZQAR</v>
      </c>
      <c r="B206" s="2" t="s">
        <v>3278</v>
      </c>
      <c r="C206" s="2" t="s">
        <v>423</v>
      </c>
      <c r="D206" s="2" t="s">
        <v>2</v>
      </c>
      <c r="E206" s="2"/>
      <c r="F206" s="2">
        <v>7</v>
      </c>
      <c r="G206" s="2">
        <v>3</v>
      </c>
      <c r="H206" s="2">
        <v>116906</v>
      </c>
      <c r="I206" s="2">
        <v>110</v>
      </c>
      <c r="J206" s="2"/>
      <c r="K206" s="2">
        <v>43</v>
      </c>
      <c r="L206" s="2">
        <v>0</v>
      </c>
      <c r="M206" s="2">
        <v>10</v>
      </c>
      <c r="N206" s="2">
        <v>8</v>
      </c>
      <c r="O206" s="2">
        <v>15</v>
      </c>
      <c r="P206" s="2">
        <v>10</v>
      </c>
      <c r="Q206" s="2" t="s">
        <v>3279</v>
      </c>
      <c r="R206" s="2" t="s">
        <v>3280</v>
      </c>
      <c r="S206" s="4">
        <v>44952</v>
      </c>
    </row>
    <row r="207" spans="1:19" ht="12.5" x14ac:dyDescent="0.25">
      <c r="A207" s="14" t="str">
        <f>HYPERLINK("https://gerandofalcoes.my.salesforce.com/0014X00002YgglrQAB", "0014X00002YgglrQAB")</f>
        <v>0014X00002YgglrQAB</v>
      </c>
      <c r="B207" s="2" t="s">
        <v>7174</v>
      </c>
      <c r="C207" s="2" t="s">
        <v>423</v>
      </c>
      <c r="D207" s="2" t="s">
        <v>2</v>
      </c>
      <c r="E207" s="2"/>
      <c r="F207" s="2">
        <v>0</v>
      </c>
      <c r="G207" s="2">
        <v>5</v>
      </c>
      <c r="H207" s="2">
        <v>10000</v>
      </c>
      <c r="I207" s="2">
        <v>0</v>
      </c>
      <c r="J207" s="2"/>
      <c r="K207" s="2">
        <v>15</v>
      </c>
      <c r="L207" s="2">
        <v>0</v>
      </c>
      <c r="M207" s="2">
        <v>0</v>
      </c>
      <c r="N207" s="2">
        <v>10</v>
      </c>
      <c r="O207" s="2">
        <v>5</v>
      </c>
      <c r="P207" s="2">
        <v>0</v>
      </c>
      <c r="Q207" s="2" t="s">
        <v>3385</v>
      </c>
      <c r="R207" s="2" t="s">
        <v>3386</v>
      </c>
      <c r="S207" s="4">
        <v>44953</v>
      </c>
    </row>
    <row r="208" spans="1:19" ht="12.5" x14ac:dyDescent="0.25">
      <c r="A208" s="14" t="str">
        <f>HYPERLINK("https://gerandofalcoes.my.salesforce.com/0014X00002YggnXQAR", "0014X00002YggnXQAR")</f>
        <v>0014X00002YggnXQAR</v>
      </c>
      <c r="B208" s="2" t="s">
        <v>3387</v>
      </c>
      <c r="C208" s="2" t="s">
        <v>423</v>
      </c>
      <c r="D208" s="2" t="s">
        <v>2</v>
      </c>
      <c r="E208" s="2"/>
      <c r="F208" s="2">
        <v>4</v>
      </c>
      <c r="G208" s="2">
        <v>3</v>
      </c>
      <c r="H208" s="2">
        <v>120</v>
      </c>
      <c r="I208" s="2">
        <v>0</v>
      </c>
      <c r="J208" s="2"/>
      <c r="K208" s="2">
        <v>18</v>
      </c>
      <c r="L208" s="2">
        <v>0</v>
      </c>
      <c r="M208" s="2">
        <v>5</v>
      </c>
      <c r="N208" s="2">
        <v>8</v>
      </c>
      <c r="O208" s="2">
        <v>5</v>
      </c>
      <c r="P208" s="2">
        <v>0</v>
      </c>
      <c r="Q208" s="2" t="s">
        <v>7163</v>
      </c>
      <c r="R208" s="2" t="s">
        <v>7163</v>
      </c>
      <c r="S208" s="4">
        <v>44953</v>
      </c>
    </row>
    <row r="209" spans="1:19" ht="12.5" x14ac:dyDescent="0.25">
      <c r="A209" s="14" t="str">
        <f>HYPERLINK("https://gerandofalcoes.my.salesforce.com/0014X00002YggpuQAB", "0014X00002YggpuQAB")</f>
        <v>0014X00002YggpuQAB</v>
      </c>
      <c r="B209" s="2" t="s">
        <v>3555</v>
      </c>
      <c r="C209" s="2" t="s">
        <v>423</v>
      </c>
      <c r="D209" s="2" t="s">
        <v>2</v>
      </c>
      <c r="E209" s="2"/>
      <c r="F209" s="2">
        <v>0</v>
      </c>
      <c r="G209" s="2">
        <v>3</v>
      </c>
      <c r="H209" s="2">
        <v>864</v>
      </c>
      <c r="I209" s="2">
        <v>70</v>
      </c>
      <c r="J209" s="2"/>
      <c r="K209" s="2">
        <v>18</v>
      </c>
      <c r="L209" s="2">
        <v>0</v>
      </c>
      <c r="M209" s="2">
        <v>0</v>
      </c>
      <c r="N209" s="2">
        <v>8</v>
      </c>
      <c r="O209" s="2">
        <v>5</v>
      </c>
      <c r="P209" s="2">
        <v>5</v>
      </c>
      <c r="Q209" s="2" t="s">
        <v>3556</v>
      </c>
      <c r="R209" s="2" t="s">
        <v>3557</v>
      </c>
      <c r="S209" s="4">
        <v>44959</v>
      </c>
    </row>
    <row r="210" spans="1:19" ht="12.5" x14ac:dyDescent="0.25">
      <c r="A210" s="14" t="str">
        <f>HYPERLINK("https://gerandofalcoes.my.salesforce.com/0014X00002YggkzQAB", "0014X00002YggkzQAB")</f>
        <v>0014X00002YggkzQAB</v>
      </c>
      <c r="B210" s="2" t="s">
        <v>3637</v>
      </c>
      <c r="C210" s="2" t="s">
        <v>423</v>
      </c>
      <c r="D210" s="2" t="s">
        <v>2</v>
      </c>
      <c r="E210" s="2"/>
      <c r="F210" s="2">
        <v>0</v>
      </c>
      <c r="G210" s="2">
        <v>3</v>
      </c>
      <c r="H210" s="2">
        <v>3410</v>
      </c>
      <c r="I210" s="2">
        <v>0</v>
      </c>
      <c r="J210" s="2"/>
      <c r="K210" s="2">
        <v>13</v>
      </c>
      <c r="L210" s="2">
        <v>0</v>
      </c>
      <c r="M210" s="2">
        <v>0</v>
      </c>
      <c r="N210" s="2">
        <v>8</v>
      </c>
      <c r="O210" s="2">
        <v>5</v>
      </c>
      <c r="P210" s="2">
        <v>0</v>
      </c>
      <c r="Q210" s="2" t="s">
        <v>3638</v>
      </c>
      <c r="R210" s="2" t="s">
        <v>3639</v>
      </c>
      <c r="S210" s="4">
        <v>44963</v>
      </c>
    </row>
    <row r="211" spans="1:19" ht="12.5" x14ac:dyDescent="0.25">
      <c r="A211" s="14" t="str">
        <f>HYPERLINK("https://gerandofalcoes.my.salesforce.com/0014X00002YggnEQAR", "0014X00002YggnEQAR")</f>
        <v>0014X00002YggnEQAR</v>
      </c>
      <c r="B211" s="2" t="s">
        <v>3673</v>
      </c>
      <c r="C211" s="2" t="s">
        <v>423</v>
      </c>
      <c r="D211" s="2" t="s">
        <v>2</v>
      </c>
      <c r="E211" s="2"/>
      <c r="F211" s="2">
        <v>4</v>
      </c>
      <c r="G211" s="2">
        <v>2</v>
      </c>
      <c r="H211" s="2">
        <v>10000</v>
      </c>
      <c r="I211" s="2">
        <v>60</v>
      </c>
      <c r="J211" s="2"/>
      <c r="K211" s="2">
        <v>21</v>
      </c>
      <c r="L211" s="2">
        <v>0</v>
      </c>
      <c r="M211" s="2">
        <v>5</v>
      </c>
      <c r="N211" s="2">
        <v>6</v>
      </c>
      <c r="O211" s="2">
        <v>5</v>
      </c>
      <c r="P211" s="2">
        <v>5</v>
      </c>
      <c r="Q211" s="2" t="s">
        <v>3674</v>
      </c>
      <c r="R211" s="2" t="s">
        <v>3674</v>
      </c>
      <c r="S211" s="4">
        <v>44964</v>
      </c>
    </row>
    <row r="212" spans="1:19" ht="12.5" x14ac:dyDescent="0.25">
      <c r="A212" s="14" t="str">
        <f>HYPERLINK("https://gerandofalcoes.my.salesforce.com/0014X00002Yggj7QAB", "0014X00002Yggj7QAB")</f>
        <v>0014X00002Yggj7QAB</v>
      </c>
      <c r="B212" s="2" t="s">
        <v>3650</v>
      </c>
      <c r="C212" s="2" t="s">
        <v>423</v>
      </c>
      <c r="D212" s="2" t="s">
        <v>2</v>
      </c>
      <c r="E212" s="2"/>
      <c r="F212" s="2">
        <v>0</v>
      </c>
      <c r="G212" s="2">
        <v>2</v>
      </c>
      <c r="H212" s="2">
        <v>90000</v>
      </c>
      <c r="I212" s="2">
        <v>40</v>
      </c>
      <c r="J212" s="2"/>
      <c r="K212" s="2">
        <v>21</v>
      </c>
      <c r="L212" s="2">
        <v>0</v>
      </c>
      <c r="M212" s="2">
        <v>0</v>
      </c>
      <c r="N212" s="2">
        <v>6</v>
      </c>
      <c r="O212" s="2">
        <v>10</v>
      </c>
      <c r="P212" s="2">
        <v>5</v>
      </c>
      <c r="Q212" s="2" t="s">
        <v>3651</v>
      </c>
      <c r="R212" s="2" t="s">
        <v>3651</v>
      </c>
      <c r="S212" s="4">
        <v>44964</v>
      </c>
    </row>
    <row r="213" spans="1:19" ht="12.5" x14ac:dyDescent="0.25">
      <c r="A213" s="14" t="str">
        <f>HYPERLINK("https://gerandofalcoes.my.salesforce.com/0014X00002Yggo4QAB", "0014X00002Yggo4QAB")</f>
        <v>0014X00002Yggo4QAB</v>
      </c>
      <c r="B213" s="2" t="s">
        <v>3707</v>
      </c>
      <c r="C213" s="2" t="s">
        <v>423</v>
      </c>
      <c r="D213" s="2" t="s">
        <v>2</v>
      </c>
      <c r="E213" s="2"/>
      <c r="F213" s="2">
        <v>0</v>
      </c>
      <c r="G213" s="2">
        <v>3</v>
      </c>
      <c r="H213" s="2">
        <v>3000</v>
      </c>
      <c r="I213" s="2">
        <v>0</v>
      </c>
      <c r="J213" s="2"/>
      <c r="K213" s="2">
        <v>13</v>
      </c>
      <c r="L213" s="2">
        <v>0</v>
      </c>
      <c r="M213" s="2">
        <v>0</v>
      </c>
      <c r="N213" s="2">
        <v>8</v>
      </c>
      <c r="O213" s="2">
        <v>5</v>
      </c>
      <c r="P213" s="2">
        <v>0</v>
      </c>
      <c r="Q213" s="2" t="s">
        <v>3708</v>
      </c>
      <c r="R213" s="2" t="s">
        <v>3708</v>
      </c>
      <c r="S213" s="4">
        <v>44967</v>
      </c>
    </row>
    <row r="214" spans="1:19" ht="12.5" x14ac:dyDescent="0.25">
      <c r="A214" s="14" t="str">
        <f>HYPERLINK("https://gerandofalcoes.my.salesforce.com/0014X00002YgggVQAR", "0014X00002YgggVQAR")</f>
        <v>0014X00002YgggVQAR</v>
      </c>
      <c r="B214" s="2" t="s">
        <v>3731</v>
      </c>
      <c r="C214" s="2" t="s">
        <v>423</v>
      </c>
      <c r="D214" s="2" t="s">
        <v>2</v>
      </c>
      <c r="E214" s="2"/>
      <c r="F214" s="2">
        <v>2</v>
      </c>
      <c r="G214" s="2">
        <v>2</v>
      </c>
      <c r="H214" s="2">
        <v>150000</v>
      </c>
      <c r="I214" s="2">
        <v>250</v>
      </c>
      <c r="J214" s="2"/>
      <c r="K214" s="2">
        <v>38</v>
      </c>
      <c r="L214" s="2">
        <v>0</v>
      </c>
      <c r="M214" s="2">
        <v>5</v>
      </c>
      <c r="N214" s="2">
        <v>6</v>
      </c>
      <c r="O214" s="2">
        <v>15</v>
      </c>
      <c r="P214" s="2">
        <v>12</v>
      </c>
      <c r="Q214" s="2" t="s">
        <v>3732</v>
      </c>
      <c r="R214" s="2" t="s">
        <v>3732</v>
      </c>
      <c r="S214" s="4">
        <v>44967</v>
      </c>
    </row>
    <row r="215" spans="1:19" ht="12.5" x14ac:dyDescent="0.25">
      <c r="A215" s="14" t="str">
        <f>HYPERLINK("https://gerandofalcoes.my.salesforce.com/0014X00002Yggr5QAB", "0014X00002Yggr5QAB")</f>
        <v>0014X00002Yggr5QAB</v>
      </c>
      <c r="B215" s="2" t="s">
        <v>3779</v>
      </c>
      <c r="C215" s="2" t="s">
        <v>423</v>
      </c>
      <c r="D215" s="2" t="s">
        <v>2</v>
      </c>
      <c r="E215" s="2"/>
      <c r="F215" s="2">
        <v>3</v>
      </c>
      <c r="G215" s="2">
        <v>2</v>
      </c>
      <c r="H215" s="2">
        <v>24000</v>
      </c>
      <c r="I215" s="2">
        <v>0</v>
      </c>
      <c r="J215" s="2"/>
      <c r="K215" s="2">
        <v>16</v>
      </c>
      <c r="L215" s="2">
        <v>0</v>
      </c>
      <c r="M215" s="2">
        <v>5</v>
      </c>
      <c r="N215" s="2">
        <v>6</v>
      </c>
      <c r="O215" s="2">
        <v>5</v>
      </c>
      <c r="P215" s="2">
        <v>0</v>
      </c>
      <c r="Q215" s="2" t="s">
        <v>3780</v>
      </c>
      <c r="R215" s="2" t="s">
        <v>3780</v>
      </c>
      <c r="S215" s="4">
        <v>44968</v>
      </c>
    </row>
    <row r="216" spans="1:19" ht="12.5" x14ac:dyDescent="0.25">
      <c r="A216" s="14" t="str">
        <f>HYPERLINK("https://gerandofalcoes.my.salesforce.com/0014X00002YggoGQAR", "0014X00002YggoGQAR")</f>
        <v>0014X00002YggoGQAR</v>
      </c>
      <c r="B216" s="2" t="s">
        <v>3028</v>
      </c>
      <c r="C216" s="2" t="s">
        <v>423</v>
      </c>
      <c r="D216" s="2" t="s">
        <v>2</v>
      </c>
      <c r="E216" s="2"/>
      <c r="F216" s="2">
        <v>12</v>
      </c>
      <c r="G216" s="2">
        <v>3</v>
      </c>
      <c r="H216" s="2">
        <v>3000</v>
      </c>
      <c r="I216" s="2">
        <v>40</v>
      </c>
      <c r="J216" s="2"/>
      <c r="K216" s="2">
        <v>30</v>
      </c>
      <c r="L216" s="2">
        <v>0</v>
      </c>
      <c r="M216" s="2">
        <v>12</v>
      </c>
      <c r="N216" s="2">
        <v>8</v>
      </c>
      <c r="O216" s="2">
        <v>5</v>
      </c>
      <c r="P216" s="2">
        <v>5</v>
      </c>
      <c r="Q216" s="2" t="s">
        <v>3029</v>
      </c>
      <c r="R216" s="2" t="s">
        <v>3030</v>
      </c>
      <c r="S216" s="4">
        <v>44945</v>
      </c>
    </row>
    <row r="217" spans="1:19" ht="12.5" x14ac:dyDescent="0.25">
      <c r="A217" s="14" t="str">
        <f>HYPERLINK("https://gerandofalcoes.my.salesforce.com/0014X00002VKCq1QAH", "0014X00002VKCq1QAH")</f>
        <v>0014X00002VKCq1QAH</v>
      </c>
      <c r="B217" s="2" t="s">
        <v>2164</v>
      </c>
      <c r="C217" s="2" t="s">
        <v>423</v>
      </c>
      <c r="D217" s="2" t="s">
        <v>2</v>
      </c>
      <c r="E217" s="2">
        <v>33</v>
      </c>
      <c r="F217" s="2">
        <v>0</v>
      </c>
      <c r="G217" s="2">
        <v>2</v>
      </c>
      <c r="H217" s="2">
        <v>5000</v>
      </c>
      <c r="I217" s="2">
        <v>250</v>
      </c>
      <c r="J217" s="2" t="s">
        <v>1779</v>
      </c>
      <c r="K217" s="2">
        <v>38</v>
      </c>
      <c r="L217" s="2">
        <v>15</v>
      </c>
      <c r="M217" s="2">
        <v>0</v>
      </c>
      <c r="N217" s="2">
        <v>6</v>
      </c>
      <c r="O217" s="2">
        <v>5</v>
      </c>
      <c r="P217" s="2">
        <v>12</v>
      </c>
      <c r="Q217" s="2" t="s">
        <v>2165</v>
      </c>
      <c r="R217" s="2" t="s">
        <v>2166</v>
      </c>
      <c r="S217" s="4">
        <v>44837</v>
      </c>
    </row>
    <row r="218" spans="1:19" ht="12.5" x14ac:dyDescent="0.25">
      <c r="A218" s="14" t="str">
        <f>HYPERLINK("https://gerandofalcoes.my.salesforce.com/0014X00002VKCoxQAH", "0014X00002VKCoxQAH")</f>
        <v>0014X00002VKCoxQAH</v>
      </c>
      <c r="B218" s="2" t="s">
        <v>2582</v>
      </c>
      <c r="C218" s="2" t="s">
        <v>423</v>
      </c>
      <c r="D218" s="2" t="s">
        <v>2</v>
      </c>
      <c r="E218" s="2">
        <v>38</v>
      </c>
      <c r="F218" s="2">
        <v>6</v>
      </c>
      <c r="G218" s="2">
        <v>1</v>
      </c>
      <c r="H218" s="2">
        <v>550</v>
      </c>
      <c r="I218" s="2">
        <v>0</v>
      </c>
      <c r="J218" s="2" t="s">
        <v>1779</v>
      </c>
      <c r="K218" s="2">
        <v>34</v>
      </c>
      <c r="L218" s="2">
        <v>15</v>
      </c>
      <c r="M218" s="2">
        <v>10</v>
      </c>
      <c r="N218" s="2">
        <v>4</v>
      </c>
      <c r="O218" s="2">
        <v>5</v>
      </c>
      <c r="P218" s="2">
        <v>0</v>
      </c>
      <c r="Q218" s="2" t="s">
        <v>2583</v>
      </c>
      <c r="R218" s="2" t="s">
        <v>2584</v>
      </c>
      <c r="S218" s="4">
        <v>44837</v>
      </c>
    </row>
    <row r="219" spans="1:19" ht="12.5" x14ac:dyDescent="0.25">
      <c r="A219" s="14" t="str">
        <f>HYPERLINK("https://gerandofalcoes.my.salesforce.com/0014X00002VKCsVQAX", "0014X00002VKCsVQAX")</f>
        <v>0014X00002VKCsVQAX</v>
      </c>
      <c r="B219" s="2" t="s">
        <v>1785</v>
      </c>
      <c r="C219" s="2" t="s">
        <v>423</v>
      </c>
      <c r="D219" s="2" t="s">
        <v>2</v>
      </c>
      <c r="E219" s="2">
        <v>56</v>
      </c>
      <c r="F219" s="2">
        <v>0</v>
      </c>
      <c r="G219" s="2">
        <v>3</v>
      </c>
      <c r="H219" s="2">
        <v>22800</v>
      </c>
      <c r="I219" s="2">
        <v>95</v>
      </c>
      <c r="J219" s="2" t="s">
        <v>1671</v>
      </c>
      <c r="K219" s="2">
        <v>43</v>
      </c>
      <c r="L219" s="2">
        <v>20</v>
      </c>
      <c r="M219" s="2">
        <v>0</v>
      </c>
      <c r="N219" s="2">
        <v>8</v>
      </c>
      <c r="O219" s="2">
        <v>5</v>
      </c>
      <c r="P219" s="2">
        <v>10</v>
      </c>
      <c r="Q219" s="2" t="s">
        <v>1786</v>
      </c>
      <c r="R219" s="2" t="s">
        <v>1787</v>
      </c>
      <c r="S219" s="4">
        <v>44837</v>
      </c>
    </row>
    <row r="220" spans="1:19" ht="12.5" x14ac:dyDescent="0.25">
      <c r="A220" s="14" t="str">
        <f>HYPERLINK("https://gerandofalcoes.my.salesforce.com/0014X00002VKCqXQAX", "0014X00002VKCqXQAX")</f>
        <v>0014X00002VKCqXQAX</v>
      </c>
      <c r="B220" s="2" t="s">
        <v>2301</v>
      </c>
      <c r="C220" s="2" t="s">
        <v>1800</v>
      </c>
      <c r="D220" s="2" t="s">
        <v>2</v>
      </c>
      <c r="E220" s="2">
        <v>29</v>
      </c>
      <c r="F220" s="2">
        <v>0</v>
      </c>
      <c r="G220" s="2">
        <v>5</v>
      </c>
      <c r="H220" s="2">
        <v>70000</v>
      </c>
      <c r="I220" s="2">
        <v>100</v>
      </c>
      <c r="J220" s="2" t="s">
        <v>1671</v>
      </c>
      <c r="K220" s="2">
        <v>45</v>
      </c>
      <c r="L220" s="2">
        <v>15</v>
      </c>
      <c r="M220" s="2">
        <v>0</v>
      </c>
      <c r="N220" s="2">
        <v>10</v>
      </c>
      <c r="O220" s="2">
        <v>10</v>
      </c>
      <c r="P220" s="2">
        <v>10</v>
      </c>
      <c r="Q220" s="2" t="s">
        <v>2302</v>
      </c>
      <c r="R220" s="2" t="s">
        <v>2303</v>
      </c>
      <c r="S220" s="4">
        <v>44837</v>
      </c>
    </row>
    <row r="221" spans="1:19" ht="12.5" x14ac:dyDescent="0.25">
      <c r="A221" s="14" t="str">
        <f>HYPERLINK("https://gerandofalcoes.my.salesforce.com/0014X00002VKCouQAH", "0014X00002VKCouQAH")</f>
        <v>0014X00002VKCouQAH</v>
      </c>
      <c r="B221" s="2" t="s">
        <v>2642</v>
      </c>
      <c r="C221" s="2" t="s">
        <v>1800</v>
      </c>
      <c r="D221" s="2" t="s">
        <v>2</v>
      </c>
      <c r="E221" s="2">
        <v>18</v>
      </c>
      <c r="F221" s="2">
        <v>0</v>
      </c>
      <c r="G221" s="2">
        <v>2</v>
      </c>
      <c r="H221" s="2">
        <v>11000</v>
      </c>
      <c r="I221" s="2">
        <v>0</v>
      </c>
      <c r="J221" s="2" t="s">
        <v>1779</v>
      </c>
      <c r="K221" s="2">
        <v>21</v>
      </c>
      <c r="L221" s="2">
        <v>10</v>
      </c>
      <c r="M221" s="2">
        <v>0</v>
      </c>
      <c r="N221" s="2">
        <v>6</v>
      </c>
      <c r="O221" s="2">
        <v>5</v>
      </c>
      <c r="P221" s="2">
        <v>0</v>
      </c>
      <c r="Q221" s="2" t="s">
        <v>2643</v>
      </c>
      <c r="R221" s="2" t="s">
        <v>2643</v>
      </c>
      <c r="S221" s="4">
        <v>44837</v>
      </c>
    </row>
    <row r="222" spans="1:19" ht="12.5" x14ac:dyDescent="0.25">
      <c r="A222" s="14" t="str">
        <f>HYPERLINK("https://gerandofalcoes.my.salesforce.com/0014X00002VKCpvQAH", "0014X00002VKCpvQAH")</f>
        <v>0014X00002VKCpvQAH</v>
      </c>
      <c r="B222" s="2" t="s">
        <v>2967</v>
      </c>
      <c r="C222" s="2" t="s">
        <v>423</v>
      </c>
      <c r="D222" s="2" t="s">
        <v>2</v>
      </c>
      <c r="E222" s="2">
        <v>10</v>
      </c>
      <c r="F222" s="2">
        <v>1</v>
      </c>
      <c r="G222" s="2">
        <v>1</v>
      </c>
      <c r="H222" s="2">
        <v>1000</v>
      </c>
      <c r="I222" s="2">
        <v>70</v>
      </c>
      <c r="J222" s="2" t="s">
        <v>1779</v>
      </c>
      <c r="K222" s="2">
        <v>29</v>
      </c>
      <c r="L222" s="2">
        <v>10</v>
      </c>
      <c r="M222" s="2">
        <v>5</v>
      </c>
      <c r="N222" s="2">
        <v>4</v>
      </c>
      <c r="O222" s="2">
        <v>5</v>
      </c>
      <c r="P222" s="2">
        <v>5</v>
      </c>
      <c r="Q222" s="2" t="s">
        <v>2968</v>
      </c>
      <c r="R222" s="2" t="s">
        <v>2969</v>
      </c>
      <c r="S222" s="4">
        <v>44837</v>
      </c>
    </row>
    <row r="223" spans="1:19" ht="12.5" x14ac:dyDescent="0.25">
      <c r="A223" s="14" t="str">
        <f>HYPERLINK("https://gerandofalcoes.my.salesforce.com/0014X00002VKCrDQAX", "0014X00002VKCrDQAX")</f>
        <v>0014X00002VKCrDQAX</v>
      </c>
      <c r="B223" s="2" t="s">
        <v>2755</v>
      </c>
      <c r="C223" s="2" t="s">
        <v>423</v>
      </c>
      <c r="D223" s="2" t="s">
        <v>2</v>
      </c>
      <c r="E223" s="2">
        <v>14</v>
      </c>
      <c r="F223" s="2">
        <v>2</v>
      </c>
      <c r="G223" s="2">
        <v>0</v>
      </c>
      <c r="H223" s="2">
        <v>0</v>
      </c>
      <c r="I223" s="2">
        <v>60</v>
      </c>
      <c r="J223" s="2" t="s">
        <v>1779</v>
      </c>
      <c r="K223" s="2">
        <v>20</v>
      </c>
      <c r="L223" s="2">
        <v>10</v>
      </c>
      <c r="M223" s="2">
        <v>5</v>
      </c>
      <c r="N223" s="2">
        <v>0</v>
      </c>
      <c r="O223" s="2">
        <v>0</v>
      </c>
      <c r="P223" s="2">
        <v>5</v>
      </c>
      <c r="Q223" s="2" t="s">
        <v>2756</v>
      </c>
      <c r="R223" s="2" t="s">
        <v>2756</v>
      </c>
      <c r="S223" s="4">
        <v>44837</v>
      </c>
    </row>
    <row r="224" spans="1:19" ht="12.5" x14ac:dyDescent="0.25">
      <c r="A224" s="14" t="str">
        <f>HYPERLINK("https://gerandofalcoes.my.salesforce.com/0014X00002VKCqRQAX", "0014X00002VKCqRQAX")</f>
        <v>0014X00002VKCqRQAX</v>
      </c>
      <c r="B224" s="2" t="s">
        <v>1758</v>
      </c>
      <c r="C224" s="2" t="s">
        <v>423</v>
      </c>
      <c r="D224" s="2" t="s">
        <v>2</v>
      </c>
      <c r="E224" s="2">
        <v>61.97</v>
      </c>
      <c r="F224" s="2">
        <v>0</v>
      </c>
      <c r="G224" s="2">
        <v>6</v>
      </c>
      <c r="H224" s="2">
        <v>112190</v>
      </c>
      <c r="I224" s="2">
        <v>197</v>
      </c>
      <c r="J224" s="2" t="s">
        <v>1671</v>
      </c>
      <c r="K224" s="2">
        <v>57</v>
      </c>
      <c r="L224" s="2">
        <v>20</v>
      </c>
      <c r="M224" s="2">
        <v>0</v>
      </c>
      <c r="N224" s="2">
        <v>10</v>
      </c>
      <c r="O224" s="2">
        <v>15</v>
      </c>
      <c r="P224" s="2">
        <v>12</v>
      </c>
      <c r="Q224" s="2" t="s">
        <v>1759</v>
      </c>
      <c r="R224" s="2" t="s">
        <v>1760</v>
      </c>
      <c r="S224" s="4">
        <v>44837</v>
      </c>
    </row>
    <row r="225" spans="1:19" ht="12.5" x14ac:dyDescent="0.25">
      <c r="A225" s="14" t="str">
        <f>HYPERLINK("https://gerandofalcoes.my.salesforce.com/0014X00002VKCr1QAH", "0014X00002VKCr1QAH")</f>
        <v>0014X00002VKCr1QAH</v>
      </c>
      <c r="B225" s="2" t="s">
        <v>2494</v>
      </c>
      <c r="C225" s="2" t="s">
        <v>423</v>
      </c>
      <c r="D225" s="2" t="s">
        <v>2</v>
      </c>
      <c r="E225" s="2">
        <v>21.76</v>
      </c>
      <c r="F225" s="2">
        <v>5</v>
      </c>
      <c r="G225" s="2">
        <v>3</v>
      </c>
      <c r="H225" s="2">
        <v>92000</v>
      </c>
      <c r="I225" s="2">
        <v>0</v>
      </c>
      <c r="J225" s="2" t="s">
        <v>1779</v>
      </c>
      <c r="K225" s="2">
        <v>33</v>
      </c>
      <c r="L225" s="2">
        <v>10</v>
      </c>
      <c r="M225" s="2">
        <v>5</v>
      </c>
      <c r="N225" s="2">
        <v>8</v>
      </c>
      <c r="O225" s="2">
        <v>10</v>
      </c>
      <c r="P225" s="2">
        <v>0</v>
      </c>
      <c r="Q225" s="2" t="s">
        <v>2495</v>
      </c>
      <c r="R225" s="2" t="s">
        <v>2496</v>
      </c>
      <c r="S225" s="4">
        <v>44837</v>
      </c>
    </row>
    <row r="226" spans="1:19" ht="12.5" x14ac:dyDescent="0.25">
      <c r="A226" s="14" t="str">
        <f>HYPERLINK("https://gerandofalcoes.my.salesforce.com/0014X00002VKCuWQAX", "0014X00002VKCuWQAX")</f>
        <v>0014X00002VKCuWQAX</v>
      </c>
      <c r="B226" s="2" t="s">
        <v>1930</v>
      </c>
      <c r="C226" s="2" t="s">
        <v>423</v>
      </c>
      <c r="D226" s="2" t="s">
        <v>2</v>
      </c>
      <c r="E226" s="2">
        <v>42</v>
      </c>
      <c r="F226" s="2">
        <v>35</v>
      </c>
      <c r="G226" s="2">
        <v>4</v>
      </c>
      <c r="H226" s="2">
        <v>30000</v>
      </c>
      <c r="I226" s="2">
        <v>30</v>
      </c>
      <c r="J226" s="2" t="s">
        <v>1671</v>
      </c>
      <c r="K226" s="2">
        <v>55</v>
      </c>
      <c r="L226" s="2">
        <v>15</v>
      </c>
      <c r="M226" s="2">
        <v>15</v>
      </c>
      <c r="N226" s="2">
        <v>10</v>
      </c>
      <c r="O226" s="2">
        <v>10</v>
      </c>
      <c r="P226" s="2">
        <v>5</v>
      </c>
      <c r="Q226" s="2" t="s">
        <v>1931</v>
      </c>
      <c r="R226" s="2" t="s">
        <v>1931</v>
      </c>
      <c r="S226" s="4">
        <v>44837</v>
      </c>
    </row>
    <row r="227" spans="1:19" ht="12.5" x14ac:dyDescent="0.25">
      <c r="A227" s="14" t="str">
        <f>HYPERLINK("https://gerandofalcoes.my.salesforce.com/0014X00002VKCpsQAH", "0014X00002VKCpsQAH")</f>
        <v>0014X00002VKCpsQAH</v>
      </c>
      <c r="B227" s="2" t="s">
        <v>1764</v>
      </c>
      <c r="C227" s="2" t="s">
        <v>423</v>
      </c>
      <c r="D227" s="2" t="s">
        <v>2</v>
      </c>
      <c r="E227" s="2">
        <v>52</v>
      </c>
      <c r="F227" s="2">
        <v>36</v>
      </c>
      <c r="G227" s="2">
        <v>2</v>
      </c>
      <c r="H227" s="2">
        <v>2039327</v>
      </c>
      <c r="I227" s="2">
        <v>0</v>
      </c>
      <c r="J227" s="2" t="s">
        <v>1650</v>
      </c>
      <c r="K227" s="2">
        <v>66</v>
      </c>
      <c r="L227" s="2">
        <v>20</v>
      </c>
      <c r="M227" s="2">
        <v>15</v>
      </c>
      <c r="N227" s="2">
        <v>6</v>
      </c>
      <c r="O227" s="2">
        <v>25</v>
      </c>
      <c r="P227" s="2">
        <v>0</v>
      </c>
      <c r="Q227" s="2" t="s">
        <v>1765</v>
      </c>
      <c r="R227" s="2" t="s">
        <v>1766</v>
      </c>
      <c r="S227" s="4">
        <v>44837</v>
      </c>
    </row>
    <row r="228" spans="1:19" ht="12.5" x14ac:dyDescent="0.25">
      <c r="A228" s="14" t="str">
        <f>HYPERLINK("https://gerandofalcoes.my.salesforce.com/0014X00002VKCuIQAX", "0014X00002VKCuIQAX")</f>
        <v>0014X00002VKCuIQAX</v>
      </c>
      <c r="B228" s="2" t="s">
        <v>2217</v>
      </c>
      <c r="C228" s="2" t="s">
        <v>423</v>
      </c>
      <c r="D228" s="2" t="s">
        <v>2</v>
      </c>
      <c r="E228" s="2">
        <v>32</v>
      </c>
      <c r="F228" s="2">
        <v>0</v>
      </c>
      <c r="G228" s="2">
        <v>2</v>
      </c>
      <c r="H228" s="2">
        <v>10000</v>
      </c>
      <c r="I228" s="2">
        <v>300</v>
      </c>
      <c r="J228" s="2" t="s">
        <v>1671</v>
      </c>
      <c r="K228" s="2">
        <v>41</v>
      </c>
      <c r="L228" s="2">
        <v>15</v>
      </c>
      <c r="M228" s="2">
        <v>0</v>
      </c>
      <c r="N228" s="2">
        <v>6</v>
      </c>
      <c r="O228" s="2">
        <v>5</v>
      </c>
      <c r="P228" s="2">
        <v>15</v>
      </c>
      <c r="Q228" s="2" t="s">
        <v>2218</v>
      </c>
      <c r="R228" s="2" t="s">
        <v>2219</v>
      </c>
      <c r="S228" s="4">
        <v>44837</v>
      </c>
    </row>
    <row r="229" spans="1:19" ht="12.5" x14ac:dyDescent="0.25">
      <c r="A229" s="14" t="str">
        <f>HYPERLINK("https://gerandofalcoes.my.salesforce.com/0014X00002VKCt4QAH", "0014X00002VKCt4QAH")</f>
        <v>0014X00002VKCt4QAH</v>
      </c>
      <c r="B229" s="2" t="s">
        <v>1841</v>
      </c>
      <c r="C229" s="2" t="s">
        <v>423</v>
      </c>
      <c r="D229" s="2" t="s">
        <v>2</v>
      </c>
      <c r="E229" s="2">
        <v>80</v>
      </c>
      <c r="F229" s="2">
        <v>0</v>
      </c>
      <c r="G229" s="2">
        <v>2</v>
      </c>
      <c r="H229" s="2">
        <v>272000</v>
      </c>
      <c r="I229" s="2">
        <v>105</v>
      </c>
      <c r="J229" s="2" t="s">
        <v>1671</v>
      </c>
      <c r="K229" s="2">
        <v>56</v>
      </c>
      <c r="L229" s="2">
        <v>25</v>
      </c>
      <c r="M229" s="2">
        <v>0</v>
      </c>
      <c r="N229" s="2">
        <v>6</v>
      </c>
      <c r="O229" s="2">
        <v>15</v>
      </c>
      <c r="P229" s="2">
        <v>10</v>
      </c>
      <c r="Q229" s="2" t="s">
        <v>1842</v>
      </c>
      <c r="R229" s="2" t="s">
        <v>1843</v>
      </c>
      <c r="S229" s="4">
        <v>44837</v>
      </c>
    </row>
    <row r="230" spans="1:19" ht="12.5" x14ac:dyDescent="0.25">
      <c r="A230" s="14" t="str">
        <f>HYPERLINK("https://gerandofalcoes.my.salesforce.com/0014X00002VKCuPQAX", "0014X00002VKCuPQAX")</f>
        <v>0014X00002VKCuPQAX</v>
      </c>
      <c r="B230" s="2" t="s">
        <v>2909</v>
      </c>
      <c r="C230" s="2" t="s">
        <v>423</v>
      </c>
      <c r="D230" s="2" t="s">
        <v>2</v>
      </c>
      <c r="E230" s="2">
        <v>24</v>
      </c>
      <c r="F230" s="2">
        <v>0</v>
      </c>
      <c r="G230" s="2">
        <v>0</v>
      </c>
      <c r="H230" s="2">
        <v>0</v>
      </c>
      <c r="I230" s="2">
        <v>0</v>
      </c>
      <c r="J230" s="2" t="s">
        <v>1779</v>
      </c>
      <c r="K230" s="2">
        <v>10</v>
      </c>
      <c r="L230" s="2">
        <v>10</v>
      </c>
      <c r="M230" s="2">
        <v>0</v>
      </c>
      <c r="N230" s="2">
        <v>0</v>
      </c>
      <c r="O230" s="2">
        <v>0</v>
      </c>
      <c r="P230" s="2">
        <v>0</v>
      </c>
      <c r="Q230" s="2" t="s">
        <v>2910</v>
      </c>
      <c r="R230" s="2" t="s">
        <v>2911</v>
      </c>
      <c r="S230" s="4">
        <v>44837</v>
      </c>
    </row>
    <row r="231" spans="1:19" ht="12.5" x14ac:dyDescent="0.25">
      <c r="A231" s="14" t="str">
        <f>HYPERLINK("https://gerandofalcoes.my.salesforce.com/0014X00002VKCpxQAH", "0014X00002VKCpxQAH")</f>
        <v>0014X00002VKCpxQAH</v>
      </c>
      <c r="B231" s="2" t="s">
        <v>2551</v>
      </c>
      <c r="C231" s="2" t="s">
        <v>1800</v>
      </c>
      <c r="D231" s="2" t="s">
        <v>2</v>
      </c>
      <c r="E231" s="2">
        <v>20</v>
      </c>
      <c r="F231" s="2">
        <v>5</v>
      </c>
      <c r="G231" s="2">
        <v>7</v>
      </c>
      <c r="H231" s="2">
        <v>21530</v>
      </c>
      <c r="I231" s="2">
        <v>387</v>
      </c>
      <c r="J231" s="2" t="s">
        <v>1671</v>
      </c>
      <c r="K231" s="2">
        <v>45</v>
      </c>
      <c r="L231" s="2">
        <v>10</v>
      </c>
      <c r="M231" s="2">
        <v>5</v>
      </c>
      <c r="N231" s="2">
        <v>10</v>
      </c>
      <c r="O231" s="2">
        <v>5</v>
      </c>
      <c r="P231" s="2">
        <v>15</v>
      </c>
      <c r="Q231" s="2" t="s">
        <v>2552</v>
      </c>
      <c r="R231" s="2" t="s">
        <v>2553</v>
      </c>
      <c r="S231" s="4">
        <v>44837</v>
      </c>
    </row>
    <row r="232" spans="1:19" ht="12.5" x14ac:dyDescent="0.25">
      <c r="A232" s="14" t="str">
        <f>HYPERLINK("https://gerandofalcoes.my.salesforce.com/0014X00002VKCqgQAH", "0014X00002VKCqgQAH")</f>
        <v>0014X00002VKCqgQAH</v>
      </c>
      <c r="B232" s="2" t="s">
        <v>1816</v>
      </c>
      <c r="C232" s="2" t="s">
        <v>423</v>
      </c>
      <c r="D232" s="2" t="s">
        <v>2</v>
      </c>
      <c r="E232" s="2">
        <v>43</v>
      </c>
      <c r="F232" s="2">
        <v>12</v>
      </c>
      <c r="G232" s="2">
        <v>2</v>
      </c>
      <c r="H232" s="2">
        <v>472000</v>
      </c>
      <c r="I232" s="2">
        <v>50</v>
      </c>
      <c r="J232" s="2" t="s">
        <v>1671</v>
      </c>
      <c r="K232" s="2">
        <v>58</v>
      </c>
      <c r="L232" s="2">
        <v>15</v>
      </c>
      <c r="M232" s="2">
        <v>12</v>
      </c>
      <c r="N232" s="2">
        <v>6</v>
      </c>
      <c r="O232" s="2">
        <v>20</v>
      </c>
      <c r="P232" s="2">
        <v>5</v>
      </c>
      <c r="Q232" s="2" t="s">
        <v>1818</v>
      </c>
      <c r="R232" s="2" t="s">
        <v>1818</v>
      </c>
      <c r="S232" s="4">
        <v>44837</v>
      </c>
    </row>
    <row r="233" spans="1:19" ht="12.5" x14ac:dyDescent="0.25">
      <c r="A233" s="14" t="str">
        <f>HYPERLINK("https://gerandofalcoes.my.salesforce.com/0014X00002VKCpmQAH", "0014X00002VKCpmQAH")</f>
        <v>0014X00002VKCpmQAH</v>
      </c>
      <c r="B233" s="2" t="s">
        <v>2555</v>
      </c>
      <c r="C233" s="2" t="s">
        <v>1800</v>
      </c>
      <c r="D233" s="2" t="s">
        <v>2</v>
      </c>
      <c r="E233" s="2">
        <v>20</v>
      </c>
      <c r="F233" s="2">
        <v>0</v>
      </c>
      <c r="G233" s="2">
        <v>3</v>
      </c>
      <c r="H233" s="2">
        <v>7000</v>
      </c>
      <c r="I233" s="2">
        <v>80</v>
      </c>
      <c r="J233" s="2" t="s">
        <v>1779</v>
      </c>
      <c r="K233" s="2">
        <v>33</v>
      </c>
      <c r="L233" s="2">
        <v>10</v>
      </c>
      <c r="M233" s="2">
        <v>0</v>
      </c>
      <c r="N233" s="2">
        <v>8</v>
      </c>
      <c r="O233" s="2">
        <v>5</v>
      </c>
      <c r="P233" s="2">
        <v>10</v>
      </c>
      <c r="Q233" s="2" t="s">
        <v>2556</v>
      </c>
      <c r="R233" s="2" t="s">
        <v>2556</v>
      </c>
      <c r="S233" s="4">
        <v>44837</v>
      </c>
    </row>
    <row r="234" spans="1:19" ht="12.5" x14ac:dyDescent="0.25">
      <c r="A234" s="14" t="str">
        <f>HYPERLINK("https://gerandofalcoes.my.salesforce.com/0014X00002VKCuzQAH", "0014X00002VKCuzQAH")</f>
        <v>0014X00002VKCuzQAH</v>
      </c>
      <c r="B234" s="2" t="s">
        <v>2117</v>
      </c>
      <c r="C234" s="2" t="s">
        <v>423</v>
      </c>
      <c r="D234" s="2" t="s">
        <v>2</v>
      </c>
      <c r="E234" s="2">
        <v>35</v>
      </c>
      <c r="F234" s="2">
        <v>0</v>
      </c>
      <c r="G234" s="2">
        <v>3</v>
      </c>
      <c r="H234" s="2">
        <v>34878</v>
      </c>
      <c r="I234" s="2">
        <v>7</v>
      </c>
      <c r="J234" s="2" t="s">
        <v>1779</v>
      </c>
      <c r="K234" s="2">
        <v>38</v>
      </c>
      <c r="L234" s="2">
        <v>15</v>
      </c>
      <c r="M234" s="2">
        <v>0</v>
      </c>
      <c r="N234" s="2">
        <v>8</v>
      </c>
      <c r="O234" s="2">
        <v>10</v>
      </c>
      <c r="P234" s="2">
        <v>5</v>
      </c>
      <c r="Q234" s="2" t="s">
        <v>2118</v>
      </c>
      <c r="R234" s="2" t="s">
        <v>2119</v>
      </c>
      <c r="S234" s="4">
        <v>44837</v>
      </c>
    </row>
    <row r="235" spans="1:19" ht="12.5" x14ac:dyDescent="0.25">
      <c r="A235" s="14" t="str">
        <f>HYPERLINK("https://gerandofalcoes.my.salesforce.com/0014X00002VKCq5QAH", "0014X00002VKCq5QAH")</f>
        <v>0014X00002VKCq5QAH</v>
      </c>
      <c r="B235" s="2" t="s">
        <v>2304</v>
      </c>
      <c r="C235" s="2" t="s">
        <v>423</v>
      </c>
      <c r="D235" s="2" t="s">
        <v>2</v>
      </c>
      <c r="E235" s="2">
        <v>29</v>
      </c>
      <c r="F235" s="2">
        <v>3</v>
      </c>
      <c r="G235" s="2">
        <v>3</v>
      </c>
      <c r="H235" s="2">
        <v>30000</v>
      </c>
      <c r="I235" s="2">
        <v>50</v>
      </c>
      <c r="J235" s="2" t="s">
        <v>1671</v>
      </c>
      <c r="K235" s="2">
        <v>43</v>
      </c>
      <c r="L235" s="2">
        <v>15</v>
      </c>
      <c r="M235" s="2">
        <v>5</v>
      </c>
      <c r="N235" s="2">
        <v>8</v>
      </c>
      <c r="O235" s="2">
        <v>10</v>
      </c>
      <c r="P235" s="2">
        <v>5</v>
      </c>
      <c r="Q235" s="2" t="s">
        <v>2305</v>
      </c>
      <c r="R235" s="2" t="s">
        <v>2306</v>
      </c>
      <c r="S235" s="4">
        <v>44837</v>
      </c>
    </row>
    <row r="236" spans="1:19" ht="12.5" x14ac:dyDescent="0.25">
      <c r="A236" s="14" t="str">
        <f>HYPERLINK("https://gerandofalcoes.my.salesforce.com/0014X00002VKCtIQAX", "0014X00002VKCtIQAX")</f>
        <v>0014X00002VKCtIQAX</v>
      </c>
      <c r="B236" s="2" t="s">
        <v>1927</v>
      </c>
      <c r="C236" s="2" t="s">
        <v>423</v>
      </c>
      <c r="D236" s="2" t="s">
        <v>2</v>
      </c>
      <c r="E236" s="2">
        <v>42</v>
      </c>
      <c r="F236" s="2">
        <v>0</v>
      </c>
      <c r="G236" s="2">
        <v>6</v>
      </c>
      <c r="H236" s="2">
        <v>0</v>
      </c>
      <c r="I236" s="2">
        <v>180</v>
      </c>
      <c r="J236" s="2" t="s">
        <v>1779</v>
      </c>
      <c r="K236" s="2">
        <v>37</v>
      </c>
      <c r="L236" s="2">
        <v>15</v>
      </c>
      <c r="M236" s="2">
        <v>0</v>
      </c>
      <c r="N236" s="2">
        <v>10</v>
      </c>
      <c r="O236" s="2">
        <v>0</v>
      </c>
      <c r="P236" s="2">
        <v>12</v>
      </c>
      <c r="Q236" s="2" t="s">
        <v>1928</v>
      </c>
      <c r="R236" s="2" t="s">
        <v>1929</v>
      </c>
      <c r="S236" s="4">
        <v>44837</v>
      </c>
    </row>
    <row r="237" spans="1:19" ht="12.5" x14ac:dyDescent="0.25">
      <c r="A237" s="14" t="str">
        <f>HYPERLINK("https://gerandofalcoes.my.salesforce.com/0014X00002VKCufQAH", "0014X00002VKCufQAH")</f>
        <v>0014X00002VKCufQAH</v>
      </c>
      <c r="B237" s="2" t="s">
        <v>1895</v>
      </c>
      <c r="C237" s="2" t="s">
        <v>423</v>
      </c>
      <c r="D237" s="2" t="s">
        <v>2</v>
      </c>
      <c r="E237" s="2">
        <v>47</v>
      </c>
      <c r="F237" s="2">
        <v>5</v>
      </c>
      <c r="G237" s="2">
        <v>1</v>
      </c>
      <c r="H237" s="2">
        <v>14040000</v>
      </c>
      <c r="I237" s="2">
        <v>50</v>
      </c>
      <c r="J237" s="2" t="s">
        <v>1671</v>
      </c>
      <c r="K237" s="2">
        <v>54</v>
      </c>
      <c r="L237" s="2">
        <v>15</v>
      </c>
      <c r="M237" s="2">
        <v>5</v>
      </c>
      <c r="N237" s="2">
        <v>4</v>
      </c>
      <c r="O237" s="2">
        <v>25</v>
      </c>
      <c r="P237" s="2">
        <v>5</v>
      </c>
      <c r="Q237" s="2" t="s">
        <v>1896</v>
      </c>
      <c r="R237" s="2" t="s">
        <v>1896</v>
      </c>
      <c r="S237" s="4">
        <v>44837</v>
      </c>
    </row>
    <row r="238" spans="1:19" ht="12.5" x14ac:dyDescent="0.25">
      <c r="A238" s="14" t="str">
        <f>HYPERLINK("https://gerandofalcoes.my.salesforce.com/0014X00002VKCuNQAX", "0014X00002VKCuNQAX")</f>
        <v>0014X00002VKCuNQAX</v>
      </c>
      <c r="B238" s="2" t="s">
        <v>1963</v>
      </c>
      <c r="C238" s="2" t="s">
        <v>1800</v>
      </c>
      <c r="D238" s="2" t="s">
        <v>2</v>
      </c>
      <c r="E238" s="2">
        <v>40</v>
      </c>
      <c r="F238" s="2">
        <v>0</v>
      </c>
      <c r="G238" s="2">
        <v>4</v>
      </c>
      <c r="H238" s="2">
        <v>52814</v>
      </c>
      <c r="I238" s="2">
        <v>96</v>
      </c>
      <c r="J238" s="2" t="s">
        <v>1671</v>
      </c>
      <c r="K238" s="2">
        <v>45</v>
      </c>
      <c r="L238" s="2">
        <v>15</v>
      </c>
      <c r="M238" s="2">
        <v>0</v>
      </c>
      <c r="N238" s="2">
        <v>10</v>
      </c>
      <c r="O238" s="2">
        <v>10</v>
      </c>
      <c r="P238" s="2">
        <v>10</v>
      </c>
      <c r="Q238" s="2" t="s">
        <v>1964</v>
      </c>
      <c r="R238" s="2" t="s">
        <v>1965</v>
      </c>
      <c r="S238" s="4">
        <v>44837</v>
      </c>
    </row>
    <row r="239" spans="1:19" ht="12.5" x14ac:dyDescent="0.25">
      <c r="A239" s="14" t="str">
        <f>HYPERLINK("https://gerandofalcoes.my.salesforce.com/0014X00002VKCuTQAX", "0014X00002VKCuTQAX")</f>
        <v>0014X00002VKCuTQAX</v>
      </c>
      <c r="B239" s="2" t="s">
        <v>1801</v>
      </c>
      <c r="C239" s="2" t="s">
        <v>423</v>
      </c>
      <c r="D239" s="2" t="s">
        <v>2</v>
      </c>
      <c r="E239" s="2">
        <v>53</v>
      </c>
      <c r="F239" s="2">
        <v>14</v>
      </c>
      <c r="G239" s="2">
        <v>2</v>
      </c>
      <c r="H239" s="2">
        <v>350000</v>
      </c>
      <c r="I239" s="2">
        <v>75</v>
      </c>
      <c r="J239" s="2" t="s">
        <v>1671</v>
      </c>
      <c r="K239" s="2">
        <v>63</v>
      </c>
      <c r="L239" s="2">
        <v>20</v>
      </c>
      <c r="M239" s="2">
        <v>12</v>
      </c>
      <c r="N239" s="2">
        <v>6</v>
      </c>
      <c r="O239" s="2">
        <v>20</v>
      </c>
      <c r="P239" s="2">
        <v>5</v>
      </c>
      <c r="Q239" s="2" t="s">
        <v>1802</v>
      </c>
      <c r="R239" s="2" t="s">
        <v>1803</v>
      </c>
      <c r="S239" s="4">
        <v>44837</v>
      </c>
    </row>
    <row r="240" spans="1:19" ht="12.5" x14ac:dyDescent="0.25">
      <c r="A240" s="14" t="str">
        <f>HYPERLINK("https://gerandofalcoes.my.salesforce.com/0014X00002VKCtOQAX", "0014X00002VKCtOQAX")</f>
        <v>0014X00002VKCtOQAX</v>
      </c>
      <c r="B240" s="2" t="s">
        <v>1986</v>
      </c>
      <c r="C240" s="2" t="s">
        <v>423</v>
      </c>
      <c r="D240" s="2" t="s">
        <v>2</v>
      </c>
      <c r="E240" s="2">
        <v>39</v>
      </c>
      <c r="F240" s="2">
        <v>0</v>
      </c>
      <c r="G240" s="2">
        <v>2</v>
      </c>
      <c r="H240" s="2">
        <v>4046</v>
      </c>
      <c r="I240" s="2">
        <v>240</v>
      </c>
      <c r="J240" s="2" t="s">
        <v>1779</v>
      </c>
      <c r="K240" s="2">
        <v>38</v>
      </c>
      <c r="L240" s="2">
        <v>15</v>
      </c>
      <c r="M240" s="2">
        <v>0</v>
      </c>
      <c r="N240" s="2">
        <v>6</v>
      </c>
      <c r="O240" s="2">
        <v>5</v>
      </c>
      <c r="P240" s="2">
        <v>12</v>
      </c>
      <c r="Q240" s="2" t="s">
        <v>1987</v>
      </c>
      <c r="R240" s="2" t="s">
        <v>1988</v>
      </c>
      <c r="S240" s="4">
        <v>44837</v>
      </c>
    </row>
    <row r="241" spans="1:19" ht="12.5" x14ac:dyDescent="0.25">
      <c r="A241" s="14" t="str">
        <f>HYPERLINK("https://gerandofalcoes.my.salesforce.com/0014X00002VKCqeQAH", "0014X00002VKCqeQAH")</f>
        <v>0014X00002VKCqeQAH</v>
      </c>
      <c r="B241" s="2" t="s">
        <v>2338</v>
      </c>
      <c r="C241" s="2" t="s">
        <v>423</v>
      </c>
      <c r="D241" s="2" t="s">
        <v>2</v>
      </c>
      <c r="E241" s="2">
        <v>27.33</v>
      </c>
      <c r="F241" s="2">
        <v>0</v>
      </c>
      <c r="G241" s="2">
        <v>0</v>
      </c>
      <c r="H241" s="2">
        <v>0</v>
      </c>
      <c r="I241" s="2">
        <v>120</v>
      </c>
      <c r="J241" s="2" t="s">
        <v>1779</v>
      </c>
      <c r="K241" s="2">
        <v>25</v>
      </c>
      <c r="L241" s="2">
        <v>15</v>
      </c>
      <c r="M241" s="2">
        <v>0</v>
      </c>
      <c r="N241" s="2">
        <v>0</v>
      </c>
      <c r="O241" s="2">
        <v>0</v>
      </c>
      <c r="P241" s="2">
        <v>10</v>
      </c>
      <c r="Q241" s="2" t="s">
        <v>2339</v>
      </c>
      <c r="R241" s="2" t="s">
        <v>2339</v>
      </c>
      <c r="S241" s="4">
        <v>44837</v>
      </c>
    </row>
    <row r="242" spans="1:19" ht="12.5" x14ac:dyDescent="0.25">
      <c r="A242" s="14" t="str">
        <f>HYPERLINK("https://gerandofalcoes.my.salesforce.com/0014X00002VKCtWQAX", "0014X00002VKCtWQAX")</f>
        <v>0014X00002VKCtWQAX</v>
      </c>
      <c r="B242" s="2" t="s">
        <v>7164</v>
      </c>
      <c r="C242" s="2" t="s">
        <v>423</v>
      </c>
      <c r="D242" s="2" t="s">
        <v>2</v>
      </c>
      <c r="E242" s="2">
        <v>41</v>
      </c>
      <c r="F242" s="2">
        <v>0</v>
      </c>
      <c r="G242" s="2">
        <v>0</v>
      </c>
      <c r="H242" s="2">
        <v>1000</v>
      </c>
      <c r="I242" s="2">
        <v>150</v>
      </c>
      <c r="J242" s="2" t="s">
        <v>1779</v>
      </c>
      <c r="K242" s="2">
        <v>32</v>
      </c>
      <c r="L242" s="2">
        <v>15</v>
      </c>
      <c r="M242" s="2">
        <v>0</v>
      </c>
      <c r="N242" s="2">
        <v>0</v>
      </c>
      <c r="O242" s="2">
        <v>5</v>
      </c>
      <c r="P242" s="2">
        <v>12</v>
      </c>
      <c r="Q242" s="2" t="s">
        <v>2652</v>
      </c>
      <c r="R242" s="2" t="s">
        <v>2653</v>
      </c>
      <c r="S242" s="4">
        <v>44837</v>
      </c>
    </row>
    <row r="243" spans="1:19" ht="12.5" x14ac:dyDescent="0.25">
      <c r="A243" s="14" t="str">
        <f>HYPERLINK("https://gerandofalcoes.my.salesforce.com/0014X00002VKCqsQAH", "0014X00002VKCqsQAH")</f>
        <v>0014X00002VKCqsQAH</v>
      </c>
      <c r="B243" s="2" t="s">
        <v>2700</v>
      </c>
      <c r="C243" s="2" t="s">
        <v>423</v>
      </c>
      <c r="D243" s="2" t="s">
        <v>2</v>
      </c>
      <c r="E243" s="2">
        <v>33</v>
      </c>
      <c r="F243" s="2">
        <v>8</v>
      </c>
      <c r="G243" s="2">
        <v>2</v>
      </c>
      <c r="H243" s="2">
        <v>47000</v>
      </c>
      <c r="I243" s="2">
        <v>100</v>
      </c>
      <c r="J243" s="2" t="s">
        <v>1671</v>
      </c>
      <c r="K243" s="2">
        <v>51</v>
      </c>
      <c r="L243" s="2">
        <v>15</v>
      </c>
      <c r="M243" s="2">
        <v>10</v>
      </c>
      <c r="N243" s="2">
        <v>6</v>
      </c>
      <c r="O243" s="2">
        <v>10</v>
      </c>
      <c r="P243" s="2">
        <v>10</v>
      </c>
      <c r="Q243" s="2" t="s">
        <v>2701</v>
      </c>
      <c r="R243" s="2" t="s">
        <v>2702</v>
      </c>
      <c r="S243" s="4">
        <v>44837</v>
      </c>
    </row>
    <row r="244" spans="1:19" ht="12.5" x14ac:dyDescent="0.25">
      <c r="A244" s="14" t="str">
        <f>HYPERLINK("https://gerandofalcoes.my.salesforce.com/0014X00002VKCqLQAX", "0014X00002VKCqLQAX")</f>
        <v>0014X00002VKCqLQAX</v>
      </c>
      <c r="B244" s="2" t="s">
        <v>1871</v>
      </c>
      <c r="C244" s="2" t="s">
        <v>423</v>
      </c>
      <c r="D244" s="2" t="s">
        <v>2</v>
      </c>
      <c r="E244" s="2">
        <v>79</v>
      </c>
      <c r="F244" s="2">
        <v>462</v>
      </c>
      <c r="G244" s="2">
        <v>2</v>
      </c>
      <c r="H244" s="2">
        <v>9114662</v>
      </c>
      <c r="I244" s="2">
        <v>365</v>
      </c>
      <c r="J244" s="2" t="s">
        <v>1654</v>
      </c>
      <c r="K244" s="2">
        <v>86</v>
      </c>
      <c r="L244" s="2">
        <v>25</v>
      </c>
      <c r="M244" s="2">
        <v>15</v>
      </c>
      <c r="N244" s="2">
        <v>6</v>
      </c>
      <c r="O244" s="2">
        <v>25</v>
      </c>
      <c r="P244" s="2">
        <v>15</v>
      </c>
      <c r="Q244" s="2" t="s">
        <v>1872</v>
      </c>
      <c r="R244" s="2" t="s">
        <v>1873</v>
      </c>
      <c r="S244" s="4">
        <v>44837</v>
      </c>
    </row>
    <row r="245" spans="1:19" ht="12.5" x14ac:dyDescent="0.25">
      <c r="A245" s="14" t="str">
        <f>HYPERLINK("https://gerandofalcoes.my.salesforce.com/0014X00002VKCuDQAX", "0014X00002VKCuDQAX")</f>
        <v>0014X00002VKCuDQAX</v>
      </c>
      <c r="B245" s="2" t="s">
        <v>2900</v>
      </c>
      <c r="C245" s="2" t="s">
        <v>423</v>
      </c>
      <c r="D245" s="2" t="s">
        <v>2</v>
      </c>
      <c r="E245" s="2">
        <v>22</v>
      </c>
      <c r="F245" s="2">
        <v>0</v>
      </c>
      <c r="G245" s="2">
        <v>1</v>
      </c>
      <c r="H245" s="2">
        <v>20000</v>
      </c>
      <c r="I245" s="2">
        <v>30</v>
      </c>
      <c r="J245" s="2" t="s">
        <v>1779</v>
      </c>
      <c r="K245" s="2">
        <v>24</v>
      </c>
      <c r="L245" s="2">
        <v>10</v>
      </c>
      <c r="M245" s="2">
        <v>0</v>
      </c>
      <c r="N245" s="2">
        <v>4</v>
      </c>
      <c r="O245" s="2">
        <v>5</v>
      </c>
      <c r="P245" s="2">
        <v>5</v>
      </c>
      <c r="Q245" s="2" t="s">
        <v>2901</v>
      </c>
      <c r="R245" s="2" t="s">
        <v>2901</v>
      </c>
      <c r="S245" s="4">
        <v>44837</v>
      </c>
    </row>
    <row r="246" spans="1:19" ht="12.5" x14ac:dyDescent="0.25">
      <c r="A246" s="14" t="str">
        <f>HYPERLINK("https://gerandofalcoes.my.salesforce.com/0014X00002VKCrpQAH", "0014X00002VKCrpQAH")</f>
        <v>0014X00002VKCrpQAH</v>
      </c>
      <c r="B246" s="2" t="s">
        <v>2887</v>
      </c>
      <c r="C246" s="2" t="s">
        <v>1800</v>
      </c>
      <c r="D246" s="2" t="s">
        <v>2</v>
      </c>
      <c r="E246" s="2">
        <v>9</v>
      </c>
      <c r="F246" s="2">
        <v>0</v>
      </c>
      <c r="G246" s="2">
        <v>4</v>
      </c>
      <c r="H246" s="2">
        <v>2700</v>
      </c>
      <c r="I246" s="2">
        <v>80</v>
      </c>
      <c r="J246" s="2" t="s">
        <v>1779</v>
      </c>
      <c r="K246" s="2">
        <v>35</v>
      </c>
      <c r="L246" s="2">
        <v>10</v>
      </c>
      <c r="M246" s="2">
        <v>0</v>
      </c>
      <c r="N246" s="2">
        <v>10</v>
      </c>
      <c r="O246" s="2">
        <v>5</v>
      </c>
      <c r="P246" s="2">
        <v>10</v>
      </c>
      <c r="Q246" s="2" t="s">
        <v>2888</v>
      </c>
      <c r="R246" s="2" t="s">
        <v>2889</v>
      </c>
      <c r="S246" s="4">
        <v>44837</v>
      </c>
    </row>
    <row r="247" spans="1:19" ht="12.5" x14ac:dyDescent="0.25">
      <c r="A247" s="14" t="str">
        <f>HYPERLINK("https://gerandofalcoes.my.salesforce.com/0014P00003AN2FzQAL", "0014P00003AN2FzQAL")</f>
        <v>0014P00003AN2FzQAL</v>
      </c>
      <c r="B247" s="2" t="s">
        <v>2127</v>
      </c>
      <c r="C247" s="2" t="s">
        <v>423</v>
      </c>
      <c r="D247" s="2" t="s">
        <v>2</v>
      </c>
      <c r="E247" s="2">
        <v>87</v>
      </c>
      <c r="F247" s="2">
        <v>5</v>
      </c>
      <c r="G247" s="2">
        <v>5</v>
      </c>
      <c r="H247" s="2">
        <v>304000</v>
      </c>
      <c r="I247" s="2">
        <v>180</v>
      </c>
      <c r="J247" s="2" t="s">
        <v>1650</v>
      </c>
      <c r="K247" s="2">
        <v>72</v>
      </c>
      <c r="L247" s="2">
        <v>25</v>
      </c>
      <c r="M247" s="2">
        <v>5</v>
      </c>
      <c r="N247" s="2">
        <v>10</v>
      </c>
      <c r="O247" s="2">
        <v>20</v>
      </c>
      <c r="P247" s="2">
        <v>12</v>
      </c>
      <c r="Q247" s="2" t="s">
        <v>652</v>
      </c>
      <c r="R247" s="2" t="s">
        <v>652</v>
      </c>
      <c r="S247" s="4">
        <v>44837</v>
      </c>
    </row>
    <row r="248" spans="1:19" ht="12.5" x14ac:dyDescent="0.25">
      <c r="A248" s="14" t="str">
        <f>HYPERLINK("https://gerandofalcoes.my.salesforce.com/0014P00003AN2G0QAL", "0014P00003AN2G0QAL")</f>
        <v>0014P00003AN2G0QAL</v>
      </c>
      <c r="B248" s="2" t="s">
        <v>146</v>
      </c>
      <c r="C248" s="2" t="s">
        <v>423</v>
      </c>
      <c r="D248" s="2" t="s">
        <v>27</v>
      </c>
      <c r="E248" s="2">
        <v>83</v>
      </c>
      <c r="F248" s="2">
        <v>7</v>
      </c>
      <c r="G248" s="2">
        <v>3</v>
      </c>
      <c r="H248" s="2">
        <v>31263.49</v>
      </c>
      <c r="I248" s="2">
        <v>71</v>
      </c>
      <c r="J248" s="2" t="s">
        <v>1671</v>
      </c>
      <c r="K248" s="2">
        <v>58</v>
      </c>
      <c r="L248" s="2">
        <v>25</v>
      </c>
      <c r="M248" s="2">
        <v>10</v>
      </c>
      <c r="N248" s="2">
        <v>8</v>
      </c>
      <c r="O248" s="2">
        <v>10</v>
      </c>
      <c r="P248" s="2">
        <v>5</v>
      </c>
      <c r="Q248" s="2" t="s">
        <v>1699</v>
      </c>
      <c r="R248" s="2" t="s">
        <v>1699</v>
      </c>
      <c r="S248" s="4">
        <v>44837</v>
      </c>
    </row>
    <row r="249" spans="1:19" ht="12.5" x14ac:dyDescent="0.25">
      <c r="A249" s="14" t="str">
        <f>HYPERLINK("https://gerandofalcoes.my.salesforce.com/0014P00003AN2G1QAL", "0014P00003AN2G1QAL")</f>
        <v>0014P00003AN2G1QAL</v>
      </c>
      <c r="B249" s="2" t="s">
        <v>1744</v>
      </c>
      <c r="C249" s="2" t="s">
        <v>423</v>
      </c>
      <c r="D249" s="2" t="s">
        <v>2</v>
      </c>
      <c r="E249" s="2">
        <v>86</v>
      </c>
      <c r="F249" s="2">
        <v>10</v>
      </c>
      <c r="G249" s="2">
        <v>2</v>
      </c>
      <c r="H249" s="2">
        <v>1545600</v>
      </c>
      <c r="I249" s="2">
        <v>123</v>
      </c>
      <c r="J249" s="2" t="s">
        <v>1650</v>
      </c>
      <c r="K249" s="2">
        <v>76</v>
      </c>
      <c r="L249" s="2">
        <v>25</v>
      </c>
      <c r="M249" s="2">
        <v>10</v>
      </c>
      <c r="N249" s="2">
        <v>6</v>
      </c>
      <c r="O249" s="2">
        <v>25</v>
      </c>
      <c r="P249" s="2">
        <v>10</v>
      </c>
      <c r="Q249" s="2" t="s">
        <v>839</v>
      </c>
      <c r="R249" s="2" t="s">
        <v>839</v>
      </c>
      <c r="S249" s="4">
        <v>44837</v>
      </c>
    </row>
    <row r="250" spans="1:19" ht="12.5" x14ac:dyDescent="0.25">
      <c r="A250" s="14" t="str">
        <f>HYPERLINK("https://gerandofalcoes.my.salesforce.com/0014P00003AN2G2QAL", "0014P00003AN2G2QAL")</f>
        <v>0014P00003AN2G2QAL</v>
      </c>
      <c r="B250" s="2" t="s">
        <v>2150</v>
      </c>
      <c r="C250" s="2" t="s">
        <v>423</v>
      </c>
      <c r="D250" s="2" t="s">
        <v>2</v>
      </c>
      <c r="E250" s="2"/>
      <c r="F250" s="2">
        <v>10</v>
      </c>
      <c r="G250" s="2">
        <v>1</v>
      </c>
      <c r="H250" s="2">
        <v>30485954</v>
      </c>
      <c r="I250" s="2">
        <v>200</v>
      </c>
      <c r="J250" s="2" t="s">
        <v>1671</v>
      </c>
      <c r="K250" s="2">
        <v>51</v>
      </c>
      <c r="L250" s="2">
        <v>0</v>
      </c>
      <c r="M250" s="2">
        <v>10</v>
      </c>
      <c r="N250" s="2">
        <v>4</v>
      </c>
      <c r="O250" s="2">
        <v>25</v>
      </c>
      <c r="P250" s="2">
        <v>12</v>
      </c>
      <c r="Q250" s="2" t="s">
        <v>2151</v>
      </c>
      <c r="R250" s="2" t="s">
        <v>2151</v>
      </c>
      <c r="S250" s="4">
        <v>44837</v>
      </c>
    </row>
    <row r="251" spans="1:19" ht="12.5" x14ac:dyDescent="0.25">
      <c r="A251" s="14" t="str">
        <f>HYPERLINK("https://gerandofalcoes.my.salesforce.com/0014P00003AN2G3QAL", "0014P00003AN2G3QAL")</f>
        <v>0014P00003AN2G3QAL</v>
      </c>
      <c r="B251" s="2" t="s">
        <v>1677</v>
      </c>
      <c r="C251" s="2" t="s">
        <v>423</v>
      </c>
      <c r="D251" s="2" t="s">
        <v>27</v>
      </c>
      <c r="E251" s="2">
        <v>89</v>
      </c>
      <c r="F251" s="2">
        <v>9</v>
      </c>
      <c r="G251" s="2">
        <v>3</v>
      </c>
      <c r="H251" s="2">
        <v>46396.77</v>
      </c>
      <c r="I251" s="2">
        <v>188</v>
      </c>
      <c r="J251" s="2" t="s">
        <v>1650</v>
      </c>
      <c r="K251" s="2">
        <v>65</v>
      </c>
      <c r="L251" s="2">
        <v>25</v>
      </c>
      <c r="M251" s="2">
        <v>10</v>
      </c>
      <c r="N251" s="2">
        <v>8</v>
      </c>
      <c r="O251" s="2">
        <v>10</v>
      </c>
      <c r="P251" s="2">
        <v>12</v>
      </c>
      <c r="Q251" s="2" t="s">
        <v>153</v>
      </c>
      <c r="R251" s="2" t="s">
        <v>153</v>
      </c>
      <c r="S251" s="4">
        <v>44837</v>
      </c>
    </row>
    <row r="252" spans="1:19" ht="12.5" x14ac:dyDescent="0.25">
      <c r="A252" s="14" t="str">
        <f>HYPERLINK("https://gerandofalcoes.my.salesforce.com/0014P00003AN2G4QAL", "0014P00003AN2G4QAL")</f>
        <v>0014P00003AN2G4QAL</v>
      </c>
      <c r="B252" s="2" t="s">
        <v>1747</v>
      </c>
      <c r="C252" s="2" t="s">
        <v>423</v>
      </c>
      <c r="D252" s="2" t="s">
        <v>27</v>
      </c>
      <c r="E252" s="2">
        <v>56</v>
      </c>
      <c r="F252" s="2">
        <v>0</v>
      </c>
      <c r="G252" s="2">
        <v>2</v>
      </c>
      <c r="H252" s="2">
        <v>37000</v>
      </c>
      <c r="I252" s="2">
        <v>180</v>
      </c>
      <c r="J252" s="2" t="s">
        <v>1671</v>
      </c>
      <c r="K252" s="2">
        <v>48</v>
      </c>
      <c r="L252" s="2">
        <v>20</v>
      </c>
      <c r="M252" s="2">
        <v>0</v>
      </c>
      <c r="N252" s="2">
        <v>6</v>
      </c>
      <c r="O252" s="2">
        <v>10</v>
      </c>
      <c r="P252" s="2">
        <v>12</v>
      </c>
      <c r="Q252" s="2" t="s">
        <v>925</v>
      </c>
      <c r="R252" s="2" t="s">
        <v>925</v>
      </c>
      <c r="S252" s="4">
        <v>44837</v>
      </c>
    </row>
    <row r="253" spans="1:19" ht="12.5" x14ac:dyDescent="0.25">
      <c r="A253" s="14" t="str">
        <f>HYPERLINK("https://gerandofalcoes.my.salesforce.com/0014P00003AN2G5QAL", "0014P00003AN2G5QAL")</f>
        <v>0014P00003AN2G5QAL</v>
      </c>
      <c r="B253" s="2" t="s">
        <v>1712</v>
      </c>
      <c r="C253" s="2" t="s">
        <v>423</v>
      </c>
      <c r="D253" s="2" t="s">
        <v>27</v>
      </c>
      <c r="E253" s="2">
        <v>78</v>
      </c>
      <c r="F253" s="2">
        <v>19</v>
      </c>
      <c r="G253" s="2">
        <v>3</v>
      </c>
      <c r="H253" s="2">
        <v>1912288.57</v>
      </c>
      <c r="I253" s="2">
        <v>193</v>
      </c>
      <c r="J253" s="2" t="s">
        <v>1654</v>
      </c>
      <c r="K253" s="2">
        <v>82</v>
      </c>
      <c r="L253" s="2">
        <v>25</v>
      </c>
      <c r="M253" s="2">
        <v>12</v>
      </c>
      <c r="N253" s="2">
        <v>8</v>
      </c>
      <c r="O253" s="2">
        <v>25</v>
      </c>
      <c r="P253" s="2">
        <v>12</v>
      </c>
      <c r="Q253" s="2" t="s">
        <v>156</v>
      </c>
      <c r="R253" s="2" t="s">
        <v>156</v>
      </c>
      <c r="S253" s="4">
        <v>44837</v>
      </c>
    </row>
    <row r="254" spans="1:19" ht="12.5" x14ac:dyDescent="0.25">
      <c r="A254" s="14" t="str">
        <f>HYPERLINK("https://gerandofalcoes.my.salesforce.com/0014P00003AN2G6QAL", "0014P00003AN2G6QAL")</f>
        <v>0014P00003AN2G6QAL</v>
      </c>
      <c r="B254" s="2" t="s">
        <v>1704</v>
      </c>
      <c r="C254" s="2" t="s">
        <v>423</v>
      </c>
      <c r="D254" s="2" t="s">
        <v>27</v>
      </c>
      <c r="E254" s="2">
        <v>82</v>
      </c>
      <c r="F254" s="2">
        <v>11</v>
      </c>
      <c r="G254" s="2">
        <v>3</v>
      </c>
      <c r="H254" s="2">
        <v>62859.59</v>
      </c>
      <c r="I254" s="2">
        <v>282</v>
      </c>
      <c r="J254" s="2" t="s">
        <v>1650</v>
      </c>
      <c r="K254" s="2">
        <v>67</v>
      </c>
      <c r="L254" s="2">
        <v>25</v>
      </c>
      <c r="M254" s="2">
        <v>12</v>
      </c>
      <c r="N254" s="2">
        <v>8</v>
      </c>
      <c r="O254" s="2">
        <v>10</v>
      </c>
      <c r="P254" s="2">
        <v>12</v>
      </c>
      <c r="Q254" s="2" t="s">
        <v>157</v>
      </c>
      <c r="R254" s="2" t="s">
        <v>157</v>
      </c>
      <c r="S254" s="4">
        <v>44837</v>
      </c>
    </row>
    <row r="255" spans="1:19" ht="12.5" x14ac:dyDescent="0.25">
      <c r="A255" s="14" t="str">
        <f>HYPERLINK("https://gerandofalcoes.my.salesforce.com/0014P00003AN2FyQAL", "0014P00003AN2FyQAL")</f>
        <v>0014P00003AN2FyQAL</v>
      </c>
      <c r="B255" s="2" t="s">
        <v>2876</v>
      </c>
      <c r="C255" s="2" t="s">
        <v>423</v>
      </c>
      <c r="D255" s="2" t="s">
        <v>2</v>
      </c>
      <c r="E255" s="2">
        <v>6</v>
      </c>
      <c r="F255" s="2">
        <v>0</v>
      </c>
      <c r="G255" s="2">
        <v>3</v>
      </c>
      <c r="H255" s="2">
        <v>90000</v>
      </c>
      <c r="I255" s="2">
        <v>200</v>
      </c>
      <c r="J255" s="2" t="s">
        <v>1671</v>
      </c>
      <c r="K255" s="2">
        <v>40</v>
      </c>
      <c r="L255" s="2">
        <v>10</v>
      </c>
      <c r="M255" s="2">
        <v>0</v>
      </c>
      <c r="N255" s="2">
        <v>8</v>
      </c>
      <c r="O255" s="2">
        <v>10</v>
      </c>
      <c r="P255" s="2">
        <v>12</v>
      </c>
      <c r="Q255" s="2" t="s">
        <v>2877</v>
      </c>
      <c r="R255" s="2" t="s">
        <v>2877</v>
      </c>
      <c r="S255" s="4">
        <v>44837</v>
      </c>
    </row>
    <row r="256" spans="1:19" ht="12.5" x14ac:dyDescent="0.25">
      <c r="A256" s="14" t="str">
        <f>HYPERLINK("https://gerandofalcoes.my.salesforce.com/0014P00003AN2G7QAL", "0014P00003AN2G7QAL")</f>
        <v>0014P00003AN2G7QAL</v>
      </c>
      <c r="B256" s="2" t="s">
        <v>1740</v>
      </c>
      <c r="C256" s="2" t="s">
        <v>423</v>
      </c>
      <c r="D256" s="2" t="s">
        <v>2</v>
      </c>
      <c r="E256" s="2">
        <v>78</v>
      </c>
      <c r="F256" s="2">
        <v>3</v>
      </c>
      <c r="G256" s="2">
        <v>4</v>
      </c>
      <c r="H256" s="2">
        <v>140000</v>
      </c>
      <c r="I256" s="2">
        <v>3</v>
      </c>
      <c r="J256" s="2" t="s">
        <v>1671</v>
      </c>
      <c r="K256" s="2">
        <v>60</v>
      </c>
      <c r="L256" s="2">
        <v>25</v>
      </c>
      <c r="M256" s="2">
        <v>5</v>
      </c>
      <c r="N256" s="2">
        <v>10</v>
      </c>
      <c r="O256" s="2">
        <v>15</v>
      </c>
      <c r="P256" s="2">
        <v>5</v>
      </c>
      <c r="Q256" s="2" t="s">
        <v>945</v>
      </c>
      <c r="R256" s="2" t="s">
        <v>945</v>
      </c>
      <c r="S256" s="4">
        <v>44837</v>
      </c>
    </row>
    <row r="257" spans="1:19" ht="12.5" x14ac:dyDescent="0.25">
      <c r="A257" s="14" t="str">
        <f>HYPERLINK("https://gerandofalcoes.my.salesforce.com/0014P00003AN2G8QAL", "0014P00003AN2G8QAL")</f>
        <v>0014P00003AN2G8QAL</v>
      </c>
      <c r="B257" s="2" t="s">
        <v>1897</v>
      </c>
      <c r="C257" s="2" t="s">
        <v>423</v>
      </c>
      <c r="D257" s="2" t="s">
        <v>2</v>
      </c>
      <c r="E257" s="2">
        <v>68</v>
      </c>
      <c r="F257" s="2">
        <v>2</v>
      </c>
      <c r="G257" s="2">
        <v>5</v>
      </c>
      <c r="H257" s="2">
        <v>455000</v>
      </c>
      <c r="I257" s="2">
        <v>545</v>
      </c>
      <c r="J257" s="2" t="s">
        <v>1650</v>
      </c>
      <c r="K257" s="2">
        <v>75</v>
      </c>
      <c r="L257" s="2">
        <v>20</v>
      </c>
      <c r="M257" s="2">
        <v>5</v>
      </c>
      <c r="N257" s="2">
        <v>10</v>
      </c>
      <c r="O257" s="2">
        <v>20</v>
      </c>
      <c r="P257" s="2">
        <v>20</v>
      </c>
      <c r="Q257" s="2" t="s">
        <v>1898</v>
      </c>
      <c r="R257" s="2" t="s">
        <v>1898</v>
      </c>
      <c r="S257" s="4">
        <v>44837</v>
      </c>
    </row>
    <row r="258" spans="1:19" ht="12.5" x14ac:dyDescent="0.25">
      <c r="A258" s="14" t="str">
        <f>HYPERLINK("https://gerandofalcoes.my.salesforce.com/0014P00003AN2G9QAL", "0014P00003AN2G9QAL")</f>
        <v>0014P00003AN2G9QAL</v>
      </c>
      <c r="B258" s="2" t="s">
        <v>1670</v>
      </c>
      <c r="C258" s="2" t="s">
        <v>423</v>
      </c>
      <c r="D258" s="2" t="s">
        <v>27</v>
      </c>
      <c r="E258" s="2">
        <v>66</v>
      </c>
      <c r="F258" s="2">
        <v>7</v>
      </c>
      <c r="G258" s="2">
        <v>2</v>
      </c>
      <c r="H258" s="2">
        <v>5950</v>
      </c>
      <c r="I258" s="2">
        <v>210</v>
      </c>
      <c r="J258" s="2" t="s">
        <v>1671</v>
      </c>
      <c r="K258" s="2">
        <v>53</v>
      </c>
      <c r="L258" s="2">
        <v>20</v>
      </c>
      <c r="M258" s="2">
        <v>10</v>
      </c>
      <c r="N258" s="2">
        <v>6</v>
      </c>
      <c r="O258" s="2">
        <v>5</v>
      </c>
      <c r="P258" s="2">
        <v>12</v>
      </c>
      <c r="Q258" s="2" t="s">
        <v>961</v>
      </c>
      <c r="R258" s="2" t="s">
        <v>961</v>
      </c>
      <c r="S258" s="4">
        <v>44837</v>
      </c>
    </row>
    <row r="259" spans="1:19" ht="12.5" x14ac:dyDescent="0.25">
      <c r="A259" s="14" t="str">
        <f>HYPERLINK("https://gerandofalcoes.my.salesforce.com/0014P00003AN2GAQA1", "0014P00003AN2GAQA1")</f>
        <v>0014P00003AN2GAQA1</v>
      </c>
      <c r="B259" s="2" t="s">
        <v>2981</v>
      </c>
      <c r="C259" s="2" t="s">
        <v>1684</v>
      </c>
      <c r="D259" s="2" t="s">
        <v>2</v>
      </c>
      <c r="E259" s="2"/>
      <c r="F259" s="2">
        <v>1</v>
      </c>
      <c r="G259" s="2">
        <v>0</v>
      </c>
      <c r="H259" s="2">
        <v>0</v>
      </c>
      <c r="I259" s="2">
        <v>1200</v>
      </c>
      <c r="J259" s="2" t="s">
        <v>1779</v>
      </c>
      <c r="K259" s="2">
        <v>25</v>
      </c>
      <c r="L259" s="2">
        <v>0</v>
      </c>
      <c r="M259" s="2">
        <v>5</v>
      </c>
      <c r="N259" s="2">
        <v>0</v>
      </c>
      <c r="O259" s="2">
        <v>0</v>
      </c>
      <c r="P259" s="2">
        <v>20</v>
      </c>
      <c r="Q259" s="2" t="s">
        <v>7165</v>
      </c>
      <c r="R259" s="2" t="s">
        <v>7165</v>
      </c>
      <c r="S259" s="4">
        <v>44837</v>
      </c>
    </row>
    <row r="260" spans="1:19" ht="12.5" x14ac:dyDescent="0.25">
      <c r="A260" s="14" t="str">
        <f>HYPERLINK("https://gerandofalcoes.my.salesforce.com/0014P00003AN2GBQA1", "0014P00003AN2GBQA1")</f>
        <v>0014P00003AN2GBQA1</v>
      </c>
      <c r="B260" s="2" t="s">
        <v>2228</v>
      </c>
      <c r="C260" s="2" t="s">
        <v>423</v>
      </c>
      <c r="D260" s="2" t="s">
        <v>2</v>
      </c>
      <c r="E260" s="2">
        <v>48</v>
      </c>
      <c r="F260" s="2">
        <v>20</v>
      </c>
      <c r="G260" s="2">
        <v>2</v>
      </c>
      <c r="H260" s="2">
        <v>80000000</v>
      </c>
      <c r="I260" s="2">
        <v>60</v>
      </c>
      <c r="J260" s="2" t="s">
        <v>1671</v>
      </c>
      <c r="K260" s="2">
        <v>63</v>
      </c>
      <c r="L260" s="2">
        <v>15</v>
      </c>
      <c r="M260" s="2">
        <v>12</v>
      </c>
      <c r="N260" s="2">
        <v>6</v>
      </c>
      <c r="O260" s="2">
        <v>25</v>
      </c>
      <c r="P260" s="2">
        <v>5</v>
      </c>
      <c r="Q260" s="2" t="s">
        <v>2229</v>
      </c>
      <c r="R260" s="2" t="s">
        <v>2229</v>
      </c>
      <c r="S260" s="4">
        <v>44837</v>
      </c>
    </row>
    <row r="261" spans="1:19" ht="12.5" x14ac:dyDescent="0.25">
      <c r="A261" s="14" t="str">
        <f>HYPERLINK("https://gerandofalcoes.my.salesforce.com/0014P00003AN2GCQA1", "0014P00003AN2GCQA1")</f>
        <v>0014P00003AN2GCQA1</v>
      </c>
      <c r="B261" s="2" t="s">
        <v>1832</v>
      </c>
      <c r="C261" s="2" t="s">
        <v>423</v>
      </c>
      <c r="D261" s="2" t="s">
        <v>2</v>
      </c>
      <c r="E261" s="2">
        <v>65</v>
      </c>
      <c r="F261" s="2">
        <v>2</v>
      </c>
      <c r="G261" s="2">
        <v>4</v>
      </c>
      <c r="H261" s="2">
        <v>234550</v>
      </c>
      <c r="I261" s="2">
        <v>187</v>
      </c>
      <c r="J261" s="2" t="s">
        <v>1671</v>
      </c>
      <c r="K261" s="2">
        <v>62</v>
      </c>
      <c r="L261" s="2">
        <v>20</v>
      </c>
      <c r="M261" s="2">
        <v>5</v>
      </c>
      <c r="N261" s="2">
        <v>10</v>
      </c>
      <c r="O261" s="2">
        <v>15</v>
      </c>
      <c r="P261" s="2">
        <v>12</v>
      </c>
      <c r="Q261" s="2" t="s">
        <v>978</v>
      </c>
      <c r="R261" s="2" t="s">
        <v>978</v>
      </c>
      <c r="S261" s="4">
        <v>44837</v>
      </c>
    </row>
    <row r="262" spans="1:19" ht="12.5" x14ac:dyDescent="0.25">
      <c r="A262" s="14" t="str">
        <f>HYPERLINK("https://gerandofalcoes.my.salesforce.com/0014P00003AN2GDQA1", "0014P00003AN2GDQA1")</f>
        <v>0014P00003AN2GDQA1</v>
      </c>
      <c r="B262" s="2" t="s">
        <v>1707</v>
      </c>
      <c r="C262" s="2" t="s">
        <v>423</v>
      </c>
      <c r="D262" s="2" t="s">
        <v>27</v>
      </c>
      <c r="E262" s="2">
        <v>74</v>
      </c>
      <c r="F262" s="2">
        <v>5</v>
      </c>
      <c r="G262" s="2">
        <v>2</v>
      </c>
      <c r="H262" s="2">
        <v>77000</v>
      </c>
      <c r="I262" s="2">
        <v>157</v>
      </c>
      <c r="J262" s="2" t="s">
        <v>1671</v>
      </c>
      <c r="K262" s="2">
        <v>53</v>
      </c>
      <c r="L262" s="2">
        <v>20</v>
      </c>
      <c r="M262" s="2">
        <v>5</v>
      </c>
      <c r="N262" s="2">
        <v>6</v>
      </c>
      <c r="O262" s="2">
        <v>10</v>
      </c>
      <c r="P262" s="2">
        <v>12</v>
      </c>
      <c r="Q262" s="2" t="s">
        <v>987</v>
      </c>
      <c r="R262" s="2" t="s">
        <v>987</v>
      </c>
      <c r="S262" s="4">
        <v>44837</v>
      </c>
    </row>
    <row r="263" spans="1:19" ht="12.5" x14ac:dyDescent="0.25">
      <c r="A263" s="14" t="str">
        <f>HYPERLINK("https://gerandofalcoes.my.salesforce.com/0014P00003AN2GFQA1", "0014P00003AN2GFQA1")</f>
        <v>0014P00003AN2GFQA1</v>
      </c>
      <c r="B263" s="2" t="s">
        <v>2980</v>
      </c>
      <c r="C263" s="2" t="s">
        <v>1800</v>
      </c>
      <c r="D263" s="2" t="s">
        <v>2</v>
      </c>
      <c r="E263" s="2"/>
      <c r="F263" s="2">
        <v>23</v>
      </c>
      <c r="G263" s="2">
        <v>4</v>
      </c>
      <c r="H263" s="2">
        <v>531000</v>
      </c>
      <c r="I263" s="2">
        <v>15185</v>
      </c>
      <c r="J263" s="2" t="s">
        <v>1671</v>
      </c>
      <c r="K263" s="2">
        <v>62</v>
      </c>
      <c r="L263" s="2">
        <v>0</v>
      </c>
      <c r="M263" s="2">
        <v>12</v>
      </c>
      <c r="N263" s="2">
        <v>10</v>
      </c>
      <c r="O263" s="2">
        <v>20</v>
      </c>
      <c r="P263" s="2">
        <v>20</v>
      </c>
      <c r="Q263" s="2" t="s">
        <v>995</v>
      </c>
      <c r="R263" s="2" t="s">
        <v>995</v>
      </c>
      <c r="S263" s="4">
        <v>44837</v>
      </c>
    </row>
    <row r="264" spans="1:19" ht="12.5" x14ac:dyDescent="0.25">
      <c r="A264" s="14" t="str">
        <f>HYPERLINK("https://gerandofalcoes.my.salesforce.com/0014P00003AN2GGQA1", "0014P00003AN2GGQA1")</f>
        <v>0014P00003AN2GGQA1</v>
      </c>
      <c r="B264" s="2" t="s">
        <v>2711</v>
      </c>
      <c r="C264" s="2" t="s">
        <v>423</v>
      </c>
      <c r="D264" s="2" t="s">
        <v>2</v>
      </c>
      <c r="E264" s="2">
        <v>39</v>
      </c>
      <c r="F264" s="2">
        <v>5</v>
      </c>
      <c r="G264" s="2">
        <v>1</v>
      </c>
      <c r="H264" s="2">
        <v>0</v>
      </c>
      <c r="I264" s="2">
        <v>25</v>
      </c>
      <c r="J264" s="2" t="s">
        <v>1779</v>
      </c>
      <c r="K264" s="2">
        <v>29</v>
      </c>
      <c r="L264" s="2">
        <v>15</v>
      </c>
      <c r="M264" s="2">
        <v>5</v>
      </c>
      <c r="N264" s="2">
        <v>4</v>
      </c>
      <c r="O264" s="2">
        <v>0</v>
      </c>
      <c r="P264" s="2">
        <v>5</v>
      </c>
      <c r="Q264" s="2" t="s">
        <v>2712</v>
      </c>
      <c r="R264" s="2" t="s">
        <v>2712</v>
      </c>
      <c r="S264" s="4">
        <v>44837</v>
      </c>
    </row>
    <row r="265" spans="1:19" ht="12.5" x14ac:dyDescent="0.25">
      <c r="A265" s="14" t="str">
        <f>HYPERLINK("https://gerandofalcoes.my.salesforce.com/0014X00002VKCpLQAX", "0014X00002VKCpLQAX")</f>
        <v>0014X00002VKCpLQAX</v>
      </c>
      <c r="B265" s="2" t="s">
        <v>2335</v>
      </c>
      <c r="C265" s="2" t="s">
        <v>1800</v>
      </c>
      <c r="D265" s="2" t="s">
        <v>2</v>
      </c>
      <c r="E265" s="2">
        <v>10</v>
      </c>
      <c r="F265" s="2">
        <v>0</v>
      </c>
      <c r="G265" s="2">
        <v>3</v>
      </c>
      <c r="H265" s="2">
        <v>5000</v>
      </c>
      <c r="I265" s="2">
        <v>0</v>
      </c>
      <c r="J265" s="2" t="s">
        <v>1779</v>
      </c>
      <c r="K265" s="2">
        <v>23</v>
      </c>
      <c r="L265" s="2">
        <v>10</v>
      </c>
      <c r="M265" s="2">
        <v>0</v>
      </c>
      <c r="N265" s="2">
        <v>8</v>
      </c>
      <c r="O265" s="2">
        <v>5</v>
      </c>
      <c r="P265" s="2">
        <v>0</v>
      </c>
      <c r="Q265" s="2" t="s">
        <v>2863</v>
      </c>
      <c r="R265" s="2" t="s">
        <v>2864</v>
      </c>
      <c r="S265" s="4">
        <v>44837</v>
      </c>
    </row>
    <row r="266" spans="1:19" ht="12.5" x14ac:dyDescent="0.25">
      <c r="A266" s="14" t="str">
        <f>HYPERLINK("https://gerandofalcoes.my.salesforce.com/0014X00002VKCpWQAX", "0014X00002VKCpWQAX")</f>
        <v>0014X00002VKCpWQAX</v>
      </c>
      <c r="B266" s="2" t="s">
        <v>2844</v>
      </c>
      <c r="C266" s="2" t="s">
        <v>423</v>
      </c>
      <c r="D266" s="2" t="s">
        <v>2</v>
      </c>
      <c r="E266" s="2">
        <v>10.64</v>
      </c>
      <c r="F266" s="2">
        <v>5</v>
      </c>
      <c r="G266" s="2">
        <v>1</v>
      </c>
      <c r="H266" s="2">
        <v>35619</v>
      </c>
      <c r="I266" s="2">
        <v>500</v>
      </c>
      <c r="J266" s="2" t="s">
        <v>1671</v>
      </c>
      <c r="K266" s="2">
        <v>49</v>
      </c>
      <c r="L266" s="2">
        <v>10</v>
      </c>
      <c r="M266" s="2">
        <v>5</v>
      </c>
      <c r="N266" s="2">
        <v>4</v>
      </c>
      <c r="O266" s="2">
        <v>10</v>
      </c>
      <c r="P266" s="2">
        <v>20</v>
      </c>
      <c r="Q266" s="2" t="s">
        <v>2845</v>
      </c>
      <c r="R266" s="2" t="s">
        <v>2846</v>
      </c>
      <c r="S266" s="4">
        <v>44837</v>
      </c>
    </row>
    <row r="267" spans="1:19" ht="12.5" x14ac:dyDescent="0.25">
      <c r="A267" s="14" t="str">
        <f>HYPERLINK("https://gerandofalcoes.my.salesforce.com/0014X00002VKCqMQAX", "0014X00002VKCqMQAX")</f>
        <v>0014X00002VKCqMQAX</v>
      </c>
      <c r="B267" s="2" t="s">
        <v>2737</v>
      </c>
      <c r="C267" s="2" t="s">
        <v>423</v>
      </c>
      <c r="D267" s="2" t="s">
        <v>2</v>
      </c>
      <c r="E267" s="2">
        <v>51</v>
      </c>
      <c r="F267" s="2">
        <v>2</v>
      </c>
      <c r="G267" s="2">
        <v>3</v>
      </c>
      <c r="H267" s="2">
        <v>5010380</v>
      </c>
      <c r="I267" s="2">
        <v>86</v>
      </c>
      <c r="J267" s="2" t="s">
        <v>1650</v>
      </c>
      <c r="K267" s="2">
        <v>68</v>
      </c>
      <c r="L267" s="2">
        <v>20</v>
      </c>
      <c r="M267" s="2">
        <v>5</v>
      </c>
      <c r="N267" s="2">
        <v>8</v>
      </c>
      <c r="O267" s="2">
        <v>25</v>
      </c>
      <c r="P267" s="2">
        <v>10</v>
      </c>
      <c r="Q267" s="2" t="s">
        <v>2738</v>
      </c>
      <c r="R267" s="2" t="s">
        <v>2739</v>
      </c>
      <c r="S267" s="4">
        <v>44837</v>
      </c>
    </row>
    <row r="268" spans="1:19" ht="12.5" x14ac:dyDescent="0.25">
      <c r="A268" s="14" t="str">
        <f>HYPERLINK("https://gerandofalcoes.my.salesforce.com/0014X00002VKCpKQAX", "0014X00002VKCpKQAX")</f>
        <v>0014X00002VKCpKQAX</v>
      </c>
      <c r="B268" s="2" t="s">
        <v>2225</v>
      </c>
      <c r="C268" s="2" t="s">
        <v>423</v>
      </c>
      <c r="D268" s="2" t="s">
        <v>2</v>
      </c>
      <c r="E268" s="2">
        <v>42</v>
      </c>
      <c r="F268" s="2">
        <v>0</v>
      </c>
      <c r="G268" s="2">
        <v>0</v>
      </c>
      <c r="H268" s="2">
        <v>0</v>
      </c>
      <c r="I268" s="2">
        <v>78</v>
      </c>
      <c r="J268" s="2" t="s">
        <v>1779</v>
      </c>
      <c r="K268" s="2">
        <v>20</v>
      </c>
      <c r="L268" s="2">
        <v>15</v>
      </c>
      <c r="M268" s="2">
        <v>0</v>
      </c>
      <c r="N268" s="2">
        <v>0</v>
      </c>
      <c r="O268" s="2">
        <v>0</v>
      </c>
      <c r="P268" s="2">
        <v>5</v>
      </c>
      <c r="Q268" s="2" t="s">
        <v>2233</v>
      </c>
      <c r="R268" s="2" t="s">
        <v>2234</v>
      </c>
      <c r="S268" s="4">
        <v>44837</v>
      </c>
    </row>
    <row r="269" spans="1:19" ht="12.5" x14ac:dyDescent="0.25">
      <c r="A269" s="14" t="str">
        <f>HYPERLINK("https://gerandofalcoes.my.salesforce.com/0014X00002VKCqtQAH", "0014X00002VKCqtQAH")</f>
        <v>0014X00002VKCqtQAH</v>
      </c>
      <c r="B269" s="2" t="s">
        <v>2543</v>
      </c>
      <c r="C269" s="2" t="s">
        <v>423</v>
      </c>
      <c r="D269" s="2" t="s">
        <v>2</v>
      </c>
      <c r="E269" s="2">
        <v>47</v>
      </c>
      <c r="F269" s="2">
        <v>0</v>
      </c>
      <c r="G269" s="2">
        <v>1</v>
      </c>
      <c r="H269" s="2">
        <v>5</v>
      </c>
      <c r="I269" s="2">
        <v>105</v>
      </c>
      <c r="J269" s="2" t="s">
        <v>1779</v>
      </c>
      <c r="K269" s="2">
        <v>34</v>
      </c>
      <c r="L269" s="2">
        <v>15</v>
      </c>
      <c r="M269" s="2">
        <v>0</v>
      </c>
      <c r="N269" s="2">
        <v>4</v>
      </c>
      <c r="O269" s="2">
        <v>5</v>
      </c>
      <c r="P269" s="2">
        <v>10</v>
      </c>
      <c r="Q269" s="2" t="s">
        <v>2544</v>
      </c>
      <c r="R269" s="2" t="s">
        <v>2545</v>
      </c>
      <c r="S269" s="4">
        <v>44837</v>
      </c>
    </row>
    <row r="270" spans="1:19" ht="12.5" x14ac:dyDescent="0.25">
      <c r="A270" s="14" t="str">
        <f>HYPERLINK("https://gerandofalcoes.my.salesforce.com/0014X00002VKCrAQAX", "0014X00002VKCrAQAX")</f>
        <v>0014X00002VKCrAQAX</v>
      </c>
      <c r="B270" s="2" t="s">
        <v>1795</v>
      </c>
      <c r="C270" s="2" t="s">
        <v>423</v>
      </c>
      <c r="D270" s="2" t="s">
        <v>2</v>
      </c>
      <c r="E270" s="2">
        <v>53.7</v>
      </c>
      <c r="F270" s="2">
        <v>2</v>
      </c>
      <c r="G270" s="2">
        <v>4</v>
      </c>
      <c r="H270" s="2">
        <v>87500</v>
      </c>
      <c r="I270" s="2">
        <v>19</v>
      </c>
      <c r="J270" s="2" t="s">
        <v>1671</v>
      </c>
      <c r="K270" s="2">
        <v>50</v>
      </c>
      <c r="L270" s="2">
        <v>20</v>
      </c>
      <c r="M270" s="2">
        <v>5</v>
      </c>
      <c r="N270" s="2">
        <v>10</v>
      </c>
      <c r="O270" s="2">
        <v>10</v>
      </c>
      <c r="P270" s="2">
        <v>5</v>
      </c>
      <c r="Q270" s="2" t="s">
        <v>1796</v>
      </c>
      <c r="R270" s="2" t="s">
        <v>1797</v>
      </c>
      <c r="S270" s="4">
        <v>44837</v>
      </c>
    </row>
    <row r="271" spans="1:19" ht="12.5" x14ac:dyDescent="0.25">
      <c r="A271" s="14" t="str">
        <f>HYPERLINK("https://gerandofalcoes.my.salesforce.com/0014X00002VKCpCQAX", "0014X00002VKCpCQAX")</f>
        <v>0014X00002VKCpCQAX</v>
      </c>
      <c r="B271" s="2" t="s">
        <v>2182</v>
      </c>
      <c r="C271" s="2" t="s">
        <v>423</v>
      </c>
      <c r="D271" s="2" t="s">
        <v>2</v>
      </c>
      <c r="E271" s="2">
        <v>33</v>
      </c>
      <c r="F271" s="2">
        <v>0</v>
      </c>
      <c r="G271" s="2">
        <v>0</v>
      </c>
      <c r="H271" s="2">
        <v>0</v>
      </c>
      <c r="I271" s="2">
        <v>30</v>
      </c>
      <c r="J271" s="2" t="s">
        <v>1779</v>
      </c>
      <c r="K271" s="2">
        <v>20</v>
      </c>
      <c r="L271" s="2">
        <v>15</v>
      </c>
      <c r="M271" s="2">
        <v>0</v>
      </c>
      <c r="N271" s="2">
        <v>0</v>
      </c>
      <c r="O271" s="2">
        <v>0</v>
      </c>
      <c r="P271" s="2">
        <v>5</v>
      </c>
      <c r="Q271" s="2" t="s">
        <v>2183</v>
      </c>
      <c r="R271" s="2" t="s">
        <v>2184</v>
      </c>
      <c r="S271" s="4">
        <v>44837</v>
      </c>
    </row>
    <row r="272" spans="1:19" ht="12.5" x14ac:dyDescent="0.25">
      <c r="A272" s="14" t="str">
        <f>HYPERLINK("https://gerandofalcoes.my.salesforce.com/0014X00002VKCpRQAX", "0014X00002VKCpRQAX")</f>
        <v>0014X00002VKCpRQAX</v>
      </c>
      <c r="B272" s="2" t="s">
        <v>2332</v>
      </c>
      <c r="C272" s="2" t="s">
        <v>1800</v>
      </c>
      <c r="D272" s="2" t="s">
        <v>2</v>
      </c>
      <c r="E272" s="2">
        <v>28</v>
      </c>
      <c r="F272" s="2">
        <v>0</v>
      </c>
      <c r="G272" s="2">
        <v>2</v>
      </c>
      <c r="H272" s="2">
        <v>32500000</v>
      </c>
      <c r="I272" s="2">
        <v>0</v>
      </c>
      <c r="J272" s="2" t="s">
        <v>1671</v>
      </c>
      <c r="K272" s="2">
        <v>46</v>
      </c>
      <c r="L272" s="2">
        <v>15</v>
      </c>
      <c r="M272" s="2">
        <v>0</v>
      </c>
      <c r="N272" s="2">
        <v>6</v>
      </c>
      <c r="O272" s="2">
        <v>25</v>
      </c>
      <c r="P272" s="2">
        <v>0</v>
      </c>
      <c r="Q272" s="2" t="s">
        <v>2333</v>
      </c>
      <c r="R272" s="2" t="s">
        <v>2334</v>
      </c>
      <c r="S272" s="4">
        <v>44837</v>
      </c>
    </row>
    <row r="273" spans="1:19" ht="12.5" x14ac:dyDescent="0.25">
      <c r="A273" s="14" t="str">
        <f>HYPERLINK("https://gerandofalcoes.my.salesforce.com/0014X00002VKCrVQAX", "0014X00002VKCrVQAX")</f>
        <v>0014X00002VKCrVQAX</v>
      </c>
      <c r="B273" s="2" t="s">
        <v>2973</v>
      </c>
      <c r="C273" s="2" t="s">
        <v>423</v>
      </c>
      <c r="D273" s="2" t="s">
        <v>2</v>
      </c>
      <c r="E273" s="2">
        <v>20</v>
      </c>
      <c r="F273" s="2">
        <v>0</v>
      </c>
      <c r="G273" s="2">
        <v>0</v>
      </c>
      <c r="H273" s="2">
        <v>0</v>
      </c>
      <c r="I273" s="2">
        <v>0</v>
      </c>
      <c r="J273" s="2" t="s">
        <v>1779</v>
      </c>
      <c r="K273" s="2">
        <v>10</v>
      </c>
      <c r="L273" s="2">
        <v>10</v>
      </c>
      <c r="M273" s="2">
        <v>0</v>
      </c>
      <c r="N273" s="2">
        <v>0</v>
      </c>
      <c r="O273" s="2">
        <v>0</v>
      </c>
      <c r="P273" s="2">
        <v>0</v>
      </c>
      <c r="Q273" s="2" t="s">
        <v>2974</v>
      </c>
      <c r="R273" s="2" t="s">
        <v>2975</v>
      </c>
      <c r="S273" s="4">
        <v>44837</v>
      </c>
    </row>
    <row r="274" spans="1:19" ht="12.5" x14ac:dyDescent="0.25">
      <c r="A274" s="14" t="str">
        <f>HYPERLINK("https://gerandofalcoes.my.salesforce.com/0014X00002VKCrcQAH", "0014X00002VKCrcQAH")</f>
        <v>0014X00002VKCrcQAH</v>
      </c>
      <c r="B274" s="2" t="s">
        <v>2609</v>
      </c>
      <c r="C274" s="2" t="s">
        <v>423</v>
      </c>
      <c r="D274" s="2" t="s">
        <v>2</v>
      </c>
      <c r="E274" s="2">
        <v>19</v>
      </c>
      <c r="F274" s="2">
        <v>0</v>
      </c>
      <c r="G274" s="2">
        <v>3</v>
      </c>
      <c r="H274" s="2">
        <v>2000</v>
      </c>
      <c r="I274" s="2">
        <v>0</v>
      </c>
      <c r="J274" s="2" t="s">
        <v>1779</v>
      </c>
      <c r="K274" s="2">
        <v>23</v>
      </c>
      <c r="L274" s="2">
        <v>10</v>
      </c>
      <c r="M274" s="2">
        <v>0</v>
      </c>
      <c r="N274" s="2">
        <v>8</v>
      </c>
      <c r="O274" s="2">
        <v>5</v>
      </c>
      <c r="P274" s="2">
        <v>0</v>
      </c>
      <c r="Q274" s="2" t="s">
        <v>2610</v>
      </c>
      <c r="R274" s="2" t="s">
        <v>2611</v>
      </c>
      <c r="S274" s="4">
        <v>44837</v>
      </c>
    </row>
    <row r="275" spans="1:19" ht="12.5" x14ac:dyDescent="0.25">
      <c r="A275" s="14" t="str">
        <f>HYPERLINK("https://gerandofalcoes.my.salesforce.com/0014X00002VKCr9QAH", "0014X00002VKCr9QAH")</f>
        <v>0014X00002VKCr9QAH</v>
      </c>
      <c r="B275" s="2" t="s">
        <v>2357</v>
      </c>
      <c r="C275" s="2" t="s">
        <v>1800</v>
      </c>
      <c r="D275" s="2" t="s">
        <v>2</v>
      </c>
      <c r="E275" s="2">
        <v>27</v>
      </c>
      <c r="F275" s="2">
        <v>0</v>
      </c>
      <c r="G275" s="2">
        <v>2</v>
      </c>
      <c r="H275" s="2">
        <v>0</v>
      </c>
      <c r="I275" s="2">
        <v>30</v>
      </c>
      <c r="J275" s="2" t="s">
        <v>1779</v>
      </c>
      <c r="K275" s="2">
        <v>26</v>
      </c>
      <c r="L275" s="2">
        <v>15</v>
      </c>
      <c r="M275" s="2">
        <v>0</v>
      </c>
      <c r="N275" s="2">
        <v>6</v>
      </c>
      <c r="O275" s="2">
        <v>0</v>
      </c>
      <c r="P275" s="2">
        <v>5</v>
      </c>
      <c r="Q275" s="2" t="s">
        <v>2358</v>
      </c>
      <c r="R275" s="2" t="s">
        <v>2358</v>
      </c>
      <c r="S275" s="4">
        <v>44837</v>
      </c>
    </row>
    <row r="276" spans="1:19" ht="12.5" x14ac:dyDescent="0.25">
      <c r="A276" s="14" t="str">
        <f>HYPERLINK("https://gerandofalcoes.my.salesforce.com/0014X00002VKCu5QAH", "0014X00002VKCu5QAH")</f>
        <v>0014X00002VKCu5QAH</v>
      </c>
      <c r="B276" s="2" t="s">
        <v>2172</v>
      </c>
      <c r="C276" s="2" t="s">
        <v>423</v>
      </c>
      <c r="D276" s="2" t="s">
        <v>2</v>
      </c>
      <c r="E276" s="2">
        <v>33</v>
      </c>
      <c r="F276" s="2">
        <v>17</v>
      </c>
      <c r="G276" s="2">
        <v>1</v>
      </c>
      <c r="H276" s="2">
        <v>12000</v>
      </c>
      <c r="I276" s="2">
        <v>125</v>
      </c>
      <c r="J276" s="2" t="s">
        <v>1671</v>
      </c>
      <c r="K276" s="2">
        <v>46</v>
      </c>
      <c r="L276" s="2">
        <v>15</v>
      </c>
      <c r="M276" s="2">
        <v>12</v>
      </c>
      <c r="N276" s="2">
        <v>4</v>
      </c>
      <c r="O276" s="2">
        <v>5</v>
      </c>
      <c r="P276" s="2">
        <v>10</v>
      </c>
      <c r="Q276" s="2" t="s">
        <v>2173</v>
      </c>
      <c r="R276" s="2" t="s">
        <v>2174</v>
      </c>
      <c r="S276" s="4">
        <v>44837</v>
      </c>
    </row>
    <row r="277" spans="1:19" ht="12.5" x14ac:dyDescent="0.25">
      <c r="A277" s="14" t="str">
        <f>HYPERLINK("https://gerandofalcoes.my.salesforce.com/0014X00002VKCraQAH", "0014X00002VKCraQAH")</f>
        <v>0014X00002VKCraQAH</v>
      </c>
      <c r="B277" s="2" t="s">
        <v>2836</v>
      </c>
      <c r="C277" s="2" t="s">
        <v>423</v>
      </c>
      <c r="D277" s="2" t="s">
        <v>2</v>
      </c>
      <c r="E277" s="2">
        <v>35</v>
      </c>
      <c r="F277" s="2">
        <v>0</v>
      </c>
      <c r="G277" s="2">
        <v>1</v>
      </c>
      <c r="H277" s="2">
        <v>970224</v>
      </c>
      <c r="I277" s="2">
        <v>150</v>
      </c>
      <c r="J277" s="2" t="s">
        <v>1671</v>
      </c>
      <c r="K277" s="2">
        <v>56</v>
      </c>
      <c r="L277" s="2">
        <v>15</v>
      </c>
      <c r="M277" s="2">
        <v>0</v>
      </c>
      <c r="N277" s="2">
        <v>4</v>
      </c>
      <c r="O277" s="2">
        <v>25</v>
      </c>
      <c r="P277" s="2">
        <v>12</v>
      </c>
      <c r="Q277" s="2" t="s">
        <v>2837</v>
      </c>
      <c r="R277" s="2" t="s">
        <v>2838</v>
      </c>
      <c r="S277" s="4">
        <v>44837</v>
      </c>
    </row>
    <row r="278" spans="1:19" ht="12.5" x14ac:dyDescent="0.25">
      <c r="A278" s="14" t="str">
        <f>HYPERLINK("https://gerandofalcoes.my.salesforce.com/0014X00002VKCp7QAH", "0014X00002VKCp7QAH")</f>
        <v>0014X00002VKCp7QAH</v>
      </c>
      <c r="B278" s="2" t="s">
        <v>2043</v>
      </c>
      <c r="C278" s="2" t="s">
        <v>423</v>
      </c>
      <c r="D278" s="2" t="s">
        <v>2</v>
      </c>
      <c r="E278" s="2">
        <v>37</v>
      </c>
      <c r="F278" s="2">
        <v>4</v>
      </c>
      <c r="G278" s="2">
        <v>3</v>
      </c>
      <c r="H278" s="2">
        <v>96000</v>
      </c>
      <c r="I278" s="2">
        <v>70</v>
      </c>
      <c r="J278" s="2" t="s">
        <v>1671</v>
      </c>
      <c r="K278" s="2">
        <v>43</v>
      </c>
      <c r="L278" s="2">
        <v>15</v>
      </c>
      <c r="M278" s="2">
        <v>5</v>
      </c>
      <c r="N278" s="2">
        <v>8</v>
      </c>
      <c r="O278" s="2">
        <v>10</v>
      </c>
      <c r="P278" s="2">
        <v>5</v>
      </c>
      <c r="Q278" s="2" t="s">
        <v>2044</v>
      </c>
      <c r="R278" s="2" t="s">
        <v>2045</v>
      </c>
      <c r="S278" s="4">
        <v>44837</v>
      </c>
    </row>
    <row r="279" spans="1:19" ht="12.5" x14ac:dyDescent="0.25">
      <c r="A279" s="14" t="str">
        <f>HYPERLINK("https://gerandofalcoes.my.salesforce.com/0014X00002VKCrMQAX", "0014X00002VKCrMQAX")</f>
        <v>0014X00002VKCrMQAX</v>
      </c>
      <c r="B279" s="2" t="s">
        <v>2881</v>
      </c>
      <c r="C279" s="2" t="s">
        <v>423</v>
      </c>
      <c r="D279" s="2" t="s">
        <v>2</v>
      </c>
      <c r="E279" s="2">
        <v>9.0299999999999994</v>
      </c>
      <c r="F279" s="2">
        <v>0</v>
      </c>
      <c r="G279" s="2">
        <v>6</v>
      </c>
      <c r="H279" s="2">
        <v>3057</v>
      </c>
      <c r="I279" s="2">
        <v>3</v>
      </c>
      <c r="J279" s="2" t="s">
        <v>1779</v>
      </c>
      <c r="K279" s="2">
        <v>30</v>
      </c>
      <c r="L279" s="2">
        <v>10</v>
      </c>
      <c r="M279" s="2">
        <v>0</v>
      </c>
      <c r="N279" s="2">
        <v>10</v>
      </c>
      <c r="O279" s="2">
        <v>5</v>
      </c>
      <c r="P279" s="2">
        <v>5</v>
      </c>
      <c r="Q279" s="2" t="s">
        <v>2882</v>
      </c>
      <c r="R279" s="2" t="s">
        <v>2883</v>
      </c>
      <c r="S279" s="4">
        <v>44837</v>
      </c>
    </row>
    <row r="280" spans="1:19" ht="12.5" x14ac:dyDescent="0.25">
      <c r="A280" s="14" t="str">
        <f>HYPERLINK("https://gerandofalcoes.my.salesforce.com/0014X00002VKCqUQAX", "0014X00002VKCqUQAX")</f>
        <v>0014X00002VKCqUQAX</v>
      </c>
      <c r="B280" s="2" t="s">
        <v>2807</v>
      </c>
      <c r="C280" s="2" t="s">
        <v>1800</v>
      </c>
      <c r="D280" s="2" t="s">
        <v>2</v>
      </c>
      <c r="E280" s="2">
        <v>13</v>
      </c>
      <c r="F280" s="2">
        <v>0</v>
      </c>
      <c r="G280" s="2">
        <v>3</v>
      </c>
      <c r="H280" s="2">
        <v>10000</v>
      </c>
      <c r="I280" s="2">
        <v>0</v>
      </c>
      <c r="J280" s="2" t="s">
        <v>1779</v>
      </c>
      <c r="K280" s="2">
        <v>23</v>
      </c>
      <c r="L280" s="2">
        <v>10</v>
      </c>
      <c r="M280" s="2">
        <v>0</v>
      </c>
      <c r="N280" s="2">
        <v>8</v>
      </c>
      <c r="O280" s="2">
        <v>5</v>
      </c>
      <c r="P280" s="2">
        <v>0</v>
      </c>
      <c r="Q280" s="2" t="s">
        <v>2808</v>
      </c>
      <c r="R280" s="2" t="s">
        <v>2808</v>
      </c>
      <c r="S280" s="4">
        <v>44837</v>
      </c>
    </row>
    <row r="281" spans="1:19" ht="12.5" x14ac:dyDescent="0.25">
      <c r="A281" s="14" t="str">
        <f>HYPERLINK("https://gerandofalcoes.my.salesforce.com/0014X00002VKCrOQAX", "0014X00002VKCrOQAX")</f>
        <v>0014X00002VKCrOQAX</v>
      </c>
      <c r="B281" s="2" t="s">
        <v>2715</v>
      </c>
      <c r="C281" s="2" t="s">
        <v>1800</v>
      </c>
      <c r="D281" s="2" t="s">
        <v>2</v>
      </c>
      <c r="E281" s="2">
        <v>15</v>
      </c>
      <c r="F281" s="2">
        <v>0</v>
      </c>
      <c r="G281" s="2">
        <v>3</v>
      </c>
      <c r="H281" s="2">
        <v>15000</v>
      </c>
      <c r="I281" s="2">
        <v>255</v>
      </c>
      <c r="J281" s="2" t="s">
        <v>1779</v>
      </c>
      <c r="K281" s="2">
        <v>35</v>
      </c>
      <c r="L281" s="2">
        <v>10</v>
      </c>
      <c r="M281" s="2">
        <v>0</v>
      </c>
      <c r="N281" s="2">
        <v>8</v>
      </c>
      <c r="O281" s="2">
        <v>5</v>
      </c>
      <c r="P281" s="2">
        <v>12</v>
      </c>
      <c r="Q281" s="2" t="s">
        <v>2716</v>
      </c>
      <c r="R281" s="2" t="s">
        <v>2716</v>
      </c>
      <c r="S281" s="4">
        <v>44837</v>
      </c>
    </row>
    <row r="282" spans="1:19" ht="12.5" x14ac:dyDescent="0.25">
      <c r="A282" s="14" t="str">
        <f>HYPERLINK("https://gerandofalcoes.my.salesforce.com/0014X00002VKCqVQAX", "0014X00002VKCqVQAX")</f>
        <v>0014X00002VKCqVQAX</v>
      </c>
      <c r="B282" s="2" t="s">
        <v>2759</v>
      </c>
      <c r="C282" s="2" t="s">
        <v>423</v>
      </c>
      <c r="D282" s="2" t="s">
        <v>2</v>
      </c>
      <c r="E282" s="2">
        <v>14</v>
      </c>
      <c r="F282" s="2">
        <v>0</v>
      </c>
      <c r="G282" s="2">
        <v>15</v>
      </c>
      <c r="H282" s="2">
        <v>1850078</v>
      </c>
      <c r="I282" s="2">
        <v>20</v>
      </c>
      <c r="J282" s="2" t="s">
        <v>1671</v>
      </c>
      <c r="K282" s="2">
        <v>50</v>
      </c>
      <c r="L282" s="2">
        <v>10</v>
      </c>
      <c r="M282" s="2">
        <v>0</v>
      </c>
      <c r="N282" s="2">
        <v>10</v>
      </c>
      <c r="O282" s="2">
        <v>25</v>
      </c>
      <c r="P282" s="2">
        <v>5</v>
      </c>
      <c r="Q282" s="2" t="s">
        <v>2760</v>
      </c>
      <c r="R282" s="2" t="s">
        <v>2761</v>
      </c>
      <c r="S282" s="4">
        <v>44837</v>
      </c>
    </row>
    <row r="283" spans="1:19" ht="12.5" x14ac:dyDescent="0.25">
      <c r="A283" s="14" t="str">
        <f>HYPERLINK("https://gerandofalcoes.my.salesforce.com/0014X00002VKCtxQAH", "0014X00002VKCtxQAH")</f>
        <v>0014X00002VKCtxQAH</v>
      </c>
      <c r="B283" s="2" t="s">
        <v>1813</v>
      </c>
      <c r="C283" s="2" t="s">
        <v>423</v>
      </c>
      <c r="D283" s="2" t="s">
        <v>2</v>
      </c>
      <c r="E283" s="2">
        <v>52</v>
      </c>
      <c r="F283" s="2">
        <v>10</v>
      </c>
      <c r="G283" s="2">
        <v>3</v>
      </c>
      <c r="H283" s="2">
        <v>5000</v>
      </c>
      <c r="I283" s="2">
        <v>580</v>
      </c>
      <c r="J283" s="2" t="s">
        <v>1671</v>
      </c>
      <c r="K283" s="2">
        <v>63</v>
      </c>
      <c r="L283" s="2">
        <v>20</v>
      </c>
      <c r="M283" s="2">
        <v>10</v>
      </c>
      <c r="N283" s="2">
        <v>8</v>
      </c>
      <c r="O283" s="2">
        <v>5</v>
      </c>
      <c r="P283" s="2">
        <v>20</v>
      </c>
      <c r="Q283" s="2" t="s">
        <v>1814</v>
      </c>
      <c r="R283" s="2" t="s">
        <v>1815</v>
      </c>
      <c r="S283" s="4">
        <v>44837</v>
      </c>
    </row>
    <row r="284" spans="1:19" ht="12.5" x14ac:dyDescent="0.25">
      <c r="A284" s="14" t="str">
        <f>HYPERLINK("https://gerandofalcoes.my.salesforce.com/0014P00003AN2GHQA1", "0014P00003AN2GHQA1")</f>
        <v>0014P00003AN2GHQA1</v>
      </c>
      <c r="B284" s="2" t="s">
        <v>2503</v>
      </c>
      <c r="C284" s="2" t="s">
        <v>423</v>
      </c>
      <c r="D284" s="2" t="s">
        <v>2</v>
      </c>
      <c r="E284" s="2">
        <v>63</v>
      </c>
      <c r="F284" s="2">
        <v>2</v>
      </c>
      <c r="G284" s="2">
        <v>3</v>
      </c>
      <c r="H284" s="2">
        <v>165000</v>
      </c>
      <c r="I284" s="2">
        <v>90</v>
      </c>
      <c r="J284" s="2" t="s">
        <v>1671</v>
      </c>
      <c r="K284" s="2">
        <v>58</v>
      </c>
      <c r="L284" s="2">
        <v>20</v>
      </c>
      <c r="M284" s="2">
        <v>5</v>
      </c>
      <c r="N284" s="2">
        <v>8</v>
      </c>
      <c r="O284" s="2">
        <v>15</v>
      </c>
      <c r="P284" s="2">
        <v>10</v>
      </c>
      <c r="Q284" s="2" t="s">
        <v>1010</v>
      </c>
      <c r="R284" s="2" t="s">
        <v>1010</v>
      </c>
      <c r="S284" s="4">
        <v>44837</v>
      </c>
    </row>
    <row r="285" spans="1:19" ht="12.5" x14ac:dyDescent="0.25">
      <c r="A285" s="14" t="str">
        <f>HYPERLINK("https://gerandofalcoes.my.salesforce.com/0014P00003SGWPWQA5", "0014P00003SGWPWQA5")</f>
        <v>0014P00003SGWPWQA5</v>
      </c>
      <c r="B285" s="2" t="s">
        <v>171</v>
      </c>
      <c r="C285" s="2" t="s">
        <v>423</v>
      </c>
      <c r="D285" s="2" t="s">
        <v>27</v>
      </c>
      <c r="E285" s="2">
        <v>89</v>
      </c>
      <c r="F285" s="2">
        <v>7</v>
      </c>
      <c r="G285" s="2">
        <v>4</v>
      </c>
      <c r="H285" s="2">
        <v>30000</v>
      </c>
      <c r="I285" s="2">
        <v>278</v>
      </c>
      <c r="J285" s="2" t="s">
        <v>1650</v>
      </c>
      <c r="K285" s="2">
        <v>67</v>
      </c>
      <c r="L285" s="2">
        <v>25</v>
      </c>
      <c r="M285" s="2">
        <v>10</v>
      </c>
      <c r="N285" s="2">
        <v>10</v>
      </c>
      <c r="O285" s="2">
        <v>10</v>
      </c>
      <c r="P285" s="2">
        <v>12</v>
      </c>
      <c r="Q285" s="2" t="s">
        <v>172</v>
      </c>
      <c r="R285" s="2" t="s">
        <v>172</v>
      </c>
      <c r="S285" s="4">
        <v>44837</v>
      </c>
    </row>
    <row r="286" spans="1:19" ht="12.5" x14ac:dyDescent="0.25">
      <c r="A286" s="14" t="str">
        <f>HYPERLINK("https://gerandofalcoes.my.salesforce.com/0014P00003SGWPYQA5", "0014P00003SGWPYQA5")</f>
        <v>0014P00003SGWPYQA5</v>
      </c>
      <c r="B286" s="2" t="s">
        <v>175</v>
      </c>
      <c r="C286" s="2" t="s">
        <v>423</v>
      </c>
      <c r="D286" s="2" t="s">
        <v>2</v>
      </c>
      <c r="E286" s="2">
        <v>50.15</v>
      </c>
      <c r="F286" s="2">
        <v>0</v>
      </c>
      <c r="G286" s="2">
        <v>2</v>
      </c>
      <c r="H286" s="2">
        <v>23420</v>
      </c>
      <c r="I286" s="2">
        <v>200</v>
      </c>
      <c r="J286" s="2" t="s">
        <v>1671</v>
      </c>
      <c r="K286" s="2">
        <v>43</v>
      </c>
      <c r="L286" s="2">
        <v>20</v>
      </c>
      <c r="M286" s="2">
        <v>0</v>
      </c>
      <c r="N286" s="2">
        <v>6</v>
      </c>
      <c r="O286" s="2">
        <v>5</v>
      </c>
      <c r="P286" s="2">
        <v>12</v>
      </c>
      <c r="Q286" s="2" t="s">
        <v>176</v>
      </c>
      <c r="R286" s="2" t="s">
        <v>176</v>
      </c>
      <c r="S286" s="4">
        <v>44837</v>
      </c>
    </row>
    <row r="287" spans="1:19" ht="12.5" x14ac:dyDescent="0.25">
      <c r="A287" s="14" t="str">
        <f>HYPERLINK("https://gerandofalcoes.my.salesforce.com/0014P00003SGWPZQA5", "0014P00003SGWPZQA5")</f>
        <v>0014P00003SGWPZQA5</v>
      </c>
      <c r="B287" s="2" t="s">
        <v>160</v>
      </c>
      <c r="C287" s="2" t="s">
        <v>423</v>
      </c>
      <c r="D287" s="2" t="s">
        <v>2</v>
      </c>
      <c r="E287" s="2">
        <v>44</v>
      </c>
      <c r="F287" s="2">
        <v>2</v>
      </c>
      <c r="G287" s="2">
        <v>3</v>
      </c>
      <c r="H287" s="2">
        <v>140000</v>
      </c>
      <c r="I287" s="2">
        <v>78</v>
      </c>
      <c r="J287" s="2" t="s">
        <v>1671</v>
      </c>
      <c r="K287" s="2">
        <v>48</v>
      </c>
      <c r="L287" s="2">
        <v>15</v>
      </c>
      <c r="M287" s="2">
        <v>5</v>
      </c>
      <c r="N287" s="2">
        <v>8</v>
      </c>
      <c r="O287" s="2">
        <v>15</v>
      </c>
      <c r="P287" s="2">
        <v>5</v>
      </c>
      <c r="Q287" s="2" t="s">
        <v>161</v>
      </c>
      <c r="R287" s="2" t="s">
        <v>1828</v>
      </c>
      <c r="S287" s="4">
        <v>44837</v>
      </c>
    </row>
    <row r="288" spans="1:19" ht="12.5" x14ac:dyDescent="0.25">
      <c r="A288" s="14" t="str">
        <f>HYPERLINK("https://gerandofalcoes.my.salesforce.com/0014P00003SGWPaQAP", "0014P00003SGWPaQAP")</f>
        <v>0014P00003SGWPaQAP</v>
      </c>
      <c r="B288" s="2" t="s">
        <v>179</v>
      </c>
      <c r="C288" s="2" t="s">
        <v>423</v>
      </c>
      <c r="D288" s="2" t="s">
        <v>2</v>
      </c>
      <c r="E288" s="2">
        <v>37</v>
      </c>
      <c r="F288" s="2">
        <v>4</v>
      </c>
      <c r="G288" s="2">
        <v>3</v>
      </c>
      <c r="H288" s="2">
        <v>50000</v>
      </c>
      <c r="I288" s="2">
        <v>511</v>
      </c>
      <c r="J288" s="2" t="s">
        <v>1671</v>
      </c>
      <c r="K288" s="2">
        <v>58</v>
      </c>
      <c r="L288" s="2">
        <v>15</v>
      </c>
      <c r="M288" s="2">
        <v>5</v>
      </c>
      <c r="N288" s="2">
        <v>8</v>
      </c>
      <c r="O288" s="2">
        <v>10</v>
      </c>
      <c r="P288" s="2">
        <v>20</v>
      </c>
      <c r="Q288" s="2" t="s">
        <v>180</v>
      </c>
      <c r="R288" s="2" t="s">
        <v>2031</v>
      </c>
      <c r="S288" s="4">
        <v>44837</v>
      </c>
    </row>
    <row r="289" spans="1:19" ht="12.5" x14ac:dyDescent="0.25">
      <c r="A289" s="14" t="str">
        <f>HYPERLINK("https://gerandofalcoes.my.salesforce.com/0014P00003SGWPuQAP", "0014P00003SGWPuQAP")</f>
        <v>0014P00003SGWPuQAP</v>
      </c>
      <c r="B289" s="2" t="s">
        <v>1672</v>
      </c>
      <c r="C289" s="2" t="s">
        <v>423</v>
      </c>
      <c r="D289" s="2" t="s">
        <v>27</v>
      </c>
      <c r="E289" s="2">
        <v>43</v>
      </c>
      <c r="F289" s="2">
        <v>0</v>
      </c>
      <c r="G289" s="2">
        <v>4</v>
      </c>
      <c r="H289" s="2">
        <v>3000</v>
      </c>
      <c r="I289" s="2">
        <v>268</v>
      </c>
      <c r="J289" s="2" t="s">
        <v>1671</v>
      </c>
      <c r="K289" s="2">
        <v>42</v>
      </c>
      <c r="L289" s="2">
        <v>15</v>
      </c>
      <c r="M289" s="2">
        <v>0</v>
      </c>
      <c r="N289" s="2">
        <v>10</v>
      </c>
      <c r="O289" s="2">
        <v>5</v>
      </c>
      <c r="P289" s="2">
        <v>12</v>
      </c>
      <c r="Q289" s="2" t="s">
        <v>186</v>
      </c>
      <c r="R289" s="2" t="s">
        <v>1673</v>
      </c>
      <c r="S289" s="4">
        <v>44837</v>
      </c>
    </row>
    <row r="290" spans="1:19" ht="12.5" x14ac:dyDescent="0.25">
      <c r="A290" s="14" t="str">
        <f>HYPERLINK("https://gerandofalcoes.my.salesforce.com/0014P00003SGWPTQA5", "0014P00003SGWPTQA5")</f>
        <v>0014P00003SGWPTQA5</v>
      </c>
      <c r="B290" s="2" t="s">
        <v>376</v>
      </c>
      <c r="C290" s="2" t="s">
        <v>423</v>
      </c>
      <c r="D290" s="2" t="s">
        <v>2</v>
      </c>
      <c r="E290" s="2">
        <v>36.65</v>
      </c>
      <c r="F290" s="2">
        <v>0</v>
      </c>
      <c r="G290" s="2">
        <v>1</v>
      </c>
      <c r="H290" s="2">
        <v>6000</v>
      </c>
      <c r="I290" s="2">
        <v>104</v>
      </c>
      <c r="J290" s="2" t="s">
        <v>1779</v>
      </c>
      <c r="K290" s="2">
        <v>34</v>
      </c>
      <c r="L290" s="2">
        <v>15</v>
      </c>
      <c r="M290" s="2">
        <v>0</v>
      </c>
      <c r="N290" s="2">
        <v>4</v>
      </c>
      <c r="O290" s="2">
        <v>5</v>
      </c>
      <c r="P290" s="2">
        <v>10</v>
      </c>
      <c r="Q290" s="2" t="s">
        <v>377</v>
      </c>
      <c r="R290" s="2" t="s">
        <v>1586</v>
      </c>
      <c r="S290" s="4">
        <v>44837</v>
      </c>
    </row>
    <row r="291" spans="1:19" ht="12.5" x14ac:dyDescent="0.25">
      <c r="A291" s="14" t="str">
        <f>HYPERLINK("https://gerandofalcoes.my.salesforce.com/0014P00003SGWPUQA5", "0014P00003SGWPUQA5")</f>
        <v>0014P00003SGWPUQA5</v>
      </c>
      <c r="B291" s="2" t="s">
        <v>379</v>
      </c>
      <c r="C291" s="2" t="s">
        <v>423</v>
      </c>
      <c r="D291" s="2" t="s">
        <v>2</v>
      </c>
      <c r="E291" s="2">
        <v>58</v>
      </c>
      <c r="F291" s="2">
        <v>0</v>
      </c>
      <c r="G291" s="2">
        <v>3</v>
      </c>
      <c r="H291" s="2">
        <v>88255</v>
      </c>
      <c r="I291" s="2">
        <v>60</v>
      </c>
      <c r="J291" s="2" t="s">
        <v>1671</v>
      </c>
      <c r="K291" s="2">
        <v>43</v>
      </c>
      <c r="L291" s="2">
        <v>20</v>
      </c>
      <c r="M291" s="2">
        <v>0</v>
      </c>
      <c r="N291" s="2">
        <v>8</v>
      </c>
      <c r="O291" s="2">
        <v>10</v>
      </c>
      <c r="P291" s="2">
        <v>5</v>
      </c>
      <c r="Q291" s="2" t="s">
        <v>380</v>
      </c>
      <c r="R291" s="2" t="s">
        <v>1595</v>
      </c>
      <c r="S291" s="4">
        <v>44837</v>
      </c>
    </row>
    <row r="292" spans="1:19" ht="12.5" x14ac:dyDescent="0.25">
      <c r="A292" s="14" t="str">
        <f>HYPERLINK("https://gerandofalcoes.my.salesforce.com/0014P00003SGWPVQA5", "0014P00003SGWPVQA5")</f>
        <v>0014P00003SGWPVQA5</v>
      </c>
      <c r="B292" s="2" t="s">
        <v>2352</v>
      </c>
      <c r="C292" s="2" t="s">
        <v>1800</v>
      </c>
      <c r="D292" s="2" t="s">
        <v>2</v>
      </c>
      <c r="E292" s="2">
        <v>27</v>
      </c>
      <c r="F292" s="2">
        <v>0</v>
      </c>
      <c r="G292" s="2">
        <v>1</v>
      </c>
      <c r="H292" s="2">
        <v>2000</v>
      </c>
      <c r="I292" s="2">
        <v>70</v>
      </c>
      <c r="J292" s="2" t="s">
        <v>1779</v>
      </c>
      <c r="K292" s="2">
        <v>29</v>
      </c>
      <c r="L292" s="2">
        <v>15</v>
      </c>
      <c r="M292" s="2">
        <v>0</v>
      </c>
      <c r="N292" s="2">
        <v>4</v>
      </c>
      <c r="O292" s="2">
        <v>5</v>
      </c>
      <c r="P292" s="2">
        <v>5</v>
      </c>
      <c r="Q292" s="2" t="s">
        <v>381</v>
      </c>
      <c r="R292" s="2" t="s">
        <v>2353</v>
      </c>
      <c r="S292" s="4">
        <v>44837</v>
      </c>
    </row>
    <row r="293" spans="1:19" ht="12.5" x14ac:dyDescent="0.25">
      <c r="A293" s="14" t="str">
        <f>HYPERLINK("https://gerandofalcoes.my.salesforce.com/0014X00002QTry4QAD", "0014X00002QTry4QAD")</f>
        <v>0014X00002QTry4QAD</v>
      </c>
      <c r="B293" s="2" t="s">
        <v>1701</v>
      </c>
      <c r="C293" s="2" t="s">
        <v>423</v>
      </c>
      <c r="D293" s="2" t="s">
        <v>27</v>
      </c>
      <c r="E293" s="2">
        <v>18</v>
      </c>
      <c r="F293" s="2">
        <v>0</v>
      </c>
      <c r="G293" s="2">
        <v>3</v>
      </c>
      <c r="H293" s="2">
        <v>350</v>
      </c>
      <c r="I293" s="2">
        <v>40</v>
      </c>
      <c r="J293" s="2" t="s">
        <v>1779</v>
      </c>
      <c r="K293" s="2">
        <v>28</v>
      </c>
      <c r="L293" s="2">
        <v>10</v>
      </c>
      <c r="M293" s="2">
        <v>0</v>
      </c>
      <c r="N293" s="2">
        <v>8</v>
      </c>
      <c r="O293" s="2">
        <v>5</v>
      </c>
      <c r="P293" s="2">
        <v>5</v>
      </c>
      <c r="Q293" s="2" t="s">
        <v>1702</v>
      </c>
      <c r="R293" s="2" t="s">
        <v>1703</v>
      </c>
      <c r="S293" s="4">
        <v>44837</v>
      </c>
    </row>
    <row r="294" spans="1:19" ht="12.5" x14ac:dyDescent="0.25">
      <c r="A294" s="14" t="str">
        <f>HYPERLINK("https://gerandofalcoes.my.salesforce.com/0014X00002PUOY7QAP", "0014X00002PUOY7QAP")</f>
        <v>0014X00002PUOY7QAP</v>
      </c>
      <c r="B294" s="2" t="s">
        <v>2317</v>
      </c>
      <c r="C294" s="2" t="s">
        <v>423</v>
      </c>
      <c r="D294" s="2" t="s">
        <v>2</v>
      </c>
      <c r="E294" s="2">
        <v>28</v>
      </c>
      <c r="F294" s="2">
        <v>28</v>
      </c>
      <c r="G294" s="2">
        <v>3</v>
      </c>
      <c r="H294" s="2">
        <v>200000</v>
      </c>
      <c r="I294" s="2">
        <v>500</v>
      </c>
      <c r="J294" s="2" t="s">
        <v>1650</v>
      </c>
      <c r="K294" s="2">
        <v>70</v>
      </c>
      <c r="L294" s="2">
        <v>15</v>
      </c>
      <c r="M294" s="2">
        <v>12</v>
      </c>
      <c r="N294" s="2">
        <v>8</v>
      </c>
      <c r="O294" s="2">
        <v>15</v>
      </c>
      <c r="P294" s="2">
        <v>20</v>
      </c>
      <c r="Q294" s="2" t="s">
        <v>448</v>
      </c>
      <c r="R294" s="2" t="s">
        <v>448</v>
      </c>
      <c r="S294" s="4">
        <v>44837</v>
      </c>
    </row>
    <row r="295" spans="1:19" ht="12.5" x14ac:dyDescent="0.25">
      <c r="A295" s="14" t="str">
        <f>HYPERLINK("https://gerandofalcoes.my.salesforce.com/0014X00002PUOZAQA5", "0014X00002PUOZAQA5")</f>
        <v>0014X00002PUOZAQA5</v>
      </c>
      <c r="B295" s="2" t="s">
        <v>1717</v>
      </c>
      <c r="C295" s="2" t="s">
        <v>423</v>
      </c>
      <c r="D295" s="2" t="s">
        <v>2</v>
      </c>
      <c r="E295" s="2">
        <v>76.81</v>
      </c>
      <c r="F295" s="2">
        <v>0</v>
      </c>
      <c r="G295" s="2">
        <v>3</v>
      </c>
      <c r="H295" s="2">
        <v>286000</v>
      </c>
      <c r="I295" s="2">
        <v>127</v>
      </c>
      <c r="J295" s="2" t="s">
        <v>1671</v>
      </c>
      <c r="K295" s="2">
        <v>58</v>
      </c>
      <c r="L295" s="2">
        <v>25</v>
      </c>
      <c r="M295" s="2">
        <v>0</v>
      </c>
      <c r="N295" s="2">
        <v>8</v>
      </c>
      <c r="O295" s="2">
        <v>15</v>
      </c>
      <c r="P295" s="2">
        <v>10</v>
      </c>
      <c r="Q295" s="2" t="s">
        <v>1718</v>
      </c>
      <c r="R295" s="2" t="s">
        <v>1718</v>
      </c>
      <c r="S295" s="4">
        <v>44837</v>
      </c>
    </row>
    <row r="296" spans="1:19" ht="12.5" x14ac:dyDescent="0.25">
      <c r="A296" s="14" t="str">
        <f>HYPERLINK("https://gerandofalcoes.my.salesforce.com/0014P00003ESKdlQAH", "0014P00003ESKdlQAH")</f>
        <v>0014P00003ESKdlQAH</v>
      </c>
      <c r="B296" s="2" t="s">
        <v>1719</v>
      </c>
      <c r="C296" s="2" t="s">
        <v>423</v>
      </c>
      <c r="D296" s="2" t="s">
        <v>2</v>
      </c>
      <c r="E296" s="2">
        <v>76</v>
      </c>
      <c r="F296" s="2">
        <v>0</v>
      </c>
      <c r="G296" s="2">
        <v>3</v>
      </c>
      <c r="H296" s="2">
        <v>97514224</v>
      </c>
      <c r="I296" s="2">
        <v>500</v>
      </c>
      <c r="J296" s="2" t="s">
        <v>1650</v>
      </c>
      <c r="K296" s="2">
        <v>78</v>
      </c>
      <c r="L296" s="2">
        <v>25</v>
      </c>
      <c r="M296" s="2">
        <v>0</v>
      </c>
      <c r="N296" s="2">
        <v>8</v>
      </c>
      <c r="O296" s="2">
        <v>25</v>
      </c>
      <c r="P296" s="2">
        <v>20</v>
      </c>
      <c r="Q296" s="2" t="s">
        <v>898</v>
      </c>
      <c r="R296" s="2" t="s">
        <v>898</v>
      </c>
      <c r="S296" s="4">
        <v>44837</v>
      </c>
    </row>
    <row r="297" spans="1:19" ht="12.5" x14ac:dyDescent="0.25">
      <c r="A297" s="14" t="str">
        <f>HYPERLINK("https://gerandofalcoes.my.salesforce.com/0014P00003AN2FVQA1", "0014P00003AN2FVQA1")</f>
        <v>0014P00003AN2FVQA1</v>
      </c>
      <c r="B297" s="2" t="s">
        <v>1738</v>
      </c>
      <c r="C297" s="2" t="s">
        <v>423</v>
      </c>
      <c r="D297" s="2" t="s">
        <v>2</v>
      </c>
      <c r="E297" s="2">
        <v>70</v>
      </c>
      <c r="F297" s="2">
        <v>22</v>
      </c>
      <c r="G297" s="2">
        <v>3</v>
      </c>
      <c r="H297" s="2">
        <v>1385871</v>
      </c>
      <c r="I297" s="2">
        <v>700</v>
      </c>
      <c r="J297" s="2" t="s">
        <v>1654</v>
      </c>
      <c r="K297" s="2">
        <v>85</v>
      </c>
      <c r="L297" s="2">
        <v>20</v>
      </c>
      <c r="M297" s="2">
        <v>12</v>
      </c>
      <c r="N297" s="2">
        <v>8</v>
      </c>
      <c r="O297" s="2">
        <v>25</v>
      </c>
      <c r="P297" s="2">
        <v>20</v>
      </c>
      <c r="Q297" s="2" t="s">
        <v>632</v>
      </c>
      <c r="R297" s="2" t="s">
        <v>632</v>
      </c>
      <c r="S297" s="4">
        <v>44837</v>
      </c>
    </row>
    <row r="298" spans="1:19" ht="12.5" x14ac:dyDescent="0.25">
      <c r="A298" s="14" t="str">
        <f>HYPERLINK("https://gerandofalcoes.my.salesforce.com/0014P00003AN2FWQA1", "0014P00003AN2FWQA1")</f>
        <v>0014P00003AN2FWQA1</v>
      </c>
      <c r="B298" s="2" t="s">
        <v>2395</v>
      </c>
      <c r="C298" s="2" t="s">
        <v>423</v>
      </c>
      <c r="D298" s="2" t="s">
        <v>2</v>
      </c>
      <c r="E298" s="2">
        <v>43</v>
      </c>
      <c r="F298" s="2">
        <v>2</v>
      </c>
      <c r="G298" s="2">
        <v>1</v>
      </c>
      <c r="H298" s="2">
        <v>300000</v>
      </c>
      <c r="I298" s="2">
        <v>280</v>
      </c>
      <c r="J298" s="2" t="s">
        <v>1671</v>
      </c>
      <c r="K298" s="2">
        <v>56</v>
      </c>
      <c r="L298" s="2">
        <v>15</v>
      </c>
      <c r="M298" s="2">
        <v>5</v>
      </c>
      <c r="N298" s="2">
        <v>4</v>
      </c>
      <c r="O298" s="2">
        <v>20</v>
      </c>
      <c r="P298" s="2">
        <v>12</v>
      </c>
      <c r="Q298" s="2" t="s">
        <v>2396</v>
      </c>
      <c r="R298" s="2" t="s">
        <v>2396</v>
      </c>
      <c r="S298" s="4">
        <v>44837</v>
      </c>
    </row>
    <row r="299" spans="1:19" ht="12.5" x14ac:dyDescent="0.25">
      <c r="A299" s="14" t="str">
        <f>HYPERLINK("https://gerandofalcoes.my.salesforce.com/0014P00003AN2FXQA1", "0014P00003AN2FXQA1")</f>
        <v>0014P00003AN2FXQA1</v>
      </c>
      <c r="B299" s="2" t="s">
        <v>1799</v>
      </c>
      <c r="C299" s="2" t="s">
        <v>1800</v>
      </c>
      <c r="D299" s="2" t="s">
        <v>2</v>
      </c>
      <c r="E299" s="2">
        <v>53</v>
      </c>
      <c r="F299" s="2">
        <v>8</v>
      </c>
      <c r="G299" s="2">
        <v>3</v>
      </c>
      <c r="H299" s="2">
        <v>250000</v>
      </c>
      <c r="I299" s="2">
        <v>238</v>
      </c>
      <c r="J299" s="2" t="s">
        <v>1650</v>
      </c>
      <c r="K299" s="2">
        <v>65</v>
      </c>
      <c r="L299" s="2">
        <v>20</v>
      </c>
      <c r="M299" s="2">
        <v>10</v>
      </c>
      <c r="N299" s="2">
        <v>8</v>
      </c>
      <c r="O299" s="2">
        <v>15</v>
      </c>
      <c r="P299" s="2">
        <v>12</v>
      </c>
      <c r="Q299" s="2" t="s">
        <v>646</v>
      </c>
      <c r="R299" s="2" t="s">
        <v>646</v>
      </c>
      <c r="S299" s="4">
        <v>44837</v>
      </c>
    </row>
    <row r="300" spans="1:19" ht="12.5" x14ac:dyDescent="0.25">
      <c r="A300" s="14" t="str">
        <f>HYPERLINK("https://gerandofalcoes.my.salesforce.com/0014P00003AN2FYQA1", "0014P00003AN2FYQA1")</f>
        <v>0014P00003AN2FYQA1</v>
      </c>
      <c r="B300" s="2" t="s">
        <v>1874</v>
      </c>
      <c r="C300" s="2" t="s">
        <v>423</v>
      </c>
      <c r="D300" s="2" t="s">
        <v>2</v>
      </c>
      <c r="E300" s="2">
        <v>45</v>
      </c>
      <c r="F300" s="2">
        <v>4</v>
      </c>
      <c r="G300" s="2">
        <v>5</v>
      </c>
      <c r="H300" s="2">
        <v>100000</v>
      </c>
      <c r="I300" s="2">
        <v>50</v>
      </c>
      <c r="J300" s="2" t="s">
        <v>1671</v>
      </c>
      <c r="K300" s="2">
        <v>50</v>
      </c>
      <c r="L300" s="2">
        <v>15</v>
      </c>
      <c r="M300" s="2">
        <v>5</v>
      </c>
      <c r="N300" s="2">
        <v>10</v>
      </c>
      <c r="O300" s="2">
        <v>15</v>
      </c>
      <c r="P300" s="2">
        <v>5</v>
      </c>
      <c r="Q300" s="2" t="s">
        <v>611</v>
      </c>
      <c r="R300" s="2" t="s">
        <v>611</v>
      </c>
      <c r="S300" s="4">
        <v>44837</v>
      </c>
    </row>
    <row r="301" spans="1:19" ht="12.5" x14ac:dyDescent="0.25">
      <c r="A301" s="14" t="str">
        <f>HYPERLINK("https://gerandofalcoes.my.salesforce.com/0014P00003AN2FZQA1", "0014P00003AN2FZQA1")</f>
        <v>0014P00003AN2FZQA1</v>
      </c>
      <c r="B301" s="2" t="s">
        <v>1685</v>
      </c>
      <c r="C301" s="2" t="s">
        <v>423</v>
      </c>
      <c r="D301" s="2" t="s">
        <v>2</v>
      </c>
      <c r="E301" s="2">
        <v>94</v>
      </c>
      <c r="F301" s="2">
        <v>51</v>
      </c>
      <c r="G301" s="2">
        <v>8</v>
      </c>
      <c r="H301" s="2">
        <v>501000</v>
      </c>
      <c r="I301" s="2">
        <v>400</v>
      </c>
      <c r="J301" s="2" t="s">
        <v>1654</v>
      </c>
      <c r="K301" s="2">
        <v>90</v>
      </c>
      <c r="L301" s="2">
        <v>30</v>
      </c>
      <c r="M301" s="2">
        <v>15</v>
      </c>
      <c r="N301" s="2">
        <v>10</v>
      </c>
      <c r="O301" s="2">
        <v>20</v>
      </c>
      <c r="P301" s="2">
        <v>15</v>
      </c>
      <c r="Q301" s="2" t="s">
        <v>1686</v>
      </c>
      <c r="R301" s="2" t="s">
        <v>1686</v>
      </c>
      <c r="S301" s="4">
        <v>44837</v>
      </c>
    </row>
    <row r="302" spans="1:19" ht="12.5" x14ac:dyDescent="0.25">
      <c r="A302" s="14" t="str">
        <f>HYPERLINK("https://gerandofalcoes.my.salesforce.com/0014P00003AN2FaQAL", "0014P00003AN2FaQAL")</f>
        <v>0014P00003AN2FaQAL</v>
      </c>
      <c r="B302" s="2" t="s">
        <v>81</v>
      </c>
      <c r="C302" s="2" t="s">
        <v>423</v>
      </c>
      <c r="D302" s="2" t="s">
        <v>2</v>
      </c>
      <c r="E302" s="2">
        <v>43.16</v>
      </c>
      <c r="F302" s="2">
        <v>7</v>
      </c>
      <c r="G302" s="2">
        <v>2</v>
      </c>
      <c r="H302" s="2">
        <v>150000</v>
      </c>
      <c r="I302" s="2">
        <v>102</v>
      </c>
      <c r="J302" s="2" t="s">
        <v>1671</v>
      </c>
      <c r="K302" s="2">
        <v>56</v>
      </c>
      <c r="L302" s="2">
        <v>15</v>
      </c>
      <c r="M302" s="2">
        <v>10</v>
      </c>
      <c r="N302" s="2">
        <v>6</v>
      </c>
      <c r="O302" s="2">
        <v>15</v>
      </c>
      <c r="P302" s="2">
        <v>10</v>
      </c>
      <c r="Q302" s="2" t="s">
        <v>82</v>
      </c>
      <c r="R302" s="2" t="s">
        <v>660</v>
      </c>
      <c r="S302" s="4">
        <v>44837</v>
      </c>
    </row>
    <row r="303" spans="1:19" ht="12.5" x14ac:dyDescent="0.25">
      <c r="A303" s="14" t="str">
        <f>HYPERLINK("https://gerandofalcoes.my.salesforce.com/0014P00003AN2FbQAL", "0014P00003AN2FbQAL")</f>
        <v>0014P00003AN2FbQAL</v>
      </c>
      <c r="B303" s="2" t="s">
        <v>2318</v>
      </c>
      <c r="C303" s="2" t="s">
        <v>423</v>
      </c>
      <c r="D303" s="2" t="s">
        <v>2</v>
      </c>
      <c r="E303" s="2">
        <v>28</v>
      </c>
      <c r="F303" s="2">
        <v>0</v>
      </c>
      <c r="G303" s="2">
        <v>0</v>
      </c>
      <c r="H303" s="2">
        <v>20000</v>
      </c>
      <c r="I303" s="2">
        <v>330</v>
      </c>
      <c r="J303" s="2" t="s">
        <v>1779</v>
      </c>
      <c r="K303" s="2">
        <v>35</v>
      </c>
      <c r="L303" s="2">
        <v>15</v>
      </c>
      <c r="M303" s="2">
        <v>0</v>
      </c>
      <c r="N303" s="2">
        <v>0</v>
      </c>
      <c r="O303" s="2">
        <v>5</v>
      </c>
      <c r="P303" s="2">
        <v>15</v>
      </c>
      <c r="Q303" s="2" t="s">
        <v>88</v>
      </c>
      <c r="R303" s="2" t="s">
        <v>88</v>
      </c>
      <c r="S303" s="4">
        <v>44837</v>
      </c>
    </row>
    <row r="304" spans="1:19" ht="12.5" x14ac:dyDescent="0.25">
      <c r="A304" s="14" t="str">
        <f>HYPERLINK("https://gerandofalcoes.my.salesforce.com/0014P00003AN2FcQAL", "0014P00003AN2FcQAL")</f>
        <v>0014P00003AN2FcQAL</v>
      </c>
      <c r="B304" s="2" t="s">
        <v>1681</v>
      </c>
      <c r="C304" s="2" t="s">
        <v>423</v>
      </c>
      <c r="D304" s="2" t="s">
        <v>27</v>
      </c>
      <c r="E304" s="2">
        <v>87</v>
      </c>
      <c r="F304" s="2">
        <v>10</v>
      </c>
      <c r="G304" s="2">
        <v>3</v>
      </c>
      <c r="H304" s="2">
        <v>501150</v>
      </c>
      <c r="I304" s="2">
        <v>171</v>
      </c>
      <c r="J304" s="2" t="s">
        <v>1650</v>
      </c>
      <c r="K304" s="2">
        <v>75</v>
      </c>
      <c r="L304" s="2">
        <v>25</v>
      </c>
      <c r="M304" s="2">
        <v>10</v>
      </c>
      <c r="N304" s="2">
        <v>8</v>
      </c>
      <c r="O304" s="2">
        <v>20</v>
      </c>
      <c r="P304" s="2">
        <v>12</v>
      </c>
      <c r="Q304" s="2" t="s">
        <v>91</v>
      </c>
      <c r="R304" s="2" t="s">
        <v>91</v>
      </c>
      <c r="S304" s="4">
        <v>44837</v>
      </c>
    </row>
    <row r="305" spans="1:19" ht="12.5" x14ac:dyDescent="0.25">
      <c r="A305" s="14" t="str">
        <f>HYPERLINK("https://gerandofalcoes.my.salesforce.com/0014P00003AN2FdQAL", "0014P00003AN2FdQAL")</f>
        <v>0014P00003AN2FdQAL</v>
      </c>
      <c r="B305" s="2" t="s">
        <v>95</v>
      </c>
      <c r="C305" s="2" t="s">
        <v>1800</v>
      </c>
      <c r="D305" s="2" t="s">
        <v>2</v>
      </c>
      <c r="E305" s="2">
        <v>7</v>
      </c>
      <c r="F305" s="2">
        <v>0</v>
      </c>
      <c r="G305" s="2">
        <v>0</v>
      </c>
      <c r="H305" s="2">
        <v>0</v>
      </c>
      <c r="I305" s="2">
        <v>300</v>
      </c>
      <c r="J305" s="2" t="s">
        <v>1779</v>
      </c>
      <c r="K305" s="2">
        <v>25</v>
      </c>
      <c r="L305" s="2">
        <v>10</v>
      </c>
      <c r="M305" s="2">
        <v>0</v>
      </c>
      <c r="N305" s="2">
        <v>0</v>
      </c>
      <c r="O305" s="2">
        <v>0</v>
      </c>
      <c r="P305" s="2">
        <v>15</v>
      </c>
      <c r="Q305" s="2" t="s">
        <v>96</v>
      </c>
      <c r="R305" s="2" t="s">
        <v>685</v>
      </c>
      <c r="S305" s="4">
        <v>44837</v>
      </c>
    </row>
    <row r="306" spans="1:19" ht="12.5" x14ac:dyDescent="0.25">
      <c r="A306" s="14" t="str">
        <f>HYPERLINK("https://gerandofalcoes.my.salesforce.com/0014P00003AN2FeQAL", "0014P00003AN2FeQAL")</f>
        <v>0014P00003AN2FeQAL</v>
      </c>
      <c r="B306" s="2" t="s">
        <v>100</v>
      </c>
      <c r="C306" s="2" t="s">
        <v>423</v>
      </c>
      <c r="D306" s="2" t="s">
        <v>2</v>
      </c>
      <c r="E306" s="2">
        <v>25</v>
      </c>
      <c r="F306" s="2">
        <v>10</v>
      </c>
      <c r="G306" s="2">
        <v>3</v>
      </c>
      <c r="H306" s="2">
        <v>105000</v>
      </c>
      <c r="I306" s="2">
        <v>64</v>
      </c>
      <c r="J306" s="2" t="s">
        <v>1671</v>
      </c>
      <c r="K306" s="2">
        <v>53</v>
      </c>
      <c r="L306" s="2">
        <v>15</v>
      </c>
      <c r="M306" s="2">
        <v>10</v>
      </c>
      <c r="N306" s="2">
        <v>8</v>
      </c>
      <c r="O306" s="2">
        <v>15</v>
      </c>
      <c r="P306" s="2">
        <v>5</v>
      </c>
      <c r="Q306" s="2" t="s">
        <v>101</v>
      </c>
      <c r="R306" s="2" t="s">
        <v>2472</v>
      </c>
      <c r="S306" s="4">
        <v>44837</v>
      </c>
    </row>
    <row r="307" spans="1:19" ht="12.5" x14ac:dyDescent="0.25">
      <c r="A307" s="14" t="str">
        <f>HYPERLINK("https://gerandofalcoes.my.salesforce.com/0014X00002VKCqYQAX", "0014X00002VKCqYQAX")</f>
        <v>0014X00002VKCqYQAX</v>
      </c>
      <c r="B307" s="2" t="s">
        <v>2322</v>
      </c>
      <c r="C307" s="2" t="s">
        <v>1800</v>
      </c>
      <c r="D307" s="2" t="s">
        <v>2</v>
      </c>
      <c r="E307" s="2">
        <v>28</v>
      </c>
      <c r="F307" s="2">
        <v>1</v>
      </c>
      <c r="G307" s="2">
        <v>6</v>
      </c>
      <c r="H307" s="2">
        <v>5000</v>
      </c>
      <c r="I307" s="2">
        <v>80</v>
      </c>
      <c r="J307" s="2" t="s">
        <v>1671</v>
      </c>
      <c r="K307" s="2">
        <v>45</v>
      </c>
      <c r="L307" s="2">
        <v>15</v>
      </c>
      <c r="M307" s="2">
        <v>5</v>
      </c>
      <c r="N307" s="2">
        <v>10</v>
      </c>
      <c r="O307" s="2">
        <v>5</v>
      </c>
      <c r="P307" s="2">
        <v>10</v>
      </c>
      <c r="Q307" s="2" t="s">
        <v>2323</v>
      </c>
      <c r="R307" s="2" t="s">
        <v>2324</v>
      </c>
      <c r="S307" s="4">
        <v>44837</v>
      </c>
    </row>
    <row r="308" spans="1:19" ht="12.5" x14ac:dyDescent="0.25">
      <c r="A308" s="14" t="str">
        <f>HYPERLINK("https://gerandofalcoes.my.salesforce.com/0014X00002VKCukQAH", "0014X00002VKCukQAH")</f>
        <v>0014X00002VKCukQAH</v>
      </c>
      <c r="B308" s="2" t="s">
        <v>2990</v>
      </c>
      <c r="C308" s="2" t="s">
        <v>1800</v>
      </c>
      <c r="D308" s="2" t="s">
        <v>2</v>
      </c>
      <c r="E308" s="2"/>
      <c r="F308" s="2">
        <v>8</v>
      </c>
      <c r="G308" s="2">
        <v>2</v>
      </c>
      <c r="H308" s="2">
        <v>0</v>
      </c>
      <c r="I308" s="2">
        <v>50</v>
      </c>
      <c r="J308" s="2" t="s">
        <v>1779</v>
      </c>
      <c r="K308" s="2">
        <v>21</v>
      </c>
      <c r="L308" s="2">
        <v>0</v>
      </c>
      <c r="M308" s="2">
        <v>10</v>
      </c>
      <c r="N308" s="2">
        <v>6</v>
      </c>
      <c r="O308" s="2">
        <v>0</v>
      </c>
      <c r="P308" s="2">
        <v>5</v>
      </c>
      <c r="Q308" s="2" t="s">
        <v>2991</v>
      </c>
      <c r="R308" s="2" t="s">
        <v>2991</v>
      </c>
      <c r="S308" s="4">
        <v>44837</v>
      </c>
    </row>
    <row r="309" spans="1:19" ht="12.5" x14ac:dyDescent="0.25">
      <c r="A309" s="14" t="str">
        <f>HYPERLINK("https://gerandofalcoes.my.salesforce.com/0014X00002VKCsmQAH", "0014X00002VKCsmQAH")</f>
        <v>0014X00002VKCsmQAH</v>
      </c>
      <c r="B309" s="2" t="s">
        <v>2370</v>
      </c>
      <c r="C309" s="2" t="s">
        <v>1800</v>
      </c>
      <c r="D309" s="2" t="s">
        <v>2</v>
      </c>
      <c r="E309" s="2">
        <v>26</v>
      </c>
      <c r="F309" s="2">
        <v>0</v>
      </c>
      <c r="G309" s="2">
        <v>2</v>
      </c>
      <c r="H309" s="2">
        <v>8000</v>
      </c>
      <c r="I309" s="2">
        <v>20</v>
      </c>
      <c r="J309" s="2" t="s">
        <v>1779</v>
      </c>
      <c r="K309" s="2">
        <v>31</v>
      </c>
      <c r="L309" s="2">
        <v>15</v>
      </c>
      <c r="M309" s="2">
        <v>0</v>
      </c>
      <c r="N309" s="2">
        <v>6</v>
      </c>
      <c r="O309" s="2">
        <v>5</v>
      </c>
      <c r="P309" s="2">
        <v>5</v>
      </c>
      <c r="Q309" s="2" t="s">
        <v>2371</v>
      </c>
      <c r="R309" s="2" t="s">
        <v>2371</v>
      </c>
      <c r="S309" s="4">
        <v>44837</v>
      </c>
    </row>
    <row r="310" spans="1:19" ht="12.5" x14ac:dyDescent="0.25">
      <c r="A310" s="14" t="str">
        <f>HYPERLINK("https://gerandofalcoes.my.salesforce.com/0014X00002VKCpUQAX", "0014X00002VKCpUQAX")</f>
        <v>0014X00002VKCpUQAX</v>
      </c>
      <c r="B310" s="2" t="s">
        <v>2795</v>
      </c>
      <c r="C310" s="2" t="s">
        <v>423</v>
      </c>
      <c r="D310" s="2" t="s">
        <v>2</v>
      </c>
      <c r="E310" s="2">
        <v>13</v>
      </c>
      <c r="F310" s="2">
        <v>3</v>
      </c>
      <c r="G310" s="2">
        <v>1</v>
      </c>
      <c r="H310" s="2">
        <v>1200</v>
      </c>
      <c r="I310" s="2">
        <v>50</v>
      </c>
      <c r="J310" s="2" t="s">
        <v>1779</v>
      </c>
      <c r="K310" s="2">
        <v>29</v>
      </c>
      <c r="L310" s="2">
        <v>10</v>
      </c>
      <c r="M310" s="2">
        <v>5</v>
      </c>
      <c r="N310" s="2">
        <v>4</v>
      </c>
      <c r="O310" s="2">
        <v>5</v>
      </c>
      <c r="P310" s="2">
        <v>5</v>
      </c>
      <c r="Q310" s="2" t="s">
        <v>2796</v>
      </c>
      <c r="R310" s="2" t="s">
        <v>2797</v>
      </c>
      <c r="S310" s="4">
        <v>44837</v>
      </c>
    </row>
    <row r="311" spans="1:19" ht="12.5" x14ac:dyDescent="0.25">
      <c r="A311" s="14" t="str">
        <f>HYPERLINK("https://gerandofalcoes.my.salesforce.com/0014X00002VKCpcQAH", "0014X00002VKCpcQAH")</f>
        <v>0014X00002VKCpcQAH</v>
      </c>
      <c r="B311" s="2" t="s">
        <v>2689</v>
      </c>
      <c r="C311" s="2" t="s">
        <v>1800</v>
      </c>
      <c r="D311" s="2" t="s">
        <v>2</v>
      </c>
      <c r="E311" s="2">
        <v>16</v>
      </c>
      <c r="F311" s="2">
        <v>0</v>
      </c>
      <c r="G311" s="2">
        <v>2</v>
      </c>
      <c r="H311" s="2">
        <v>98000</v>
      </c>
      <c r="I311" s="2">
        <v>20</v>
      </c>
      <c r="J311" s="2" t="s">
        <v>1779</v>
      </c>
      <c r="K311" s="2">
        <v>31</v>
      </c>
      <c r="L311" s="2">
        <v>10</v>
      </c>
      <c r="M311" s="2">
        <v>0</v>
      </c>
      <c r="N311" s="2">
        <v>6</v>
      </c>
      <c r="O311" s="2">
        <v>10</v>
      </c>
      <c r="P311" s="2">
        <v>5</v>
      </c>
      <c r="Q311" s="2" t="s">
        <v>7166</v>
      </c>
      <c r="R311" s="2" t="s">
        <v>2690</v>
      </c>
      <c r="S311" s="4">
        <v>44837</v>
      </c>
    </row>
    <row r="312" spans="1:19" ht="12.5" x14ac:dyDescent="0.25">
      <c r="A312" s="14" t="str">
        <f>HYPERLINK("https://gerandofalcoes.my.salesforce.com/0014X00002VKCtwQAH", "0014X00002VKCtwQAH")</f>
        <v>0014X00002VKCtwQAH</v>
      </c>
      <c r="B312" s="2" t="s">
        <v>1954</v>
      </c>
      <c r="C312" s="2" t="s">
        <v>1800</v>
      </c>
      <c r="D312" s="2" t="s">
        <v>2</v>
      </c>
      <c r="E312" s="2">
        <v>41</v>
      </c>
      <c r="F312" s="2">
        <v>4</v>
      </c>
      <c r="G312" s="2">
        <v>3</v>
      </c>
      <c r="H312" s="2">
        <v>186011</v>
      </c>
      <c r="I312" s="2">
        <v>0</v>
      </c>
      <c r="J312" s="2" t="s">
        <v>1671</v>
      </c>
      <c r="K312" s="2">
        <v>43</v>
      </c>
      <c r="L312" s="2">
        <v>15</v>
      </c>
      <c r="M312" s="2">
        <v>5</v>
      </c>
      <c r="N312" s="2">
        <v>8</v>
      </c>
      <c r="O312" s="2">
        <v>15</v>
      </c>
      <c r="P312" s="2">
        <v>0</v>
      </c>
      <c r="Q312" s="2" t="s">
        <v>1955</v>
      </c>
      <c r="R312" s="2" t="s">
        <v>1956</v>
      </c>
      <c r="S312" s="4">
        <v>44837</v>
      </c>
    </row>
    <row r="313" spans="1:19" ht="12.5" x14ac:dyDescent="0.25">
      <c r="A313" s="14" t="str">
        <f>HYPERLINK("https://gerandofalcoes.my.salesforce.com/0014X00002VMXzNQAX", "0014X00002VMXzNQAX")</f>
        <v>0014X00002VMXzNQAX</v>
      </c>
      <c r="B313" s="2" t="s">
        <v>1778</v>
      </c>
      <c r="C313" s="2" t="s">
        <v>423</v>
      </c>
      <c r="D313" s="2" t="s">
        <v>2</v>
      </c>
      <c r="E313" s="2">
        <v>57</v>
      </c>
      <c r="F313" s="2">
        <v>0</v>
      </c>
      <c r="G313" s="2">
        <v>3</v>
      </c>
      <c r="H313" s="2">
        <v>65000</v>
      </c>
      <c r="I313" s="2">
        <v>0</v>
      </c>
      <c r="J313" s="2" t="s">
        <v>1779</v>
      </c>
      <c r="K313" s="2">
        <v>38</v>
      </c>
      <c r="L313" s="2">
        <v>20</v>
      </c>
      <c r="M313" s="2">
        <v>0</v>
      </c>
      <c r="N313" s="2">
        <v>8</v>
      </c>
      <c r="O313" s="2">
        <v>10</v>
      </c>
      <c r="P313" s="2">
        <v>0</v>
      </c>
      <c r="Q313" s="2" t="s">
        <v>1780</v>
      </c>
      <c r="R313" s="2" t="s">
        <v>1781</v>
      </c>
      <c r="S313" s="4">
        <v>44837</v>
      </c>
    </row>
    <row r="314" spans="1:19" ht="12.5" x14ac:dyDescent="0.25">
      <c r="A314" s="14" t="str">
        <f>HYPERLINK("https://gerandofalcoes.my.salesforce.com/0014X00002VKCv9QAH", "0014X00002VKCv9QAH")</f>
        <v>0014X00002VKCv9QAH</v>
      </c>
      <c r="B314" s="2" t="s">
        <v>2874</v>
      </c>
      <c r="C314" s="2" t="s">
        <v>423</v>
      </c>
      <c r="D314" s="2" t="s">
        <v>2</v>
      </c>
      <c r="E314" s="2">
        <v>35</v>
      </c>
      <c r="F314" s="2">
        <v>0</v>
      </c>
      <c r="G314" s="2">
        <v>0</v>
      </c>
      <c r="H314" s="2">
        <v>0</v>
      </c>
      <c r="I314" s="2">
        <v>200</v>
      </c>
      <c r="J314" s="2" t="s">
        <v>1779</v>
      </c>
      <c r="K314" s="2">
        <v>27</v>
      </c>
      <c r="L314" s="2">
        <v>15</v>
      </c>
      <c r="M314" s="2">
        <v>0</v>
      </c>
      <c r="N314" s="2">
        <v>0</v>
      </c>
      <c r="O314" s="2">
        <v>0</v>
      </c>
      <c r="P314" s="2">
        <v>12</v>
      </c>
      <c r="Q314" s="2" t="s">
        <v>2875</v>
      </c>
      <c r="R314" s="2" t="s">
        <v>2875</v>
      </c>
      <c r="S314" s="4">
        <v>44837</v>
      </c>
    </row>
    <row r="315" spans="1:19" ht="12.5" x14ac:dyDescent="0.25">
      <c r="A315" s="14" t="str">
        <f>HYPERLINK("https://gerandofalcoes.my.salesforce.com/0014X00002VKCrIQAX", "0014X00002VKCrIQAX")</f>
        <v>0014X00002VKCrIQAX</v>
      </c>
      <c r="B315" s="2" t="s">
        <v>2670</v>
      </c>
      <c r="C315" s="2" t="s">
        <v>1800</v>
      </c>
      <c r="D315" s="2" t="s">
        <v>2</v>
      </c>
      <c r="E315" s="2">
        <v>17</v>
      </c>
      <c r="F315" s="2">
        <v>0</v>
      </c>
      <c r="G315" s="2">
        <v>2</v>
      </c>
      <c r="H315" s="2">
        <v>1</v>
      </c>
      <c r="I315" s="2">
        <v>0</v>
      </c>
      <c r="J315" s="2" t="s">
        <v>1779</v>
      </c>
      <c r="K315" s="2">
        <v>21</v>
      </c>
      <c r="L315" s="2">
        <v>10</v>
      </c>
      <c r="M315" s="2">
        <v>0</v>
      </c>
      <c r="N315" s="2">
        <v>6</v>
      </c>
      <c r="O315" s="2">
        <v>5</v>
      </c>
      <c r="P315" s="2">
        <v>0</v>
      </c>
      <c r="Q315" s="2" t="s">
        <v>2671</v>
      </c>
      <c r="R315" s="2" t="s">
        <v>2671</v>
      </c>
      <c r="S315" s="4">
        <v>44837</v>
      </c>
    </row>
    <row r="316" spans="1:19" ht="12.5" x14ac:dyDescent="0.25">
      <c r="A316" s="14" t="str">
        <f>HYPERLINK("https://gerandofalcoes.my.salesforce.com/0014X00002VKCuRQAX", "0014X00002VKCuRQAX")</f>
        <v>0014X00002VKCuRQAX</v>
      </c>
      <c r="B316" s="2" t="s">
        <v>2243</v>
      </c>
      <c r="C316" s="2" t="s">
        <v>423</v>
      </c>
      <c r="D316" s="2" t="s">
        <v>2</v>
      </c>
      <c r="E316" s="2">
        <v>31</v>
      </c>
      <c r="F316" s="2">
        <v>3</v>
      </c>
      <c r="G316" s="2">
        <v>6</v>
      </c>
      <c r="H316" s="2">
        <v>100000</v>
      </c>
      <c r="I316" s="2">
        <v>0</v>
      </c>
      <c r="J316" s="2" t="s">
        <v>1671</v>
      </c>
      <c r="K316" s="2">
        <v>45</v>
      </c>
      <c r="L316" s="2">
        <v>15</v>
      </c>
      <c r="M316" s="2">
        <v>5</v>
      </c>
      <c r="N316" s="2">
        <v>10</v>
      </c>
      <c r="O316" s="2">
        <v>15</v>
      </c>
      <c r="P316" s="2">
        <v>0</v>
      </c>
      <c r="Q316" s="2" t="s">
        <v>2244</v>
      </c>
      <c r="R316" s="2" t="s">
        <v>2244</v>
      </c>
      <c r="S316" s="4">
        <v>44837</v>
      </c>
    </row>
    <row r="317" spans="1:19" ht="12.5" x14ac:dyDescent="0.25">
      <c r="A317" s="14" t="str">
        <f>HYPERLINK("https://gerandofalcoes.my.salesforce.com/0014X00002VKCrwQAH", "0014X00002VKCrwQAH")</f>
        <v>0014X00002VKCrwQAH</v>
      </c>
      <c r="B317" s="2" t="s">
        <v>2959</v>
      </c>
      <c r="C317" s="2" t="s">
        <v>423</v>
      </c>
      <c r="D317" s="2" t="s">
        <v>2</v>
      </c>
      <c r="E317" s="2">
        <v>16</v>
      </c>
      <c r="F317" s="2">
        <v>0</v>
      </c>
      <c r="G317" s="2">
        <v>2</v>
      </c>
      <c r="H317" s="2">
        <v>15000</v>
      </c>
      <c r="I317" s="2">
        <v>30</v>
      </c>
      <c r="J317" s="2" t="s">
        <v>1779</v>
      </c>
      <c r="K317" s="2">
        <v>26</v>
      </c>
      <c r="L317" s="2">
        <v>10</v>
      </c>
      <c r="M317" s="2">
        <v>0</v>
      </c>
      <c r="N317" s="2">
        <v>6</v>
      </c>
      <c r="O317" s="2">
        <v>5</v>
      </c>
      <c r="P317" s="2">
        <v>5</v>
      </c>
      <c r="Q317" s="2" t="s">
        <v>2960</v>
      </c>
      <c r="R317" s="2" t="s">
        <v>2961</v>
      </c>
      <c r="S317" s="4">
        <v>44837</v>
      </c>
    </row>
    <row r="318" spans="1:19" ht="12.5" x14ac:dyDescent="0.25">
      <c r="A318" s="14" t="str">
        <f>HYPERLINK("https://gerandofalcoes.my.salesforce.com/0014X00002VKCsLQAX", "0014X00002VKCsLQAX")</f>
        <v>0014X00002VKCsLQAX</v>
      </c>
      <c r="B318" s="2" t="s">
        <v>2798</v>
      </c>
      <c r="C318" s="2" t="s">
        <v>1800</v>
      </c>
      <c r="D318" s="2" t="s">
        <v>2</v>
      </c>
      <c r="E318" s="2">
        <v>13</v>
      </c>
      <c r="F318" s="2">
        <v>0</v>
      </c>
      <c r="G318" s="2">
        <v>3</v>
      </c>
      <c r="H318" s="2">
        <v>500</v>
      </c>
      <c r="I318" s="2">
        <v>30</v>
      </c>
      <c r="J318" s="2" t="s">
        <v>1779</v>
      </c>
      <c r="K318" s="2">
        <v>28</v>
      </c>
      <c r="L318" s="2">
        <v>10</v>
      </c>
      <c r="M318" s="2">
        <v>0</v>
      </c>
      <c r="N318" s="2">
        <v>8</v>
      </c>
      <c r="O318" s="2">
        <v>5</v>
      </c>
      <c r="P318" s="2">
        <v>5</v>
      </c>
      <c r="Q318" s="2" t="s">
        <v>2799</v>
      </c>
      <c r="R318" s="2" t="s">
        <v>2800</v>
      </c>
      <c r="S318" s="4">
        <v>44837</v>
      </c>
    </row>
    <row r="319" spans="1:19" ht="12.5" x14ac:dyDescent="0.25">
      <c r="A319" s="14" t="str">
        <f>HYPERLINK("https://gerandofalcoes.my.salesforce.com/0014X00002VKCrTQAX", "0014X00002VKCrTQAX")</f>
        <v>0014X00002VKCrTQAX</v>
      </c>
      <c r="B319" s="2" t="s">
        <v>2180</v>
      </c>
      <c r="C319" s="2" t="s">
        <v>1800</v>
      </c>
      <c r="D319" s="2" t="s">
        <v>2</v>
      </c>
      <c r="E319" s="2">
        <v>33</v>
      </c>
      <c r="F319" s="2">
        <v>0</v>
      </c>
      <c r="G319" s="2">
        <v>5</v>
      </c>
      <c r="H319" s="2">
        <v>0</v>
      </c>
      <c r="I319" s="2">
        <v>40</v>
      </c>
      <c r="J319" s="2" t="s">
        <v>1779</v>
      </c>
      <c r="K319" s="2">
        <v>30</v>
      </c>
      <c r="L319" s="2">
        <v>15</v>
      </c>
      <c r="M319" s="2">
        <v>0</v>
      </c>
      <c r="N319" s="2">
        <v>10</v>
      </c>
      <c r="O319" s="2">
        <v>0</v>
      </c>
      <c r="P319" s="2">
        <v>5</v>
      </c>
      <c r="Q319" s="2" t="s">
        <v>2181</v>
      </c>
      <c r="R319" s="2" t="s">
        <v>2181</v>
      </c>
      <c r="S319" s="4">
        <v>44837</v>
      </c>
    </row>
    <row r="320" spans="1:19" ht="12.5" x14ac:dyDescent="0.25">
      <c r="A320" s="14" t="str">
        <f>HYPERLINK("https://gerandofalcoes.my.salesforce.com/0014P00003SGWQ3QAP", "0014P00003SGWQ3QAP")</f>
        <v>0014P00003SGWQ3QAP</v>
      </c>
      <c r="B320" s="2" t="s">
        <v>210</v>
      </c>
      <c r="C320" s="2" t="s">
        <v>423</v>
      </c>
      <c r="D320" s="2" t="s">
        <v>2</v>
      </c>
      <c r="E320" s="2">
        <v>51</v>
      </c>
      <c r="F320" s="2">
        <v>34</v>
      </c>
      <c r="G320" s="2">
        <v>4</v>
      </c>
      <c r="H320" s="2">
        <v>140000</v>
      </c>
      <c r="I320" s="2">
        <v>40</v>
      </c>
      <c r="J320" s="2" t="s">
        <v>1650</v>
      </c>
      <c r="K320" s="2">
        <v>65</v>
      </c>
      <c r="L320" s="2">
        <v>20</v>
      </c>
      <c r="M320" s="2">
        <v>15</v>
      </c>
      <c r="N320" s="2">
        <v>10</v>
      </c>
      <c r="O320" s="2">
        <v>15</v>
      </c>
      <c r="P320" s="2">
        <v>5</v>
      </c>
      <c r="Q320" s="2" t="s">
        <v>211</v>
      </c>
      <c r="R320" s="2" t="s">
        <v>1459</v>
      </c>
      <c r="S320" s="4">
        <v>44837</v>
      </c>
    </row>
    <row r="321" spans="1:19" ht="12.5" x14ac:dyDescent="0.25">
      <c r="A321" s="14" t="str">
        <f>HYPERLINK("https://gerandofalcoes.my.salesforce.com/0014P00003SGWQ4QAP", "0014P00003SGWQ4QAP")</f>
        <v>0014P00003SGWQ4QAP</v>
      </c>
      <c r="B321" s="2" t="s">
        <v>217</v>
      </c>
      <c r="C321" s="2" t="s">
        <v>423</v>
      </c>
      <c r="D321" s="2" t="s">
        <v>2</v>
      </c>
      <c r="E321" s="2">
        <v>33</v>
      </c>
      <c r="F321" s="2">
        <v>0</v>
      </c>
      <c r="G321" s="2">
        <v>2</v>
      </c>
      <c r="H321" s="2">
        <v>8324</v>
      </c>
      <c r="I321" s="2">
        <v>117</v>
      </c>
      <c r="J321" s="2" t="s">
        <v>1779</v>
      </c>
      <c r="K321" s="2">
        <v>36</v>
      </c>
      <c r="L321" s="2">
        <v>15</v>
      </c>
      <c r="M321" s="2">
        <v>0</v>
      </c>
      <c r="N321" s="2">
        <v>6</v>
      </c>
      <c r="O321" s="2">
        <v>5</v>
      </c>
      <c r="P321" s="2">
        <v>10</v>
      </c>
      <c r="Q321" s="2" t="s">
        <v>218</v>
      </c>
      <c r="R321" s="2" t="s">
        <v>1140</v>
      </c>
      <c r="S321" s="4">
        <v>44837</v>
      </c>
    </row>
    <row r="322" spans="1:19" ht="12.5" x14ac:dyDescent="0.25">
      <c r="A322" s="14" t="str">
        <f>HYPERLINK("https://gerandofalcoes.my.salesforce.com/0014P00003SGWQ6QAP", "0014P00003SGWQ6QAP")</f>
        <v>0014P00003SGWQ6QAP</v>
      </c>
      <c r="B322" s="2" t="s">
        <v>221</v>
      </c>
      <c r="C322" s="2" t="s">
        <v>423</v>
      </c>
      <c r="D322" s="2" t="s">
        <v>2</v>
      </c>
      <c r="E322" s="2"/>
      <c r="F322" s="2">
        <v>20</v>
      </c>
      <c r="G322" s="2">
        <v>3</v>
      </c>
      <c r="H322" s="2">
        <v>149830</v>
      </c>
      <c r="I322" s="2">
        <v>250</v>
      </c>
      <c r="J322" s="2" t="s">
        <v>1671</v>
      </c>
      <c r="K322" s="2">
        <v>47</v>
      </c>
      <c r="L322" s="2">
        <v>0</v>
      </c>
      <c r="M322" s="2">
        <v>12</v>
      </c>
      <c r="N322" s="2">
        <v>8</v>
      </c>
      <c r="O322" s="2">
        <v>15</v>
      </c>
      <c r="P322" s="2">
        <v>12</v>
      </c>
      <c r="Q322" s="2" t="s">
        <v>222</v>
      </c>
      <c r="R322" s="2" t="s">
        <v>2985</v>
      </c>
      <c r="S322" s="4">
        <v>44837</v>
      </c>
    </row>
    <row r="323" spans="1:19" ht="12.5" x14ac:dyDescent="0.25">
      <c r="A323" s="14" t="str">
        <f>HYPERLINK("https://gerandofalcoes.my.salesforce.com/0014P00003SGWQ7QAP", "0014P00003SGWQ7QAP")</f>
        <v>0014P00003SGWQ7QAP</v>
      </c>
      <c r="B323" s="2" t="s">
        <v>226</v>
      </c>
      <c r="C323" s="2" t="s">
        <v>423</v>
      </c>
      <c r="D323" s="2" t="s">
        <v>27</v>
      </c>
      <c r="E323" s="2">
        <v>39</v>
      </c>
      <c r="F323" s="2">
        <v>6</v>
      </c>
      <c r="G323" s="2">
        <v>2</v>
      </c>
      <c r="H323" s="2">
        <v>9291.52</v>
      </c>
      <c r="I323" s="2">
        <v>150</v>
      </c>
      <c r="J323" s="2" t="s">
        <v>1671</v>
      </c>
      <c r="K323" s="2">
        <v>48</v>
      </c>
      <c r="L323" s="2">
        <v>15</v>
      </c>
      <c r="M323" s="2">
        <v>10</v>
      </c>
      <c r="N323" s="2">
        <v>6</v>
      </c>
      <c r="O323" s="2">
        <v>5</v>
      </c>
      <c r="P323" s="2">
        <v>12</v>
      </c>
      <c r="Q323" s="2" t="s">
        <v>227</v>
      </c>
      <c r="R323" s="2" t="s">
        <v>1159</v>
      </c>
      <c r="S323" s="4">
        <v>44837</v>
      </c>
    </row>
    <row r="324" spans="1:19" ht="12.5" x14ac:dyDescent="0.25">
      <c r="A324" s="14" t="str">
        <f>HYPERLINK("https://gerandofalcoes.my.salesforce.com/0014P00003SGWQ8QAP", "0014P00003SGWQ8QAP")</f>
        <v>0014P00003SGWQ8QAP</v>
      </c>
      <c r="B324" s="2" t="s">
        <v>213</v>
      </c>
      <c r="C324" s="2" t="s">
        <v>423</v>
      </c>
      <c r="D324" s="2" t="s">
        <v>2</v>
      </c>
      <c r="E324" s="2">
        <v>14</v>
      </c>
      <c r="F324" s="2">
        <v>0</v>
      </c>
      <c r="G324" s="2">
        <v>2</v>
      </c>
      <c r="H324" s="2">
        <v>300000</v>
      </c>
      <c r="I324" s="2">
        <v>0</v>
      </c>
      <c r="J324" s="2" t="s">
        <v>1779</v>
      </c>
      <c r="K324" s="2">
        <v>36</v>
      </c>
      <c r="L324" s="2">
        <v>10</v>
      </c>
      <c r="M324" s="2">
        <v>0</v>
      </c>
      <c r="N324" s="2">
        <v>6</v>
      </c>
      <c r="O324" s="2">
        <v>20</v>
      </c>
      <c r="P324" s="2">
        <v>0</v>
      </c>
      <c r="Q324" s="2" t="s">
        <v>214</v>
      </c>
      <c r="R324" s="2" t="s">
        <v>1170</v>
      </c>
      <c r="S324" s="4">
        <v>44837</v>
      </c>
    </row>
    <row r="325" spans="1:19" ht="12.5" x14ac:dyDescent="0.25">
      <c r="A325" s="14" t="str">
        <f>HYPERLINK("https://gerandofalcoes.my.salesforce.com/0014P00003SGWQ9QAP", "0014P00003SGWQ9QAP")</f>
        <v>0014P00003SGWQ9QAP</v>
      </c>
      <c r="B325" s="2" t="s">
        <v>232</v>
      </c>
      <c r="C325" s="2" t="s">
        <v>423</v>
      </c>
      <c r="D325" s="2" t="s">
        <v>2</v>
      </c>
      <c r="E325" s="2">
        <v>51</v>
      </c>
      <c r="F325" s="2">
        <v>5</v>
      </c>
      <c r="G325" s="2">
        <v>3</v>
      </c>
      <c r="H325" s="2">
        <v>191584</v>
      </c>
      <c r="I325" s="2">
        <v>245</v>
      </c>
      <c r="J325" s="2" t="s">
        <v>1671</v>
      </c>
      <c r="K325" s="2">
        <v>60</v>
      </c>
      <c r="L325" s="2">
        <v>20</v>
      </c>
      <c r="M325" s="2">
        <v>5</v>
      </c>
      <c r="N325" s="2">
        <v>8</v>
      </c>
      <c r="O325" s="2">
        <v>15</v>
      </c>
      <c r="P325" s="2">
        <v>12</v>
      </c>
      <c r="Q325" s="2" t="s">
        <v>233</v>
      </c>
      <c r="R325" s="2" t="s">
        <v>2285</v>
      </c>
      <c r="S325" s="4">
        <v>44837</v>
      </c>
    </row>
    <row r="326" spans="1:19" ht="12.5" x14ac:dyDescent="0.25">
      <c r="A326" s="14" t="str">
        <f>HYPERLINK("https://gerandofalcoes.my.salesforce.com/0014P00003SGWQAQA5", "0014P00003SGWQAQA5")</f>
        <v>0014P00003SGWQAQA5</v>
      </c>
      <c r="B326" s="2" t="s">
        <v>2958</v>
      </c>
      <c r="C326" s="2" t="s">
        <v>423</v>
      </c>
      <c r="D326" s="2" t="s">
        <v>2</v>
      </c>
      <c r="E326" s="2">
        <v>4</v>
      </c>
      <c r="F326" s="2">
        <v>0</v>
      </c>
      <c r="G326" s="2">
        <v>1</v>
      </c>
      <c r="H326" s="2">
        <v>16000</v>
      </c>
      <c r="I326" s="2">
        <v>200</v>
      </c>
      <c r="J326" s="2" t="s">
        <v>1779</v>
      </c>
      <c r="K326" s="2">
        <v>31</v>
      </c>
      <c r="L326" s="2">
        <v>10</v>
      </c>
      <c r="M326" s="2">
        <v>0</v>
      </c>
      <c r="N326" s="2">
        <v>4</v>
      </c>
      <c r="O326" s="2">
        <v>5</v>
      </c>
      <c r="P326" s="2">
        <v>12</v>
      </c>
      <c r="Q326" s="2" t="s">
        <v>238</v>
      </c>
      <c r="R326" s="2" t="s">
        <v>1191</v>
      </c>
      <c r="S326" s="4">
        <v>44837</v>
      </c>
    </row>
    <row r="327" spans="1:19" ht="12.5" x14ac:dyDescent="0.25">
      <c r="A327" s="14" t="str">
        <f>HYPERLINK("https://gerandofalcoes.my.salesforce.com/0014P00003SGWQBQA5", "0014P00003SGWQBQA5")</f>
        <v>0014P00003SGWQBQA5</v>
      </c>
      <c r="B327" s="2" t="s">
        <v>242</v>
      </c>
      <c r="C327" s="2" t="s">
        <v>423</v>
      </c>
      <c r="D327" s="2" t="s">
        <v>2</v>
      </c>
      <c r="E327" s="2">
        <v>50</v>
      </c>
      <c r="F327" s="2">
        <v>12</v>
      </c>
      <c r="G327" s="2">
        <v>0</v>
      </c>
      <c r="H327" s="2">
        <v>0</v>
      </c>
      <c r="I327" s="2">
        <v>300</v>
      </c>
      <c r="J327" s="2" t="s">
        <v>1671</v>
      </c>
      <c r="K327" s="2">
        <v>47</v>
      </c>
      <c r="L327" s="2">
        <v>20</v>
      </c>
      <c r="M327" s="2">
        <v>12</v>
      </c>
      <c r="N327" s="2">
        <v>0</v>
      </c>
      <c r="O327" s="2">
        <v>0</v>
      </c>
      <c r="P327" s="2">
        <v>15</v>
      </c>
      <c r="Q327" s="2" t="s">
        <v>243</v>
      </c>
      <c r="R327" s="2" t="s">
        <v>1201</v>
      </c>
      <c r="S327" s="4">
        <v>44837</v>
      </c>
    </row>
    <row r="328" spans="1:19" ht="12.5" x14ac:dyDescent="0.25">
      <c r="A328" s="14" t="str">
        <f>HYPERLINK("https://gerandofalcoes.my.salesforce.com/0014P00003SGWQCQA5", "0014P00003SGWQCQA5")</f>
        <v>0014P00003SGWQCQA5</v>
      </c>
      <c r="B328" s="2" t="s">
        <v>248</v>
      </c>
      <c r="C328" s="2" t="s">
        <v>423</v>
      </c>
      <c r="D328" s="2" t="s">
        <v>2</v>
      </c>
      <c r="E328" s="2">
        <v>47</v>
      </c>
      <c r="F328" s="2">
        <v>5</v>
      </c>
      <c r="G328" s="2">
        <v>3</v>
      </c>
      <c r="H328" s="2">
        <v>500000</v>
      </c>
      <c r="I328" s="2">
        <v>72</v>
      </c>
      <c r="J328" s="2" t="s">
        <v>1671</v>
      </c>
      <c r="K328" s="2">
        <v>53</v>
      </c>
      <c r="L328" s="2">
        <v>15</v>
      </c>
      <c r="M328" s="2">
        <v>5</v>
      </c>
      <c r="N328" s="2">
        <v>8</v>
      </c>
      <c r="O328" s="2">
        <v>20</v>
      </c>
      <c r="P328" s="2">
        <v>5</v>
      </c>
      <c r="Q328" s="2" t="s">
        <v>249</v>
      </c>
      <c r="R328" s="2" t="s">
        <v>2025</v>
      </c>
      <c r="S328" s="4">
        <v>44837</v>
      </c>
    </row>
    <row r="329" spans="1:19" ht="12.5" x14ac:dyDescent="0.25">
      <c r="A329" s="14" t="str">
        <f>HYPERLINK("https://gerandofalcoes.my.salesforce.com/0014P00003SGWQDQA5", "0014P00003SGWQDQA5")</f>
        <v>0014P00003SGWQDQA5</v>
      </c>
      <c r="B329" s="2" t="s">
        <v>1669</v>
      </c>
      <c r="C329" s="2" t="s">
        <v>423</v>
      </c>
      <c r="D329" s="2" t="s">
        <v>27</v>
      </c>
      <c r="E329" s="2">
        <v>91</v>
      </c>
      <c r="F329" s="2">
        <v>10</v>
      </c>
      <c r="G329" s="2">
        <v>3</v>
      </c>
      <c r="H329" s="2">
        <v>707090.8</v>
      </c>
      <c r="I329" s="2">
        <v>390</v>
      </c>
      <c r="J329" s="2" t="s">
        <v>1654</v>
      </c>
      <c r="K329" s="2">
        <v>83</v>
      </c>
      <c r="L329" s="2">
        <v>30</v>
      </c>
      <c r="M329" s="2">
        <v>10</v>
      </c>
      <c r="N329" s="2">
        <v>8</v>
      </c>
      <c r="O329" s="2">
        <v>20</v>
      </c>
      <c r="P329" s="2">
        <v>15</v>
      </c>
      <c r="Q329" s="2" t="s">
        <v>251</v>
      </c>
      <c r="R329" s="2" t="s">
        <v>251</v>
      </c>
      <c r="S329" s="4">
        <v>44837</v>
      </c>
    </row>
    <row r="330" spans="1:19" ht="12.5" x14ac:dyDescent="0.25">
      <c r="A330" s="14" t="str">
        <f>HYPERLINK("https://gerandofalcoes.my.salesforce.com/0014P00003SGWQFQA5", "0014P00003SGWQFQA5")</f>
        <v>0014P00003SGWQFQA5</v>
      </c>
      <c r="B330" s="2" t="s">
        <v>2856</v>
      </c>
      <c r="C330" s="2" t="s">
        <v>423</v>
      </c>
      <c r="D330" s="2" t="s">
        <v>2</v>
      </c>
      <c r="E330" s="2">
        <v>10</v>
      </c>
      <c r="F330" s="2">
        <v>2</v>
      </c>
      <c r="G330" s="2">
        <v>1</v>
      </c>
      <c r="H330" s="2">
        <v>8000</v>
      </c>
      <c r="I330" s="2">
        <v>210</v>
      </c>
      <c r="J330" s="2" t="s">
        <v>1779</v>
      </c>
      <c r="K330" s="2">
        <v>36</v>
      </c>
      <c r="L330" s="2">
        <v>10</v>
      </c>
      <c r="M330" s="2">
        <v>5</v>
      </c>
      <c r="N330" s="2">
        <v>4</v>
      </c>
      <c r="O330" s="2">
        <v>5</v>
      </c>
      <c r="P330" s="2">
        <v>12</v>
      </c>
      <c r="Q330" s="2" t="s">
        <v>256</v>
      </c>
      <c r="R330" s="2" t="s">
        <v>1221</v>
      </c>
      <c r="S330" s="4">
        <v>44837</v>
      </c>
    </row>
    <row r="331" spans="1:19" ht="12.5" x14ac:dyDescent="0.25">
      <c r="A331" s="14" t="str">
        <f>HYPERLINK("https://gerandofalcoes.my.salesforce.com/0014P00003SGWQGQA5", "0014P00003SGWQGQA5")</f>
        <v>0014P00003SGWQGQA5</v>
      </c>
      <c r="B331" s="2" t="s">
        <v>259</v>
      </c>
      <c r="C331" s="2" t="s">
        <v>423</v>
      </c>
      <c r="D331" s="2" t="s">
        <v>2</v>
      </c>
      <c r="E331" s="2">
        <v>11</v>
      </c>
      <c r="F331" s="2">
        <v>7</v>
      </c>
      <c r="G331" s="2">
        <v>1</v>
      </c>
      <c r="H331" s="2">
        <v>32000</v>
      </c>
      <c r="I331" s="2">
        <v>30</v>
      </c>
      <c r="J331" s="2" t="s">
        <v>1779</v>
      </c>
      <c r="K331" s="2">
        <v>39</v>
      </c>
      <c r="L331" s="2">
        <v>10</v>
      </c>
      <c r="M331" s="2">
        <v>10</v>
      </c>
      <c r="N331" s="2">
        <v>4</v>
      </c>
      <c r="O331" s="2">
        <v>10</v>
      </c>
      <c r="P331" s="2">
        <v>5</v>
      </c>
      <c r="Q331" s="2" t="s">
        <v>260</v>
      </c>
      <c r="R331" s="2" t="s">
        <v>1232</v>
      </c>
      <c r="S331" s="4">
        <v>44837</v>
      </c>
    </row>
    <row r="332" spans="1:19" ht="12.5" x14ac:dyDescent="0.25">
      <c r="A332" s="14" t="str">
        <f>HYPERLINK("https://gerandofalcoes.my.salesforce.com/0014P00003SGWQHQA5", "0014P00003SGWQHQA5")</f>
        <v>0014P00003SGWQHQA5</v>
      </c>
      <c r="B332" s="2" t="s">
        <v>265</v>
      </c>
      <c r="C332" s="2" t="s">
        <v>423</v>
      </c>
      <c r="D332" s="2" t="s">
        <v>2</v>
      </c>
      <c r="E332" s="2">
        <v>5</v>
      </c>
      <c r="F332" s="2">
        <v>0</v>
      </c>
      <c r="G332" s="2">
        <v>1</v>
      </c>
      <c r="H332" s="2">
        <v>13000</v>
      </c>
      <c r="I332" s="2">
        <v>100</v>
      </c>
      <c r="J332" s="2" t="s">
        <v>1779</v>
      </c>
      <c r="K332" s="2">
        <v>29</v>
      </c>
      <c r="L332" s="2">
        <v>10</v>
      </c>
      <c r="M332" s="2">
        <v>0</v>
      </c>
      <c r="N332" s="2">
        <v>4</v>
      </c>
      <c r="O332" s="2">
        <v>5</v>
      </c>
      <c r="P332" s="2">
        <v>10</v>
      </c>
      <c r="Q332" s="2" t="s">
        <v>266</v>
      </c>
      <c r="R332" s="2" t="s">
        <v>266</v>
      </c>
      <c r="S332" s="4">
        <v>44837</v>
      </c>
    </row>
    <row r="333" spans="1:19" ht="12.5" x14ac:dyDescent="0.25">
      <c r="A333" s="14" t="str">
        <f>HYPERLINK("https://gerandofalcoes.my.salesforce.com/0014P00003SGWQIQA5", "0014P00003SGWQIQA5")</f>
        <v>0014P00003SGWQIQA5</v>
      </c>
      <c r="B333" s="2" t="s">
        <v>2992</v>
      </c>
      <c r="C333" s="2" t="s">
        <v>1684</v>
      </c>
      <c r="D333" s="2" t="s">
        <v>2</v>
      </c>
      <c r="E333" s="2"/>
      <c r="F333" s="2">
        <v>0</v>
      </c>
      <c r="G333" s="2">
        <v>2</v>
      </c>
      <c r="H333" s="2">
        <v>20000</v>
      </c>
      <c r="I333" s="2">
        <v>0</v>
      </c>
      <c r="J333" s="2" t="s">
        <v>1779</v>
      </c>
      <c r="K333" s="2">
        <v>11</v>
      </c>
      <c r="L333" s="2">
        <v>0</v>
      </c>
      <c r="M333" s="2">
        <v>0</v>
      </c>
      <c r="N333" s="2">
        <v>6</v>
      </c>
      <c r="O333" s="2">
        <v>5</v>
      </c>
      <c r="P333" s="2">
        <v>0</v>
      </c>
      <c r="Q333" s="2" t="s">
        <v>2993</v>
      </c>
      <c r="R333" s="2" t="s">
        <v>2994</v>
      </c>
      <c r="S333" s="4">
        <v>44837</v>
      </c>
    </row>
    <row r="334" spans="1:19" ht="12.5" x14ac:dyDescent="0.25">
      <c r="A334" s="14" t="str">
        <f>HYPERLINK("https://gerandofalcoes.my.salesforce.com/0014P00003SGWQJQA5", "0014P00003SGWQJQA5")</f>
        <v>0014P00003SGWQJQA5</v>
      </c>
      <c r="B334" s="2" t="s">
        <v>2480</v>
      </c>
      <c r="C334" s="2" t="s">
        <v>423</v>
      </c>
      <c r="D334" s="2" t="s">
        <v>2</v>
      </c>
      <c r="E334" s="2">
        <v>22</v>
      </c>
      <c r="F334" s="2">
        <v>2</v>
      </c>
      <c r="G334" s="2">
        <v>2</v>
      </c>
      <c r="H334" s="2">
        <v>11000</v>
      </c>
      <c r="I334" s="2">
        <v>103</v>
      </c>
      <c r="J334" s="2" t="s">
        <v>1779</v>
      </c>
      <c r="K334" s="2">
        <v>36</v>
      </c>
      <c r="L334" s="2">
        <v>10</v>
      </c>
      <c r="M334" s="2">
        <v>5</v>
      </c>
      <c r="N334" s="2">
        <v>6</v>
      </c>
      <c r="O334" s="2">
        <v>5</v>
      </c>
      <c r="P334" s="2">
        <v>10</v>
      </c>
      <c r="Q334" s="2" t="s">
        <v>269</v>
      </c>
      <c r="R334" s="2" t="s">
        <v>1248</v>
      </c>
      <c r="S334" s="4">
        <v>44837</v>
      </c>
    </row>
    <row r="335" spans="1:19" ht="12.5" x14ac:dyDescent="0.25">
      <c r="A335" s="14" t="str">
        <f>HYPERLINK("https://gerandofalcoes.my.salesforce.com/0014P00003YSm8CQAT", "0014P00003YSm8CQAT")</f>
        <v>0014P00003YSm8CQAT</v>
      </c>
      <c r="B335" s="2" t="s">
        <v>272</v>
      </c>
      <c r="C335" s="2" t="s">
        <v>423</v>
      </c>
      <c r="D335" s="2" t="s">
        <v>2</v>
      </c>
      <c r="E335" s="2">
        <v>33</v>
      </c>
      <c r="F335" s="2">
        <v>8</v>
      </c>
      <c r="G335" s="2">
        <v>0</v>
      </c>
      <c r="H335" s="2">
        <v>0</v>
      </c>
      <c r="I335" s="2">
        <v>98</v>
      </c>
      <c r="J335" s="2" t="s">
        <v>1779</v>
      </c>
      <c r="K335" s="2">
        <v>35</v>
      </c>
      <c r="L335" s="2">
        <v>15</v>
      </c>
      <c r="M335" s="2">
        <v>10</v>
      </c>
      <c r="N335" s="2">
        <v>0</v>
      </c>
      <c r="O335" s="2">
        <v>0</v>
      </c>
      <c r="P335" s="2">
        <v>10</v>
      </c>
      <c r="Q335" s="2" t="s">
        <v>273</v>
      </c>
      <c r="R335" s="2" t="s">
        <v>1518</v>
      </c>
      <c r="S335" s="4">
        <v>44837</v>
      </c>
    </row>
    <row r="336" spans="1:19" ht="12.5" x14ac:dyDescent="0.25">
      <c r="A336" s="14" t="str">
        <f>HYPERLINK("https://gerandofalcoes.my.salesforce.com/0014P00003SGWPbQAP", "0014P00003SGWPbQAP")</f>
        <v>0014P00003SGWPbQAP</v>
      </c>
      <c r="B336" s="2" t="s">
        <v>276</v>
      </c>
      <c r="C336" s="2" t="s">
        <v>423</v>
      </c>
      <c r="D336" s="2" t="s">
        <v>2</v>
      </c>
      <c r="E336" s="2">
        <v>25</v>
      </c>
      <c r="F336" s="2">
        <v>21</v>
      </c>
      <c r="G336" s="2">
        <v>8</v>
      </c>
      <c r="H336" s="2">
        <v>140600000</v>
      </c>
      <c r="I336" s="2">
        <v>121</v>
      </c>
      <c r="J336" s="2" t="s">
        <v>1650</v>
      </c>
      <c r="K336" s="2">
        <v>72</v>
      </c>
      <c r="L336" s="2">
        <v>15</v>
      </c>
      <c r="M336" s="2">
        <v>12</v>
      </c>
      <c r="N336" s="2">
        <v>10</v>
      </c>
      <c r="O336" s="2">
        <v>25</v>
      </c>
      <c r="P336" s="2">
        <v>10</v>
      </c>
      <c r="Q336" s="2" t="s">
        <v>277</v>
      </c>
      <c r="R336" s="2" t="s">
        <v>1257</v>
      </c>
      <c r="S336" s="4">
        <v>44837</v>
      </c>
    </row>
    <row r="337" spans="1:19" ht="12.5" x14ac:dyDescent="0.25">
      <c r="A337" s="14" t="str">
        <f>HYPERLINK("https://gerandofalcoes.my.salesforce.com/0014P00003SGWPcQAP", "0014P00003SGWPcQAP")</f>
        <v>0014P00003SGWPcQAP</v>
      </c>
      <c r="B337" s="2" t="s">
        <v>2896</v>
      </c>
      <c r="C337" s="2" t="s">
        <v>423</v>
      </c>
      <c r="D337" s="2" t="s">
        <v>2</v>
      </c>
      <c r="E337" s="2">
        <v>25</v>
      </c>
      <c r="F337" s="2">
        <v>0</v>
      </c>
      <c r="G337" s="2">
        <v>0</v>
      </c>
      <c r="H337" s="2">
        <v>0</v>
      </c>
      <c r="I337" s="2">
        <v>-25</v>
      </c>
      <c r="J337" s="2" t="s">
        <v>1779</v>
      </c>
      <c r="K337" s="2">
        <v>15</v>
      </c>
      <c r="L337" s="2">
        <v>15</v>
      </c>
      <c r="M337" s="2">
        <v>0</v>
      </c>
      <c r="N337" s="2">
        <v>0</v>
      </c>
      <c r="O337" s="2">
        <v>0</v>
      </c>
      <c r="P337" s="2">
        <v>0</v>
      </c>
      <c r="Q337" s="2" t="s">
        <v>282</v>
      </c>
      <c r="R337" s="2" t="s">
        <v>2897</v>
      </c>
      <c r="S337" s="4">
        <v>44837</v>
      </c>
    </row>
    <row r="338" spans="1:19" ht="12.5" x14ac:dyDescent="0.25">
      <c r="A338" s="14" t="str">
        <f>HYPERLINK("https://gerandofalcoes.my.salesforce.com/0014P00003SGWPdQAP", "0014P00003SGWPdQAP")</f>
        <v>0014P00003SGWPdQAP</v>
      </c>
      <c r="B338" s="2" t="s">
        <v>2397</v>
      </c>
      <c r="C338" s="2" t="s">
        <v>423</v>
      </c>
      <c r="D338" s="2" t="s">
        <v>2</v>
      </c>
      <c r="E338" s="2">
        <v>25</v>
      </c>
      <c r="F338" s="2">
        <v>1</v>
      </c>
      <c r="G338" s="2">
        <v>5</v>
      </c>
      <c r="H338" s="2">
        <v>22850</v>
      </c>
      <c r="I338" s="2">
        <v>1500</v>
      </c>
      <c r="J338" s="2" t="s">
        <v>1671</v>
      </c>
      <c r="K338" s="2">
        <v>55</v>
      </c>
      <c r="L338" s="2">
        <v>15</v>
      </c>
      <c r="M338" s="2">
        <v>5</v>
      </c>
      <c r="N338" s="2">
        <v>10</v>
      </c>
      <c r="O338" s="2">
        <v>5</v>
      </c>
      <c r="P338" s="2">
        <v>20</v>
      </c>
      <c r="Q338" s="2" t="s">
        <v>283</v>
      </c>
      <c r="R338" s="2" t="s">
        <v>2398</v>
      </c>
      <c r="S338" s="4">
        <v>44837</v>
      </c>
    </row>
    <row r="339" spans="1:19" ht="12.5" x14ac:dyDescent="0.25">
      <c r="A339" s="14" t="str">
        <f>HYPERLINK("https://gerandofalcoes.my.salesforce.com/0014P00003SGWPeQAP", "0014P00003SGWPeQAP")</f>
        <v>0014P00003SGWPeQAP</v>
      </c>
      <c r="B339" s="2" t="s">
        <v>2720</v>
      </c>
      <c r="C339" s="2" t="s">
        <v>423</v>
      </c>
      <c r="D339" s="2" t="s">
        <v>2</v>
      </c>
      <c r="E339" s="2">
        <v>15</v>
      </c>
      <c r="F339" s="2">
        <v>0</v>
      </c>
      <c r="G339" s="2">
        <v>1</v>
      </c>
      <c r="H339" s="2">
        <v>12000</v>
      </c>
      <c r="I339" s="2">
        <v>70</v>
      </c>
      <c r="J339" s="2" t="s">
        <v>1779</v>
      </c>
      <c r="K339" s="2">
        <v>24</v>
      </c>
      <c r="L339" s="2">
        <v>10</v>
      </c>
      <c r="M339" s="2">
        <v>0</v>
      </c>
      <c r="N339" s="2">
        <v>4</v>
      </c>
      <c r="O339" s="2">
        <v>5</v>
      </c>
      <c r="P339" s="2">
        <v>5</v>
      </c>
      <c r="Q339" s="2" t="s">
        <v>291</v>
      </c>
      <c r="R339" s="2" t="s">
        <v>1288</v>
      </c>
      <c r="S339" s="4">
        <v>44837</v>
      </c>
    </row>
    <row r="340" spans="1:19" ht="12.5" x14ac:dyDescent="0.25">
      <c r="A340" s="14" t="str">
        <f>HYPERLINK("https://gerandofalcoes.my.salesforce.com/0014P00003SGWPfQAP", "0014P00003SGWPfQAP")</f>
        <v>0014P00003SGWPfQAP</v>
      </c>
      <c r="B340" s="2" t="s">
        <v>294</v>
      </c>
      <c r="C340" s="2" t="s">
        <v>1800</v>
      </c>
      <c r="D340" s="2" t="s">
        <v>2</v>
      </c>
      <c r="E340" s="2">
        <v>46</v>
      </c>
      <c r="F340" s="2">
        <v>0</v>
      </c>
      <c r="G340" s="2">
        <v>3</v>
      </c>
      <c r="H340" s="2">
        <v>6605</v>
      </c>
      <c r="I340" s="2">
        <v>100</v>
      </c>
      <c r="J340" s="2" t="s">
        <v>1779</v>
      </c>
      <c r="K340" s="2">
        <v>38</v>
      </c>
      <c r="L340" s="2">
        <v>15</v>
      </c>
      <c r="M340" s="2">
        <v>0</v>
      </c>
      <c r="N340" s="2">
        <v>8</v>
      </c>
      <c r="O340" s="2">
        <v>5</v>
      </c>
      <c r="P340" s="2">
        <v>10</v>
      </c>
      <c r="Q340" s="2" t="s">
        <v>295</v>
      </c>
      <c r="R340" s="2" t="s">
        <v>1298</v>
      </c>
      <c r="S340" s="4">
        <v>44837</v>
      </c>
    </row>
    <row r="341" spans="1:19" ht="12.5" x14ac:dyDescent="0.25">
      <c r="A341" s="14" t="str">
        <f>HYPERLINK("https://gerandofalcoes.my.salesforce.com/0014P00003SGWPgQAP", "0014P00003SGWPgQAP")</f>
        <v>0014P00003SGWPgQAP</v>
      </c>
      <c r="B341" s="2" t="s">
        <v>298</v>
      </c>
      <c r="C341" s="2" t="s">
        <v>1800</v>
      </c>
      <c r="D341" s="2" t="s">
        <v>2</v>
      </c>
      <c r="E341" s="2">
        <v>20</v>
      </c>
      <c r="F341" s="2">
        <v>4</v>
      </c>
      <c r="G341" s="2">
        <v>0</v>
      </c>
      <c r="H341" s="2">
        <v>11000</v>
      </c>
      <c r="I341" s="2">
        <v>20</v>
      </c>
      <c r="J341" s="2" t="s">
        <v>1779</v>
      </c>
      <c r="K341" s="2">
        <v>25</v>
      </c>
      <c r="L341" s="2">
        <v>10</v>
      </c>
      <c r="M341" s="2">
        <v>5</v>
      </c>
      <c r="N341" s="2">
        <v>0</v>
      </c>
      <c r="O341" s="2">
        <v>5</v>
      </c>
      <c r="P341" s="2">
        <v>5</v>
      </c>
      <c r="Q341" s="2" t="s">
        <v>299</v>
      </c>
      <c r="R341" s="2" t="s">
        <v>1310</v>
      </c>
      <c r="S341" s="4">
        <v>44837</v>
      </c>
    </row>
    <row r="342" spans="1:19" ht="12.5" x14ac:dyDescent="0.25">
      <c r="A342" s="14" t="str">
        <f>HYPERLINK("https://gerandofalcoes.my.salesforce.com/0014P00003SGWPhQAP", "0014P00003SGWPhQAP")</f>
        <v>0014P00003SGWPhQAP</v>
      </c>
      <c r="B342" s="2" t="s">
        <v>1693</v>
      </c>
      <c r="C342" s="2" t="s">
        <v>423</v>
      </c>
      <c r="D342" s="2" t="s">
        <v>27</v>
      </c>
      <c r="E342" s="2">
        <v>29</v>
      </c>
      <c r="F342" s="2">
        <v>14</v>
      </c>
      <c r="G342" s="2">
        <v>3</v>
      </c>
      <c r="H342" s="2">
        <v>173994</v>
      </c>
      <c r="I342" s="2">
        <v>310</v>
      </c>
      <c r="J342" s="2" t="s">
        <v>1650</v>
      </c>
      <c r="K342" s="2">
        <v>65</v>
      </c>
      <c r="L342" s="2">
        <v>15</v>
      </c>
      <c r="M342" s="2">
        <v>12</v>
      </c>
      <c r="N342" s="2">
        <v>8</v>
      </c>
      <c r="O342" s="2">
        <v>15</v>
      </c>
      <c r="P342" s="2">
        <v>15</v>
      </c>
      <c r="Q342" s="2" t="s">
        <v>286</v>
      </c>
      <c r="R342" s="2" t="s">
        <v>1321</v>
      </c>
      <c r="S342" s="4">
        <v>44837</v>
      </c>
    </row>
    <row r="343" spans="1:19" ht="12.5" x14ac:dyDescent="0.25">
      <c r="A343" s="14" t="str">
        <f>HYPERLINK("https://gerandofalcoes.my.salesforce.com/0014P00003SGWPlQAP", "0014P00003SGWPlQAP")</f>
        <v>0014P00003SGWPlQAP</v>
      </c>
      <c r="B343" s="2" t="s">
        <v>311</v>
      </c>
      <c r="C343" s="2" t="s">
        <v>423</v>
      </c>
      <c r="D343" s="2" t="s">
        <v>2</v>
      </c>
      <c r="E343" s="2">
        <v>30</v>
      </c>
      <c r="F343" s="2">
        <v>0</v>
      </c>
      <c r="G343" s="2">
        <v>2</v>
      </c>
      <c r="H343" s="2">
        <v>30000</v>
      </c>
      <c r="I343" s="2">
        <v>120</v>
      </c>
      <c r="J343" s="2" t="s">
        <v>1671</v>
      </c>
      <c r="K343" s="2">
        <v>41</v>
      </c>
      <c r="L343" s="2">
        <v>15</v>
      </c>
      <c r="M343" s="2">
        <v>0</v>
      </c>
      <c r="N343" s="2">
        <v>6</v>
      </c>
      <c r="O343" s="2">
        <v>10</v>
      </c>
      <c r="P343" s="2">
        <v>10</v>
      </c>
      <c r="Q343" s="2" t="s">
        <v>312</v>
      </c>
      <c r="R343" s="2" t="s">
        <v>312</v>
      </c>
      <c r="S343" s="4">
        <v>44837</v>
      </c>
    </row>
    <row r="344" spans="1:19" ht="12.5" x14ac:dyDescent="0.25">
      <c r="A344" s="14" t="str">
        <f>HYPERLINK("https://gerandofalcoes.my.salesforce.com/0014P00003SGWPmQAP", "0014P00003SGWPmQAP")</f>
        <v>0014P00003SGWPmQAP</v>
      </c>
      <c r="B344" s="2" t="s">
        <v>315</v>
      </c>
      <c r="C344" s="2" t="s">
        <v>423</v>
      </c>
      <c r="D344" s="2" t="s">
        <v>2</v>
      </c>
      <c r="E344" s="2">
        <v>49</v>
      </c>
      <c r="F344" s="2">
        <v>2</v>
      </c>
      <c r="G344" s="2">
        <v>4</v>
      </c>
      <c r="H344" s="2">
        <v>75550</v>
      </c>
      <c r="I344" s="2">
        <v>239</v>
      </c>
      <c r="J344" s="2" t="s">
        <v>1779</v>
      </c>
      <c r="K344" s="2">
        <v>37</v>
      </c>
      <c r="L344" s="2">
        <v>0</v>
      </c>
      <c r="M344" s="2">
        <v>5</v>
      </c>
      <c r="N344" s="2">
        <v>10</v>
      </c>
      <c r="O344" s="2">
        <v>10</v>
      </c>
      <c r="P344" s="2">
        <v>12</v>
      </c>
      <c r="Q344" s="2" t="s">
        <v>316</v>
      </c>
      <c r="R344" s="2" t="s">
        <v>1370</v>
      </c>
      <c r="S344" s="4">
        <v>44837</v>
      </c>
    </row>
    <row r="345" spans="1:19" ht="12.5" x14ac:dyDescent="0.25">
      <c r="A345" s="14" t="str">
        <f>HYPERLINK("https://gerandofalcoes.my.salesforce.com/0014P00003SGWPnQAP", "0014P00003SGWPnQAP")</f>
        <v>0014P00003SGWPnQAP</v>
      </c>
      <c r="B345" s="2" t="s">
        <v>1745</v>
      </c>
      <c r="C345" s="2" t="s">
        <v>423</v>
      </c>
      <c r="D345" s="2" t="s">
        <v>2</v>
      </c>
      <c r="E345" s="2">
        <v>64</v>
      </c>
      <c r="F345" s="2">
        <v>20</v>
      </c>
      <c r="G345" s="2">
        <v>1</v>
      </c>
      <c r="H345" s="2">
        <v>1266000</v>
      </c>
      <c r="I345" s="2">
        <v>250</v>
      </c>
      <c r="J345" s="2" t="s">
        <v>1650</v>
      </c>
      <c r="K345" s="2">
        <v>73</v>
      </c>
      <c r="L345" s="2">
        <v>20</v>
      </c>
      <c r="M345" s="2">
        <v>12</v>
      </c>
      <c r="N345" s="2">
        <v>4</v>
      </c>
      <c r="O345" s="2">
        <v>25</v>
      </c>
      <c r="P345" s="2">
        <v>12</v>
      </c>
      <c r="Q345" s="2" t="s">
        <v>319</v>
      </c>
      <c r="R345" s="2" t="s">
        <v>1379</v>
      </c>
      <c r="S345" s="4">
        <v>44837</v>
      </c>
    </row>
    <row r="346" spans="1:19" ht="12.5" x14ac:dyDescent="0.25">
      <c r="A346" s="14" t="str">
        <f>HYPERLINK("https://gerandofalcoes.my.salesforce.com/0014P00003SGWPoQAP", "0014P00003SGWPoQAP")</f>
        <v>0014P00003SGWPoQAP</v>
      </c>
      <c r="B346" s="2" t="s">
        <v>1705</v>
      </c>
      <c r="C346" s="2" t="s">
        <v>423</v>
      </c>
      <c r="D346" s="2" t="s">
        <v>27</v>
      </c>
      <c r="E346" s="2">
        <v>39</v>
      </c>
      <c r="F346" s="2">
        <v>0</v>
      </c>
      <c r="G346" s="2">
        <v>2</v>
      </c>
      <c r="H346" s="2">
        <v>1000</v>
      </c>
      <c r="I346" s="2">
        <v>120</v>
      </c>
      <c r="J346" s="2" t="s">
        <v>1779</v>
      </c>
      <c r="K346" s="2">
        <v>36</v>
      </c>
      <c r="L346" s="2">
        <v>15</v>
      </c>
      <c r="M346" s="2">
        <v>0</v>
      </c>
      <c r="N346" s="2">
        <v>6</v>
      </c>
      <c r="O346" s="2">
        <v>5</v>
      </c>
      <c r="P346" s="2">
        <v>10</v>
      </c>
      <c r="Q346" s="2" t="s">
        <v>321</v>
      </c>
      <c r="R346" s="2" t="s">
        <v>1706</v>
      </c>
      <c r="S346" s="4">
        <v>44837</v>
      </c>
    </row>
    <row r="347" spans="1:19" ht="12.5" x14ac:dyDescent="0.25">
      <c r="A347" s="14" t="str">
        <f>HYPERLINK("https://gerandofalcoes.my.salesforce.com/0014P00003SGWPpQAP", "0014P00003SGWPpQAP")</f>
        <v>0014P00003SGWPpQAP</v>
      </c>
      <c r="B347" s="2" t="s">
        <v>1694</v>
      </c>
      <c r="C347" s="2" t="s">
        <v>423</v>
      </c>
      <c r="D347" s="2" t="s">
        <v>27</v>
      </c>
      <c r="E347" s="2">
        <v>33</v>
      </c>
      <c r="F347" s="2">
        <v>1</v>
      </c>
      <c r="G347" s="2">
        <v>5</v>
      </c>
      <c r="H347" s="2">
        <v>36000</v>
      </c>
      <c r="I347" s="2">
        <v>80</v>
      </c>
      <c r="J347" s="2" t="s">
        <v>1671</v>
      </c>
      <c r="K347" s="2">
        <v>50</v>
      </c>
      <c r="L347" s="2">
        <v>15</v>
      </c>
      <c r="M347" s="2">
        <v>5</v>
      </c>
      <c r="N347" s="2">
        <v>10</v>
      </c>
      <c r="O347" s="2">
        <v>10</v>
      </c>
      <c r="P347" s="2">
        <v>10</v>
      </c>
      <c r="Q347" s="2" t="s">
        <v>323</v>
      </c>
      <c r="R347" s="2" t="s">
        <v>1402</v>
      </c>
      <c r="S347" s="4">
        <v>44837</v>
      </c>
    </row>
    <row r="348" spans="1:19" ht="12.5" x14ac:dyDescent="0.25">
      <c r="A348" s="14" t="str">
        <f>HYPERLINK("https://gerandofalcoes.my.salesforce.com/0014X00002VKCuvQAH", "0014X00002VKCuvQAH")</f>
        <v>0014X00002VKCuvQAH</v>
      </c>
      <c r="B348" s="2" t="s">
        <v>1924</v>
      </c>
      <c r="C348" s="2" t="s">
        <v>423</v>
      </c>
      <c r="D348" s="2" t="s">
        <v>2</v>
      </c>
      <c r="E348" s="2">
        <v>42</v>
      </c>
      <c r="F348" s="2">
        <v>44</v>
      </c>
      <c r="G348" s="2">
        <v>6</v>
      </c>
      <c r="H348" s="2">
        <v>900000</v>
      </c>
      <c r="I348" s="2">
        <v>380</v>
      </c>
      <c r="J348" s="2" t="s">
        <v>1654</v>
      </c>
      <c r="K348" s="2">
        <v>80</v>
      </c>
      <c r="L348" s="2">
        <v>15</v>
      </c>
      <c r="M348" s="2">
        <v>15</v>
      </c>
      <c r="N348" s="2">
        <v>10</v>
      </c>
      <c r="O348" s="2">
        <v>25</v>
      </c>
      <c r="P348" s="2">
        <v>15</v>
      </c>
      <c r="Q348" s="2" t="s">
        <v>1925</v>
      </c>
      <c r="R348" s="2" t="s">
        <v>1926</v>
      </c>
      <c r="S348" s="4">
        <v>44837</v>
      </c>
    </row>
    <row r="349" spans="1:19" ht="12.5" x14ac:dyDescent="0.25">
      <c r="A349" s="14" t="str">
        <f>HYPERLINK("https://gerandofalcoes.my.salesforce.com/0014X00002Yggh0QAB", "0014X00002Yggh0QAB")</f>
        <v>0014X00002Yggh0QAB</v>
      </c>
      <c r="B349" s="2" t="s">
        <v>3220</v>
      </c>
      <c r="C349" s="2" t="s">
        <v>423</v>
      </c>
      <c r="D349" s="2" t="s">
        <v>2</v>
      </c>
      <c r="E349" s="2"/>
      <c r="F349" s="2">
        <v>10</v>
      </c>
      <c r="G349" s="2">
        <v>2</v>
      </c>
      <c r="H349" s="2">
        <v>10000</v>
      </c>
      <c r="I349" s="2">
        <v>65</v>
      </c>
      <c r="J349" s="2"/>
      <c r="K349" s="2">
        <v>26</v>
      </c>
      <c r="L349" s="2">
        <v>0</v>
      </c>
      <c r="M349" s="2">
        <v>10</v>
      </c>
      <c r="N349" s="2">
        <v>6</v>
      </c>
      <c r="O349" s="2">
        <v>5</v>
      </c>
      <c r="P349" s="2">
        <v>5</v>
      </c>
      <c r="Q349" s="2" t="s">
        <v>3221</v>
      </c>
      <c r="R349" s="2" t="s">
        <v>3221</v>
      </c>
      <c r="S349" s="4">
        <v>44951</v>
      </c>
    </row>
    <row r="350" spans="1:19" ht="12.5" x14ac:dyDescent="0.25">
      <c r="A350" s="14" t="str">
        <f>HYPERLINK("https://gerandofalcoes.my.salesforce.com/0014X00002YggiUQAR", "0014X00002YggiUQAR")</f>
        <v>0014X00002YggiUQAR</v>
      </c>
      <c r="B350" s="2" t="s">
        <v>3230</v>
      </c>
      <c r="C350" s="2" t="s">
        <v>423</v>
      </c>
      <c r="D350" s="2" t="s">
        <v>2</v>
      </c>
      <c r="E350" s="2"/>
      <c r="F350" s="2">
        <v>0</v>
      </c>
      <c r="G350" s="2">
        <v>3</v>
      </c>
      <c r="H350" s="2">
        <v>15000</v>
      </c>
      <c r="I350" s="2">
        <v>0</v>
      </c>
      <c r="J350" s="2"/>
      <c r="K350" s="2">
        <v>13</v>
      </c>
      <c r="L350" s="2">
        <v>0</v>
      </c>
      <c r="M350" s="2">
        <v>0</v>
      </c>
      <c r="N350" s="2">
        <v>8</v>
      </c>
      <c r="O350" s="2">
        <v>5</v>
      </c>
      <c r="P350" s="2">
        <v>0</v>
      </c>
      <c r="Q350" s="2" t="s">
        <v>3231</v>
      </c>
      <c r="R350" s="2" t="s">
        <v>3231</v>
      </c>
      <c r="S350" s="4">
        <v>44951</v>
      </c>
    </row>
    <row r="351" spans="1:19" ht="12.5" x14ac:dyDescent="0.25">
      <c r="A351" s="14" t="str">
        <f>HYPERLINK("https://gerandofalcoes.my.salesforce.com/0014X00002Yggi6QAB", "0014X00002Yggi6QAB")</f>
        <v>0014X00002Yggi6QAB</v>
      </c>
      <c r="B351" s="2" t="s">
        <v>3185</v>
      </c>
      <c r="C351" s="2" t="s">
        <v>423</v>
      </c>
      <c r="D351" s="2" t="s">
        <v>2</v>
      </c>
      <c r="E351" s="2"/>
      <c r="F351" s="2">
        <v>0</v>
      </c>
      <c r="G351" s="2">
        <v>2</v>
      </c>
      <c r="H351" s="2">
        <v>5000</v>
      </c>
      <c r="I351" s="2">
        <v>10</v>
      </c>
      <c r="J351" s="2"/>
      <c r="K351" s="2">
        <v>16</v>
      </c>
      <c r="L351" s="2">
        <v>0</v>
      </c>
      <c r="M351" s="2">
        <v>0</v>
      </c>
      <c r="N351" s="2">
        <v>6</v>
      </c>
      <c r="O351" s="2">
        <v>5</v>
      </c>
      <c r="P351" s="2">
        <v>5</v>
      </c>
      <c r="Q351" s="2" t="s">
        <v>3186</v>
      </c>
      <c r="R351" s="2" t="s">
        <v>3187</v>
      </c>
      <c r="S351" s="4">
        <v>44951</v>
      </c>
    </row>
    <row r="352" spans="1:19" ht="12.5" x14ac:dyDescent="0.25">
      <c r="A352" s="14" t="str">
        <f>HYPERLINK("https://gerandofalcoes.my.salesforce.com/0014X00002YggjOQAR", "0014X00002YggjOQAR")</f>
        <v>0014X00002YggjOQAR</v>
      </c>
      <c r="B352" s="2" t="s">
        <v>2649</v>
      </c>
      <c r="C352" s="2" t="s">
        <v>423</v>
      </c>
      <c r="D352" s="2" t="s">
        <v>2</v>
      </c>
      <c r="E352" s="2"/>
      <c r="F352" s="2">
        <v>0</v>
      </c>
      <c r="G352" s="2">
        <v>6</v>
      </c>
      <c r="H352" s="2">
        <v>0</v>
      </c>
      <c r="I352" s="2">
        <v>0</v>
      </c>
      <c r="J352" s="2"/>
      <c r="K352" s="2">
        <v>10</v>
      </c>
      <c r="L352" s="2">
        <v>0</v>
      </c>
      <c r="M352" s="2">
        <v>0</v>
      </c>
      <c r="N352" s="2">
        <v>10</v>
      </c>
      <c r="O352" s="2">
        <v>0</v>
      </c>
      <c r="P352" s="2">
        <v>0</v>
      </c>
      <c r="Q352" s="2" t="s">
        <v>3194</v>
      </c>
      <c r="R352" s="2" t="s">
        <v>3194</v>
      </c>
      <c r="S352" s="4">
        <v>44951</v>
      </c>
    </row>
    <row r="353" spans="1:19" ht="12.5" x14ac:dyDescent="0.25">
      <c r="A353" s="14" t="str">
        <f>HYPERLINK("https://gerandofalcoes.my.salesforce.com/0014X00002YggpNQAR", "0014X00002YggpNQAR")</f>
        <v>0014X00002YggpNQAR</v>
      </c>
      <c r="B353" s="2" t="s">
        <v>3191</v>
      </c>
      <c r="C353" s="2" t="s">
        <v>423</v>
      </c>
      <c r="D353" s="2" t="s">
        <v>2</v>
      </c>
      <c r="E353" s="2"/>
      <c r="F353" s="2">
        <v>0</v>
      </c>
      <c r="G353" s="2">
        <v>2</v>
      </c>
      <c r="H353" s="2">
        <v>3500</v>
      </c>
      <c r="I353" s="2">
        <v>25</v>
      </c>
      <c r="J353" s="2"/>
      <c r="K353" s="2">
        <v>16</v>
      </c>
      <c r="L353" s="2">
        <v>0</v>
      </c>
      <c r="M353" s="2">
        <v>0</v>
      </c>
      <c r="N353" s="2">
        <v>6</v>
      </c>
      <c r="O353" s="2">
        <v>5</v>
      </c>
      <c r="P353" s="2">
        <v>5</v>
      </c>
      <c r="Q353" s="2" t="s">
        <v>3192</v>
      </c>
      <c r="R353" s="2" t="s">
        <v>3193</v>
      </c>
      <c r="S353" s="4">
        <v>44951</v>
      </c>
    </row>
    <row r="354" spans="1:19" ht="12.5" x14ac:dyDescent="0.25">
      <c r="A354" s="14" t="str">
        <f>HYPERLINK("https://gerandofalcoes.my.salesforce.com/0014X00002YgghvQAB", "0014X00002YgghvQAB")</f>
        <v>0014X00002YgghvQAB</v>
      </c>
      <c r="B354" s="2" t="s">
        <v>3179</v>
      </c>
      <c r="C354" s="2" t="s">
        <v>423</v>
      </c>
      <c r="D354" s="2" t="s">
        <v>2</v>
      </c>
      <c r="E354" s="2"/>
      <c r="F354" s="2">
        <v>18</v>
      </c>
      <c r="G354" s="2">
        <v>3</v>
      </c>
      <c r="H354" s="2">
        <v>100000</v>
      </c>
      <c r="I354" s="2">
        <v>850</v>
      </c>
      <c r="J354" s="2"/>
      <c r="K354" s="2">
        <v>55</v>
      </c>
      <c r="L354" s="2">
        <v>0</v>
      </c>
      <c r="M354" s="2">
        <v>12</v>
      </c>
      <c r="N354" s="2">
        <v>8</v>
      </c>
      <c r="O354" s="2">
        <v>15</v>
      </c>
      <c r="P354" s="2">
        <v>20</v>
      </c>
      <c r="Q354" s="2" t="s">
        <v>3180</v>
      </c>
      <c r="R354" s="2" t="s">
        <v>3181</v>
      </c>
      <c r="S354" s="4">
        <v>44951</v>
      </c>
    </row>
    <row r="355" spans="1:19" ht="12.5" x14ac:dyDescent="0.25">
      <c r="A355" s="14" t="str">
        <f>HYPERLINK("https://gerandofalcoes.my.salesforce.com/0014X00002YgglNQAR", "0014X00002YgglNQAR")</f>
        <v>0014X00002YgglNQAR</v>
      </c>
      <c r="B355" s="2" t="s">
        <v>3225</v>
      </c>
      <c r="C355" s="2" t="s">
        <v>423</v>
      </c>
      <c r="D355" s="2" t="s">
        <v>2</v>
      </c>
      <c r="E355" s="2"/>
      <c r="F355" s="2">
        <v>0</v>
      </c>
      <c r="G355" s="2">
        <v>2</v>
      </c>
      <c r="H355" s="2">
        <v>8000</v>
      </c>
      <c r="I355" s="2">
        <v>30</v>
      </c>
      <c r="J355" s="2"/>
      <c r="K355" s="2">
        <v>16</v>
      </c>
      <c r="L355" s="2">
        <v>0</v>
      </c>
      <c r="M355" s="2">
        <v>0</v>
      </c>
      <c r="N355" s="2">
        <v>6</v>
      </c>
      <c r="O355" s="2">
        <v>5</v>
      </c>
      <c r="P355" s="2">
        <v>5</v>
      </c>
      <c r="Q355" s="2" t="s">
        <v>3227</v>
      </c>
      <c r="R355" s="2" t="s">
        <v>3227</v>
      </c>
      <c r="S355" s="4">
        <v>44951</v>
      </c>
    </row>
    <row r="356" spans="1:19" ht="12.5" x14ac:dyDescent="0.25">
      <c r="A356" s="14" t="str">
        <f>HYPERLINK("https://gerandofalcoes.my.salesforce.com/0014X00002YggpRQAR", "0014X00002YggpRQAR")</f>
        <v>0014X00002YggpRQAR</v>
      </c>
      <c r="B356" s="2" t="s">
        <v>3294</v>
      </c>
      <c r="C356" s="2" t="s">
        <v>423</v>
      </c>
      <c r="D356" s="2" t="s">
        <v>2</v>
      </c>
      <c r="E356" s="2"/>
      <c r="F356" s="2">
        <v>1</v>
      </c>
      <c r="G356" s="2">
        <v>3</v>
      </c>
      <c r="H356" s="2">
        <v>200000</v>
      </c>
      <c r="I356" s="2">
        <v>0</v>
      </c>
      <c r="J356" s="2"/>
      <c r="K356" s="2">
        <v>28</v>
      </c>
      <c r="L356" s="2">
        <v>0</v>
      </c>
      <c r="M356" s="2">
        <v>5</v>
      </c>
      <c r="N356" s="2">
        <v>8</v>
      </c>
      <c r="O356" s="2">
        <v>15</v>
      </c>
      <c r="P356" s="2">
        <v>0</v>
      </c>
      <c r="Q356" s="2" t="s">
        <v>3295</v>
      </c>
      <c r="R356" s="2" t="s">
        <v>3295</v>
      </c>
      <c r="S356" s="4">
        <v>44952</v>
      </c>
    </row>
    <row r="357" spans="1:19" ht="12.5" x14ac:dyDescent="0.25">
      <c r="A357" s="14" t="str">
        <f>HYPERLINK("https://gerandofalcoes.my.salesforce.com/0014X00002Yggp7QAB", "0014X00002Yggp7QAB")</f>
        <v>0014X00002Yggp7QAB</v>
      </c>
      <c r="B357" s="2" t="s">
        <v>3250</v>
      </c>
      <c r="C357" s="2" t="s">
        <v>423</v>
      </c>
      <c r="D357" s="2" t="s">
        <v>2</v>
      </c>
      <c r="E357" s="2"/>
      <c r="F357" s="2">
        <v>0</v>
      </c>
      <c r="G357" s="2">
        <v>3</v>
      </c>
      <c r="H357" s="2">
        <v>45500</v>
      </c>
      <c r="I357" s="2">
        <v>500</v>
      </c>
      <c r="J357" s="2"/>
      <c r="K357" s="2">
        <v>38</v>
      </c>
      <c r="L357" s="2">
        <v>0</v>
      </c>
      <c r="M357" s="2">
        <v>0</v>
      </c>
      <c r="N357" s="2">
        <v>8</v>
      </c>
      <c r="O357" s="2">
        <v>10</v>
      </c>
      <c r="P357" s="2">
        <v>20</v>
      </c>
      <c r="Q357" s="2" t="s">
        <v>3251</v>
      </c>
      <c r="R357" s="2" t="s">
        <v>3252</v>
      </c>
      <c r="S357" s="4">
        <v>44952</v>
      </c>
    </row>
    <row r="358" spans="1:19" ht="12.5" x14ac:dyDescent="0.25">
      <c r="A358" s="14" t="str">
        <f>HYPERLINK("https://gerandofalcoes.my.salesforce.com/0014X00002YggpsQAB", "0014X00002YggpsQAB")</f>
        <v>0014X00002YggpsQAB</v>
      </c>
      <c r="B358" s="2" t="s">
        <v>3291</v>
      </c>
      <c r="C358" s="2" t="s">
        <v>423</v>
      </c>
      <c r="D358" s="2" t="s">
        <v>2</v>
      </c>
      <c r="E358" s="2"/>
      <c r="F358" s="2">
        <v>3</v>
      </c>
      <c r="G358" s="2">
        <v>2</v>
      </c>
      <c r="H358" s="2">
        <v>1000</v>
      </c>
      <c r="I358" s="2">
        <v>1</v>
      </c>
      <c r="J358" s="2"/>
      <c r="K358" s="2">
        <v>21</v>
      </c>
      <c r="L358" s="2">
        <v>0</v>
      </c>
      <c r="M358" s="2">
        <v>5</v>
      </c>
      <c r="N358" s="2">
        <v>6</v>
      </c>
      <c r="O358" s="2">
        <v>5</v>
      </c>
      <c r="P358" s="2">
        <v>5</v>
      </c>
      <c r="Q358" s="2" t="s">
        <v>3292</v>
      </c>
      <c r="R358" s="2" t="s">
        <v>3293</v>
      </c>
      <c r="S358" s="4">
        <v>44952</v>
      </c>
    </row>
    <row r="359" spans="1:19" ht="12.5" x14ac:dyDescent="0.25">
      <c r="A359" s="14" t="str">
        <f>HYPERLINK("https://gerandofalcoes.my.salesforce.com/0014X00002YggoSQAR", "0014X00002YggoSQAR")</f>
        <v>0014X00002YggoSQAR</v>
      </c>
      <c r="B359" s="2" t="s">
        <v>3238</v>
      </c>
      <c r="C359" s="2" t="s">
        <v>423</v>
      </c>
      <c r="D359" s="2" t="s">
        <v>2</v>
      </c>
      <c r="E359" s="2"/>
      <c r="F359" s="2">
        <v>15</v>
      </c>
      <c r="G359" s="2">
        <v>7</v>
      </c>
      <c r="H359" s="2">
        <v>3101114</v>
      </c>
      <c r="I359" s="2">
        <v>145</v>
      </c>
      <c r="J359" s="2"/>
      <c r="K359" s="2">
        <v>57</v>
      </c>
      <c r="L359" s="2">
        <v>0</v>
      </c>
      <c r="M359" s="2">
        <v>12</v>
      </c>
      <c r="N359" s="2">
        <v>10</v>
      </c>
      <c r="O359" s="2">
        <v>25</v>
      </c>
      <c r="P359" s="2">
        <v>10</v>
      </c>
      <c r="Q359" s="2" t="s">
        <v>3239</v>
      </c>
      <c r="R359" s="2" t="s">
        <v>3240</v>
      </c>
      <c r="S359" s="4">
        <v>44952</v>
      </c>
    </row>
    <row r="360" spans="1:19" ht="12.5" x14ac:dyDescent="0.25">
      <c r="A360" s="14" t="str">
        <f>HYPERLINK("https://gerandofalcoes.my.salesforce.com/0014X00002YgggrQAB", "0014X00002YgggrQAB")</f>
        <v>0014X00002YgggrQAB</v>
      </c>
      <c r="B360" s="2" t="s">
        <v>3232</v>
      </c>
      <c r="C360" s="2" t="s">
        <v>423</v>
      </c>
      <c r="D360" s="2" t="s">
        <v>2</v>
      </c>
      <c r="E360" s="2"/>
      <c r="F360" s="2">
        <v>0</v>
      </c>
      <c r="G360" s="2">
        <v>6</v>
      </c>
      <c r="H360" s="2">
        <v>50000</v>
      </c>
      <c r="I360" s="2">
        <v>84</v>
      </c>
      <c r="J360" s="2"/>
      <c r="K360" s="2">
        <v>30</v>
      </c>
      <c r="L360" s="2">
        <v>0</v>
      </c>
      <c r="M360" s="2">
        <v>0</v>
      </c>
      <c r="N360" s="2">
        <v>10</v>
      </c>
      <c r="O360" s="2">
        <v>10</v>
      </c>
      <c r="P360" s="2">
        <v>10</v>
      </c>
      <c r="Q360" s="2" t="s">
        <v>3233</v>
      </c>
      <c r="R360" s="2" t="s">
        <v>3234</v>
      </c>
      <c r="S360" s="4">
        <v>44952</v>
      </c>
    </row>
    <row r="361" spans="1:19" ht="12.5" x14ac:dyDescent="0.25">
      <c r="A361" s="14" t="str">
        <f>HYPERLINK("https://gerandofalcoes.my.salesforce.com/0014X00002bCkJzQAK", "0014X00002bCkJzQAK")</f>
        <v>0014X00002bCkJzQAK</v>
      </c>
      <c r="B361" s="2" t="s">
        <v>3296</v>
      </c>
      <c r="C361" s="2" t="s">
        <v>423</v>
      </c>
      <c r="D361" s="2" t="s">
        <v>2</v>
      </c>
      <c r="E361" s="2"/>
      <c r="F361" s="2">
        <v>25</v>
      </c>
      <c r="G361" s="2">
        <v>2</v>
      </c>
      <c r="H361" s="2">
        <v>1000000</v>
      </c>
      <c r="I361" s="2">
        <v>0</v>
      </c>
      <c r="J361" s="2"/>
      <c r="K361" s="2">
        <v>43</v>
      </c>
      <c r="L361" s="2">
        <v>0</v>
      </c>
      <c r="M361" s="2">
        <v>12</v>
      </c>
      <c r="N361" s="2">
        <v>6</v>
      </c>
      <c r="O361" s="2">
        <v>25</v>
      </c>
      <c r="P361" s="2">
        <v>0</v>
      </c>
      <c r="Q361" s="2" t="s">
        <v>3297</v>
      </c>
      <c r="R361" s="2" t="s">
        <v>3298</v>
      </c>
      <c r="S361" s="4">
        <v>44952</v>
      </c>
    </row>
    <row r="362" spans="1:19" ht="12.5" x14ac:dyDescent="0.25">
      <c r="A362" s="14" t="str">
        <f>HYPERLINK("https://gerandofalcoes.my.salesforce.com/0014X00002YggmaQAB", "0014X00002YggmaQAB")</f>
        <v>0014X00002YggmaQAB</v>
      </c>
      <c r="B362" s="2" t="s">
        <v>3379</v>
      </c>
      <c r="C362" s="2" t="s">
        <v>423</v>
      </c>
      <c r="D362" s="2" t="s">
        <v>2</v>
      </c>
      <c r="E362" s="2"/>
      <c r="F362" s="2">
        <v>0</v>
      </c>
      <c r="G362" s="2">
        <v>2</v>
      </c>
      <c r="H362" s="2">
        <v>1000</v>
      </c>
      <c r="I362" s="2">
        <v>0</v>
      </c>
      <c r="J362" s="2"/>
      <c r="K362" s="2">
        <v>11</v>
      </c>
      <c r="L362" s="2">
        <v>0</v>
      </c>
      <c r="M362" s="2">
        <v>0</v>
      </c>
      <c r="N362" s="2">
        <v>6</v>
      </c>
      <c r="O362" s="2">
        <v>5</v>
      </c>
      <c r="P362" s="2">
        <v>0</v>
      </c>
      <c r="Q362" s="2" t="s">
        <v>3380</v>
      </c>
      <c r="R362" s="2" t="s">
        <v>3380</v>
      </c>
      <c r="S362" s="4">
        <v>44953</v>
      </c>
    </row>
    <row r="363" spans="1:19" ht="12.5" x14ac:dyDescent="0.25">
      <c r="A363" s="14" t="str">
        <f>HYPERLINK("https://gerandofalcoes.my.salesforce.com/0014X00002YggqxQAB", "0014X00002YggqxQAB")</f>
        <v>0014X00002YggqxQAB</v>
      </c>
      <c r="B363" s="2" t="s">
        <v>3375</v>
      </c>
      <c r="C363" s="2" t="s">
        <v>423</v>
      </c>
      <c r="D363" s="2" t="s">
        <v>2</v>
      </c>
      <c r="E363" s="2"/>
      <c r="F363" s="2">
        <v>3</v>
      </c>
      <c r="G363" s="2">
        <v>3</v>
      </c>
      <c r="H363" s="2">
        <v>1000</v>
      </c>
      <c r="I363" s="2">
        <v>6</v>
      </c>
      <c r="J363" s="2"/>
      <c r="K363" s="2">
        <v>23</v>
      </c>
      <c r="L363" s="2">
        <v>0</v>
      </c>
      <c r="M363" s="2">
        <v>5</v>
      </c>
      <c r="N363" s="2">
        <v>8</v>
      </c>
      <c r="O363" s="2">
        <v>5</v>
      </c>
      <c r="P363" s="2">
        <v>5</v>
      </c>
      <c r="Q363" s="2" t="s">
        <v>3376</v>
      </c>
      <c r="R363" s="2" t="s">
        <v>3376</v>
      </c>
      <c r="S363" s="4">
        <v>44953</v>
      </c>
    </row>
    <row r="364" spans="1:19" ht="12.5" x14ac:dyDescent="0.25">
      <c r="A364" s="14" t="str">
        <f>HYPERLINK("https://gerandofalcoes.my.salesforce.com/0014X00002YggnBQAR", "0014X00002YggnBQAR")</f>
        <v>0014X00002YggnBQAR</v>
      </c>
      <c r="B364" s="2" t="s">
        <v>3349</v>
      </c>
      <c r="C364" s="2" t="s">
        <v>423</v>
      </c>
      <c r="D364" s="2" t="s">
        <v>2</v>
      </c>
      <c r="E364" s="2"/>
      <c r="F364" s="2">
        <v>0</v>
      </c>
      <c r="G364" s="2">
        <v>3</v>
      </c>
      <c r="H364" s="2">
        <v>1000</v>
      </c>
      <c r="I364" s="2">
        <v>120</v>
      </c>
      <c r="J364" s="2"/>
      <c r="K364" s="2">
        <v>23</v>
      </c>
      <c r="L364" s="2">
        <v>0</v>
      </c>
      <c r="M364" s="2">
        <v>0</v>
      </c>
      <c r="N364" s="2">
        <v>8</v>
      </c>
      <c r="O364" s="2">
        <v>5</v>
      </c>
      <c r="P364" s="2">
        <v>10</v>
      </c>
      <c r="Q364" s="2" t="s">
        <v>3350</v>
      </c>
      <c r="R364" s="2" t="s">
        <v>3351</v>
      </c>
      <c r="S364" s="4">
        <v>44953</v>
      </c>
    </row>
    <row r="365" spans="1:19" ht="12.5" x14ac:dyDescent="0.25">
      <c r="A365" s="14" t="str">
        <f>HYPERLINK("https://gerandofalcoes.my.salesforce.com/0014X00002YggqDQAR", "0014X00002YggqDQAR")</f>
        <v>0014X00002YggqDQAR</v>
      </c>
      <c r="B365" s="2" t="s">
        <v>3381</v>
      </c>
      <c r="C365" s="2" t="s">
        <v>423</v>
      </c>
      <c r="D365" s="2" t="s">
        <v>2</v>
      </c>
      <c r="E365" s="2"/>
      <c r="F365" s="2">
        <v>0</v>
      </c>
      <c r="G365" s="2">
        <v>3</v>
      </c>
      <c r="H365" s="2">
        <v>50000</v>
      </c>
      <c r="I365" s="2">
        <v>0</v>
      </c>
      <c r="J365" s="2"/>
      <c r="K365" s="2">
        <v>18</v>
      </c>
      <c r="L365" s="2">
        <v>0</v>
      </c>
      <c r="M365" s="2">
        <v>0</v>
      </c>
      <c r="N365" s="2">
        <v>8</v>
      </c>
      <c r="O365" s="2">
        <v>10</v>
      </c>
      <c r="P365" s="2">
        <v>0</v>
      </c>
      <c r="Q365" s="2" t="s">
        <v>3382</v>
      </c>
      <c r="R365" s="2" t="s">
        <v>3383</v>
      </c>
      <c r="S365" s="4">
        <v>44953</v>
      </c>
    </row>
    <row r="366" spans="1:19" ht="12.5" x14ac:dyDescent="0.25">
      <c r="A366" s="14" t="str">
        <f>HYPERLINK("https://gerandofalcoes.my.salesforce.com/0014X00002YgggYQAR", "0014X00002YgggYQAR")</f>
        <v>0014X00002YgggYQAR</v>
      </c>
      <c r="B366" s="2" t="s">
        <v>3352</v>
      </c>
      <c r="C366" s="2" t="s">
        <v>423</v>
      </c>
      <c r="D366" s="2" t="s">
        <v>2</v>
      </c>
      <c r="E366" s="2"/>
      <c r="F366" s="2">
        <v>10</v>
      </c>
      <c r="G366" s="2">
        <v>3</v>
      </c>
      <c r="H366" s="2">
        <v>471944</v>
      </c>
      <c r="I366" s="2">
        <v>115</v>
      </c>
      <c r="J366" s="2"/>
      <c r="K366" s="2">
        <v>48</v>
      </c>
      <c r="L366" s="2">
        <v>0</v>
      </c>
      <c r="M366" s="2">
        <v>10</v>
      </c>
      <c r="N366" s="2">
        <v>8</v>
      </c>
      <c r="O366" s="2">
        <v>20</v>
      </c>
      <c r="P366" s="2">
        <v>10</v>
      </c>
      <c r="Q366" s="2" t="s">
        <v>3353</v>
      </c>
      <c r="R366" s="2" t="s">
        <v>7157</v>
      </c>
      <c r="S366" s="4">
        <v>44953</v>
      </c>
    </row>
    <row r="367" spans="1:19" ht="12.5" x14ac:dyDescent="0.25">
      <c r="A367" s="14" t="str">
        <f>HYPERLINK("https://gerandofalcoes.my.salesforce.com/0014X00002YggqlQAB", "0014X00002YggqlQAB")</f>
        <v>0014X00002YggqlQAB</v>
      </c>
      <c r="B367" s="2" t="s">
        <v>3308</v>
      </c>
      <c r="C367" s="2" t="s">
        <v>423</v>
      </c>
      <c r="D367" s="2" t="s">
        <v>2</v>
      </c>
      <c r="E367" s="2"/>
      <c r="F367" s="2">
        <v>15</v>
      </c>
      <c r="G367" s="2">
        <v>2</v>
      </c>
      <c r="H367" s="2">
        <v>20000</v>
      </c>
      <c r="I367" s="2">
        <v>120</v>
      </c>
      <c r="J367" s="2"/>
      <c r="K367" s="2">
        <v>33</v>
      </c>
      <c r="L367" s="2">
        <v>0</v>
      </c>
      <c r="M367" s="2">
        <v>12</v>
      </c>
      <c r="N367" s="2">
        <v>6</v>
      </c>
      <c r="O367" s="2">
        <v>5</v>
      </c>
      <c r="P367" s="2">
        <v>10</v>
      </c>
      <c r="Q367" s="2" t="s">
        <v>3309</v>
      </c>
      <c r="R367" s="2" t="s">
        <v>3310</v>
      </c>
      <c r="S367" s="4">
        <v>44953</v>
      </c>
    </row>
    <row r="368" spans="1:19" ht="12.5" x14ac:dyDescent="0.25">
      <c r="A368" s="14" t="str">
        <f>HYPERLINK("https://gerandofalcoes.my.salesforce.com/0014X00002YgglTQAR", "0014X00002YgglTQAR")</f>
        <v>0014X00002YgglTQAR</v>
      </c>
      <c r="B368" s="2" t="s">
        <v>3363</v>
      </c>
      <c r="C368" s="2" t="s">
        <v>423</v>
      </c>
      <c r="D368" s="2" t="s">
        <v>2</v>
      </c>
      <c r="E368" s="2"/>
      <c r="F368" s="2">
        <v>0</v>
      </c>
      <c r="G368" s="2">
        <v>2</v>
      </c>
      <c r="H368" s="2">
        <v>0</v>
      </c>
      <c r="I368" s="2">
        <v>60</v>
      </c>
      <c r="J368" s="2"/>
      <c r="K368" s="2">
        <v>11</v>
      </c>
      <c r="L368" s="2">
        <v>0</v>
      </c>
      <c r="M368" s="2">
        <v>0</v>
      </c>
      <c r="N368" s="2">
        <v>6</v>
      </c>
      <c r="O368" s="2">
        <v>0</v>
      </c>
      <c r="P368" s="2">
        <v>5</v>
      </c>
      <c r="Q368" s="2" t="s">
        <v>3364</v>
      </c>
      <c r="R368" s="2" t="s">
        <v>3364</v>
      </c>
      <c r="S368" s="4">
        <v>44953</v>
      </c>
    </row>
    <row r="369" spans="1:19" ht="12.5" x14ac:dyDescent="0.25">
      <c r="A369" s="14" t="str">
        <f>HYPERLINK("https://gerandofalcoes.my.salesforce.com/0014X00002YggmAQAR", "0014X00002YggmAQAR")</f>
        <v>0014X00002YggmAQAR</v>
      </c>
      <c r="B369" s="2" t="s">
        <v>3311</v>
      </c>
      <c r="C369" s="2" t="s">
        <v>423</v>
      </c>
      <c r="D369" s="2" t="s">
        <v>2</v>
      </c>
      <c r="E369" s="2"/>
      <c r="F369" s="2">
        <v>0</v>
      </c>
      <c r="G369" s="2">
        <v>5</v>
      </c>
      <c r="H369" s="2">
        <v>469000</v>
      </c>
      <c r="I369" s="2">
        <v>0</v>
      </c>
      <c r="J369" s="2"/>
      <c r="K369" s="2">
        <v>30</v>
      </c>
      <c r="L369" s="2">
        <v>0</v>
      </c>
      <c r="M369" s="2">
        <v>0</v>
      </c>
      <c r="N369" s="2">
        <v>10</v>
      </c>
      <c r="O369" s="2">
        <v>20</v>
      </c>
      <c r="P369" s="2">
        <v>0</v>
      </c>
      <c r="Q369" s="2" t="s">
        <v>3312</v>
      </c>
      <c r="R369" s="2" t="s">
        <v>3313</v>
      </c>
      <c r="S369" s="4">
        <v>44953</v>
      </c>
    </row>
    <row r="370" spans="1:19" ht="12.5" x14ac:dyDescent="0.25">
      <c r="A370" s="14" t="str">
        <f>HYPERLINK("https://gerandofalcoes.my.salesforce.com/0014X00002YgghWQAR", "0014X00002YgghWQAR")</f>
        <v>0014X00002YgghWQAR</v>
      </c>
      <c r="B370" s="2" t="s">
        <v>3331</v>
      </c>
      <c r="C370" s="2" t="s">
        <v>423</v>
      </c>
      <c r="D370" s="2" t="s">
        <v>2</v>
      </c>
      <c r="E370" s="2"/>
      <c r="F370" s="2">
        <v>0</v>
      </c>
      <c r="G370" s="2">
        <v>2</v>
      </c>
      <c r="H370" s="2">
        <v>8000</v>
      </c>
      <c r="I370" s="2">
        <v>0</v>
      </c>
      <c r="J370" s="2"/>
      <c r="K370" s="2">
        <v>11</v>
      </c>
      <c r="L370" s="2">
        <v>0</v>
      </c>
      <c r="M370" s="2">
        <v>0</v>
      </c>
      <c r="N370" s="2">
        <v>6</v>
      </c>
      <c r="O370" s="2">
        <v>5</v>
      </c>
      <c r="P370" s="2">
        <v>0</v>
      </c>
      <c r="Q370" s="2" t="s">
        <v>3332</v>
      </c>
      <c r="R370" s="2" t="s">
        <v>3333</v>
      </c>
      <c r="S370" s="4">
        <v>44953</v>
      </c>
    </row>
    <row r="371" spans="1:19" ht="12.5" x14ac:dyDescent="0.25">
      <c r="A371" s="14" t="str">
        <f>HYPERLINK("https://gerandofalcoes.my.salesforce.com/0014X00002Yggk3QAB", "0014X00002Yggk3QAB")</f>
        <v>0014X00002Yggk3QAB</v>
      </c>
      <c r="B371" s="2" t="s">
        <v>3325</v>
      </c>
      <c r="C371" s="2" t="s">
        <v>423</v>
      </c>
      <c r="D371" s="2" t="s">
        <v>2</v>
      </c>
      <c r="E371" s="2"/>
      <c r="F371" s="2">
        <v>0</v>
      </c>
      <c r="G371" s="2">
        <v>3</v>
      </c>
      <c r="H371" s="2">
        <v>8386</v>
      </c>
      <c r="I371" s="2">
        <v>0</v>
      </c>
      <c r="J371" s="2"/>
      <c r="K371" s="2">
        <v>13</v>
      </c>
      <c r="L371" s="2">
        <v>0</v>
      </c>
      <c r="M371" s="2">
        <v>0</v>
      </c>
      <c r="N371" s="2">
        <v>8</v>
      </c>
      <c r="O371" s="2">
        <v>5</v>
      </c>
      <c r="P371" s="2">
        <v>0</v>
      </c>
      <c r="Q371" s="2" t="s">
        <v>3326</v>
      </c>
      <c r="R371" s="2" t="s">
        <v>3327</v>
      </c>
      <c r="S371" s="4">
        <v>44953</v>
      </c>
    </row>
    <row r="372" spans="1:19" ht="12.5" x14ac:dyDescent="0.25">
      <c r="A372" s="14" t="str">
        <f>HYPERLINK("https://gerandofalcoes.my.salesforce.com/0014X00002YgglRQAR", "0014X00002YgglRQAR")</f>
        <v>0014X00002YgglRQAR</v>
      </c>
      <c r="B372" s="2" t="s">
        <v>3305</v>
      </c>
      <c r="C372" s="2" t="s">
        <v>423</v>
      </c>
      <c r="D372" s="2" t="s">
        <v>2</v>
      </c>
      <c r="E372" s="2"/>
      <c r="F372" s="2">
        <v>8</v>
      </c>
      <c r="G372" s="2">
        <v>2</v>
      </c>
      <c r="H372" s="2">
        <v>20000</v>
      </c>
      <c r="I372" s="2">
        <v>120</v>
      </c>
      <c r="J372" s="2"/>
      <c r="K372" s="2">
        <v>31</v>
      </c>
      <c r="L372" s="2">
        <v>0</v>
      </c>
      <c r="M372" s="2">
        <v>10</v>
      </c>
      <c r="N372" s="2">
        <v>6</v>
      </c>
      <c r="O372" s="2">
        <v>5</v>
      </c>
      <c r="P372" s="2">
        <v>10</v>
      </c>
      <c r="Q372" s="2" t="s">
        <v>3306</v>
      </c>
      <c r="R372" s="2" t="s">
        <v>3307</v>
      </c>
      <c r="S372" s="4">
        <v>44953</v>
      </c>
    </row>
    <row r="373" spans="1:19" ht="12.5" x14ac:dyDescent="0.25">
      <c r="A373" s="14" t="str">
        <f>HYPERLINK("https://gerandofalcoes.my.salesforce.com/0014X00002YggkuQAB", "0014X00002YggkuQAB")</f>
        <v>0014X00002YggkuQAB</v>
      </c>
      <c r="B373" s="2" t="s">
        <v>3302</v>
      </c>
      <c r="C373" s="2" t="s">
        <v>423</v>
      </c>
      <c r="D373" s="2" t="s">
        <v>2</v>
      </c>
      <c r="E373" s="2"/>
      <c r="F373" s="2">
        <v>9</v>
      </c>
      <c r="G373" s="2">
        <v>4</v>
      </c>
      <c r="H373" s="2">
        <v>200000</v>
      </c>
      <c r="I373" s="2">
        <v>60</v>
      </c>
      <c r="J373" s="2"/>
      <c r="K373" s="2">
        <v>40</v>
      </c>
      <c r="L373" s="2">
        <v>0</v>
      </c>
      <c r="M373" s="2">
        <v>10</v>
      </c>
      <c r="N373" s="2">
        <v>10</v>
      </c>
      <c r="O373" s="2">
        <v>15</v>
      </c>
      <c r="P373" s="2">
        <v>5</v>
      </c>
      <c r="Q373" s="2" t="s">
        <v>3303</v>
      </c>
      <c r="R373" s="2" t="s">
        <v>3304</v>
      </c>
      <c r="S373" s="4">
        <v>44953</v>
      </c>
    </row>
    <row r="374" spans="1:19" ht="12.5" x14ac:dyDescent="0.25">
      <c r="A374" s="14" t="str">
        <f>HYPERLINK("https://gerandofalcoes.my.salesforce.com/0014X00002YggnrQAB", "0014X00002YggnrQAB")</f>
        <v>0014X00002YggnrQAB</v>
      </c>
      <c r="B374" s="2" t="s">
        <v>3354</v>
      </c>
      <c r="C374" s="2" t="s">
        <v>423</v>
      </c>
      <c r="D374" s="2" t="s">
        <v>2</v>
      </c>
      <c r="E374" s="2"/>
      <c r="F374" s="2">
        <v>2</v>
      </c>
      <c r="G374" s="2">
        <v>5</v>
      </c>
      <c r="H374" s="2">
        <v>7006467</v>
      </c>
      <c r="I374" s="2">
        <v>100</v>
      </c>
      <c r="J374" s="2"/>
      <c r="K374" s="2">
        <v>50</v>
      </c>
      <c r="L374" s="2">
        <v>0</v>
      </c>
      <c r="M374" s="2">
        <v>5</v>
      </c>
      <c r="N374" s="2">
        <v>10</v>
      </c>
      <c r="O374" s="2">
        <v>25</v>
      </c>
      <c r="P374" s="2">
        <v>10</v>
      </c>
      <c r="Q374" s="2" t="s">
        <v>3355</v>
      </c>
      <c r="R374" s="2" t="s">
        <v>3356</v>
      </c>
      <c r="S374" s="4">
        <v>44953</v>
      </c>
    </row>
    <row r="375" spans="1:19" ht="12.5" x14ac:dyDescent="0.25">
      <c r="A375" s="14" t="str">
        <f>HYPERLINK("https://gerandofalcoes.my.salesforce.com/0014X00002Yggk2QAB", "0014X00002Yggk2QAB")</f>
        <v>0014X00002Yggk2QAB</v>
      </c>
      <c r="B375" s="2" t="s">
        <v>3389</v>
      </c>
      <c r="C375" s="2" t="s">
        <v>423</v>
      </c>
      <c r="D375" s="2" t="s">
        <v>2</v>
      </c>
      <c r="E375" s="2"/>
      <c r="F375" s="2">
        <v>0</v>
      </c>
      <c r="G375" s="2">
        <v>3</v>
      </c>
      <c r="H375" s="2">
        <v>0</v>
      </c>
      <c r="I375" s="2">
        <v>0</v>
      </c>
      <c r="J375" s="2"/>
      <c r="K375" s="2">
        <v>8</v>
      </c>
      <c r="L375" s="2">
        <v>0</v>
      </c>
      <c r="M375" s="2">
        <v>0</v>
      </c>
      <c r="N375" s="2">
        <v>8</v>
      </c>
      <c r="O375" s="2">
        <v>0</v>
      </c>
      <c r="P375" s="2">
        <v>0</v>
      </c>
      <c r="Q375" s="2" t="s">
        <v>3390</v>
      </c>
      <c r="R375" s="2" t="s">
        <v>3391</v>
      </c>
      <c r="S375" s="4">
        <v>44953</v>
      </c>
    </row>
    <row r="376" spans="1:19" ht="12.5" x14ac:dyDescent="0.25">
      <c r="A376" s="14" t="str">
        <f>HYPERLINK("https://gerandofalcoes.my.salesforce.com/0014X00002YgghwQAB", "0014X00002YgghwQAB")</f>
        <v>0014X00002YgghwQAB</v>
      </c>
      <c r="B376" s="2" t="s">
        <v>3549</v>
      </c>
      <c r="C376" s="2" t="s">
        <v>423</v>
      </c>
      <c r="D376" s="2" t="s">
        <v>2</v>
      </c>
      <c r="E376" s="2"/>
      <c r="F376" s="2">
        <v>0</v>
      </c>
      <c r="G376" s="2">
        <v>3</v>
      </c>
      <c r="H376" s="2">
        <v>2403625</v>
      </c>
      <c r="I376" s="2">
        <v>250</v>
      </c>
      <c r="J376" s="2"/>
      <c r="K376" s="2">
        <v>45</v>
      </c>
      <c r="L376" s="2">
        <v>0</v>
      </c>
      <c r="M376" s="2">
        <v>0</v>
      </c>
      <c r="N376" s="2">
        <v>8</v>
      </c>
      <c r="O376" s="2">
        <v>25</v>
      </c>
      <c r="P376" s="2">
        <v>12</v>
      </c>
      <c r="Q376" s="2" t="s">
        <v>3550</v>
      </c>
      <c r="R376" s="2" t="s">
        <v>3551</v>
      </c>
      <c r="S376" s="4">
        <v>44959</v>
      </c>
    </row>
    <row r="377" spans="1:19" ht="12.5" x14ac:dyDescent="0.25">
      <c r="A377" s="14" t="str">
        <f>HYPERLINK("https://gerandofalcoes.my.salesforce.com/0014X00002YggisQAB", "0014X00002YggisQAB")</f>
        <v>0014X00002YggisQAB</v>
      </c>
      <c r="B377" s="2" t="s">
        <v>3537</v>
      </c>
      <c r="C377" s="2" t="s">
        <v>423</v>
      </c>
      <c r="D377" s="2" t="s">
        <v>2</v>
      </c>
      <c r="E377" s="2"/>
      <c r="F377" s="2">
        <v>0</v>
      </c>
      <c r="G377" s="2">
        <v>2</v>
      </c>
      <c r="H377" s="2">
        <v>25000</v>
      </c>
      <c r="I377" s="2">
        <v>0</v>
      </c>
      <c r="J377" s="2"/>
      <c r="K377" s="2">
        <v>16</v>
      </c>
      <c r="L377" s="2">
        <v>0</v>
      </c>
      <c r="M377" s="2">
        <v>0</v>
      </c>
      <c r="N377" s="2">
        <v>6</v>
      </c>
      <c r="O377" s="2">
        <v>10</v>
      </c>
      <c r="P377" s="2">
        <v>0</v>
      </c>
      <c r="Q377" s="2" t="s">
        <v>3538</v>
      </c>
      <c r="R377" s="2" t="s">
        <v>3539</v>
      </c>
      <c r="S377" s="4">
        <v>44959</v>
      </c>
    </row>
    <row r="378" spans="1:19" ht="12.5" x14ac:dyDescent="0.25">
      <c r="A378" s="14" t="str">
        <f>HYPERLINK("https://gerandofalcoes.my.salesforce.com/0014X00002YggiOQAR", "0014X00002YggiOQAR")</f>
        <v>0014X00002YggiOQAR</v>
      </c>
      <c r="B378" s="2" t="s">
        <v>3552</v>
      </c>
      <c r="C378" s="2" t="s">
        <v>423</v>
      </c>
      <c r="D378" s="2" t="s">
        <v>2</v>
      </c>
      <c r="E378" s="2"/>
      <c r="F378" s="2">
        <v>0</v>
      </c>
      <c r="G378" s="2">
        <v>2</v>
      </c>
      <c r="H378" s="2">
        <v>500</v>
      </c>
      <c r="I378" s="2">
        <v>140</v>
      </c>
      <c r="J378" s="2"/>
      <c r="K378" s="2">
        <v>21</v>
      </c>
      <c r="L378" s="2">
        <v>0</v>
      </c>
      <c r="M378" s="2">
        <v>0</v>
      </c>
      <c r="N378" s="2">
        <v>6</v>
      </c>
      <c r="O378" s="2">
        <v>5</v>
      </c>
      <c r="P378" s="2">
        <v>10</v>
      </c>
      <c r="Q378" s="2" t="s">
        <v>3553</v>
      </c>
      <c r="R378" s="2" t="s">
        <v>3554</v>
      </c>
      <c r="S378" s="4">
        <v>44959</v>
      </c>
    </row>
    <row r="379" spans="1:19" ht="12.5" x14ac:dyDescent="0.25">
      <c r="A379" s="14" t="str">
        <f>HYPERLINK("https://gerandofalcoes.my.salesforce.com/0014X00002YggkUQAR", "0014X00002YggkUQAR")</f>
        <v>0014X00002YggkUQAR</v>
      </c>
      <c r="B379" s="2" t="s">
        <v>3563</v>
      </c>
      <c r="C379" s="2" t="s">
        <v>423</v>
      </c>
      <c r="D379" s="2" t="s">
        <v>2</v>
      </c>
      <c r="E379" s="2"/>
      <c r="F379" s="2">
        <v>0</v>
      </c>
      <c r="G379" s="2">
        <v>5</v>
      </c>
      <c r="H379" s="2">
        <v>5000</v>
      </c>
      <c r="I379" s="2">
        <v>10</v>
      </c>
      <c r="J379" s="2"/>
      <c r="K379" s="2">
        <v>20</v>
      </c>
      <c r="L379" s="2">
        <v>0</v>
      </c>
      <c r="M379" s="2">
        <v>0</v>
      </c>
      <c r="N379" s="2">
        <v>10</v>
      </c>
      <c r="O379" s="2">
        <v>5</v>
      </c>
      <c r="P379" s="2">
        <v>5</v>
      </c>
      <c r="Q379" s="2" t="s">
        <v>3564</v>
      </c>
      <c r="R379" s="2" t="s">
        <v>3565</v>
      </c>
      <c r="S379" s="4">
        <v>44960</v>
      </c>
    </row>
    <row r="380" spans="1:19" ht="12.5" x14ac:dyDescent="0.25">
      <c r="A380" s="14" t="str">
        <f>HYPERLINK("https://gerandofalcoes.my.salesforce.com/0014X00002YgggTQAR", "0014X00002YgggTQAR")</f>
        <v>0014X00002YgggTQAR</v>
      </c>
      <c r="B380" s="2" t="s">
        <v>3569</v>
      </c>
      <c r="C380" s="2" t="s">
        <v>423</v>
      </c>
      <c r="D380" s="2" t="s">
        <v>2</v>
      </c>
      <c r="E380" s="2"/>
      <c r="F380" s="2">
        <v>25</v>
      </c>
      <c r="G380" s="2">
        <v>3</v>
      </c>
      <c r="H380" s="2">
        <v>15000</v>
      </c>
      <c r="I380" s="2">
        <v>1317</v>
      </c>
      <c r="J380" s="2"/>
      <c r="K380" s="2">
        <v>45</v>
      </c>
      <c r="L380" s="2">
        <v>0</v>
      </c>
      <c r="M380" s="2">
        <v>12</v>
      </c>
      <c r="N380" s="2">
        <v>8</v>
      </c>
      <c r="O380" s="2">
        <v>5</v>
      </c>
      <c r="P380" s="2">
        <v>20</v>
      </c>
      <c r="Q380" s="2" t="s">
        <v>3570</v>
      </c>
      <c r="R380" s="2" t="s">
        <v>3570</v>
      </c>
      <c r="S380" s="4">
        <v>44960</v>
      </c>
    </row>
    <row r="381" spans="1:19" ht="12.5" x14ac:dyDescent="0.25">
      <c r="A381" s="14" t="str">
        <f>HYPERLINK("https://gerandofalcoes.my.salesforce.com/0014X00002YggmbQAB", "0014X00002YggmbQAB")</f>
        <v>0014X00002YggmbQAB</v>
      </c>
      <c r="B381" s="2" t="s">
        <v>3586</v>
      </c>
      <c r="C381" s="2" t="s">
        <v>423</v>
      </c>
      <c r="D381" s="2" t="s">
        <v>2</v>
      </c>
      <c r="E381" s="2"/>
      <c r="F381" s="2">
        <v>1</v>
      </c>
      <c r="G381" s="2">
        <v>4</v>
      </c>
      <c r="H381" s="2">
        <v>24000</v>
      </c>
      <c r="I381" s="2">
        <v>15</v>
      </c>
      <c r="J381" s="2"/>
      <c r="K381" s="2">
        <v>25</v>
      </c>
      <c r="L381" s="2">
        <v>0</v>
      </c>
      <c r="M381" s="2">
        <v>5</v>
      </c>
      <c r="N381" s="2">
        <v>10</v>
      </c>
      <c r="O381" s="2">
        <v>5</v>
      </c>
      <c r="P381" s="2">
        <v>5</v>
      </c>
      <c r="Q381" s="2" t="s">
        <v>3587</v>
      </c>
      <c r="R381" s="2" t="s">
        <v>3587</v>
      </c>
      <c r="S381" s="4">
        <v>44961</v>
      </c>
    </row>
    <row r="382" spans="1:19" ht="12.5" x14ac:dyDescent="0.25">
      <c r="A382" s="14" t="str">
        <f>HYPERLINK("https://gerandofalcoes.my.salesforce.com/0014X00002YggjuQAB", "0014X00002YggjuQAB")</f>
        <v>0014X00002YggjuQAB</v>
      </c>
      <c r="B382" s="2" t="s">
        <v>3583</v>
      </c>
      <c r="C382" s="2" t="s">
        <v>423</v>
      </c>
      <c r="D382" s="2" t="s">
        <v>2</v>
      </c>
      <c r="E382" s="2"/>
      <c r="F382" s="2">
        <v>0</v>
      </c>
      <c r="G382" s="2">
        <v>7</v>
      </c>
      <c r="H382" s="2">
        <v>3000</v>
      </c>
      <c r="I382" s="2">
        <v>30</v>
      </c>
      <c r="J382" s="2"/>
      <c r="K382" s="2">
        <v>20</v>
      </c>
      <c r="L382" s="2">
        <v>0</v>
      </c>
      <c r="M382" s="2">
        <v>0</v>
      </c>
      <c r="N382" s="2">
        <v>10</v>
      </c>
      <c r="O382" s="2">
        <v>5</v>
      </c>
      <c r="P382" s="2">
        <v>5</v>
      </c>
      <c r="Q382" s="2" t="s">
        <v>3584</v>
      </c>
      <c r="R382" s="2" t="s">
        <v>3585</v>
      </c>
      <c r="S382" s="4">
        <v>44961</v>
      </c>
    </row>
    <row r="383" spans="1:19" ht="12.5" x14ac:dyDescent="0.25">
      <c r="A383" s="14" t="str">
        <f>HYPERLINK("https://gerandofalcoes.my.salesforce.com/0014X00002YggpAQAR", "0014X00002YggpAQAR")</f>
        <v>0014X00002YggpAQAR</v>
      </c>
      <c r="B383" s="2" t="s">
        <v>3591</v>
      </c>
      <c r="C383" s="2" t="s">
        <v>423</v>
      </c>
      <c r="D383" s="2" t="s">
        <v>2</v>
      </c>
      <c r="E383" s="2"/>
      <c r="F383" s="2">
        <v>17</v>
      </c>
      <c r="G383" s="2">
        <v>5</v>
      </c>
      <c r="H383" s="2">
        <v>586443</v>
      </c>
      <c r="I383" s="2">
        <v>0</v>
      </c>
      <c r="J383" s="2"/>
      <c r="K383" s="2">
        <v>42</v>
      </c>
      <c r="L383" s="2">
        <v>0</v>
      </c>
      <c r="M383" s="2">
        <v>12</v>
      </c>
      <c r="N383" s="2">
        <v>10</v>
      </c>
      <c r="O383" s="2">
        <v>20</v>
      </c>
      <c r="P383" s="2">
        <v>0</v>
      </c>
      <c r="Q383" s="2" t="s">
        <v>3592</v>
      </c>
      <c r="R383" s="2" t="s">
        <v>3593</v>
      </c>
      <c r="S383" s="4">
        <v>44962</v>
      </c>
    </row>
    <row r="384" spans="1:19" ht="12.5" x14ac:dyDescent="0.25">
      <c r="A384" s="14" t="str">
        <f>HYPERLINK("https://gerandofalcoes.my.salesforce.com/0014X00002YggpXQAR", "0014X00002YggpXQAR")</f>
        <v>0014X00002YggpXQAR</v>
      </c>
      <c r="B384" s="2" t="s">
        <v>3597</v>
      </c>
      <c r="C384" s="2" t="s">
        <v>423</v>
      </c>
      <c r="D384" s="2" t="s">
        <v>2</v>
      </c>
      <c r="E384" s="2"/>
      <c r="F384" s="2">
        <v>0</v>
      </c>
      <c r="G384" s="2">
        <v>3</v>
      </c>
      <c r="H384" s="2">
        <v>48</v>
      </c>
      <c r="I384" s="2">
        <v>270</v>
      </c>
      <c r="J384" s="2"/>
      <c r="K384" s="2">
        <v>25</v>
      </c>
      <c r="L384" s="2">
        <v>0</v>
      </c>
      <c r="M384" s="2">
        <v>0</v>
      </c>
      <c r="N384" s="2">
        <v>8</v>
      </c>
      <c r="O384" s="2">
        <v>5</v>
      </c>
      <c r="P384" s="2">
        <v>12</v>
      </c>
      <c r="Q384" s="2" t="s">
        <v>3598</v>
      </c>
      <c r="R384" s="2" t="s">
        <v>3599</v>
      </c>
      <c r="S384" s="4">
        <v>44962</v>
      </c>
    </row>
    <row r="385" spans="1:19" ht="12.5" x14ac:dyDescent="0.25">
      <c r="A385" s="14" t="str">
        <f>HYPERLINK("https://gerandofalcoes.my.salesforce.com/0014X00002bFKFnQAO", "0014X00002bFKFnQAO")</f>
        <v>0014X00002bFKFnQAO</v>
      </c>
      <c r="B385" s="2" t="s">
        <v>3605</v>
      </c>
      <c r="C385" s="2" t="s">
        <v>1684</v>
      </c>
      <c r="D385" s="2" t="s">
        <v>2</v>
      </c>
      <c r="E385" s="2"/>
      <c r="F385" s="2">
        <v>0</v>
      </c>
      <c r="G385" s="2">
        <v>0</v>
      </c>
      <c r="H385" s="2">
        <v>0</v>
      </c>
      <c r="I385" s="2">
        <v>0</v>
      </c>
      <c r="J385" s="2"/>
      <c r="K385" s="2">
        <v>0</v>
      </c>
      <c r="L385" s="2">
        <v>0</v>
      </c>
      <c r="M385" s="2">
        <v>0</v>
      </c>
      <c r="N385" s="2">
        <v>0</v>
      </c>
      <c r="O385" s="2">
        <v>0</v>
      </c>
      <c r="P385" s="2">
        <v>0</v>
      </c>
      <c r="Q385" s="2" t="s">
        <v>3606</v>
      </c>
      <c r="R385" s="2"/>
      <c r="S385" s="4">
        <v>44962</v>
      </c>
    </row>
    <row r="386" spans="1:19" ht="12.5" x14ac:dyDescent="0.25">
      <c r="A386" s="14" t="str">
        <f>HYPERLINK("https://gerandofalcoes.my.salesforce.com/0014X00002UFYFtQAP", "0014X00002UFYFtQAP")</f>
        <v>0014X00002UFYFtQAP</v>
      </c>
      <c r="B386" s="2" t="s">
        <v>3588</v>
      </c>
      <c r="C386" s="2" t="s">
        <v>1684</v>
      </c>
      <c r="D386" s="2" t="s">
        <v>2</v>
      </c>
      <c r="E386" s="2">
        <v>90</v>
      </c>
      <c r="F386" s="2">
        <v>15</v>
      </c>
      <c r="G386" s="2">
        <v>4</v>
      </c>
      <c r="H386" s="2">
        <v>600000</v>
      </c>
      <c r="I386" s="2">
        <v>5000</v>
      </c>
      <c r="J386" s="2"/>
      <c r="K386" s="2">
        <v>92</v>
      </c>
      <c r="L386" s="2">
        <v>30</v>
      </c>
      <c r="M386" s="2">
        <v>12</v>
      </c>
      <c r="N386" s="2">
        <v>10</v>
      </c>
      <c r="O386" s="2">
        <v>20</v>
      </c>
      <c r="P386" s="2">
        <v>20</v>
      </c>
      <c r="Q386" s="2" t="s">
        <v>3589</v>
      </c>
      <c r="R386" s="2" t="s">
        <v>3590</v>
      </c>
      <c r="S386" s="4">
        <v>44962</v>
      </c>
    </row>
    <row r="387" spans="1:19" ht="12.5" x14ac:dyDescent="0.25">
      <c r="A387" s="14" t="str">
        <f>HYPERLINK("https://gerandofalcoes.my.salesforce.com/0014X00002YggjRQAR", "0014X00002YggjRQAR")</f>
        <v>0014X00002YggjRQAR</v>
      </c>
      <c r="B387" s="2" t="s">
        <v>3607</v>
      </c>
      <c r="C387" s="2" t="s">
        <v>423</v>
      </c>
      <c r="D387" s="2" t="s">
        <v>2</v>
      </c>
      <c r="E387" s="2"/>
      <c r="F387" s="2">
        <v>0</v>
      </c>
      <c r="G387" s="2">
        <v>4</v>
      </c>
      <c r="H387" s="2">
        <v>6000</v>
      </c>
      <c r="I387" s="2">
        <v>20</v>
      </c>
      <c r="J387" s="2"/>
      <c r="K387" s="2">
        <v>20</v>
      </c>
      <c r="L387" s="2">
        <v>0</v>
      </c>
      <c r="M387" s="2">
        <v>0</v>
      </c>
      <c r="N387" s="2">
        <v>10</v>
      </c>
      <c r="O387" s="2">
        <v>5</v>
      </c>
      <c r="P387" s="2">
        <v>5</v>
      </c>
      <c r="Q387" s="2" t="s">
        <v>3608</v>
      </c>
      <c r="R387" s="2" t="s">
        <v>3609</v>
      </c>
      <c r="S387" s="4">
        <v>44963</v>
      </c>
    </row>
    <row r="388" spans="1:19" ht="12.5" x14ac:dyDescent="0.25">
      <c r="A388" s="14" t="str">
        <f>HYPERLINK("https://gerandofalcoes.my.salesforce.com/0014X00002YggkoQAB", "0014X00002YggkoQAB")</f>
        <v>0014X00002YggkoQAB</v>
      </c>
      <c r="B388" s="2" t="s">
        <v>3631</v>
      </c>
      <c r="C388" s="2" t="s">
        <v>423</v>
      </c>
      <c r="D388" s="2" t="s">
        <v>2</v>
      </c>
      <c r="E388" s="2"/>
      <c r="F388" s="2">
        <v>0</v>
      </c>
      <c r="G388" s="2">
        <v>2</v>
      </c>
      <c r="H388" s="2">
        <v>10000</v>
      </c>
      <c r="I388" s="2">
        <v>30</v>
      </c>
      <c r="J388" s="2"/>
      <c r="K388" s="2">
        <v>16</v>
      </c>
      <c r="L388" s="2">
        <v>0</v>
      </c>
      <c r="M388" s="2">
        <v>0</v>
      </c>
      <c r="N388" s="2">
        <v>6</v>
      </c>
      <c r="O388" s="2">
        <v>5</v>
      </c>
      <c r="P388" s="2">
        <v>5</v>
      </c>
      <c r="Q388" s="2" t="s">
        <v>3632</v>
      </c>
      <c r="R388" s="2" t="s">
        <v>3633</v>
      </c>
      <c r="S388" s="4">
        <v>44963</v>
      </c>
    </row>
    <row r="389" spans="1:19" ht="12.5" x14ac:dyDescent="0.25">
      <c r="A389" s="14" t="str">
        <f>HYPERLINK("https://gerandofalcoes.my.salesforce.com/0014X00002YggovQAB", "0014X00002YggovQAB")</f>
        <v>0014X00002YggovQAB</v>
      </c>
      <c r="B389" s="2" t="s">
        <v>3634</v>
      </c>
      <c r="C389" s="2" t="s">
        <v>423</v>
      </c>
      <c r="D389" s="2" t="s">
        <v>2</v>
      </c>
      <c r="E389" s="2"/>
      <c r="F389" s="2">
        <v>0</v>
      </c>
      <c r="G389" s="2">
        <v>3</v>
      </c>
      <c r="H389" s="2">
        <v>13000</v>
      </c>
      <c r="I389" s="2">
        <v>30</v>
      </c>
      <c r="J389" s="2"/>
      <c r="K389" s="2">
        <v>18</v>
      </c>
      <c r="L389" s="2">
        <v>0</v>
      </c>
      <c r="M389" s="2">
        <v>0</v>
      </c>
      <c r="N389" s="2">
        <v>8</v>
      </c>
      <c r="O389" s="2">
        <v>5</v>
      </c>
      <c r="P389" s="2">
        <v>5</v>
      </c>
      <c r="Q389" s="2" t="s">
        <v>3635</v>
      </c>
      <c r="R389" s="2" t="s">
        <v>3636</v>
      </c>
      <c r="S389" s="4">
        <v>44963</v>
      </c>
    </row>
    <row r="390" spans="1:19" ht="12.5" x14ac:dyDescent="0.25">
      <c r="A390" s="14" t="str">
        <f>HYPERLINK("https://gerandofalcoes.my.salesforce.com/0014X00002YggjsQAB", "0014X00002YggjsQAB")</f>
        <v>0014X00002YggjsQAB</v>
      </c>
      <c r="B390" s="2" t="s">
        <v>3610</v>
      </c>
      <c r="C390" s="2" t="s">
        <v>423</v>
      </c>
      <c r="D390" s="2" t="s">
        <v>2</v>
      </c>
      <c r="E390" s="2"/>
      <c r="F390" s="2">
        <v>10</v>
      </c>
      <c r="G390" s="2">
        <v>2</v>
      </c>
      <c r="H390" s="2">
        <v>40000</v>
      </c>
      <c r="I390" s="2">
        <v>65</v>
      </c>
      <c r="J390" s="2"/>
      <c r="K390" s="2">
        <v>31</v>
      </c>
      <c r="L390" s="2">
        <v>0</v>
      </c>
      <c r="M390" s="2">
        <v>10</v>
      </c>
      <c r="N390" s="2">
        <v>6</v>
      </c>
      <c r="O390" s="2">
        <v>10</v>
      </c>
      <c r="P390" s="2">
        <v>5</v>
      </c>
      <c r="Q390" s="2" t="s">
        <v>7158</v>
      </c>
      <c r="R390" s="2" t="s">
        <v>7159</v>
      </c>
      <c r="S390" s="4">
        <v>44963</v>
      </c>
    </row>
    <row r="391" spans="1:19" ht="12.5" x14ac:dyDescent="0.25">
      <c r="A391" s="14" t="str">
        <f>HYPERLINK("https://gerandofalcoes.my.salesforce.com/0014X00002YgggUQAR", "0014X00002YgggUQAR")</f>
        <v>0014X00002YgggUQAR</v>
      </c>
      <c r="B391" s="2" t="s">
        <v>3640</v>
      </c>
      <c r="C391" s="2" t="s">
        <v>423</v>
      </c>
      <c r="D391" s="2" t="s">
        <v>2</v>
      </c>
      <c r="E391" s="2"/>
      <c r="F391" s="2">
        <v>0</v>
      </c>
      <c r="G391" s="2">
        <v>2</v>
      </c>
      <c r="H391" s="2">
        <v>45000</v>
      </c>
      <c r="I391" s="2">
        <v>0</v>
      </c>
      <c r="J391" s="2"/>
      <c r="K391" s="2">
        <v>16</v>
      </c>
      <c r="L391" s="2">
        <v>0</v>
      </c>
      <c r="M391" s="2">
        <v>0</v>
      </c>
      <c r="N391" s="2">
        <v>6</v>
      </c>
      <c r="O391" s="2">
        <v>10</v>
      </c>
      <c r="P391" s="2">
        <v>0</v>
      </c>
      <c r="Q391" s="2" t="s">
        <v>3641</v>
      </c>
      <c r="R391" s="2" t="s">
        <v>3641</v>
      </c>
      <c r="S391" s="4">
        <v>44963</v>
      </c>
    </row>
    <row r="392" spans="1:19" ht="12.5" x14ac:dyDescent="0.25">
      <c r="A392" s="14" t="str">
        <f>HYPERLINK("https://gerandofalcoes.my.salesforce.com/0014X00002YggoBQAR", "0014X00002YggoBQAR")</f>
        <v>0014X00002YggoBQAR</v>
      </c>
      <c r="B392" s="2" t="s">
        <v>3642</v>
      </c>
      <c r="C392" s="2" t="s">
        <v>423</v>
      </c>
      <c r="D392" s="2" t="s">
        <v>2</v>
      </c>
      <c r="E392" s="2"/>
      <c r="F392" s="2">
        <v>0</v>
      </c>
      <c r="G392" s="2">
        <v>3</v>
      </c>
      <c r="H392" s="2">
        <v>1200</v>
      </c>
      <c r="I392" s="2">
        <v>0</v>
      </c>
      <c r="J392" s="2"/>
      <c r="K392" s="2">
        <v>13</v>
      </c>
      <c r="L392" s="2">
        <v>0</v>
      </c>
      <c r="M392" s="2">
        <v>0</v>
      </c>
      <c r="N392" s="2">
        <v>8</v>
      </c>
      <c r="O392" s="2">
        <v>5</v>
      </c>
      <c r="P392" s="2">
        <v>0</v>
      </c>
      <c r="Q392" s="2" t="s">
        <v>3643</v>
      </c>
      <c r="R392" s="2" t="s">
        <v>3643</v>
      </c>
      <c r="S392" s="4">
        <v>44963</v>
      </c>
    </row>
    <row r="393" spans="1:19" ht="12.5" x14ac:dyDescent="0.25">
      <c r="A393" s="14" t="str">
        <f>HYPERLINK("https://gerandofalcoes.my.salesforce.com/0014X00002YggnHQAR", "0014X00002YggnHQAR")</f>
        <v>0014X00002YggnHQAR</v>
      </c>
      <c r="B393" s="2" t="s">
        <v>3612</v>
      </c>
      <c r="C393" s="2" t="s">
        <v>423</v>
      </c>
      <c r="D393" s="2" t="s">
        <v>2</v>
      </c>
      <c r="E393" s="2"/>
      <c r="F393" s="2">
        <v>0</v>
      </c>
      <c r="G393" s="2">
        <v>2</v>
      </c>
      <c r="H393" s="2">
        <v>10</v>
      </c>
      <c r="I393" s="2">
        <v>0</v>
      </c>
      <c r="J393" s="2"/>
      <c r="K393" s="2">
        <v>11</v>
      </c>
      <c r="L393" s="2">
        <v>0</v>
      </c>
      <c r="M393" s="2">
        <v>0</v>
      </c>
      <c r="N393" s="2">
        <v>6</v>
      </c>
      <c r="O393" s="2">
        <v>5</v>
      </c>
      <c r="P393" s="2">
        <v>0</v>
      </c>
      <c r="Q393" s="2" t="s">
        <v>3613</v>
      </c>
      <c r="R393" s="2" t="s">
        <v>3613</v>
      </c>
      <c r="S393" s="4">
        <v>44963</v>
      </c>
    </row>
    <row r="394" spans="1:19" ht="12.5" x14ac:dyDescent="0.25">
      <c r="A394" s="14" t="str">
        <f>HYPERLINK("https://gerandofalcoes.my.salesforce.com/0014X00002YggqQQAR", "0014X00002YggqQQAR")</f>
        <v>0014X00002YggqQQAR</v>
      </c>
      <c r="B394" s="2" t="s">
        <v>3665</v>
      </c>
      <c r="C394" s="2" t="s">
        <v>423</v>
      </c>
      <c r="D394" s="2" t="s">
        <v>2</v>
      </c>
      <c r="E394" s="2"/>
      <c r="F394" s="2">
        <v>0</v>
      </c>
      <c r="G394" s="2">
        <v>2</v>
      </c>
      <c r="H394" s="2">
        <v>800</v>
      </c>
      <c r="I394" s="2">
        <v>60</v>
      </c>
      <c r="J394" s="2"/>
      <c r="K394" s="2">
        <v>16</v>
      </c>
      <c r="L394" s="2">
        <v>0</v>
      </c>
      <c r="M394" s="2">
        <v>0</v>
      </c>
      <c r="N394" s="2">
        <v>6</v>
      </c>
      <c r="O394" s="2">
        <v>5</v>
      </c>
      <c r="P394" s="2">
        <v>5</v>
      </c>
      <c r="Q394" s="2" t="s">
        <v>3666</v>
      </c>
      <c r="R394" s="2" t="s">
        <v>3666</v>
      </c>
      <c r="S394" s="4">
        <v>44964</v>
      </c>
    </row>
    <row r="395" spans="1:19" ht="12.5" x14ac:dyDescent="0.25">
      <c r="A395" s="14" t="str">
        <f>HYPERLINK("https://gerandofalcoes.my.salesforce.com/0014X00002Yggm8QAB", "0014X00002Yggm8QAB")</f>
        <v>0014X00002Yggm8QAB</v>
      </c>
      <c r="B395" s="2" t="s">
        <v>3678</v>
      </c>
      <c r="C395" s="2" t="s">
        <v>423</v>
      </c>
      <c r="D395" s="2" t="s">
        <v>2</v>
      </c>
      <c r="E395" s="2"/>
      <c r="F395" s="2">
        <v>4</v>
      </c>
      <c r="G395" s="2">
        <v>3</v>
      </c>
      <c r="H395" s="2">
        <v>140000</v>
      </c>
      <c r="I395" s="2">
        <v>216</v>
      </c>
      <c r="J395" s="2"/>
      <c r="K395" s="2">
        <v>40</v>
      </c>
      <c r="L395" s="2">
        <v>0</v>
      </c>
      <c r="M395" s="2">
        <v>5</v>
      </c>
      <c r="N395" s="2">
        <v>8</v>
      </c>
      <c r="O395" s="2">
        <v>15</v>
      </c>
      <c r="P395" s="2">
        <v>12</v>
      </c>
      <c r="Q395" s="2" t="s">
        <v>3679</v>
      </c>
      <c r="R395" s="2" t="s">
        <v>3680</v>
      </c>
      <c r="S395" s="4">
        <v>44964</v>
      </c>
    </row>
    <row r="396" spans="1:19" ht="12.5" x14ac:dyDescent="0.25">
      <c r="A396" s="14" t="str">
        <f>HYPERLINK("https://gerandofalcoes.my.salesforce.com/0014X00002YggjFQAR", "0014X00002YggjFQAR")</f>
        <v>0014X00002YggjFQAR</v>
      </c>
      <c r="B396" s="2" t="s">
        <v>3686</v>
      </c>
      <c r="C396" s="2" t="s">
        <v>423</v>
      </c>
      <c r="D396" s="2" t="s">
        <v>2</v>
      </c>
      <c r="E396" s="2"/>
      <c r="F396" s="2">
        <v>0</v>
      </c>
      <c r="G396" s="2">
        <v>2</v>
      </c>
      <c r="H396" s="2">
        <v>0</v>
      </c>
      <c r="I396" s="2">
        <v>0</v>
      </c>
      <c r="J396" s="2"/>
      <c r="K396" s="2">
        <v>6</v>
      </c>
      <c r="L396" s="2">
        <v>0</v>
      </c>
      <c r="M396" s="2">
        <v>0</v>
      </c>
      <c r="N396" s="2">
        <v>6</v>
      </c>
      <c r="O396" s="2">
        <v>0</v>
      </c>
      <c r="P396" s="2">
        <v>0</v>
      </c>
      <c r="Q396" s="2" t="s">
        <v>3687</v>
      </c>
      <c r="R396" s="2" t="s">
        <v>3688</v>
      </c>
      <c r="S396" s="4">
        <v>44964</v>
      </c>
    </row>
    <row r="397" spans="1:19" ht="12.5" x14ac:dyDescent="0.25">
      <c r="A397" s="14" t="str">
        <f>HYPERLINK("https://gerandofalcoes.my.salesforce.com/0014X00002YggkRQAR", "0014X00002YggkRQAR")</f>
        <v>0014X00002YggkRQAR</v>
      </c>
      <c r="B397" s="2" t="s">
        <v>3652</v>
      </c>
      <c r="C397" s="2" t="s">
        <v>423</v>
      </c>
      <c r="D397" s="2" t="s">
        <v>2</v>
      </c>
      <c r="E397" s="2"/>
      <c r="F397" s="2">
        <v>0</v>
      </c>
      <c r="G397" s="2">
        <v>3</v>
      </c>
      <c r="H397" s="2">
        <v>20000</v>
      </c>
      <c r="I397" s="2">
        <v>80</v>
      </c>
      <c r="J397" s="2"/>
      <c r="K397" s="2">
        <v>23</v>
      </c>
      <c r="L397" s="2">
        <v>0</v>
      </c>
      <c r="M397" s="2">
        <v>0</v>
      </c>
      <c r="N397" s="2">
        <v>8</v>
      </c>
      <c r="O397" s="2">
        <v>5</v>
      </c>
      <c r="P397" s="2">
        <v>10</v>
      </c>
      <c r="Q397" s="2" t="s">
        <v>3653</v>
      </c>
      <c r="R397" s="2" t="s">
        <v>3653</v>
      </c>
      <c r="S397" s="4">
        <v>44964</v>
      </c>
    </row>
    <row r="398" spans="1:19" ht="12.5" x14ac:dyDescent="0.25">
      <c r="A398" s="14" t="str">
        <f>HYPERLINK("https://gerandofalcoes.my.salesforce.com/0014X00002YggmvQAB", "0014X00002YggmvQAB")</f>
        <v>0014X00002YggmvQAB</v>
      </c>
      <c r="B398" s="2" t="s">
        <v>3654</v>
      </c>
      <c r="C398" s="2" t="s">
        <v>423</v>
      </c>
      <c r="D398" s="2" t="s">
        <v>2</v>
      </c>
      <c r="E398" s="2"/>
      <c r="F398" s="2">
        <v>0</v>
      </c>
      <c r="G398" s="2">
        <v>2</v>
      </c>
      <c r="H398" s="2">
        <v>17500000</v>
      </c>
      <c r="I398" s="2">
        <v>84</v>
      </c>
      <c r="J398" s="2"/>
      <c r="K398" s="2">
        <v>41</v>
      </c>
      <c r="L398" s="2">
        <v>0</v>
      </c>
      <c r="M398" s="2">
        <v>0</v>
      </c>
      <c r="N398" s="2">
        <v>6</v>
      </c>
      <c r="O398" s="2">
        <v>25</v>
      </c>
      <c r="P398" s="2">
        <v>10</v>
      </c>
      <c r="Q398" s="2" t="s">
        <v>3655</v>
      </c>
      <c r="R398" s="2" t="s">
        <v>3656</v>
      </c>
      <c r="S398" s="4">
        <v>44964</v>
      </c>
    </row>
    <row r="399" spans="1:19" ht="12.5" x14ac:dyDescent="0.25">
      <c r="A399" s="14" t="str">
        <f>HYPERLINK("https://gerandofalcoes.my.salesforce.com/0014X00002Yggh1QAB", "0014X00002Yggh1QAB")</f>
        <v>0014X00002Yggh1QAB</v>
      </c>
      <c r="B399" s="2" t="s">
        <v>3675</v>
      </c>
      <c r="C399" s="2" t="s">
        <v>423</v>
      </c>
      <c r="D399" s="2" t="s">
        <v>2</v>
      </c>
      <c r="E399" s="2"/>
      <c r="F399" s="2">
        <v>23</v>
      </c>
      <c r="G399" s="2">
        <v>6</v>
      </c>
      <c r="H399" s="2">
        <v>99279054</v>
      </c>
      <c r="I399" s="2">
        <v>520</v>
      </c>
      <c r="J399" s="2"/>
      <c r="K399" s="2">
        <v>67</v>
      </c>
      <c r="L399" s="2">
        <v>0</v>
      </c>
      <c r="M399" s="2">
        <v>12</v>
      </c>
      <c r="N399" s="2">
        <v>10</v>
      </c>
      <c r="O399" s="2">
        <v>25</v>
      </c>
      <c r="P399" s="2">
        <v>20</v>
      </c>
      <c r="Q399" s="2" t="s">
        <v>3676</v>
      </c>
      <c r="R399" s="2" t="s">
        <v>3677</v>
      </c>
      <c r="S399" s="4">
        <v>44964</v>
      </c>
    </row>
    <row r="400" spans="1:19" ht="12.5" x14ac:dyDescent="0.25">
      <c r="A400" s="14" t="str">
        <f>HYPERLINK("https://gerandofalcoes.my.salesforce.com/0014X00002YggpeQAB", "0014X00002YggpeQAB")</f>
        <v>0014X00002YggpeQAB</v>
      </c>
      <c r="B400" s="2" t="s">
        <v>3670</v>
      </c>
      <c r="C400" s="2" t="s">
        <v>423</v>
      </c>
      <c r="D400" s="2" t="s">
        <v>2</v>
      </c>
      <c r="E400" s="2"/>
      <c r="F400" s="2">
        <v>0</v>
      </c>
      <c r="G400" s="2">
        <v>4</v>
      </c>
      <c r="H400" s="2">
        <v>32100</v>
      </c>
      <c r="I400" s="2">
        <v>0</v>
      </c>
      <c r="J400" s="2"/>
      <c r="K400" s="2">
        <v>20</v>
      </c>
      <c r="L400" s="2">
        <v>0</v>
      </c>
      <c r="M400" s="2">
        <v>0</v>
      </c>
      <c r="N400" s="2">
        <v>10</v>
      </c>
      <c r="O400" s="2">
        <v>10</v>
      </c>
      <c r="P400" s="2">
        <v>0</v>
      </c>
      <c r="Q400" s="2" t="s">
        <v>3671</v>
      </c>
      <c r="R400" s="2" t="s">
        <v>7149</v>
      </c>
      <c r="S400" s="4">
        <v>44964</v>
      </c>
    </row>
    <row r="401" spans="1:19" ht="12.5" x14ac:dyDescent="0.25">
      <c r="A401" s="14" t="str">
        <f>HYPERLINK("https://gerandofalcoes.my.salesforce.com/0014X00002YggniQAB", "0014X00002YggniQAB")</f>
        <v>0014X00002YggniQAB</v>
      </c>
      <c r="B401" s="2" t="s">
        <v>3647</v>
      </c>
      <c r="C401" s="2" t="s">
        <v>423</v>
      </c>
      <c r="D401" s="2" t="s">
        <v>2</v>
      </c>
      <c r="E401" s="2"/>
      <c r="F401" s="2">
        <v>30</v>
      </c>
      <c r="G401" s="2">
        <v>7</v>
      </c>
      <c r="H401" s="2">
        <v>1235895</v>
      </c>
      <c r="I401" s="2">
        <v>0</v>
      </c>
      <c r="J401" s="2"/>
      <c r="K401" s="2">
        <v>47</v>
      </c>
      <c r="L401" s="2">
        <v>0</v>
      </c>
      <c r="M401" s="2">
        <v>12</v>
      </c>
      <c r="N401" s="2">
        <v>10</v>
      </c>
      <c r="O401" s="2">
        <v>25</v>
      </c>
      <c r="P401" s="2">
        <v>0</v>
      </c>
      <c r="Q401" s="2" t="s">
        <v>3648</v>
      </c>
      <c r="R401" s="2" t="s">
        <v>3649</v>
      </c>
      <c r="S401" s="4">
        <v>44964</v>
      </c>
    </row>
    <row r="402" spans="1:19" ht="12.5" x14ac:dyDescent="0.25">
      <c r="A402" s="14" t="str">
        <f>HYPERLINK("https://gerandofalcoes.my.salesforce.com/0014X00002YgghUQAR", "0014X00002YgghUQAR")</f>
        <v>0014X00002YgghUQAR</v>
      </c>
      <c r="B402" s="2" t="s">
        <v>3771</v>
      </c>
      <c r="C402" s="2" t="s">
        <v>423</v>
      </c>
      <c r="D402" s="2" t="s">
        <v>2</v>
      </c>
      <c r="E402" s="2"/>
      <c r="F402" s="2">
        <v>10</v>
      </c>
      <c r="G402" s="2">
        <v>4</v>
      </c>
      <c r="H402" s="2">
        <v>1600</v>
      </c>
      <c r="I402" s="2">
        <v>0</v>
      </c>
      <c r="J402" s="2"/>
      <c r="K402" s="2">
        <v>25</v>
      </c>
      <c r="L402" s="2">
        <v>0</v>
      </c>
      <c r="M402" s="2">
        <v>10</v>
      </c>
      <c r="N402" s="2">
        <v>10</v>
      </c>
      <c r="O402" s="2">
        <v>5</v>
      </c>
      <c r="P402" s="2">
        <v>0</v>
      </c>
      <c r="Q402" s="2" t="s">
        <v>3772</v>
      </c>
      <c r="R402" s="2" t="s">
        <v>3772</v>
      </c>
      <c r="S402" s="4">
        <v>44967</v>
      </c>
    </row>
    <row r="403" spans="1:19" ht="12.5" x14ac:dyDescent="0.25">
      <c r="A403" s="14" t="str">
        <f>HYPERLINK("https://gerandofalcoes.my.salesforce.com/0014X00002YggkxQAB", "0014X00002YggkxQAB")</f>
        <v>0014X00002YggkxQAB</v>
      </c>
      <c r="B403" s="2" t="s">
        <v>3733</v>
      </c>
      <c r="C403" s="2" t="s">
        <v>423</v>
      </c>
      <c r="D403" s="2" t="s">
        <v>2</v>
      </c>
      <c r="E403" s="2"/>
      <c r="F403" s="2">
        <v>0</v>
      </c>
      <c r="G403" s="2">
        <v>3</v>
      </c>
      <c r="H403" s="2">
        <v>80000</v>
      </c>
      <c r="I403" s="2">
        <v>250</v>
      </c>
      <c r="J403" s="2"/>
      <c r="K403" s="2">
        <v>30</v>
      </c>
      <c r="L403" s="2">
        <v>0</v>
      </c>
      <c r="M403" s="2">
        <v>0</v>
      </c>
      <c r="N403" s="2">
        <v>8</v>
      </c>
      <c r="O403" s="2">
        <v>10</v>
      </c>
      <c r="P403" s="2">
        <v>12</v>
      </c>
      <c r="Q403" s="2" t="s">
        <v>3734</v>
      </c>
      <c r="R403" s="2" t="s">
        <v>3734</v>
      </c>
      <c r="S403" s="4">
        <v>44967</v>
      </c>
    </row>
    <row r="404" spans="1:19" ht="12.5" x14ac:dyDescent="0.25">
      <c r="A404" s="14" t="str">
        <f>HYPERLINK("https://gerandofalcoes.my.salesforce.com/0014X00002YggpvQAB", "0014X00002YggpvQAB")</f>
        <v>0014X00002YggpvQAB</v>
      </c>
      <c r="B404" s="2" t="s">
        <v>3729</v>
      </c>
      <c r="C404" s="2" t="s">
        <v>423</v>
      </c>
      <c r="D404" s="2" t="s">
        <v>2</v>
      </c>
      <c r="E404" s="2"/>
      <c r="F404" s="2">
        <v>12</v>
      </c>
      <c r="G404" s="2">
        <v>3</v>
      </c>
      <c r="H404" s="2">
        <v>50000</v>
      </c>
      <c r="I404" s="2">
        <v>200</v>
      </c>
      <c r="J404" s="2"/>
      <c r="K404" s="2">
        <v>42</v>
      </c>
      <c r="L404" s="2">
        <v>0</v>
      </c>
      <c r="M404" s="2">
        <v>12</v>
      </c>
      <c r="N404" s="2">
        <v>8</v>
      </c>
      <c r="O404" s="2">
        <v>10</v>
      </c>
      <c r="P404" s="2">
        <v>12</v>
      </c>
      <c r="Q404" s="2" t="s">
        <v>3730</v>
      </c>
      <c r="R404" s="2" t="s">
        <v>3730</v>
      </c>
      <c r="S404" s="4">
        <v>44967</v>
      </c>
    </row>
    <row r="405" spans="1:19" ht="12.5" x14ac:dyDescent="0.25">
      <c r="A405" s="14" t="str">
        <f>HYPERLINK("https://gerandofalcoes.my.salesforce.com/0014X00002YggqCQAR", "0014X00002YggqCQAR")</f>
        <v>0014X00002YggqCQAR</v>
      </c>
      <c r="B405" s="2" t="s">
        <v>3745</v>
      </c>
      <c r="C405" s="2" t="s">
        <v>423</v>
      </c>
      <c r="D405" s="2" t="s">
        <v>2</v>
      </c>
      <c r="E405" s="2"/>
      <c r="F405" s="2">
        <v>3</v>
      </c>
      <c r="G405" s="2">
        <v>2</v>
      </c>
      <c r="H405" s="2">
        <v>300</v>
      </c>
      <c r="I405" s="2">
        <v>70</v>
      </c>
      <c r="J405" s="2"/>
      <c r="K405" s="2">
        <v>21</v>
      </c>
      <c r="L405" s="2">
        <v>0</v>
      </c>
      <c r="M405" s="2">
        <v>5</v>
      </c>
      <c r="N405" s="2">
        <v>6</v>
      </c>
      <c r="O405" s="2">
        <v>5</v>
      </c>
      <c r="P405" s="2">
        <v>5</v>
      </c>
      <c r="Q405" s="2" t="s">
        <v>3746</v>
      </c>
      <c r="R405" s="2" t="s">
        <v>3746</v>
      </c>
      <c r="S405" s="4">
        <v>44967</v>
      </c>
    </row>
    <row r="406" spans="1:19" ht="12.5" x14ac:dyDescent="0.25">
      <c r="A406" s="14" t="str">
        <f>HYPERLINK("https://gerandofalcoes.my.salesforce.com/0014X00002YgggxQAB", "0014X00002YgggxQAB")</f>
        <v>0014X00002YgggxQAB</v>
      </c>
      <c r="B406" s="2" t="s">
        <v>3698</v>
      </c>
      <c r="C406" s="2" t="s">
        <v>423</v>
      </c>
      <c r="D406" s="2" t="s">
        <v>2</v>
      </c>
      <c r="E406" s="2"/>
      <c r="F406" s="2">
        <v>0</v>
      </c>
      <c r="G406" s="2">
        <v>2</v>
      </c>
      <c r="H406" s="2">
        <v>9151271</v>
      </c>
      <c r="I406" s="2">
        <v>50</v>
      </c>
      <c r="J406" s="2"/>
      <c r="K406" s="2">
        <v>36</v>
      </c>
      <c r="L406" s="2">
        <v>0</v>
      </c>
      <c r="M406" s="2">
        <v>0</v>
      </c>
      <c r="N406" s="2">
        <v>6</v>
      </c>
      <c r="O406" s="2">
        <v>25</v>
      </c>
      <c r="P406" s="2">
        <v>5</v>
      </c>
      <c r="Q406" s="2" t="s">
        <v>3699</v>
      </c>
      <c r="R406" s="2" t="s">
        <v>3700</v>
      </c>
      <c r="S406" s="4">
        <v>44967</v>
      </c>
    </row>
    <row r="407" spans="1:19" ht="12.5" x14ac:dyDescent="0.25">
      <c r="A407" s="14" t="str">
        <f>HYPERLINK("https://gerandofalcoes.my.salesforce.com/0014X00002YggkOQAR", "0014X00002YggkOQAR")</f>
        <v>0014X00002YggkOQAR</v>
      </c>
      <c r="B407" s="2" t="s">
        <v>3719</v>
      </c>
      <c r="C407" s="2" t="s">
        <v>423</v>
      </c>
      <c r="D407" s="2" t="s">
        <v>2</v>
      </c>
      <c r="E407" s="2"/>
      <c r="F407" s="2">
        <v>20</v>
      </c>
      <c r="G407" s="2">
        <v>4</v>
      </c>
      <c r="H407" s="2">
        <v>180000</v>
      </c>
      <c r="I407" s="2">
        <v>80</v>
      </c>
      <c r="J407" s="2"/>
      <c r="K407" s="2">
        <v>47</v>
      </c>
      <c r="L407" s="2">
        <v>0</v>
      </c>
      <c r="M407" s="2">
        <v>12</v>
      </c>
      <c r="N407" s="2">
        <v>10</v>
      </c>
      <c r="O407" s="2">
        <v>15</v>
      </c>
      <c r="P407" s="2">
        <v>10</v>
      </c>
      <c r="Q407" s="2" t="s">
        <v>3720</v>
      </c>
      <c r="R407" s="2" t="s">
        <v>3721</v>
      </c>
      <c r="S407" s="4">
        <v>44967</v>
      </c>
    </row>
    <row r="408" spans="1:19" ht="12.5" x14ac:dyDescent="0.25">
      <c r="A408" s="14" t="str">
        <f>HYPERLINK("https://gerandofalcoes.my.salesforce.com/0014X00002YggiKQAR", "0014X00002YggiKQAR")</f>
        <v>0014X00002YggiKQAR</v>
      </c>
      <c r="B408" s="2" t="s">
        <v>3743</v>
      </c>
      <c r="C408" s="2" t="s">
        <v>423</v>
      </c>
      <c r="D408" s="2" t="s">
        <v>2</v>
      </c>
      <c r="E408" s="2"/>
      <c r="F408" s="2">
        <v>0</v>
      </c>
      <c r="G408" s="2">
        <v>2</v>
      </c>
      <c r="H408" s="2">
        <v>1000</v>
      </c>
      <c r="I408" s="2">
        <v>100</v>
      </c>
      <c r="J408" s="2"/>
      <c r="K408" s="2">
        <v>21</v>
      </c>
      <c r="L408" s="2">
        <v>0</v>
      </c>
      <c r="M408" s="2">
        <v>0</v>
      </c>
      <c r="N408" s="2">
        <v>6</v>
      </c>
      <c r="O408" s="2">
        <v>5</v>
      </c>
      <c r="P408" s="2">
        <v>10</v>
      </c>
      <c r="Q408" s="2" t="s">
        <v>3744</v>
      </c>
      <c r="R408" s="2" t="s">
        <v>3744</v>
      </c>
      <c r="S408" s="4">
        <v>44967</v>
      </c>
    </row>
    <row r="409" spans="1:19" ht="12.5" x14ac:dyDescent="0.25">
      <c r="A409" s="14" t="str">
        <f>HYPERLINK("https://gerandofalcoes.my.salesforce.com/0014X00002Yjq5GQAR", "0014X00002Yjq5GQAR")</f>
        <v>0014X00002Yjq5GQAR</v>
      </c>
      <c r="B409" s="2" t="s">
        <v>3805</v>
      </c>
      <c r="C409" s="2" t="s">
        <v>423</v>
      </c>
      <c r="D409" s="2" t="s">
        <v>2</v>
      </c>
      <c r="E409" s="2">
        <v>0</v>
      </c>
      <c r="F409" s="2">
        <v>0</v>
      </c>
      <c r="G409" s="2">
        <v>1</v>
      </c>
      <c r="H409" s="2">
        <v>3000</v>
      </c>
      <c r="I409" s="2">
        <v>180</v>
      </c>
      <c r="J409" s="2" t="s">
        <v>7150</v>
      </c>
      <c r="K409" s="2">
        <v>21</v>
      </c>
      <c r="L409" s="2">
        <v>0</v>
      </c>
      <c r="M409" s="2">
        <v>0</v>
      </c>
      <c r="N409" s="2">
        <v>4</v>
      </c>
      <c r="O409" s="2">
        <v>5</v>
      </c>
      <c r="P409" s="2">
        <v>12</v>
      </c>
      <c r="Q409" s="2" t="s">
        <v>3806</v>
      </c>
      <c r="R409" s="2" t="s">
        <v>3806</v>
      </c>
      <c r="S409" s="4">
        <v>44985</v>
      </c>
    </row>
    <row r="410" spans="1:19" ht="12.5" x14ac:dyDescent="0.25">
      <c r="A410" s="14" t="str">
        <f>HYPERLINK("https://gerandofalcoes.my.salesforce.com/0014X00002YgghbQAB", "0014X00002YgghbQAB")</f>
        <v>0014X00002YgghbQAB</v>
      </c>
      <c r="B410" s="2" t="s">
        <v>3784</v>
      </c>
      <c r="C410" s="2" t="s">
        <v>423</v>
      </c>
      <c r="D410" s="2" t="s">
        <v>2</v>
      </c>
      <c r="E410" s="2"/>
      <c r="F410" s="2">
        <v>4</v>
      </c>
      <c r="G410" s="2">
        <v>6</v>
      </c>
      <c r="H410" s="2">
        <v>8000</v>
      </c>
      <c r="I410" s="2">
        <v>280</v>
      </c>
      <c r="J410" s="2"/>
      <c r="K410" s="2">
        <v>32</v>
      </c>
      <c r="L410" s="2">
        <v>0</v>
      </c>
      <c r="M410" s="2">
        <v>5</v>
      </c>
      <c r="N410" s="2">
        <v>10</v>
      </c>
      <c r="O410" s="2">
        <v>5</v>
      </c>
      <c r="P410" s="2">
        <v>12</v>
      </c>
      <c r="Q410" s="2" t="s">
        <v>3785</v>
      </c>
      <c r="R410" s="2" t="s">
        <v>3786</v>
      </c>
      <c r="S410" s="4">
        <v>44968</v>
      </c>
    </row>
    <row r="411" spans="1:19" ht="12.5" x14ac:dyDescent="0.25">
      <c r="A411" s="14" t="str">
        <f>HYPERLINK("https://gerandofalcoes.my.salesforce.com/0014X00002YgghrQAB", "0014X00002YgghrQAB")</f>
        <v>0014X00002YgghrQAB</v>
      </c>
      <c r="B411" s="2" t="s">
        <v>3775</v>
      </c>
      <c r="C411" s="2" t="s">
        <v>423</v>
      </c>
      <c r="D411" s="2" t="s">
        <v>2</v>
      </c>
      <c r="E411" s="2"/>
      <c r="F411" s="2">
        <v>12</v>
      </c>
      <c r="G411" s="2">
        <v>4</v>
      </c>
      <c r="H411" s="2">
        <v>700000</v>
      </c>
      <c r="I411" s="2">
        <v>410</v>
      </c>
      <c r="J411" s="2"/>
      <c r="K411" s="2">
        <v>57</v>
      </c>
      <c r="L411" s="2">
        <v>0</v>
      </c>
      <c r="M411" s="2">
        <v>12</v>
      </c>
      <c r="N411" s="2">
        <v>10</v>
      </c>
      <c r="O411" s="2">
        <v>20</v>
      </c>
      <c r="P411" s="2">
        <v>15</v>
      </c>
      <c r="Q411" s="2" t="s">
        <v>3776</v>
      </c>
      <c r="R411" s="2" t="s">
        <v>3776</v>
      </c>
      <c r="S411" s="4">
        <v>44968</v>
      </c>
    </row>
    <row r="412" spans="1:19" ht="12.5" x14ac:dyDescent="0.25">
      <c r="A412" s="14" t="str">
        <f>HYPERLINK("https://gerandofalcoes.my.salesforce.com/0014X00002YggiFQAR", "0014X00002YggiFQAR")</f>
        <v>0014X00002YggiFQAR</v>
      </c>
      <c r="B412" s="2" t="s">
        <v>3794</v>
      </c>
      <c r="C412" s="2" t="s">
        <v>423</v>
      </c>
      <c r="D412" s="2" t="s">
        <v>2</v>
      </c>
      <c r="E412" s="2"/>
      <c r="F412" s="2">
        <v>2</v>
      </c>
      <c r="G412" s="2">
        <v>2</v>
      </c>
      <c r="H412" s="2">
        <v>200</v>
      </c>
      <c r="I412" s="2">
        <v>50</v>
      </c>
      <c r="J412" s="2"/>
      <c r="K412" s="2">
        <v>21</v>
      </c>
      <c r="L412" s="2">
        <v>0</v>
      </c>
      <c r="M412" s="2">
        <v>5</v>
      </c>
      <c r="N412" s="2">
        <v>6</v>
      </c>
      <c r="O412" s="2">
        <v>5</v>
      </c>
      <c r="P412" s="2">
        <v>5</v>
      </c>
      <c r="Q412" s="2" t="s">
        <v>3795</v>
      </c>
      <c r="R412" s="2" t="s">
        <v>3795</v>
      </c>
      <c r="S412" s="4">
        <v>44968</v>
      </c>
    </row>
    <row r="413" spans="1:19" ht="12.5" x14ac:dyDescent="0.25">
      <c r="A413" s="14" t="str">
        <f>HYPERLINK("https://gerandofalcoes.my.salesforce.com/0014X00002YgghAQAR", "0014X00002YgghAQAR")</f>
        <v>0014X00002YgghAQAR</v>
      </c>
      <c r="B413" s="2" t="s">
        <v>3695</v>
      </c>
      <c r="C413" s="2" t="s">
        <v>423</v>
      </c>
      <c r="D413" s="2" t="s">
        <v>2</v>
      </c>
      <c r="E413" s="2"/>
      <c r="F413" s="2">
        <v>36</v>
      </c>
      <c r="G413" s="2">
        <v>11</v>
      </c>
      <c r="H413" s="2">
        <v>237000</v>
      </c>
      <c r="I413" s="2">
        <v>450</v>
      </c>
      <c r="J413" s="2"/>
      <c r="K413" s="2">
        <v>60</v>
      </c>
      <c r="L413" s="2">
        <v>0</v>
      </c>
      <c r="M413" s="2">
        <v>15</v>
      </c>
      <c r="N413" s="2">
        <v>10</v>
      </c>
      <c r="O413" s="2">
        <v>15</v>
      </c>
      <c r="P413" s="2">
        <v>20</v>
      </c>
      <c r="Q413" s="2" t="s">
        <v>3696</v>
      </c>
      <c r="R413" s="2" t="s">
        <v>3697</v>
      </c>
      <c r="S413" s="4">
        <v>44967</v>
      </c>
    </row>
    <row r="414" spans="1:19" ht="12.5" x14ac:dyDescent="0.25">
      <c r="A414" s="14" t="str">
        <f>HYPERLINK("https://gerandofalcoes.my.salesforce.com/0014X00002YggmmQAB", "0014X00002YggmmQAB")</f>
        <v>0014X00002YggmmQAB</v>
      </c>
      <c r="B414" s="2" t="s">
        <v>3752</v>
      </c>
      <c r="C414" s="2" t="s">
        <v>423</v>
      </c>
      <c r="D414" s="2" t="s">
        <v>2</v>
      </c>
      <c r="E414" s="2"/>
      <c r="F414" s="2">
        <v>0</v>
      </c>
      <c r="G414" s="2">
        <v>4</v>
      </c>
      <c r="H414" s="2">
        <v>1500</v>
      </c>
      <c r="I414" s="2">
        <v>30</v>
      </c>
      <c r="J414" s="2"/>
      <c r="K414" s="2">
        <v>20</v>
      </c>
      <c r="L414" s="2">
        <v>0</v>
      </c>
      <c r="M414" s="2">
        <v>0</v>
      </c>
      <c r="N414" s="2">
        <v>10</v>
      </c>
      <c r="O414" s="2">
        <v>5</v>
      </c>
      <c r="P414" s="2">
        <v>5</v>
      </c>
      <c r="Q414" s="2" t="s">
        <v>3753</v>
      </c>
      <c r="R414" s="2" t="s">
        <v>3754</v>
      </c>
      <c r="S414" s="4">
        <v>44967</v>
      </c>
    </row>
    <row r="415" spans="1:19" ht="12.5" x14ac:dyDescent="0.25">
      <c r="A415" s="14" t="str">
        <f>HYPERLINK("https://gerandofalcoes.my.salesforce.com/0014X00002YggoEQAR", "0014X00002YggoEQAR")</f>
        <v>0014X00002YggoEQAR</v>
      </c>
      <c r="B415" s="2" t="s">
        <v>3701</v>
      </c>
      <c r="C415" s="2" t="s">
        <v>423</v>
      </c>
      <c r="D415" s="2" t="s">
        <v>2</v>
      </c>
      <c r="E415" s="2"/>
      <c r="F415" s="2">
        <v>0</v>
      </c>
      <c r="G415" s="2">
        <v>2</v>
      </c>
      <c r="H415" s="2">
        <v>1000</v>
      </c>
      <c r="I415" s="2">
        <v>30</v>
      </c>
      <c r="J415" s="2"/>
      <c r="K415" s="2">
        <v>16</v>
      </c>
      <c r="L415" s="2">
        <v>0</v>
      </c>
      <c r="M415" s="2">
        <v>0</v>
      </c>
      <c r="N415" s="2">
        <v>6</v>
      </c>
      <c r="O415" s="2">
        <v>5</v>
      </c>
      <c r="P415" s="2">
        <v>5</v>
      </c>
      <c r="Q415" s="2" t="s">
        <v>3702</v>
      </c>
      <c r="R415" s="2" t="s">
        <v>3702</v>
      </c>
      <c r="S415" s="4">
        <v>44967</v>
      </c>
    </row>
    <row r="416" spans="1:19" ht="12.5" x14ac:dyDescent="0.25">
      <c r="A416" s="14" t="str">
        <f>HYPERLINK("https://gerandofalcoes.my.salesforce.com/0014X00002YggoCQAR", "0014X00002YggoCQAR")</f>
        <v>0014X00002YggoCQAR</v>
      </c>
      <c r="B416" s="2" t="s">
        <v>3727</v>
      </c>
      <c r="C416" s="2" t="s">
        <v>423</v>
      </c>
      <c r="D416" s="2" t="s">
        <v>2</v>
      </c>
      <c r="E416" s="2"/>
      <c r="F416" s="2">
        <v>0</v>
      </c>
      <c r="G416" s="2">
        <v>2</v>
      </c>
      <c r="H416" s="2">
        <v>5000</v>
      </c>
      <c r="I416" s="2">
        <v>50</v>
      </c>
      <c r="J416" s="2"/>
      <c r="K416" s="2">
        <v>16</v>
      </c>
      <c r="L416" s="2">
        <v>0</v>
      </c>
      <c r="M416" s="2">
        <v>0</v>
      </c>
      <c r="N416" s="2">
        <v>6</v>
      </c>
      <c r="O416" s="2">
        <v>5</v>
      </c>
      <c r="P416" s="2">
        <v>5</v>
      </c>
      <c r="Q416" s="2" t="s">
        <v>3728</v>
      </c>
      <c r="R416" s="2" t="s">
        <v>3728</v>
      </c>
      <c r="S416" s="4">
        <v>44967</v>
      </c>
    </row>
    <row r="417" spans="1:19" ht="12.5" x14ac:dyDescent="0.25">
      <c r="A417" s="14" t="str">
        <f>HYPERLINK("https://gerandofalcoes.my.salesforce.com/0014X00002YgbkqQAB", "0014X00002YgbkqQAB")</f>
        <v>0014X00002YgbkqQAB</v>
      </c>
      <c r="B417" s="2" t="s">
        <v>3773</v>
      </c>
      <c r="C417" s="2" t="s">
        <v>423</v>
      </c>
      <c r="D417" s="2" t="s">
        <v>2</v>
      </c>
      <c r="E417" s="2"/>
      <c r="F417" s="2">
        <v>0</v>
      </c>
      <c r="G417" s="2">
        <v>0</v>
      </c>
      <c r="H417" s="2">
        <v>0</v>
      </c>
      <c r="I417" s="2">
        <v>0</v>
      </c>
      <c r="J417" s="2"/>
      <c r="K417" s="2">
        <v>0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 t="s">
        <v>3774</v>
      </c>
      <c r="R417" s="2" t="s">
        <v>3774</v>
      </c>
      <c r="S417" s="4">
        <v>44967</v>
      </c>
    </row>
    <row r="418" spans="1:19" ht="12.5" x14ac:dyDescent="0.25">
      <c r="A418" s="14" t="str">
        <f>HYPERLINK("https://gerandofalcoes.my.salesforce.com/0014X00002YggitQAB", "0014X00002YggitQAB")</f>
        <v>0014X00002YggitQAB</v>
      </c>
      <c r="B418" s="2" t="s">
        <v>3781</v>
      </c>
      <c r="C418" s="2" t="s">
        <v>423</v>
      </c>
      <c r="D418" s="2" t="s">
        <v>2</v>
      </c>
      <c r="E418" s="2"/>
      <c r="F418" s="2">
        <v>0</v>
      </c>
      <c r="G418" s="2">
        <v>2</v>
      </c>
      <c r="H418" s="2">
        <v>0</v>
      </c>
      <c r="I418" s="2">
        <v>40</v>
      </c>
      <c r="J418" s="2"/>
      <c r="K418" s="2">
        <v>11</v>
      </c>
      <c r="L418" s="2">
        <v>0</v>
      </c>
      <c r="M418" s="2">
        <v>0</v>
      </c>
      <c r="N418" s="2">
        <v>6</v>
      </c>
      <c r="O418" s="2">
        <v>0</v>
      </c>
      <c r="P418" s="2">
        <v>5</v>
      </c>
      <c r="Q418" s="2" t="s">
        <v>3782</v>
      </c>
      <c r="R418" s="2" t="s">
        <v>3783</v>
      </c>
      <c r="S418" s="4">
        <v>44968</v>
      </c>
    </row>
    <row r="419" spans="1:19" ht="12.5" x14ac:dyDescent="0.25">
      <c r="A419" s="14" t="str">
        <f>HYPERLINK("https://gerandofalcoes.my.salesforce.com/0014X00002YgbkhQAB", "0014X00002YgbkhQAB")</f>
        <v>0014X00002YgbkhQAB</v>
      </c>
      <c r="B419" s="2" t="s">
        <v>3798</v>
      </c>
      <c r="C419" s="2" t="s">
        <v>423</v>
      </c>
      <c r="D419" s="2" t="s">
        <v>2</v>
      </c>
      <c r="E419" s="2"/>
      <c r="F419" s="2">
        <v>0</v>
      </c>
      <c r="G419" s="2">
        <v>0</v>
      </c>
      <c r="H419" s="2">
        <v>0</v>
      </c>
      <c r="I419" s="2">
        <v>0</v>
      </c>
      <c r="J419" s="2"/>
      <c r="K419" s="2">
        <v>0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 t="s">
        <v>3799</v>
      </c>
      <c r="R419" s="2" t="s">
        <v>3799</v>
      </c>
      <c r="S419" s="4">
        <v>44970</v>
      </c>
    </row>
    <row r="420" spans="1:19" ht="12.5" x14ac:dyDescent="0.25">
      <c r="A420" s="14" t="str">
        <f>HYPERLINK("https://gerandofalcoes.my.salesforce.com/0014X00002YggiPQAR", "0014X00002YggiPQAR")</f>
        <v>0014X00002YggiPQAR</v>
      </c>
      <c r="B420" s="2" t="s">
        <v>3033</v>
      </c>
      <c r="C420" s="2" t="s">
        <v>423</v>
      </c>
      <c r="D420" s="2" t="s">
        <v>2</v>
      </c>
      <c r="E420" s="2"/>
      <c r="F420" s="2">
        <v>1</v>
      </c>
      <c r="G420" s="2">
        <v>2</v>
      </c>
      <c r="H420" s="2">
        <v>600</v>
      </c>
      <c r="I420" s="2">
        <v>0</v>
      </c>
      <c r="J420" s="2"/>
      <c r="K420" s="2">
        <v>16</v>
      </c>
      <c r="L420" s="2">
        <v>0</v>
      </c>
      <c r="M420" s="2">
        <v>5</v>
      </c>
      <c r="N420" s="2">
        <v>6</v>
      </c>
      <c r="O420" s="2">
        <v>5</v>
      </c>
      <c r="P420" s="2">
        <v>0</v>
      </c>
      <c r="Q420" s="2" t="s">
        <v>3034</v>
      </c>
      <c r="R420" s="2" t="s">
        <v>3034</v>
      </c>
      <c r="S420" s="4">
        <v>44945</v>
      </c>
    </row>
    <row r="421" spans="1:19" ht="12.5" x14ac:dyDescent="0.25">
      <c r="A421" s="14" t="str">
        <f>HYPERLINK("https://gerandofalcoes.my.salesforce.com/0014X00002YggjrQAB", "0014X00002YggjrQAB")</f>
        <v>0014X00002YggjrQAB</v>
      </c>
      <c r="B421" s="2" t="s">
        <v>3040</v>
      </c>
      <c r="C421" s="2" t="s">
        <v>423</v>
      </c>
      <c r="D421" s="2" t="s">
        <v>2</v>
      </c>
      <c r="E421" s="2"/>
      <c r="F421" s="2">
        <v>0</v>
      </c>
      <c r="G421" s="2">
        <v>2</v>
      </c>
      <c r="H421" s="2">
        <v>86000</v>
      </c>
      <c r="I421" s="2">
        <v>170</v>
      </c>
      <c r="J421" s="2"/>
      <c r="K421" s="2">
        <v>28</v>
      </c>
      <c r="L421" s="2">
        <v>0</v>
      </c>
      <c r="M421" s="2">
        <v>0</v>
      </c>
      <c r="N421" s="2">
        <v>6</v>
      </c>
      <c r="O421" s="2">
        <v>10</v>
      </c>
      <c r="P421" s="2">
        <v>12</v>
      </c>
      <c r="Q421" s="2" t="s">
        <v>3041</v>
      </c>
      <c r="R421" s="2" t="s">
        <v>3042</v>
      </c>
      <c r="S421" s="4">
        <v>44945</v>
      </c>
    </row>
    <row r="422" spans="1:19" ht="12.5" x14ac:dyDescent="0.25">
      <c r="A422" s="14" t="str">
        <f>HYPERLINK("https://gerandofalcoes.my.salesforce.com/0014X00002YggiJQAR", "0014X00002YggiJQAR")</f>
        <v>0014X00002YggiJQAR</v>
      </c>
      <c r="B422" s="2" t="s">
        <v>3069</v>
      </c>
      <c r="C422" s="2" t="s">
        <v>423</v>
      </c>
      <c r="D422" s="2" t="s">
        <v>2</v>
      </c>
      <c r="E422" s="2"/>
      <c r="F422" s="2">
        <v>1</v>
      </c>
      <c r="G422" s="2">
        <v>2</v>
      </c>
      <c r="H422" s="2">
        <v>0</v>
      </c>
      <c r="I422" s="2">
        <v>1200</v>
      </c>
      <c r="J422" s="2"/>
      <c r="K422" s="2">
        <v>31</v>
      </c>
      <c r="L422" s="2">
        <v>0</v>
      </c>
      <c r="M422" s="2">
        <v>5</v>
      </c>
      <c r="N422" s="2">
        <v>6</v>
      </c>
      <c r="O422" s="2">
        <v>0</v>
      </c>
      <c r="P422" s="2">
        <v>20</v>
      </c>
      <c r="Q422" s="2" t="s">
        <v>3070</v>
      </c>
      <c r="R422" s="2" t="s">
        <v>3071</v>
      </c>
      <c r="S422" s="4">
        <v>44946</v>
      </c>
    </row>
    <row r="423" spans="1:19" ht="12.5" x14ac:dyDescent="0.25">
      <c r="A423" s="14" t="str">
        <f>HYPERLINK("https://gerandofalcoes.my.salesforce.com/0014X00002YggqVQAR", "0014X00002YggqVQAR")</f>
        <v>0014X00002YggqVQAR</v>
      </c>
      <c r="B423" s="2" t="s">
        <v>3013</v>
      </c>
      <c r="C423" s="2" t="s">
        <v>423</v>
      </c>
      <c r="D423" s="2" t="s">
        <v>2</v>
      </c>
      <c r="E423" s="2"/>
      <c r="F423" s="2">
        <v>1</v>
      </c>
      <c r="G423" s="2">
        <v>3</v>
      </c>
      <c r="H423" s="2">
        <v>12000</v>
      </c>
      <c r="I423" s="2">
        <v>40</v>
      </c>
      <c r="J423" s="2"/>
      <c r="K423" s="2">
        <v>23</v>
      </c>
      <c r="L423" s="2">
        <v>0</v>
      </c>
      <c r="M423" s="2">
        <v>5</v>
      </c>
      <c r="N423" s="2">
        <v>8</v>
      </c>
      <c r="O423" s="2">
        <v>5</v>
      </c>
      <c r="P423" s="2">
        <v>5</v>
      </c>
      <c r="Q423" s="2" t="s">
        <v>3014</v>
      </c>
      <c r="R423" s="2" t="s">
        <v>3015</v>
      </c>
      <c r="S423" s="4">
        <v>44945</v>
      </c>
    </row>
    <row r="424" spans="1:19" ht="12.5" x14ac:dyDescent="0.25">
      <c r="A424" s="14" t="str">
        <f>HYPERLINK("https://gerandofalcoes.my.salesforce.com/0014X00002VKCpIQAX", "0014X00002VKCpIQAX")</f>
        <v>0014X00002VKCpIQAX</v>
      </c>
      <c r="B424" s="2" t="s">
        <v>2523</v>
      </c>
      <c r="C424" s="2" t="s">
        <v>423</v>
      </c>
      <c r="D424" s="2" t="s">
        <v>2</v>
      </c>
      <c r="E424" s="2">
        <v>21</v>
      </c>
      <c r="F424" s="2">
        <v>0</v>
      </c>
      <c r="G424" s="2">
        <v>4</v>
      </c>
      <c r="H424" s="2">
        <v>300</v>
      </c>
      <c r="I424" s="2">
        <v>50</v>
      </c>
      <c r="J424" s="2" t="s">
        <v>1779</v>
      </c>
      <c r="K424" s="2">
        <v>30</v>
      </c>
      <c r="L424" s="2">
        <v>10</v>
      </c>
      <c r="M424" s="2">
        <v>0</v>
      </c>
      <c r="N424" s="2">
        <v>10</v>
      </c>
      <c r="O424" s="2">
        <v>5</v>
      </c>
      <c r="P424" s="2">
        <v>5</v>
      </c>
      <c r="Q424" s="2" t="s">
        <v>2524</v>
      </c>
      <c r="R424" s="2" t="s">
        <v>2525</v>
      </c>
      <c r="S424" s="4">
        <v>44837</v>
      </c>
    </row>
    <row r="425" spans="1:19" ht="12.5" x14ac:dyDescent="0.25">
      <c r="A425" s="14" t="str">
        <f>HYPERLINK("https://gerandofalcoes.my.salesforce.com/0014X00002VKCqHQAX", "0014X00002VKCqHQAX")</f>
        <v>0014X00002VKCqHQAX</v>
      </c>
      <c r="B425" s="2" t="s">
        <v>1829</v>
      </c>
      <c r="C425" s="2" t="s">
        <v>423</v>
      </c>
      <c r="D425" s="2" t="s">
        <v>2</v>
      </c>
      <c r="E425" s="2">
        <v>50</v>
      </c>
      <c r="F425" s="2">
        <v>0</v>
      </c>
      <c r="G425" s="2">
        <v>5</v>
      </c>
      <c r="H425" s="2">
        <v>521000</v>
      </c>
      <c r="I425" s="2">
        <v>155</v>
      </c>
      <c r="J425" s="2" t="s">
        <v>1671</v>
      </c>
      <c r="K425" s="2">
        <v>62</v>
      </c>
      <c r="L425" s="2">
        <v>20</v>
      </c>
      <c r="M425" s="2">
        <v>0</v>
      </c>
      <c r="N425" s="2">
        <v>10</v>
      </c>
      <c r="O425" s="2">
        <v>20</v>
      </c>
      <c r="P425" s="2">
        <v>12</v>
      </c>
      <c r="Q425" s="2" t="s">
        <v>1830</v>
      </c>
      <c r="R425" s="2" t="s">
        <v>1831</v>
      </c>
      <c r="S425" s="4">
        <v>44837</v>
      </c>
    </row>
    <row r="426" spans="1:19" ht="12.5" x14ac:dyDescent="0.25">
      <c r="A426" s="14" t="str">
        <f>HYPERLINK("https://gerandofalcoes.my.salesforce.com/0014X00002VKCqZQAX", "0014X00002VKCqZQAX")</f>
        <v>0014X00002VKCqZQAX</v>
      </c>
      <c r="B426" s="2" t="s">
        <v>2315</v>
      </c>
      <c r="C426" s="2" t="s">
        <v>423</v>
      </c>
      <c r="D426" s="2" t="s">
        <v>2</v>
      </c>
      <c r="E426" s="2">
        <v>38</v>
      </c>
      <c r="F426" s="2">
        <v>0</v>
      </c>
      <c r="G426" s="2">
        <v>25</v>
      </c>
      <c r="H426" s="2">
        <v>31680</v>
      </c>
      <c r="I426" s="2">
        <v>30</v>
      </c>
      <c r="J426" s="2" t="s">
        <v>1671</v>
      </c>
      <c r="K426" s="2">
        <v>40</v>
      </c>
      <c r="L426" s="2">
        <v>15</v>
      </c>
      <c r="M426" s="2">
        <v>0</v>
      </c>
      <c r="N426" s="2">
        <v>10</v>
      </c>
      <c r="O426" s="2">
        <v>10</v>
      </c>
      <c r="P426" s="2">
        <v>5</v>
      </c>
      <c r="Q426" s="2" t="s">
        <v>2316</v>
      </c>
      <c r="R426" s="2" t="s">
        <v>2316</v>
      </c>
      <c r="S426" s="4">
        <v>44837</v>
      </c>
    </row>
    <row r="427" spans="1:19" ht="12.5" x14ac:dyDescent="0.25">
      <c r="A427" s="14" t="str">
        <f>HYPERLINK("https://gerandofalcoes.my.salesforce.com/0014X00002VKCuBQAX", "0014X00002VKCuBQAX")</f>
        <v>0014X00002VKCuBQAX</v>
      </c>
      <c r="B427" s="2" t="s">
        <v>2038</v>
      </c>
      <c r="C427" s="2" t="s">
        <v>423</v>
      </c>
      <c r="D427" s="2" t="s">
        <v>2</v>
      </c>
      <c r="E427" s="2">
        <v>37</v>
      </c>
      <c r="F427" s="2">
        <v>0</v>
      </c>
      <c r="G427" s="2">
        <v>2</v>
      </c>
      <c r="H427" s="2">
        <v>10000</v>
      </c>
      <c r="I427" s="2">
        <v>102</v>
      </c>
      <c r="J427" s="2" t="s">
        <v>1779</v>
      </c>
      <c r="K427" s="2">
        <v>36</v>
      </c>
      <c r="L427" s="2">
        <v>15</v>
      </c>
      <c r="M427" s="2">
        <v>0</v>
      </c>
      <c r="N427" s="2">
        <v>6</v>
      </c>
      <c r="O427" s="2">
        <v>5</v>
      </c>
      <c r="P427" s="2">
        <v>10</v>
      </c>
      <c r="Q427" s="2" t="s">
        <v>2039</v>
      </c>
      <c r="R427" s="2" t="s">
        <v>2039</v>
      </c>
      <c r="S427" s="4">
        <v>44837</v>
      </c>
    </row>
    <row r="428" spans="1:19" ht="12.5" x14ac:dyDescent="0.25">
      <c r="A428" s="14" t="str">
        <f>HYPERLINK("https://gerandofalcoes.my.salesforce.com/0014X00002VKCuKQAX", "0014X00002VKCuKQAX")</f>
        <v>0014X00002VKCuKQAX</v>
      </c>
      <c r="B428" s="2" t="s">
        <v>1879</v>
      </c>
      <c r="C428" s="2" t="s">
        <v>423</v>
      </c>
      <c r="D428" s="2" t="s">
        <v>2</v>
      </c>
      <c r="E428" s="2">
        <v>40</v>
      </c>
      <c r="F428" s="2">
        <v>2</v>
      </c>
      <c r="G428" s="2">
        <v>1</v>
      </c>
      <c r="H428" s="2">
        <v>50000</v>
      </c>
      <c r="I428" s="2">
        <v>20</v>
      </c>
      <c r="J428" s="2" t="s">
        <v>1779</v>
      </c>
      <c r="K428" s="2">
        <v>39</v>
      </c>
      <c r="L428" s="2">
        <v>15</v>
      </c>
      <c r="M428" s="2">
        <v>5</v>
      </c>
      <c r="N428" s="2">
        <v>4</v>
      </c>
      <c r="O428" s="2">
        <v>10</v>
      </c>
      <c r="P428" s="2">
        <v>5</v>
      </c>
      <c r="Q428" s="2" t="s">
        <v>1880</v>
      </c>
      <c r="R428" s="2" t="s">
        <v>1880</v>
      </c>
      <c r="S428" s="4">
        <v>44837</v>
      </c>
    </row>
    <row r="429" spans="1:19" ht="12.5" x14ac:dyDescent="0.25">
      <c r="A429" s="14" t="str">
        <f>HYPERLINK("https://gerandofalcoes.my.salesforce.com/0014X00002VKCptQAH", "0014X00002VKCptQAH")</f>
        <v>0014X00002VKCptQAH</v>
      </c>
      <c r="B429" s="2" t="s">
        <v>2230</v>
      </c>
      <c r="C429" s="2" t="s">
        <v>423</v>
      </c>
      <c r="D429" s="2" t="s">
        <v>2</v>
      </c>
      <c r="E429" s="2">
        <v>40</v>
      </c>
      <c r="F429" s="2">
        <v>8</v>
      </c>
      <c r="G429" s="2">
        <v>0</v>
      </c>
      <c r="H429" s="2">
        <v>0</v>
      </c>
      <c r="I429" s="2">
        <v>44</v>
      </c>
      <c r="J429" s="2" t="s">
        <v>1779</v>
      </c>
      <c r="K429" s="2">
        <v>30</v>
      </c>
      <c r="L429" s="2">
        <v>15</v>
      </c>
      <c r="M429" s="2">
        <v>10</v>
      </c>
      <c r="N429" s="2">
        <v>0</v>
      </c>
      <c r="O429" s="2">
        <v>0</v>
      </c>
      <c r="P429" s="2">
        <v>5</v>
      </c>
      <c r="Q429" s="2" t="s">
        <v>2231</v>
      </c>
      <c r="R429" s="2" t="s">
        <v>2232</v>
      </c>
      <c r="S429" s="4">
        <v>44837</v>
      </c>
    </row>
    <row r="430" spans="1:19" ht="12.5" x14ac:dyDescent="0.25">
      <c r="A430" s="14" t="str">
        <f>HYPERLINK("https://gerandofalcoes.my.salesforce.com/0014X00002VKCowQAH", "0014X00002VKCowQAH")</f>
        <v>0014X00002VKCowQAH</v>
      </c>
      <c r="B430" s="2" t="s">
        <v>2549</v>
      </c>
      <c r="C430" s="2" t="s">
        <v>423</v>
      </c>
      <c r="D430" s="2" t="s">
        <v>2</v>
      </c>
      <c r="E430" s="2">
        <v>27</v>
      </c>
      <c r="F430" s="2">
        <v>0</v>
      </c>
      <c r="G430" s="2">
        <v>0</v>
      </c>
      <c r="H430" s="2">
        <v>0</v>
      </c>
      <c r="I430" s="2">
        <v>100</v>
      </c>
      <c r="J430" s="2" t="s">
        <v>1779</v>
      </c>
      <c r="K430" s="2">
        <v>25</v>
      </c>
      <c r="L430" s="2">
        <v>15</v>
      </c>
      <c r="M430" s="2">
        <v>0</v>
      </c>
      <c r="N430" s="2">
        <v>0</v>
      </c>
      <c r="O430" s="2">
        <v>0</v>
      </c>
      <c r="P430" s="2">
        <v>10</v>
      </c>
      <c r="Q430" s="2" t="s">
        <v>2550</v>
      </c>
      <c r="R430" s="2" t="s">
        <v>2550</v>
      </c>
      <c r="S430" s="4">
        <v>44837</v>
      </c>
    </row>
    <row r="431" spans="1:19" ht="12.5" x14ac:dyDescent="0.25">
      <c r="A431" s="14" t="str">
        <f>HYPERLINK("https://gerandofalcoes.my.salesforce.com/0014X00002VKCsYQAX", "0014X00002VKCsYQAX")</f>
        <v>0014X00002VKCsYQAX</v>
      </c>
      <c r="B431" s="2" t="s">
        <v>2413</v>
      </c>
      <c r="C431" s="2" t="s">
        <v>423</v>
      </c>
      <c r="D431" s="2" t="s">
        <v>2</v>
      </c>
      <c r="E431" s="2">
        <v>25</v>
      </c>
      <c r="F431" s="2">
        <v>0</v>
      </c>
      <c r="G431" s="2">
        <v>1</v>
      </c>
      <c r="H431" s="2">
        <v>0</v>
      </c>
      <c r="I431" s="2">
        <v>64</v>
      </c>
      <c r="J431" s="2" t="s">
        <v>1779</v>
      </c>
      <c r="K431" s="2">
        <v>24</v>
      </c>
      <c r="L431" s="2">
        <v>15</v>
      </c>
      <c r="M431" s="2">
        <v>0</v>
      </c>
      <c r="N431" s="2">
        <v>4</v>
      </c>
      <c r="O431" s="2">
        <v>0</v>
      </c>
      <c r="P431" s="2">
        <v>5</v>
      </c>
      <c r="Q431" s="2" t="s">
        <v>2414</v>
      </c>
      <c r="R431" s="2" t="s">
        <v>2414</v>
      </c>
      <c r="S431" s="4">
        <v>44837</v>
      </c>
    </row>
    <row r="432" spans="1:19" ht="12.5" x14ac:dyDescent="0.25">
      <c r="A432" s="14" t="str">
        <f>HYPERLINK("https://gerandofalcoes.my.salesforce.com/0014X00002VKCusQAH", "0014X00002VKCusQAH")</f>
        <v>0014X00002VKCusQAH</v>
      </c>
      <c r="B432" s="2" t="s">
        <v>1946</v>
      </c>
      <c r="C432" s="2" t="s">
        <v>423</v>
      </c>
      <c r="D432" s="2" t="s">
        <v>2</v>
      </c>
      <c r="E432" s="2">
        <v>41</v>
      </c>
      <c r="F432" s="2">
        <v>0</v>
      </c>
      <c r="G432" s="2">
        <v>2</v>
      </c>
      <c r="H432" s="2">
        <v>3000</v>
      </c>
      <c r="I432" s="2">
        <v>262</v>
      </c>
      <c r="J432" s="2" t="s">
        <v>1779</v>
      </c>
      <c r="K432" s="2">
        <v>38</v>
      </c>
      <c r="L432" s="2">
        <v>15</v>
      </c>
      <c r="M432" s="2">
        <v>0</v>
      </c>
      <c r="N432" s="2">
        <v>6</v>
      </c>
      <c r="O432" s="2">
        <v>5</v>
      </c>
      <c r="P432" s="2">
        <v>12</v>
      </c>
      <c r="Q432" s="2" t="s">
        <v>1947</v>
      </c>
      <c r="R432" s="2" t="s">
        <v>1948</v>
      </c>
      <c r="S432" s="4">
        <v>44837</v>
      </c>
    </row>
    <row r="433" spans="1:19" ht="12.5" x14ac:dyDescent="0.25">
      <c r="A433" s="14" t="str">
        <f>HYPERLINK("https://gerandofalcoes.my.salesforce.com/0014X00002VKCpnQAH", "0014X00002VKCpnQAH")</f>
        <v>0014X00002VKCpnQAH</v>
      </c>
      <c r="B433" s="2" t="s">
        <v>2965</v>
      </c>
      <c r="C433" s="2" t="s">
        <v>423</v>
      </c>
      <c r="D433" s="2" t="s">
        <v>2</v>
      </c>
      <c r="E433" s="2">
        <v>13</v>
      </c>
      <c r="F433" s="2">
        <v>0</v>
      </c>
      <c r="G433" s="2">
        <v>1</v>
      </c>
      <c r="H433" s="2">
        <v>10000</v>
      </c>
      <c r="I433" s="2">
        <v>0</v>
      </c>
      <c r="J433" s="2" t="s">
        <v>1779</v>
      </c>
      <c r="K433" s="2">
        <v>19</v>
      </c>
      <c r="L433" s="2">
        <v>10</v>
      </c>
      <c r="M433" s="2">
        <v>0</v>
      </c>
      <c r="N433" s="2">
        <v>4</v>
      </c>
      <c r="O433" s="2">
        <v>5</v>
      </c>
      <c r="P433" s="2">
        <v>0</v>
      </c>
      <c r="Q433" s="2" t="s">
        <v>2966</v>
      </c>
      <c r="R433" s="2" t="s">
        <v>2966</v>
      </c>
      <c r="S433" s="4">
        <v>44837</v>
      </c>
    </row>
    <row r="434" spans="1:19" ht="12.5" x14ac:dyDescent="0.25">
      <c r="A434" s="14" t="str">
        <f>HYPERLINK("https://gerandofalcoes.my.salesforce.com/0014X00002VKCqQQAX", "0014X00002VKCqQQAX")</f>
        <v>0014X00002VKCqQQAX</v>
      </c>
      <c r="B434" s="2" t="s">
        <v>2952</v>
      </c>
      <c r="C434" s="2" t="s">
        <v>423</v>
      </c>
      <c r="D434" s="2" t="s">
        <v>2</v>
      </c>
      <c r="E434" s="2">
        <v>17</v>
      </c>
      <c r="F434" s="2">
        <v>0</v>
      </c>
      <c r="G434" s="2">
        <v>2</v>
      </c>
      <c r="H434" s="2">
        <v>0</v>
      </c>
      <c r="I434" s="2">
        <v>40</v>
      </c>
      <c r="J434" s="2" t="s">
        <v>1779</v>
      </c>
      <c r="K434" s="2">
        <v>21</v>
      </c>
      <c r="L434" s="2">
        <v>10</v>
      </c>
      <c r="M434" s="2">
        <v>0</v>
      </c>
      <c r="N434" s="2">
        <v>6</v>
      </c>
      <c r="O434" s="2">
        <v>0</v>
      </c>
      <c r="P434" s="2">
        <v>5</v>
      </c>
      <c r="Q434" s="2" t="s">
        <v>2953</v>
      </c>
      <c r="R434" s="2" t="s">
        <v>2954</v>
      </c>
      <c r="S434" s="4">
        <v>44837</v>
      </c>
    </row>
    <row r="435" spans="1:19" ht="12.5" x14ac:dyDescent="0.25">
      <c r="A435" s="14" t="str">
        <f>HYPERLINK("https://gerandofalcoes.my.salesforce.com/0014X00002VKCqfQAH", "0014X00002VKCqfQAH")</f>
        <v>0014X00002VKCqfQAH</v>
      </c>
      <c r="B435" s="2" t="s">
        <v>1998</v>
      </c>
      <c r="C435" s="2" t="s">
        <v>1800</v>
      </c>
      <c r="D435" s="2" t="s">
        <v>2</v>
      </c>
      <c r="E435" s="2">
        <v>39</v>
      </c>
      <c r="F435" s="2">
        <v>0</v>
      </c>
      <c r="G435" s="2">
        <v>2</v>
      </c>
      <c r="H435" s="2">
        <v>14000</v>
      </c>
      <c r="I435" s="2">
        <v>0</v>
      </c>
      <c r="J435" s="2" t="s">
        <v>1779</v>
      </c>
      <c r="K435" s="2">
        <v>26</v>
      </c>
      <c r="L435" s="2">
        <v>15</v>
      </c>
      <c r="M435" s="2">
        <v>0</v>
      </c>
      <c r="N435" s="2">
        <v>6</v>
      </c>
      <c r="O435" s="2">
        <v>5</v>
      </c>
      <c r="P435" s="2">
        <v>0</v>
      </c>
      <c r="Q435" s="2" t="s">
        <v>1999</v>
      </c>
      <c r="R435" s="2" t="s">
        <v>2000</v>
      </c>
      <c r="S435" s="4">
        <v>44837</v>
      </c>
    </row>
    <row r="436" spans="1:19" ht="12.5" x14ac:dyDescent="0.25">
      <c r="A436" s="14" t="str">
        <f>HYPERLINK("https://gerandofalcoes.my.salesforce.com/0014X00002VKCsWQAX", "0014X00002VKCsWQAX")</f>
        <v>0014X00002VKCsWQAX</v>
      </c>
      <c r="B436" s="2" t="s">
        <v>2211</v>
      </c>
      <c r="C436" s="2" t="s">
        <v>1800</v>
      </c>
      <c r="D436" s="2" t="s">
        <v>2</v>
      </c>
      <c r="E436" s="2">
        <v>32</v>
      </c>
      <c r="F436" s="2">
        <v>3</v>
      </c>
      <c r="G436" s="2">
        <v>2</v>
      </c>
      <c r="H436" s="2">
        <v>1000</v>
      </c>
      <c r="I436" s="2">
        <v>1200</v>
      </c>
      <c r="J436" s="2" t="s">
        <v>1671</v>
      </c>
      <c r="K436" s="2">
        <v>51</v>
      </c>
      <c r="L436" s="2">
        <v>15</v>
      </c>
      <c r="M436" s="2">
        <v>5</v>
      </c>
      <c r="N436" s="2">
        <v>6</v>
      </c>
      <c r="O436" s="2">
        <v>5</v>
      </c>
      <c r="P436" s="2">
        <v>20</v>
      </c>
      <c r="Q436" s="2" t="s">
        <v>7184</v>
      </c>
      <c r="R436" s="2" t="s">
        <v>2213</v>
      </c>
      <c r="S436" s="4">
        <v>44837</v>
      </c>
    </row>
    <row r="437" spans="1:19" ht="12.5" x14ac:dyDescent="0.25">
      <c r="A437" s="14" t="str">
        <f>HYPERLINK("https://gerandofalcoes.my.salesforce.com/0014X00002VKCrNQAX", "0014X00002VKCrNQAX")</f>
        <v>0014X00002VKCrNQAX</v>
      </c>
      <c r="B437" s="2" t="s">
        <v>2035</v>
      </c>
      <c r="C437" s="2" t="s">
        <v>423</v>
      </c>
      <c r="D437" s="2" t="s">
        <v>2</v>
      </c>
      <c r="E437" s="2">
        <v>37</v>
      </c>
      <c r="F437" s="2">
        <v>10</v>
      </c>
      <c r="G437" s="2">
        <v>2</v>
      </c>
      <c r="H437" s="2">
        <v>20000</v>
      </c>
      <c r="I437" s="2">
        <v>130</v>
      </c>
      <c r="J437" s="2" t="s">
        <v>1671</v>
      </c>
      <c r="K437" s="2">
        <v>46</v>
      </c>
      <c r="L437" s="2">
        <v>15</v>
      </c>
      <c r="M437" s="2">
        <v>10</v>
      </c>
      <c r="N437" s="2">
        <v>6</v>
      </c>
      <c r="O437" s="2">
        <v>5</v>
      </c>
      <c r="P437" s="2">
        <v>10</v>
      </c>
      <c r="Q437" s="2" t="s">
        <v>2036</v>
      </c>
      <c r="R437" s="2" t="s">
        <v>2037</v>
      </c>
      <c r="S437" s="4">
        <v>44837</v>
      </c>
    </row>
    <row r="438" spans="1:19" ht="12.5" x14ac:dyDescent="0.25">
      <c r="A438" s="14" t="str">
        <f>HYPERLINK("https://gerandofalcoes.my.salesforce.com/0014X00002VKCqWQAX", "0014X00002VKCqWQAX")</f>
        <v>0014X00002VKCqWQAX</v>
      </c>
      <c r="B438" s="2" t="s">
        <v>2114</v>
      </c>
      <c r="C438" s="2" t="s">
        <v>1800</v>
      </c>
      <c r="D438" s="2" t="s">
        <v>2</v>
      </c>
      <c r="E438" s="2">
        <v>35</v>
      </c>
      <c r="F438" s="2">
        <v>2</v>
      </c>
      <c r="G438" s="2">
        <v>3</v>
      </c>
      <c r="H438" s="2">
        <v>11579</v>
      </c>
      <c r="I438" s="2">
        <v>20</v>
      </c>
      <c r="J438" s="2" t="s">
        <v>1779</v>
      </c>
      <c r="K438" s="2">
        <v>38</v>
      </c>
      <c r="L438" s="2">
        <v>15</v>
      </c>
      <c r="M438" s="2">
        <v>5</v>
      </c>
      <c r="N438" s="2">
        <v>8</v>
      </c>
      <c r="O438" s="2">
        <v>5</v>
      </c>
      <c r="P438" s="2">
        <v>5</v>
      </c>
      <c r="Q438" s="2" t="s">
        <v>2115</v>
      </c>
      <c r="R438" s="2" t="s">
        <v>2116</v>
      </c>
      <c r="S438" s="4">
        <v>44837</v>
      </c>
    </row>
    <row r="439" spans="1:19" ht="12.5" x14ac:dyDescent="0.25">
      <c r="A439" s="14" t="str">
        <f>HYPERLINK("https://gerandofalcoes.my.salesforce.com/0014X00002VKCqPQAX", "0014X00002VKCqPQAX")</f>
        <v>0014X00002VKCqPQAX</v>
      </c>
      <c r="B439" s="2" t="s">
        <v>2122</v>
      </c>
      <c r="C439" s="2" t="s">
        <v>423</v>
      </c>
      <c r="D439" s="2" t="s">
        <v>2</v>
      </c>
      <c r="E439" s="2">
        <v>34</v>
      </c>
      <c r="F439" s="2">
        <v>5</v>
      </c>
      <c r="G439" s="2">
        <v>1</v>
      </c>
      <c r="H439" s="2">
        <v>0</v>
      </c>
      <c r="I439" s="2">
        <v>186</v>
      </c>
      <c r="J439" s="2" t="s">
        <v>1779</v>
      </c>
      <c r="K439" s="2">
        <v>36</v>
      </c>
      <c r="L439" s="2">
        <v>15</v>
      </c>
      <c r="M439" s="2">
        <v>5</v>
      </c>
      <c r="N439" s="2">
        <v>4</v>
      </c>
      <c r="O439" s="2">
        <v>0</v>
      </c>
      <c r="P439" s="2">
        <v>12</v>
      </c>
      <c r="Q439" s="2" t="s">
        <v>2123</v>
      </c>
      <c r="R439" s="2" t="s">
        <v>2124</v>
      </c>
      <c r="S439" s="4">
        <v>44837</v>
      </c>
    </row>
    <row r="440" spans="1:19" ht="12.5" x14ac:dyDescent="0.25">
      <c r="A440" s="14" t="str">
        <f>HYPERLINK("https://gerandofalcoes.my.salesforce.com/0014X00002VKCqkQAH", "0014X00002VKCqkQAH")</f>
        <v>0014X00002VKCqkQAH</v>
      </c>
      <c r="B440" s="2" t="s">
        <v>2847</v>
      </c>
      <c r="C440" s="2" t="s">
        <v>423</v>
      </c>
      <c r="D440" s="2" t="s">
        <v>2</v>
      </c>
      <c r="E440" s="2">
        <v>41</v>
      </c>
      <c r="F440" s="2">
        <v>0</v>
      </c>
      <c r="G440" s="2">
        <v>2</v>
      </c>
      <c r="H440" s="2">
        <v>12000</v>
      </c>
      <c r="I440" s="2">
        <v>500</v>
      </c>
      <c r="J440" s="2" t="s">
        <v>1671</v>
      </c>
      <c r="K440" s="2">
        <v>46</v>
      </c>
      <c r="L440" s="2">
        <v>15</v>
      </c>
      <c r="M440" s="2">
        <v>0</v>
      </c>
      <c r="N440" s="2">
        <v>6</v>
      </c>
      <c r="O440" s="2">
        <v>5</v>
      </c>
      <c r="P440" s="2">
        <v>20</v>
      </c>
      <c r="Q440" s="2" t="s">
        <v>2848</v>
      </c>
      <c r="R440" s="2" t="s">
        <v>2849</v>
      </c>
      <c r="S440" s="4">
        <v>44837</v>
      </c>
    </row>
    <row r="441" spans="1:19" ht="12.5" x14ac:dyDescent="0.25">
      <c r="A441" s="14" t="str">
        <f>HYPERLINK("https://gerandofalcoes.my.salesforce.com/0014X00002VKCt2QAH", "0014X00002VKCt2QAH")</f>
        <v>0014X00002VKCt2QAH</v>
      </c>
      <c r="B441" s="2" t="s">
        <v>1792</v>
      </c>
      <c r="C441" s="2" t="s">
        <v>423</v>
      </c>
      <c r="D441" s="2" t="s">
        <v>2</v>
      </c>
      <c r="E441" s="2">
        <v>71</v>
      </c>
      <c r="F441" s="2">
        <v>4</v>
      </c>
      <c r="G441" s="2">
        <v>4</v>
      </c>
      <c r="H441" s="2">
        <v>143565</v>
      </c>
      <c r="I441" s="2">
        <v>240</v>
      </c>
      <c r="J441" s="2" t="s">
        <v>1671</v>
      </c>
      <c r="K441" s="2">
        <v>62</v>
      </c>
      <c r="L441" s="2">
        <v>20</v>
      </c>
      <c r="M441" s="2">
        <v>5</v>
      </c>
      <c r="N441" s="2">
        <v>10</v>
      </c>
      <c r="O441" s="2">
        <v>15</v>
      </c>
      <c r="P441" s="2">
        <v>12</v>
      </c>
      <c r="Q441" s="2" t="s">
        <v>1793</v>
      </c>
      <c r="R441" s="2" t="s">
        <v>1794</v>
      </c>
      <c r="S441" s="4">
        <v>44837</v>
      </c>
    </row>
    <row r="442" spans="1:19" ht="12.5" x14ac:dyDescent="0.25">
      <c r="A442" s="14" t="str">
        <f>HYPERLINK("https://gerandofalcoes.my.salesforce.com/0014X00002VKCt3QAH", "0014X00002VKCt3QAH")</f>
        <v>0014X00002VKCt3QAH</v>
      </c>
      <c r="B442" s="2" t="s">
        <v>2706</v>
      </c>
      <c r="C442" s="2" t="s">
        <v>423</v>
      </c>
      <c r="D442" s="2" t="s">
        <v>2</v>
      </c>
      <c r="E442" s="2">
        <v>21</v>
      </c>
      <c r="F442" s="2">
        <v>0</v>
      </c>
      <c r="G442" s="2">
        <v>0</v>
      </c>
      <c r="H442" s="2">
        <v>0</v>
      </c>
      <c r="I442" s="2">
        <v>100</v>
      </c>
      <c r="J442" s="2" t="s">
        <v>1779</v>
      </c>
      <c r="K442" s="2">
        <v>20</v>
      </c>
      <c r="L442" s="2">
        <v>10</v>
      </c>
      <c r="M442" s="2">
        <v>0</v>
      </c>
      <c r="N442" s="2">
        <v>0</v>
      </c>
      <c r="O442" s="2">
        <v>0</v>
      </c>
      <c r="P442" s="2">
        <v>10</v>
      </c>
      <c r="Q442" s="2" t="s">
        <v>2707</v>
      </c>
      <c r="R442" s="2" t="s">
        <v>2708</v>
      </c>
      <c r="S442" s="4">
        <v>44837</v>
      </c>
    </row>
    <row r="443" spans="1:19" ht="12.5" x14ac:dyDescent="0.25">
      <c r="A443" s="14" t="str">
        <f>HYPERLINK("https://gerandofalcoes.my.salesforce.com/0014P00003YSp7ZQAT", "0014P00003YSp7ZQAT")</f>
        <v>0014P00003YSp7ZQAT</v>
      </c>
      <c r="B443" s="2" t="s">
        <v>2136</v>
      </c>
      <c r="C443" s="2" t="s">
        <v>423</v>
      </c>
      <c r="D443" s="2" t="s">
        <v>2</v>
      </c>
      <c r="E443" s="2">
        <v>34</v>
      </c>
      <c r="F443" s="2">
        <v>0</v>
      </c>
      <c r="G443" s="2">
        <v>2</v>
      </c>
      <c r="H443" s="2">
        <v>50000</v>
      </c>
      <c r="I443" s="2">
        <v>210</v>
      </c>
      <c r="J443" s="2" t="s">
        <v>1671</v>
      </c>
      <c r="K443" s="2">
        <v>43</v>
      </c>
      <c r="L443" s="2">
        <v>15</v>
      </c>
      <c r="M443" s="2">
        <v>0</v>
      </c>
      <c r="N443" s="2">
        <v>6</v>
      </c>
      <c r="O443" s="2">
        <v>10</v>
      </c>
      <c r="P443" s="2">
        <v>12</v>
      </c>
      <c r="Q443" s="2" t="s">
        <v>2137</v>
      </c>
      <c r="R443" s="2" t="s">
        <v>2138</v>
      </c>
      <c r="S443" s="4">
        <v>44837</v>
      </c>
    </row>
    <row r="444" spans="1:19" ht="12.5" x14ac:dyDescent="0.25">
      <c r="A444" s="14" t="str">
        <f>HYPERLINK("https://gerandofalcoes.my.salesforce.com/0014P00003YSp7aQAD", "0014P00003YSp7aQAD")</f>
        <v>0014P00003YSp7aQAD</v>
      </c>
      <c r="B444" s="2" t="s">
        <v>2922</v>
      </c>
      <c r="C444" s="2" t="s">
        <v>423</v>
      </c>
      <c r="D444" s="2" t="s">
        <v>2</v>
      </c>
      <c r="E444" s="2">
        <v>14</v>
      </c>
      <c r="F444" s="2">
        <v>8</v>
      </c>
      <c r="G444" s="2">
        <v>0</v>
      </c>
      <c r="H444" s="2">
        <v>5000</v>
      </c>
      <c r="I444" s="2">
        <v>30</v>
      </c>
      <c r="J444" s="2" t="s">
        <v>1779</v>
      </c>
      <c r="K444" s="2">
        <v>30</v>
      </c>
      <c r="L444" s="2">
        <v>10</v>
      </c>
      <c r="M444" s="2">
        <v>10</v>
      </c>
      <c r="N444" s="2">
        <v>0</v>
      </c>
      <c r="O444" s="2">
        <v>5</v>
      </c>
      <c r="P444" s="2">
        <v>5</v>
      </c>
      <c r="Q444" s="2" t="s">
        <v>2923</v>
      </c>
      <c r="R444" s="2" t="s">
        <v>2924</v>
      </c>
      <c r="S444" s="4">
        <v>44837</v>
      </c>
    </row>
    <row r="445" spans="1:19" ht="12.5" x14ac:dyDescent="0.25">
      <c r="A445" s="14" t="str">
        <f>HYPERLINK("https://gerandofalcoes.my.salesforce.com/0014P00003YSp7bQAD", "0014P00003YSp7bQAD")</f>
        <v>0014P00003YSp7bQAD</v>
      </c>
      <c r="B445" s="2" t="s">
        <v>2169</v>
      </c>
      <c r="C445" s="2" t="s">
        <v>1800</v>
      </c>
      <c r="D445" s="2" t="s">
        <v>2</v>
      </c>
      <c r="E445" s="2">
        <v>33</v>
      </c>
      <c r="F445" s="2">
        <v>40</v>
      </c>
      <c r="G445" s="2">
        <v>2</v>
      </c>
      <c r="H445" s="2">
        <v>50000</v>
      </c>
      <c r="I445" s="2">
        <v>150</v>
      </c>
      <c r="J445" s="2" t="s">
        <v>1671</v>
      </c>
      <c r="K445" s="2">
        <v>58</v>
      </c>
      <c r="L445" s="2">
        <v>15</v>
      </c>
      <c r="M445" s="2">
        <v>15</v>
      </c>
      <c r="N445" s="2">
        <v>6</v>
      </c>
      <c r="O445" s="2">
        <v>10</v>
      </c>
      <c r="P445" s="2">
        <v>12</v>
      </c>
      <c r="Q445" s="2" t="s">
        <v>2170</v>
      </c>
      <c r="R445" s="2" t="s">
        <v>2171</v>
      </c>
      <c r="S445" s="4">
        <v>44837</v>
      </c>
    </row>
    <row r="446" spans="1:19" ht="12.5" x14ac:dyDescent="0.25">
      <c r="A446" s="14" t="str">
        <f>HYPERLINK("https://gerandofalcoes.my.salesforce.com/0014P00003YSp7dQAD", "0014P00003YSp7dQAD")</f>
        <v>0014P00003YSp7dQAD</v>
      </c>
      <c r="B446" s="2" t="s">
        <v>1855</v>
      </c>
      <c r="C446" s="2" t="s">
        <v>423</v>
      </c>
      <c r="D446" s="2" t="s">
        <v>2</v>
      </c>
      <c r="E446" s="2">
        <v>34</v>
      </c>
      <c r="F446" s="2">
        <v>6</v>
      </c>
      <c r="G446" s="2">
        <v>5</v>
      </c>
      <c r="H446" s="2">
        <v>42178400</v>
      </c>
      <c r="I446" s="2">
        <v>243</v>
      </c>
      <c r="J446" s="2" t="s">
        <v>1650</v>
      </c>
      <c r="K446" s="2">
        <v>72</v>
      </c>
      <c r="L446" s="2">
        <v>15</v>
      </c>
      <c r="M446" s="2">
        <v>10</v>
      </c>
      <c r="N446" s="2">
        <v>10</v>
      </c>
      <c r="O446" s="2">
        <v>25</v>
      </c>
      <c r="P446" s="2">
        <v>12</v>
      </c>
      <c r="Q446" s="2" t="s">
        <v>1856</v>
      </c>
      <c r="R446" s="2" t="s">
        <v>1857</v>
      </c>
      <c r="S446" s="4">
        <v>44837</v>
      </c>
    </row>
    <row r="447" spans="1:19" ht="12.5" x14ac:dyDescent="0.25">
      <c r="A447" s="14" t="str">
        <f>HYPERLINK("https://gerandofalcoes.my.salesforce.com/0014P00003YSp7eQAD", "0014P00003YSp7eQAD")</f>
        <v>0014P00003YSp7eQAD</v>
      </c>
      <c r="B447" s="2" t="s">
        <v>1804</v>
      </c>
      <c r="C447" s="2" t="s">
        <v>423</v>
      </c>
      <c r="D447" s="2" t="s">
        <v>2</v>
      </c>
      <c r="E447" s="2">
        <v>45</v>
      </c>
      <c r="F447" s="2">
        <v>6</v>
      </c>
      <c r="G447" s="2">
        <v>3</v>
      </c>
      <c r="H447" s="2">
        <v>43600000</v>
      </c>
      <c r="I447" s="2">
        <v>131</v>
      </c>
      <c r="J447" s="2" t="s">
        <v>1650</v>
      </c>
      <c r="K447" s="2">
        <v>68</v>
      </c>
      <c r="L447" s="2">
        <v>15</v>
      </c>
      <c r="M447" s="2">
        <v>10</v>
      </c>
      <c r="N447" s="2">
        <v>8</v>
      </c>
      <c r="O447" s="2">
        <v>25</v>
      </c>
      <c r="P447" s="2">
        <v>10</v>
      </c>
      <c r="Q447" s="2" t="s">
        <v>1805</v>
      </c>
      <c r="R447" s="2" t="s">
        <v>1806</v>
      </c>
      <c r="S447" s="4">
        <v>44837</v>
      </c>
    </row>
    <row r="448" spans="1:19" ht="12.5" x14ac:dyDescent="0.25">
      <c r="A448" s="14" t="str">
        <f>HYPERLINK("https://gerandofalcoes.my.salesforce.com/0014X00002VKCpXQAX", "0014X00002VKCpXQAX")</f>
        <v>0014X00002VKCpXQAX</v>
      </c>
      <c r="B448" s="2" t="s">
        <v>2565</v>
      </c>
      <c r="C448" s="2" t="s">
        <v>1800</v>
      </c>
      <c r="D448" s="2" t="s">
        <v>2</v>
      </c>
      <c r="E448" s="2">
        <v>20</v>
      </c>
      <c r="F448" s="2">
        <v>6</v>
      </c>
      <c r="G448" s="2">
        <v>4</v>
      </c>
      <c r="H448" s="2">
        <v>0</v>
      </c>
      <c r="I448" s="2">
        <v>0</v>
      </c>
      <c r="J448" s="2" t="s">
        <v>1779</v>
      </c>
      <c r="K448" s="2">
        <v>30</v>
      </c>
      <c r="L448" s="2">
        <v>10</v>
      </c>
      <c r="M448" s="2">
        <v>10</v>
      </c>
      <c r="N448" s="2">
        <v>10</v>
      </c>
      <c r="O448" s="2">
        <v>0</v>
      </c>
      <c r="P448" s="2">
        <v>0</v>
      </c>
      <c r="Q448" s="2" t="s">
        <v>2566</v>
      </c>
      <c r="R448" s="2" t="s">
        <v>2567</v>
      </c>
      <c r="S448" s="4">
        <v>44837</v>
      </c>
    </row>
    <row r="449" spans="1:19" ht="12.5" x14ac:dyDescent="0.25">
      <c r="A449" s="14" t="str">
        <f>HYPERLINK("https://gerandofalcoes.my.salesforce.com/0014X00002VKCpPQAX", "0014X00002VKCpPQAX")</f>
        <v>0014X00002VKCpPQAX</v>
      </c>
      <c r="B449" s="2" t="s">
        <v>2591</v>
      </c>
      <c r="C449" s="2" t="s">
        <v>423</v>
      </c>
      <c r="D449" s="2" t="s">
        <v>2</v>
      </c>
      <c r="E449" s="2">
        <v>29</v>
      </c>
      <c r="F449" s="2">
        <v>0</v>
      </c>
      <c r="G449" s="2">
        <v>3</v>
      </c>
      <c r="H449" s="2">
        <v>75000</v>
      </c>
      <c r="I449" s="2">
        <v>0</v>
      </c>
      <c r="J449" s="2" t="s">
        <v>1779</v>
      </c>
      <c r="K449" s="2">
        <v>33</v>
      </c>
      <c r="L449" s="2">
        <v>15</v>
      </c>
      <c r="M449" s="2">
        <v>0</v>
      </c>
      <c r="N449" s="2">
        <v>8</v>
      </c>
      <c r="O449" s="2">
        <v>10</v>
      </c>
      <c r="P449" s="2">
        <v>0</v>
      </c>
      <c r="Q449" s="2" t="s">
        <v>2592</v>
      </c>
      <c r="R449" s="2" t="s">
        <v>2592</v>
      </c>
      <c r="S449" s="4">
        <v>44837</v>
      </c>
    </row>
    <row r="450" spans="1:19" ht="12.5" x14ac:dyDescent="0.25">
      <c r="A450" s="14" t="str">
        <f>HYPERLINK("https://gerandofalcoes.my.salesforce.com/0014X00002VKCvCQAX", "0014X00002VKCvCQAX")</f>
        <v>0014X00002VKCvCQAX</v>
      </c>
      <c r="B450" s="2" t="s">
        <v>2415</v>
      </c>
      <c r="C450" s="2" t="s">
        <v>1800</v>
      </c>
      <c r="D450" s="2" t="s">
        <v>2</v>
      </c>
      <c r="E450" s="2">
        <v>25</v>
      </c>
      <c r="F450" s="2">
        <v>0</v>
      </c>
      <c r="G450" s="2">
        <v>4</v>
      </c>
      <c r="H450" s="2">
        <v>25000</v>
      </c>
      <c r="I450" s="2">
        <v>0</v>
      </c>
      <c r="J450" s="2" t="s">
        <v>1779</v>
      </c>
      <c r="K450" s="2">
        <v>35</v>
      </c>
      <c r="L450" s="2">
        <v>15</v>
      </c>
      <c r="M450" s="2">
        <v>0</v>
      </c>
      <c r="N450" s="2">
        <v>10</v>
      </c>
      <c r="O450" s="2">
        <v>10</v>
      </c>
      <c r="P450" s="2">
        <v>0</v>
      </c>
      <c r="Q450" s="2" t="s">
        <v>2416</v>
      </c>
      <c r="R450" s="2" t="s">
        <v>2417</v>
      </c>
      <c r="S450" s="4">
        <v>44837</v>
      </c>
    </row>
    <row r="451" spans="1:19" ht="12.5" x14ac:dyDescent="0.25">
      <c r="A451" s="14" t="str">
        <f>HYPERLINK("https://gerandofalcoes.my.salesforce.com/0014X00002VKCsaQAH", "0014X00002VKCsaQAH")</f>
        <v>0014X00002VKCsaQAH</v>
      </c>
      <c r="B451" s="2" t="s">
        <v>7167</v>
      </c>
      <c r="C451" s="2" t="s">
        <v>423</v>
      </c>
      <c r="D451" s="2" t="s">
        <v>2</v>
      </c>
      <c r="E451" s="2">
        <v>40.25</v>
      </c>
      <c r="F451" s="2">
        <v>0</v>
      </c>
      <c r="G451" s="2">
        <v>3</v>
      </c>
      <c r="H451" s="2">
        <v>10749</v>
      </c>
      <c r="I451" s="2">
        <v>15</v>
      </c>
      <c r="J451" s="2" t="s">
        <v>1779</v>
      </c>
      <c r="K451" s="2">
        <v>33</v>
      </c>
      <c r="L451" s="2">
        <v>15</v>
      </c>
      <c r="M451" s="2">
        <v>0</v>
      </c>
      <c r="N451" s="2">
        <v>8</v>
      </c>
      <c r="O451" s="2">
        <v>5</v>
      </c>
      <c r="P451" s="2">
        <v>5</v>
      </c>
      <c r="Q451" s="2" t="s">
        <v>1962</v>
      </c>
      <c r="R451" s="2" t="s">
        <v>1962</v>
      </c>
      <c r="S451" s="4">
        <v>44837</v>
      </c>
    </row>
    <row r="452" spans="1:19" ht="12.5" x14ac:dyDescent="0.25">
      <c r="A452" s="14" t="str">
        <f>HYPERLINK("https://gerandofalcoes.my.salesforce.com/0014X00002VKCt9QAH", "0014X00002VKCt9QAH")</f>
        <v>0014X00002VKCt9QAH</v>
      </c>
      <c r="B452" s="2" t="s">
        <v>2100</v>
      </c>
      <c r="C452" s="2" t="s">
        <v>1800</v>
      </c>
      <c r="D452" s="2" t="s">
        <v>2</v>
      </c>
      <c r="E452" s="2">
        <v>35</v>
      </c>
      <c r="F452" s="2">
        <v>0</v>
      </c>
      <c r="G452" s="2">
        <v>2</v>
      </c>
      <c r="H452" s="2">
        <v>600</v>
      </c>
      <c r="I452" s="2">
        <v>150</v>
      </c>
      <c r="J452" s="2" t="s">
        <v>1779</v>
      </c>
      <c r="K452" s="2">
        <v>38</v>
      </c>
      <c r="L452" s="2">
        <v>15</v>
      </c>
      <c r="M452" s="2">
        <v>0</v>
      </c>
      <c r="N452" s="2">
        <v>6</v>
      </c>
      <c r="O452" s="2">
        <v>5</v>
      </c>
      <c r="P452" s="2">
        <v>12</v>
      </c>
      <c r="Q452" s="2" t="s">
        <v>2101</v>
      </c>
      <c r="R452" s="2" t="s">
        <v>2102</v>
      </c>
      <c r="S452" s="4">
        <v>44837</v>
      </c>
    </row>
    <row r="453" spans="1:19" ht="12.5" x14ac:dyDescent="0.25">
      <c r="A453" s="14" t="str">
        <f>HYPERLINK("https://gerandofalcoes.my.salesforce.com/0014X00002VKCtvQAH", "0014X00002VKCtvQAH")</f>
        <v>0014X00002VKCtvQAH</v>
      </c>
      <c r="B453" s="2" t="s">
        <v>1959</v>
      </c>
      <c r="C453" s="2" t="s">
        <v>423</v>
      </c>
      <c r="D453" s="2" t="s">
        <v>2</v>
      </c>
      <c r="E453" s="2">
        <v>54</v>
      </c>
      <c r="F453" s="2">
        <v>0</v>
      </c>
      <c r="G453" s="2">
        <v>3</v>
      </c>
      <c r="H453" s="2">
        <v>100000</v>
      </c>
      <c r="I453" s="2">
        <v>120</v>
      </c>
      <c r="J453" s="2" t="s">
        <v>1671</v>
      </c>
      <c r="K453" s="2">
        <v>53</v>
      </c>
      <c r="L453" s="2">
        <v>20</v>
      </c>
      <c r="M453" s="2">
        <v>0</v>
      </c>
      <c r="N453" s="2">
        <v>8</v>
      </c>
      <c r="O453" s="2">
        <v>15</v>
      </c>
      <c r="P453" s="2">
        <v>10</v>
      </c>
      <c r="Q453" s="2" t="s">
        <v>7153</v>
      </c>
      <c r="R453" s="2" t="s">
        <v>1960</v>
      </c>
      <c r="S453" s="4">
        <v>44837</v>
      </c>
    </row>
    <row r="454" spans="1:19" ht="12.5" x14ac:dyDescent="0.25">
      <c r="A454" s="14" t="str">
        <f>HYPERLINK("https://gerandofalcoes.my.salesforce.com/0014X00002VKCpMQAX", "0014X00002VKCpMQAX")</f>
        <v>0014X00002VKCpMQAX</v>
      </c>
      <c r="B454" s="2" t="s">
        <v>2660</v>
      </c>
      <c r="C454" s="2" t="s">
        <v>1800</v>
      </c>
      <c r="D454" s="2" t="s">
        <v>2</v>
      </c>
      <c r="E454" s="2">
        <v>17</v>
      </c>
      <c r="F454" s="2">
        <v>0</v>
      </c>
      <c r="G454" s="2">
        <v>2</v>
      </c>
      <c r="H454" s="2">
        <v>6000</v>
      </c>
      <c r="I454" s="2">
        <v>90</v>
      </c>
      <c r="J454" s="2" t="s">
        <v>1779</v>
      </c>
      <c r="K454" s="2">
        <v>31</v>
      </c>
      <c r="L454" s="2">
        <v>10</v>
      </c>
      <c r="M454" s="2">
        <v>0</v>
      </c>
      <c r="N454" s="2">
        <v>6</v>
      </c>
      <c r="O454" s="2">
        <v>5</v>
      </c>
      <c r="P454" s="2">
        <v>10</v>
      </c>
      <c r="Q454" s="2" t="s">
        <v>2661</v>
      </c>
      <c r="R454" s="2" t="s">
        <v>2661</v>
      </c>
      <c r="S454" s="4">
        <v>44837</v>
      </c>
    </row>
    <row r="455" spans="1:19" ht="12.5" x14ac:dyDescent="0.25">
      <c r="A455" s="14" t="str">
        <f>HYPERLINK("https://gerandofalcoes.my.salesforce.com/0014X00002VKCtJQAX", "0014X00002VKCtJQAX")</f>
        <v>0014X00002VKCtJQAX</v>
      </c>
      <c r="B455" s="2" t="s">
        <v>2672</v>
      </c>
      <c r="C455" s="2" t="s">
        <v>1800</v>
      </c>
      <c r="D455" s="2" t="s">
        <v>2</v>
      </c>
      <c r="E455" s="2">
        <v>17</v>
      </c>
      <c r="F455" s="2">
        <v>0</v>
      </c>
      <c r="G455" s="2">
        <v>3</v>
      </c>
      <c r="H455" s="2">
        <v>0</v>
      </c>
      <c r="I455" s="2">
        <v>0</v>
      </c>
      <c r="J455" s="2" t="s">
        <v>1779</v>
      </c>
      <c r="K455" s="2">
        <v>18</v>
      </c>
      <c r="L455" s="2">
        <v>10</v>
      </c>
      <c r="M455" s="2">
        <v>0</v>
      </c>
      <c r="N455" s="2">
        <v>8</v>
      </c>
      <c r="O455" s="2">
        <v>0</v>
      </c>
      <c r="P455" s="2">
        <v>0</v>
      </c>
      <c r="Q455" s="2" t="s">
        <v>2673</v>
      </c>
      <c r="R455" s="2" t="s">
        <v>2674</v>
      </c>
      <c r="S455" s="4">
        <v>44837</v>
      </c>
    </row>
    <row r="456" spans="1:19" ht="12.5" x14ac:dyDescent="0.25">
      <c r="A456" s="14" t="str">
        <f>HYPERLINK("https://gerandofalcoes.my.salesforce.com/0014X00002VKCttQAH", "0014X00002VKCttQAH")</f>
        <v>0014X00002VKCttQAH</v>
      </c>
      <c r="B456" s="2" t="s">
        <v>1966</v>
      </c>
      <c r="C456" s="2" t="s">
        <v>1800</v>
      </c>
      <c r="D456" s="2" t="s">
        <v>2</v>
      </c>
      <c r="E456" s="2">
        <v>40</v>
      </c>
      <c r="F456" s="2">
        <v>5</v>
      </c>
      <c r="G456" s="2">
        <v>3</v>
      </c>
      <c r="H456" s="2">
        <v>20</v>
      </c>
      <c r="I456" s="2">
        <v>30</v>
      </c>
      <c r="J456" s="2" t="s">
        <v>1779</v>
      </c>
      <c r="K456" s="2">
        <v>38</v>
      </c>
      <c r="L456" s="2">
        <v>15</v>
      </c>
      <c r="M456" s="2">
        <v>5</v>
      </c>
      <c r="N456" s="2">
        <v>8</v>
      </c>
      <c r="O456" s="2">
        <v>5</v>
      </c>
      <c r="P456" s="2">
        <v>5</v>
      </c>
      <c r="Q456" s="2" t="s">
        <v>1967</v>
      </c>
      <c r="R456" s="2" t="s">
        <v>1968</v>
      </c>
      <c r="S456" s="4">
        <v>44837</v>
      </c>
    </row>
    <row r="457" spans="1:19" ht="12.5" x14ac:dyDescent="0.25">
      <c r="A457" s="14" t="str">
        <f>HYPERLINK("https://gerandofalcoes.my.salesforce.com/0014X00002VKCsQQAX", "0014X00002VKCsQQAX")</f>
        <v>0014X00002VKCsQQAX</v>
      </c>
      <c r="B457" s="2" t="s">
        <v>2780</v>
      </c>
      <c r="C457" s="2" t="s">
        <v>1800</v>
      </c>
      <c r="D457" s="2" t="s">
        <v>2</v>
      </c>
      <c r="E457" s="2">
        <v>13</v>
      </c>
      <c r="F457" s="2">
        <v>0</v>
      </c>
      <c r="G457" s="2">
        <v>2</v>
      </c>
      <c r="H457" s="2">
        <v>0</v>
      </c>
      <c r="I457" s="2">
        <v>585</v>
      </c>
      <c r="J457" s="2" t="s">
        <v>1779</v>
      </c>
      <c r="K457" s="2">
        <v>36</v>
      </c>
      <c r="L457" s="2">
        <v>10</v>
      </c>
      <c r="M457" s="2">
        <v>0</v>
      </c>
      <c r="N457" s="2">
        <v>6</v>
      </c>
      <c r="O457" s="2">
        <v>0</v>
      </c>
      <c r="P457" s="2">
        <v>20</v>
      </c>
      <c r="Q457" s="2" t="s">
        <v>2781</v>
      </c>
      <c r="R457" s="2" t="s">
        <v>2782</v>
      </c>
      <c r="S457" s="4">
        <v>44837</v>
      </c>
    </row>
    <row r="458" spans="1:19" ht="12.5" x14ac:dyDescent="0.25">
      <c r="A458" s="14" t="str">
        <f>HYPERLINK("https://gerandofalcoes.my.salesforce.com/0014P00003YSp7iQAD", "0014P00003YSp7iQAD")</f>
        <v>0014P00003YSp7iQAD</v>
      </c>
      <c r="B458" s="2" t="s">
        <v>2680</v>
      </c>
      <c r="C458" s="2" t="s">
        <v>423</v>
      </c>
      <c r="D458" s="2" t="s">
        <v>2</v>
      </c>
      <c r="E458" s="2">
        <v>35</v>
      </c>
      <c r="F458" s="2">
        <v>0</v>
      </c>
      <c r="G458" s="2">
        <v>1</v>
      </c>
      <c r="H458" s="2">
        <v>2000</v>
      </c>
      <c r="I458" s="2">
        <v>300</v>
      </c>
      <c r="J458" s="2" t="s">
        <v>1779</v>
      </c>
      <c r="K458" s="2">
        <v>39</v>
      </c>
      <c r="L458" s="2">
        <v>15</v>
      </c>
      <c r="M458" s="2">
        <v>0</v>
      </c>
      <c r="N458" s="2">
        <v>4</v>
      </c>
      <c r="O458" s="2">
        <v>5</v>
      </c>
      <c r="P458" s="2">
        <v>15</v>
      </c>
      <c r="Q458" s="2" t="s">
        <v>2681</v>
      </c>
      <c r="R458" s="2" t="s">
        <v>2682</v>
      </c>
      <c r="S458" s="4">
        <v>44837</v>
      </c>
    </row>
    <row r="459" spans="1:19" ht="12.5" x14ac:dyDescent="0.25">
      <c r="A459" s="14" t="str">
        <f>HYPERLINK("https://gerandofalcoes.my.salesforce.com/0014P00003SGWPiQAP", "0014P00003SGWPiQAP")</f>
        <v>0014P00003SGWPiQAP</v>
      </c>
      <c r="B459" s="2" t="s">
        <v>300</v>
      </c>
      <c r="C459" s="2" t="s">
        <v>423</v>
      </c>
      <c r="D459" s="2" t="s">
        <v>27</v>
      </c>
      <c r="E459" s="2">
        <v>96</v>
      </c>
      <c r="F459" s="2">
        <v>8</v>
      </c>
      <c r="G459" s="2">
        <v>4</v>
      </c>
      <c r="H459" s="2">
        <v>587278.81999999995</v>
      </c>
      <c r="I459" s="2">
        <v>115</v>
      </c>
      <c r="J459" s="2" t="s">
        <v>1654</v>
      </c>
      <c r="K459" s="2">
        <v>80</v>
      </c>
      <c r="L459" s="2">
        <v>30</v>
      </c>
      <c r="M459" s="2">
        <v>10</v>
      </c>
      <c r="N459" s="2">
        <v>10</v>
      </c>
      <c r="O459" s="2">
        <v>20</v>
      </c>
      <c r="P459" s="2">
        <v>10</v>
      </c>
      <c r="Q459" s="2" t="s">
        <v>301</v>
      </c>
      <c r="R459" s="2" t="s">
        <v>1657</v>
      </c>
      <c r="S459" s="4">
        <v>44837</v>
      </c>
    </row>
    <row r="460" spans="1:19" ht="12.5" x14ac:dyDescent="0.25">
      <c r="A460" s="14" t="str">
        <f>HYPERLINK("https://gerandofalcoes.my.salesforce.com/0014P00003SGWPjQAP", "0014P00003SGWPjQAP")</f>
        <v>0014P00003SGWPjQAP</v>
      </c>
      <c r="B460" s="2" t="s">
        <v>2986</v>
      </c>
      <c r="C460" s="2" t="s">
        <v>423</v>
      </c>
      <c r="D460" s="2" t="s">
        <v>2</v>
      </c>
      <c r="E460" s="2"/>
      <c r="F460" s="2">
        <v>0</v>
      </c>
      <c r="G460" s="2">
        <v>0</v>
      </c>
      <c r="H460" s="2">
        <v>0</v>
      </c>
      <c r="I460" s="2">
        <v>250</v>
      </c>
      <c r="J460" s="2" t="s">
        <v>1779</v>
      </c>
      <c r="K460" s="2">
        <v>12</v>
      </c>
      <c r="L460" s="2">
        <v>0</v>
      </c>
      <c r="M460" s="2">
        <v>0</v>
      </c>
      <c r="N460" s="2">
        <v>0</v>
      </c>
      <c r="O460" s="2">
        <v>0</v>
      </c>
      <c r="P460" s="2">
        <v>12</v>
      </c>
      <c r="Q460" s="2" t="s">
        <v>303</v>
      </c>
      <c r="R460" s="2" t="s">
        <v>2987</v>
      </c>
      <c r="S460" s="4">
        <v>44837</v>
      </c>
    </row>
    <row r="461" spans="1:19" ht="12.5" x14ac:dyDescent="0.25">
      <c r="A461" s="14" t="str">
        <f>HYPERLINK("https://gerandofalcoes.my.salesforce.com/0014P00003SGWPkQAP", "0014P00003SGWPkQAP")</f>
        <v>0014P00003SGWPkQAP</v>
      </c>
      <c r="B461" s="2" t="s">
        <v>306</v>
      </c>
      <c r="C461" s="2" t="s">
        <v>423</v>
      </c>
      <c r="D461" s="2" t="s">
        <v>2</v>
      </c>
      <c r="E461" s="2">
        <v>49</v>
      </c>
      <c r="F461" s="2">
        <v>7</v>
      </c>
      <c r="G461" s="2">
        <v>3</v>
      </c>
      <c r="H461" s="2">
        <v>264000</v>
      </c>
      <c r="I461" s="2">
        <v>240</v>
      </c>
      <c r="J461" s="2" t="s">
        <v>1671</v>
      </c>
      <c r="K461" s="2">
        <v>45</v>
      </c>
      <c r="L461" s="2">
        <v>0</v>
      </c>
      <c r="M461" s="2">
        <v>10</v>
      </c>
      <c r="N461" s="2">
        <v>8</v>
      </c>
      <c r="O461" s="2">
        <v>15</v>
      </c>
      <c r="P461" s="2">
        <v>12</v>
      </c>
      <c r="Q461" s="2" t="s">
        <v>307</v>
      </c>
      <c r="R461" s="2" t="s">
        <v>1867</v>
      </c>
      <c r="S461" s="4">
        <v>44837</v>
      </c>
    </row>
    <row r="462" spans="1:19" ht="12.5" x14ac:dyDescent="0.25">
      <c r="A462" s="14" t="str">
        <f>HYPERLINK("https://gerandofalcoes.my.salesforce.com/0014P00003YSp7vQAD", "0014P00003YSp7vQAD")</f>
        <v>0014P00003YSp7vQAD</v>
      </c>
      <c r="B462" s="2" t="s">
        <v>2492</v>
      </c>
      <c r="C462" s="2" t="s">
        <v>423</v>
      </c>
      <c r="D462" s="2" t="s">
        <v>2</v>
      </c>
      <c r="E462" s="2">
        <v>20</v>
      </c>
      <c r="F462" s="2">
        <v>2</v>
      </c>
      <c r="G462" s="2">
        <v>1</v>
      </c>
      <c r="H462" s="2">
        <v>42000</v>
      </c>
      <c r="I462" s="2">
        <v>71</v>
      </c>
      <c r="J462" s="2" t="s">
        <v>1779</v>
      </c>
      <c r="K462" s="2">
        <v>34</v>
      </c>
      <c r="L462" s="2">
        <v>10</v>
      </c>
      <c r="M462" s="2">
        <v>5</v>
      </c>
      <c r="N462" s="2">
        <v>4</v>
      </c>
      <c r="O462" s="2">
        <v>10</v>
      </c>
      <c r="P462" s="2">
        <v>5</v>
      </c>
      <c r="Q462" s="2" t="s">
        <v>2493</v>
      </c>
      <c r="R462" s="2" t="s">
        <v>2493</v>
      </c>
      <c r="S462" s="4">
        <v>44837</v>
      </c>
    </row>
    <row r="463" spans="1:19" ht="12.5" x14ac:dyDescent="0.25">
      <c r="A463" s="14" t="str">
        <f>HYPERLINK("https://gerandofalcoes.my.salesforce.com/0014P00003YSp7xQAD", "0014P00003YSp7xQAD")</f>
        <v>0014P00003YSp7xQAD</v>
      </c>
      <c r="B463" s="2" t="s">
        <v>2801</v>
      </c>
      <c r="C463" s="2" t="s">
        <v>1800</v>
      </c>
      <c r="D463" s="2" t="s">
        <v>2</v>
      </c>
      <c r="E463" s="2">
        <v>13</v>
      </c>
      <c r="F463" s="2">
        <v>7</v>
      </c>
      <c r="G463" s="2">
        <v>3</v>
      </c>
      <c r="H463" s="2">
        <v>1000</v>
      </c>
      <c r="I463" s="2">
        <v>30</v>
      </c>
      <c r="J463" s="2" t="s">
        <v>1779</v>
      </c>
      <c r="K463" s="2">
        <v>38</v>
      </c>
      <c r="L463" s="2">
        <v>10</v>
      </c>
      <c r="M463" s="2">
        <v>10</v>
      </c>
      <c r="N463" s="2">
        <v>8</v>
      </c>
      <c r="O463" s="2">
        <v>5</v>
      </c>
      <c r="P463" s="2">
        <v>5</v>
      </c>
      <c r="Q463" s="2" t="s">
        <v>2802</v>
      </c>
      <c r="R463" s="2" t="s">
        <v>2803</v>
      </c>
      <c r="S463" s="4">
        <v>44837</v>
      </c>
    </row>
    <row r="464" spans="1:19" ht="12.5" x14ac:dyDescent="0.25">
      <c r="A464" s="14" t="str">
        <f>HYPERLINK("https://gerandofalcoes.my.salesforce.com/0014P00003YSp7fQAD", "0014P00003YSp7fQAD")</f>
        <v>0014P00003YSp7fQAD</v>
      </c>
      <c r="B464" s="2" t="s">
        <v>2465</v>
      </c>
      <c r="C464" s="2" t="s">
        <v>423</v>
      </c>
      <c r="D464" s="2" t="s">
        <v>2</v>
      </c>
      <c r="E464" s="2">
        <v>23</v>
      </c>
      <c r="F464" s="2">
        <v>0</v>
      </c>
      <c r="G464" s="2">
        <v>2</v>
      </c>
      <c r="H464" s="2">
        <v>5000</v>
      </c>
      <c r="I464" s="2">
        <v>50</v>
      </c>
      <c r="J464" s="2" t="s">
        <v>1779</v>
      </c>
      <c r="K464" s="2">
        <v>26</v>
      </c>
      <c r="L464" s="2">
        <v>10</v>
      </c>
      <c r="M464" s="2">
        <v>0</v>
      </c>
      <c r="N464" s="2">
        <v>6</v>
      </c>
      <c r="O464" s="2">
        <v>5</v>
      </c>
      <c r="P464" s="2">
        <v>5</v>
      </c>
      <c r="Q464" s="2" t="s">
        <v>6552</v>
      </c>
      <c r="R464" s="2" t="s">
        <v>6552</v>
      </c>
      <c r="S464" s="4">
        <v>44837</v>
      </c>
    </row>
    <row r="465" spans="1:19" ht="12.5" x14ac:dyDescent="0.25">
      <c r="A465" s="14" t="str">
        <f>HYPERLINK("https://gerandofalcoes.my.salesforce.com/0014P00003YSp7hQAD", "0014P00003YSp7hQAD")</f>
        <v>0014P00003YSp7hQAD</v>
      </c>
      <c r="B465" s="2" t="s">
        <v>2713</v>
      </c>
      <c r="C465" s="2" t="s">
        <v>423</v>
      </c>
      <c r="D465" s="2" t="s">
        <v>2</v>
      </c>
      <c r="E465" s="2">
        <v>15</v>
      </c>
      <c r="F465" s="2">
        <v>4</v>
      </c>
      <c r="G465" s="2">
        <v>3</v>
      </c>
      <c r="H465" s="2">
        <v>89000</v>
      </c>
      <c r="I465" s="2">
        <v>820</v>
      </c>
      <c r="J465" s="2" t="s">
        <v>1671</v>
      </c>
      <c r="K465" s="2">
        <v>53</v>
      </c>
      <c r="L465" s="2">
        <v>10</v>
      </c>
      <c r="M465" s="2">
        <v>5</v>
      </c>
      <c r="N465" s="2">
        <v>8</v>
      </c>
      <c r="O465" s="2">
        <v>10</v>
      </c>
      <c r="P465" s="2">
        <v>20</v>
      </c>
      <c r="Q465" s="2" t="s">
        <v>2714</v>
      </c>
      <c r="R465" s="2" t="s">
        <v>2714</v>
      </c>
      <c r="S465" s="4">
        <v>44837</v>
      </c>
    </row>
    <row r="466" spans="1:19" ht="12.5" x14ac:dyDescent="0.25">
      <c r="A466" s="14" t="str">
        <f>HYPERLINK("https://gerandofalcoes.my.salesforce.com/0014P00003YSp7kQAD", "0014P00003YSp7kQAD")</f>
        <v>0014P00003YSp7kQAD</v>
      </c>
      <c r="B466" s="2" t="s">
        <v>2225</v>
      </c>
      <c r="C466" s="2" t="s">
        <v>1800</v>
      </c>
      <c r="D466" s="2" t="s">
        <v>2</v>
      </c>
      <c r="E466" s="2">
        <v>32</v>
      </c>
      <c r="F466" s="2">
        <v>0</v>
      </c>
      <c r="G466" s="2">
        <v>2</v>
      </c>
      <c r="H466" s="2">
        <v>0</v>
      </c>
      <c r="I466" s="2">
        <v>17</v>
      </c>
      <c r="J466" s="2" t="s">
        <v>1779</v>
      </c>
      <c r="K466" s="2">
        <v>26</v>
      </c>
      <c r="L466" s="2">
        <v>15</v>
      </c>
      <c r="M466" s="2">
        <v>0</v>
      </c>
      <c r="N466" s="2">
        <v>6</v>
      </c>
      <c r="O466" s="2">
        <v>0</v>
      </c>
      <c r="P466" s="2">
        <v>5</v>
      </c>
      <c r="Q466" s="2" t="s">
        <v>2226</v>
      </c>
      <c r="R466" s="2" t="s">
        <v>2227</v>
      </c>
      <c r="S466" s="4">
        <v>44837</v>
      </c>
    </row>
    <row r="467" spans="1:19" ht="12.5" x14ac:dyDescent="0.25">
      <c r="A467" s="14" t="str">
        <f>HYPERLINK("https://gerandofalcoes.my.salesforce.com/0014P00003YSp7lQAD", "0014P00003YSp7lQAD")</f>
        <v>0014P00003YSp7lQAD</v>
      </c>
      <c r="B467" s="2" t="s">
        <v>2057</v>
      </c>
      <c r="C467" s="2" t="s">
        <v>423</v>
      </c>
      <c r="D467" s="2" t="s">
        <v>2</v>
      </c>
      <c r="E467" s="2">
        <v>37</v>
      </c>
      <c r="F467" s="2">
        <v>0</v>
      </c>
      <c r="G467" s="2">
        <v>2</v>
      </c>
      <c r="H467" s="2">
        <v>50000</v>
      </c>
      <c r="I467" s="2">
        <v>0</v>
      </c>
      <c r="J467" s="2" t="s">
        <v>1779</v>
      </c>
      <c r="K467" s="2">
        <v>31</v>
      </c>
      <c r="L467" s="2">
        <v>15</v>
      </c>
      <c r="M467" s="2">
        <v>0</v>
      </c>
      <c r="N467" s="2">
        <v>6</v>
      </c>
      <c r="O467" s="2">
        <v>10</v>
      </c>
      <c r="P467" s="2">
        <v>0</v>
      </c>
      <c r="Q467" s="2" t="s">
        <v>2058</v>
      </c>
      <c r="R467" s="2" t="s">
        <v>2059</v>
      </c>
      <c r="S467" s="4">
        <v>44837</v>
      </c>
    </row>
    <row r="468" spans="1:19" ht="12.5" x14ac:dyDescent="0.25">
      <c r="A468" s="14" t="str">
        <f>HYPERLINK("https://gerandofalcoes.my.salesforce.com/0014P00003YSp7mQAD", "0014P00003YSp7mQAD")</f>
        <v>0014P00003YSp7mQAD</v>
      </c>
      <c r="B468" s="2" t="s">
        <v>2109</v>
      </c>
      <c r="C468" s="2" t="s">
        <v>1800</v>
      </c>
      <c r="D468" s="2" t="s">
        <v>2</v>
      </c>
      <c r="E468" s="2">
        <v>35</v>
      </c>
      <c r="F468" s="2">
        <v>5</v>
      </c>
      <c r="G468" s="2">
        <v>4</v>
      </c>
      <c r="H468" s="2">
        <v>0</v>
      </c>
      <c r="I468" s="2">
        <v>53</v>
      </c>
      <c r="J468" s="2" t="s">
        <v>1779</v>
      </c>
      <c r="K468" s="2">
        <v>35</v>
      </c>
      <c r="L468" s="2">
        <v>15</v>
      </c>
      <c r="M468" s="2">
        <v>5</v>
      </c>
      <c r="N468" s="2">
        <v>10</v>
      </c>
      <c r="O468" s="2">
        <v>0</v>
      </c>
      <c r="P468" s="2">
        <v>5</v>
      </c>
      <c r="Q468" s="2" t="s">
        <v>2110</v>
      </c>
      <c r="R468" s="2" t="s">
        <v>2111</v>
      </c>
      <c r="S468" s="4">
        <v>44837</v>
      </c>
    </row>
    <row r="469" spans="1:19" ht="12.5" x14ac:dyDescent="0.25">
      <c r="A469" s="14" t="str">
        <f>HYPERLINK("https://gerandofalcoes.my.salesforce.com/0014P00003YSp7nQAD", "0014P00003YSp7nQAD")</f>
        <v>0014P00003YSp7nQAD</v>
      </c>
      <c r="B469" s="2" t="s">
        <v>2401</v>
      </c>
      <c r="C469" s="2" t="s">
        <v>1800</v>
      </c>
      <c r="D469" s="2" t="s">
        <v>2</v>
      </c>
      <c r="E469" s="2">
        <v>25</v>
      </c>
      <c r="F469" s="2">
        <v>7</v>
      </c>
      <c r="G469" s="2">
        <v>6</v>
      </c>
      <c r="H469" s="2">
        <v>200000</v>
      </c>
      <c r="I469" s="2">
        <v>350</v>
      </c>
      <c r="J469" s="2" t="s">
        <v>1650</v>
      </c>
      <c r="K469" s="2">
        <v>65</v>
      </c>
      <c r="L469" s="2">
        <v>15</v>
      </c>
      <c r="M469" s="2">
        <v>10</v>
      </c>
      <c r="N469" s="2">
        <v>10</v>
      </c>
      <c r="O469" s="2">
        <v>15</v>
      </c>
      <c r="P469" s="2">
        <v>15</v>
      </c>
      <c r="Q469" s="2" t="s">
        <v>2402</v>
      </c>
      <c r="R469" s="2" t="s">
        <v>2403</v>
      </c>
      <c r="S469" s="4">
        <v>44837</v>
      </c>
    </row>
    <row r="470" spans="1:19" ht="12.5" x14ac:dyDescent="0.25">
      <c r="A470" s="14" t="str">
        <f>HYPERLINK("https://gerandofalcoes.my.salesforce.com/0014P00003YSp7oQAD", "0014P00003YSp7oQAD")</f>
        <v>0014P00003YSp7oQAD</v>
      </c>
      <c r="B470" s="2" t="s">
        <v>2746</v>
      </c>
      <c r="C470" s="2" t="s">
        <v>1800</v>
      </c>
      <c r="D470" s="2" t="s">
        <v>2</v>
      </c>
      <c r="E470" s="2">
        <v>14</v>
      </c>
      <c r="F470" s="2">
        <v>30</v>
      </c>
      <c r="G470" s="2">
        <v>2</v>
      </c>
      <c r="H470" s="2">
        <v>10000</v>
      </c>
      <c r="I470" s="2">
        <v>350</v>
      </c>
      <c r="J470" s="2" t="s">
        <v>1671</v>
      </c>
      <c r="K470" s="2">
        <v>48</v>
      </c>
      <c r="L470" s="2">
        <v>10</v>
      </c>
      <c r="M470" s="2">
        <v>12</v>
      </c>
      <c r="N470" s="2">
        <v>6</v>
      </c>
      <c r="O470" s="2">
        <v>5</v>
      </c>
      <c r="P470" s="2">
        <v>15</v>
      </c>
      <c r="Q470" s="2" t="s">
        <v>2747</v>
      </c>
      <c r="R470" s="2" t="s">
        <v>2748</v>
      </c>
      <c r="S470" s="4">
        <v>44837</v>
      </c>
    </row>
    <row r="471" spans="1:19" ht="12.5" x14ac:dyDescent="0.25">
      <c r="A471" s="14" t="str">
        <f>HYPERLINK("https://gerandofalcoes.my.salesforce.com/0014P00003YSp7pQAD", "0014P00003YSp7pQAD")</f>
        <v>0014P00003YSp7pQAD</v>
      </c>
      <c r="B471" s="2" t="s">
        <v>2596</v>
      </c>
      <c r="C471" s="2" t="s">
        <v>1800</v>
      </c>
      <c r="D471" s="2" t="s">
        <v>2</v>
      </c>
      <c r="E471" s="2">
        <v>19</v>
      </c>
      <c r="F471" s="2">
        <v>0</v>
      </c>
      <c r="G471" s="2">
        <v>3</v>
      </c>
      <c r="H471" s="2">
        <v>150000</v>
      </c>
      <c r="I471" s="2">
        <v>190</v>
      </c>
      <c r="J471" s="2" t="s">
        <v>1671</v>
      </c>
      <c r="K471" s="2">
        <v>45</v>
      </c>
      <c r="L471" s="2">
        <v>10</v>
      </c>
      <c r="M471" s="2">
        <v>0</v>
      </c>
      <c r="N471" s="2">
        <v>8</v>
      </c>
      <c r="O471" s="2">
        <v>15</v>
      </c>
      <c r="P471" s="2">
        <v>12</v>
      </c>
      <c r="Q471" s="2" t="s">
        <v>2597</v>
      </c>
      <c r="R471" s="2" t="s">
        <v>2598</v>
      </c>
      <c r="S471" s="4">
        <v>44837</v>
      </c>
    </row>
    <row r="472" spans="1:19" ht="12.5" x14ac:dyDescent="0.25">
      <c r="A472" s="14" t="str">
        <f>HYPERLINK("https://gerandofalcoes.my.salesforce.com/0014P00003YSp7qQAD", "0014P00003YSp7qQAD")</f>
        <v>0014P00003YSp7qQAD</v>
      </c>
      <c r="B472" s="2" t="s">
        <v>2438</v>
      </c>
      <c r="C472" s="2" t="s">
        <v>1800</v>
      </c>
      <c r="D472" s="2" t="s">
        <v>2</v>
      </c>
      <c r="E472" s="2">
        <v>24</v>
      </c>
      <c r="F472" s="2">
        <v>5</v>
      </c>
      <c r="G472" s="2">
        <v>2</v>
      </c>
      <c r="H472" s="2">
        <v>7000</v>
      </c>
      <c r="I472" s="2">
        <v>1250</v>
      </c>
      <c r="J472" s="2" t="s">
        <v>1671</v>
      </c>
      <c r="K472" s="2">
        <v>46</v>
      </c>
      <c r="L472" s="2">
        <v>10</v>
      </c>
      <c r="M472" s="2">
        <v>5</v>
      </c>
      <c r="N472" s="2">
        <v>6</v>
      </c>
      <c r="O472" s="2">
        <v>5</v>
      </c>
      <c r="P472" s="2">
        <v>20</v>
      </c>
      <c r="Q472" s="2" t="s">
        <v>2439</v>
      </c>
      <c r="R472" s="2" t="s">
        <v>2440</v>
      </c>
      <c r="S472" s="4">
        <v>44837</v>
      </c>
    </row>
    <row r="473" spans="1:19" ht="12.5" x14ac:dyDescent="0.25">
      <c r="A473" s="14" t="str">
        <f>HYPERLINK("https://gerandofalcoes.my.salesforce.com/0014P00003YSp7rQAD", "0014P00003YSp7rQAD")</f>
        <v>0014P00003YSp7rQAD</v>
      </c>
      <c r="B473" s="2" t="s">
        <v>2509</v>
      </c>
      <c r="C473" s="2" t="s">
        <v>1800</v>
      </c>
      <c r="D473" s="2" t="s">
        <v>2</v>
      </c>
      <c r="E473" s="2">
        <v>21</v>
      </c>
      <c r="F473" s="2">
        <v>1</v>
      </c>
      <c r="G473" s="2">
        <v>2</v>
      </c>
      <c r="H473" s="2">
        <v>11000</v>
      </c>
      <c r="I473" s="2">
        <v>320</v>
      </c>
      <c r="J473" s="2" t="s">
        <v>1671</v>
      </c>
      <c r="K473" s="2">
        <v>41</v>
      </c>
      <c r="L473" s="2">
        <v>10</v>
      </c>
      <c r="M473" s="2">
        <v>5</v>
      </c>
      <c r="N473" s="2">
        <v>6</v>
      </c>
      <c r="O473" s="2">
        <v>5</v>
      </c>
      <c r="P473" s="2">
        <v>15</v>
      </c>
      <c r="Q473" s="2" t="s">
        <v>2510</v>
      </c>
      <c r="R473" s="2" t="s">
        <v>2510</v>
      </c>
      <c r="S473" s="4">
        <v>44837</v>
      </c>
    </row>
    <row r="474" spans="1:19" ht="12.5" x14ac:dyDescent="0.25">
      <c r="A474" s="14" t="str">
        <f>HYPERLINK("https://gerandofalcoes.my.salesforce.com/0014P00003YSp7sQAD", "0014P00003YSp7sQAD")</f>
        <v>0014P00003YSp7sQAD</v>
      </c>
      <c r="B474" s="2" t="s">
        <v>1674</v>
      </c>
      <c r="C474" s="2" t="s">
        <v>423</v>
      </c>
      <c r="D474" s="2" t="s">
        <v>27</v>
      </c>
      <c r="E474" s="2">
        <v>42</v>
      </c>
      <c r="F474" s="2">
        <v>12</v>
      </c>
      <c r="G474" s="2">
        <v>3</v>
      </c>
      <c r="H474" s="2">
        <v>60000</v>
      </c>
      <c r="I474" s="2">
        <v>300</v>
      </c>
      <c r="J474" s="2" t="s">
        <v>1671</v>
      </c>
      <c r="K474" s="2">
        <v>60</v>
      </c>
      <c r="L474" s="2">
        <v>15</v>
      </c>
      <c r="M474" s="2">
        <v>12</v>
      </c>
      <c r="N474" s="2">
        <v>8</v>
      </c>
      <c r="O474" s="2">
        <v>10</v>
      </c>
      <c r="P474" s="2">
        <v>15</v>
      </c>
      <c r="Q474" s="2" t="s">
        <v>1675</v>
      </c>
      <c r="R474" s="2" t="s">
        <v>1675</v>
      </c>
      <c r="S474" s="4">
        <v>44837</v>
      </c>
    </row>
    <row r="475" spans="1:19" ht="12.5" x14ac:dyDescent="0.25">
      <c r="A475" s="14" t="str">
        <f>HYPERLINK("https://gerandofalcoes.my.salesforce.com/0014P00003YSp7tQAD", "0014P00003YSp7tQAD")</f>
        <v>0014P00003YSp7tQAD</v>
      </c>
      <c r="B475" s="2" t="s">
        <v>2418</v>
      </c>
      <c r="C475" s="2" t="s">
        <v>1800</v>
      </c>
      <c r="D475" s="2" t="s">
        <v>2</v>
      </c>
      <c r="E475" s="2">
        <v>25</v>
      </c>
      <c r="F475" s="2">
        <v>8</v>
      </c>
      <c r="G475" s="2">
        <v>2</v>
      </c>
      <c r="H475" s="2">
        <v>0</v>
      </c>
      <c r="I475" s="2">
        <v>0</v>
      </c>
      <c r="J475" s="2" t="s">
        <v>1779</v>
      </c>
      <c r="K475" s="2">
        <v>31</v>
      </c>
      <c r="L475" s="2">
        <v>15</v>
      </c>
      <c r="M475" s="2">
        <v>10</v>
      </c>
      <c r="N475" s="2">
        <v>6</v>
      </c>
      <c r="O475" s="2">
        <v>0</v>
      </c>
      <c r="P475" s="2">
        <v>0</v>
      </c>
      <c r="Q475" s="2" t="s">
        <v>2419</v>
      </c>
      <c r="R475" s="2" t="s">
        <v>2419</v>
      </c>
      <c r="S475" s="4">
        <v>44837</v>
      </c>
    </row>
    <row r="476" spans="1:19" ht="12.5" x14ac:dyDescent="0.25">
      <c r="A476" s="14" t="str">
        <f>HYPERLINK("https://gerandofalcoes.my.salesforce.com/0014P00003YSp7uQAD", "0014P00003YSp7uQAD")</f>
        <v>0014P00003YSp7uQAD</v>
      </c>
      <c r="B476" s="2" t="s">
        <v>2120</v>
      </c>
      <c r="C476" s="2" t="s">
        <v>423</v>
      </c>
      <c r="D476" s="2" t="s">
        <v>2</v>
      </c>
      <c r="E476" s="2">
        <v>35</v>
      </c>
      <c r="F476" s="2">
        <v>5</v>
      </c>
      <c r="G476" s="2">
        <v>2</v>
      </c>
      <c r="H476" s="2">
        <v>100000</v>
      </c>
      <c r="I476" s="2">
        <v>0</v>
      </c>
      <c r="J476" s="2" t="s">
        <v>1671</v>
      </c>
      <c r="K476" s="2">
        <v>41</v>
      </c>
      <c r="L476" s="2">
        <v>15</v>
      </c>
      <c r="M476" s="2">
        <v>5</v>
      </c>
      <c r="N476" s="2">
        <v>6</v>
      </c>
      <c r="O476" s="2">
        <v>15</v>
      </c>
      <c r="P476" s="2">
        <v>0</v>
      </c>
      <c r="Q476" s="2" t="s">
        <v>2121</v>
      </c>
      <c r="R476" s="2" t="s">
        <v>2121</v>
      </c>
      <c r="S476" s="4">
        <v>44837</v>
      </c>
    </row>
    <row r="477" spans="1:19" ht="12.5" x14ac:dyDescent="0.25">
      <c r="A477" s="14" t="str">
        <f>HYPERLINK("https://gerandofalcoes.my.salesforce.com/0014X00002VKCtVQAX", "0014X00002VKCtVQAX")</f>
        <v>0014X00002VKCtVQAX</v>
      </c>
      <c r="B477" s="2" t="s">
        <v>2665</v>
      </c>
      <c r="C477" s="2" t="s">
        <v>1800</v>
      </c>
      <c r="D477" s="2" t="s">
        <v>2</v>
      </c>
      <c r="E477" s="2">
        <v>17</v>
      </c>
      <c r="F477" s="2">
        <v>8</v>
      </c>
      <c r="G477" s="2">
        <v>2</v>
      </c>
      <c r="H477" s="2">
        <v>8000</v>
      </c>
      <c r="I477" s="2">
        <v>16</v>
      </c>
      <c r="J477" s="2" t="s">
        <v>1779</v>
      </c>
      <c r="K477" s="2">
        <v>36</v>
      </c>
      <c r="L477" s="2">
        <v>10</v>
      </c>
      <c r="M477" s="2">
        <v>10</v>
      </c>
      <c r="N477" s="2">
        <v>6</v>
      </c>
      <c r="O477" s="2">
        <v>5</v>
      </c>
      <c r="P477" s="2">
        <v>5</v>
      </c>
      <c r="Q477" s="2" t="s">
        <v>2666</v>
      </c>
      <c r="R477" s="2" t="s">
        <v>2666</v>
      </c>
      <c r="S477" s="4">
        <v>44837</v>
      </c>
    </row>
    <row r="478" spans="1:19" ht="12.5" x14ac:dyDescent="0.25">
      <c r="A478" s="14" t="str">
        <f>HYPERLINK("https://gerandofalcoes.my.salesforce.com/0014X00002VKCuqQAH", "0014X00002VKCuqQAH")</f>
        <v>0014X00002VKCuqQAH</v>
      </c>
      <c r="B478" s="2" t="s">
        <v>2649</v>
      </c>
      <c r="C478" s="2" t="s">
        <v>423</v>
      </c>
      <c r="D478" s="2" t="s">
        <v>2</v>
      </c>
      <c r="E478" s="2">
        <v>17.440000000000001</v>
      </c>
      <c r="F478" s="2">
        <v>0</v>
      </c>
      <c r="G478" s="2">
        <v>3</v>
      </c>
      <c r="H478" s="2">
        <v>7019</v>
      </c>
      <c r="I478" s="2">
        <v>100</v>
      </c>
      <c r="J478" s="2" t="s">
        <v>1779</v>
      </c>
      <c r="K478" s="2">
        <v>33</v>
      </c>
      <c r="L478" s="2">
        <v>10</v>
      </c>
      <c r="M478" s="2">
        <v>0</v>
      </c>
      <c r="N478" s="2">
        <v>8</v>
      </c>
      <c r="O478" s="2">
        <v>5</v>
      </c>
      <c r="P478" s="2">
        <v>10</v>
      </c>
      <c r="Q478" s="2" t="s">
        <v>2650</v>
      </c>
      <c r="R478" s="2" t="s">
        <v>2650</v>
      </c>
      <c r="S478" s="4">
        <v>44837</v>
      </c>
    </row>
    <row r="479" spans="1:19" ht="12.5" x14ac:dyDescent="0.25">
      <c r="A479" s="14" t="str">
        <f>HYPERLINK("https://gerandofalcoes.my.salesforce.com/0014X00002VKCrhQAH", "0014X00002VKCrhQAH")</f>
        <v>0014X00002VKCrhQAH</v>
      </c>
      <c r="B479" s="2" t="s">
        <v>3895</v>
      </c>
      <c r="C479" s="2" t="s">
        <v>1800</v>
      </c>
      <c r="D479" s="2" t="s">
        <v>2</v>
      </c>
      <c r="E479" s="2">
        <v>45</v>
      </c>
      <c r="F479" s="2">
        <v>6</v>
      </c>
      <c r="G479" s="2">
        <v>5</v>
      </c>
      <c r="H479" s="2">
        <v>150000</v>
      </c>
      <c r="I479" s="2">
        <v>200</v>
      </c>
      <c r="J479" s="2" t="s">
        <v>1671</v>
      </c>
      <c r="K479" s="2">
        <v>62</v>
      </c>
      <c r="L479" s="2">
        <v>15</v>
      </c>
      <c r="M479" s="2">
        <v>10</v>
      </c>
      <c r="N479" s="2">
        <v>10</v>
      </c>
      <c r="O479" s="2">
        <v>15</v>
      </c>
      <c r="P479" s="2">
        <v>12</v>
      </c>
      <c r="Q479" s="2" t="s">
        <v>7168</v>
      </c>
      <c r="R479" s="2" t="s">
        <v>3897</v>
      </c>
      <c r="S479" s="4">
        <v>44837</v>
      </c>
    </row>
    <row r="480" spans="1:19" ht="12.5" x14ac:dyDescent="0.25">
      <c r="A480" s="14" t="str">
        <f>HYPERLINK("https://gerandofalcoes.my.salesforce.com/0014X00002VKCuSQAX", "0014X00002VKCuSQAX")</f>
        <v>0014X00002VKCuSQAX</v>
      </c>
      <c r="B480" s="2" t="s">
        <v>2444</v>
      </c>
      <c r="C480" s="2" t="s">
        <v>1800</v>
      </c>
      <c r="D480" s="2" t="s">
        <v>2</v>
      </c>
      <c r="E480" s="2">
        <v>24</v>
      </c>
      <c r="F480" s="2">
        <v>6</v>
      </c>
      <c r="G480" s="2">
        <v>2</v>
      </c>
      <c r="H480" s="2">
        <v>15000</v>
      </c>
      <c r="I480" s="2">
        <v>336</v>
      </c>
      <c r="J480" s="2" t="s">
        <v>1671</v>
      </c>
      <c r="K480" s="2">
        <v>46</v>
      </c>
      <c r="L480" s="2">
        <v>10</v>
      </c>
      <c r="M480" s="2">
        <v>10</v>
      </c>
      <c r="N480" s="2">
        <v>6</v>
      </c>
      <c r="O480" s="2">
        <v>5</v>
      </c>
      <c r="P480" s="2">
        <v>15</v>
      </c>
      <c r="Q480" s="2" t="s">
        <v>2445</v>
      </c>
      <c r="R480" s="2" t="s">
        <v>2446</v>
      </c>
      <c r="S480" s="4">
        <v>44837</v>
      </c>
    </row>
    <row r="481" spans="1:19" ht="12.5" x14ac:dyDescent="0.25">
      <c r="A481" s="14" t="str">
        <f>HYPERLINK("https://gerandofalcoes.my.salesforce.com/0014X00002VKCr2QAH", "0014X00002VKCr2QAH")</f>
        <v>0014X00002VKCr2QAH</v>
      </c>
      <c r="B481" s="2" t="s">
        <v>1915</v>
      </c>
      <c r="C481" s="2" t="s">
        <v>423</v>
      </c>
      <c r="D481" s="2" t="s">
        <v>2</v>
      </c>
      <c r="E481" s="2">
        <v>36</v>
      </c>
      <c r="F481" s="2">
        <v>8</v>
      </c>
      <c r="G481" s="2">
        <v>2</v>
      </c>
      <c r="H481" s="2">
        <v>4500000</v>
      </c>
      <c r="I481" s="2">
        <v>-40</v>
      </c>
      <c r="J481" s="2" t="s">
        <v>1671</v>
      </c>
      <c r="K481" s="2">
        <v>56</v>
      </c>
      <c r="L481" s="2">
        <v>15</v>
      </c>
      <c r="M481" s="2">
        <v>10</v>
      </c>
      <c r="N481" s="2">
        <v>6</v>
      </c>
      <c r="O481" s="2">
        <v>25</v>
      </c>
      <c r="P481" s="2">
        <v>0</v>
      </c>
      <c r="Q481" s="2" t="s">
        <v>1916</v>
      </c>
      <c r="R481" s="2" t="s">
        <v>1917</v>
      </c>
      <c r="S481" s="4">
        <v>44837</v>
      </c>
    </row>
    <row r="482" spans="1:19" ht="12.5" x14ac:dyDescent="0.25">
      <c r="A482" s="14" t="str">
        <f>HYPERLINK("https://gerandofalcoes.my.salesforce.com/0014X00002VKCtHQAX", "0014X00002VKCtHQAX")</f>
        <v>0014X00002VKCtHQAX</v>
      </c>
      <c r="B482" s="2" t="s">
        <v>2188</v>
      </c>
      <c r="C482" s="2" t="s">
        <v>423</v>
      </c>
      <c r="D482" s="2" t="s">
        <v>2</v>
      </c>
      <c r="E482" s="2">
        <v>33</v>
      </c>
      <c r="F482" s="2">
        <v>0</v>
      </c>
      <c r="G482" s="2">
        <v>3</v>
      </c>
      <c r="H482" s="2">
        <v>3000</v>
      </c>
      <c r="I482" s="2">
        <v>0</v>
      </c>
      <c r="J482" s="2" t="s">
        <v>1779</v>
      </c>
      <c r="K482" s="2">
        <v>28</v>
      </c>
      <c r="L482" s="2">
        <v>15</v>
      </c>
      <c r="M482" s="2">
        <v>0</v>
      </c>
      <c r="N482" s="2">
        <v>8</v>
      </c>
      <c r="O482" s="2">
        <v>5</v>
      </c>
      <c r="P482" s="2">
        <v>0</v>
      </c>
      <c r="Q482" s="2" t="s">
        <v>2189</v>
      </c>
      <c r="R482" s="2" t="s">
        <v>2190</v>
      </c>
      <c r="S482" s="4">
        <v>44837</v>
      </c>
    </row>
    <row r="483" spans="1:19" ht="12.5" x14ac:dyDescent="0.25">
      <c r="A483" s="14" t="str">
        <f>HYPERLINK("https://gerandofalcoes.my.salesforce.com/0014X00002VKCtXQAX", "0014X00002VKCtXQAX")</f>
        <v>0014X00002VKCtXQAX</v>
      </c>
      <c r="B483" s="2" t="s">
        <v>2462</v>
      </c>
      <c r="C483" s="2" t="s">
        <v>1800</v>
      </c>
      <c r="D483" s="2" t="s">
        <v>2</v>
      </c>
      <c r="E483" s="2">
        <v>23</v>
      </c>
      <c r="F483" s="2">
        <v>0</v>
      </c>
      <c r="G483" s="2">
        <v>2</v>
      </c>
      <c r="H483" s="2">
        <v>25000</v>
      </c>
      <c r="I483" s="2">
        <v>60</v>
      </c>
      <c r="J483" s="2" t="s">
        <v>1779</v>
      </c>
      <c r="K483" s="2">
        <v>31</v>
      </c>
      <c r="L483" s="2">
        <v>10</v>
      </c>
      <c r="M483" s="2">
        <v>0</v>
      </c>
      <c r="N483" s="2">
        <v>6</v>
      </c>
      <c r="O483" s="2">
        <v>10</v>
      </c>
      <c r="P483" s="2">
        <v>5</v>
      </c>
      <c r="Q483" s="2" t="s">
        <v>2463</v>
      </c>
      <c r="R483" s="2" t="s">
        <v>2464</v>
      </c>
      <c r="S483" s="4">
        <v>44837</v>
      </c>
    </row>
    <row r="484" spans="1:19" ht="12.5" x14ac:dyDescent="0.25">
      <c r="A484" s="14" t="str">
        <f>HYPERLINK("https://gerandofalcoes.my.salesforce.com/0014X00002VKCsDQAX", "0014X00002VKCsDQAX")</f>
        <v>0014X00002VKCsDQAX</v>
      </c>
      <c r="B484" s="2" t="s">
        <v>2789</v>
      </c>
      <c r="C484" s="2" t="s">
        <v>1800</v>
      </c>
      <c r="D484" s="2" t="s">
        <v>2</v>
      </c>
      <c r="E484" s="2">
        <v>13</v>
      </c>
      <c r="F484" s="2">
        <v>0</v>
      </c>
      <c r="G484" s="2">
        <v>2</v>
      </c>
      <c r="H484" s="2">
        <v>14000</v>
      </c>
      <c r="I484" s="2">
        <v>60</v>
      </c>
      <c r="J484" s="2" t="s">
        <v>1779</v>
      </c>
      <c r="K484" s="2">
        <v>26</v>
      </c>
      <c r="L484" s="2">
        <v>10</v>
      </c>
      <c r="M484" s="2">
        <v>0</v>
      </c>
      <c r="N484" s="2">
        <v>6</v>
      </c>
      <c r="O484" s="2">
        <v>5</v>
      </c>
      <c r="P484" s="2">
        <v>5</v>
      </c>
      <c r="Q484" s="2" t="s">
        <v>2790</v>
      </c>
      <c r="R484" s="2" t="s">
        <v>2791</v>
      </c>
      <c r="S484" s="4">
        <v>44837</v>
      </c>
    </row>
    <row r="485" spans="1:19" ht="12.5" x14ac:dyDescent="0.25">
      <c r="A485" s="14" t="str">
        <f>HYPERLINK("https://gerandofalcoes.my.salesforce.com/0014X00002VKCrLQAX", "0014X00002VKCrLQAX")</f>
        <v>0014X00002VKCrLQAX</v>
      </c>
      <c r="B485" s="2" t="s">
        <v>2637</v>
      </c>
      <c r="C485" s="2" t="s">
        <v>1800</v>
      </c>
      <c r="D485" s="2" t="s">
        <v>2</v>
      </c>
      <c r="E485" s="2">
        <v>18</v>
      </c>
      <c r="F485" s="2">
        <v>0</v>
      </c>
      <c r="G485" s="2">
        <v>4</v>
      </c>
      <c r="H485" s="2">
        <v>6.5</v>
      </c>
      <c r="I485" s="2">
        <v>45</v>
      </c>
      <c r="J485" s="2" t="s">
        <v>1779</v>
      </c>
      <c r="K485" s="2">
        <v>30</v>
      </c>
      <c r="L485" s="2">
        <v>10</v>
      </c>
      <c r="M485" s="2">
        <v>0</v>
      </c>
      <c r="N485" s="2">
        <v>10</v>
      </c>
      <c r="O485" s="2">
        <v>5</v>
      </c>
      <c r="P485" s="2">
        <v>5</v>
      </c>
      <c r="Q485" s="2" t="s">
        <v>2638</v>
      </c>
      <c r="R485" s="2" t="s">
        <v>2638</v>
      </c>
      <c r="S485" s="4">
        <v>44837</v>
      </c>
    </row>
    <row r="486" spans="1:19" ht="12.5" x14ac:dyDescent="0.25">
      <c r="A486" s="14" t="str">
        <f>HYPERLINK("https://gerandofalcoes.my.salesforce.com/0014X00002VKCtMQAX", "0014X00002VKCtMQAX")</f>
        <v>0014X00002VKCtMQAX</v>
      </c>
      <c r="B486" s="2" t="s">
        <v>2762</v>
      </c>
      <c r="C486" s="2" t="s">
        <v>1800</v>
      </c>
      <c r="D486" s="2" t="s">
        <v>2</v>
      </c>
      <c r="E486" s="2">
        <v>14</v>
      </c>
      <c r="F486" s="2">
        <v>5</v>
      </c>
      <c r="G486" s="2">
        <v>2</v>
      </c>
      <c r="H486" s="2">
        <v>500</v>
      </c>
      <c r="I486" s="2">
        <v>0</v>
      </c>
      <c r="J486" s="2" t="s">
        <v>1779</v>
      </c>
      <c r="K486" s="2">
        <v>26</v>
      </c>
      <c r="L486" s="2">
        <v>10</v>
      </c>
      <c r="M486" s="2">
        <v>5</v>
      </c>
      <c r="N486" s="2">
        <v>6</v>
      </c>
      <c r="O486" s="2">
        <v>5</v>
      </c>
      <c r="P486" s="2">
        <v>0</v>
      </c>
      <c r="Q486" s="2" t="s">
        <v>2763</v>
      </c>
      <c r="R486" s="2" t="s">
        <v>2764</v>
      </c>
      <c r="S486" s="4">
        <v>44837</v>
      </c>
    </row>
    <row r="487" spans="1:19" ht="12.5" x14ac:dyDescent="0.25">
      <c r="A487" s="14" t="str">
        <f>HYPERLINK("https://gerandofalcoes.my.salesforce.com/0014X00002VKCqNQAX", "0014X00002VKCqNQAX")</f>
        <v>0014X00002VKCqNQAX</v>
      </c>
      <c r="B487" s="2" t="s">
        <v>2783</v>
      </c>
      <c r="C487" s="2" t="s">
        <v>423</v>
      </c>
      <c r="D487" s="2" t="s">
        <v>2</v>
      </c>
      <c r="E487" s="2">
        <v>13</v>
      </c>
      <c r="F487" s="2">
        <v>10</v>
      </c>
      <c r="G487" s="2">
        <v>10</v>
      </c>
      <c r="H487" s="2">
        <v>275000</v>
      </c>
      <c r="I487" s="2">
        <v>348</v>
      </c>
      <c r="J487" s="2" t="s">
        <v>1671</v>
      </c>
      <c r="K487" s="2">
        <v>60</v>
      </c>
      <c r="L487" s="2">
        <v>10</v>
      </c>
      <c r="M487" s="2">
        <v>10</v>
      </c>
      <c r="N487" s="2">
        <v>10</v>
      </c>
      <c r="O487" s="2">
        <v>15</v>
      </c>
      <c r="P487" s="2">
        <v>15</v>
      </c>
      <c r="Q487" s="2" t="s">
        <v>2784</v>
      </c>
      <c r="R487" s="2" t="s">
        <v>2785</v>
      </c>
      <c r="S487" s="4">
        <v>44837</v>
      </c>
    </row>
    <row r="488" spans="1:19" ht="12.5" x14ac:dyDescent="0.25">
      <c r="A488" s="14" t="str">
        <f>HYPERLINK("https://gerandofalcoes.my.salesforce.com/0014X00002VKCtRQAX", "0014X00002VKCtRQAX")</f>
        <v>0014X00002VKCtRQAX</v>
      </c>
      <c r="B488" s="2" t="s">
        <v>2529</v>
      </c>
      <c r="C488" s="2" t="s">
        <v>1800</v>
      </c>
      <c r="D488" s="2" t="s">
        <v>2</v>
      </c>
      <c r="E488" s="2">
        <v>21</v>
      </c>
      <c r="F488" s="2">
        <v>1</v>
      </c>
      <c r="G488" s="2">
        <v>6</v>
      </c>
      <c r="H488" s="2">
        <v>300</v>
      </c>
      <c r="I488" s="2">
        <v>30</v>
      </c>
      <c r="J488" s="2" t="s">
        <v>1779</v>
      </c>
      <c r="K488" s="2">
        <v>35</v>
      </c>
      <c r="L488" s="2">
        <v>10</v>
      </c>
      <c r="M488" s="2">
        <v>5</v>
      </c>
      <c r="N488" s="2">
        <v>10</v>
      </c>
      <c r="O488" s="2">
        <v>5</v>
      </c>
      <c r="P488" s="2">
        <v>5</v>
      </c>
      <c r="Q488" s="2" t="s">
        <v>2530</v>
      </c>
      <c r="R488" s="2" t="s">
        <v>2530</v>
      </c>
      <c r="S488" s="4">
        <v>44837</v>
      </c>
    </row>
    <row r="489" spans="1:19" ht="12.5" x14ac:dyDescent="0.25">
      <c r="A489" s="14" t="str">
        <f>HYPERLINK("https://gerandofalcoes.my.salesforce.com/0014X00002VKCrvQAH", "0014X00002VKCrvQAH")</f>
        <v>0014X00002VKCrvQAH</v>
      </c>
      <c r="B489" s="2" t="s">
        <v>2816</v>
      </c>
      <c r="C489" s="2" t="s">
        <v>423</v>
      </c>
      <c r="D489" s="2" t="s">
        <v>2</v>
      </c>
      <c r="E489" s="2">
        <v>10</v>
      </c>
      <c r="F489" s="2">
        <v>4</v>
      </c>
      <c r="G489" s="2">
        <v>1</v>
      </c>
      <c r="H489" s="2">
        <v>1200</v>
      </c>
      <c r="I489" s="2">
        <v>150</v>
      </c>
      <c r="J489" s="2" t="s">
        <v>1779</v>
      </c>
      <c r="K489" s="2">
        <v>36</v>
      </c>
      <c r="L489" s="2">
        <v>10</v>
      </c>
      <c r="M489" s="2">
        <v>5</v>
      </c>
      <c r="N489" s="2">
        <v>4</v>
      </c>
      <c r="O489" s="2">
        <v>5</v>
      </c>
      <c r="P489" s="2">
        <v>12</v>
      </c>
      <c r="Q489" s="2" t="s">
        <v>7160</v>
      </c>
      <c r="R489" s="2" t="s">
        <v>7160</v>
      </c>
      <c r="S489" s="4">
        <v>44837</v>
      </c>
    </row>
    <row r="490" spans="1:19" ht="12.5" x14ac:dyDescent="0.25">
      <c r="A490" s="14" t="str">
        <f>HYPERLINK("https://gerandofalcoes.my.salesforce.com/0014X00002VKD04QAH", "0014X00002VKD04QAH")</f>
        <v>0014X00002VKD04QAH</v>
      </c>
      <c r="B490" s="2" t="s">
        <v>2282</v>
      </c>
      <c r="C490" s="2" t="s">
        <v>423</v>
      </c>
      <c r="D490" s="2" t="s">
        <v>2</v>
      </c>
      <c r="E490" s="2">
        <v>37</v>
      </c>
      <c r="F490" s="2">
        <v>24</v>
      </c>
      <c r="G490" s="2">
        <v>3</v>
      </c>
      <c r="H490" s="2">
        <v>1200000</v>
      </c>
      <c r="I490" s="2">
        <v>35</v>
      </c>
      <c r="J490" s="2" t="s">
        <v>1650</v>
      </c>
      <c r="K490" s="2">
        <v>65</v>
      </c>
      <c r="L490" s="2">
        <v>15</v>
      </c>
      <c r="M490" s="2">
        <v>12</v>
      </c>
      <c r="N490" s="2">
        <v>8</v>
      </c>
      <c r="O490" s="2">
        <v>25</v>
      </c>
      <c r="P490" s="2">
        <v>5</v>
      </c>
      <c r="Q490" s="2" t="s">
        <v>2283</v>
      </c>
      <c r="R490" s="2" t="s">
        <v>2284</v>
      </c>
      <c r="S490" s="4">
        <v>44837</v>
      </c>
    </row>
    <row r="491" spans="1:19" ht="12.5" x14ac:dyDescent="0.25">
      <c r="A491" s="14" t="str">
        <f>HYPERLINK("https://gerandofalcoes.my.salesforce.com/0014X00002VKCvAQAX", "0014X00002VKCvAQAX")</f>
        <v>0014X00002VKCvAQAX</v>
      </c>
      <c r="B491" s="2" t="s">
        <v>2927</v>
      </c>
      <c r="C491" s="2" t="s">
        <v>423</v>
      </c>
      <c r="D491" s="2" t="s">
        <v>2</v>
      </c>
      <c r="E491" s="2">
        <v>6.68</v>
      </c>
      <c r="F491" s="2">
        <v>0</v>
      </c>
      <c r="G491" s="2">
        <v>1</v>
      </c>
      <c r="H491" s="2">
        <v>35000</v>
      </c>
      <c r="I491" s="2">
        <v>0</v>
      </c>
      <c r="J491" s="2" t="s">
        <v>1779</v>
      </c>
      <c r="K491" s="2">
        <v>24</v>
      </c>
      <c r="L491" s="2">
        <v>10</v>
      </c>
      <c r="M491" s="2">
        <v>0</v>
      </c>
      <c r="N491" s="2">
        <v>4</v>
      </c>
      <c r="O491" s="2">
        <v>10</v>
      </c>
      <c r="P491" s="2">
        <v>0</v>
      </c>
      <c r="Q491" s="2" t="s">
        <v>2928</v>
      </c>
      <c r="R491" s="2" t="s">
        <v>2929</v>
      </c>
      <c r="S491" s="4">
        <v>44837</v>
      </c>
    </row>
    <row r="492" spans="1:19" ht="12.5" x14ac:dyDescent="0.25">
      <c r="A492" s="14" t="str">
        <f>HYPERLINK("https://gerandofalcoes.my.salesforce.com/0014X00002VKCrZQAX", "0014X00002VKCrZQAX")</f>
        <v>0014X00002VKCrZQAX</v>
      </c>
      <c r="B492" s="2" t="s">
        <v>1724</v>
      </c>
      <c r="C492" s="2" t="s">
        <v>423</v>
      </c>
      <c r="D492" s="2" t="s">
        <v>2</v>
      </c>
      <c r="E492" s="2">
        <v>80</v>
      </c>
      <c r="F492" s="2">
        <v>5</v>
      </c>
      <c r="G492" s="2">
        <v>7</v>
      </c>
      <c r="H492" s="2">
        <v>701915</v>
      </c>
      <c r="I492" s="2">
        <v>259</v>
      </c>
      <c r="J492" s="2" t="s">
        <v>1650</v>
      </c>
      <c r="K492" s="2">
        <v>72</v>
      </c>
      <c r="L492" s="2">
        <v>25</v>
      </c>
      <c r="M492" s="2">
        <v>5</v>
      </c>
      <c r="N492" s="2">
        <v>10</v>
      </c>
      <c r="O492" s="2">
        <v>20</v>
      </c>
      <c r="P492" s="2">
        <v>12</v>
      </c>
      <c r="Q492" s="2" t="s">
        <v>1725</v>
      </c>
      <c r="R492" s="2" t="s">
        <v>1726</v>
      </c>
      <c r="S492" s="4">
        <v>44837</v>
      </c>
    </row>
    <row r="493" spans="1:19" ht="12.5" x14ac:dyDescent="0.25">
      <c r="A493" s="14" t="str">
        <f>HYPERLINK("https://gerandofalcoes.my.salesforce.com/0014X00002VMXzMQAX", "0014X00002VMXzMQAX")</f>
        <v>0014X00002VMXzMQAX</v>
      </c>
      <c r="B493" s="2" t="s">
        <v>2916</v>
      </c>
      <c r="C493" s="2" t="s">
        <v>423</v>
      </c>
      <c r="D493" s="2" t="s">
        <v>2</v>
      </c>
      <c r="E493" s="2">
        <v>20</v>
      </c>
      <c r="F493" s="2">
        <v>1</v>
      </c>
      <c r="G493" s="2">
        <v>2</v>
      </c>
      <c r="H493" s="2">
        <v>18000</v>
      </c>
      <c r="I493" s="2">
        <v>10</v>
      </c>
      <c r="J493" s="2" t="s">
        <v>1779</v>
      </c>
      <c r="K493" s="2">
        <v>31</v>
      </c>
      <c r="L493" s="2">
        <v>10</v>
      </c>
      <c r="M493" s="2">
        <v>5</v>
      </c>
      <c r="N493" s="2">
        <v>6</v>
      </c>
      <c r="O493" s="2">
        <v>5</v>
      </c>
      <c r="P493" s="2">
        <v>5</v>
      </c>
      <c r="Q493" s="2" t="s">
        <v>2917</v>
      </c>
      <c r="R493" s="2" t="s">
        <v>2918</v>
      </c>
      <c r="S493" s="4">
        <v>44837</v>
      </c>
    </row>
    <row r="494" spans="1:19" ht="12.5" x14ac:dyDescent="0.25">
      <c r="A494" s="14" t="str">
        <f>HYPERLINK("https://gerandofalcoes.my.salesforce.com/0014X00002VKCtEQAX", "0014X00002VKCtEQAX")</f>
        <v>0014X00002VKCtEQAX</v>
      </c>
      <c r="B494" s="2" t="s">
        <v>2717</v>
      </c>
      <c r="C494" s="2" t="s">
        <v>423</v>
      </c>
      <c r="D494" s="2" t="s">
        <v>2</v>
      </c>
      <c r="E494" s="2">
        <v>15</v>
      </c>
      <c r="F494" s="2">
        <v>0</v>
      </c>
      <c r="G494" s="2">
        <v>3</v>
      </c>
      <c r="H494" s="2">
        <v>0</v>
      </c>
      <c r="I494" s="2">
        <v>187</v>
      </c>
      <c r="J494" s="2" t="s">
        <v>1779</v>
      </c>
      <c r="K494" s="2">
        <v>30</v>
      </c>
      <c r="L494" s="2">
        <v>10</v>
      </c>
      <c r="M494" s="2">
        <v>0</v>
      </c>
      <c r="N494" s="2">
        <v>8</v>
      </c>
      <c r="O494" s="2">
        <v>0</v>
      </c>
      <c r="P494" s="2">
        <v>12</v>
      </c>
      <c r="Q494" s="2" t="s">
        <v>2718</v>
      </c>
      <c r="R494" s="2" t="s">
        <v>2719</v>
      </c>
      <c r="S494" s="4">
        <v>44837</v>
      </c>
    </row>
    <row r="495" spans="1:19" ht="12.5" x14ac:dyDescent="0.25">
      <c r="A495" s="14" t="str">
        <f>HYPERLINK("https://gerandofalcoes.my.salesforce.com/0014X00002VKCqTQAX", "0014X00002VKCqTQAX")</f>
        <v>0014X00002VKCqTQAX</v>
      </c>
      <c r="B495" s="2" t="s">
        <v>2431</v>
      </c>
      <c r="C495" s="2" t="s">
        <v>423</v>
      </c>
      <c r="D495" s="2" t="s">
        <v>2</v>
      </c>
      <c r="E495" s="2">
        <v>33</v>
      </c>
      <c r="F495" s="2">
        <v>0</v>
      </c>
      <c r="G495" s="2">
        <v>1</v>
      </c>
      <c r="H495" s="2">
        <v>7500</v>
      </c>
      <c r="I495" s="2">
        <v>250</v>
      </c>
      <c r="J495" s="2" t="s">
        <v>1779</v>
      </c>
      <c r="K495" s="2">
        <v>36</v>
      </c>
      <c r="L495" s="2">
        <v>15</v>
      </c>
      <c r="M495" s="2">
        <v>0</v>
      </c>
      <c r="N495" s="2">
        <v>4</v>
      </c>
      <c r="O495" s="2">
        <v>5</v>
      </c>
      <c r="P495" s="2">
        <v>12</v>
      </c>
      <c r="Q495" s="2" t="s">
        <v>2432</v>
      </c>
      <c r="R495" s="2" t="s">
        <v>2432</v>
      </c>
      <c r="S495" s="4">
        <v>44837</v>
      </c>
    </row>
    <row r="496" spans="1:19" ht="12.5" x14ac:dyDescent="0.25">
      <c r="A496" s="14" t="str">
        <f>HYPERLINK("https://gerandofalcoes.my.salesforce.com/0014X00002VKCriQAH", "0014X00002VKCriQAH")</f>
        <v>0014X00002VKCriQAH</v>
      </c>
      <c r="B496" s="2" t="s">
        <v>1905</v>
      </c>
      <c r="C496" s="2" t="s">
        <v>423</v>
      </c>
      <c r="D496" s="2" t="s">
        <v>2</v>
      </c>
      <c r="E496" s="2">
        <v>43.02</v>
      </c>
      <c r="F496" s="2">
        <v>0</v>
      </c>
      <c r="G496" s="2">
        <v>2</v>
      </c>
      <c r="H496" s="2">
        <v>2105801</v>
      </c>
      <c r="I496" s="2">
        <v>84</v>
      </c>
      <c r="J496" s="2" t="s">
        <v>1671</v>
      </c>
      <c r="K496" s="2">
        <v>56</v>
      </c>
      <c r="L496" s="2">
        <v>15</v>
      </c>
      <c r="M496" s="2">
        <v>0</v>
      </c>
      <c r="N496" s="2">
        <v>6</v>
      </c>
      <c r="O496" s="2">
        <v>25</v>
      </c>
      <c r="P496" s="2">
        <v>10</v>
      </c>
      <c r="Q496" s="2" t="s">
        <v>1906</v>
      </c>
      <c r="R496" s="2" t="s">
        <v>1907</v>
      </c>
      <c r="S496" s="4">
        <v>44837</v>
      </c>
    </row>
    <row r="497" spans="1:19" ht="12.5" x14ac:dyDescent="0.25">
      <c r="A497" s="14" t="str">
        <f>HYPERLINK("https://gerandofalcoes.my.salesforce.com/0014X00002VKCrCQAX", "0014X00002VKCrCQAX")</f>
        <v>0014X00002VKCrCQAX</v>
      </c>
      <c r="B497" s="2" t="s">
        <v>2534</v>
      </c>
      <c r="C497" s="2" t="s">
        <v>423</v>
      </c>
      <c r="D497" s="2" t="s">
        <v>2</v>
      </c>
      <c r="E497" s="2">
        <v>21</v>
      </c>
      <c r="F497" s="2">
        <v>0</v>
      </c>
      <c r="G497" s="2">
        <v>2</v>
      </c>
      <c r="H497" s="2">
        <v>12000</v>
      </c>
      <c r="I497" s="2">
        <v>0</v>
      </c>
      <c r="J497" s="2" t="s">
        <v>1779</v>
      </c>
      <c r="K497" s="2">
        <v>21</v>
      </c>
      <c r="L497" s="2">
        <v>10</v>
      </c>
      <c r="M497" s="2">
        <v>0</v>
      </c>
      <c r="N497" s="2">
        <v>6</v>
      </c>
      <c r="O497" s="2">
        <v>5</v>
      </c>
      <c r="P497" s="2">
        <v>0</v>
      </c>
      <c r="Q497" s="2" t="s">
        <v>2535</v>
      </c>
      <c r="R497" s="2" t="s">
        <v>2535</v>
      </c>
      <c r="S497" s="4">
        <v>44837</v>
      </c>
    </row>
    <row r="498" spans="1:19" ht="12.5" x14ac:dyDescent="0.25">
      <c r="A498" s="14" t="str">
        <f>HYPERLINK("https://gerandofalcoes.my.salesforce.com/0014X00002VKCtbQAH", "0014X00002VKCtbQAH")</f>
        <v>0014X00002VKCtbQAH</v>
      </c>
      <c r="B498" s="2" t="s">
        <v>2871</v>
      </c>
      <c r="C498" s="2" t="s">
        <v>423</v>
      </c>
      <c r="D498" s="2" t="s">
        <v>2</v>
      </c>
      <c r="E498" s="2">
        <v>9.98</v>
      </c>
      <c r="F498" s="2">
        <v>11</v>
      </c>
      <c r="G498" s="2">
        <v>0</v>
      </c>
      <c r="H498" s="2">
        <v>0</v>
      </c>
      <c r="I498" s="2">
        <v>80</v>
      </c>
      <c r="J498" s="2" t="s">
        <v>1779</v>
      </c>
      <c r="K498" s="2">
        <v>32</v>
      </c>
      <c r="L498" s="2">
        <v>10</v>
      </c>
      <c r="M498" s="2">
        <v>12</v>
      </c>
      <c r="N498" s="2">
        <v>0</v>
      </c>
      <c r="O498" s="2">
        <v>0</v>
      </c>
      <c r="P498" s="2">
        <v>10</v>
      </c>
      <c r="Q498" s="2" t="s">
        <v>2872</v>
      </c>
      <c r="R498" s="2" t="s">
        <v>2873</v>
      </c>
      <c r="S498" s="4">
        <v>44837</v>
      </c>
    </row>
    <row r="499" spans="1:19" ht="12.5" x14ac:dyDescent="0.25">
      <c r="A499" s="14" t="str">
        <f>HYPERLINK("https://gerandofalcoes.my.salesforce.com/0014X00002VKCpwQAH", "0014X00002VKCpwQAH")</f>
        <v>0014X00002VKCpwQAH</v>
      </c>
      <c r="B499" s="2" t="s">
        <v>1940</v>
      </c>
      <c r="C499" s="2" t="s">
        <v>423</v>
      </c>
      <c r="D499" s="2" t="s">
        <v>2</v>
      </c>
      <c r="E499" s="2">
        <v>23</v>
      </c>
      <c r="F499" s="2">
        <v>0</v>
      </c>
      <c r="G499" s="2">
        <v>3</v>
      </c>
      <c r="H499" s="2">
        <v>4289056</v>
      </c>
      <c r="I499" s="2">
        <v>400</v>
      </c>
      <c r="J499" s="2" t="s">
        <v>1671</v>
      </c>
      <c r="K499" s="2">
        <v>58</v>
      </c>
      <c r="L499" s="2">
        <v>10</v>
      </c>
      <c r="M499" s="2">
        <v>0</v>
      </c>
      <c r="N499" s="2">
        <v>8</v>
      </c>
      <c r="O499" s="2">
        <v>25</v>
      </c>
      <c r="P499" s="2">
        <v>15</v>
      </c>
      <c r="Q499" s="2" t="s">
        <v>1941</v>
      </c>
      <c r="R499" s="2" t="s">
        <v>1942</v>
      </c>
      <c r="S499" s="4">
        <v>44837</v>
      </c>
    </row>
    <row r="500" spans="1:19" ht="12.5" x14ac:dyDescent="0.25">
      <c r="A500" s="14" t="str">
        <f>HYPERLINK("https://gerandofalcoes.my.salesforce.com/0014X00002VKCt8QAH", "0014X00002VKCt8QAH")</f>
        <v>0014X00002VKCt8QAH</v>
      </c>
      <c r="B500" s="2" t="s">
        <v>2938</v>
      </c>
      <c r="C500" s="2" t="s">
        <v>423</v>
      </c>
      <c r="D500" s="2" t="s">
        <v>2</v>
      </c>
      <c r="E500" s="2">
        <v>5.84</v>
      </c>
      <c r="F500" s="2">
        <v>0</v>
      </c>
      <c r="G500" s="2">
        <v>0</v>
      </c>
      <c r="H500" s="2">
        <v>0</v>
      </c>
      <c r="I500" s="2">
        <v>0</v>
      </c>
      <c r="J500" s="2" t="s">
        <v>1779</v>
      </c>
      <c r="K500" s="2">
        <v>10</v>
      </c>
      <c r="L500" s="2">
        <v>10</v>
      </c>
      <c r="M500" s="2">
        <v>0</v>
      </c>
      <c r="N500" s="2">
        <v>0</v>
      </c>
      <c r="O500" s="2">
        <v>0</v>
      </c>
      <c r="P500" s="2">
        <v>0</v>
      </c>
      <c r="Q500" s="2" t="s">
        <v>2939</v>
      </c>
      <c r="R500" s="2" t="s">
        <v>2940</v>
      </c>
      <c r="S500" s="4">
        <v>44837</v>
      </c>
    </row>
    <row r="501" spans="1:19" ht="12.5" x14ac:dyDescent="0.25">
      <c r="A501" s="14" t="str">
        <f>HYPERLINK("https://gerandofalcoes.my.salesforce.com/0014X00002VKCuJQAX", "0014X00002VKCuJQAX")</f>
        <v>0014X00002VKCuJQAX</v>
      </c>
      <c r="B501" s="2" t="s">
        <v>2073</v>
      </c>
      <c r="C501" s="2" t="s">
        <v>423</v>
      </c>
      <c r="D501" s="2" t="s">
        <v>2</v>
      </c>
      <c r="E501" s="2">
        <v>36</v>
      </c>
      <c r="F501" s="2">
        <v>0</v>
      </c>
      <c r="G501" s="2">
        <v>3</v>
      </c>
      <c r="H501" s="2">
        <v>3000</v>
      </c>
      <c r="I501" s="2">
        <v>100</v>
      </c>
      <c r="J501" s="2" t="s">
        <v>1779</v>
      </c>
      <c r="K501" s="2">
        <v>38</v>
      </c>
      <c r="L501" s="2">
        <v>15</v>
      </c>
      <c r="M501" s="2">
        <v>0</v>
      </c>
      <c r="N501" s="2">
        <v>8</v>
      </c>
      <c r="O501" s="2">
        <v>5</v>
      </c>
      <c r="P501" s="2">
        <v>10</v>
      </c>
      <c r="Q501" s="2" t="s">
        <v>2074</v>
      </c>
      <c r="R501" s="2" t="s">
        <v>2075</v>
      </c>
      <c r="S501" s="4">
        <v>44837</v>
      </c>
    </row>
    <row r="502" spans="1:19" ht="12.5" x14ac:dyDescent="0.25">
      <c r="A502" s="14" t="str">
        <f>HYPERLINK("https://gerandofalcoes.my.salesforce.com/0014X00002VKCtjQAH", "0014X00002VKCtjQAH")</f>
        <v>0014X00002VKCtjQAH</v>
      </c>
      <c r="B502" s="2" t="s">
        <v>2144</v>
      </c>
      <c r="C502" s="2" t="s">
        <v>423</v>
      </c>
      <c r="D502" s="2" t="s">
        <v>2</v>
      </c>
      <c r="E502" s="2">
        <v>33.86</v>
      </c>
      <c r="F502" s="2">
        <v>0</v>
      </c>
      <c r="G502" s="2">
        <v>5</v>
      </c>
      <c r="H502" s="2">
        <v>120000</v>
      </c>
      <c r="I502" s="2">
        <v>100</v>
      </c>
      <c r="J502" s="2" t="s">
        <v>1671</v>
      </c>
      <c r="K502" s="2">
        <v>50</v>
      </c>
      <c r="L502" s="2">
        <v>15</v>
      </c>
      <c r="M502" s="2">
        <v>0</v>
      </c>
      <c r="N502" s="2">
        <v>10</v>
      </c>
      <c r="O502" s="2">
        <v>15</v>
      </c>
      <c r="P502" s="2">
        <v>10</v>
      </c>
      <c r="Q502" s="2" t="s">
        <v>2145</v>
      </c>
      <c r="R502" s="2" t="s">
        <v>2146</v>
      </c>
      <c r="S502" s="4">
        <v>44837</v>
      </c>
    </row>
    <row r="503" spans="1:19" ht="12.5" x14ac:dyDescent="0.25">
      <c r="A503" s="14" t="str">
        <f>HYPERLINK("https://gerandofalcoes.my.salesforce.com/0014X00002VKCryQAH", "0014X00002VKCryQAH")</f>
        <v>0014X00002VKCryQAH</v>
      </c>
      <c r="B503" s="2" t="s">
        <v>1824</v>
      </c>
      <c r="C503" s="2" t="s">
        <v>423</v>
      </c>
      <c r="D503" s="2" t="s">
        <v>2</v>
      </c>
      <c r="E503" s="2">
        <v>51</v>
      </c>
      <c r="F503" s="2">
        <v>2</v>
      </c>
      <c r="G503" s="2">
        <v>7</v>
      </c>
      <c r="H503" s="2">
        <v>200000</v>
      </c>
      <c r="I503" s="2">
        <v>90</v>
      </c>
      <c r="J503" s="2" t="s">
        <v>1671</v>
      </c>
      <c r="K503" s="2">
        <v>60</v>
      </c>
      <c r="L503" s="2">
        <v>20</v>
      </c>
      <c r="M503" s="2">
        <v>5</v>
      </c>
      <c r="N503" s="2">
        <v>10</v>
      </c>
      <c r="O503" s="2">
        <v>15</v>
      </c>
      <c r="P503" s="2">
        <v>10</v>
      </c>
      <c r="Q503" s="2" t="s">
        <v>1825</v>
      </c>
      <c r="R503" s="2" t="s">
        <v>1826</v>
      </c>
      <c r="S503" s="4">
        <v>44837</v>
      </c>
    </row>
    <row r="504" spans="1:19" ht="12.5" x14ac:dyDescent="0.25">
      <c r="A504" s="14" t="str">
        <f>HYPERLINK("https://gerandofalcoes.my.salesforce.com/0014X00002VKCtFQAX", "0014X00002VKCtFQAX")</f>
        <v>0014X00002VKCtFQAX</v>
      </c>
      <c r="B504" s="2" t="s">
        <v>2112</v>
      </c>
      <c r="C504" s="2" t="s">
        <v>423</v>
      </c>
      <c r="D504" s="2" t="s">
        <v>2</v>
      </c>
      <c r="E504" s="2">
        <v>35</v>
      </c>
      <c r="F504" s="2">
        <v>12</v>
      </c>
      <c r="G504" s="2">
        <v>2</v>
      </c>
      <c r="H504" s="2">
        <v>100000</v>
      </c>
      <c r="I504" s="2">
        <v>40</v>
      </c>
      <c r="J504" s="2" t="s">
        <v>1671</v>
      </c>
      <c r="K504" s="2">
        <v>53</v>
      </c>
      <c r="L504" s="2">
        <v>15</v>
      </c>
      <c r="M504" s="2">
        <v>12</v>
      </c>
      <c r="N504" s="2">
        <v>6</v>
      </c>
      <c r="O504" s="2">
        <v>15</v>
      </c>
      <c r="P504" s="2">
        <v>5</v>
      </c>
      <c r="Q504" s="2" t="s">
        <v>2113</v>
      </c>
      <c r="R504" s="2" t="s">
        <v>2113</v>
      </c>
      <c r="S504" s="4">
        <v>44837</v>
      </c>
    </row>
    <row r="505" spans="1:19" ht="12.5" x14ac:dyDescent="0.25">
      <c r="A505" s="14" t="str">
        <f>HYPERLINK("https://gerandofalcoes.my.salesforce.com/0014X00002VKCsRQAX", "0014X00002VKCsRQAX")</f>
        <v>0014X00002VKCsRQAX</v>
      </c>
      <c r="B505" s="2" t="s">
        <v>2878</v>
      </c>
      <c r="C505" s="2" t="s">
        <v>423</v>
      </c>
      <c r="D505" s="2" t="s">
        <v>2</v>
      </c>
      <c r="E505" s="2">
        <v>29</v>
      </c>
      <c r="F505" s="2">
        <v>0</v>
      </c>
      <c r="G505" s="2">
        <v>1</v>
      </c>
      <c r="H505" s="2">
        <v>15000</v>
      </c>
      <c r="I505" s="2">
        <v>250</v>
      </c>
      <c r="J505" s="2" t="s">
        <v>1779</v>
      </c>
      <c r="K505" s="2">
        <v>36</v>
      </c>
      <c r="L505" s="2">
        <v>15</v>
      </c>
      <c r="M505" s="2">
        <v>0</v>
      </c>
      <c r="N505" s="2">
        <v>4</v>
      </c>
      <c r="O505" s="2">
        <v>5</v>
      </c>
      <c r="P505" s="2">
        <v>12</v>
      </c>
      <c r="Q505" s="2" t="s">
        <v>2879</v>
      </c>
      <c r="R505" s="2" t="s">
        <v>2880</v>
      </c>
      <c r="S505" s="4">
        <v>44837</v>
      </c>
    </row>
    <row r="506" spans="1:19" ht="12.5" x14ac:dyDescent="0.25">
      <c r="A506" s="14" t="str">
        <f>HYPERLINK("https://gerandofalcoes.my.salesforce.com/0014X00002VKCsdQAH", "0014X00002VKCsdQAH")</f>
        <v>0014X00002VKCsdQAH</v>
      </c>
      <c r="B506" s="2" t="s">
        <v>2857</v>
      </c>
      <c r="C506" s="2" t="s">
        <v>1800</v>
      </c>
      <c r="D506" s="2" t="s">
        <v>2</v>
      </c>
      <c r="E506" s="2">
        <v>10</v>
      </c>
      <c r="F506" s="2">
        <v>0</v>
      </c>
      <c r="G506" s="2">
        <v>2</v>
      </c>
      <c r="H506" s="2">
        <v>24000</v>
      </c>
      <c r="I506" s="2">
        <v>95</v>
      </c>
      <c r="J506" s="2" t="s">
        <v>1779</v>
      </c>
      <c r="K506" s="2">
        <v>31</v>
      </c>
      <c r="L506" s="2">
        <v>10</v>
      </c>
      <c r="M506" s="2">
        <v>0</v>
      </c>
      <c r="N506" s="2">
        <v>6</v>
      </c>
      <c r="O506" s="2">
        <v>5</v>
      </c>
      <c r="P506" s="2">
        <v>10</v>
      </c>
      <c r="Q506" s="2" t="s">
        <v>2858</v>
      </c>
      <c r="R506" s="2" t="s">
        <v>2859</v>
      </c>
      <c r="S506" s="4">
        <v>44837</v>
      </c>
    </row>
    <row r="507" spans="1:19" ht="12.5" x14ac:dyDescent="0.25">
      <c r="A507" s="14" t="str">
        <f>HYPERLINK("https://gerandofalcoes.my.salesforce.com/0014X00002VKCurQAH", "0014X00002VKCurQAH")</f>
        <v>0014X00002VKCurQAH</v>
      </c>
      <c r="B507" s="2" t="s">
        <v>2484</v>
      </c>
      <c r="C507" s="2" t="s">
        <v>1800</v>
      </c>
      <c r="D507" s="2" t="s">
        <v>2</v>
      </c>
      <c r="E507" s="2">
        <v>22</v>
      </c>
      <c r="F507" s="2">
        <v>0</v>
      </c>
      <c r="G507" s="2">
        <v>2</v>
      </c>
      <c r="H507" s="2">
        <v>30000</v>
      </c>
      <c r="I507" s="2">
        <v>90</v>
      </c>
      <c r="J507" s="2" t="s">
        <v>1779</v>
      </c>
      <c r="K507" s="2">
        <v>36</v>
      </c>
      <c r="L507" s="2">
        <v>10</v>
      </c>
      <c r="M507" s="2">
        <v>0</v>
      </c>
      <c r="N507" s="2">
        <v>6</v>
      </c>
      <c r="O507" s="2">
        <v>10</v>
      </c>
      <c r="P507" s="2">
        <v>10</v>
      </c>
      <c r="Q507" s="2" t="s">
        <v>2485</v>
      </c>
      <c r="R507" s="2" t="s">
        <v>2486</v>
      </c>
      <c r="S507" s="4">
        <v>44837</v>
      </c>
    </row>
    <row r="508" spans="1:19" ht="12.5" x14ac:dyDescent="0.25">
      <c r="A508" s="14" t="str">
        <f>HYPERLINK("https://gerandofalcoes.my.salesforce.com/0014X00002VKCqGQAX", "0014X00002VKCqGQAX")</f>
        <v>0014X00002VKCqGQAX</v>
      </c>
      <c r="B508" s="2" t="s">
        <v>2372</v>
      </c>
      <c r="C508" s="2" t="s">
        <v>1800</v>
      </c>
      <c r="D508" s="2" t="s">
        <v>2</v>
      </c>
      <c r="E508" s="2">
        <v>26</v>
      </c>
      <c r="F508" s="2">
        <v>0</v>
      </c>
      <c r="G508" s="2">
        <v>2</v>
      </c>
      <c r="H508" s="2">
        <v>0</v>
      </c>
      <c r="I508" s="2">
        <v>0</v>
      </c>
      <c r="J508" s="2" t="s">
        <v>1779</v>
      </c>
      <c r="K508" s="2">
        <v>21</v>
      </c>
      <c r="L508" s="2">
        <v>15</v>
      </c>
      <c r="M508" s="2">
        <v>0</v>
      </c>
      <c r="N508" s="2">
        <v>6</v>
      </c>
      <c r="O508" s="2">
        <v>0</v>
      </c>
      <c r="P508" s="2">
        <v>0</v>
      </c>
      <c r="Q508" s="2" t="s">
        <v>2373</v>
      </c>
      <c r="R508" s="2" t="s">
        <v>2374</v>
      </c>
      <c r="S508" s="4">
        <v>44837</v>
      </c>
    </row>
    <row r="509" spans="1:19" ht="12.5" x14ac:dyDescent="0.25">
      <c r="A509" s="14" t="str">
        <f>HYPERLINK("https://gerandofalcoes.my.salesforce.com/0014X00002VKD06QAH", "0014X00002VKD06QAH")</f>
        <v>0014X00002VKD06QAH</v>
      </c>
      <c r="B509" s="2" t="s">
        <v>2677</v>
      </c>
      <c r="C509" s="2" t="s">
        <v>423</v>
      </c>
      <c r="D509" s="2" t="s">
        <v>2</v>
      </c>
      <c r="E509" s="2">
        <v>44</v>
      </c>
      <c r="F509" s="2">
        <v>17</v>
      </c>
      <c r="G509" s="2">
        <v>4</v>
      </c>
      <c r="H509" s="2">
        <v>56138481</v>
      </c>
      <c r="I509" s="2">
        <v>74</v>
      </c>
      <c r="J509" s="2" t="s">
        <v>1650</v>
      </c>
      <c r="K509" s="2">
        <v>67</v>
      </c>
      <c r="L509" s="2">
        <v>15</v>
      </c>
      <c r="M509" s="2">
        <v>12</v>
      </c>
      <c r="N509" s="2">
        <v>10</v>
      </c>
      <c r="O509" s="2">
        <v>25</v>
      </c>
      <c r="P509" s="2">
        <v>5</v>
      </c>
      <c r="Q509" s="2" t="s">
        <v>2678</v>
      </c>
      <c r="R509" s="2" t="s">
        <v>2679</v>
      </c>
      <c r="S509" s="4">
        <v>44837</v>
      </c>
    </row>
    <row r="510" spans="1:19" ht="12.5" x14ac:dyDescent="0.25">
      <c r="A510" s="14" t="str">
        <f>HYPERLINK("https://gerandofalcoes.my.salesforce.com/0014X00002VKCv7QAH", "0014X00002VKCv7QAH")</f>
        <v>0014X00002VKCv7QAH</v>
      </c>
      <c r="B510" s="2" t="s">
        <v>2568</v>
      </c>
      <c r="C510" s="2" t="s">
        <v>1800</v>
      </c>
      <c r="D510" s="2" t="s">
        <v>2</v>
      </c>
      <c r="E510" s="2">
        <v>20</v>
      </c>
      <c r="F510" s="2">
        <v>0</v>
      </c>
      <c r="G510" s="2">
        <v>3</v>
      </c>
      <c r="H510" s="2">
        <v>2000</v>
      </c>
      <c r="I510" s="2">
        <v>0</v>
      </c>
      <c r="J510" s="2" t="s">
        <v>1779</v>
      </c>
      <c r="K510" s="2">
        <v>23</v>
      </c>
      <c r="L510" s="2">
        <v>10</v>
      </c>
      <c r="M510" s="2">
        <v>0</v>
      </c>
      <c r="N510" s="2">
        <v>8</v>
      </c>
      <c r="O510" s="2">
        <v>5</v>
      </c>
      <c r="P510" s="2">
        <v>0</v>
      </c>
      <c r="Q510" s="2" t="s">
        <v>7185</v>
      </c>
      <c r="R510" s="2" t="s">
        <v>2570</v>
      </c>
      <c r="S510" s="4">
        <v>44837</v>
      </c>
    </row>
    <row r="511" spans="1:19" ht="12.5" x14ac:dyDescent="0.25">
      <c r="A511" s="14" t="str">
        <f>HYPERLINK("https://gerandofalcoes.my.salesforce.com/0014X00002VKCreQAH", "0014X00002VKCreQAH")</f>
        <v>0014X00002VKCreQAH</v>
      </c>
      <c r="B511" s="2" t="s">
        <v>2914</v>
      </c>
      <c r="C511" s="2" t="s">
        <v>423</v>
      </c>
      <c r="D511" s="2" t="s">
        <v>2</v>
      </c>
      <c r="E511" s="2">
        <v>29</v>
      </c>
      <c r="F511" s="2">
        <v>0</v>
      </c>
      <c r="G511" s="2">
        <v>1</v>
      </c>
      <c r="H511" s="2">
        <v>3245</v>
      </c>
      <c r="I511" s="2">
        <v>0</v>
      </c>
      <c r="J511" s="2" t="s">
        <v>1779</v>
      </c>
      <c r="K511" s="2">
        <v>24</v>
      </c>
      <c r="L511" s="2">
        <v>15</v>
      </c>
      <c r="M511" s="2">
        <v>0</v>
      </c>
      <c r="N511" s="2">
        <v>4</v>
      </c>
      <c r="O511" s="2">
        <v>5</v>
      </c>
      <c r="P511" s="2">
        <v>0</v>
      </c>
      <c r="Q511" s="2" t="s">
        <v>2915</v>
      </c>
      <c r="R511" s="2" t="s">
        <v>2915</v>
      </c>
      <c r="S511" s="4">
        <v>44837</v>
      </c>
    </row>
    <row r="512" spans="1:19" ht="12.5" x14ac:dyDescent="0.25">
      <c r="A512" s="14" t="str">
        <f>HYPERLINK("https://gerandofalcoes.my.salesforce.com/0014X00002VKCrbQAH", "0014X00002VKCrbQAH")</f>
        <v>0014X00002VKCrbQAH</v>
      </c>
      <c r="B512" s="2" t="s">
        <v>2820</v>
      </c>
      <c r="C512" s="2" t="s">
        <v>423</v>
      </c>
      <c r="D512" s="2" t="s">
        <v>2</v>
      </c>
      <c r="E512" s="2">
        <v>12</v>
      </c>
      <c r="F512" s="2">
        <v>0</v>
      </c>
      <c r="G512" s="2">
        <v>0</v>
      </c>
      <c r="H512" s="2">
        <v>0</v>
      </c>
      <c r="I512" s="2">
        <v>300</v>
      </c>
      <c r="J512" s="2" t="s">
        <v>1779</v>
      </c>
      <c r="K512" s="2">
        <v>25</v>
      </c>
      <c r="L512" s="2">
        <v>10</v>
      </c>
      <c r="M512" s="2">
        <v>0</v>
      </c>
      <c r="N512" s="2">
        <v>0</v>
      </c>
      <c r="O512" s="2">
        <v>0</v>
      </c>
      <c r="P512" s="2">
        <v>15</v>
      </c>
      <c r="Q512" s="2" t="s">
        <v>2821</v>
      </c>
      <c r="R512" s="2" t="s">
        <v>2822</v>
      </c>
      <c r="S512" s="4">
        <v>44837</v>
      </c>
    </row>
    <row r="513" spans="1:19" ht="12.5" x14ac:dyDescent="0.25">
      <c r="A513" s="14" t="str">
        <f>HYPERLINK("https://gerandofalcoes.my.salesforce.com/0014X00002VKCs2QAH", "0014X00002VKCs2QAH")</f>
        <v>0014X00002VKCs2QAH</v>
      </c>
      <c r="B513" s="2" t="s">
        <v>2727</v>
      </c>
      <c r="C513" s="2" t="s">
        <v>1800</v>
      </c>
      <c r="D513" s="2" t="s">
        <v>2</v>
      </c>
      <c r="E513" s="2">
        <v>15</v>
      </c>
      <c r="F513" s="2">
        <v>0</v>
      </c>
      <c r="G513" s="2">
        <v>2</v>
      </c>
      <c r="H513" s="2">
        <v>2500</v>
      </c>
      <c r="I513" s="2">
        <v>0</v>
      </c>
      <c r="J513" s="2" t="s">
        <v>1779</v>
      </c>
      <c r="K513" s="2">
        <v>21</v>
      </c>
      <c r="L513" s="2">
        <v>10</v>
      </c>
      <c r="M513" s="2">
        <v>0</v>
      </c>
      <c r="N513" s="2">
        <v>6</v>
      </c>
      <c r="O513" s="2">
        <v>5</v>
      </c>
      <c r="P513" s="2">
        <v>0</v>
      </c>
      <c r="Q513" s="2" t="s">
        <v>2728</v>
      </c>
      <c r="R513" s="2" t="s">
        <v>2729</v>
      </c>
      <c r="S513" s="4">
        <v>44837</v>
      </c>
    </row>
    <row r="514" spans="1:19" ht="12.5" x14ac:dyDescent="0.25">
      <c r="A514" s="14" t="str">
        <f>HYPERLINK("https://gerandofalcoes.my.salesforce.com/0014X00002VKCr5QAH", "0014X00002VKCr5QAH")</f>
        <v>0014X00002VKCr5QAH</v>
      </c>
      <c r="B514" s="2" t="s">
        <v>2067</v>
      </c>
      <c r="C514" s="2" t="s">
        <v>423</v>
      </c>
      <c r="D514" s="2" t="s">
        <v>2</v>
      </c>
      <c r="E514" s="2">
        <v>36.520000000000003</v>
      </c>
      <c r="F514" s="2">
        <v>6</v>
      </c>
      <c r="G514" s="2">
        <v>2</v>
      </c>
      <c r="H514" s="2">
        <v>5356022</v>
      </c>
      <c r="I514" s="2">
        <v>0</v>
      </c>
      <c r="J514" s="2" t="s">
        <v>1671</v>
      </c>
      <c r="K514" s="2">
        <v>56</v>
      </c>
      <c r="L514" s="2">
        <v>15</v>
      </c>
      <c r="M514" s="2">
        <v>10</v>
      </c>
      <c r="N514" s="2">
        <v>6</v>
      </c>
      <c r="O514" s="2">
        <v>25</v>
      </c>
      <c r="P514" s="2">
        <v>0</v>
      </c>
      <c r="Q514" s="2" t="s">
        <v>2068</v>
      </c>
      <c r="R514" s="2" t="s">
        <v>2069</v>
      </c>
      <c r="S514" s="4">
        <v>44837</v>
      </c>
    </row>
    <row r="515" spans="1:19" ht="12.5" x14ac:dyDescent="0.25">
      <c r="A515" s="14" t="str">
        <f>HYPERLINK("https://gerandofalcoes.my.salesforce.com/0014X00002VKCsxQAH", "0014X00002VKCsxQAH")</f>
        <v>0014X00002VKCsxQAH</v>
      </c>
      <c r="B515" s="2" t="s">
        <v>2500</v>
      </c>
      <c r="C515" s="2" t="s">
        <v>423</v>
      </c>
      <c r="D515" s="2" t="s">
        <v>2</v>
      </c>
      <c r="E515" s="2">
        <v>25</v>
      </c>
      <c r="F515" s="2">
        <v>0</v>
      </c>
      <c r="G515" s="2">
        <v>1</v>
      </c>
      <c r="H515" s="2">
        <v>3500000</v>
      </c>
      <c r="I515" s="2">
        <v>150</v>
      </c>
      <c r="J515" s="2" t="s">
        <v>1671</v>
      </c>
      <c r="K515" s="2">
        <v>56</v>
      </c>
      <c r="L515" s="2">
        <v>15</v>
      </c>
      <c r="M515" s="2">
        <v>0</v>
      </c>
      <c r="N515" s="2">
        <v>4</v>
      </c>
      <c r="O515" s="2">
        <v>25</v>
      </c>
      <c r="P515" s="2">
        <v>12</v>
      </c>
      <c r="Q515" s="2" t="s">
        <v>2501</v>
      </c>
      <c r="R515" s="2" t="s">
        <v>2502</v>
      </c>
      <c r="S515" s="4">
        <v>44837</v>
      </c>
    </row>
    <row r="516" spans="1:19" ht="12.5" x14ac:dyDescent="0.25">
      <c r="A516" s="14" t="str">
        <f>HYPERLINK("https://gerandofalcoes.my.salesforce.com/0014X00002VKCuAQAX", "0014X00002VKCuAQAX")</f>
        <v>0014X00002VKCuAQAX</v>
      </c>
      <c r="B516" s="2" t="s">
        <v>2155</v>
      </c>
      <c r="C516" s="2" t="s">
        <v>423</v>
      </c>
      <c r="D516" s="2" t="s">
        <v>2</v>
      </c>
      <c r="E516" s="2">
        <v>33.15</v>
      </c>
      <c r="F516" s="2">
        <v>0</v>
      </c>
      <c r="G516" s="2">
        <v>2</v>
      </c>
      <c r="H516" s="2">
        <v>25000</v>
      </c>
      <c r="I516" s="2">
        <v>25</v>
      </c>
      <c r="J516" s="2" t="s">
        <v>1779</v>
      </c>
      <c r="K516" s="2">
        <v>36</v>
      </c>
      <c r="L516" s="2">
        <v>15</v>
      </c>
      <c r="M516" s="2">
        <v>0</v>
      </c>
      <c r="N516" s="2">
        <v>6</v>
      </c>
      <c r="O516" s="2">
        <v>10</v>
      </c>
      <c r="P516" s="2">
        <v>5</v>
      </c>
      <c r="Q516" s="2" t="s">
        <v>2156</v>
      </c>
      <c r="R516" s="2" t="s">
        <v>2157</v>
      </c>
      <c r="S516" s="4">
        <v>44837</v>
      </c>
    </row>
    <row r="517" spans="1:19" ht="12.5" x14ac:dyDescent="0.25">
      <c r="A517" s="14" t="str">
        <f>HYPERLINK("https://gerandofalcoes.my.salesforce.com/0014X00002VKCrHQAX", "0014X00002VKCrHQAX")</f>
        <v>0014X00002VKCrHQAX</v>
      </c>
      <c r="B517" s="2" t="s">
        <v>2478</v>
      </c>
      <c r="C517" s="2" t="s">
        <v>423</v>
      </c>
      <c r="D517" s="2" t="s">
        <v>2</v>
      </c>
      <c r="E517" s="2">
        <v>22</v>
      </c>
      <c r="F517" s="2">
        <v>0</v>
      </c>
      <c r="G517" s="2">
        <v>3</v>
      </c>
      <c r="H517" s="2">
        <v>500</v>
      </c>
      <c r="I517" s="2">
        <v>114</v>
      </c>
      <c r="J517" s="2" t="s">
        <v>1779</v>
      </c>
      <c r="K517" s="2">
        <v>33</v>
      </c>
      <c r="L517" s="2">
        <v>10</v>
      </c>
      <c r="M517" s="2">
        <v>0</v>
      </c>
      <c r="N517" s="2">
        <v>8</v>
      </c>
      <c r="O517" s="2">
        <v>5</v>
      </c>
      <c r="P517" s="2">
        <v>10</v>
      </c>
      <c r="Q517" s="2" t="s">
        <v>2479</v>
      </c>
      <c r="R517" s="2" t="s">
        <v>2479</v>
      </c>
      <c r="S517" s="4">
        <v>44837</v>
      </c>
    </row>
    <row r="518" spans="1:19" ht="12.5" x14ac:dyDescent="0.25">
      <c r="A518" s="14" t="str">
        <f>HYPERLINK("https://gerandofalcoes.my.salesforce.com/0014X00002VKCsFQAX", "0014X00002VKCsFQAX")</f>
        <v>0014X00002VKCsFQAX</v>
      </c>
      <c r="B518" s="2" t="s">
        <v>2625</v>
      </c>
      <c r="C518" s="2" t="s">
        <v>423</v>
      </c>
      <c r="D518" s="2" t="s">
        <v>2</v>
      </c>
      <c r="E518" s="2">
        <v>18.13</v>
      </c>
      <c r="F518" s="2">
        <v>0</v>
      </c>
      <c r="G518" s="2">
        <v>1</v>
      </c>
      <c r="H518" s="2">
        <v>998</v>
      </c>
      <c r="I518" s="2">
        <v>70</v>
      </c>
      <c r="J518" s="2" t="s">
        <v>1779</v>
      </c>
      <c r="K518" s="2">
        <v>24</v>
      </c>
      <c r="L518" s="2">
        <v>10</v>
      </c>
      <c r="M518" s="2">
        <v>0</v>
      </c>
      <c r="N518" s="2">
        <v>4</v>
      </c>
      <c r="O518" s="2">
        <v>5</v>
      </c>
      <c r="P518" s="2">
        <v>5</v>
      </c>
      <c r="Q518" s="2" t="s">
        <v>2626</v>
      </c>
      <c r="R518" s="2" t="s">
        <v>2627</v>
      </c>
      <c r="S518" s="4">
        <v>44837</v>
      </c>
    </row>
    <row r="519" spans="1:19" ht="12.5" x14ac:dyDescent="0.25">
      <c r="A519" s="14" t="str">
        <f>HYPERLINK("https://gerandofalcoes.my.salesforce.com/0014X00002VKCsMQAX", "0014X00002VKCsMQAX")</f>
        <v>0014X00002VKCsMQAX</v>
      </c>
      <c r="B519" s="2" t="s">
        <v>2902</v>
      </c>
      <c r="C519" s="2" t="s">
        <v>423</v>
      </c>
      <c r="D519" s="2" t="s">
        <v>2</v>
      </c>
      <c r="E519" s="2">
        <v>8</v>
      </c>
      <c r="F519" s="2">
        <v>10</v>
      </c>
      <c r="G519" s="2">
        <v>2</v>
      </c>
      <c r="H519" s="2">
        <v>5000</v>
      </c>
      <c r="I519" s="2">
        <v>106</v>
      </c>
      <c r="J519" s="2" t="s">
        <v>1671</v>
      </c>
      <c r="K519" s="2">
        <v>41</v>
      </c>
      <c r="L519" s="2">
        <v>10</v>
      </c>
      <c r="M519" s="2">
        <v>10</v>
      </c>
      <c r="N519" s="2">
        <v>6</v>
      </c>
      <c r="O519" s="2">
        <v>5</v>
      </c>
      <c r="P519" s="2">
        <v>10</v>
      </c>
      <c r="Q519" s="2" t="s">
        <v>2903</v>
      </c>
      <c r="R519" s="2" t="s">
        <v>2904</v>
      </c>
      <c r="S519" s="4">
        <v>44837</v>
      </c>
    </row>
    <row r="520" spans="1:19" ht="12.5" x14ac:dyDescent="0.25">
      <c r="A520" s="14" t="str">
        <f>HYPERLINK("https://gerandofalcoes.my.salesforce.com/0014X00002VKCrJQAX", "0014X00002VKCrJQAX")</f>
        <v>0014X00002VKCrJQAX</v>
      </c>
      <c r="B520" s="2" t="s">
        <v>2375</v>
      </c>
      <c r="C520" s="2" t="s">
        <v>1800</v>
      </c>
      <c r="D520" s="2" t="s">
        <v>2</v>
      </c>
      <c r="E520" s="2">
        <v>26</v>
      </c>
      <c r="F520" s="2">
        <v>0</v>
      </c>
      <c r="G520" s="2">
        <v>4</v>
      </c>
      <c r="H520" s="2">
        <v>1</v>
      </c>
      <c r="I520" s="2">
        <v>0</v>
      </c>
      <c r="J520" s="2" t="s">
        <v>1779</v>
      </c>
      <c r="K520" s="2">
        <v>30</v>
      </c>
      <c r="L520" s="2">
        <v>15</v>
      </c>
      <c r="M520" s="2">
        <v>0</v>
      </c>
      <c r="N520" s="2">
        <v>10</v>
      </c>
      <c r="O520" s="2">
        <v>5</v>
      </c>
      <c r="P520" s="2">
        <v>0</v>
      </c>
      <c r="Q520" s="2" t="s">
        <v>2376</v>
      </c>
      <c r="R520" s="2" t="s">
        <v>2377</v>
      </c>
      <c r="S520" s="4">
        <v>44837</v>
      </c>
    </row>
    <row r="521" spans="1:19" ht="12.5" x14ac:dyDescent="0.25">
      <c r="A521" s="14" t="str">
        <f>HYPERLINK("https://gerandofalcoes.my.salesforce.com/0014X00002VKCpjQAH", "0014X00002VKCpjQAH")</f>
        <v>0014X00002VKCpjQAH</v>
      </c>
      <c r="B521" s="2" t="s">
        <v>2152</v>
      </c>
      <c r="C521" s="2" t="s">
        <v>423</v>
      </c>
      <c r="D521" s="2" t="s">
        <v>2</v>
      </c>
      <c r="E521" s="2">
        <v>46</v>
      </c>
      <c r="F521" s="2">
        <v>0</v>
      </c>
      <c r="G521" s="2">
        <v>2</v>
      </c>
      <c r="H521" s="2">
        <v>160028</v>
      </c>
      <c r="I521" s="2">
        <v>156</v>
      </c>
      <c r="J521" s="2" t="s">
        <v>1671</v>
      </c>
      <c r="K521" s="2">
        <v>48</v>
      </c>
      <c r="L521" s="2">
        <v>15</v>
      </c>
      <c r="M521" s="2">
        <v>0</v>
      </c>
      <c r="N521" s="2">
        <v>6</v>
      </c>
      <c r="O521" s="2">
        <v>15</v>
      </c>
      <c r="P521" s="2">
        <v>12</v>
      </c>
      <c r="Q521" s="2" t="s">
        <v>2153</v>
      </c>
      <c r="R521" s="2" t="s">
        <v>2154</v>
      </c>
      <c r="S521" s="4">
        <v>44837</v>
      </c>
    </row>
    <row r="522" spans="1:19" ht="12.5" x14ac:dyDescent="0.25">
      <c r="A522" s="14" t="str">
        <f>HYPERLINK("https://gerandofalcoes.my.salesforce.com/0014X00002VKCv2QAH", "0014X00002VKCv2QAH")</f>
        <v>0014X00002VKCv2QAH</v>
      </c>
      <c r="B522" s="2" t="s">
        <v>2450</v>
      </c>
      <c r="C522" s="2" t="s">
        <v>1800</v>
      </c>
      <c r="D522" s="2" t="s">
        <v>2</v>
      </c>
      <c r="E522" s="2">
        <v>24</v>
      </c>
      <c r="F522" s="2">
        <v>5</v>
      </c>
      <c r="G522" s="2">
        <v>3</v>
      </c>
      <c r="H522" s="2">
        <v>500</v>
      </c>
      <c r="I522" s="2">
        <v>0</v>
      </c>
      <c r="J522" s="2" t="s">
        <v>1779</v>
      </c>
      <c r="K522" s="2">
        <v>28</v>
      </c>
      <c r="L522" s="2">
        <v>10</v>
      </c>
      <c r="M522" s="2">
        <v>5</v>
      </c>
      <c r="N522" s="2">
        <v>8</v>
      </c>
      <c r="O522" s="2">
        <v>5</v>
      </c>
      <c r="P522" s="2">
        <v>0</v>
      </c>
      <c r="Q522" s="2" t="s">
        <v>2451</v>
      </c>
      <c r="R522" s="2" t="s">
        <v>2451</v>
      </c>
      <c r="S522" s="4">
        <v>44837</v>
      </c>
    </row>
    <row r="523" spans="1:19" ht="12.5" x14ac:dyDescent="0.25">
      <c r="A523" s="14" t="str">
        <f>HYPERLINK("https://gerandofalcoes.my.salesforce.com/0014X00002VKCtTQAX", "0014X00002VKCtTQAX")</f>
        <v>0014X00002VKCtTQAX</v>
      </c>
      <c r="B523" s="2" t="s">
        <v>2091</v>
      </c>
      <c r="C523" s="2" t="s">
        <v>423</v>
      </c>
      <c r="D523" s="2" t="s">
        <v>2</v>
      </c>
      <c r="E523" s="2">
        <v>44</v>
      </c>
      <c r="F523" s="2">
        <v>0</v>
      </c>
      <c r="G523" s="2">
        <v>2</v>
      </c>
      <c r="H523" s="2">
        <v>21451</v>
      </c>
      <c r="I523" s="2">
        <v>56</v>
      </c>
      <c r="J523" s="2" t="s">
        <v>1779</v>
      </c>
      <c r="K523" s="2">
        <v>31</v>
      </c>
      <c r="L523" s="2">
        <v>15</v>
      </c>
      <c r="M523" s="2">
        <v>0</v>
      </c>
      <c r="N523" s="2">
        <v>6</v>
      </c>
      <c r="O523" s="2">
        <v>5</v>
      </c>
      <c r="P523" s="2">
        <v>5</v>
      </c>
      <c r="Q523" s="2" t="s">
        <v>7186</v>
      </c>
      <c r="R523" s="2" t="s">
        <v>2092</v>
      </c>
      <c r="S523" s="4">
        <v>44837</v>
      </c>
    </row>
    <row r="524" spans="1:19" ht="12.5" x14ac:dyDescent="0.25">
      <c r="A524" s="14" t="str">
        <f>HYPERLINK("https://gerandofalcoes.my.salesforce.com/0014X00002VKCtNQAX", "0014X00002VKCtNQAX")</f>
        <v>0014X00002VKCtNQAX</v>
      </c>
      <c r="B524" s="2" t="s">
        <v>2703</v>
      </c>
      <c r="C524" s="2" t="s">
        <v>423</v>
      </c>
      <c r="D524" s="2" t="s">
        <v>2</v>
      </c>
      <c r="E524" s="2">
        <v>26</v>
      </c>
      <c r="F524" s="2">
        <v>0</v>
      </c>
      <c r="G524" s="2">
        <v>2</v>
      </c>
      <c r="H524" s="2">
        <v>2014715</v>
      </c>
      <c r="I524" s="2">
        <v>50</v>
      </c>
      <c r="J524" s="2" t="s">
        <v>1671</v>
      </c>
      <c r="K524" s="2">
        <v>51</v>
      </c>
      <c r="L524" s="2">
        <v>15</v>
      </c>
      <c r="M524" s="2">
        <v>0</v>
      </c>
      <c r="N524" s="2">
        <v>6</v>
      </c>
      <c r="O524" s="2">
        <v>25</v>
      </c>
      <c r="P524" s="2">
        <v>5</v>
      </c>
      <c r="Q524" s="2" t="s">
        <v>2704</v>
      </c>
      <c r="R524" s="2" t="s">
        <v>2705</v>
      </c>
      <c r="S524" s="4">
        <v>44837</v>
      </c>
    </row>
    <row r="525" spans="1:19" ht="12.5" x14ac:dyDescent="0.25">
      <c r="A525" s="14" t="str">
        <f>HYPERLINK("https://gerandofalcoes.my.salesforce.com/0014X00002VKCu0QAH", "0014X00002VKCu0QAH")</f>
        <v>0014X00002VKCu0QAH</v>
      </c>
      <c r="B525" s="2" t="s">
        <v>2457</v>
      </c>
      <c r="C525" s="2" t="s">
        <v>423</v>
      </c>
      <c r="D525" s="2" t="s">
        <v>2</v>
      </c>
      <c r="E525" s="2">
        <v>23</v>
      </c>
      <c r="F525" s="2">
        <v>0</v>
      </c>
      <c r="G525" s="2">
        <v>2</v>
      </c>
      <c r="H525" s="2">
        <v>2500</v>
      </c>
      <c r="I525" s="2">
        <v>120</v>
      </c>
      <c r="J525" s="2" t="s">
        <v>1779</v>
      </c>
      <c r="K525" s="2">
        <v>31</v>
      </c>
      <c r="L525" s="2">
        <v>10</v>
      </c>
      <c r="M525" s="2">
        <v>0</v>
      </c>
      <c r="N525" s="2">
        <v>6</v>
      </c>
      <c r="O525" s="2">
        <v>5</v>
      </c>
      <c r="P525" s="2">
        <v>10</v>
      </c>
      <c r="Q525" s="2" t="s">
        <v>2458</v>
      </c>
      <c r="R525" s="2" t="s">
        <v>2458</v>
      </c>
      <c r="S525" s="4">
        <v>44837</v>
      </c>
    </row>
    <row r="526" spans="1:19" ht="12.5" x14ac:dyDescent="0.25">
      <c r="A526" s="14" t="str">
        <f>HYPERLINK("https://gerandofalcoes.my.salesforce.com/0014X00002VKCspQAH", "0014X00002VKCspQAH")</f>
        <v>0014X00002VKCspQAH</v>
      </c>
      <c r="B526" s="2" t="s">
        <v>2506</v>
      </c>
      <c r="C526" s="2" t="s">
        <v>423</v>
      </c>
      <c r="D526" s="2" t="s">
        <v>2</v>
      </c>
      <c r="E526" s="2">
        <v>32</v>
      </c>
      <c r="F526" s="2">
        <v>0</v>
      </c>
      <c r="G526" s="2">
        <v>0</v>
      </c>
      <c r="H526" s="2">
        <v>0</v>
      </c>
      <c r="I526" s="2">
        <v>100</v>
      </c>
      <c r="J526" s="2" t="s">
        <v>1779</v>
      </c>
      <c r="K526" s="2">
        <v>25</v>
      </c>
      <c r="L526" s="2">
        <v>15</v>
      </c>
      <c r="M526" s="2">
        <v>0</v>
      </c>
      <c r="N526" s="2">
        <v>0</v>
      </c>
      <c r="O526" s="2">
        <v>0</v>
      </c>
      <c r="P526" s="2">
        <v>10</v>
      </c>
      <c r="Q526" s="2" t="s">
        <v>2507</v>
      </c>
      <c r="R526" s="2" t="s">
        <v>2508</v>
      </c>
      <c r="S526" s="4">
        <v>44837</v>
      </c>
    </row>
    <row r="527" spans="1:19" ht="12.5" x14ac:dyDescent="0.25">
      <c r="A527" s="14" t="str">
        <f>HYPERLINK("https://gerandofalcoes.my.salesforce.com/0014X00002VKCuCQAX", "0014X00002VKCuCQAX")</f>
        <v>0014X00002VKCuCQAX</v>
      </c>
      <c r="B527" s="2" t="s">
        <v>1847</v>
      </c>
      <c r="C527" s="2" t="s">
        <v>423</v>
      </c>
      <c r="D527" s="2" t="s">
        <v>2</v>
      </c>
      <c r="E527" s="2">
        <v>62</v>
      </c>
      <c r="F527" s="2">
        <v>3</v>
      </c>
      <c r="G527" s="2">
        <v>3</v>
      </c>
      <c r="H527" s="2">
        <v>20593734</v>
      </c>
      <c r="I527" s="2">
        <v>37</v>
      </c>
      <c r="J527" s="2" t="s">
        <v>1671</v>
      </c>
      <c r="K527" s="2">
        <v>63</v>
      </c>
      <c r="L527" s="2">
        <v>20</v>
      </c>
      <c r="M527" s="2">
        <v>5</v>
      </c>
      <c r="N527" s="2">
        <v>8</v>
      </c>
      <c r="O527" s="2">
        <v>25</v>
      </c>
      <c r="P527" s="2">
        <v>5</v>
      </c>
      <c r="Q527" s="2" t="s">
        <v>1848</v>
      </c>
      <c r="R527" s="2" t="s">
        <v>1849</v>
      </c>
      <c r="S527" s="4">
        <v>44837</v>
      </c>
    </row>
    <row r="528" spans="1:19" ht="12.5" x14ac:dyDescent="0.25">
      <c r="A528" s="14" t="str">
        <f>HYPERLINK("https://gerandofalcoes.my.salesforce.com/0014X00002VKCrfQAH", "0014X00002VKCrfQAH")</f>
        <v>0014X00002VKCrfQAH</v>
      </c>
      <c r="B528" s="2" t="s">
        <v>2804</v>
      </c>
      <c r="C528" s="2" t="s">
        <v>1800</v>
      </c>
      <c r="D528" s="2" t="s">
        <v>2</v>
      </c>
      <c r="E528" s="2">
        <v>13</v>
      </c>
      <c r="F528" s="2">
        <v>0</v>
      </c>
      <c r="G528" s="2">
        <v>4</v>
      </c>
      <c r="H528" s="2">
        <v>10000</v>
      </c>
      <c r="I528" s="2">
        <v>2</v>
      </c>
      <c r="J528" s="2" t="s">
        <v>1779</v>
      </c>
      <c r="K528" s="2">
        <v>30</v>
      </c>
      <c r="L528" s="2">
        <v>10</v>
      </c>
      <c r="M528" s="2">
        <v>0</v>
      </c>
      <c r="N528" s="2">
        <v>10</v>
      </c>
      <c r="O528" s="2">
        <v>5</v>
      </c>
      <c r="P528" s="2">
        <v>5</v>
      </c>
      <c r="Q528" s="2" t="s">
        <v>2805</v>
      </c>
      <c r="R528" s="2" t="s">
        <v>2806</v>
      </c>
      <c r="S528" s="4">
        <v>44837</v>
      </c>
    </row>
    <row r="529" spans="1:19" ht="12.5" x14ac:dyDescent="0.25">
      <c r="A529" s="14" t="str">
        <f>HYPERLINK("https://gerandofalcoes.my.salesforce.com/0014X00002VKCrQQAX", "0014X00002VKCrQQAX")</f>
        <v>0014X00002VKCrQQAX</v>
      </c>
      <c r="B529" s="2" t="s">
        <v>2765</v>
      </c>
      <c r="C529" s="2" t="s">
        <v>1800</v>
      </c>
      <c r="D529" s="2" t="s">
        <v>2</v>
      </c>
      <c r="E529" s="2">
        <v>14</v>
      </c>
      <c r="F529" s="2">
        <v>0</v>
      </c>
      <c r="G529" s="2">
        <v>2</v>
      </c>
      <c r="H529" s="2">
        <v>40000</v>
      </c>
      <c r="I529" s="2">
        <v>0</v>
      </c>
      <c r="J529" s="2" t="s">
        <v>1779</v>
      </c>
      <c r="K529" s="2">
        <v>26</v>
      </c>
      <c r="L529" s="2">
        <v>10</v>
      </c>
      <c r="M529" s="2">
        <v>0</v>
      </c>
      <c r="N529" s="2">
        <v>6</v>
      </c>
      <c r="O529" s="2">
        <v>10</v>
      </c>
      <c r="P529" s="2">
        <v>0</v>
      </c>
      <c r="Q529" s="2" t="s">
        <v>2766</v>
      </c>
      <c r="R529" s="2" t="s">
        <v>2767</v>
      </c>
      <c r="S529" s="4">
        <v>44837</v>
      </c>
    </row>
    <row r="530" spans="1:19" ht="12.5" x14ac:dyDescent="0.25">
      <c r="A530" s="14" t="str">
        <f>HYPERLINK("https://gerandofalcoes.my.salesforce.com/0014X00002VKCroQAH", "0014X00002VKCroQAH")</f>
        <v>0014X00002VKCroQAH</v>
      </c>
      <c r="B530" s="2" t="s">
        <v>2632</v>
      </c>
      <c r="C530" s="2" t="s">
        <v>1800</v>
      </c>
      <c r="D530" s="2" t="s">
        <v>2</v>
      </c>
      <c r="E530" s="2">
        <v>18</v>
      </c>
      <c r="F530" s="2">
        <v>0</v>
      </c>
      <c r="G530" s="2">
        <v>3</v>
      </c>
      <c r="H530" s="2">
        <v>8400</v>
      </c>
      <c r="I530" s="2">
        <v>100</v>
      </c>
      <c r="J530" s="2" t="s">
        <v>1779</v>
      </c>
      <c r="K530" s="2">
        <v>33</v>
      </c>
      <c r="L530" s="2">
        <v>10</v>
      </c>
      <c r="M530" s="2">
        <v>0</v>
      </c>
      <c r="N530" s="2">
        <v>8</v>
      </c>
      <c r="O530" s="2">
        <v>5</v>
      </c>
      <c r="P530" s="2">
        <v>10</v>
      </c>
      <c r="Q530" s="2" t="s">
        <v>2633</v>
      </c>
      <c r="R530" s="2" t="s">
        <v>2634</v>
      </c>
      <c r="S530" s="4">
        <v>44837</v>
      </c>
    </row>
    <row r="531" spans="1:19" ht="12.5" x14ac:dyDescent="0.25">
      <c r="A531" s="14" t="str">
        <f>HYPERLINK("https://gerandofalcoes.my.salesforce.com/0014X00002VKCueQAH", "0014X00002VKCueQAH")</f>
        <v>0014X00002VKCueQAH</v>
      </c>
      <c r="B531" s="2" t="s">
        <v>2128</v>
      </c>
      <c r="C531" s="2" t="s">
        <v>423</v>
      </c>
      <c r="D531" s="2" t="s">
        <v>2</v>
      </c>
      <c r="E531" s="2">
        <v>33</v>
      </c>
      <c r="F531" s="2">
        <v>0</v>
      </c>
      <c r="G531" s="2">
        <v>3</v>
      </c>
      <c r="H531" s="2">
        <v>40000</v>
      </c>
      <c r="I531" s="2">
        <v>10</v>
      </c>
      <c r="J531" s="2" t="s">
        <v>1779</v>
      </c>
      <c r="K531" s="2">
        <v>38</v>
      </c>
      <c r="L531" s="2">
        <v>15</v>
      </c>
      <c r="M531" s="2">
        <v>0</v>
      </c>
      <c r="N531" s="2">
        <v>8</v>
      </c>
      <c r="O531" s="2">
        <v>10</v>
      </c>
      <c r="P531" s="2">
        <v>5</v>
      </c>
      <c r="Q531" s="2" t="s">
        <v>2129</v>
      </c>
      <c r="R531" s="2" t="s">
        <v>2130</v>
      </c>
      <c r="S531" s="4">
        <v>44837</v>
      </c>
    </row>
    <row r="532" spans="1:19" ht="12.5" x14ac:dyDescent="0.25">
      <c r="A532" s="14" t="str">
        <f>HYPERLINK("https://gerandofalcoes.my.salesforce.com/0014X00002VKCqnQAH", "0014X00002VKCqnQAH")</f>
        <v>0014X00002VKCqnQAH</v>
      </c>
      <c r="B532" s="2" t="s">
        <v>2743</v>
      </c>
      <c r="C532" s="2" t="s">
        <v>423</v>
      </c>
      <c r="D532" s="2" t="s">
        <v>2</v>
      </c>
      <c r="E532" s="2">
        <v>48</v>
      </c>
      <c r="F532" s="2">
        <v>0</v>
      </c>
      <c r="G532" s="2">
        <v>4</v>
      </c>
      <c r="H532" s="2">
        <v>99683</v>
      </c>
      <c r="I532" s="2">
        <v>180</v>
      </c>
      <c r="J532" s="2" t="s">
        <v>1671</v>
      </c>
      <c r="K532" s="2">
        <v>47</v>
      </c>
      <c r="L532" s="2">
        <v>15</v>
      </c>
      <c r="M532" s="2">
        <v>0</v>
      </c>
      <c r="N532" s="2">
        <v>10</v>
      </c>
      <c r="O532" s="2">
        <v>10</v>
      </c>
      <c r="P532" s="2">
        <v>12</v>
      </c>
      <c r="Q532" s="2" t="s">
        <v>2744</v>
      </c>
      <c r="R532" s="2" t="s">
        <v>2745</v>
      </c>
      <c r="S532" s="4">
        <v>44837</v>
      </c>
    </row>
    <row r="533" spans="1:19" ht="12.5" x14ac:dyDescent="0.25">
      <c r="A533" s="14" t="str">
        <f>HYPERLINK("https://gerandofalcoes.my.salesforce.com/0014X00002VKCr7QAH", "0014X00002VKCr7QAH")</f>
        <v>0014X00002VKCr7QAH</v>
      </c>
      <c r="B533" s="2" t="s">
        <v>2730</v>
      </c>
      <c r="C533" s="2" t="s">
        <v>423</v>
      </c>
      <c r="D533" s="2" t="s">
        <v>2</v>
      </c>
      <c r="E533" s="2">
        <v>15</v>
      </c>
      <c r="F533" s="2">
        <v>0</v>
      </c>
      <c r="G533" s="2">
        <v>2</v>
      </c>
      <c r="H533" s="2">
        <v>0</v>
      </c>
      <c r="I533" s="2">
        <v>0</v>
      </c>
      <c r="J533" s="2" t="s">
        <v>1779</v>
      </c>
      <c r="K533" s="2">
        <v>16</v>
      </c>
      <c r="L533" s="2">
        <v>10</v>
      </c>
      <c r="M533" s="2">
        <v>0</v>
      </c>
      <c r="N533" s="2">
        <v>6</v>
      </c>
      <c r="O533" s="2">
        <v>0</v>
      </c>
      <c r="P533" s="2">
        <v>0</v>
      </c>
      <c r="Q533" s="2" t="s">
        <v>2731</v>
      </c>
      <c r="R533" s="2" t="s">
        <v>2731</v>
      </c>
      <c r="S533" s="4">
        <v>44837</v>
      </c>
    </row>
    <row r="534" spans="1:19" ht="12.5" x14ac:dyDescent="0.25">
      <c r="A534" s="14" t="str">
        <f>HYPERLINK("https://gerandofalcoes.my.salesforce.com/0014X00002VKCtCQAX", "0014X00002VKCtCQAX")</f>
        <v>0014X00002VKCtCQAX</v>
      </c>
      <c r="B534" s="2" t="s">
        <v>2724</v>
      </c>
      <c r="C534" s="2" t="s">
        <v>423</v>
      </c>
      <c r="D534" s="2" t="s">
        <v>2</v>
      </c>
      <c r="E534" s="2">
        <v>15</v>
      </c>
      <c r="F534" s="2">
        <v>0</v>
      </c>
      <c r="G534" s="2">
        <v>1</v>
      </c>
      <c r="H534" s="2">
        <v>6000</v>
      </c>
      <c r="I534" s="2">
        <v>40</v>
      </c>
      <c r="J534" s="2" t="s">
        <v>1779</v>
      </c>
      <c r="K534" s="2">
        <v>24</v>
      </c>
      <c r="L534" s="2">
        <v>10</v>
      </c>
      <c r="M534" s="2">
        <v>0</v>
      </c>
      <c r="N534" s="2">
        <v>4</v>
      </c>
      <c r="O534" s="2">
        <v>5</v>
      </c>
      <c r="P534" s="2">
        <v>5</v>
      </c>
      <c r="Q534" s="2" t="s">
        <v>2725</v>
      </c>
      <c r="R534" s="2" t="s">
        <v>2726</v>
      </c>
      <c r="S534" s="4">
        <v>44837</v>
      </c>
    </row>
    <row r="535" spans="1:19" ht="12.5" x14ac:dyDescent="0.25">
      <c r="A535" s="14" t="str">
        <f>HYPERLINK("https://gerandofalcoes.my.salesforce.com/0014X00002VKCr3QAH", "0014X00002VKCr3QAH")</f>
        <v>0014X00002VKCr3QAH</v>
      </c>
      <c r="B535" s="2" t="s">
        <v>2399</v>
      </c>
      <c r="C535" s="2" t="s">
        <v>423</v>
      </c>
      <c r="D535" s="2" t="s">
        <v>2</v>
      </c>
      <c r="E535" s="2">
        <v>25</v>
      </c>
      <c r="F535" s="2">
        <v>0</v>
      </c>
      <c r="G535" s="2">
        <v>0</v>
      </c>
      <c r="H535" s="2">
        <v>0</v>
      </c>
      <c r="I535" s="2">
        <v>700</v>
      </c>
      <c r="J535" s="2" t="s">
        <v>1779</v>
      </c>
      <c r="K535" s="2">
        <v>35</v>
      </c>
      <c r="L535" s="2">
        <v>15</v>
      </c>
      <c r="M535" s="2">
        <v>0</v>
      </c>
      <c r="N535" s="2">
        <v>0</v>
      </c>
      <c r="O535" s="2">
        <v>0</v>
      </c>
      <c r="P535" s="2">
        <v>20</v>
      </c>
      <c r="Q535" s="2" t="s">
        <v>2400</v>
      </c>
      <c r="R535" s="2" t="s">
        <v>2400</v>
      </c>
      <c r="S535" s="4">
        <v>44837</v>
      </c>
    </row>
    <row r="536" spans="1:19" ht="12.5" x14ac:dyDescent="0.25">
      <c r="A536" s="14" t="str">
        <f>HYPERLINK("https://gerandofalcoes.my.salesforce.com/0014X00002VKCqmQAH", "0014X00002VKCqmQAH")</f>
        <v>0014X00002VKCqmQAH</v>
      </c>
      <c r="B536" s="2" t="s">
        <v>2032</v>
      </c>
      <c r="C536" s="2" t="s">
        <v>423</v>
      </c>
      <c r="D536" s="2" t="s">
        <v>2</v>
      </c>
      <c r="E536" s="2">
        <v>37</v>
      </c>
      <c r="F536" s="2">
        <v>5</v>
      </c>
      <c r="G536" s="2">
        <v>1</v>
      </c>
      <c r="H536" s="2">
        <v>40000</v>
      </c>
      <c r="I536" s="2">
        <v>250</v>
      </c>
      <c r="J536" s="2" t="s">
        <v>1671</v>
      </c>
      <c r="K536" s="2">
        <v>46</v>
      </c>
      <c r="L536" s="2">
        <v>15</v>
      </c>
      <c r="M536" s="2">
        <v>5</v>
      </c>
      <c r="N536" s="2">
        <v>4</v>
      </c>
      <c r="O536" s="2">
        <v>10</v>
      </c>
      <c r="P536" s="2">
        <v>12</v>
      </c>
      <c r="Q536" s="2" t="s">
        <v>2033</v>
      </c>
      <c r="R536" s="2" t="s">
        <v>2034</v>
      </c>
      <c r="S536" s="4">
        <v>44837</v>
      </c>
    </row>
    <row r="537" spans="1:19" ht="12.5" x14ac:dyDescent="0.25">
      <c r="A537" s="14" t="str">
        <f>HYPERLINK("https://gerandofalcoes.my.salesforce.com/0014X00002VKCu1QAH", "0014X00002VKCu1QAH")</f>
        <v>0014X00002VKCu1QAH</v>
      </c>
      <c r="B537" s="2" t="s">
        <v>2158</v>
      </c>
      <c r="C537" s="2" t="s">
        <v>1800</v>
      </c>
      <c r="D537" s="2" t="s">
        <v>2</v>
      </c>
      <c r="E537" s="2">
        <v>33</v>
      </c>
      <c r="F537" s="2">
        <v>0</v>
      </c>
      <c r="G537" s="2">
        <v>3</v>
      </c>
      <c r="H537" s="2">
        <v>10000</v>
      </c>
      <c r="I537" s="2">
        <v>3500</v>
      </c>
      <c r="J537" s="2" t="s">
        <v>1671</v>
      </c>
      <c r="K537" s="2">
        <v>48</v>
      </c>
      <c r="L537" s="2">
        <v>15</v>
      </c>
      <c r="M537" s="2">
        <v>0</v>
      </c>
      <c r="N537" s="2">
        <v>8</v>
      </c>
      <c r="O537" s="2">
        <v>5</v>
      </c>
      <c r="P537" s="2">
        <v>20</v>
      </c>
      <c r="Q537" s="2" t="s">
        <v>2159</v>
      </c>
      <c r="R537" s="2" t="s">
        <v>2160</v>
      </c>
      <c r="S537" s="4">
        <v>44837</v>
      </c>
    </row>
    <row r="538" spans="1:19" ht="12.5" x14ac:dyDescent="0.25">
      <c r="A538" s="14" t="str">
        <f>HYPERLINK("https://gerandofalcoes.my.salesforce.com/0014X00002VKD05QAH", "0014X00002VKD05QAH")</f>
        <v>0014X00002VKD05QAH</v>
      </c>
      <c r="B538" s="2" t="s">
        <v>2264</v>
      </c>
      <c r="C538" s="2" t="s">
        <v>423</v>
      </c>
      <c r="D538" s="2" t="s">
        <v>2</v>
      </c>
      <c r="E538" s="2">
        <v>30</v>
      </c>
      <c r="F538" s="2">
        <v>0</v>
      </c>
      <c r="G538" s="2">
        <v>2</v>
      </c>
      <c r="H538" s="2">
        <v>199010</v>
      </c>
      <c r="I538" s="2">
        <v>240</v>
      </c>
      <c r="J538" s="2" t="s">
        <v>1671</v>
      </c>
      <c r="K538" s="2">
        <v>48</v>
      </c>
      <c r="L538" s="2">
        <v>15</v>
      </c>
      <c r="M538" s="2">
        <v>0</v>
      </c>
      <c r="N538" s="2">
        <v>6</v>
      </c>
      <c r="O538" s="2">
        <v>15</v>
      </c>
      <c r="P538" s="2">
        <v>12</v>
      </c>
      <c r="Q538" s="2" t="s">
        <v>2265</v>
      </c>
      <c r="R538" s="2" t="s">
        <v>2266</v>
      </c>
      <c r="S538" s="4">
        <v>44837</v>
      </c>
    </row>
    <row r="539" spans="1:19" ht="12.5" x14ac:dyDescent="0.25">
      <c r="A539" s="14" t="str">
        <f>HYPERLINK("https://gerandofalcoes.my.salesforce.com/0014X00002VKCsSQAX", "0014X00002VKCsSQAX")</f>
        <v>0014X00002VKCsSQAX</v>
      </c>
      <c r="B539" s="2" t="s">
        <v>2354</v>
      </c>
      <c r="C539" s="2" t="s">
        <v>1800</v>
      </c>
      <c r="D539" s="2" t="s">
        <v>2</v>
      </c>
      <c r="E539" s="2">
        <v>27</v>
      </c>
      <c r="F539" s="2">
        <v>0</v>
      </c>
      <c r="G539" s="2">
        <v>3</v>
      </c>
      <c r="H539" s="2">
        <v>28800</v>
      </c>
      <c r="I539" s="2">
        <v>65</v>
      </c>
      <c r="J539" s="2" t="s">
        <v>1779</v>
      </c>
      <c r="K539" s="2">
        <v>38</v>
      </c>
      <c r="L539" s="2">
        <v>15</v>
      </c>
      <c r="M539" s="2">
        <v>0</v>
      </c>
      <c r="N539" s="2">
        <v>8</v>
      </c>
      <c r="O539" s="2">
        <v>10</v>
      </c>
      <c r="P539" s="2">
        <v>5</v>
      </c>
      <c r="Q539" s="2" t="s">
        <v>2355</v>
      </c>
      <c r="R539" s="2" t="s">
        <v>2356</v>
      </c>
      <c r="S539" s="4">
        <v>44837</v>
      </c>
    </row>
    <row r="540" spans="1:19" ht="12.5" x14ac:dyDescent="0.25">
      <c r="A540" s="14" t="str">
        <f>HYPERLINK("https://gerandofalcoes.my.salesforce.com/0014P00003AN2FvQAL", "0014P00003AN2FvQAL")</f>
        <v>0014P00003AN2FvQAL</v>
      </c>
      <c r="B540" s="2" t="s">
        <v>1746</v>
      </c>
      <c r="C540" s="2" t="s">
        <v>423</v>
      </c>
      <c r="D540" s="2" t="s">
        <v>27</v>
      </c>
      <c r="E540" s="2">
        <v>64</v>
      </c>
      <c r="F540" s="2">
        <v>7</v>
      </c>
      <c r="G540" s="2">
        <v>2</v>
      </c>
      <c r="H540" s="2">
        <v>109514.68</v>
      </c>
      <c r="I540" s="2">
        <v>127</v>
      </c>
      <c r="J540" s="2" t="s">
        <v>1671</v>
      </c>
      <c r="K540" s="2">
        <v>61</v>
      </c>
      <c r="L540" s="2">
        <v>20</v>
      </c>
      <c r="M540" s="2">
        <v>10</v>
      </c>
      <c r="N540" s="2">
        <v>6</v>
      </c>
      <c r="O540" s="2">
        <v>15</v>
      </c>
      <c r="P540" s="2">
        <v>10</v>
      </c>
      <c r="Q540" s="2" t="s">
        <v>142</v>
      </c>
      <c r="R540" s="2" t="s">
        <v>142</v>
      </c>
      <c r="S540" s="4">
        <v>44837</v>
      </c>
    </row>
    <row r="541" spans="1:19" ht="12.5" x14ac:dyDescent="0.25">
      <c r="A541" s="14" t="str">
        <f>HYPERLINK("https://gerandofalcoes.my.salesforce.com/0014X00002VKCsvQAH", "0014X00002VKCsvQAH")</f>
        <v>0014X00002VKCsvQAH</v>
      </c>
      <c r="B541" s="2" t="s">
        <v>2467</v>
      </c>
      <c r="C541" s="2" t="s">
        <v>423</v>
      </c>
      <c r="D541" s="2" t="s">
        <v>2</v>
      </c>
      <c r="E541" s="2">
        <v>23</v>
      </c>
      <c r="F541" s="2">
        <v>4</v>
      </c>
      <c r="G541" s="2">
        <v>0</v>
      </c>
      <c r="H541" s="2">
        <v>15000</v>
      </c>
      <c r="I541" s="2">
        <v>0</v>
      </c>
      <c r="J541" s="2" t="s">
        <v>1779</v>
      </c>
      <c r="K541" s="2">
        <v>20</v>
      </c>
      <c r="L541" s="2">
        <v>10</v>
      </c>
      <c r="M541" s="2">
        <v>5</v>
      </c>
      <c r="N541" s="2">
        <v>0</v>
      </c>
      <c r="O541" s="2">
        <v>5</v>
      </c>
      <c r="P541" s="2">
        <v>0</v>
      </c>
      <c r="Q541" s="2" t="s">
        <v>2468</v>
      </c>
      <c r="R541" s="2" t="s">
        <v>2468</v>
      </c>
      <c r="S541" s="4">
        <v>44837</v>
      </c>
    </row>
    <row r="542" spans="1:19" ht="12.5" x14ac:dyDescent="0.25">
      <c r="A542" s="14" t="str">
        <f>HYPERLINK("https://gerandofalcoes.my.salesforce.com/0014X00002UGqWjQAL", "0014X00002UGqWjQAL")</f>
        <v>0014X00002UGqWjQAL</v>
      </c>
      <c r="B542" s="2" t="s">
        <v>2654</v>
      </c>
      <c r="C542" s="2" t="s">
        <v>423</v>
      </c>
      <c r="D542" s="2" t="s">
        <v>2</v>
      </c>
      <c r="E542" s="2">
        <v>17</v>
      </c>
      <c r="F542" s="2">
        <v>0</v>
      </c>
      <c r="G542" s="2">
        <v>2</v>
      </c>
      <c r="H542" s="2">
        <v>2000</v>
      </c>
      <c r="I542" s="2">
        <v>150</v>
      </c>
      <c r="J542" s="2" t="s">
        <v>1779</v>
      </c>
      <c r="K542" s="2">
        <v>33</v>
      </c>
      <c r="L542" s="2">
        <v>10</v>
      </c>
      <c r="M542" s="2">
        <v>0</v>
      </c>
      <c r="N542" s="2">
        <v>6</v>
      </c>
      <c r="O542" s="2">
        <v>5</v>
      </c>
      <c r="P542" s="2">
        <v>12</v>
      </c>
      <c r="Q542" s="2" t="s">
        <v>2655</v>
      </c>
      <c r="R542" s="2" t="s">
        <v>2656</v>
      </c>
      <c r="S542" s="4">
        <v>44837</v>
      </c>
    </row>
    <row r="543" spans="1:19" ht="12.5" x14ac:dyDescent="0.25">
      <c r="A543" s="14" t="str">
        <f>HYPERLINK("https://gerandofalcoes.my.salesforce.com/0014X00002UGscXQAT", "0014X00002UGscXQAT")</f>
        <v>0014X00002UGscXQAT</v>
      </c>
      <c r="B543" s="2" t="s">
        <v>2995</v>
      </c>
      <c r="C543" s="2" t="s">
        <v>1800</v>
      </c>
      <c r="D543" s="2" t="s">
        <v>2</v>
      </c>
      <c r="E543" s="2"/>
      <c r="F543" s="2">
        <v>2</v>
      </c>
      <c r="G543" s="2">
        <v>2</v>
      </c>
      <c r="H543" s="2">
        <v>1000</v>
      </c>
      <c r="I543" s="2">
        <v>0</v>
      </c>
      <c r="J543" s="2" t="s">
        <v>1779</v>
      </c>
      <c r="K543" s="2">
        <v>16</v>
      </c>
      <c r="L543" s="2">
        <v>0</v>
      </c>
      <c r="M543" s="2">
        <v>5</v>
      </c>
      <c r="N543" s="2">
        <v>6</v>
      </c>
      <c r="O543" s="2">
        <v>5</v>
      </c>
      <c r="P543" s="2">
        <v>0</v>
      </c>
      <c r="Q543" s="2" t="s">
        <v>2996</v>
      </c>
      <c r="R543" s="2" t="s">
        <v>2997</v>
      </c>
      <c r="S543" s="4">
        <v>44837</v>
      </c>
    </row>
    <row r="544" spans="1:19" ht="12.5" x14ac:dyDescent="0.25">
      <c r="A544" s="14" t="str">
        <f>HYPERLINK("https://gerandofalcoes.my.salesforce.com/0014P00003AN2FoQAL", "0014P00003AN2FoQAL")</f>
        <v>0014P00003AN2FoQAL</v>
      </c>
      <c r="B544" s="2" t="s">
        <v>1938</v>
      </c>
      <c r="C544" s="2" t="s">
        <v>423</v>
      </c>
      <c r="D544" s="2" t="s">
        <v>2</v>
      </c>
      <c r="E544" s="2">
        <v>41.14</v>
      </c>
      <c r="F544" s="2">
        <v>5</v>
      </c>
      <c r="G544" s="2">
        <v>1</v>
      </c>
      <c r="H544" s="2">
        <v>25000</v>
      </c>
      <c r="I544" s="2">
        <v>300</v>
      </c>
      <c r="J544" s="2" t="s">
        <v>1671</v>
      </c>
      <c r="K544" s="2">
        <v>49</v>
      </c>
      <c r="L544" s="2">
        <v>15</v>
      </c>
      <c r="M544" s="2">
        <v>5</v>
      </c>
      <c r="N544" s="2">
        <v>4</v>
      </c>
      <c r="O544" s="2">
        <v>10</v>
      </c>
      <c r="P544" s="2">
        <v>15</v>
      </c>
      <c r="Q544" s="2" t="s">
        <v>130</v>
      </c>
      <c r="R544" s="2" t="s">
        <v>1939</v>
      </c>
      <c r="S544" s="4">
        <v>44837</v>
      </c>
    </row>
    <row r="545" spans="1:19" ht="12.5" x14ac:dyDescent="0.25">
      <c r="A545" s="14" t="str">
        <f>HYPERLINK("https://gerandofalcoes.my.salesforce.com/0014P00003AN2FpQAL", "0014P00003AN2FpQAL")</f>
        <v>0014P00003AN2FpQAL</v>
      </c>
      <c r="B545" s="2" t="s">
        <v>1678</v>
      </c>
      <c r="C545" s="2" t="s">
        <v>423</v>
      </c>
      <c r="D545" s="2" t="s">
        <v>27</v>
      </c>
      <c r="E545" s="2">
        <v>89</v>
      </c>
      <c r="F545" s="2">
        <v>16</v>
      </c>
      <c r="G545" s="2">
        <v>2</v>
      </c>
      <c r="H545" s="2">
        <v>76727.45</v>
      </c>
      <c r="I545" s="2">
        <v>173</v>
      </c>
      <c r="J545" s="2" t="s">
        <v>1650</v>
      </c>
      <c r="K545" s="2">
        <v>65</v>
      </c>
      <c r="L545" s="2">
        <v>25</v>
      </c>
      <c r="M545" s="2">
        <v>12</v>
      </c>
      <c r="N545" s="2">
        <v>6</v>
      </c>
      <c r="O545" s="2">
        <v>10</v>
      </c>
      <c r="P545" s="2">
        <v>12</v>
      </c>
      <c r="Q545" s="2" t="s">
        <v>131</v>
      </c>
      <c r="R545" s="2" t="s">
        <v>131</v>
      </c>
      <c r="S545" s="4">
        <v>44837</v>
      </c>
    </row>
    <row r="546" spans="1:19" ht="12.5" x14ac:dyDescent="0.25">
      <c r="A546" s="14" t="str">
        <f>HYPERLINK("https://gerandofalcoes.my.salesforce.com/0014P00003AN2FqQAL", "0014P00003AN2FqQAL")</f>
        <v>0014P00003AN2FqQAL</v>
      </c>
      <c r="B546" s="2" t="s">
        <v>1658</v>
      </c>
      <c r="C546" s="2" t="s">
        <v>423</v>
      </c>
      <c r="D546" s="2" t="s">
        <v>27</v>
      </c>
      <c r="E546" s="2">
        <v>95</v>
      </c>
      <c r="F546" s="2">
        <v>46</v>
      </c>
      <c r="G546" s="2">
        <v>4</v>
      </c>
      <c r="H546" s="2">
        <v>1272655.06</v>
      </c>
      <c r="I546" s="2">
        <v>348</v>
      </c>
      <c r="J546" s="2" t="s">
        <v>1654</v>
      </c>
      <c r="K546" s="2">
        <v>95</v>
      </c>
      <c r="L546" s="2">
        <v>30</v>
      </c>
      <c r="M546" s="2">
        <v>15</v>
      </c>
      <c r="N546" s="2">
        <v>10</v>
      </c>
      <c r="O546" s="2">
        <v>25</v>
      </c>
      <c r="P546" s="2">
        <v>15</v>
      </c>
      <c r="Q546" s="2" t="s">
        <v>132</v>
      </c>
      <c r="R546" s="2" t="s">
        <v>132</v>
      </c>
      <c r="S546" s="4">
        <v>44837</v>
      </c>
    </row>
    <row r="547" spans="1:19" ht="12.5" x14ac:dyDescent="0.25">
      <c r="A547" s="14" t="str">
        <f>HYPERLINK("https://gerandofalcoes.my.salesforce.com/0014P00003AN2FsQAL", "0014P00003AN2FsQAL")</f>
        <v>0014P00003AN2FsQAL</v>
      </c>
      <c r="B547" s="2" t="s">
        <v>1688</v>
      </c>
      <c r="C547" s="2" t="s">
        <v>423</v>
      </c>
      <c r="D547" s="2" t="s">
        <v>27</v>
      </c>
      <c r="E547" s="2">
        <v>85</v>
      </c>
      <c r="F547" s="2">
        <v>6</v>
      </c>
      <c r="G547" s="2">
        <v>3</v>
      </c>
      <c r="H547" s="2">
        <v>93122.27</v>
      </c>
      <c r="I547" s="2">
        <v>206</v>
      </c>
      <c r="J547" s="2" t="s">
        <v>1650</v>
      </c>
      <c r="K547" s="2">
        <v>65</v>
      </c>
      <c r="L547" s="2">
        <v>25</v>
      </c>
      <c r="M547" s="2">
        <v>10</v>
      </c>
      <c r="N547" s="2">
        <v>8</v>
      </c>
      <c r="O547" s="2">
        <v>10</v>
      </c>
      <c r="P547" s="2">
        <v>12</v>
      </c>
      <c r="Q547" s="2" t="s">
        <v>134</v>
      </c>
      <c r="R547" s="2" t="s">
        <v>134</v>
      </c>
      <c r="S547" s="4">
        <v>44837</v>
      </c>
    </row>
    <row r="548" spans="1:19" ht="12.5" x14ac:dyDescent="0.25">
      <c r="A548" s="14" t="str">
        <f>HYPERLINK("https://gerandofalcoes.my.salesforce.com/0014P00003AN2FtQAL", "0014P00003AN2FtQAL")</f>
        <v>0014P00003AN2FtQAL</v>
      </c>
      <c r="B548" s="2" t="s">
        <v>137</v>
      </c>
      <c r="C548" s="2" t="s">
        <v>423</v>
      </c>
      <c r="D548" s="2" t="s">
        <v>27</v>
      </c>
      <c r="E548" s="2">
        <v>86</v>
      </c>
      <c r="F548" s="2">
        <v>7</v>
      </c>
      <c r="G548" s="2">
        <v>4</v>
      </c>
      <c r="H548" s="2">
        <v>67399.429999999993</v>
      </c>
      <c r="I548" s="2">
        <v>159</v>
      </c>
      <c r="J548" s="2" t="s">
        <v>1650</v>
      </c>
      <c r="K548" s="2">
        <v>67</v>
      </c>
      <c r="L548" s="2">
        <v>25</v>
      </c>
      <c r="M548" s="2">
        <v>10</v>
      </c>
      <c r="N548" s="2">
        <v>10</v>
      </c>
      <c r="O548" s="2">
        <v>10</v>
      </c>
      <c r="P548" s="2">
        <v>12</v>
      </c>
      <c r="Q548" s="2" t="s">
        <v>138</v>
      </c>
      <c r="R548" s="2" t="s">
        <v>1682</v>
      </c>
      <c r="S548" s="4">
        <v>44837</v>
      </c>
    </row>
    <row r="549" spans="1:19" ht="12.5" x14ac:dyDescent="0.25">
      <c r="A549" s="14" t="str">
        <f>HYPERLINK("https://gerandofalcoes.my.salesforce.com/0014P00003AN2FuQAL", "0014P00003AN2FuQAL")</f>
        <v>0014P00003AN2FuQAL</v>
      </c>
      <c r="B549" s="2" t="s">
        <v>1659</v>
      </c>
      <c r="C549" s="2" t="s">
        <v>423</v>
      </c>
      <c r="D549" s="2" t="s">
        <v>27</v>
      </c>
      <c r="E549" s="2">
        <v>95</v>
      </c>
      <c r="F549" s="2">
        <v>23</v>
      </c>
      <c r="G549" s="2">
        <v>3</v>
      </c>
      <c r="H549" s="2">
        <v>243360.63</v>
      </c>
      <c r="I549" s="2">
        <v>291</v>
      </c>
      <c r="J549" s="2" t="s">
        <v>1650</v>
      </c>
      <c r="K549" s="2">
        <v>77</v>
      </c>
      <c r="L549" s="2">
        <v>30</v>
      </c>
      <c r="M549" s="2">
        <v>12</v>
      </c>
      <c r="N549" s="2">
        <v>8</v>
      </c>
      <c r="O549" s="2">
        <v>15</v>
      </c>
      <c r="P549" s="2">
        <v>12</v>
      </c>
      <c r="Q549" s="2" t="s">
        <v>140</v>
      </c>
      <c r="R549" s="2" t="s">
        <v>140</v>
      </c>
      <c r="S549" s="4">
        <v>44837</v>
      </c>
    </row>
    <row r="550" spans="1:19" ht="12.5" x14ac:dyDescent="0.25">
      <c r="A550" s="14" t="str">
        <f>HYPERLINK("https://gerandofalcoes.my.salesforce.com/0014P00003AN2FwQAL", "0014P00003AN2FwQAL")</f>
        <v>0014P00003AN2FwQAL</v>
      </c>
      <c r="B550" s="2" t="s">
        <v>115</v>
      </c>
      <c r="C550" s="2" t="s">
        <v>423</v>
      </c>
      <c r="D550" s="2" t="s">
        <v>27</v>
      </c>
      <c r="E550" s="2">
        <v>73</v>
      </c>
      <c r="F550" s="2">
        <v>15</v>
      </c>
      <c r="G550" s="2">
        <v>1</v>
      </c>
      <c r="H550" s="2">
        <v>65923</v>
      </c>
      <c r="I550" s="2">
        <v>77</v>
      </c>
      <c r="J550" s="2" t="s">
        <v>1671</v>
      </c>
      <c r="K550" s="2">
        <v>51</v>
      </c>
      <c r="L550" s="2">
        <v>20</v>
      </c>
      <c r="M550" s="2">
        <v>12</v>
      </c>
      <c r="N550" s="2">
        <v>4</v>
      </c>
      <c r="O550" s="2">
        <v>10</v>
      </c>
      <c r="P550" s="2">
        <v>5</v>
      </c>
      <c r="Q550" s="2" t="s">
        <v>116</v>
      </c>
      <c r="R550" s="2" t="s">
        <v>1723</v>
      </c>
      <c r="S550" s="4">
        <v>44837</v>
      </c>
    </row>
    <row r="551" spans="1:19" ht="12.5" x14ac:dyDescent="0.25">
      <c r="A551" s="14" t="str">
        <f>HYPERLINK("https://gerandofalcoes.my.salesforce.com/0014P00003AN2FxQAL", "0014P00003AN2FxQAL")</f>
        <v>0014P00003AN2FxQAL</v>
      </c>
      <c r="B551" s="2" t="s">
        <v>1664</v>
      </c>
      <c r="C551" s="2" t="s">
        <v>423</v>
      </c>
      <c r="D551" s="2" t="s">
        <v>27</v>
      </c>
      <c r="E551" s="2">
        <v>93</v>
      </c>
      <c r="F551" s="2">
        <v>29</v>
      </c>
      <c r="G551" s="2">
        <v>1</v>
      </c>
      <c r="H551" s="2">
        <v>621309.18999999994</v>
      </c>
      <c r="I551" s="2">
        <v>203</v>
      </c>
      <c r="J551" s="2" t="s">
        <v>1650</v>
      </c>
      <c r="K551" s="2">
        <v>78</v>
      </c>
      <c r="L551" s="2">
        <v>30</v>
      </c>
      <c r="M551" s="2">
        <v>12</v>
      </c>
      <c r="N551" s="2">
        <v>4</v>
      </c>
      <c r="O551" s="2">
        <v>20</v>
      </c>
      <c r="P551" s="2">
        <v>12</v>
      </c>
      <c r="Q551" s="2" t="s">
        <v>144</v>
      </c>
      <c r="R551" s="2" t="s">
        <v>144</v>
      </c>
      <c r="S551" s="4">
        <v>44837</v>
      </c>
    </row>
    <row r="552" spans="1:19" ht="12.5" x14ac:dyDescent="0.25">
      <c r="A552" s="14" t="str">
        <f>HYPERLINK("https://gerandofalcoes.my.salesforce.com/0014X00002VKCrxQAH", "0014X00002VKCrxQAH")</f>
        <v>0014X00002VKCrxQAH</v>
      </c>
      <c r="B552" s="2" t="s">
        <v>2970</v>
      </c>
      <c r="C552" s="2" t="s">
        <v>423</v>
      </c>
      <c r="D552" s="2" t="s">
        <v>2</v>
      </c>
      <c r="E552" s="2">
        <v>18</v>
      </c>
      <c r="F552" s="2">
        <v>0</v>
      </c>
      <c r="G552" s="2">
        <v>0</v>
      </c>
      <c r="H552" s="2">
        <v>0</v>
      </c>
      <c r="I552" s="2">
        <v>60</v>
      </c>
      <c r="J552" s="2" t="s">
        <v>1779</v>
      </c>
      <c r="K552" s="2">
        <v>15</v>
      </c>
      <c r="L552" s="2">
        <v>10</v>
      </c>
      <c r="M552" s="2">
        <v>0</v>
      </c>
      <c r="N552" s="2">
        <v>0</v>
      </c>
      <c r="O552" s="2">
        <v>0</v>
      </c>
      <c r="P552" s="2">
        <v>5</v>
      </c>
      <c r="Q552" s="2" t="s">
        <v>2971</v>
      </c>
      <c r="R552" s="2" t="s">
        <v>2972</v>
      </c>
      <c r="S552" s="4">
        <v>44837</v>
      </c>
    </row>
    <row r="553" spans="1:19" ht="12.5" x14ac:dyDescent="0.25">
      <c r="A553" s="14" t="str">
        <f>HYPERLINK("https://gerandofalcoes.my.salesforce.com/0014X00002VKCteQAH", "0014X00002VKCteQAH")</f>
        <v>0014X00002VKCteQAH</v>
      </c>
      <c r="B553" s="2" t="s">
        <v>2368</v>
      </c>
      <c r="C553" s="2" t="s">
        <v>423</v>
      </c>
      <c r="D553" s="2" t="s">
        <v>2</v>
      </c>
      <c r="E553" s="2">
        <v>26</v>
      </c>
      <c r="F553" s="2">
        <v>0</v>
      </c>
      <c r="G553" s="2">
        <v>4</v>
      </c>
      <c r="H553" s="2">
        <v>120000</v>
      </c>
      <c r="I553" s="2">
        <v>60</v>
      </c>
      <c r="J553" s="2" t="s">
        <v>1671</v>
      </c>
      <c r="K553" s="2">
        <v>45</v>
      </c>
      <c r="L553" s="2">
        <v>15</v>
      </c>
      <c r="M553" s="2">
        <v>0</v>
      </c>
      <c r="N553" s="2">
        <v>10</v>
      </c>
      <c r="O553" s="2">
        <v>15</v>
      </c>
      <c r="P553" s="2">
        <v>5</v>
      </c>
      <c r="Q553" s="2" t="s">
        <v>2369</v>
      </c>
      <c r="R553" s="2" t="s">
        <v>2369</v>
      </c>
      <c r="S553" s="4">
        <v>44837</v>
      </c>
    </row>
    <row r="554" spans="1:19" ht="12.5" x14ac:dyDescent="0.25">
      <c r="A554" s="14" t="str">
        <f>HYPERLINK("https://gerandofalcoes.my.salesforce.com/0014X00002VKCunQAH", "0014X00002VKCunQAH")</f>
        <v>0014X00002VKCunQAH</v>
      </c>
      <c r="B554" s="2" t="s">
        <v>2054</v>
      </c>
      <c r="C554" s="2" t="s">
        <v>423</v>
      </c>
      <c r="D554" s="2" t="s">
        <v>2</v>
      </c>
      <c r="E554" s="2">
        <v>37</v>
      </c>
      <c r="F554" s="2">
        <v>4</v>
      </c>
      <c r="G554" s="2">
        <v>6</v>
      </c>
      <c r="H554" s="2">
        <v>240</v>
      </c>
      <c r="I554" s="2">
        <v>12</v>
      </c>
      <c r="J554" s="2" t="s">
        <v>1671</v>
      </c>
      <c r="K554" s="2">
        <v>40</v>
      </c>
      <c r="L554" s="2">
        <v>15</v>
      </c>
      <c r="M554" s="2">
        <v>5</v>
      </c>
      <c r="N554" s="2">
        <v>10</v>
      </c>
      <c r="O554" s="2">
        <v>5</v>
      </c>
      <c r="P554" s="2">
        <v>5</v>
      </c>
      <c r="Q554" s="2" t="s">
        <v>2055</v>
      </c>
      <c r="R554" s="2" t="s">
        <v>2056</v>
      </c>
      <c r="S554" s="4">
        <v>44837</v>
      </c>
    </row>
    <row r="555" spans="1:19" ht="12.5" x14ac:dyDescent="0.25">
      <c r="A555" s="14" t="str">
        <f>HYPERLINK("https://gerandofalcoes.my.salesforce.com/0014X00002VKCpOQAX", "0014X00002VKCpOQAX")</f>
        <v>0014X00002VKCpOQAX</v>
      </c>
      <c r="B555" s="2" t="s">
        <v>7187</v>
      </c>
      <c r="C555" s="2" t="s">
        <v>1800</v>
      </c>
      <c r="D555" s="2" t="s">
        <v>2</v>
      </c>
      <c r="E555" s="2">
        <v>8</v>
      </c>
      <c r="F555" s="2">
        <v>4</v>
      </c>
      <c r="G555" s="2">
        <v>10</v>
      </c>
      <c r="H555" s="2">
        <v>0</v>
      </c>
      <c r="I555" s="2">
        <v>100</v>
      </c>
      <c r="J555" s="2" t="s">
        <v>1779</v>
      </c>
      <c r="K555" s="2">
        <v>35</v>
      </c>
      <c r="L555" s="2">
        <v>10</v>
      </c>
      <c r="M555" s="2">
        <v>5</v>
      </c>
      <c r="N555" s="2">
        <v>10</v>
      </c>
      <c r="O555" s="2">
        <v>0</v>
      </c>
      <c r="P555" s="2">
        <v>10</v>
      </c>
      <c r="Q555" s="2" t="s">
        <v>2906</v>
      </c>
      <c r="R555" s="2" t="s">
        <v>2906</v>
      </c>
      <c r="S555" s="4">
        <v>44837</v>
      </c>
    </row>
    <row r="556" spans="1:19" ht="12.5" x14ac:dyDescent="0.25">
      <c r="A556" s="14" t="str">
        <f>HYPERLINK("https://gerandofalcoes.my.salesforce.com/0014X00002VKCv1QAH", "0014X00002VKCv1QAH")</f>
        <v>0014X00002VKCv1QAH</v>
      </c>
      <c r="B556" s="2" t="s">
        <v>2307</v>
      </c>
      <c r="C556" s="2" t="s">
        <v>1800</v>
      </c>
      <c r="D556" s="2" t="s">
        <v>2</v>
      </c>
      <c r="E556" s="2">
        <v>29</v>
      </c>
      <c r="F556" s="2">
        <v>0</v>
      </c>
      <c r="G556" s="2">
        <v>2</v>
      </c>
      <c r="H556" s="2">
        <v>10000</v>
      </c>
      <c r="I556" s="2">
        <v>20</v>
      </c>
      <c r="J556" s="2" t="s">
        <v>1779</v>
      </c>
      <c r="K556" s="2">
        <v>31</v>
      </c>
      <c r="L556" s="2">
        <v>15</v>
      </c>
      <c r="M556" s="2">
        <v>0</v>
      </c>
      <c r="N556" s="2">
        <v>6</v>
      </c>
      <c r="O556" s="2">
        <v>5</v>
      </c>
      <c r="P556" s="2">
        <v>5</v>
      </c>
      <c r="Q556" s="2" t="s">
        <v>2308</v>
      </c>
      <c r="R556" s="2" t="s">
        <v>2308</v>
      </c>
      <c r="S556" s="4">
        <v>44837</v>
      </c>
    </row>
    <row r="557" spans="1:19" ht="12.5" x14ac:dyDescent="0.25">
      <c r="A557" s="14" t="str">
        <f>HYPERLINK("https://gerandofalcoes.my.salesforce.com/0014X00002VKCrtQAH", "0014X00002VKCrtQAH")</f>
        <v>0014X00002VKCrtQAH</v>
      </c>
      <c r="B557" s="2" t="s">
        <v>2579</v>
      </c>
      <c r="C557" s="2" t="s">
        <v>423</v>
      </c>
      <c r="D557" s="2" t="s">
        <v>2</v>
      </c>
      <c r="E557" s="2">
        <v>34</v>
      </c>
      <c r="F557" s="2">
        <v>0</v>
      </c>
      <c r="G557" s="2">
        <v>2</v>
      </c>
      <c r="H557" s="2">
        <v>6000</v>
      </c>
      <c r="I557" s="2">
        <v>33</v>
      </c>
      <c r="J557" s="2" t="s">
        <v>1779</v>
      </c>
      <c r="K557" s="2">
        <v>31</v>
      </c>
      <c r="L557" s="2">
        <v>15</v>
      </c>
      <c r="M557" s="2">
        <v>0</v>
      </c>
      <c r="N557" s="2">
        <v>6</v>
      </c>
      <c r="O557" s="2">
        <v>5</v>
      </c>
      <c r="P557" s="2">
        <v>5</v>
      </c>
      <c r="Q557" s="2" t="s">
        <v>2580</v>
      </c>
      <c r="R557" s="2" t="s">
        <v>2581</v>
      </c>
      <c r="S557" s="4">
        <v>44837</v>
      </c>
    </row>
    <row r="558" spans="1:19" ht="12.5" x14ac:dyDescent="0.25">
      <c r="A558" s="14" t="str">
        <f>HYPERLINK("https://gerandofalcoes.my.salesforce.com/0014X00002VKCv3QAH", "0014X00002VKCv3QAH")</f>
        <v>0014X00002VKCv3QAH</v>
      </c>
      <c r="B558" s="2" t="s">
        <v>2141</v>
      </c>
      <c r="C558" s="2" t="s">
        <v>1800</v>
      </c>
      <c r="D558" s="2" t="s">
        <v>2</v>
      </c>
      <c r="E558" s="2">
        <v>34</v>
      </c>
      <c r="F558" s="2">
        <v>0</v>
      </c>
      <c r="G558" s="2">
        <v>3</v>
      </c>
      <c r="H558" s="2">
        <v>12000</v>
      </c>
      <c r="I558" s="2">
        <v>20</v>
      </c>
      <c r="J558" s="2" t="s">
        <v>1779</v>
      </c>
      <c r="K558" s="2">
        <v>33</v>
      </c>
      <c r="L558" s="2">
        <v>15</v>
      </c>
      <c r="M558" s="2">
        <v>0</v>
      </c>
      <c r="N558" s="2">
        <v>8</v>
      </c>
      <c r="O558" s="2">
        <v>5</v>
      </c>
      <c r="P558" s="2">
        <v>5</v>
      </c>
      <c r="Q558" s="2" t="s">
        <v>2142</v>
      </c>
      <c r="R558" s="2" t="s">
        <v>2143</v>
      </c>
      <c r="S558" s="4">
        <v>44837</v>
      </c>
    </row>
    <row r="559" spans="1:19" ht="12.5" x14ac:dyDescent="0.25">
      <c r="A559" s="14" t="str">
        <f>HYPERLINK("https://gerandofalcoes.my.salesforce.com/0014P00003SGWPqQAP", "0014P00003SGWPqQAP")</f>
        <v>0014P00003SGWPqQAP</v>
      </c>
      <c r="B559" s="2" t="s">
        <v>2835</v>
      </c>
      <c r="C559" s="2" t="s">
        <v>1800</v>
      </c>
      <c r="D559" s="2" t="s">
        <v>2</v>
      </c>
      <c r="E559" s="2">
        <v>11</v>
      </c>
      <c r="F559" s="2">
        <v>2</v>
      </c>
      <c r="G559" s="2">
        <v>0</v>
      </c>
      <c r="H559" s="2">
        <v>140000</v>
      </c>
      <c r="I559" s="2">
        <v>200</v>
      </c>
      <c r="J559" s="2" t="s">
        <v>1671</v>
      </c>
      <c r="K559" s="2">
        <v>42</v>
      </c>
      <c r="L559" s="2">
        <v>10</v>
      </c>
      <c r="M559" s="2">
        <v>5</v>
      </c>
      <c r="N559" s="2">
        <v>0</v>
      </c>
      <c r="O559" s="2">
        <v>15</v>
      </c>
      <c r="P559" s="2">
        <v>12</v>
      </c>
      <c r="Q559" s="2" t="s">
        <v>327</v>
      </c>
      <c r="R559" s="2" t="s">
        <v>1409</v>
      </c>
      <c r="S559" s="4">
        <v>44837</v>
      </c>
    </row>
    <row r="560" spans="1:19" ht="12.5" x14ac:dyDescent="0.25">
      <c r="A560" s="14" t="str">
        <f>HYPERLINK("https://gerandofalcoes.my.salesforce.com/0014P00003SGWPrQAP", "0014P00003SGWPrQAP")</f>
        <v>0014P00003SGWPrQAP</v>
      </c>
      <c r="B560" s="2" t="s">
        <v>2774</v>
      </c>
      <c r="C560" s="2" t="s">
        <v>423</v>
      </c>
      <c r="D560" s="2" t="s">
        <v>2</v>
      </c>
      <c r="E560" s="2">
        <v>31</v>
      </c>
      <c r="F560" s="2">
        <v>0</v>
      </c>
      <c r="G560" s="2">
        <v>2</v>
      </c>
      <c r="H560" s="2">
        <v>50000</v>
      </c>
      <c r="I560" s="2">
        <v>52</v>
      </c>
      <c r="J560" s="2" t="s">
        <v>1779</v>
      </c>
      <c r="K560" s="2">
        <v>36</v>
      </c>
      <c r="L560" s="2">
        <v>15</v>
      </c>
      <c r="M560" s="2">
        <v>0</v>
      </c>
      <c r="N560" s="2">
        <v>6</v>
      </c>
      <c r="O560" s="2">
        <v>10</v>
      </c>
      <c r="P560" s="2">
        <v>5</v>
      </c>
      <c r="Q560" s="2" t="s">
        <v>329</v>
      </c>
      <c r="R560" s="2" t="s">
        <v>1419</v>
      </c>
      <c r="S560" s="4">
        <v>44837</v>
      </c>
    </row>
    <row r="561" spans="1:19" ht="12.5" x14ac:dyDescent="0.25">
      <c r="A561" s="14" t="str">
        <f>HYPERLINK("https://gerandofalcoes.my.salesforce.com/0014P00003SGWPsQAP", "0014P00003SGWPsQAP")</f>
        <v>0014P00003SGWPsQAP</v>
      </c>
      <c r="B561" s="2" t="s">
        <v>1663</v>
      </c>
      <c r="C561" s="2" t="s">
        <v>423</v>
      </c>
      <c r="D561" s="2" t="s">
        <v>27</v>
      </c>
      <c r="E561" s="2">
        <v>93</v>
      </c>
      <c r="F561" s="2">
        <v>49</v>
      </c>
      <c r="G561" s="2">
        <v>3</v>
      </c>
      <c r="H561" s="2">
        <v>1126099.1000000001</v>
      </c>
      <c r="I561" s="2">
        <v>390</v>
      </c>
      <c r="J561" s="2" t="s">
        <v>1654</v>
      </c>
      <c r="K561" s="2">
        <v>93</v>
      </c>
      <c r="L561" s="2">
        <v>30</v>
      </c>
      <c r="M561" s="2">
        <v>15</v>
      </c>
      <c r="N561" s="2">
        <v>8</v>
      </c>
      <c r="O561" s="2">
        <v>25</v>
      </c>
      <c r="P561" s="2">
        <v>15</v>
      </c>
      <c r="Q561" s="2" t="s">
        <v>332</v>
      </c>
      <c r="R561" s="2" t="s">
        <v>1429</v>
      </c>
      <c r="S561" s="4">
        <v>44837</v>
      </c>
    </row>
    <row r="562" spans="1:19" ht="12.5" x14ac:dyDescent="0.25">
      <c r="A562" s="14" t="str">
        <f>HYPERLINK("https://gerandofalcoes.my.salesforce.com/0014P00003SGWPtQAP", "0014P00003SGWPtQAP")</f>
        <v>0014P00003SGWPtQAP</v>
      </c>
      <c r="B562" s="2" t="s">
        <v>2628</v>
      </c>
      <c r="C562" s="2" t="s">
        <v>423</v>
      </c>
      <c r="D562" s="2" t="s">
        <v>2</v>
      </c>
      <c r="E562" s="2">
        <v>24</v>
      </c>
      <c r="F562" s="2">
        <v>3</v>
      </c>
      <c r="G562" s="2">
        <v>0</v>
      </c>
      <c r="H562" s="2">
        <v>400000</v>
      </c>
      <c r="I562" s="2">
        <v>134</v>
      </c>
      <c r="J562" s="2" t="s">
        <v>1671</v>
      </c>
      <c r="K562" s="2">
        <v>45</v>
      </c>
      <c r="L562" s="2">
        <v>10</v>
      </c>
      <c r="M562" s="2">
        <v>5</v>
      </c>
      <c r="N562" s="2">
        <v>0</v>
      </c>
      <c r="O562" s="2">
        <v>20</v>
      </c>
      <c r="P562" s="2">
        <v>10</v>
      </c>
      <c r="Q562" s="2" t="s">
        <v>336</v>
      </c>
      <c r="R562" s="2" t="s">
        <v>336</v>
      </c>
      <c r="S562" s="4">
        <v>44837</v>
      </c>
    </row>
    <row r="563" spans="1:19" ht="12.5" x14ac:dyDescent="0.25">
      <c r="A563" s="14" t="str">
        <f>HYPERLINK("https://gerandofalcoes.my.salesforce.com/0014P00003SGWFqQAP", "0014P00003SGWFqQAP")</f>
        <v>0014P00003SGWFqQAP</v>
      </c>
      <c r="B563" s="2" t="s">
        <v>343</v>
      </c>
      <c r="C563" s="2" t="s">
        <v>423</v>
      </c>
      <c r="D563" s="2" t="s">
        <v>2</v>
      </c>
      <c r="E563" s="2">
        <v>67</v>
      </c>
      <c r="F563" s="2">
        <v>10</v>
      </c>
      <c r="G563" s="2">
        <v>6</v>
      </c>
      <c r="H563" s="2">
        <v>796000</v>
      </c>
      <c r="I563" s="2">
        <v>80</v>
      </c>
      <c r="J563" s="2" t="s">
        <v>1650</v>
      </c>
      <c r="K563" s="2">
        <v>70</v>
      </c>
      <c r="L563" s="2">
        <v>20</v>
      </c>
      <c r="M563" s="2">
        <v>10</v>
      </c>
      <c r="N563" s="2">
        <v>10</v>
      </c>
      <c r="O563" s="2">
        <v>20</v>
      </c>
      <c r="P563" s="2">
        <v>10</v>
      </c>
      <c r="Q563" s="2" t="s">
        <v>344</v>
      </c>
      <c r="R563" s="2" t="s">
        <v>1479</v>
      </c>
      <c r="S563" s="4">
        <v>44837</v>
      </c>
    </row>
    <row r="564" spans="1:19" ht="12.5" x14ac:dyDescent="0.25">
      <c r="A564" s="14" t="str">
        <f>HYPERLINK("https://gerandofalcoes.my.salesforce.com/0014P00003SGWPMQA5", "0014P00003SGWPMQA5")</f>
        <v>0014P00003SGWPMQA5</v>
      </c>
      <c r="B564" s="2" t="s">
        <v>347</v>
      </c>
      <c r="C564" s="2" t="s">
        <v>423</v>
      </c>
      <c r="D564" s="2" t="s">
        <v>2</v>
      </c>
      <c r="E564" s="2">
        <v>3.21</v>
      </c>
      <c r="F564" s="2">
        <v>0</v>
      </c>
      <c r="G564" s="2">
        <v>0</v>
      </c>
      <c r="H564" s="2">
        <v>0</v>
      </c>
      <c r="I564" s="2">
        <v>0</v>
      </c>
      <c r="J564" s="2" t="s">
        <v>1779</v>
      </c>
      <c r="K564" s="2">
        <v>10</v>
      </c>
      <c r="L564" s="2">
        <v>10</v>
      </c>
      <c r="M564" s="2">
        <v>0</v>
      </c>
      <c r="N564" s="2">
        <v>0</v>
      </c>
      <c r="O564" s="2">
        <v>0</v>
      </c>
      <c r="P564" s="2">
        <v>0</v>
      </c>
      <c r="Q564" s="2" t="s">
        <v>348</v>
      </c>
      <c r="R564" s="2" t="s">
        <v>1488</v>
      </c>
      <c r="S564" s="4">
        <v>44837</v>
      </c>
    </row>
    <row r="565" spans="1:19" ht="12.5" x14ac:dyDescent="0.25">
      <c r="A565" s="14" t="str">
        <f>HYPERLINK("https://gerandofalcoes.my.salesforce.com/0014P00003SGWFrQAP", "0014P00003SGWFrQAP")</f>
        <v>0014P00003SGWFrQAP</v>
      </c>
      <c r="B565" s="2" t="s">
        <v>350</v>
      </c>
      <c r="C565" s="2" t="s">
        <v>423</v>
      </c>
      <c r="D565" s="2" t="s">
        <v>2</v>
      </c>
      <c r="E565" s="2">
        <v>43</v>
      </c>
      <c r="F565" s="2">
        <v>7</v>
      </c>
      <c r="G565" s="2">
        <v>0</v>
      </c>
      <c r="H565" s="2">
        <v>290000</v>
      </c>
      <c r="I565" s="2">
        <v>183</v>
      </c>
      <c r="J565" s="2" t="s">
        <v>1671</v>
      </c>
      <c r="K565" s="2">
        <v>52</v>
      </c>
      <c r="L565" s="2">
        <v>15</v>
      </c>
      <c r="M565" s="2">
        <v>10</v>
      </c>
      <c r="N565" s="2">
        <v>0</v>
      </c>
      <c r="O565" s="2">
        <v>15</v>
      </c>
      <c r="P565" s="2">
        <v>12</v>
      </c>
      <c r="Q565" s="2" t="s">
        <v>351</v>
      </c>
      <c r="R565" s="2" t="s">
        <v>1499</v>
      </c>
      <c r="S565" s="4">
        <v>44837</v>
      </c>
    </row>
    <row r="566" spans="1:19" ht="12.5" x14ac:dyDescent="0.25">
      <c r="A566" s="14" t="str">
        <f>HYPERLINK("https://gerandofalcoes.my.salesforce.com/0014P00003SGWFsQAP", "0014P00003SGWFsQAP")</f>
        <v>0014P00003SGWFsQAP</v>
      </c>
      <c r="B566" s="2" t="s">
        <v>339</v>
      </c>
      <c r="C566" s="2" t="s">
        <v>423</v>
      </c>
      <c r="D566" s="2" t="s">
        <v>2</v>
      </c>
      <c r="E566" s="2">
        <v>33</v>
      </c>
      <c r="F566" s="2">
        <v>0</v>
      </c>
      <c r="G566" s="2">
        <v>0</v>
      </c>
      <c r="H566" s="2">
        <v>0</v>
      </c>
      <c r="I566" s="2">
        <v>106</v>
      </c>
      <c r="J566" s="2" t="s">
        <v>1779</v>
      </c>
      <c r="K566" s="2">
        <v>25</v>
      </c>
      <c r="L566" s="2">
        <v>15</v>
      </c>
      <c r="M566" s="2">
        <v>0</v>
      </c>
      <c r="N566" s="2">
        <v>0</v>
      </c>
      <c r="O566" s="2">
        <v>0</v>
      </c>
      <c r="P566" s="2">
        <v>10</v>
      </c>
      <c r="Q566" s="2" t="s">
        <v>340</v>
      </c>
      <c r="R566" s="2" t="s">
        <v>340</v>
      </c>
      <c r="S566" s="4">
        <v>44837</v>
      </c>
    </row>
    <row r="567" spans="1:19" ht="12.5" x14ac:dyDescent="0.25">
      <c r="A567" s="14" t="str">
        <f>HYPERLINK("https://gerandofalcoes.my.salesforce.com/0014P00003SGWFtQAP", "0014P00003SGWFtQAP")</f>
        <v>0014P00003SGWFtQAP</v>
      </c>
      <c r="B567" s="2" t="s">
        <v>354</v>
      </c>
      <c r="C567" s="2" t="s">
        <v>423</v>
      </c>
      <c r="D567" s="2" t="s">
        <v>27</v>
      </c>
      <c r="E567" s="2">
        <v>85</v>
      </c>
      <c r="F567" s="2">
        <v>4</v>
      </c>
      <c r="G567" s="2">
        <v>1</v>
      </c>
      <c r="H567" s="2">
        <v>11500</v>
      </c>
      <c r="I567" s="2">
        <v>78</v>
      </c>
      <c r="J567" s="2" t="s">
        <v>1671</v>
      </c>
      <c r="K567" s="2">
        <v>44</v>
      </c>
      <c r="L567" s="2">
        <v>25</v>
      </c>
      <c r="M567" s="2">
        <v>5</v>
      </c>
      <c r="N567" s="2">
        <v>4</v>
      </c>
      <c r="O567" s="2">
        <v>5</v>
      </c>
      <c r="P567" s="2">
        <v>5</v>
      </c>
      <c r="Q567" s="2" t="s">
        <v>1692</v>
      </c>
      <c r="R567" s="2" t="s">
        <v>1449</v>
      </c>
      <c r="S567" s="4">
        <v>44837</v>
      </c>
    </row>
    <row r="568" spans="1:19" ht="12.5" x14ac:dyDescent="0.25">
      <c r="A568" s="14" t="str">
        <f>HYPERLINK("https://gerandofalcoes.my.salesforce.com/0014P00003YSp7WQAT", "0014P00003YSp7WQAT")</f>
        <v>0014P00003YSp7WQAT</v>
      </c>
      <c r="B568" s="2" t="s">
        <v>1782</v>
      </c>
      <c r="C568" s="2" t="s">
        <v>423</v>
      </c>
      <c r="D568" s="2" t="s">
        <v>2</v>
      </c>
      <c r="E568" s="2">
        <v>45</v>
      </c>
      <c r="F568" s="2">
        <v>11</v>
      </c>
      <c r="G568" s="2">
        <v>5</v>
      </c>
      <c r="H568" s="2">
        <v>18433245</v>
      </c>
      <c r="I568" s="2">
        <v>150</v>
      </c>
      <c r="J568" s="2" t="s">
        <v>1650</v>
      </c>
      <c r="K568" s="2">
        <v>74</v>
      </c>
      <c r="L568" s="2">
        <v>15</v>
      </c>
      <c r="M568" s="2">
        <v>12</v>
      </c>
      <c r="N568" s="2">
        <v>10</v>
      </c>
      <c r="O568" s="2">
        <v>25</v>
      </c>
      <c r="P568" s="2">
        <v>12</v>
      </c>
      <c r="Q568" s="2" t="s">
        <v>1783</v>
      </c>
      <c r="R568" s="2" t="s">
        <v>1784</v>
      </c>
      <c r="S568" s="4">
        <v>44837</v>
      </c>
    </row>
    <row r="569" spans="1:19" ht="12.5" x14ac:dyDescent="0.25">
      <c r="A569" s="14" t="str">
        <f>HYPERLINK("https://gerandofalcoes.my.salesforce.com/0014P00003SGWPLQA5", "0014P00003SGWPLQA5")</f>
        <v>0014P00003SGWPLQA5</v>
      </c>
      <c r="B569" s="2" t="s">
        <v>356</v>
      </c>
      <c r="C569" s="2" t="s">
        <v>423</v>
      </c>
      <c r="D569" s="2" t="s">
        <v>2</v>
      </c>
      <c r="E569" s="2">
        <v>63</v>
      </c>
      <c r="F569" s="2">
        <v>0</v>
      </c>
      <c r="G569" s="2">
        <v>3</v>
      </c>
      <c r="H569" s="2">
        <v>43894</v>
      </c>
      <c r="I569" s="2">
        <v>100</v>
      </c>
      <c r="J569" s="2" t="s">
        <v>1671</v>
      </c>
      <c r="K569" s="2">
        <v>48</v>
      </c>
      <c r="L569" s="2">
        <v>20</v>
      </c>
      <c r="M569" s="2">
        <v>0</v>
      </c>
      <c r="N569" s="2">
        <v>8</v>
      </c>
      <c r="O569" s="2">
        <v>10</v>
      </c>
      <c r="P569" s="2">
        <v>10</v>
      </c>
      <c r="Q569" s="2" t="s">
        <v>357</v>
      </c>
      <c r="R569" s="2" t="s">
        <v>2314</v>
      </c>
      <c r="S569" s="4">
        <v>44837</v>
      </c>
    </row>
    <row r="570" spans="1:19" ht="12.5" x14ac:dyDescent="0.25">
      <c r="A570" s="14" t="str">
        <f>HYPERLINK("https://gerandofalcoes.my.salesforce.com/0014P00003SGWPNQA5", "0014P00003SGWPNQA5")</f>
        <v>0014P00003SGWPNQA5</v>
      </c>
      <c r="B570" s="2" t="s">
        <v>2998</v>
      </c>
      <c r="C570" s="2" t="s">
        <v>1684</v>
      </c>
      <c r="D570" s="2" t="s">
        <v>2</v>
      </c>
      <c r="E570" s="2"/>
      <c r="F570" s="2">
        <v>0</v>
      </c>
      <c r="G570" s="2">
        <v>1</v>
      </c>
      <c r="H570" s="2">
        <v>6000</v>
      </c>
      <c r="I570" s="2">
        <v>0</v>
      </c>
      <c r="J570" s="2" t="s">
        <v>1779</v>
      </c>
      <c r="K570" s="2">
        <v>9</v>
      </c>
      <c r="L570" s="2">
        <v>0</v>
      </c>
      <c r="M570" s="2">
        <v>0</v>
      </c>
      <c r="N570" s="2">
        <v>4</v>
      </c>
      <c r="O570" s="2">
        <v>5</v>
      </c>
      <c r="P570" s="2">
        <v>0</v>
      </c>
      <c r="Q570" s="2" t="s">
        <v>359</v>
      </c>
      <c r="R570" s="2" t="s">
        <v>359</v>
      </c>
      <c r="S570" s="4">
        <v>44837</v>
      </c>
    </row>
    <row r="571" spans="1:19" ht="12.5" x14ac:dyDescent="0.25">
      <c r="A571" s="14" t="str">
        <f>HYPERLINK("https://gerandofalcoes.my.salesforce.com/0014P00003SGWPQQA5", "0014P00003SGWPQQA5")</f>
        <v>0014P00003SGWPQQA5</v>
      </c>
      <c r="B571" s="2" t="s">
        <v>363</v>
      </c>
      <c r="C571" s="2" t="s">
        <v>423</v>
      </c>
      <c r="D571" s="2" t="s">
        <v>27</v>
      </c>
      <c r="E571" s="2">
        <v>93</v>
      </c>
      <c r="F571" s="2">
        <v>32</v>
      </c>
      <c r="G571" s="2">
        <v>4</v>
      </c>
      <c r="H571" s="2">
        <v>1010730.87</v>
      </c>
      <c r="I571" s="2">
        <v>192</v>
      </c>
      <c r="J571" s="2" t="s">
        <v>1654</v>
      </c>
      <c r="K571" s="2">
        <v>92</v>
      </c>
      <c r="L571" s="2">
        <v>30</v>
      </c>
      <c r="M571" s="2">
        <v>15</v>
      </c>
      <c r="N571" s="2">
        <v>10</v>
      </c>
      <c r="O571" s="2">
        <v>25</v>
      </c>
      <c r="P571" s="2">
        <v>12</v>
      </c>
      <c r="Q571" s="2" t="s">
        <v>364</v>
      </c>
      <c r="R571" s="2" t="s">
        <v>1545</v>
      </c>
      <c r="S571" s="4">
        <v>44837</v>
      </c>
    </row>
    <row r="572" spans="1:19" ht="12.5" x14ac:dyDescent="0.25">
      <c r="A572" s="14" t="str">
        <f>HYPERLINK("https://gerandofalcoes.my.salesforce.com/0014P00003SGWPPQA5", "0014P00003SGWPPQA5")</f>
        <v>0014P00003SGWPPQA5</v>
      </c>
      <c r="B572" s="2" t="s">
        <v>1700</v>
      </c>
      <c r="C572" s="2" t="s">
        <v>423</v>
      </c>
      <c r="D572" s="2" t="s">
        <v>27</v>
      </c>
      <c r="E572" s="2">
        <v>60</v>
      </c>
      <c r="F572" s="2">
        <v>10</v>
      </c>
      <c r="G572" s="2">
        <v>2</v>
      </c>
      <c r="H572" s="2">
        <v>60000</v>
      </c>
      <c r="I572" s="2">
        <v>120</v>
      </c>
      <c r="J572" s="2" t="s">
        <v>1671</v>
      </c>
      <c r="K572" s="2">
        <v>56</v>
      </c>
      <c r="L572" s="2">
        <v>20</v>
      </c>
      <c r="M572" s="2">
        <v>10</v>
      </c>
      <c r="N572" s="2">
        <v>6</v>
      </c>
      <c r="O572" s="2">
        <v>10</v>
      </c>
      <c r="P572" s="2">
        <v>10</v>
      </c>
      <c r="Q572" s="2" t="s">
        <v>366</v>
      </c>
      <c r="R572" s="2" t="s">
        <v>1557</v>
      </c>
      <c r="S572" s="4">
        <v>44837</v>
      </c>
    </row>
    <row r="573" spans="1:19" ht="12.5" x14ac:dyDescent="0.25">
      <c r="A573" s="14" t="str">
        <f>HYPERLINK("https://gerandofalcoes.my.salesforce.com/0014P00003SGWPRQA5", "0014P00003SGWPRQA5")</f>
        <v>0014P00003SGWPRQA5</v>
      </c>
      <c r="B573" s="2" t="s">
        <v>367</v>
      </c>
      <c r="C573" s="2" t="s">
        <v>423</v>
      </c>
      <c r="D573" s="2" t="s">
        <v>2</v>
      </c>
      <c r="E573" s="2">
        <v>57.96</v>
      </c>
      <c r="F573" s="2">
        <v>4</v>
      </c>
      <c r="G573" s="2">
        <v>6</v>
      </c>
      <c r="H573" s="2">
        <v>11100000</v>
      </c>
      <c r="I573" s="2">
        <v>200</v>
      </c>
      <c r="J573" s="2" t="s">
        <v>1650</v>
      </c>
      <c r="K573" s="2">
        <v>72</v>
      </c>
      <c r="L573" s="2">
        <v>20</v>
      </c>
      <c r="M573" s="2">
        <v>5</v>
      </c>
      <c r="N573" s="2">
        <v>10</v>
      </c>
      <c r="O573" s="2">
        <v>25</v>
      </c>
      <c r="P573" s="2">
        <v>12</v>
      </c>
      <c r="Q573" s="2" t="s">
        <v>369</v>
      </c>
      <c r="R573" s="2" t="s">
        <v>369</v>
      </c>
      <c r="S573" s="4">
        <v>44837</v>
      </c>
    </row>
    <row r="574" spans="1:19" ht="12.5" x14ac:dyDescent="0.25">
      <c r="A574" s="14" t="str">
        <f>HYPERLINK("https://gerandofalcoes.my.salesforce.com/0014P00003SGWPSQA5", "0014P00003SGWPSQA5")</f>
        <v>0014P00003SGWPSQA5</v>
      </c>
      <c r="B574" s="2" t="s">
        <v>372</v>
      </c>
      <c r="C574" s="2" t="s">
        <v>423</v>
      </c>
      <c r="D574" s="2" t="s">
        <v>2</v>
      </c>
      <c r="E574" s="2">
        <v>57</v>
      </c>
      <c r="F574" s="2">
        <v>10</v>
      </c>
      <c r="G574" s="2">
        <v>2</v>
      </c>
      <c r="H574" s="2">
        <v>657000000</v>
      </c>
      <c r="I574" s="2">
        <v>110</v>
      </c>
      <c r="J574" s="2" t="s">
        <v>1650</v>
      </c>
      <c r="K574" s="2">
        <v>71</v>
      </c>
      <c r="L574" s="2">
        <v>20</v>
      </c>
      <c r="M574" s="2">
        <v>10</v>
      </c>
      <c r="N574" s="2">
        <v>6</v>
      </c>
      <c r="O574" s="2">
        <v>25</v>
      </c>
      <c r="P574" s="2">
        <v>10</v>
      </c>
      <c r="Q574" s="2" t="s">
        <v>373</v>
      </c>
      <c r="R574" s="2" t="s">
        <v>373</v>
      </c>
      <c r="S574" s="4">
        <v>44837</v>
      </c>
    </row>
    <row r="575" spans="1:19" ht="12.5" x14ac:dyDescent="0.25">
      <c r="A575" s="14" t="str">
        <f>HYPERLINK("https://gerandofalcoes.my.salesforce.com/0014X00002OEuauQAD", "0014X00002OEuauQAD")</f>
        <v>0014X00002OEuauQAD</v>
      </c>
      <c r="B575" s="2" t="s">
        <v>2639</v>
      </c>
      <c r="C575" s="2" t="s">
        <v>423</v>
      </c>
      <c r="D575" s="2" t="s">
        <v>2</v>
      </c>
      <c r="E575" s="2">
        <v>18</v>
      </c>
      <c r="F575" s="2">
        <v>2</v>
      </c>
      <c r="G575" s="2">
        <v>2</v>
      </c>
      <c r="H575" s="2">
        <v>5000</v>
      </c>
      <c r="I575" s="2">
        <v>14</v>
      </c>
      <c r="J575" s="2" t="s">
        <v>1779</v>
      </c>
      <c r="K575" s="2">
        <v>31</v>
      </c>
      <c r="L575" s="2">
        <v>10</v>
      </c>
      <c r="M575" s="2">
        <v>5</v>
      </c>
      <c r="N575" s="2">
        <v>6</v>
      </c>
      <c r="O575" s="2">
        <v>5</v>
      </c>
      <c r="P575" s="2">
        <v>5</v>
      </c>
      <c r="Q575" s="2" t="s">
        <v>2640</v>
      </c>
      <c r="R575" s="2" t="s">
        <v>2641</v>
      </c>
      <c r="S575" s="4">
        <v>44837</v>
      </c>
    </row>
    <row r="576" spans="1:19" ht="12.5" x14ac:dyDescent="0.25">
      <c r="A576" s="14" t="str">
        <f>HYPERLINK("https://gerandofalcoes.my.salesforce.com/0014X00002OEualQAD", "0014X00002OEualQAD")</f>
        <v>0014X00002OEualQAD</v>
      </c>
      <c r="B576" s="2" t="s">
        <v>2220</v>
      </c>
      <c r="C576" s="2" t="s">
        <v>1800</v>
      </c>
      <c r="D576" s="2" t="s">
        <v>2</v>
      </c>
      <c r="E576" s="2">
        <v>32</v>
      </c>
      <c r="F576" s="2">
        <v>2</v>
      </c>
      <c r="G576" s="2">
        <v>3</v>
      </c>
      <c r="H576" s="2">
        <v>40000</v>
      </c>
      <c r="I576" s="2">
        <v>80</v>
      </c>
      <c r="J576" s="2" t="s">
        <v>1671</v>
      </c>
      <c r="K576" s="2">
        <v>48</v>
      </c>
      <c r="L576" s="2">
        <v>15</v>
      </c>
      <c r="M576" s="2">
        <v>5</v>
      </c>
      <c r="N576" s="2">
        <v>8</v>
      </c>
      <c r="O576" s="2">
        <v>10</v>
      </c>
      <c r="P576" s="2">
        <v>10</v>
      </c>
      <c r="Q576" s="2" t="s">
        <v>2221</v>
      </c>
      <c r="R576" s="2" t="s">
        <v>2222</v>
      </c>
      <c r="S576" s="4">
        <v>44837</v>
      </c>
    </row>
    <row r="577" spans="1:19" ht="12.5" x14ac:dyDescent="0.25">
      <c r="A577" s="14" t="str">
        <f>HYPERLINK("https://gerandofalcoes.my.salesforce.com/0014X00002OEuamQAD", "0014X00002OEuamQAD")</f>
        <v>0014X00002OEuamQAD</v>
      </c>
      <c r="B577" s="2" t="s">
        <v>2612</v>
      </c>
      <c r="C577" s="2" t="s">
        <v>1800</v>
      </c>
      <c r="D577" s="2" t="s">
        <v>2</v>
      </c>
      <c r="E577" s="2">
        <v>19</v>
      </c>
      <c r="F577" s="2">
        <v>0</v>
      </c>
      <c r="G577" s="2">
        <v>4</v>
      </c>
      <c r="H577" s="2">
        <v>7000</v>
      </c>
      <c r="I577" s="2">
        <v>0</v>
      </c>
      <c r="J577" s="2" t="s">
        <v>1779</v>
      </c>
      <c r="K577" s="2">
        <v>25</v>
      </c>
      <c r="L577" s="2">
        <v>10</v>
      </c>
      <c r="M577" s="2">
        <v>0</v>
      </c>
      <c r="N577" s="2">
        <v>10</v>
      </c>
      <c r="O577" s="2">
        <v>5</v>
      </c>
      <c r="P577" s="2">
        <v>0</v>
      </c>
      <c r="Q577" s="2" t="s">
        <v>2613</v>
      </c>
      <c r="R577" s="2" t="s">
        <v>2613</v>
      </c>
      <c r="S577" s="4">
        <v>44837</v>
      </c>
    </row>
    <row r="578" spans="1:19" ht="12.5" x14ac:dyDescent="0.25">
      <c r="A578" s="14" t="str">
        <f>HYPERLINK("https://gerandofalcoes.my.salesforce.com/0014X00002OEuaoQAD", "0014X00002OEuaoQAD")</f>
        <v>0014X00002OEuaoQAD</v>
      </c>
      <c r="B578" s="2" t="s">
        <v>2749</v>
      </c>
      <c r="C578" s="2" t="s">
        <v>1800</v>
      </c>
      <c r="D578" s="2" t="s">
        <v>2</v>
      </c>
      <c r="E578" s="2">
        <v>14</v>
      </c>
      <c r="F578" s="2">
        <v>0</v>
      </c>
      <c r="G578" s="2">
        <v>2</v>
      </c>
      <c r="H578" s="2">
        <v>0</v>
      </c>
      <c r="I578" s="2">
        <v>230</v>
      </c>
      <c r="J578" s="2" t="s">
        <v>1779</v>
      </c>
      <c r="K578" s="2">
        <v>28</v>
      </c>
      <c r="L578" s="2">
        <v>10</v>
      </c>
      <c r="M578" s="2">
        <v>0</v>
      </c>
      <c r="N578" s="2">
        <v>6</v>
      </c>
      <c r="O578" s="2">
        <v>0</v>
      </c>
      <c r="P578" s="2">
        <v>12</v>
      </c>
      <c r="Q578" s="2" t="s">
        <v>2750</v>
      </c>
      <c r="R578" s="2" t="s">
        <v>2751</v>
      </c>
      <c r="S578" s="4">
        <v>44837</v>
      </c>
    </row>
    <row r="579" spans="1:19" ht="12.5" x14ac:dyDescent="0.25">
      <c r="A579" s="14" t="str">
        <f>HYPERLINK("https://gerandofalcoes.my.salesforce.com/0014X00002OEuapQAD", "0014X00002OEuapQAD")</f>
        <v>0014X00002OEuapQAD</v>
      </c>
      <c r="B579" s="2" t="s">
        <v>2732</v>
      </c>
      <c r="C579" s="2" t="s">
        <v>1800</v>
      </c>
      <c r="D579" s="2" t="s">
        <v>2</v>
      </c>
      <c r="E579" s="2">
        <v>15</v>
      </c>
      <c r="F579" s="2">
        <v>0</v>
      </c>
      <c r="G579" s="2">
        <v>0</v>
      </c>
      <c r="H579" s="2">
        <v>0</v>
      </c>
      <c r="I579" s="2">
        <v>0</v>
      </c>
      <c r="J579" s="2" t="s">
        <v>1779</v>
      </c>
      <c r="K579" s="2">
        <v>10</v>
      </c>
      <c r="L579" s="2">
        <v>10</v>
      </c>
      <c r="M579" s="2">
        <v>0</v>
      </c>
      <c r="N579" s="2">
        <v>0</v>
      </c>
      <c r="O579" s="2">
        <v>0</v>
      </c>
      <c r="P579" s="2">
        <v>0</v>
      </c>
      <c r="Q579" s="2" t="s">
        <v>2733</v>
      </c>
      <c r="R579" s="2" t="s">
        <v>2733</v>
      </c>
      <c r="S579" s="4">
        <v>44837</v>
      </c>
    </row>
    <row r="580" spans="1:19" ht="12.5" x14ac:dyDescent="0.25">
      <c r="A580" s="14" t="str">
        <f>HYPERLINK("https://gerandofalcoes.my.salesforce.com/0014X00002OEuaqQAD", "0014X00002OEuaqQAD")</f>
        <v>0014X00002OEuaqQAD</v>
      </c>
      <c r="B580" s="2" t="s">
        <v>2629</v>
      </c>
      <c r="C580" s="2" t="s">
        <v>423</v>
      </c>
      <c r="D580" s="2" t="s">
        <v>2</v>
      </c>
      <c r="E580" s="2">
        <v>18</v>
      </c>
      <c r="F580" s="2">
        <v>20</v>
      </c>
      <c r="G580" s="2">
        <v>2</v>
      </c>
      <c r="H580" s="2">
        <v>3000</v>
      </c>
      <c r="I580" s="2">
        <v>300</v>
      </c>
      <c r="J580" s="2" t="s">
        <v>1671</v>
      </c>
      <c r="K580" s="2">
        <v>48</v>
      </c>
      <c r="L580" s="2">
        <v>10</v>
      </c>
      <c r="M580" s="2">
        <v>12</v>
      </c>
      <c r="N580" s="2">
        <v>6</v>
      </c>
      <c r="O580" s="2">
        <v>5</v>
      </c>
      <c r="P580" s="2">
        <v>15</v>
      </c>
      <c r="Q580" s="2" t="s">
        <v>2630</v>
      </c>
      <c r="R580" s="2" t="s">
        <v>2631</v>
      </c>
      <c r="S580" s="4">
        <v>44837</v>
      </c>
    </row>
    <row r="581" spans="1:19" ht="12.5" x14ac:dyDescent="0.25">
      <c r="A581" s="14" t="str">
        <f>HYPERLINK("https://gerandofalcoes.my.salesforce.com/0014X00002OEuasQAD", "0014X00002OEuasQAD")</f>
        <v>0014X00002OEuasQAD</v>
      </c>
      <c r="B581" s="2" t="s">
        <v>2420</v>
      </c>
      <c r="C581" s="2" t="s">
        <v>423</v>
      </c>
      <c r="D581" s="2" t="s">
        <v>2</v>
      </c>
      <c r="E581" s="2">
        <v>25</v>
      </c>
      <c r="F581" s="2">
        <v>0</v>
      </c>
      <c r="G581" s="2">
        <v>4</v>
      </c>
      <c r="H581" s="2">
        <v>20000</v>
      </c>
      <c r="I581" s="2">
        <v>0</v>
      </c>
      <c r="J581" s="2" t="s">
        <v>1779</v>
      </c>
      <c r="K581" s="2">
        <v>30</v>
      </c>
      <c r="L581" s="2">
        <v>15</v>
      </c>
      <c r="M581" s="2">
        <v>0</v>
      </c>
      <c r="N581" s="2">
        <v>10</v>
      </c>
      <c r="O581" s="2">
        <v>5</v>
      </c>
      <c r="P581" s="2">
        <v>0</v>
      </c>
      <c r="Q581" s="2" t="s">
        <v>2421</v>
      </c>
      <c r="R581" s="2" t="s">
        <v>2422</v>
      </c>
      <c r="S581" s="4">
        <v>44837</v>
      </c>
    </row>
    <row r="582" spans="1:19" ht="12.5" x14ac:dyDescent="0.25">
      <c r="A582" s="14" t="str">
        <f>HYPERLINK("https://gerandofalcoes.my.salesforce.com/0014X00002OEuawQAD", "0014X00002OEuawQAD")</f>
        <v>0014X00002OEuawQAD</v>
      </c>
      <c r="B582" s="2" t="s">
        <v>1995</v>
      </c>
      <c r="C582" s="2" t="s">
        <v>1800</v>
      </c>
      <c r="D582" s="2" t="s">
        <v>2</v>
      </c>
      <c r="E582" s="2">
        <v>39</v>
      </c>
      <c r="F582" s="2">
        <v>13</v>
      </c>
      <c r="G582" s="2">
        <v>3</v>
      </c>
      <c r="H582" s="2">
        <v>120000</v>
      </c>
      <c r="I582" s="2">
        <v>130</v>
      </c>
      <c r="J582" s="2" t="s">
        <v>1671</v>
      </c>
      <c r="K582" s="2">
        <v>60</v>
      </c>
      <c r="L582" s="2">
        <v>15</v>
      </c>
      <c r="M582" s="2">
        <v>12</v>
      </c>
      <c r="N582" s="2">
        <v>8</v>
      </c>
      <c r="O582" s="2">
        <v>15</v>
      </c>
      <c r="P582" s="2">
        <v>10</v>
      </c>
      <c r="Q582" s="2" t="s">
        <v>1996</v>
      </c>
      <c r="R582" s="2" t="s">
        <v>1997</v>
      </c>
      <c r="S582" s="4">
        <v>44837</v>
      </c>
    </row>
    <row r="583" spans="1:19" ht="12.5" x14ac:dyDescent="0.25">
      <c r="A583" s="14" t="str">
        <f>HYPERLINK("https://gerandofalcoes.my.salesforce.com/0014X00002OFqnrQAD", "0014X00002OFqnrQAD")</f>
        <v>0014X00002OFqnrQAD</v>
      </c>
      <c r="B583" s="2" t="s">
        <v>1791</v>
      </c>
      <c r="C583" s="2" t="s">
        <v>1684</v>
      </c>
      <c r="D583" s="2" t="s">
        <v>27</v>
      </c>
      <c r="E583" s="2">
        <v>56</v>
      </c>
      <c r="F583" s="2">
        <v>0</v>
      </c>
      <c r="G583" s="2">
        <v>0</v>
      </c>
      <c r="H583" s="2">
        <v>0</v>
      </c>
      <c r="I583" s="2">
        <v>0</v>
      </c>
      <c r="J583" s="2" t="s">
        <v>1779</v>
      </c>
      <c r="K583" s="2">
        <v>20</v>
      </c>
      <c r="L583" s="2">
        <v>20</v>
      </c>
      <c r="M583" s="2">
        <v>0</v>
      </c>
      <c r="N583" s="2">
        <v>0</v>
      </c>
      <c r="O583" s="2">
        <v>0</v>
      </c>
      <c r="P583" s="2">
        <v>0</v>
      </c>
      <c r="Q583" s="2"/>
      <c r="R583" s="2"/>
      <c r="S583" s="4">
        <v>44837</v>
      </c>
    </row>
    <row r="584" spans="1:19" ht="12.5" x14ac:dyDescent="0.25">
      <c r="A584" s="14" t="str">
        <f>HYPERLINK("https://gerandofalcoes.my.salesforce.com/0014X00002cUXt4QAG", "0014X00002cUXt4QAG")</f>
        <v>0014X00002cUXt4QAG</v>
      </c>
      <c r="B584" s="2" t="s">
        <v>7176</v>
      </c>
      <c r="C584" s="2" t="s">
        <v>1684</v>
      </c>
      <c r="D584" s="2" t="s">
        <v>2</v>
      </c>
      <c r="E584" s="2">
        <v>10</v>
      </c>
      <c r="F584" s="2">
        <v>0</v>
      </c>
      <c r="G584" s="2">
        <v>6</v>
      </c>
      <c r="H584" s="2">
        <v>148600</v>
      </c>
      <c r="I584" s="2">
        <v>526</v>
      </c>
      <c r="J584" s="2" t="s">
        <v>1671</v>
      </c>
      <c r="K584" s="2">
        <v>60</v>
      </c>
      <c r="L584" s="2">
        <v>15</v>
      </c>
      <c r="M584" s="2">
        <v>0</v>
      </c>
      <c r="N584" s="2">
        <v>10</v>
      </c>
      <c r="O584" s="2">
        <v>15</v>
      </c>
      <c r="P584" s="2">
        <v>20</v>
      </c>
      <c r="Q584" s="2" t="s">
        <v>7177</v>
      </c>
      <c r="R584" s="2" t="s">
        <v>3814</v>
      </c>
      <c r="S584" s="4">
        <v>44837</v>
      </c>
    </row>
    <row r="585" spans="1:19" ht="12.5" x14ac:dyDescent="0.25">
      <c r="A585" s="14" t="str">
        <f>HYPERLINK("https://gerandofalcoes.my.salesforce.com/0014X00002QTWZVQA5", "0014X00002QTWZVQA5")</f>
        <v>0014X00002QTWZVQA5</v>
      </c>
      <c r="B585" s="2" t="s">
        <v>2662</v>
      </c>
      <c r="C585" s="2" t="s">
        <v>1800</v>
      </c>
      <c r="D585" s="2" t="s">
        <v>2</v>
      </c>
      <c r="E585" s="2">
        <v>17</v>
      </c>
      <c r="F585" s="2">
        <v>4</v>
      </c>
      <c r="G585" s="2">
        <v>3</v>
      </c>
      <c r="H585" s="2">
        <v>69000</v>
      </c>
      <c r="I585" s="2">
        <v>35</v>
      </c>
      <c r="J585" s="2" t="s">
        <v>1779</v>
      </c>
      <c r="K585" s="2">
        <v>38</v>
      </c>
      <c r="L585" s="2">
        <v>10</v>
      </c>
      <c r="M585" s="2">
        <v>5</v>
      </c>
      <c r="N585" s="2">
        <v>8</v>
      </c>
      <c r="O585" s="2">
        <v>10</v>
      </c>
      <c r="P585" s="2">
        <v>5</v>
      </c>
      <c r="Q585" s="2" t="s">
        <v>2663</v>
      </c>
      <c r="R585" s="2" t="s">
        <v>2664</v>
      </c>
      <c r="S585" s="4">
        <v>44837</v>
      </c>
    </row>
    <row r="586" spans="1:19" ht="12.5" x14ac:dyDescent="0.25">
      <c r="A586" s="14" t="str">
        <f>HYPERLINK("https://gerandofalcoes.my.salesforce.com/0014X00002PUOTvQAP", "0014X00002PUOTvQAP")</f>
        <v>0014X00002PUOTvQAP</v>
      </c>
      <c r="B586" s="2" t="s">
        <v>1883</v>
      </c>
      <c r="C586" s="2" t="s">
        <v>1800</v>
      </c>
      <c r="D586" s="2" t="s">
        <v>2</v>
      </c>
      <c r="E586" s="2">
        <v>44</v>
      </c>
      <c r="F586" s="2">
        <v>3</v>
      </c>
      <c r="G586" s="2">
        <v>1</v>
      </c>
      <c r="H586" s="2">
        <v>150000</v>
      </c>
      <c r="I586" s="2">
        <v>800</v>
      </c>
      <c r="J586" s="2" t="s">
        <v>1671</v>
      </c>
      <c r="K586" s="2">
        <v>59</v>
      </c>
      <c r="L586" s="2">
        <v>15</v>
      </c>
      <c r="M586" s="2">
        <v>5</v>
      </c>
      <c r="N586" s="2">
        <v>4</v>
      </c>
      <c r="O586" s="2">
        <v>15</v>
      </c>
      <c r="P586" s="2">
        <v>20</v>
      </c>
      <c r="Q586" s="2" t="s">
        <v>1884</v>
      </c>
      <c r="R586" s="2" t="s">
        <v>424</v>
      </c>
      <c r="S586" s="4">
        <v>44837</v>
      </c>
    </row>
    <row r="587" spans="1:19" ht="12.5" x14ac:dyDescent="0.25">
      <c r="A587" s="14" t="str">
        <f>HYPERLINK("https://gerandofalcoes.my.salesforce.com/0014X00002PUOaDQAX", "0014X00002PUOaDQAX")</f>
        <v>0014X00002PUOaDQAX</v>
      </c>
      <c r="B587" s="2" t="s">
        <v>1767</v>
      </c>
      <c r="C587" s="2" t="s">
        <v>423</v>
      </c>
      <c r="D587" s="2" t="s">
        <v>2</v>
      </c>
      <c r="E587" s="2">
        <v>80</v>
      </c>
      <c r="F587" s="2">
        <v>11</v>
      </c>
      <c r="G587" s="2">
        <v>10</v>
      </c>
      <c r="H587" s="2">
        <v>30139720</v>
      </c>
      <c r="I587" s="2">
        <v>139</v>
      </c>
      <c r="J587" s="2" t="s">
        <v>1654</v>
      </c>
      <c r="K587" s="2">
        <v>82</v>
      </c>
      <c r="L587" s="2">
        <v>25</v>
      </c>
      <c r="M587" s="2">
        <v>12</v>
      </c>
      <c r="N587" s="2">
        <v>10</v>
      </c>
      <c r="O587" s="2">
        <v>25</v>
      </c>
      <c r="P587" s="2">
        <v>10</v>
      </c>
      <c r="Q587" s="2" t="s">
        <v>439</v>
      </c>
      <c r="R587" s="2" t="s">
        <v>439</v>
      </c>
      <c r="S587" s="4">
        <v>44837</v>
      </c>
    </row>
    <row r="588" spans="1:19" ht="12.5" x14ac:dyDescent="0.25">
      <c r="A588" s="14" t="str">
        <f>HYPERLINK("https://gerandofalcoes.my.salesforce.com/0014X00002PUOUaQAP", "0014X00002PUOUaQAP")</f>
        <v>0014X00002PUOUaQAP</v>
      </c>
      <c r="B588" s="2" t="s">
        <v>8</v>
      </c>
      <c r="C588" s="2" t="s">
        <v>423</v>
      </c>
      <c r="D588" s="2" t="s">
        <v>2</v>
      </c>
      <c r="E588" s="2">
        <v>30.77</v>
      </c>
      <c r="F588" s="2">
        <v>2</v>
      </c>
      <c r="G588" s="2">
        <v>1</v>
      </c>
      <c r="H588" s="2">
        <v>24000</v>
      </c>
      <c r="I588" s="2">
        <v>200</v>
      </c>
      <c r="J588" s="2" t="s">
        <v>1671</v>
      </c>
      <c r="K588" s="2">
        <v>41</v>
      </c>
      <c r="L588" s="2">
        <v>15</v>
      </c>
      <c r="M588" s="2">
        <v>5</v>
      </c>
      <c r="N588" s="2">
        <v>4</v>
      </c>
      <c r="O588" s="2">
        <v>5</v>
      </c>
      <c r="P588" s="2">
        <v>12</v>
      </c>
      <c r="Q588" s="2" t="s">
        <v>2252</v>
      </c>
      <c r="R588" s="2" t="s">
        <v>2252</v>
      </c>
      <c r="S588" s="4">
        <v>44837</v>
      </c>
    </row>
    <row r="589" spans="1:19" ht="12.5" x14ac:dyDescent="0.25">
      <c r="A589" s="14" t="str">
        <f>HYPERLINK("https://gerandofalcoes.my.salesforce.com/0014X00002PUObkQAH", "0014X00002PUObkQAH")</f>
        <v>0014X00002PUObkQAH</v>
      </c>
      <c r="B589" s="2" t="s">
        <v>2065</v>
      </c>
      <c r="C589" s="2" t="s">
        <v>423</v>
      </c>
      <c r="D589" s="2" t="s">
        <v>2</v>
      </c>
      <c r="E589" s="2">
        <v>39</v>
      </c>
      <c r="F589" s="2">
        <v>0</v>
      </c>
      <c r="G589" s="2">
        <v>2</v>
      </c>
      <c r="H589" s="2">
        <v>3520653</v>
      </c>
      <c r="I589" s="2">
        <v>313</v>
      </c>
      <c r="J589" s="2" t="s">
        <v>1671</v>
      </c>
      <c r="K589" s="2">
        <v>61</v>
      </c>
      <c r="L589" s="2">
        <v>15</v>
      </c>
      <c r="M589" s="2">
        <v>0</v>
      </c>
      <c r="N589" s="2">
        <v>6</v>
      </c>
      <c r="O589" s="2">
        <v>25</v>
      </c>
      <c r="P589" s="2">
        <v>15</v>
      </c>
      <c r="Q589" s="2" t="s">
        <v>2066</v>
      </c>
      <c r="R589" s="2" t="s">
        <v>477</v>
      </c>
      <c r="S589" s="4">
        <v>44837</v>
      </c>
    </row>
    <row r="590" spans="1:19" ht="12.5" x14ac:dyDescent="0.25">
      <c r="A590" s="14" t="str">
        <f>HYPERLINK("https://gerandofalcoes.my.salesforce.com/0014X00002PUOdWQAX", "0014X00002PUOdWQAX")</f>
        <v>0014X00002PUOdWQAX</v>
      </c>
      <c r="B590" s="2" t="s">
        <v>22</v>
      </c>
      <c r="C590" s="2" t="s">
        <v>423</v>
      </c>
      <c r="D590" s="2" t="s">
        <v>2</v>
      </c>
      <c r="E590" s="2">
        <v>29</v>
      </c>
      <c r="F590" s="2">
        <v>10</v>
      </c>
      <c r="G590" s="2">
        <v>0</v>
      </c>
      <c r="H590" s="2">
        <v>0</v>
      </c>
      <c r="I590" s="2">
        <v>100</v>
      </c>
      <c r="J590" s="2" t="s">
        <v>1779</v>
      </c>
      <c r="K590" s="2">
        <v>35</v>
      </c>
      <c r="L590" s="2">
        <v>15</v>
      </c>
      <c r="M590" s="2">
        <v>10</v>
      </c>
      <c r="N590" s="2">
        <v>0</v>
      </c>
      <c r="O590" s="2">
        <v>0</v>
      </c>
      <c r="P590" s="2">
        <v>10</v>
      </c>
      <c r="Q590" s="2" t="s">
        <v>485</v>
      </c>
      <c r="R590" s="2" t="s">
        <v>485</v>
      </c>
      <c r="S590" s="4">
        <v>44837</v>
      </c>
    </row>
    <row r="591" spans="1:19" ht="12.5" x14ac:dyDescent="0.25">
      <c r="A591" s="14" t="str">
        <f>HYPERLINK("https://gerandofalcoes.my.salesforce.com/0014P00003YSp7OQAT", "0014P00003YSp7OQAT")</f>
        <v>0014P00003YSp7OQAT</v>
      </c>
      <c r="B591" s="2" t="s">
        <v>2694</v>
      </c>
      <c r="C591" s="2" t="s">
        <v>423</v>
      </c>
      <c r="D591" s="2" t="s">
        <v>2</v>
      </c>
      <c r="E591" s="2">
        <v>22</v>
      </c>
      <c r="F591" s="2">
        <v>5</v>
      </c>
      <c r="G591" s="2">
        <v>1</v>
      </c>
      <c r="H591" s="2">
        <v>20785</v>
      </c>
      <c r="I591" s="2">
        <v>20</v>
      </c>
      <c r="J591" s="2" t="s">
        <v>1779</v>
      </c>
      <c r="K591" s="2">
        <v>29</v>
      </c>
      <c r="L591" s="2">
        <v>10</v>
      </c>
      <c r="M591" s="2">
        <v>5</v>
      </c>
      <c r="N591" s="2">
        <v>4</v>
      </c>
      <c r="O591" s="2">
        <v>5</v>
      </c>
      <c r="P591" s="2">
        <v>5</v>
      </c>
      <c r="Q591" s="2" t="s">
        <v>2695</v>
      </c>
      <c r="R591" s="2" t="s">
        <v>2696</v>
      </c>
      <c r="S591" s="4">
        <v>44837</v>
      </c>
    </row>
    <row r="592" spans="1:19" ht="12.5" x14ac:dyDescent="0.25">
      <c r="A592" s="14" t="str">
        <f>HYPERLINK("https://gerandofalcoes.my.salesforce.com/0014P00003YSp7PQAT", "0014P00003YSp7PQAT")</f>
        <v>0014P00003YSp7PQAT</v>
      </c>
      <c r="B592" s="2" t="s">
        <v>1807</v>
      </c>
      <c r="C592" s="2" t="s">
        <v>423</v>
      </c>
      <c r="D592" s="2" t="s">
        <v>2</v>
      </c>
      <c r="E592" s="2">
        <v>41</v>
      </c>
      <c r="F592" s="2">
        <v>5</v>
      </c>
      <c r="G592" s="2">
        <v>4</v>
      </c>
      <c r="H592" s="2">
        <v>465000</v>
      </c>
      <c r="I592" s="2">
        <v>55</v>
      </c>
      <c r="J592" s="2" t="s">
        <v>1671</v>
      </c>
      <c r="K592" s="2">
        <v>55</v>
      </c>
      <c r="L592" s="2">
        <v>15</v>
      </c>
      <c r="M592" s="2">
        <v>5</v>
      </c>
      <c r="N592" s="2">
        <v>10</v>
      </c>
      <c r="O592" s="2">
        <v>20</v>
      </c>
      <c r="P592" s="2">
        <v>5</v>
      </c>
      <c r="Q592" s="2" t="s">
        <v>1808</v>
      </c>
      <c r="R592" s="2" t="s">
        <v>1809</v>
      </c>
      <c r="S592" s="4">
        <v>44837</v>
      </c>
    </row>
    <row r="593" spans="1:19" ht="12.5" x14ac:dyDescent="0.25">
      <c r="A593" s="14" t="str">
        <f>HYPERLINK("https://gerandofalcoes.my.salesforce.com/0014X00002VKCuUQAX", "0014X00002VKCuUQAX")</f>
        <v>0014X00002VKCuUQAX</v>
      </c>
      <c r="B593" s="2" t="s">
        <v>2860</v>
      </c>
      <c r="C593" s="2" t="s">
        <v>1800</v>
      </c>
      <c r="D593" s="2" t="s">
        <v>2</v>
      </c>
      <c r="E593" s="2">
        <v>10</v>
      </c>
      <c r="F593" s="2">
        <v>83</v>
      </c>
      <c r="G593" s="2">
        <v>8</v>
      </c>
      <c r="H593" s="2">
        <v>0</v>
      </c>
      <c r="I593" s="2">
        <v>5</v>
      </c>
      <c r="J593" s="2" t="s">
        <v>1671</v>
      </c>
      <c r="K593" s="2">
        <v>40</v>
      </c>
      <c r="L593" s="2">
        <v>10</v>
      </c>
      <c r="M593" s="2">
        <v>15</v>
      </c>
      <c r="N593" s="2">
        <v>10</v>
      </c>
      <c r="O593" s="2">
        <v>0</v>
      </c>
      <c r="P593" s="2">
        <v>5</v>
      </c>
      <c r="Q593" s="2" t="s">
        <v>2861</v>
      </c>
      <c r="R593" s="2" t="s">
        <v>2862</v>
      </c>
      <c r="S593" s="4">
        <v>44837</v>
      </c>
    </row>
    <row r="594" spans="1:19" ht="12.5" x14ac:dyDescent="0.25">
      <c r="A594" s="14" t="str">
        <f>HYPERLINK("https://gerandofalcoes.my.salesforce.com/0014X00002VKCpNQAX", "0014X00002VKCpNQAX")</f>
        <v>0014X00002VKCpNQAX</v>
      </c>
      <c r="B594" s="2" t="s">
        <v>2185</v>
      </c>
      <c r="C594" s="2" t="s">
        <v>1800</v>
      </c>
      <c r="D594" s="2" t="s">
        <v>2</v>
      </c>
      <c r="E594" s="2">
        <v>33</v>
      </c>
      <c r="F594" s="2">
        <v>0</v>
      </c>
      <c r="G594" s="2">
        <v>4</v>
      </c>
      <c r="H594" s="2">
        <v>800</v>
      </c>
      <c r="I594" s="2">
        <v>25</v>
      </c>
      <c r="J594" s="2" t="s">
        <v>1779</v>
      </c>
      <c r="K594" s="2">
        <v>35</v>
      </c>
      <c r="L594" s="2">
        <v>15</v>
      </c>
      <c r="M594" s="2">
        <v>0</v>
      </c>
      <c r="N594" s="2">
        <v>10</v>
      </c>
      <c r="O594" s="2">
        <v>5</v>
      </c>
      <c r="P594" s="2">
        <v>5</v>
      </c>
      <c r="Q594" s="2" t="s">
        <v>2186</v>
      </c>
      <c r="R594" s="2" t="s">
        <v>2187</v>
      </c>
      <c r="S594" s="4">
        <v>44837</v>
      </c>
    </row>
    <row r="595" spans="1:19" ht="12.5" x14ac:dyDescent="0.25">
      <c r="A595" s="14" t="str">
        <f>HYPERLINK("https://gerandofalcoes.my.salesforce.com/0014X00002VKCuYQAX", "0014X00002VKCuYQAX")</f>
        <v>0014X00002VKCuYQAX</v>
      </c>
      <c r="B595" s="2" t="s">
        <v>2049</v>
      </c>
      <c r="C595" s="2" t="s">
        <v>423</v>
      </c>
      <c r="D595" s="2" t="s">
        <v>2</v>
      </c>
      <c r="E595" s="2">
        <v>37</v>
      </c>
      <c r="F595" s="2">
        <v>0</v>
      </c>
      <c r="G595" s="2">
        <v>4</v>
      </c>
      <c r="H595" s="2">
        <v>2500</v>
      </c>
      <c r="I595" s="2">
        <v>55</v>
      </c>
      <c r="J595" s="2" t="s">
        <v>1779</v>
      </c>
      <c r="K595" s="2">
        <v>35</v>
      </c>
      <c r="L595" s="2">
        <v>15</v>
      </c>
      <c r="M595" s="2">
        <v>0</v>
      </c>
      <c r="N595" s="2">
        <v>10</v>
      </c>
      <c r="O595" s="2">
        <v>5</v>
      </c>
      <c r="P595" s="2">
        <v>5</v>
      </c>
      <c r="Q595" s="2" t="s">
        <v>2050</v>
      </c>
      <c r="R595" s="2" t="s">
        <v>2050</v>
      </c>
      <c r="S595" s="4">
        <v>44837</v>
      </c>
    </row>
    <row r="596" spans="1:19" ht="12.5" x14ac:dyDescent="0.25">
      <c r="A596" s="14" t="str">
        <f>HYPERLINK("https://gerandofalcoes.my.salesforce.com/0014P00003YSp7yQAD", "0014P00003YSp7yQAD")</f>
        <v>0014P00003YSp7yQAD</v>
      </c>
      <c r="B596" s="2" t="s">
        <v>2823</v>
      </c>
      <c r="C596" s="2" t="s">
        <v>423</v>
      </c>
      <c r="D596" s="2" t="s">
        <v>2</v>
      </c>
      <c r="E596" s="2">
        <v>12</v>
      </c>
      <c r="F596" s="2">
        <v>0</v>
      </c>
      <c r="G596" s="2">
        <v>3</v>
      </c>
      <c r="H596" s="2">
        <v>10000</v>
      </c>
      <c r="I596" s="2">
        <v>200</v>
      </c>
      <c r="J596" s="2" t="s">
        <v>1779</v>
      </c>
      <c r="K596" s="2">
        <v>35</v>
      </c>
      <c r="L596" s="2">
        <v>10</v>
      </c>
      <c r="M596" s="2">
        <v>0</v>
      </c>
      <c r="N596" s="2">
        <v>8</v>
      </c>
      <c r="O596" s="2">
        <v>5</v>
      </c>
      <c r="P596" s="2">
        <v>12</v>
      </c>
      <c r="Q596" s="2" t="s">
        <v>2824</v>
      </c>
      <c r="R596" s="2" t="s">
        <v>2825</v>
      </c>
      <c r="S596" s="4">
        <v>44837</v>
      </c>
    </row>
    <row r="597" spans="1:19" ht="12.5" x14ac:dyDescent="0.25">
      <c r="A597" s="14" t="str">
        <f>HYPERLINK("https://gerandofalcoes.my.salesforce.com/0014P00003YSp7zQAD", "0014P00003YSp7zQAD")</f>
        <v>0014P00003YSp7zQAD</v>
      </c>
      <c r="B597" s="2" t="s">
        <v>2441</v>
      </c>
      <c r="C597" s="2" t="s">
        <v>1800</v>
      </c>
      <c r="D597" s="2" t="s">
        <v>2</v>
      </c>
      <c r="E597" s="2">
        <v>24</v>
      </c>
      <c r="F597" s="2">
        <v>1</v>
      </c>
      <c r="G597" s="2">
        <v>0</v>
      </c>
      <c r="H597" s="2">
        <v>380000</v>
      </c>
      <c r="I597" s="2">
        <v>780</v>
      </c>
      <c r="J597" s="2" t="s">
        <v>1671</v>
      </c>
      <c r="K597" s="2">
        <v>55</v>
      </c>
      <c r="L597" s="2">
        <v>10</v>
      </c>
      <c r="M597" s="2">
        <v>5</v>
      </c>
      <c r="N597" s="2">
        <v>0</v>
      </c>
      <c r="O597" s="2">
        <v>20</v>
      </c>
      <c r="P597" s="2">
        <v>20</v>
      </c>
      <c r="Q597" s="2" t="s">
        <v>2442</v>
      </c>
      <c r="R597" s="2" t="s">
        <v>2443</v>
      </c>
      <c r="S597" s="4">
        <v>44837</v>
      </c>
    </row>
    <row r="598" spans="1:19" ht="12.5" x14ac:dyDescent="0.25">
      <c r="A598" s="14" t="str">
        <f>HYPERLINK("https://gerandofalcoes.my.salesforce.com/0014P00003YSp81QAD", "0014P00003YSp81QAD")</f>
        <v>0014P00003YSp81QAD</v>
      </c>
      <c r="B598" s="2" t="s">
        <v>1992</v>
      </c>
      <c r="C598" s="2" t="s">
        <v>1800</v>
      </c>
      <c r="D598" s="2" t="s">
        <v>2</v>
      </c>
      <c r="E598" s="2">
        <v>39</v>
      </c>
      <c r="F598" s="2">
        <v>0</v>
      </c>
      <c r="G598" s="2">
        <v>2</v>
      </c>
      <c r="H598" s="2">
        <v>5000</v>
      </c>
      <c r="I598" s="2">
        <v>150</v>
      </c>
      <c r="J598" s="2" t="s">
        <v>1779</v>
      </c>
      <c r="K598" s="2">
        <v>38</v>
      </c>
      <c r="L598" s="2">
        <v>15</v>
      </c>
      <c r="M598" s="2">
        <v>0</v>
      </c>
      <c r="N598" s="2">
        <v>6</v>
      </c>
      <c r="O598" s="2">
        <v>5</v>
      </c>
      <c r="P598" s="2">
        <v>12</v>
      </c>
      <c r="Q598" s="2" t="s">
        <v>1993</v>
      </c>
      <c r="R598" s="2" t="s">
        <v>1994</v>
      </c>
      <c r="S598" s="4">
        <v>44837</v>
      </c>
    </row>
    <row r="599" spans="1:19" ht="12.5" x14ac:dyDescent="0.25">
      <c r="A599" s="14" t="str">
        <f>HYPERLINK("https://gerandofalcoes.my.salesforce.com/0014P00003YSp82QAD", "0014P00003YSp82QAD")</f>
        <v>0014P00003YSp82QAD</v>
      </c>
      <c r="B599" s="2" t="s">
        <v>2362</v>
      </c>
      <c r="C599" s="2" t="s">
        <v>423</v>
      </c>
      <c r="D599" s="2" t="s">
        <v>2</v>
      </c>
      <c r="E599" s="2">
        <v>25</v>
      </c>
      <c r="F599" s="2">
        <v>9</v>
      </c>
      <c r="G599" s="2">
        <v>5</v>
      </c>
      <c r="H599" s="2">
        <v>5224158</v>
      </c>
      <c r="I599" s="2">
        <v>80</v>
      </c>
      <c r="J599" s="2" t="s">
        <v>1650</v>
      </c>
      <c r="K599" s="2">
        <v>70</v>
      </c>
      <c r="L599" s="2">
        <v>15</v>
      </c>
      <c r="M599" s="2">
        <v>10</v>
      </c>
      <c r="N599" s="2">
        <v>10</v>
      </c>
      <c r="O599" s="2">
        <v>25</v>
      </c>
      <c r="P599" s="2">
        <v>10</v>
      </c>
      <c r="Q599" s="2" t="s">
        <v>2363</v>
      </c>
      <c r="R599" s="2" t="s">
        <v>2364</v>
      </c>
      <c r="S599" s="4">
        <v>44837</v>
      </c>
    </row>
    <row r="600" spans="1:19" ht="12.5" x14ac:dyDescent="0.25">
      <c r="A600" s="14" t="str">
        <f>HYPERLINK("https://gerandofalcoes.my.salesforce.com/0014P00003YSp83QAD", "0014P00003YSp83QAD")</f>
        <v>0014P00003YSp83QAD</v>
      </c>
      <c r="B600" s="2" t="s">
        <v>1727</v>
      </c>
      <c r="C600" s="2" t="s">
        <v>423</v>
      </c>
      <c r="D600" s="2" t="s">
        <v>2</v>
      </c>
      <c r="E600" s="2">
        <v>45</v>
      </c>
      <c r="F600" s="2">
        <v>3</v>
      </c>
      <c r="G600" s="2">
        <v>2</v>
      </c>
      <c r="H600" s="2">
        <v>15844866</v>
      </c>
      <c r="I600" s="2">
        <v>502</v>
      </c>
      <c r="J600" s="2" t="s">
        <v>1650</v>
      </c>
      <c r="K600" s="2">
        <v>71</v>
      </c>
      <c r="L600" s="2">
        <v>15</v>
      </c>
      <c r="M600" s="2">
        <v>5</v>
      </c>
      <c r="N600" s="2">
        <v>6</v>
      </c>
      <c r="O600" s="2">
        <v>25</v>
      </c>
      <c r="P600" s="2">
        <v>20</v>
      </c>
      <c r="Q600" s="2" t="s">
        <v>1728</v>
      </c>
      <c r="R600" s="2" t="s">
        <v>1729</v>
      </c>
      <c r="S600" s="4">
        <v>44837</v>
      </c>
    </row>
    <row r="601" spans="1:19" ht="12.5" x14ac:dyDescent="0.25">
      <c r="A601" s="14" t="str">
        <f>HYPERLINK("https://gerandofalcoes.my.salesforce.com/0014P00003YSp84QAD", "0014P00003YSp84QAD")</f>
        <v>0014P00003YSp84QAD</v>
      </c>
      <c r="B601" s="2" t="s">
        <v>2454</v>
      </c>
      <c r="C601" s="2" t="s">
        <v>423</v>
      </c>
      <c r="D601" s="2" t="s">
        <v>2</v>
      </c>
      <c r="E601" s="2">
        <v>35</v>
      </c>
      <c r="F601" s="2">
        <v>0</v>
      </c>
      <c r="G601" s="2">
        <v>0</v>
      </c>
      <c r="H601" s="2">
        <v>0</v>
      </c>
      <c r="I601" s="2">
        <v>203</v>
      </c>
      <c r="J601" s="2" t="s">
        <v>1779</v>
      </c>
      <c r="K601" s="2">
        <v>27</v>
      </c>
      <c r="L601" s="2">
        <v>15</v>
      </c>
      <c r="M601" s="2">
        <v>0</v>
      </c>
      <c r="N601" s="2">
        <v>0</v>
      </c>
      <c r="O601" s="2">
        <v>0</v>
      </c>
      <c r="P601" s="2">
        <v>12</v>
      </c>
      <c r="Q601" s="2" t="s">
        <v>2455</v>
      </c>
      <c r="R601" s="2" t="s">
        <v>2456</v>
      </c>
      <c r="S601" s="4">
        <v>44837</v>
      </c>
    </row>
    <row r="602" spans="1:19" ht="12.5" x14ac:dyDescent="0.25">
      <c r="A602" s="14" t="str">
        <f>HYPERLINK("https://gerandofalcoes.my.salesforce.com/0014P00003YSp86QAD", "0014P00003YSp86QAD")</f>
        <v>0014P00003YSp86QAD</v>
      </c>
      <c r="B602" s="2" t="s">
        <v>2514</v>
      </c>
      <c r="C602" s="2" t="s">
        <v>1800</v>
      </c>
      <c r="D602" s="2" t="s">
        <v>2</v>
      </c>
      <c r="E602" s="2">
        <v>21</v>
      </c>
      <c r="F602" s="2">
        <v>0</v>
      </c>
      <c r="G602" s="2">
        <v>2</v>
      </c>
      <c r="H602" s="2">
        <v>10000</v>
      </c>
      <c r="I602" s="2">
        <v>100</v>
      </c>
      <c r="J602" s="2" t="s">
        <v>1779</v>
      </c>
      <c r="K602" s="2">
        <v>31</v>
      </c>
      <c r="L602" s="2">
        <v>10</v>
      </c>
      <c r="M602" s="2">
        <v>0</v>
      </c>
      <c r="N602" s="2">
        <v>6</v>
      </c>
      <c r="O602" s="2">
        <v>5</v>
      </c>
      <c r="P602" s="2">
        <v>10</v>
      </c>
      <c r="Q602" s="2" t="s">
        <v>2515</v>
      </c>
      <c r="R602" s="2" t="s">
        <v>2515</v>
      </c>
      <c r="S602" s="4">
        <v>44837</v>
      </c>
    </row>
    <row r="603" spans="1:19" ht="12.5" x14ac:dyDescent="0.25">
      <c r="A603" s="14" t="str">
        <f>HYPERLINK("https://gerandofalcoes.my.salesforce.com/0014P00003YSp87QAD", "0014P00003YSp87QAD")</f>
        <v>0014P00003YSp87QAD</v>
      </c>
      <c r="B603" s="2" t="s">
        <v>1755</v>
      </c>
      <c r="C603" s="2" t="s">
        <v>423</v>
      </c>
      <c r="D603" s="2" t="s">
        <v>2</v>
      </c>
      <c r="E603" s="2">
        <v>41</v>
      </c>
      <c r="F603" s="2">
        <v>19</v>
      </c>
      <c r="G603" s="2">
        <v>3</v>
      </c>
      <c r="H603" s="2">
        <v>223000</v>
      </c>
      <c r="I603" s="2">
        <v>50</v>
      </c>
      <c r="J603" s="2" t="s">
        <v>1671</v>
      </c>
      <c r="K603" s="2">
        <v>55</v>
      </c>
      <c r="L603" s="2">
        <v>15</v>
      </c>
      <c r="M603" s="2">
        <v>12</v>
      </c>
      <c r="N603" s="2">
        <v>8</v>
      </c>
      <c r="O603" s="2">
        <v>15</v>
      </c>
      <c r="P603" s="2">
        <v>5</v>
      </c>
      <c r="Q603" s="2" t="s">
        <v>1756</v>
      </c>
      <c r="R603" s="2" t="s">
        <v>1757</v>
      </c>
      <c r="S603" s="4">
        <v>44837</v>
      </c>
    </row>
    <row r="604" spans="1:19" ht="12.5" x14ac:dyDescent="0.25">
      <c r="A604" s="14" t="str">
        <f>HYPERLINK("https://gerandofalcoes.my.salesforce.com/0014P00003YSp88QAD", "0014P00003YSp88QAD")</f>
        <v>0014P00003YSp88QAD</v>
      </c>
      <c r="B604" s="2" t="s">
        <v>2325</v>
      </c>
      <c r="C604" s="2" t="s">
        <v>1800</v>
      </c>
      <c r="D604" s="2" t="s">
        <v>2</v>
      </c>
      <c r="E604" s="2">
        <v>28</v>
      </c>
      <c r="F604" s="2">
        <v>0</v>
      </c>
      <c r="G604" s="2">
        <v>2</v>
      </c>
      <c r="H604" s="2">
        <v>0</v>
      </c>
      <c r="I604" s="2">
        <v>80</v>
      </c>
      <c r="J604" s="2" t="s">
        <v>1779</v>
      </c>
      <c r="K604" s="2">
        <v>31</v>
      </c>
      <c r="L604" s="2">
        <v>15</v>
      </c>
      <c r="M604" s="2">
        <v>0</v>
      </c>
      <c r="N604" s="2">
        <v>6</v>
      </c>
      <c r="O604" s="2">
        <v>0</v>
      </c>
      <c r="P604" s="2">
        <v>10</v>
      </c>
      <c r="Q604" s="2" t="s">
        <v>2326</v>
      </c>
      <c r="R604" s="2" t="s">
        <v>2327</v>
      </c>
      <c r="S604" s="4">
        <v>44837</v>
      </c>
    </row>
    <row r="605" spans="1:19" ht="12.5" x14ac:dyDescent="0.25">
      <c r="A605" s="14" t="str">
        <f>HYPERLINK("https://gerandofalcoes.my.salesforce.com/0014P00003YSp8AQAT", "0014P00003YSp8AQAT")</f>
        <v>0014P00003YSp8AQAT</v>
      </c>
      <c r="B605" s="2" t="s">
        <v>1943</v>
      </c>
      <c r="C605" s="2" t="s">
        <v>423</v>
      </c>
      <c r="D605" s="2" t="s">
        <v>2</v>
      </c>
      <c r="E605" s="2">
        <v>31</v>
      </c>
      <c r="F605" s="2">
        <v>15</v>
      </c>
      <c r="G605" s="2">
        <v>2</v>
      </c>
      <c r="H605" s="2">
        <v>50000</v>
      </c>
      <c r="I605" s="2">
        <v>200</v>
      </c>
      <c r="J605" s="2" t="s">
        <v>1671</v>
      </c>
      <c r="K605" s="2">
        <v>55</v>
      </c>
      <c r="L605" s="2">
        <v>15</v>
      </c>
      <c r="M605" s="2">
        <v>12</v>
      </c>
      <c r="N605" s="2">
        <v>6</v>
      </c>
      <c r="O605" s="2">
        <v>10</v>
      </c>
      <c r="P605" s="2">
        <v>12</v>
      </c>
      <c r="Q605" s="2" t="s">
        <v>1944</v>
      </c>
      <c r="R605" s="2" t="s">
        <v>1945</v>
      </c>
      <c r="S605" s="4">
        <v>44837</v>
      </c>
    </row>
    <row r="606" spans="1:19" ht="12.5" x14ac:dyDescent="0.25">
      <c r="A606" s="14" t="str">
        <f>HYPERLINK("https://gerandofalcoes.my.salesforce.com/0014P00003YSp8BQAT", "0014P00003YSp8BQAT")</f>
        <v>0014P00003YSp8BQAT</v>
      </c>
      <c r="B606" s="2" t="s">
        <v>2813</v>
      </c>
      <c r="C606" s="2" t="s">
        <v>423</v>
      </c>
      <c r="D606" s="2" t="s">
        <v>2</v>
      </c>
      <c r="E606" s="2">
        <v>24</v>
      </c>
      <c r="F606" s="2">
        <v>0</v>
      </c>
      <c r="G606" s="2">
        <v>0</v>
      </c>
      <c r="H606" s="2">
        <v>0</v>
      </c>
      <c r="I606" s="2">
        <v>239</v>
      </c>
      <c r="J606" s="2" t="s">
        <v>1779</v>
      </c>
      <c r="K606" s="2">
        <v>22</v>
      </c>
      <c r="L606" s="2">
        <v>10</v>
      </c>
      <c r="M606" s="2">
        <v>0</v>
      </c>
      <c r="N606" s="2">
        <v>0</v>
      </c>
      <c r="O606" s="2">
        <v>0</v>
      </c>
      <c r="P606" s="2">
        <v>12</v>
      </c>
      <c r="Q606" s="2" t="s">
        <v>2814</v>
      </c>
      <c r="R606" s="2" t="s">
        <v>2815</v>
      </c>
      <c r="S606" s="4">
        <v>44837</v>
      </c>
    </row>
    <row r="607" spans="1:19" ht="12.5" x14ac:dyDescent="0.25">
      <c r="A607" s="14" t="str">
        <f>HYPERLINK("https://gerandofalcoes.my.salesforce.com/0014P00003YSp8CQAT", "0014P00003YSp8CQAT")</f>
        <v>0014P00003YSp8CQAT</v>
      </c>
      <c r="B607" s="2" t="s">
        <v>2139</v>
      </c>
      <c r="C607" s="2" t="s">
        <v>423</v>
      </c>
      <c r="D607" s="2" t="s">
        <v>2</v>
      </c>
      <c r="E607" s="2">
        <v>34</v>
      </c>
      <c r="F607" s="2">
        <v>11</v>
      </c>
      <c r="G607" s="2">
        <v>4</v>
      </c>
      <c r="H607" s="2">
        <v>309270</v>
      </c>
      <c r="I607" s="2">
        <v>200</v>
      </c>
      <c r="J607" s="2" t="s">
        <v>1650</v>
      </c>
      <c r="K607" s="2">
        <v>69</v>
      </c>
      <c r="L607" s="2">
        <v>15</v>
      </c>
      <c r="M607" s="2">
        <v>12</v>
      </c>
      <c r="N607" s="2">
        <v>10</v>
      </c>
      <c r="O607" s="2">
        <v>20</v>
      </c>
      <c r="P607" s="2">
        <v>12</v>
      </c>
      <c r="Q607" s="2" t="s">
        <v>2140</v>
      </c>
      <c r="R607" s="2" t="s">
        <v>2140</v>
      </c>
      <c r="S607" s="4">
        <v>44837</v>
      </c>
    </row>
    <row r="608" spans="1:19" ht="12.5" x14ac:dyDescent="0.25">
      <c r="A608" s="14" t="str">
        <f>HYPERLINK("https://gerandofalcoes.my.salesforce.com/0014P00003YSp8EQAT", "0014P00003YSp8EQAT")</f>
        <v>0014P00003YSp8EQAT</v>
      </c>
      <c r="B608" s="2" t="s">
        <v>2407</v>
      </c>
      <c r="C608" s="2" t="s">
        <v>423</v>
      </c>
      <c r="D608" s="2" t="s">
        <v>2</v>
      </c>
      <c r="E608" s="2">
        <v>25</v>
      </c>
      <c r="F608" s="2">
        <v>0</v>
      </c>
      <c r="G608" s="2">
        <v>2</v>
      </c>
      <c r="H608" s="2">
        <v>6300</v>
      </c>
      <c r="I608" s="2">
        <v>250</v>
      </c>
      <c r="J608" s="2" t="s">
        <v>1779</v>
      </c>
      <c r="K608" s="2">
        <v>38</v>
      </c>
      <c r="L608" s="2">
        <v>15</v>
      </c>
      <c r="M608" s="2">
        <v>0</v>
      </c>
      <c r="N608" s="2">
        <v>6</v>
      </c>
      <c r="O608" s="2">
        <v>5</v>
      </c>
      <c r="P608" s="2">
        <v>12</v>
      </c>
      <c r="Q608" s="2" t="s">
        <v>2408</v>
      </c>
      <c r="R608" s="2" t="s">
        <v>2409</v>
      </c>
      <c r="S608" s="4">
        <v>44837</v>
      </c>
    </row>
    <row r="609" spans="1:19" ht="12.5" x14ac:dyDescent="0.25">
      <c r="A609" s="14" t="str">
        <f>HYPERLINK("https://gerandofalcoes.my.salesforce.com/0014P00003YSp8FQAT", "0014P00003YSp8FQAT")</f>
        <v>0014P00003YSp8FQAT</v>
      </c>
      <c r="B609" s="2" t="s">
        <v>2178</v>
      </c>
      <c r="C609" s="2" t="s">
        <v>1800</v>
      </c>
      <c r="D609" s="2" t="s">
        <v>2</v>
      </c>
      <c r="E609" s="2">
        <v>33</v>
      </c>
      <c r="F609" s="2">
        <v>10</v>
      </c>
      <c r="G609" s="2">
        <v>0</v>
      </c>
      <c r="H609" s="2">
        <v>0</v>
      </c>
      <c r="I609" s="2">
        <v>60</v>
      </c>
      <c r="J609" s="2" t="s">
        <v>1779</v>
      </c>
      <c r="K609" s="2">
        <v>30</v>
      </c>
      <c r="L609" s="2">
        <v>15</v>
      </c>
      <c r="M609" s="2">
        <v>10</v>
      </c>
      <c r="N609" s="2">
        <v>0</v>
      </c>
      <c r="O609" s="2">
        <v>0</v>
      </c>
      <c r="P609" s="2">
        <v>5</v>
      </c>
      <c r="Q609" s="2" t="s">
        <v>2179</v>
      </c>
      <c r="R609" s="2" t="s">
        <v>2179</v>
      </c>
      <c r="S609" s="4">
        <v>44837</v>
      </c>
    </row>
    <row r="610" spans="1:19" ht="12.5" x14ac:dyDescent="0.25">
      <c r="A610" s="14" t="str">
        <f>HYPERLINK("https://gerandofalcoes.my.salesforce.com/0014P00003YSp8GQAT", "0014P00003YSp8GQAT")</f>
        <v>0014P00003YSp8GQAT</v>
      </c>
      <c r="B610" s="2" t="s">
        <v>2214</v>
      </c>
      <c r="C610" s="2" t="s">
        <v>1800</v>
      </c>
      <c r="D610" s="2" t="s">
        <v>2</v>
      </c>
      <c r="E610" s="2">
        <v>32</v>
      </c>
      <c r="F610" s="2">
        <v>1</v>
      </c>
      <c r="G610" s="2">
        <v>2</v>
      </c>
      <c r="H610" s="2">
        <v>0</v>
      </c>
      <c r="I610" s="2">
        <v>600</v>
      </c>
      <c r="J610" s="2" t="s">
        <v>1671</v>
      </c>
      <c r="K610" s="2">
        <v>46</v>
      </c>
      <c r="L610" s="2">
        <v>15</v>
      </c>
      <c r="M610" s="2">
        <v>5</v>
      </c>
      <c r="N610" s="2">
        <v>6</v>
      </c>
      <c r="O610" s="2">
        <v>0</v>
      </c>
      <c r="P610" s="2">
        <v>20</v>
      </c>
      <c r="Q610" s="2" t="s">
        <v>2215</v>
      </c>
      <c r="R610" s="2" t="s">
        <v>2216</v>
      </c>
      <c r="S610" s="4">
        <v>44837</v>
      </c>
    </row>
    <row r="611" spans="1:19" ht="12.5" x14ac:dyDescent="0.25">
      <c r="A611" s="14" t="str">
        <f>HYPERLINK("https://gerandofalcoes.my.salesforce.com/0014P00003YSp8HQAT", "0014P00003YSp8HQAT")</f>
        <v>0014P00003YSp8HQAT</v>
      </c>
      <c r="B611" s="2" t="s">
        <v>2359</v>
      </c>
      <c r="C611" s="2" t="s">
        <v>423</v>
      </c>
      <c r="D611" s="2" t="s">
        <v>2</v>
      </c>
      <c r="E611" s="2">
        <v>28</v>
      </c>
      <c r="F611" s="2">
        <v>2</v>
      </c>
      <c r="G611" s="2">
        <v>1</v>
      </c>
      <c r="H611" s="2">
        <v>35000</v>
      </c>
      <c r="I611" s="2">
        <v>729</v>
      </c>
      <c r="J611" s="2" t="s">
        <v>1671</v>
      </c>
      <c r="K611" s="2">
        <v>54</v>
      </c>
      <c r="L611" s="2">
        <v>15</v>
      </c>
      <c r="M611" s="2">
        <v>5</v>
      </c>
      <c r="N611" s="2">
        <v>4</v>
      </c>
      <c r="O611" s="2">
        <v>10</v>
      </c>
      <c r="P611" s="2">
        <v>20</v>
      </c>
      <c r="Q611" s="2" t="s">
        <v>2360</v>
      </c>
      <c r="R611" s="2" t="s">
        <v>2361</v>
      </c>
      <c r="S611" s="4">
        <v>44837</v>
      </c>
    </row>
    <row r="612" spans="1:19" ht="12.5" x14ac:dyDescent="0.25">
      <c r="A612" s="14" t="str">
        <f>HYPERLINK("https://gerandofalcoes.my.salesforce.com/0014P00003YSp8IQAT", "0014P00003YSp8IQAT")</f>
        <v>0014P00003YSp8IQAT</v>
      </c>
      <c r="B612" s="2" t="s">
        <v>2335</v>
      </c>
      <c r="C612" s="2" t="s">
        <v>423</v>
      </c>
      <c r="D612" s="2" t="s">
        <v>2</v>
      </c>
      <c r="E612" s="2">
        <v>27.89</v>
      </c>
      <c r="F612" s="2">
        <v>0</v>
      </c>
      <c r="G612" s="2">
        <v>3</v>
      </c>
      <c r="H612" s="2">
        <v>9000000</v>
      </c>
      <c r="I612" s="2">
        <v>250</v>
      </c>
      <c r="J612" s="2" t="s">
        <v>1671</v>
      </c>
      <c r="K612" s="2">
        <v>60</v>
      </c>
      <c r="L612" s="2">
        <v>15</v>
      </c>
      <c r="M612" s="2">
        <v>0</v>
      </c>
      <c r="N612" s="2">
        <v>8</v>
      </c>
      <c r="O612" s="2">
        <v>25</v>
      </c>
      <c r="P612" s="2">
        <v>12</v>
      </c>
      <c r="Q612" s="2" t="s">
        <v>2336</v>
      </c>
      <c r="R612" s="2" t="s">
        <v>2337</v>
      </c>
      <c r="S612" s="4">
        <v>44837</v>
      </c>
    </row>
    <row r="613" spans="1:19" ht="12.5" x14ac:dyDescent="0.25">
      <c r="A613" s="14" t="str">
        <f>HYPERLINK("https://gerandofalcoes.my.salesforce.com/0014P00003YSp80QAD", "0014P00003YSp80QAD")</f>
        <v>0014P00003YSp80QAD</v>
      </c>
      <c r="B613" s="2" t="s">
        <v>2709</v>
      </c>
      <c r="C613" s="2" t="s">
        <v>423</v>
      </c>
      <c r="D613" s="2" t="s">
        <v>2</v>
      </c>
      <c r="E613" s="2">
        <v>15.15</v>
      </c>
      <c r="F613" s="2">
        <v>1</v>
      </c>
      <c r="G613" s="2">
        <v>4</v>
      </c>
      <c r="H613" s="2">
        <v>17400</v>
      </c>
      <c r="I613" s="2">
        <v>87</v>
      </c>
      <c r="J613" s="2" t="s">
        <v>1671</v>
      </c>
      <c r="K613" s="2">
        <v>40</v>
      </c>
      <c r="L613" s="2">
        <v>10</v>
      </c>
      <c r="M613" s="2">
        <v>5</v>
      </c>
      <c r="N613" s="2">
        <v>10</v>
      </c>
      <c r="O613" s="2">
        <v>5</v>
      </c>
      <c r="P613" s="2">
        <v>10</v>
      </c>
      <c r="Q613" s="2" t="s">
        <v>2710</v>
      </c>
      <c r="R613" s="2" t="s">
        <v>2710</v>
      </c>
      <c r="S613" s="4">
        <v>44837</v>
      </c>
    </row>
    <row r="614" spans="1:19" ht="12.5" x14ac:dyDescent="0.25">
      <c r="A614" s="14" t="str">
        <f>HYPERLINK("https://gerandofalcoes.my.salesforce.com/0014P00003YSp8JQAT", "0014P00003YSp8JQAT")</f>
        <v>0014P00003YSp8JQAT</v>
      </c>
      <c r="B614" s="2" t="s">
        <v>2393</v>
      </c>
      <c r="C614" s="2" t="s">
        <v>423</v>
      </c>
      <c r="D614" s="2" t="s">
        <v>2</v>
      </c>
      <c r="E614" s="2">
        <v>33</v>
      </c>
      <c r="F614" s="2">
        <v>9</v>
      </c>
      <c r="G614" s="2">
        <v>2</v>
      </c>
      <c r="H614" s="2">
        <v>85000000</v>
      </c>
      <c r="I614" s="2">
        <v>309</v>
      </c>
      <c r="J614" s="2" t="s">
        <v>1650</v>
      </c>
      <c r="K614" s="2">
        <v>71</v>
      </c>
      <c r="L614" s="2">
        <v>15</v>
      </c>
      <c r="M614" s="2">
        <v>10</v>
      </c>
      <c r="N614" s="2">
        <v>6</v>
      </c>
      <c r="O614" s="2">
        <v>25</v>
      </c>
      <c r="P614" s="2">
        <v>15</v>
      </c>
      <c r="Q614" s="2" t="s">
        <v>2394</v>
      </c>
      <c r="R614" s="2" t="s">
        <v>2394</v>
      </c>
      <c r="S614" s="4">
        <v>44837</v>
      </c>
    </row>
    <row r="615" spans="1:19" ht="12.5" x14ac:dyDescent="0.25">
      <c r="A615" s="14" t="str">
        <f>HYPERLINK("https://gerandofalcoes.my.salesforce.com/0014P00003YSp8KQAT", "0014P00003YSp8KQAT")</f>
        <v>0014P00003YSp8KQAT</v>
      </c>
      <c r="B615" s="2" t="s">
        <v>2167</v>
      </c>
      <c r="C615" s="2" t="s">
        <v>1800</v>
      </c>
      <c r="D615" s="2" t="s">
        <v>2</v>
      </c>
      <c r="E615" s="2">
        <v>33</v>
      </c>
      <c r="F615" s="2">
        <v>2</v>
      </c>
      <c r="G615" s="2">
        <v>4</v>
      </c>
      <c r="H615" s="2">
        <v>400000</v>
      </c>
      <c r="I615" s="2">
        <v>250</v>
      </c>
      <c r="J615" s="2" t="s">
        <v>1671</v>
      </c>
      <c r="K615" s="2">
        <v>62</v>
      </c>
      <c r="L615" s="2">
        <v>15</v>
      </c>
      <c r="M615" s="2">
        <v>5</v>
      </c>
      <c r="N615" s="2">
        <v>10</v>
      </c>
      <c r="O615" s="2">
        <v>20</v>
      </c>
      <c r="P615" s="2">
        <v>12</v>
      </c>
      <c r="Q615" s="2" t="s">
        <v>2168</v>
      </c>
      <c r="R615" s="2" t="s">
        <v>2168</v>
      </c>
      <c r="S615" s="4">
        <v>44837</v>
      </c>
    </row>
    <row r="616" spans="1:19" ht="12.5" x14ac:dyDescent="0.25">
      <c r="A616" s="14" t="str">
        <f>HYPERLINK("https://gerandofalcoes.my.salesforce.com/0014P00003YSp8LQAT", "0014P00003YSp8LQAT")</f>
        <v>0014P00003YSp8LQAT</v>
      </c>
      <c r="B616" s="2" t="s">
        <v>2907</v>
      </c>
      <c r="C616" s="2" t="s">
        <v>423</v>
      </c>
      <c r="D616" s="2" t="s">
        <v>2</v>
      </c>
      <c r="E616" s="2">
        <v>24</v>
      </c>
      <c r="F616" s="2">
        <v>0</v>
      </c>
      <c r="G616" s="2">
        <v>0</v>
      </c>
      <c r="H616" s="2">
        <v>0</v>
      </c>
      <c r="I616" s="2">
        <v>200</v>
      </c>
      <c r="J616" s="2" t="s">
        <v>1779</v>
      </c>
      <c r="K616" s="2">
        <v>22</v>
      </c>
      <c r="L616" s="2">
        <v>10</v>
      </c>
      <c r="M616" s="2">
        <v>0</v>
      </c>
      <c r="N616" s="2">
        <v>0</v>
      </c>
      <c r="O616" s="2">
        <v>0</v>
      </c>
      <c r="P616" s="2">
        <v>12</v>
      </c>
      <c r="Q616" s="2" t="s">
        <v>2908</v>
      </c>
      <c r="R616" s="2" t="s">
        <v>2908</v>
      </c>
      <c r="S616" s="4">
        <v>44837</v>
      </c>
    </row>
    <row r="617" spans="1:19" ht="12.5" x14ac:dyDescent="0.25">
      <c r="A617" s="14" t="str">
        <f>HYPERLINK("https://gerandofalcoes.my.salesforce.com/0014P00003YSp8MQAT", "0014P00003YSp8MQAT")</f>
        <v>0014P00003YSp8MQAT</v>
      </c>
      <c r="B617" s="2" t="s">
        <v>1761</v>
      </c>
      <c r="C617" s="2" t="s">
        <v>423</v>
      </c>
      <c r="D617" s="2" t="s">
        <v>2</v>
      </c>
      <c r="E617" s="2">
        <v>35</v>
      </c>
      <c r="F617" s="2">
        <v>15</v>
      </c>
      <c r="G617" s="2">
        <v>3</v>
      </c>
      <c r="H617" s="2">
        <v>359</v>
      </c>
      <c r="I617" s="2">
        <v>173</v>
      </c>
      <c r="J617" s="2" t="s">
        <v>1671</v>
      </c>
      <c r="K617" s="2">
        <v>52</v>
      </c>
      <c r="L617" s="2">
        <v>15</v>
      </c>
      <c r="M617" s="2">
        <v>12</v>
      </c>
      <c r="N617" s="2">
        <v>8</v>
      </c>
      <c r="O617" s="2">
        <v>5</v>
      </c>
      <c r="P617" s="2">
        <v>12</v>
      </c>
      <c r="Q617" s="2" t="s">
        <v>1762</v>
      </c>
      <c r="R617" s="2" t="s">
        <v>1763</v>
      </c>
      <c r="S617" s="4">
        <v>44837</v>
      </c>
    </row>
    <row r="618" spans="1:19" ht="12.5" x14ac:dyDescent="0.25">
      <c r="A618" s="14" t="str">
        <f>HYPERLINK("https://gerandofalcoes.my.salesforce.com/0014P00003YSp8NQAT", "0014P00003YSp8NQAT")</f>
        <v>0014P00003YSp8NQAT</v>
      </c>
      <c r="B618" s="2" t="s">
        <v>2292</v>
      </c>
      <c r="C618" s="2" t="s">
        <v>1800</v>
      </c>
      <c r="D618" s="2" t="s">
        <v>2</v>
      </c>
      <c r="E618" s="2">
        <v>29</v>
      </c>
      <c r="F618" s="2">
        <v>3</v>
      </c>
      <c r="G618" s="2">
        <v>2</v>
      </c>
      <c r="H618" s="2">
        <v>13121</v>
      </c>
      <c r="I618" s="2">
        <v>800</v>
      </c>
      <c r="J618" s="2" t="s">
        <v>1671</v>
      </c>
      <c r="K618" s="2">
        <v>51</v>
      </c>
      <c r="L618" s="2">
        <v>15</v>
      </c>
      <c r="M618" s="2">
        <v>5</v>
      </c>
      <c r="N618" s="2">
        <v>6</v>
      </c>
      <c r="O618" s="2">
        <v>5</v>
      </c>
      <c r="P618" s="2">
        <v>20</v>
      </c>
      <c r="Q618" s="2" t="s">
        <v>2293</v>
      </c>
      <c r="R618" s="2" t="s">
        <v>2294</v>
      </c>
      <c r="S618" s="4">
        <v>44837</v>
      </c>
    </row>
    <row r="619" spans="1:19" ht="12.5" x14ac:dyDescent="0.25">
      <c r="A619" s="14" t="str">
        <f>HYPERLINK("https://gerandofalcoes.my.salesforce.com/0014P00003YSp8OQAT", "0014P00003YSp8OQAT")</f>
        <v>0014P00003YSp8OQAT</v>
      </c>
      <c r="B619" s="2" t="s">
        <v>1952</v>
      </c>
      <c r="C619" s="2" t="s">
        <v>1800</v>
      </c>
      <c r="D619" s="2" t="s">
        <v>2</v>
      </c>
      <c r="E619" s="2">
        <v>41</v>
      </c>
      <c r="F619" s="2">
        <v>1</v>
      </c>
      <c r="G619" s="2">
        <v>3</v>
      </c>
      <c r="H619" s="2">
        <v>25000</v>
      </c>
      <c r="I619" s="2">
        <v>90</v>
      </c>
      <c r="J619" s="2" t="s">
        <v>1671</v>
      </c>
      <c r="K619" s="2">
        <v>48</v>
      </c>
      <c r="L619" s="2">
        <v>15</v>
      </c>
      <c r="M619" s="2">
        <v>5</v>
      </c>
      <c r="N619" s="2">
        <v>8</v>
      </c>
      <c r="O619" s="2">
        <v>10</v>
      </c>
      <c r="P619" s="2">
        <v>10</v>
      </c>
      <c r="Q619" s="2" t="s">
        <v>1953</v>
      </c>
      <c r="R619" s="2" t="s">
        <v>1953</v>
      </c>
      <c r="S619" s="4">
        <v>44837</v>
      </c>
    </row>
    <row r="620" spans="1:19" ht="12.5" x14ac:dyDescent="0.25">
      <c r="A620" s="14" t="str">
        <f>HYPERLINK("https://gerandofalcoes.my.salesforce.com/0014P00003YSp8PQAT", "0014P00003YSp8PQAT")</f>
        <v>0014P00003YSp8PQAT</v>
      </c>
      <c r="B620" s="2" t="s">
        <v>2832</v>
      </c>
      <c r="C620" s="2" t="s">
        <v>423</v>
      </c>
      <c r="D620" s="2" t="s">
        <v>2</v>
      </c>
      <c r="E620" s="2">
        <v>24</v>
      </c>
      <c r="F620" s="2">
        <v>0</v>
      </c>
      <c r="G620" s="2">
        <v>1</v>
      </c>
      <c r="H620" s="2">
        <v>4546832</v>
      </c>
      <c r="I620" s="2">
        <v>0</v>
      </c>
      <c r="J620" s="2" t="s">
        <v>1779</v>
      </c>
      <c r="K620" s="2">
        <v>39</v>
      </c>
      <c r="L620" s="2">
        <v>10</v>
      </c>
      <c r="M620" s="2">
        <v>0</v>
      </c>
      <c r="N620" s="2">
        <v>4</v>
      </c>
      <c r="O620" s="2">
        <v>25</v>
      </c>
      <c r="P620" s="2">
        <v>0</v>
      </c>
      <c r="Q620" s="2" t="s">
        <v>2833</v>
      </c>
      <c r="R620" s="2" t="s">
        <v>2834</v>
      </c>
      <c r="S620" s="4">
        <v>44837</v>
      </c>
    </row>
    <row r="621" spans="1:19" ht="12.5" x14ac:dyDescent="0.25">
      <c r="A621" s="14" t="str">
        <f>HYPERLINK("https://gerandofalcoes.my.salesforce.com/0014P00003YSp8QQAT", "0014P00003YSp8QQAT")</f>
        <v>0014P00003YSp8QQAT</v>
      </c>
      <c r="B621" s="2" t="s">
        <v>1890</v>
      </c>
      <c r="C621" s="2" t="s">
        <v>423</v>
      </c>
      <c r="D621" s="2" t="s">
        <v>2</v>
      </c>
      <c r="E621" s="2">
        <v>43.85</v>
      </c>
      <c r="F621" s="2">
        <v>7</v>
      </c>
      <c r="G621" s="2">
        <v>150</v>
      </c>
      <c r="H621" s="2">
        <v>337433</v>
      </c>
      <c r="I621" s="2">
        <v>80</v>
      </c>
      <c r="J621" s="2" t="s">
        <v>1650</v>
      </c>
      <c r="K621" s="2">
        <v>65</v>
      </c>
      <c r="L621" s="2">
        <v>15</v>
      </c>
      <c r="M621" s="2">
        <v>10</v>
      </c>
      <c r="N621" s="2">
        <v>10</v>
      </c>
      <c r="O621" s="2">
        <v>20</v>
      </c>
      <c r="P621" s="2">
        <v>10</v>
      </c>
      <c r="Q621" s="2" t="s">
        <v>1891</v>
      </c>
      <c r="R621" s="2" t="s">
        <v>1891</v>
      </c>
      <c r="S621" s="4">
        <v>44837</v>
      </c>
    </row>
    <row r="622" spans="1:19" ht="12.5" x14ac:dyDescent="0.25">
      <c r="A622" s="14" t="str">
        <f>HYPERLINK("https://gerandofalcoes.my.salesforce.com/0014P00003YSp8RQAT", "0014P00003YSp8RQAT")</f>
        <v>0014P00003YSp8RQAT</v>
      </c>
      <c r="B622" s="2" t="s">
        <v>1989</v>
      </c>
      <c r="C622" s="2" t="s">
        <v>1800</v>
      </c>
      <c r="D622" s="2" t="s">
        <v>2</v>
      </c>
      <c r="E622" s="2">
        <v>39</v>
      </c>
      <c r="F622" s="2">
        <v>1</v>
      </c>
      <c r="G622" s="2">
        <v>2</v>
      </c>
      <c r="H622" s="2">
        <v>11000</v>
      </c>
      <c r="I622" s="2">
        <v>200</v>
      </c>
      <c r="J622" s="2" t="s">
        <v>1671</v>
      </c>
      <c r="K622" s="2">
        <v>43</v>
      </c>
      <c r="L622" s="2">
        <v>15</v>
      </c>
      <c r="M622" s="2">
        <v>5</v>
      </c>
      <c r="N622" s="2">
        <v>6</v>
      </c>
      <c r="O622" s="2">
        <v>5</v>
      </c>
      <c r="P622" s="2">
        <v>12</v>
      </c>
      <c r="Q622" s="2" t="s">
        <v>1990</v>
      </c>
      <c r="R622" s="2" t="s">
        <v>1991</v>
      </c>
      <c r="S622" s="4">
        <v>44837</v>
      </c>
    </row>
    <row r="623" spans="1:19" ht="12.5" x14ac:dyDescent="0.25">
      <c r="A623" s="14" t="str">
        <f>HYPERLINK("https://gerandofalcoes.my.salesforce.com/0014P00003YSp8SQAT", "0014P00003YSp8SQAT")</f>
        <v>0014P00003YSp8SQAT</v>
      </c>
      <c r="B623" s="2" t="s">
        <v>2476</v>
      </c>
      <c r="C623" s="2" t="s">
        <v>423</v>
      </c>
      <c r="D623" s="2" t="s">
        <v>2</v>
      </c>
      <c r="E623" s="2">
        <v>22</v>
      </c>
      <c r="F623" s="2">
        <v>0</v>
      </c>
      <c r="G623" s="2">
        <v>2</v>
      </c>
      <c r="H623" s="2">
        <v>150000</v>
      </c>
      <c r="I623" s="2">
        <v>382</v>
      </c>
      <c r="J623" s="2" t="s">
        <v>1671</v>
      </c>
      <c r="K623" s="2">
        <v>46</v>
      </c>
      <c r="L623" s="2">
        <v>10</v>
      </c>
      <c r="M623" s="2">
        <v>0</v>
      </c>
      <c r="N623" s="2">
        <v>6</v>
      </c>
      <c r="O623" s="2">
        <v>15</v>
      </c>
      <c r="P623" s="2">
        <v>15</v>
      </c>
      <c r="Q623" s="2" t="s">
        <v>2477</v>
      </c>
      <c r="R623" s="2" t="s">
        <v>2477</v>
      </c>
      <c r="S623" s="4">
        <v>44837</v>
      </c>
    </row>
    <row r="624" spans="1:19" ht="12.5" x14ac:dyDescent="0.25">
      <c r="A624" s="14" t="str">
        <f>HYPERLINK("https://gerandofalcoes.my.salesforce.com/0014P00003YSp8UQAT", "0014P00003YSp8UQAT")</f>
        <v>0014P00003YSp8UQAT</v>
      </c>
      <c r="B624" s="2" t="s">
        <v>2319</v>
      </c>
      <c r="C624" s="2" t="s">
        <v>423</v>
      </c>
      <c r="D624" s="2" t="s">
        <v>2</v>
      </c>
      <c r="E624" s="2">
        <v>28</v>
      </c>
      <c r="F624" s="2">
        <v>0</v>
      </c>
      <c r="G624" s="2">
        <v>3</v>
      </c>
      <c r="H624" s="2">
        <v>9994</v>
      </c>
      <c r="I624" s="2">
        <v>110</v>
      </c>
      <c r="J624" s="2" t="s">
        <v>1779</v>
      </c>
      <c r="K624" s="2">
        <v>38</v>
      </c>
      <c r="L624" s="2">
        <v>15</v>
      </c>
      <c r="M624" s="2">
        <v>0</v>
      </c>
      <c r="N624" s="2">
        <v>8</v>
      </c>
      <c r="O624" s="2">
        <v>5</v>
      </c>
      <c r="P624" s="2">
        <v>10</v>
      </c>
      <c r="Q624" s="2" t="s">
        <v>2321</v>
      </c>
      <c r="R624" s="2" t="s">
        <v>2321</v>
      </c>
      <c r="S624" s="4">
        <v>44837</v>
      </c>
    </row>
    <row r="625" spans="1:19" ht="12.5" x14ac:dyDescent="0.25">
      <c r="A625" s="14" t="str">
        <f>HYPERLINK("https://gerandofalcoes.my.salesforce.com/0014P00003YSp8VQAT", "0014P00003YSp8VQAT")</f>
        <v>0014P00003YSp8VQAT</v>
      </c>
      <c r="B625" s="2" t="s">
        <v>2865</v>
      </c>
      <c r="C625" s="2" t="s">
        <v>1800</v>
      </c>
      <c r="D625" s="2" t="s">
        <v>2</v>
      </c>
      <c r="E625" s="2">
        <v>10</v>
      </c>
      <c r="F625" s="2">
        <v>0</v>
      </c>
      <c r="G625" s="2">
        <v>0</v>
      </c>
      <c r="H625" s="2">
        <v>0</v>
      </c>
      <c r="I625" s="2">
        <v>0</v>
      </c>
      <c r="J625" s="2" t="s">
        <v>1779</v>
      </c>
      <c r="K625" s="2">
        <v>10</v>
      </c>
      <c r="L625" s="2">
        <v>10</v>
      </c>
      <c r="M625" s="2">
        <v>0</v>
      </c>
      <c r="N625" s="2">
        <v>0</v>
      </c>
      <c r="O625" s="2">
        <v>0</v>
      </c>
      <c r="P625" s="2">
        <v>0</v>
      </c>
      <c r="Q625" s="2" t="s">
        <v>2866</v>
      </c>
      <c r="R625" s="2" t="s">
        <v>2867</v>
      </c>
      <c r="S625" s="4">
        <v>44837</v>
      </c>
    </row>
    <row r="626" spans="1:19" ht="12.5" x14ac:dyDescent="0.25">
      <c r="A626" s="14" t="str">
        <f>HYPERLINK("https://gerandofalcoes.my.salesforce.com/0014P00003YSp8XQAT", "0014P00003YSp8XQAT")</f>
        <v>0014P00003YSp8XQAT</v>
      </c>
      <c r="B626" s="2" t="s">
        <v>2526</v>
      </c>
      <c r="C626" s="2" t="s">
        <v>423</v>
      </c>
      <c r="D626" s="2" t="s">
        <v>2</v>
      </c>
      <c r="E626" s="2">
        <v>21</v>
      </c>
      <c r="F626" s="2">
        <v>0</v>
      </c>
      <c r="G626" s="2">
        <v>1</v>
      </c>
      <c r="H626" s="2">
        <v>250</v>
      </c>
      <c r="I626" s="2">
        <v>50</v>
      </c>
      <c r="J626" s="2" t="s">
        <v>1779</v>
      </c>
      <c r="K626" s="2">
        <v>24</v>
      </c>
      <c r="L626" s="2">
        <v>10</v>
      </c>
      <c r="M626" s="2">
        <v>0</v>
      </c>
      <c r="N626" s="2">
        <v>4</v>
      </c>
      <c r="O626" s="2">
        <v>5</v>
      </c>
      <c r="P626" s="2">
        <v>5</v>
      </c>
      <c r="Q626" s="2" t="s">
        <v>2527</v>
      </c>
      <c r="R626" s="2" t="s">
        <v>2528</v>
      </c>
      <c r="S626" s="4">
        <v>44837</v>
      </c>
    </row>
    <row r="627" spans="1:19" ht="12.5" x14ac:dyDescent="0.25">
      <c r="A627" s="14" t="str">
        <f>HYPERLINK("https://gerandofalcoes.my.salesforce.com/0014P00003YSp8YQAT", "0014P00003YSp8YQAT")</f>
        <v>0014P00003YSp8YQAT</v>
      </c>
      <c r="B627" s="2" t="s">
        <v>1921</v>
      </c>
      <c r="C627" s="2" t="s">
        <v>423</v>
      </c>
      <c r="D627" s="2" t="s">
        <v>2</v>
      </c>
      <c r="E627" s="2">
        <v>45</v>
      </c>
      <c r="F627" s="2">
        <v>9</v>
      </c>
      <c r="G627" s="2">
        <v>3</v>
      </c>
      <c r="H627" s="2">
        <v>97000</v>
      </c>
      <c r="I627" s="2">
        <v>100</v>
      </c>
      <c r="J627" s="2" t="s">
        <v>1671</v>
      </c>
      <c r="K627" s="2">
        <v>53</v>
      </c>
      <c r="L627" s="2">
        <v>15</v>
      </c>
      <c r="M627" s="2">
        <v>10</v>
      </c>
      <c r="N627" s="2">
        <v>8</v>
      </c>
      <c r="O627" s="2">
        <v>10</v>
      </c>
      <c r="P627" s="2">
        <v>10</v>
      </c>
      <c r="Q627" s="2" t="s">
        <v>1922</v>
      </c>
      <c r="R627" s="2" t="s">
        <v>1923</v>
      </c>
      <c r="S627" s="4">
        <v>44837</v>
      </c>
    </row>
    <row r="628" spans="1:19" ht="12.5" x14ac:dyDescent="0.25">
      <c r="A628" s="14" t="str">
        <f>HYPERLINK("https://gerandofalcoes.my.salesforce.com/0014P00003YSp8aQAD", "0014P00003YSp8aQAD")</f>
        <v>0014P00003YSp8aQAD</v>
      </c>
      <c r="B628" s="2" t="s">
        <v>2447</v>
      </c>
      <c r="C628" s="2" t="s">
        <v>423</v>
      </c>
      <c r="D628" s="2" t="s">
        <v>2</v>
      </c>
      <c r="E628" s="2">
        <v>24</v>
      </c>
      <c r="F628" s="2">
        <v>0</v>
      </c>
      <c r="G628" s="2">
        <v>2</v>
      </c>
      <c r="H628" s="2">
        <v>40000</v>
      </c>
      <c r="I628" s="2">
        <v>200</v>
      </c>
      <c r="J628" s="2" t="s">
        <v>1779</v>
      </c>
      <c r="K628" s="2">
        <v>38</v>
      </c>
      <c r="L628" s="2">
        <v>10</v>
      </c>
      <c r="M628" s="2">
        <v>0</v>
      </c>
      <c r="N628" s="2">
        <v>6</v>
      </c>
      <c r="O628" s="2">
        <v>10</v>
      </c>
      <c r="P628" s="2">
        <v>12</v>
      </c>
      <c r="Q628" s="2" t="s">
        <v>2448</v>
      </c>
      <c r="R628" s="2" t="s">
        <v>2449</v>
      </c>
      <c r="S628" s="4">
        <v>44837</v>
      </c>
    </row>
    <row r="629" spans="1:19" ht="12.5" x14ac:dyDescent="0.25">
      <c r="A629" s="14" t="str">
        <f>HYPERLINK("https://gerandofalcoes.my.salesforce.com/0014P00003YSp8bQAD", "0014P00003YSp8bQAD")</f>
        <v>0014P00003YSp8bQAD</v>
      </c>
      <c r="B629" s="2" t="s">
        <v>2481</v>
      </c>
      <c r="C629" s="2" t="s">
        <v>1800</v>
      </c>
      <c r="D629" s="2" t="s">
        <v>2</v>
      </c>
      <c r="E629" s="2">
        <v>22</v>
      </c>
      <c r="F629" s="2">
        <v>4</v>
      </c>
      <c r="G629" s="2">
        <v>2</v>
      </c>
      <c r="H629" s="2">
        <v>80000</v>
      </c>
      <c r="I629" s="2">
        <v>100</v>
      </c>
      <c r="J629" s="2" t="s">
        <v>1671</v>
      </c>
      <c r="K629" s="2">
        <v>41</v>
      </c>
      <c r="L629" s="2">
        <v>10</v>
      </c>
      <c r="M629" s="2">
        <v>5</v>
      </c>
      <c r="N629" s="2">
        <v>6</v>
      </c>
      <c r="O629" s="2">
        <v>10</v>
      </c>
      <c r="P629" s="2">
        <v>10</v>
      </c>
      <c r="Q629" s="2" t="s">
        <v>2483</v>
      </c>
      <c r="R629" s="2" t="s">
        <v>2483</v>
      </c>
      <c r="S629" s="4">
        <v>44837</v>
      </c>
    </row>
    <row r="630" spans="1:19" ht="12.5" x14ac:dyDescent="0.25">
      <c r="A630" s="14" t="str">
        <f>HYPERLINK("https://gerandofalcoes.my.salesforce.com/0014P00003YSp8cQAD", "0014P00003YSp8cQAD")</f>
        <v>0014P00003YSp8cQAD</v>
      </c>
      <c r="B630" s="2" t="s">
        <v>1768</v>
      </c>
      <c r="C630" s="2" t="s">
        <v>423</v>
      </c>
      <c r="D630" s="2" t="s">
        <v>2</v>
      </c>
      <c r="E630" s="2">
        <v>35</v>
      </c>
      <c r="F630" s="2">
        <v>8</v>
      </c>
      <c r="G630" s="2">
        <v>1</v>
      </c>
      <c r="H630" s="2">
        <v>2200000</v>
      </c>
      <c r="I630" s="2">
        <v>300</v>
      </c>
      <c r="J630" s="2" t="s">
        <v>1650</v>
      </c>
      <c r="K630" s="2">
        <v>69</v>
      </c>
      <c r="L630" s="2">
        <v>15</v>
      </c>
      <c r="M630" s="2">
        <v>10</v>
      </c>
      <c r="N630" s="2">
        <v>4</v>
      </c>
      <c r="O630" s="2">
        <v>25</v>
      </c>
      <c r="P630" s="2">
        <v>15</v>
      </c>
      <c r="Q630" s="2" t="s">
        <v>1769</v>
      </c>
      <c r="R630" s="2" t="s">
        <v>1769</v>
      </c>
      <c r="S630" s="4">
        <v>44837</v>
      </c>
    </row>
    <row r="631" spans="1:19" ht="12.5" x14ac:dyDescent="0.25">
      <c r="A631" s="14" t="str">
        <f>HYPERLINK("https://gerandofalcoes.my.salesforce.com/0014P00003YSp8dQAD", "0014P00003YSp8dQAD")</f>
        <v>0014P00003YSp8dQAD</v>
      </c>
      <c r="B631" s="2" t="s">
        <v>2925</v>
      </c>
      <c r="C631" s="2" t="s">
        <v>423</v>
      </c>
      <c r="D631" s="2" t="s">
        <v>2</v>
      </c>
      <c r="E631" s="2">
        <v>7</v>
      </c>
      <c r="F631" s="2">
        <v>3</v>
      </c>
      <c r="G631" s="2">
        <v>2</v>
      </c>
      <c r="H631" s="2">
        <v>0</v>
      </c>
      <c r="I631" s="2">
        <v>150</v>
      </c>
      <c r="J631" s="2" t="s">
        <v>1779</v>
      </c>
      <c r="K631" s="2">
        <v>33</v>
      </c>
      <c r="L631" s="2">
        <v>10</v>
      </c>
      <c r="M631" s="2">
        <v>5</v>
      </c>
      <c r="N631" s="2">
        <v>6</v>
      </c>
      <c r="O631" s="2">
        <v>0</v>
      </c>
      <c r="P631" s="2">
        <v>12</v>
      </c>
      <c r="Q631" s="2" t="s">
        <v>2926</v>
      </c>
      <c r="R631" s="2" t="s">
        <v>2926</v>
      </c>
      <c r="S631" s="4">
        <v>44837</v>
      </c>
    </row>
    <row r="632" spans="1:19" ht="12.5" x14ac:dyDescent="0.25">
      <c r="A632" s="14" t="str">
        <f>HYPERLINK("https://gerandofalcoes.my.salesforce.com/0014P00003Ck8NjQAJ", "0014P00003Ck8NjQAJ")</f>
        <v>0014P00003Ck8NjQAJ</v>
      </c>
      <c r="B632" s="2" t="s">
        <v>1734</v>
      </c>
      <c r="C632" s="2" t="s">
        <v>423</v>
      </c>
      <c r="D632" s="2" t="s">
        <v>2</v>
      </c>
      <c r="E632" s="2">
        <v>32</v>
      </c>
      <c r="F632" s="2">
        <v>30</v>
      </c>
      <c r="G632" s="2">
        <v>4</v>
      </c>
      <c r="H632" s="2">
        <v>168000</v>
      </c>
      <c r="I632" s="2">
        <v>200</v>
      </c>
      <c r="J632" s="2" t="s">
        <v>1671</v>
      </c>
      <c r="K632" s="2">
        <v>64</v>
      </c>
      <c r="L632" s="2">
        <v>15</v>
      </c>
      <c r="M632" s="2">
        <v>12</v>
      </c>
      <c r="N632" s="2">
        <v>10</v>
      </c>
      <c r="O632" s="2">
        <v>15</v>
      </c>
      <c r="P632" s="2">
        <v>12</v>
      </c>
      <c r="Q632" s="2" t="s">
        <v>1735</v>
      </c>
      <c r="R632" s="2" t="s">
        <v>1735</v>
      </c>
      <c r="S632" s="4">
        <v>44837</v>
      </c>
    </row>
    <row r="633" spans="1:19" ht="12.5" x14ac:dyDescent="0.25">
      <c r="A633" s="14" t="str">
        <f>HYPERLINK("https://gerandofalcoes.my.salesforce.com/0014P00003I7WH2QAN", "0014P00003I7WH2QAN")</f>
        <v>0014P00003I7WH2QAN</v>
      </c>
      <c r="B633" s="2" t="s">
        <v>1748</v>
      </c>
      <c r="C633" s="2" t="s">
        <v>423</v>
      </c>
      <c r="D633" s="2" t="s">
        <v>2</v>
      </c>
      <c r="E633" s="2">
        <v>75</v>
      </c>
      <c r="F633" s="2">
        <v>5</v>
      </c>
      <c r="G633" s="2">
        <v>3</v>
      </c>
      <c r="H633" s="2">
        <v>300000</v>
      </c>
      <c r="I633" s="2">
        <v>216</v>
      </c>
      <c r="J633" s="2" t="s">
        <v>1650</v>
      </c>
      <c r="K633" s="2">
        <v>70</v>
      </c>
      <c r="L633" s="2">
        <v>25</v>
      </c>
      <c r="M633" s="2">
        <v>5</v>
      </c>
      <c r="N633" s="2">
        <v>8</v>
      </c>
      <c r="O633" s="2">
        <v>20</v>
      </c>
      <c r="P633" s="2">
        <v>12</v>
      </c>
      <c r="Q633" s="2" t="s">
        <v>1749</v>
      </c>
      <c r="R633" s="2" t="s">
        <v>906</v>
      </c>
      <c r="S633" s="4">
        <v>44837</v>
      </c>
    </row>
    <row r="634" spans="1:19" ht="12.5" x14ac:dyDescent="0.25">
      <c r="A634" s="14" t="str">
        <f>HYPERLINK("https://gerandofalcoes.my.salesforce.com/0014P00003AN2FfQAL", "0014P00003AN2FfQAL")</f>
        <v>0014P00003AN2FfQAL</v>
      </c>
      <c r="B634" s="2" t="s">
        <v>105</v>
      </c>
      <c r="C634" s="2" t="s">
        <v>423</v>
      </c>
      <c r="D634" s="2" t="s">
        <v>2</v>
      </c>
      <c r="E634" s="2">
        <v>20</v>
      </c>
      <c r="F634" s="2">
        <v>0</v>
      </c>
      <c r="G634" s="2">
        <v>1</v>
      </c>
      <c r="H634" s="2">
        <v>10000</v>
      </c>
      <c r="I634" s="2">
        <v>120</v>
      </c>
      <c r="J634" s="2" t="s">
        <v>1779</v>
      </c>
      <c r="K634" s="2">
        <v>29</v>
      </c>
      <c r="L634" s="2">
        <v>10</v>
      </c>
      <c r="M634" s="2">
        <v>0</v>
      </c>
      <c r="N634" s="2">
        <v>4</v>
      </c>
      <c r="O634" s="2">
        <v>5</v>
      </c>
      <c r="P634" s="2">
        <v>10</v>
      </c>
      <c r="Q634" s="2" t="s">
        <v>106</v>
      </c>
      <c r="R634" s="2" t="s">
        <v>7161</v>
      </c>
      <c r="S634" s="4">
        <v>44837</v>
      </c>
    </row>
    <row r="635" spans="1:19" ht="12.5" x14ac:dyDescent="0.25">
      <c r="A635" s="14" t="str">
        <f>HYPERLINK("https://gerandofalcoes.my.salesforce.com/0014P00003AN2FgQAL", "0014P00003AN2FgQAL")</f>
        <v>0014P00003AN2FgQAL</v>
      </c>
      <c r="B635" s="2" t="s">
        <v>109</v>
      </c>
      <c r="C635" s="2" t="s">
        <v>1800</v>
      </c>
      <c r="D635" s="2" t="s">
        <v>2</v>
      </c>
      <c r="E635" s="2">
        <v>36</v>
      </c>
      <c r="F635" s="2">
        <v>2</v>
      </c>
      <c r="G635" s="2">
        <v>7</v>
      </c>
      <c r="H635" s="2">
        <v>290735</v>
      </c>
      <c r="I635" s="2">
        <v>750</v>
      </c>
      <c r="J635" s="2" t="s">
        <v>1650</v>
      </c>
      <c r="K635" s="2">
        <v>65</v>
      </c>
      <c r="L635" s="2">
        <v>15</v>
      </c>
      <c r="M635" s="2">
        <v>5</v>
      </c>
      <c r="N635" s="2">
        <v>10</v>
      </c>
      <c r="O635" s="2">
        <v>15</v>
      </c>
      <c r="P635" s="2">
        <v>20</v>
      </c>
      <c r="Q635" s="2" t="s">
        <v>110</v>
      </c>
      <c r="R635" s="2" t="s">
        <v>110</v>
      </c>
      <c r="S635" s="4">
        <v>44837</v>
      </c>
    </row>
    <row r="636" spans="1:19" ht="12.5" x14ac:dyDescent="0.25">
      <c r="A636" s="14" t="str">
        <f>HYPERLINK("https://gerandofalcoes.my.salesforce.com/0014P00003AN2FhQAL", "0014P00003AN2FhQAL")</f>
        <v>0014P00003AN2FhQAL</v>
      </c>
      <c r="B636" s="2" t="s">
        <v>1889</v>
      </c>
      <c r="C636" s="2" t="s">
        <v>423</v>
      </c>
      <c r="D636" s="2" t="s">
        <v>2</v>
      </c>
      <c r="E636" s="2">
        <v>55</v>
      </c>
      <c r="F636" s="2">
        <v>3</v>
      </c>
      <c r="G636" s="2">
        <v>2</v>
      </c>
      <c r="H636" s="2">
        <v>472000</v>
      </c>
      <c r="I636" s="2">
        <v>381</v>
      </c>
      <c r="J636" s="2" t="s">
        <v>1650</v>
      </c>
      <c r="K636" s="2">
        <v>66</v>
      </c>
      <c r="L636" s="2">
        <v>20</v>
      </c>
      <c r="M636" s="2">
        <v>5</v>
      </c>
      <c r="N636" s="2">
        <v>6</v>
      </c>
      <c r="O636" s="2">
        <v>20</v>
      </c>
      <c r="P636" s="2">
        <v>15</v>
      </c>
      <c r="Q636" s="2" t="s">
        <v>715</v>
      </c>
      <c r="R636" s="2" t="s">
        <v>715</v>
      </c>
      <c r="S636" s="4">
        <v>44837</v>
      </c>
    </row>
    <row r="637" spans="1:19" ht="12.5" x14ac:dyDescent="0.25">
      <c r="A637" s="14" t="str">
        <f>HYPERLINK("https://gerandofalcoes.my.salesforce.com/0014P00003AN2FiQAL", "0014P00003AN2FiQAL")</f>
        <v>0014P00003AN2FiQAL</v>
      </c>
      <c r="B637" s="2" t="s">
        <v>2541</v>
      </c>
      <c r="C637" s="2" t="s">
        <v>423</v>
      </c>
      <c r="D637" s="2" t="s">
        <v>2</v>
      </c>
      <c r="E637" s="2">
        <v>40</v>
      </c>
      <c r="F637" s="2">
        <v>2</v>
      </c>
      <c r="G637" s="2">
        <v>3</v>
      </c>
      <c r="H637" s="2">
        <v>230600</v>
      </c>
      <c r="I637" s="2">
        <v>170</v>
      </c>
      <c r="J637" s="2" t="s">
        <v>1671</v>
      </c>
      <c r="K637" s="2">
        <v>55</v>
      </c>
      <c r="L637" s="2">
        <v>15</v>
      </c>
      <c r="M637" s="2">
        <v>5</v>
      </c>
      <c r="N637" s="2">
        <v>8</v>
      </c>
      <c r="O637" s="2">
        <v>15</v>
      </c>
      <c r="P637" s="2">
        <v>12</v>
      </c>
      <c r="Q637" s="2" t="s">
        <v>2542</v>
      </c>
      <c r="R637" s="2" t="s">
        <v>2542</v>
      </c>
      <c r="S637" s="4">
        <v>44837</v>
      </c>
    </row>
    <row r="638" spans="1:19" ht="12.5" x14ac:dyDescent="0.25">
      <c r="A638" s="14" t="str">
        <f>HYPERLINK("https://gerandofalcoes.my.salesforce.com/0014P00003AN2FjQAL", "0014P00003AN2FjQAL")</f>
        <v>0014P00003AN2FjQAL</v>
      </c>
      <c r="B638" s="2" t="s">
        <v>1679</v>
      </c>
      <c r="C638" s="2" t="s">
        <v>423</v>
      </c>
      <c r="D638" s="2" t="s">
        <v>27</v>
      </c>
      <c r="E638" s="2">
        <v>89</v>
      </c>
      <c r="F638" s="2">
        <v>5</v>
      </c>
      <c r="G638" s="2">
        <v>4</v>
      </c>
      <c r="H638" s="2">
        <v>49628.39</v>
      </c>
      <c r="I638" s="2">
        <v>79</v>
      </c>
      <c r="J638" s="2" t="s">
        <v>1671</v>
      </c>
      <c r="K638" s="2">
        <v>55</v>
      </c>
      <c r="L638" s="2">
        <v>25</v>
      </c>
      <c r="M638" s="2">
        <v>5</v>
      </c>
      <c r="N638" s="2">
        <v>10</v>
      </c>
      <c r="O638" s="2">
        <v>10</v>
      </c>
      <c r="P638" s="2">
        <v>5</v>
      </c>
      <c r="Q638" s="2" t="s">
        <v>63</v>
      </c>
      <c r="R638" s="2" t="s">
        <v>1680</v>
      </c>
      <c r="S638" s="4">
        <v>44837</v>
      </c>
    </row>
    <row r="639" spans="1:19" ht="12.5" x14ac:dyDescent="0.25">
      <c r="A639" s="14" t="str">
        <f>HYPERLINK("https://gerandofalcoes.my.salesforce.com/0014P00003AN2FkQAL", "0014P00003AN2FkQAL")</f>
        <v>0014P00003AN2FkQAL</v>
      </c>
      <c r="B639" s="2" t="s">
        <v>1753</v>
      </c>
      <c r="C639" s="2" t="s">
        <v>423</v>
      </c>
      <c r="D639" s="2" t="s">
        <v>27</v>
      </c>
      <c r="E639" s="2">
        <v>51</v>
      </c>
      <c r="F639" s="2">
        <v>0</v>
      </c>
      <c r="G639" s="2">
        <v>4</v>
      </c>
      <c r="H639" s="2">
        <v>45000</v>
      </c>
      <c r="I639" s="2">
        <v>700</v>
      </c>
      <c r="J639" s="2" t="s">
        <v>1671</v>
      </c>
      <c r="K639" s="2">
        <v>60</v>
      </c>
      <c r="L639" s="2">
        <v>20</v>
      </c>
      <c r="M639" s="2">
        <v>0</v>
      </c>
      <c r="N639" s="2">
        <v>10</v>
      </c>
      <c r="O639" s="2">
        <v>10</v>
      </c>
      <c r="P639" s="2">
        <v>20</v>
      </c>
      <c r="Q639" s="2" t="s">
        <v>1754</v>
      </c>
      <c r="R639" s="2" t="s">
        <v>738</v>
      </c>
      <c r="S639" s="4">
        <v>44837</v>
      </c>
    </row>
    <row r="640" spans="1:19" ht="12.5" x14ac:dyDescent="0.25">
      <c r="A640" s="14" t="str">
        <f>HYPERLINK("https://gerandofalcoes.my.salesforce.com/0014P00003AN2FlQAL", "0014P00003AN2FlQAL")</f>
        <v>0014P00003AN2FlQAL</v>
      </c>
      <c r="B640" s="2" t="s">
        <v>1689</v>
      </c>
      <c r="C640" s="2" t="s">
        <v>423</v>
      </c>
      <c r="D640" s="2" t="s">
        <v>27</v>
      </c>
      <c r="E640" s="2">
        <v>85</v>
      </c>
      <c r="F640" s="2">
        <v>9</v>
      </c>
      <c r="G640" s="2">
        <v>5</v>
      </c>
      <c r="H640" s="2">
        <v>128126.51</v>
      </c>
      <c r="I640" s="2">
        <v>196</v>
      </c>
      <c r="J640" s="2" t="s">
        <v>1650</v>
      </c>
      <c r="K640" s="2">
        <v>72</v>
      </c>
      <c r="L640" s="2">
        <v>25</v>
      </c>
      <c r="M640" s="2">
        <v>10</v>
      </c>
      <c r="N640" s="2">
        <v>10</v>
      </c>
      <c r="O640" s="2">
        <v>15</v>
      </c>
      <c r="P640" s="2">
        <v>12</v>
      </c>
      <c r="Q640" s="2" t="s">
        <v>126</v>
      </c>
      <c r="R640" s="2" t="s">
        <v>1690</v>
      </c>
      <c r="S640" s="4">
        <v>44837</v>
      </c>
    </row>
    <row r="641" spans="1:19" ht="12.5" x14ac:dyDescent="0.25">
      <c r="A641" s="14" t="str">
        <f>HYPERLINK("https://gerandofalcoes.my.salesforce.com/0014P00003AN2FmQAL", "0014P00003AN2FmQAL")</f>
        <v>0014P00003AN2FmQAL</v>
      </c>
      <c r="B641" s="2" t="s">
        <v>1683</v>
      </c>
      <c r="C641" s="2" t="s">
        <v>1684</v>
      </c>
      <c r="D641" s="2" t="s">
        <v>27</v>
      </c>
      <c r="E641" s="2">
        <v>86</v>
      </c>
      <c r="F641" s="2">
        <v>30</v>
      </c>
      <c r="G641" s="2">
        <v>5</v>
      </c>
      <c r="H641" s="2">
        <v>969799.69</v>
      </c>
      <c r="I641" s="2">
        <v>111</v>
      </c>
      <c r="J641" s="2" t="s">
        <v>1654</v>
      </c>
      <c r="K641" s="2">
        <v>82</v>
      </c>
      <c r="L641" s="2">
        <v>25</v>
      </c>
      <c r="M641" s="2">
        <v>12</v>
      </c>
      <c r="N641" s="2">
        <v>10</v>
      </c>
      <c r="O641" s="2">
        <v>25</v>
      </c>
      <c r="P641" s="2">
        <v>10</v>
      </c>
      <c r="Q641" s="2" t="s">
        <v>127</v>
      </c>
      <c r="R641" s="2" t="s">
        <v>127</v>
      </c>
      <c r="S641" s="4">
        <v>44837</v>
      </c>
    </row>
    <row r="642" spans="1:19" ht="12.5" x14ac:dyDescent="0.25">
      <c r="A642" s="14" t="str">
        <f>HYPERLINK("https://gerandofalcoes.my.salesforce.com/0014P00003AN2FnQAL", "0014P00003AN2FnQAL")</f>
        <v>0014P00003AN2FnQAL</v>
      </c>
      <c r="B642" s="2" t="s">
        <v>128</v>
      </c>
      <c r="C642" s="2" t="s">
        <v>423</v>
      </c>
      <c r="D642" s="2" t="s">
        <v>27</v>
      </c>
      <c r="E642" s="2">
        <v>90</v>
      </c>
      <c r="F642" s="2">
        <v>22</v>
      </c>
      <c r="G642" s="2">
        <v>3</v>
      </c>
      <c r="H642" s="2">
        <v>850231.83</v>
      </c>
      <c r="I642" s="2">
        <v>323</v>
      </c>
      <c r="J642" s="2" t="s">
        <v>1654</v>
      </c>
      <c r="K642" s="2">
        <v>90</v>
      </c>
      <c r="L642" s="2">
        <v>30</v>
      </c>
      <c r="M642" s="2">
        <v>12</v>
      </c>
      <c r="N642" s="2">
        <v>8</v>
      </c>
      <c r="O642" s="2">
        <v>25</v>
      </c>
      <c r="P642" s="2">
        <v>15</v>
      </c>
      <c r="Q642" s="2" t="s">
        <v>129</v>
      </c>
      <c r="R642" s="2" t="s">
        <v>129</v>
      </c>
      <c r="S642" s="4">
        <v>44837</v>
      </c>
    </row>
    <row r="643" spans="1:19" ht="12.5" x14ac:dyDescent="0.25">
      <c r="A643" s="14" t="str">
        <f>HYPERLINK("https://gerandofalcoes.my.salesforce.com/0014P00003SGWPvQAP", "0014P00003SGWPvQAP")</f>
        <v>0014P00003SGWPvQAP</v>
      </c>
      <c r="B643" s="2" t="s">
        <v>2499</v>
      </c>
      <c r="C643" s="2" t="s">
        <v>423</v>
      </c>
      <c r="D643" s="2" t="s">
        <v>2</v>
      </c>
      <c r="E643" s="2">
        <v>21.55</v>
      </c>
      <c r="F643" s="2">
        <v>0</v>
      </c>
      <c r="G643" s="2">
        <v>1</v>
      </c>
      <c r="H643" s="2">
        <v>33000</v>
      </c>
      <c r="I643" s="2">
        <v>100</v>
      </c>
      <c r="J643" s="2" t="s">
        <v>1779</v>
      </c>
      <c r="K643" s="2">
        <v>34</v>
      </c>
      <c r="L643" s="2">
        <v>10</v>
      </c>
      <c r="M643" s="2">
        <v>0</v>
      </c>
      <c r="N643" s="2">
        <v>4</v>
      </c>
      <c r="O643" s="2">
        <v>10</v>
      </c>
      <c r="P643" s="2">
        <v>10</v>
      </c>
      <c r="Q643" s="2" t="s">
        <v>189</v>
      </c>
      <c r="R643" s="2" t="s">
        <v>189</v>
      </c>
      <c r="S643" s="4">
        <v>44837</v>
      </c>
    </row>
    <row r="644" spans="1:19" ht="12.5" x14ac:dyDescent="0.25">
      <c r="A644" s="14" t="str">
        <f>HYPERLINK("https://gerandofalcoes.my.salesforce.com/0014P00003SGWPwQAP", "0014P00003SGWPwQAP")</f>
        <v>0014P00003SGWPwQAP</v>
      </c>
      <c r="B644" s="2" t="s">
        <v>2999</v>
      </c>
      <c r="C644" s="2" t="s">
        <v>1684</v>
      </c>
      <c r="D644" s="2" t="s">
        <v>2</v>
      </c>
      <c r="E644" s="2"/>
      <c r="F644" s="2">
        <v>0</v>
      </c>
      <c r="G644" s="2">
        <v>1</v>
      </c>
      <c r="H644" s="2">
        <v>0</v>
      </c>
      <c r="I644" s="2">
        <v>0</v>
      </c>
      <c r="J644" s="2" t="s">
        <v>1779</v>
      </c>
      <c r="K644" s="2">
        <v>4</v>
      </c>
      <c r="L644" s="2">
        <v>0</v>
      </c>
      <c r="M644" s="2">
        <v>0</v>
      </c>
      <c r="N644" s="2">
        <v>4</v>
      </c>
      <c r="O644" s="2">
        <v>0</v>
      </c>
      <c r="P644" s="2">
        <v>0</v>
      </c>
      <c r="Q644" s="2" t="s">
        <v>193</v>
      </c>
      <c r="R644" s="2" t="s">
        <v>1095</v>
      </c>
      <c r="S644" s="4">
        <v>44837</v>
      </c>
    </row>
    <row r="645" spans="1:19" ht="12.5" x14ac:dyDescent="0.25">
      <c r="A645" s="14" t="str">
        <f>HYPERLINK("https://gerandofalcoes.my.salesforce.com/0014P00003SGWPxQAP", "0014P00003SGWPxQAP")</f>
        <v>0014P00003SGWPxQAP</v>
      </c>
      <c r="B645" s="2" t="s">
        <v>1739</v>
      </c>
      <c r="C645" s="2" t="s">
        <v>423</v>
      </c>
      <c r="D645" s="2" t="s">
        <v>2</v>
      </c>
      <c r="E645" s="2">
        <v>41</v>
      </c>
      <c r="F645" s="2">
        <v>4</v>
      </c>
      <c r="G645" s="2">
        <v>3</v>
      </c>
      <c r="H645" s="2">
        <v>135000</v>
      </c>
      <c r="I645" s="2">
        <v>442</v>
      </c>
      <c r="J645" s="2" t="s">
        <v>1671</v>
      </c>
      <c r="K645" s="2">
        <v>58</v>
      </c>
      <c r="L645" s="2">
        <v>15</v>
      </c>
      <c r="M645" s="2">
        <v>5</v>
      </c>
      <c r="N645" s="2">
        <v>8</v>
      </c>
      <c r="O645" s="2">
        <v>15</v>
      </c>
      <c r="P645" s="2">
        <v>15</v>
      </c>
      <c r="Q645" s="2" t="s">
        <v>1106</v>
      </c>
      <c r="R645" s="2" t="s">
        <v>1106</v>
      </c>
      <c r="S645" s="4">
        <v>44837</v>
      </c>
    </row>
    <row r="646" spans="1:19" ht="12.5" x14ac:dyDescent="0.25">
      <c r="A646" s="14" t="str">
        <f>HYPERLINK("https://gerandofalcoes.my.salesforce.com/0014P00003SGWPzQAP", "0014P00003SGWPzQAP")</f>
        <v>0014P00003SGWPzQAP</v>
      </c>
      <c r="B646" s="2" t="s">
        <v>1708</v>
      </c>
      <c r="C646" s="2" t="s">
        <v>423</v>
      </c>
      <c r="D646" s="2" t="s">
        <v>2</v>
      </c>
      <c r="E646" s="2">
        <v>94</v>
      </c>
      <c r="F646" s="2">
        <v>10</v>
      </c>
      <c r="G646" s="2">
        <v>3</v>
      </c>
      <c r="H646" s="2">
        <v>330138</v>
      </c>
      <c r="I646" s="2">
        <v>100</v>
      </c>
      <c r="J646" s="2" t="s">
        <v>1650</v>
      </c>
      <c r="K646" s="2">
        <v>78</v>
      </c>
      <c r="L646" s="2">
        <v>30</v>
      </c>
      <c r="M646" s="2">
        <v>10</v>
      </c>
      <c r="N646" s="2">
        <v>8</v>
      </c>
      <c r="O646" s="2">
        <v>20</v>
      </c>
      <c r="P646" s="2">
        <v>10</v>
      </c>
      <c r="Q646" s="2" t="s">
        <v>1709</v>
      </c>
      <c r="R646" s="2" t="s">
        <v>199</v>
      </c>
      <c r="S646" s="4">
        <v>44837</v>
      </c>
    </row>
    <row r="647" spans="1:19" ht="12.5" x14ac:dyDescent="0.25">
      <c r="A647" s="14" t="str">
        <f>HYPERLINK("https://gerandofalcoes.my.salesforce.com/0014P00003SGWQ0QAP", "0014P00003SGWQ0QAP")</f>
        <v>0014P00003SGWQ0QAP</v>
      </c>
      <c r="B647" s="2" t="s">
        <v>201</v>
      </c>
      <c r="C647" s="2" t="s">
        <v>423</v>
      </c>
      <c r="D647" s="2" t="s">
        <v>2</v>
      </c>
      <c r="E647" s="2">
        <v>39</v>
      </c>
      <c r="F647" s="2">
        <v>6</v>
      </c>
      <c r="G647" s="2">
        <v>3</v>
      </c>
      <c r="H647" s="2">
        <v>24338140</v>
      </c>
      <c r="I647" s="2">
        <v>90</v>
      </c>
      <c r="J647" s="2" t="s">
        <v>1650</v>
      </c>
      <c r="K647" s="2">
        <v>68</v>
      </c>
      <c r="L647" s="2">
        <v>15</v>
      </c>
      <c r="M647" s="2">
        <v>10</v>
      </c>
      <c r="N647" s="2">
        <v>8</v>
      </c>
      <c r="O647" s="2">
        <v>25</v>
      </c>
      <c r="P647" s="2">
        <v>10</v>
      </c>
      <c r="Q647" s="2" t="s">
        <v>202</v>
      </c>
      <c r="R647" s="2" t="s">
        <v>1077</v>
      </c>
      <c r="S647" s="4">
        <v>44837</v>
      </c>
    </row>
    <row r="648" spans="1:19" ht="12.5" x14ac:dyDescent="0.25">
      <c r="A648" s="14" t="str">
        <f>HYPERLINK("https://gerandofalcoes.my.salesforce.com/0014P00003SGWQ1QAP", "0014P00003SGWQ1QAP")</f>
        <v>0014P00003SGWQ1QAP</v>
      </c>
      <c r="B648" s="2" t="s">
        <v>205</v>
      </c>
      <c r="C648" s="2" t="s">
        <v>423</v>
      </c>
      <c r="D648" s="2" t="s">
        <v>2</v>
      </c>
      <c r="E648" s="2">
        <v>30</v>
      </c>
      <c r="F648" s="2">
        <v>6</v>
      </c>
      <c r="G648" s="2">
        <v>2</v>
      </c>
      <c r="H648" s="2">
        <v>926170</v>
      </c>
      <c r="I648" s="2">
        <v>600</v>
      </c>
      <c r="J648" s="2" t="s">
        <v>1650</v>
      </c>
      <c r="K648" s="2">
        <v>76</v>
      </c>
      <c r="L648" s="2">
        <v>15</v>
      </c>
      <c r="M648" s="2">
        <v>10</v>
      </c>
      <c r="N648" s="2">
        <v>6</v>
      </c>
      <c r="O648" s="2">
        <v>25</v>
      </c>
      <c r="P648" s="2">
        <v>20</v>
      </c>
      <c r="Q648" s="2" t="s">
        <v>206</v>
      </c>
      <c r="R648" s="2" t="s">
        <v>2090</v>
      </c>
      <c r="S648" s="4">
        <v>44837</v>
      </c>
    </row>
    <row r="649" spans="1:19" ht="12.5" x14ac:dyDescent="0.25">
      <c r="A649" s="14" t="str">
        <f>HYPERLINK("https://gerandofalcoes.my.salesforce.com/0014P00003SGWQ2QAP", "0014P00003SGWQ2QAP")</f>
        <v>0014P00003SGWQ2QAP</v>
      </c>
      <c r="B649" s="2" t="s">
        <v>194</v>
      </c>
      <c r="C649" s="2" t="s">
        <v>423</v>
      </c>
      <c r="D649" s="2" t="s">
        <v>2</v>
      </c>
      <c r="E649" s="2">
        <v>28.78</v>
      </c>
      <c r="F649" s="2">
        <v>0</v>
      </c>
      <c r="G649" s="2">
        <v>3</v>
      </c>
      <c r="H649" s="2">
        <v>0</v>
      </c>
      <c r="I649" s="2">
        <v>150</v>
      </c>
      <c r="J649" s="2" t="s">
        <v>1779</v>
      </c>
      <c r="K649" s="2">
        <v>35</v>
      </c>
      <c r="L649" s="2">
        <v>15</v>
      </c>
      <c r="M649" s="2">
        <v>0</v>
      </c>
      <c r="N649" s="2">
        <v>8</v>
      </c>
      <c r="O649" s="2">
        <v>0</v>
      </c>
      <c r="P649" s="2">
        <v>12</v>
      </c>
      <c r="Q649" s="2" t="s">
        <v>195</v>
      </c>
      <c r="R649" s="2" t="s">
        <v>1128</v>
      </c>
      <c r="S649" s="4">
        <v>44837</v>
      </c>
    </row>
    <row r="650" spans="1:19" ht="12.5" x14ac:dyDescent="0.25">
      <c r="A650" s="14" t="str">
        <f>HYPERLINK("https://gerandofalcoes.my.salesforce.com/0014P00003YSp7UQAT", "0014P00003YSp7UQAT")</f>
        <v>0014P00003YSp7UQAT</v>
      </c>
      <c r="B650" s="2" t="s">
        <v>2098</v>
      </c>
      <c r="C650" s="2" t="s">
        <v>1800</v>
      </c>
      <c r="D650" s="2" t="s">
        <v>2</v>
      </c>
      <c r="E650" s="2">
        <v>35</v>
      </c>
      <c r="F650" s="2">
        <v>3</v>
      </c>
      <c r="G650" s="2">
        <v>0</v>
      </c>
      <c r="H650" s="2">
        <v>11000</v>
      </c>
      <c r="I650" s="2">
        <v>200</v>
      </c>
      <c r="J650" s="2" t="s">
        <v>1779</v>
      </c>
      <c r="K650" s="2">
        <v>37</v>
      </c>
      <c r="L650" s="2">
        <v>15</v>
      </c>
      <c r="M650" s="2">
        <v>5</v>
      </c>
      <c r="N650" s="2">
        <v>0</v>
      </c>
      <c r="O650" s="2">
        <v>5</v>
      </c>
      <c r="P650" s="2">
        <v>12</v>
      </c>
      <c r="Q650" s="2" t="s">
        <v>2099</v>
      </c>
      <c r="R650" s="2" t="s">
        <v>2099</v>
      </c>
      <c r="S650" s="4">
        <v>44837</v>
      </c>
    </row>
    <row r="651" spans="1:19" ht="12.5" x14ac:dyDescent="0.25">
      <c r="A651" s="14" t="str">
        <f>HYPERLINK("https://gerandofalcoes.my.salesforce.com/0014P00003YSp7RQAT", "0014P00003YSp7RQAT")</f>
        <v>0014P00003YSp7RQAT</v>
      </c>
      <c r="B651" s="2" t="s">
        <v>2272</v>
      </c>
      <c r="C651" s="2" t="s">
        <v>423</v>
      </c>
      <c r="D651" s="2" t="s">
        <v>2</v>
      </c>
      <c r="E651" s="2">
        <v>30</v>
      </c>
      <c r="F651" s="2">
        <v>1</v>
      </c>
      <c r="G651" s="2">
        <v>2</v>
      </c>
      <c r="H651" s="2">
        <v>25000</v>
      </c>
      <c r="I651" s="2">
        <v>60</v>
      </c>
      <c r="J651" s="2" t="s">
        <v>1671</v>
      </c>
      <c r="K651" s="2">
        <v>41</v>
      </c>
      <c r="L651" s="2">
        <v>15</v>
      </c>
      <c r="M651" s="2">
        <v>5</v>
      </c>
      <c r="N651" s="2">
        <v>6</v>
      </c>
      <c r="O651" s="2">
        <v>10</v>
      </c>
      <c r="P651" s="2">
        <v>5</v>
      </c>
      <c r="Q651" s="2" t="s">
        <v>2273</v>
      </c>
      <c r="R651" s="2" t="s">
        <v>2274</v>
      </c>
      <c r="S651" s="4">
        <v>44837</v>
      </c>
    </row>
    <row r="652" spans="1:19" ht="12.5" x14ac:dyDescent="0.25">
      <c r="A652" s="14" t="str">
        <f>HYPERLINK("https://gerandofalcoes.my.salesforce.com/0014P00003YSp7SQAT", "0014P00003YSp7SQAT")</f>
        <v>0014P00003YSp7SQAT</v>
      </c>
      <c r="B652" s="2" t="s">
        <v>2619</v>
      </c>
      <c r="C652" s="2" t="s">
        <v>423</v>
      </c>
      <c r="D652" s="2" t="s">
        <v>2</v>
      </c>
      <c r="E652" s="2">
        <v>25</v>
      </c>
      <c r="F652" s="2">
        <v>0</v>
      </c>
      <c r="G652" s="2">
        <v>4</v>
      </c>
      <c r="H652" s="2">
        <v>39200</v>
      </c>
      <c r="I652" s="2">
        <v>1</v>
      </c>
      <c r="J652" s="2" t="s">
        <v>1671</v>
      </c>
      <c r="K652" s="2">
        <v>40</v>
      </c>
      <c r="L652" s="2">
        <v>15</v>
      </c>
      <c r="M652" s="2">
        <v>0</v>
      </c>
      <c r="N652" s="2">
        <v>10</v>
      </c>
      <c r="O652" s="2">
        <v>10</v>
      </c>
      <c r="P652" s="2">
        <v>5</v>
      </c>
      <c r="Q652" s="2" t="s">
        <v>2620</v>
      </c>
      <c r="R652" s="2" t="s">
        <v>2621</v>
      </c>
      <c r="S652" s="4">
        <v>44837</v>
      </c>
    </row>
    <row r="653" spans="1:19" ht="12.5" x14ac:dyDescent="0.25">
      <c r="A653" s="14" t="str">
        <f>HYPERLINK("https://gerandofalcoes.my.salesforce.com/0014P00003YSp7TQAT", "0014P00003YSp7TQAT")</f>
        <v>0014P00003YSp7TQAT</v>
      </c>
      <c r="B653" s="2" t="s">
        <v>2614</v>
      </c>
      <c r="C653" s="2" t="s">
        <v>1800</v>
      </c>
      <c r="D653" s="2" t="s">
        <v>2</v>
      </c>
      <c r="E653" s="2">
        <v>19</v>
      </c>
      <c r="F653" s="2">
        <v>0</v>
      </c>
      <c r="G653" s="2">
        <v>0</v>
      </c>
      <c r="H653" s="2">
        <v>0</v>
      </c>
      <c r="I653" s="2">
        <v>0</v>
      </c>
      <c r="J653" s="2" t="s">
        <v>1779</v>
      </c>
      <c r="K653" s="2">
        <v>10</v>
      </c>
      <c r="L653" s="2">
        <v>10</v>
      </c>
      <c r="M653" s="2">
        <v>0</v>
      </c>
      <c r="N653" s="2">
        <v>0</v>
      </c>
      <c r="O653" s="2">
        <v>0</v>
      </c>
      <c r="P653" s="2">
        <v>0</v>
      </c>
      <c r="Q653" s="2" t="s">
        <v>2615</v>
      </c>
      <c r="R653" s="2" t="s">
        <v>2615</v>
      </c>
      <c r="S653" s="4">
        <v>44837</v>
      </c>
    </row>
    <row r="654" spans="1:19" ht="12.5" x14ac:dyDescent="0.25">
      <c r="A654" s="14" t="str">
        <f>HYPERLINK("https://gerandofalcoes.my.salesforce.com/0014P00003YSp7VQAT", "0014P00003YSp7VQAT")</f>
        <v>0014P00003YSp7VQAT</v>
      </c>
      <c r="B654" s="2" t="s">
        <v>2546</v>
      </c>
      <c r="C654" s="2" t="s">
        <v>423</v>
      </c>
      <c r="D654" s="2" t="s">
        <v>2</v>
      </c>
      <c r="E654" s="2">
        <v>20.14</v>
      </c>
      <c r="F654" s="2">
        <v>0</v>
      </c>
      <c r="G654" s="2">
        <v>2</v>
      </c>
      <c r="H654" s="2">
        <v>12700</v>
      </c>
      <c r="I654" s="2">
        <v>50</v>
      </c>
      <c r="J654" s="2" t="s">
        <v>1779</v>
      </c>
      <c r="K654" s="2">
        <v>26</v>
      </c>
      <c r="L654" s="2">
        <v>10</v>
      </c>
      <c r="M654" s="2">
        <v>0</v>
      </c>
      <c r="N654" s="2">
        <v>6</v>
      </c>
      <c r="O654" s="2">
        <v>5</v>
      </c>
      <c r="P654" s="2">
        <v>5</v>
      </c>
      <c r="Q654" s="2" t="s">
        <v>2547</v>
      </c>
      <c r="R654" s="2" t="s">
        <v>2548</v>
      </c>
      <c r="S654" s="4">
        <v>44837</v>
      </c>
    </row>
    <row r="655" spans="1:19" ht="12.5" x14ac:dyDescent="0.25">
      <c r="A655" s="14" t="str">
        <f>HYPERLINK("https://gerandofalcoes.my.salesforce.com/0014P00003YSp7XQAT", "0014P00003YSp7XQAT")</f>
        <v>0014P00003YSp7XQAT</v>
      </c>
      <c r="B655" s="2" t="s">
        <v>2511</v>
      </c>
      <c r="C655" s="2" t="s">
        <v>423</v>
      </c>
      <c r="D655" s="2" t="s">
        <v>2</v>
      </c>
      <c r="E655" s="2">
        <v>21</v>
      </c>
      <c r="F655" s="2">
        <v>0</v>
      </c>
      <c r="G655" s="2">
        <v>3</v>
      </c>
      <c r="H655" s="2">
        <v>8200</v>
      </c>
      <c r="I655" s="2">
        <v>109</v>
      </c>
      <c r="J655" s="2" t="s">
        <v>1779</v>
      </c>
      <c r="K655" s="2">
        <v>33</v>
      </c>
      <c r="L655" s="2">
        <v>10</v>
      </c>
      <c r="M655" s="2">
        <v>0</v>
      </c>
      <c r="N655" s="2">
        <v>8</v>
      </c>
      <c r="O655" s="2">
        <v>5</v>
      </c>
      <c r="P655" s="2">
        <v>10</v>
      </c>
      <c r="Q655" s="2" t="s">
        <v>2512</v>
      </c>
      <c r="R655" s="2" t="s">
        <v>2513</v>
      </c>
      <c r="S655" s="4">
        <v>44837</v>
      </c>
    </row>
    <row r="656" spans="1:19" ht="12.5" x14ac:dyDescent="0.25">
      <c r="A656" s="14" t="str">
        <f>HYPERLINK("https://gerandofalcoes.my.salesforce.com/0014P00003YSp7YQAT", "0014P00003YSp7YQAT")</f>
        <v>0014P00003YSp7YQAT</v>
      </c>
      <c r="B656" s="2" t="s">
        <v>2001</v>
      </c>
      <c r="C656" s="2" t="s">
        <v>1684</v>
      </c>
      <c r="D656" s="2" t="s">
        <v>2</v>
      </c>
      <c r="E656" s="2">
        <v>39</v>
      </c>
      <c r="F656" s="2">
        <v>1</v>
      </c>
      <c r="G656" s="2">
        <v>0</v>
      </c>
      <c r="H656" s="2">
        <v>0</v>
      </c>
      <c r="I656" s="2">
        <v>0</v>
      </c>
      <c r="J656" s="2" t="s">
        <v>1779</v>
      </c>
      <c r="K656" s="2">
        <v>20</v>
      </c>
      <c r="L656" s="2">
        <v>15</v>
      </c>
      <c r="M656" s="2">
        <v>5</v>
      </c>
      <c r="N656" s="2">
        <v>0</v>
      </c>
      <c r="O656" s="2">
        <v>0</v>
      </c>
      <c r="P656" s="2">
        <v>0</v>
      </c>
      <c r="Q656" s="2" t="s">
        <v>2002</v>
      </c>
      <c r="R656" s="2" t="s">
        <v>2003</v>
      </c>
      <c r="S656" s="4">
        <v>44837</v>
      </c>
    </row>
    <row r="657" spans="1:19" ht="12.5" x14ac:dyDescent="0.25">
      <c r="A657" s="14" t="str">
        <f>HYPERLINK("https://gerandofalcoes.my.salesforce.com/0014X00002VKCq2QAH", "0014X00002VKCq2QAH")</f>
        <v>0014X00002VKCq2QAH</v>
      </c>
      <c r="B657" s="2" t="s">
        <v>2390</v>
      </c>
      <c r="C657" s="2" t="s">
        <v>423</v>
      </c>
      <c r="D657" s="2" t="s">
        <v>2</v>
      </c>
      <c r="E657" s="2">
        <v>25.27</v>
      </c>
      <c r="F657" s="2">
        <v>0</v>
      </c>
      <c r="G657" s="2">
        <v>0</v>
      </c>
      <c r="H657" s="2">
        <v>0</v>
      </c>
      <c r="I657" s="2">
        <v>312</v>
      </c>
      <c r="J657" s="2" t="s">
        <v>1779</v>
      </c>
      <c r="K657" s="2">
        <v>30</v>
      </c>
      <c r="L657" s="2">
        <v>15</v>
      </c>
      <c r="M657" s="2">
        <v>0</v>
      </c>
      <c r="N657" s="2">
        <v>0</v>
      </c>
      <c r="O657" s="2">
        <v>0</v>
      </c>
      <c r="P657" s="2">
        <v>15</v>
      </c>
      <c r="Q657" s="2" t="s">
        <v>2391</v>
      </c>
      <c r="R657" s="2" t="s">
        <v>2392</v>
      </c>
      <c r="S657" s="4">
        <v>44837</v>
      </c>
    </row>
    <row r="658" spans="1:19" ht="12.5" x14ac:dyDescent="0.25">
      <c r="A658" s="14" t="str">
        <f>HYPERLINK("https://gerandofalcoes.my.salesforce.com/0014X00002VKCsGQAX", "0014X00002VKCsGQAX")</f>
        <v>0014X00002VKCsGQAX</v>
      </c>
      <c r="B658" s="2" t="s">
        <v>2657</v>
      </c>
      <c r="C658" s="2" t="s">
        <v>423</v>
      </c>
      <c r="D658" s="2" t="s">
        <v>2</v>
      </c>
      <c r="E658" s="2">
        <v>17</v>
      </c>
      <c r="F658" s="2">
        <v>0</v>
      </c>
      <c r="G658" s="2">
        <v>2</v>
      </c>
      <c r="H658" s="2">
        <v>50</v>
      </c>
      <c r="I658" s="2">
        <v>100</v>
      </c>
      <c r="J658" s="2" t="s">
        <v>1779</v>
      </c>
      <c r="K658" s="2">
        <v>31</v>
      </c>
      <c r="L658" s="2">
        <v>10</v>
      </c>
      <c r="M658" s="2">
        <v>0</v>
      </c>
      <c r="N658" s="2">
        <v>6</v>
      </c>
      <c r="O658" s="2">
        <v>5</v>
      </c>
      <c r="P658" s="2">
        <v>10</v>
      </c>
      <c r="Q658" s="2" t="s">
        <v>2658</v>
      </c>
      <c r="R658" s="2" t="s">
        <v>2659</v>
      </c>
      <c r="S658" s="4">
        <v>44837</v>
      </c>
    </row>
    <row r="659" spans="1:19" ht="12.5" x14ac:dyDescent="0.25">
      <c r="A659" s="14" t="str">
        <f>HYPERLINK("https://gerandofalcoes.my.salesforce.com/0014X00002VKCuhQAH", "0014X00002VKCuhQAH")</f>
        <v>0014X00002VKCuhQAH</v>
      </c>
      <c r="B659" s="2" t="s">
        <v>2423</v>
      </c>
      <c r="C659" s="2" t="s">
        <v>1800</v>
      </c>
      <c r="D659" s="2" t="s">
        <v>2</v>
      </c>
      <c r="E659" s="2">
        <v>25</v>
      </c>
      <c r="F659" s="2">
        <v>0</v>
      </c>
      <c r="G659" s="2">
        <v>3</v>
      </c>
      <c r="H659" s="2">
        <v>12000</v>
      </c>
      <c r="I659" s="2">
        <v>0</v>
      </c>
      <c r="J659" s="2" t="s">
        <v>1779</v>
      </c>
      <c r="K659" s="2">
        <v>28</v>
      </c>
      <c r="L659" s="2">
        <v>15</v>
      </c>
      <c r="M659" s="2">
        <v>0</v>
      </c>
      <c r="N659" s="2">
        <v>8</v>
      </c>
      <c r="O659" s="2">
        <v>5</v>
      </c>
      <c r="P659" s="2">
        <v>0</v>
      </c>
      <c r="Q659" s="2" t="s">
        <v>2424</v>
      </c>
      <c r="R659" s="2" t="s">
        <v>2424</v>
      </c>
      <c r="S659" s="4">
        <v>44837</v>
      </c>
    </row>
    <row r="660" spans="1:19" ht="12.5" x14ac:dyDescent="0.25">
      <c r="A660" s="14" t="str">
        <f>HYPERLINK("https://gerandofalcoes.my.salesforce.com/0014X00002VKCp6QAH", "0014X00002VKCp6QAH")</f>
        <v>0014X00002VKCp6QAH</v>
      </c>
      <c r="B660" s="2" t="s">
        <v>2256</v>
      </c>
      <c r="C660" s="2" t="s">
        <v>423</v>
      </c>
      <c r="D660" s="2" t="s">
        <v>2</v>
      </c>
      <c r="E660" s="2">
        <v>30.75</v>
      </c>
      <c r="F660" s="2">
        <v>0</v>
      </c>
      <c r="G660" s="2">
        <v>1</v>
      </c>
      <c r="H660" s="2">
        <v>155845</v>
      </c>
      <c r="I660" s="2">
        <v>50</v>
      </c>
      <c r="J660" s="2" t="s">
        <v>1779</v>
      </c>
      <c r="K660" s="2">
        <v>39</v>
      </c>
      <c r="L660" s="2">
        <v>15</v>
      </c>
      <c r="M660" s="2">
        <v>0</v>
      </c>
      <c r="N660" s="2">
        <v>4</v>
      </c>
      <c r="O660" s="2">
        <v>15</v>
      </c>
      <c r="P660" s="2">
        <v>5</v>
      </c>
      <c r="Q660" s="2" t="s">
        <v>2257</v>
      </c>
      <c r="R660" s="2" t="s">
        <v>2258</v>
      </c>
      <c r="S660" s="4">
        <v>44837</v>
      </c>
    </row>
    <row r="661" spans="1:19" ht="12.5" x14ac:dyDescent="0.25">
      <c r="A661" s="14" t="str">
        <f>HYPERLINK("https://gerandofalcoes.my.salesforce.com/0014X00002VKCuLQAX", "0014X00002VKCuLQAX")</f>
        <v>0014X00002VKCuLQAX</v>
      </c>
      <c r="B661" s="2" t="s">
        <v>2950</v>
      </c>
      <c r="C661" s="2" t="s">
        <v>423</v>
      </c>
      <c r="D661" s="2" t="s">
        <v>2</v>
      </c>
      <c r="E661" s="2">
        <v>24</v>
      </c>
      <c r="F661" s="2">
        <v>0</v>
      </c>
      <c r="G661" s="2">
        <v>2</v>
      </c>
      <c r="H661" s="2">
        <v>5000</v>
      </c>
      <c r="I661" s="2">
        <v>130</v>
      </c>
      <c r="J661" s="2" t="s">
        <v>1779</v>
      </c>
      <c r="K661" s="2">
        <v>31</v>
      </c>
      <c r="L661" s="2">
        <v>10</v>
      </c>
      <c r="M661" s="2">
        <v>0</v>
      </c>
      <c r="N661" s="2">
        <v>6</v>
      </c>
      <c r="O661" s="2">
        <v>5</v>
      </c>
      <c r="P661" s="2">
        <v>10</v>
      </c>
      <c r="Q661" s="2" t="s">
        <v>2951</v>
      </c>
      <c r="R661" s="2" t="s">
        <v>2951</v>
      </c>
      <c r="S661" s="4">
        <v>44837</v>
      </c>
    </row>
    <row r="662" spans="1:19" ht="12.5" x14ac:dyDescent="0.25">
      <c r="A662" s="14" t="str">
        <f>HYPERLINK("https://gerandofalcoes.my.salesforce.com/0014X00002VKCpFQAX", "0014X00002VKCpFQAX")</f>
        <v>0014X00002VKCpFQAX</v>
      </c>
      <c r="B662" s="2" t="s">
        <v>2757</v>
      </c>
      <c r="C662" s="2" t="s">
        <v>1800</v>
      </c>
      <c r="D662" s="2" t="s">
        <v>2</v>
      </c>
      <c r="E662" s="2">
        <v>14</v>
      </c>
      <c r="F662" s="2">
        <v>0</v>
      </c>
      <c r="G662" s="2">
        <v>2</v>
      </c>
      <c r="H662" s="2">
        <v>5000</v>
      </c>
      <c r="I662" s="2">
        <v>30</v>
      </c>
      <c r="J662" s="2" t="s">
        <v>1779</v>
      </c>
      <c r="K662" s="2">
        <v>26</v>
      </c>
      <c r="L662" s="2">
        <v>10</v>
      </c>
      <c r="M662" s="2">
        <v>0</v>
      </c>
      <c r="N662" s="2">
        <v>6</v>
      </c>
      <c r="O662" s="2">
        <v>5</v>
      </c>
      <c r="P662" s="2">
        <v>5</v>
      </c>
      <c r="Q662" s="2" t="s">
        <v>2758</v>
      </c>
      <c r="R662" s="2" t="s">
        <v>2758</v>
      </c>
      <c r="S662" s="4">
        <v>44837</v>
      </c>
    </row>
    <row r="663" spans="1:19" ht="12.5" x14ac:dyDescent="0.25">
      <c r="A663" s="14" t="str">
        <f>HYPERLINK("https://gerandofalcoes.my.salesforce.com/0014X00002VKCt0QAH", "0014X00002VKCt0QAH")</f>
        <v>0014X00002VKCt0QAH</v>
      </c>
      <c r="B663" s="2" t="s">
        <v>1975</v>
      </c>
      <c r="C663" s="2" t="s">
        <v>423</v>
      </c>
      <c r="D663" s="2" t="s">
        <v>2</v>
      </c>
      <c r="E663" s="2">
        <v>53</v>
      </c>
      <c r="F663" s="2">
        <v>0</v>
      </c>
      <c r="G663" s="2">
        <v>4</v>
      </c>
      <c r="H663" s="2">
        <v>124243</v>
      </c>
      <c r="I663" s="2">
        <v>50</v>
      </c>
      <c r="J663" s="2" t="s">
        <v>1671</v>
      </c>
      <c r="K663" s="2">
        <v>50</v>
      </c>
      <c r="L663" s="2">
        <v>20</v>
      </c>
      <c r="M663" s="2">
        <v>0</v>
      </c>
      <c r="N663" s="2">
        <v>10</v>
      </c>
      <c r="O663" s="2">
        <v>15</v>
      </c>
      <c r="P663" s="2">
        <v>5</v>
      </c>
      <c r="Q663" s="2" t="s">
        <v>1976</v>
      </c>
      <c r="R663" s="2" t="s">
        <v>1976</v>
      </c>
      <c r="S663" s="4">
        <v>44837</v>
      </c>
    </row>
    <row r="664" spans="1:19" ht="12.5" x14ac:dyDescent="0.25">
      <c r="A664" s="14" t="str">
        <f>HYPERLINK("https://gerandofalcoes.my.salesforce.com/0014X00002VKCv4QAH", "0014X00002VKCv4QAH")</f>
        <v>0014X00002VKCv4QAH</v>
      </c>
      <c r="B664" s="2" t="s">
        <v>1788</v>
      </c>
      <c r="C664" s="2" t="s">
        <v>1800</v>
      </c>
      <c r="D664" s="2" t="s">
        <v>2</v>
      </c>
      <c r="E664" s="2">
        <v>56</v>
      </c>
      <c r="F664" s="2">
        <v>1</v>
      </c>
      <c r="G664" s="2">
        <v>2</v>
      </c>
      <c r="H664" s="2">
        <v>63500</v>
      </c>
      <c r="I664" s="2">
        <v>74</v>
      </c>
      <c r="J664" s="2" t="s">
        <v>1671</v>
      </c>
      <c r="K664" s="2">
        <v>46</v>
      </c>
      <c r="L664" s="2">
        <v>20</v>
      </c>
      <c r="M664" s="2">
        <v>5</v>
      </c>
      <c r="N664" s="2">
        <v>6</v>
      </c>
      <c r="O664" s="2">
        <v>10</v>
      </c>
      <c r="P664" s="2">
        <v>5</v>
      </c>
      <c r="Q664" s="2" t="s">
        <v>1789</v>
      </c>
      <c r="R664" s="2" t="s">
        <v>1790</v>
      </c>
      <c r="S664" s="4">
        <v>44837</v>
      </c>
    </row>
    <row r="665" spans="1:19" ht="12.5" x14ac:dyDescent="0.25">
      <c r="A665" s="14" t="str">
        <f>HYPERLINK("https://gerandofalcoes.my.salesforce.com/0014X00002VKCpzQAH", "0014X00002VKCpzQAH")</f>
        <v>0014X00002VKCpzQAH</v>
      </c>
      <c r="B665" s="2" t="s">
        <v>2346</v>
      </c>
      <c r="C665" s="2" t="s">
        <v>423</v>
      </c>
      <c r="D665" s="2" t="s">
        <v>2</v>
      </c>
      <c r="E665" s="2">
        <v>27.04</v>
      </c>
      <c r="F665" s="2">
        <v>0</v>
      </c>
      <c r="G665" s="2">
        <v>2</v>
      </c>
      <c r="H665" s="2">
        <v>38315</v>
      </c>
      <c r="I665" s="2">
        <v>120</v>
      </c>
      <c r="J665" s="2" t="s">
        <v>1671</v>
      </c>
      <c r="K665" s="2">
        <v>41</v>
      </c>
      <c r="L665" s="2">
        <v>15</v>
      </c>
      <c r="M665" s="2">
        <v>0</v>
      </c>
      <c r="N665" s="2">
        <v>6</v>
      </c>
      <c r="O665" s="2">
        <v>10</v>
      </c>
      <c r="P665" s="2">
        <v>10</v>
      </c>
      <c r="Q665" s="2" t="s">
        <v>2347</v>
      </c>
      <c r="R665" s="2" t="s">
        <v>2348</v>
      </c>
      <c r="S665" s="4">
        <v>44837</v>
      </c>
    </row>
    <row r="666" spans="1:19" ht="12.5" x14ac:dyDescent="0.25">
      <c r="A666" s="14" t="str">
        <f>HYPERLINK("https://gerandofalcoes.my.salesforce.com/0014X00002VKCtuQAH", "0014X00002VKCtuQAH")</f>
        <v>0014X00002VKCtuQAH</v>
      </c>
      <c r="B666" s="2" t="s">
        <v>2768</v>
      </c>
      <c r="C666" s="2" t="s">
        <v>423</v>
      </c>
      <c r="D666" s="2" t="s">
        <v>2</v>
      </c>
      <c r="E666" s="2">
        <v>38</v>
      </c>
      <c r="F666" s="2">
        <v>0</v>
      </c>
      <c r="G666" s="2">
        <v>2</v>
      </c>
      <c r="H666" s="2">
        <v>254344</v>
      </c>
      <c r="I666" s="2">
        <v>0</v>
      </c>
      <c r="J666" s="2" t="s">
        <v>1779</v>
      </c>
      <c r="K666" s="2">
        <v>36</v>
      </c>
      <c r="L666" s="2">
        <v>15</v>
      </c>
      <c r="M666" s="2">
        <v>0</v>
      </c>
      <c r="N666" s="2">
        <v>6</v>
      </c>
      <c r="O666" s="2">
        <v>15</v>
      </c>
      <c r="P666" s="2">
        <v>0</v>
      </c>
      <c r="Q666" s="2" t="s">
        <v>2769</v>
      </c>
      <c r="R666" s="2" t="s">
        <v>2770</v>
      </c>
      <c r="S666" s="4">
        <v>44837</v>
      </c>
    </row>
    <row r="667" spans="1:19" ht="12.5" x14ac:dyDescent="0.25">
      <c r="A667" s="14" t="str">
        <f>HYPERLINK("https://gerandofalcoes.my.salesforce.com/0014X00002VKCr8QAH", "0014X00002VKCr8QAH")</f>
        <v>0014X00002VKCr8QAH</v>
      </c>
      <c r="B667" s="2" t="s">
        <v>2830</v>
      </c>
      <c r="C667" s="2" t="s">
        <v>423</v>
      </c>
      <c r="D667" s="2" t="s">
        <v>2</v>
      </c>
      <c r="E667" s="2">
        <v>60</v>
      </c>
      <c r="F667" s="2">
        <v>9</v>
      </c>
      <c r="G667" s="2">
        <v>3</v>
      </c>
      <c r="H667" s="2">
        <v>56000000</v>
      </c>
      <c r="I667" s="2">
        <v>0</v>
      </c>
      <c r="J667" s="2" t="s">
        <v>1671</v>
      </c>
      <c r="K667" s="2">
        <v>63</v>
      </c>
      <c r="L667" s="2">
        <v>20</v>
      </c>
      <c r="M667" s="2">
        <v>10</v>
      </c>
      <c r="N667" s="2">
        <v>8</v>
      </c>
      <c r="O667" s="2">
        <v>25</v>
      </c>
      <c r="P667" s="2">
        <v>0</v>
      </c>
      <c r="Q667" s="2" t="s">
        <v>2831</v>
      </c>
      <c r="R667" s="2" t="s">
        <v>2831</v>
      </c>
      <c r="S667" s="4">
        <v>44837</v>
      </c>
    </row>
    <row r="668" spans="1:19" ht="12.5" x14ac:dyDescent="0.25">
      <c r="A668" s="14" t="str">
        <f>HYPERLINK("https://gerandofalcoes.my.salesforce.com/0014X00002VKCr4QAH", "0014X00002VKCr4QAH")</f>
        <v>0014X00002VKCr4QAH</v>
      </c>
      <c r="B668" s="2" t="s">
        <v>2026</v>
      </c>
      <c r="C668" s="2" t="s">
        <v>423</v>
      </c>
      <c r="D668" s="2" t="s">
        <v>2</v>
      </c>
      <c r="E668" s="2">
        <v>47</v>
      </c>
      <c r="F668" s="2">
        <v>12</v>
      </c>
      <c r="G668" s="2">
        <v>5</v>
      </c>
      <c r="H668" s="2">
        <v>414092</v>
      </c>
      <c r="I668" s="2">
        <v>327</v>
      </c>
      <c r="J668" s="2" t="s">
        <v>1650</v>
      </c>
      <c r="K668" s="2">
        <v>72</v>
      </c>
      <c r="L668" s="2">
        <v>15</v>
      </c>
      <c r="M668" s="2">
        <v>12</v>
      </c>
      <c r="N668" s="2">
        <v>10</v>
      </c>
      <c r="O668" s="2">
        <v>20</v>
      </c>
      <c r="P668" s="2">
        <v>15</v>
      </c>
      <c r="Q668" s="2" t="s">
        <v>2027</v>
      </c>
      <c r="R668" s="2" t="s">
        <v>2027</v>
      </c>
      <c r="S668" s="4">
        <v>44837</v>
      </c>
    </row>
    <row r="669" spans="1:19" ht="12.5" x14ac:dyDescent="0.25">
      <c r="A669" s="14" t="str">
        <f>HYPERLINK("https://gerandofalcoes.my.salesforce.com/0014X00002VKCrlQAH", "0014X00002VKCrlQAH")</f>
        <v>0014X00002VKCrlQAH</v>
      </c>
      <c r="B669" s="2" t="s">
        <v>1850</v>
      </c>
      <c r="C669" s="2" t="s">
        <v>423</v>
      </c>
      <c r="D669" s="2" t="s">
        <v>2</v>
      </c>
      <c r="E669" s="2">
        <v>48</v>
      </c>
      <c r="F669" s="2">
        <v>0</v>
      </c>
      <c r="G669" s="2">
        <v>2</v>
      </c>
      <c r="H669" s="2">
        <v>30000</v>
      </c>
      <c r="I669" s="2">
        <v>30</v>
      </c>
      <c r="J669" s="2" t="s">
        <v>1779</v>
      </c>
      <c r="K669" s="2">
        <v>36</v>
      </c>
      <c r="L669" s="2">
        <v>15</v>
      </c>
      <c r="M669" s="2">
        <v>0</v>
      </c>
      <c r="N669" s="2">
        <v>6</v>
      </c>
      <c r="O669" s="2">
        <v>10</v>
      </c>
      <c r="P669" s="2">
        <v>5</v>
      </c>
      <c r="Q669" s="2" t="s">
        <v>1851</v>
      </c>
      <c r="R669" s="2" t="s">
        <v>1851</v>
      </c>
      <c r="S669" s="4">
        <v>44837</v>
      </c>
    </row>
    <row r="670" spans="1:19" ht="12.5" x14ac:dyDescent="0.25">
      <c r="A670" s="14" t="str">
        <f>HYPERLINK("https://gerandofalcoes.my.salesforce.com/0014X00002VKCpbQAH", "0014X00002VKCpbQAH")</f>
        <v>0014X00002VKCpbQAH</v>
      </c>
      <c r="B670" s="2" t="s">
        <v>1913</v>
      </c>
      <c r="C670" s="2" t="s">
        <v>423</v>
      </c>
      <c r="D670" s="2" t="s">
        <v>2</v>
      </c>
      <c r="E670" s="2">
        <v>43</v>
      </c>
      <c r="F670" s="2">
        <v>20</v>
      </c>
      <c r="G670" s="2">
        <v>3</v>
      </c>
      <c r="H670" s="2">
        <v>2000</v>
      </c>
      <c r="I670" s="2">
        <v>25</v>
      </c>
      <c r="J670" s="2" t="s">
        <v>1671</v>
      </c>
      <c r="K670" s="2">
        <v>45</v>
      </c>
      <c r="L670" s="2">
        <v>15</v>
      </c>
      <c r="M670" s="2">
        <v>12</v>
      </c>
      <c r="N670" s="2">
        <v>8</v>
      </c>
      <c r="O670" s="2">
        <v>5</v>
      </c>
      <c r="P670" s="2">
        <v>5</v>
      </c>
      <c r="Q670" s="2" t="s">
        <v>1914</v>
      </c>
      <c r="R670" s="2" t="s">
        <v>1914</v>
      </c>
      <c r="S670" s="4">
        <v>44837</v>
      </c>
    </row>
    <row r="671" spans="1:19" ht="12.5" x14ac:dyDescent="0.25">
      <c r="A671" s="14" t="str">
        <f>HYPERLINK("https://gerandofalcoes.my.salesforce.com/0014X00002VKCpYQAX", "0014X00002VKCpYQAX")</f>
        <v>0014X00002VKCpYQAX</v>
      </c>
      <c r="B671" s="2" t="s">
        <v>2328</v>
      </c>
      <c r="C671" s="2" t="s">
        <v>423</v>
      </c>
      <c r="D671" s="2" t="s">
        <v>2</v>
      </c>
      <c r="E671" s="2">
        <v>28</v>
      </c>
      <c r="F671" s="2">
        <v>0</v>
      </c>
      <c r="G671" s="2">
        <v>5</v>
      </c>
      <c r="H671" s="2">
        <v>4000</v>
      </c>
      <c r="I671" s="2">
        <v>30</v>
      </c>
      <c r="J671" s="2" t="s">
        <v>1779</v>
      </c>
      <c r="K671" s="2">
        <v>35</v>
      </c>
      <c r="L671" s="2">
        <v>15</v>
      </c>
      <c r="M671" s="2">
        <v>0</v>
      </c>
      <c r="N671" s="2">
        <v>10</v>
      </c>
      <c r="O671" s="2">
        <v>5</v>
      </c>
      <c r="P671" s="2">
        <v>5</v>
      </c>
      <c r="Q671" s="2" t="s">
        <v>2329</v>
      </c>
      <c r="R671" s="2" t="s">
        <v>2329</v>
      </c>
      <c r="S671" s="4">
        <v>44837</v>
      </c>
    </row>
    <row r="672" spans="1:19" ht="12.5" x14ac:dyDescent="0.25">
      <c r="A672" s="14" t="str">
        <f>HYPERLINK("https://gerandofalcoes.my.salesforce.com/0014X00002VKCuwQAH", "0014X00002VKCuwQAH")</f>
        <v>0014X00002VKCuwQAH</v>
      </c>
      <c r="B672" s="2" t="s">
        <v>2378</v>
      </c>
      <c r="C672" s="2" t="s">
        <v>1800</v>
      </c>
      <c r="D672" s="2" t="s">
        <v>2</v>
      </c>
      <c r="E672" s="2">
        <v>26</v>
      </c>
      <c r="F672" s="2">
        <v>0</v>
      </c>
      <c r="G672" s="2">
        <v>2</v>
      </c>
      <c r="H672" s="2">
        <v>50000</v>
      </c>
      <c r="I672" s="2">
        <v>0</v>
      </c>
      <c r="J672" s="2" t="s">
        <v>1779</v>
      </c>
      <c r="K672" s="2">
        <v>31</v>
      </c>
      <c r="L672" s="2">
        <v>15</v>
      </c>
      <c r="M672" s="2">
        <v>0</v>
      </c>
      <c r="N672" s="2">
        <v>6</v>
      </c>
      <c r="O672" s="2">
        <v>10</v>
      </c>
      <c r="P672" s="2">
        <v>0</v>
      </c>
      <c r="Q672" s="2" t="s">
        <v>2379</v>
      </c>
      <c r="R672" s="2" t="s">
        <v>2380</v>
      </c>
      <c r="S672" s="4">
        <v>44837</v>
      </c>
    </row>
    <row r="673" spans="1:19" ht="12.5" x14ac:dyDescent="0.25">
      <c r="A673" s="14" t="str">
        <f>HYPERLINK("https://gerandofalcoes.my.salesforce.com/0014X00002VKCugQAH", "0014X00002VKCugQAH")</f>
        <v>0014X00002VKCugQAH</v>
      </c>
      <c r="B673" s="2" t="s">
        <v>2935</v>
      </c>
      <c r="C673" s="2" t="s">
        <v>1800</v>
      </c>
      <c r="D673" s="2" t="s">
        <v>2</v>
      </c>
      <c r="E673" s="2">
        <v>6</v>
      </c>
      <c r="F673" s="2">
        <v>0</v>
      </c>
      <c r="G673" s="2">
        <v>2</v>
      </c>
      <c r="H673" s="2">
        <v>3000</v>
      </c>
      <c r="I673" s="2">
        <v>0</v>
      </c>
      <c r="J673" s="2" t="s">
        <v>1779</v>
      </c>
      <c r="K673" s="2">
        <v>21</v>
      </c>
      <c r="L673" s="2">
        <v>10</v>
      </c>
      <c r="M673" s="2">
        <v>0</v>
      </c>
      <c r="N673" s="2">
        <v>6</v>
      </c>
      <c r="O673" s="2">
        <v>5</v>
      </c>
      <c r="P673" s="2">
        <v>0</v>
      </c>
      <c r="Q673" s="2" t="s">
        <v>2936</v>
      </c>
      <c r="R673" s="2" t="s">
        <v>2937</v>
      </c>
      <c r="S673" s="4">
        <v>44837</v>
      </c>
    </row>
    <row r="674" spans="1:19" ht="12.5" x14ac:dyDescent="0.25">
      <c r="A674" s="14" t="str">
        <f>HYPERLINK("https://gerandofalcoes.my.salesforce.com/0014X00002VKCtDQAX", "0014X00002VKCtDQAX")</f>
        <v>0014X00002VKCtDQAX</v>
      </c>
      <c r="B674" s="2" t="s">
        <v>2955</v>
      </c>
      <c r="C674" s="2" t="s">
        <v>423</v>
      </c>
      <c r="D674" s="2" t="s">
        <v>2</v>
      </c>
      <c r="E674" s="2">
        <v>13</v>
      </c>
      <c r="F674" s="2">
        <v>5</v>
      </c>
      <c r="G674" s="2">
        <v>0</v>
      </c>
      <c r="H674" s="2">
        <v>0</v>
      </c>
      <c r="I674" s="2">
        <v>50</v>
      </c>
      <c r="J674" s="2" t="s">
        <v>1779</v>
      </c>
      <c r="K674" s="2">
        <v>20</v>
      </c>
      <c r="L674" s="2">
        <v>10</v>
      </c>
      <c r="M674" s="2">
        <v>5</v>
      </c>
      <c r="N674" s="2">
        <v>0</v>
      </c>
      <c r="O674" s="2">
        <v>0</v>
      </c>
      <c r="P674" s="2">
        <v>5</v>
      </c>
      <c r="Q674" s="2" t="s">
        <v>2956</v>
      </c>
      <c r="R674" s="2" t="s">
        <v>2957</v>
      </c>
      <c r="S674" s="4">
        <v>44837</v>
      </c>
    </row>
    <row r="675" spans="1:19" ht="12.5" x14ac:dyDescent="0.25">
      <c r="A675" s="14" t="str">
        <f>HYPERLINK("https://gerandofalcoes.my.salesforce.com/0014X00002VKCuVQAX", "0014X00002VKCuVQAX")</f>
        <v>0014X00002VKCuVQAX</v>
      </c>
      <c r="B675" s="2" t="s">
        <v>2675</v>
      </c>
      <c r="C675" s="2" t="s">
        <v>1800</v>
      </c>
      <c r="D675" s="2" t="s">
        <v>2</v>
      </c>
      <c r="E675" s="2">
        <v>17</v>
      </c>
      <c r="F675" s="2">
        <v>0</v>
      </c>
      <c r="G675" s="2">
        <v>2</v>
      </c>
      <c r="H675" s="2">
        <v>12000</v>
      </c>
      <c r="I675" s="2">
        <v>0</v>
      </c>
      <c r="J675" s="2" t="s">
        <v>1779</v>
      </c>
      <c r="K675" s="2">
        <v>21</v>
      </c>
      <c r="L675" s="2">
        <v>10</v>
      </c>
      <c r="M675" s="2">
        <v>0</v>
      </c>
      <c r="N675" s="2">
        <v>6</v>
      </c>
      <c r="O675" s="2">
        <v>5</v>
      </c>
      <c r="P675" s="2">
        <v>0</v>
      </c>
      <c r="Q675" s="2" t="s">
        <v>2676</v>
      </c>
      <c r="R675" s="2" t="s">
        <v>2676</v>
      </c>
      <c r="S675" s="4">
        <v>44837</v>
      </c>
    </row>
    <row r="676" spans="1:19" ht="12.5" x14ac:dyDescent="0.25">
      <c r="A676" s="14" t="str">
        <f>HYPERLINK("https://gerandofalcoes.my.salesforce.com/0014X00002VKCsoQAH", "0014X00002VKCsoQAH")</f>
        <v>0014X00002VKCsoQAH</v>
      </c>
      <c r="B676" s="2" t="s">
        <v>1885</v>
      </c>
      <c r="C676" s="2" t="s">
        <v>1800</v>
      </c>
      <c r="D676" s="2" t="s">
        <v>2</v>
      </c>
      <c r="E676" s="2">
        <v>44</v>
      </c>
      <c r="F676" s="2">
        <v>0</v>
      </c>
      <c r="G676" s="2">
        <v>5</v>
      </c>
      <c r="H676" s="2">
        <v>35000</v>
      </c>
      <c r="I676" s="2">
        <v>240</v>
      </c>
      <c r="J676" s="2" t="s">
        <v>1671</v>
      </c>
      <c r="K676" s="2">
        <v>47</v>
      </c>
      <c r="L676" s="2">
        <v>15</v>
      </c>
      <c r="M676" s="2">
        <v>0</v>
      </c>
      <c r="N676" s="2">
        <v>10</v>
      </c>
      <c r="O676" s="2">
        <v>10</v>
      </c>
      <c r="P676" s="2">
        <v>12</v>
      </c>
      <c r="Q676" s="2" t="s">
        <v>1886</v>
      </c>
      <c r="R676" s="2" t="s">
        <v>1886</v>
      </c>
      <c r="S676" s="4">
        <v>44837</v>
      </c>
    </row>
    <row r="677" spans="1:19" ht="12.5" x14ac:dyDescent="0.25">
      <c r="A677" s="14" t="str">
        <f>HYPERLINK("https://gerandofalcoes.my.salesforce.com/0014X00002VKCqzQAH", "0014X00002VKCqzQAH")</f>
        <v>0014X00002VKCqzQAH</v>
      </c>
      <c r="B677" s="2" t="s">
        <v>2490</v>
      </c>
      <c r="C677" s="2" t="s">
        <v>1800</v>
      </c>
      <c r="D677" s="2" t="s">
        <v>2</v>
      </c>
      <c r="E677" s="2">
        <v>22</v>
      </c>
      <c r="F677" s="2">
        <v>0</v>
      </c>
      <c r="G677" s="2">
        <v>3</v>
      </c>
      <c r="H677" s="2">
        <v>3000</v>
      </c>
      <c r="I677" s="2">
        <v>0</v>
      </c>
      <c r="J677" s="2" t="s">
        <v>1779</v>
      </c>
      <c r="K677" s="2">
        <v>23</v>
      </c>
      <c r="L677" s="2">
        <v>10</v>
      </c>
      <c r="M677" s="2">
        <v>0</v>
      </c>
      <c r="N677" s="2">
        <v>8</v>
      </c>
      <c r="O677" s="2">
        <v>5</v>
      </c>
      <c r="P677" s="2">
        <v>0</v>
      </c>
      <c r="Q677" s="2" t="s">
        <v>2491</v>
      </c>
      <c r="R677" s="2" t="s">
        <v>2491</v>
      </c>
      <c r="S677" s="4">
        <v>44837</v>
      </c>
    </row>
    <row r="678" spans="1:19" ht="12.5" x14ac:dyDescent="0.25">
      <c r="A678" s="14" t="str">
        <f>HYPERLINK("https://gerandofalcoes.my.salesforce.com/0014X00002VKCtAQAX", "0014X00002VKCtAQAX")</f>
        <v>0014X00002VKCtAQAX</v>
      </c>
      <c r="B678" s="2" t="s">
        <v>2267</v>
      </c>
      <c r="C678" s="2" t="s">
        <v>1800</v>
      </c>
      <c r="D678" s="2" t="s">
        <v>2</v>
      </c>
      <c r="E678" s="2">
        <v>30</v>
      </c>
      <c r="F678" s="2">
        <v>0</v>
      </c>
      <c r="G678" s="2">
        <v>3</v>
      </c>
      <c r="H678" s="2">
        <v>12000</v>
      </c>
      <c r="I678" s="2">
        <v>140</v>
      </c>
      <c r="J678" s="2" t="s">
        <v>1779</v>
      </c>
      <c r="K678" s="2">
        <v>38</v>
      </c>
      <c r="L678" s="2">
        <v>15</v>
      </c>
      <c r="M678" s="2">
        <v>0</v>
      </c>
      <c r="N678" s="2">
        <v>8</v>
      </c>
      <c r="O678" s="2">
        <v>5</v>
      </c>
      <c r="P678" s="2">
        <v>10</v>
      </c>
      <c r="Q678" s="2" t="s">
        <v>2268</v>
      </c>
      <c r="R678" s="2" t="s">
        <v>2269</v>
      </c>
      <c r="S678" s="4">
        <v>44837</v>
      </c>
    </row>
    <row r="679" spans="1:19" ht="12.5" x14ac:dyDescent="0.25">
      <c r="A679" s="14" t="str">
        <f>HYPERLINK("https://gerandofalcoes.my.salesforce.com/0014P00003YSp8eQAD", "0014P00003YSp8eQAD")</f>
        <v>0014P00003YSp8eQAD</v>
      </c>
      <c r="B679" s="2" t="s">
        <v>2309</v>
      </c>
      <c r="C679" s="2" t="s">
        <v>1800</v>
      </c>
      <c r="D679" s="2" t="s">
        <v>2</v>
      </c>
      <c r="E679" s="2">
        <v>29</v>
      </c>
      <c r="F679" s="2">
        <v>0</v>
      </c>
      <c r="G679" s="2">
        <v>3</v>
      </c>
      <c r="H679" s="2">
        <v>350000</v>
      </c>
      <c r="I679" s="2">
        <v>0</v>
      </c>
      <c r="J679" s="2" t="s">
        <v>1671</v>
      </c>
      <c r="K679" s="2">
        <v>43</v>
      </c>
      <c r="L679" s="2">
        <v>15</v>
      </c>
      <c r="M679" s="2">
        <v>0</v>
      </c>
      <c r="N679" s="2">
        <v>8</v>
      </c>
      <c r="O679" s="2">
        <v>20</v>
      </c>
      <c r="P679" s="2">
        <v>0</v>
      </c>
      <c r="Q679" s="2" t="s">
        <v>2310</v>
      </c>
      <c r="R679" s="2" t="s">
        <v>2311</v>
      </c>
      <c r="S679" s="4">
        <v>44837</v>
      </c>
    </row>
    <row r="680" spans="1:19" ht="12.5" x14ac:dyDescent="0.25">
      <c r="A680" s="14" t="str">
        <f>HYPERLINK("https://gerandofalcoes.my.salesforce.com/0014P00003YSp8fQAD", "0014P00003YSp8fQAD")</f>
        <v>0014P00003YSp8fQAD</v>
      </c>
      <c r="B680" s="2" t="s">
        <v>1713</v>
      </c>
      <c r="C680" s="2" t="s">
        <v>423</v>
      </c>
      <c r="D680" s="2" t="s">
        <v>2</v>
      </c>
      <c r="E680" s="2">
        <v>38</v>
      </c>
      <c r="F680" s="2">
        <v>7</v>
      </c>
      <c r="G680" s="2">
        <v>5</v>
      </c>
      <c r="H680" s="2">
        <v>19685789</v>
      </c>
      <c r="I680" s="2">
        <v>215</v>
      </c>
      <c r="J680" s="2" t="s">
        <v>1650</v>
      </c>
      <c r="K680" s="2">
        <v>72</v>
      </c>
      <c r="L680" s="2">
        <v>15</v>
      </c>
      <c r="M680" s="2">
        <v>10</v>
      </c>
      <c r="N680" s="2">
        <v>10</v>
      </c>
      <c r="O680" s="2">
        <v>25</v>
      </c>
      <c r="P680" s="2">
        <v>12</v>
      </c>
      <c r="Q680" s="2" t="s">
        <v>1714</v>
      </c>
      <c r="R680" s="2" t="s">
        <v>1715</v>
      </c>
      <c r="S680" s="4">
        <v>44837</v>
      </c>
    </row>
    <row r="681" spans="1:19" ht="12.5" x14ac:dyDescent="0.25">
      <c r="A681" s="14" t="str">
        <f>HYPERLINK("https://gerandofalcoes.my.salesforce.com/0014P00003YSp8gQAD", "0014P00003YSp8gQAD")</f>
        <v>0014P00003YSp8gQAD</v>
      </c>
      <c r="B681" s="2" t="s">
        <v>2635</v>
      </c>
      <c r="C681" s="2" t="s">
        <v>1800</v>
      </c>
      <c r="D681" s="2" t="s">
        <v>2</v>
      </c>
      <c r="E681" s="2">
        <v>18</v>
      </c>
      <c r="F681" s="2">
        <v>4</v>
      </c>
      <c r="G681" s="2">
        <v>2</v>
      </c>
      <c r="H681" s="2">
        <v>2000</v>
      </c>
      <c r="I681" s="2">
        <v>70</v>
      </c>
      <c r="J681" s="2" t="s">
        <v>1779</v>
      </c>
      <c r="K681" s="2">
        <v>31</v>
      </c>
      <c r="L681" s="2">
        <v>10</v>
      </c>
      <c r="M681" s="2">
        <v>5</v>
      </c>
      <c r="N681" s="2">
        <v>6</v>
      </c>
      <c r="O681" s="2">
        <v>5</v>
      </c>
      <c r="P681" s="2">
        <v>5</v>
      </c>
      <c r="Q681" s="2" t="s">
        <v>2636</v>
      </c>
      <c r="R681" s="2" t="s">
        <v>2636</v>
      </c>
      <c r="S681" s="4">
        <v>44837</v>
      </c>
    </row>
    <row r="682" spans="1:19" ht="12.5" x14ac:dyDescent="0.25">
      <c r="A682" s="14" t="str">
        <f>HYPERLINK("https://gerandofalcoes.my.salesforce.com/0014P00003YSp8hQAD", "0014P00003YSp8hQAD")</f>
        <v>0014P00003YSp8hQAD</v>
      </c>
      <c r="B682" s="2" t="s">
        <v>7179</v>
      </c>
      <c r="C682" s="2" t="s">
        <v>1800</v>
      </c>
      <c r="D682" s="2" t="s">
        <v>2</v>
      </c>
      <c r="E682" s="2">
        <v>11</v>
      </c>
      <c r="F682" s="2">
        <v>10</v>
      </c>
      <c r="G682" s="2">
        <v>2</v>
      </c>
      <c r="H682" s="2">
        <v>90000</v>
      </c>
      <c r="I682" s="2">
        <v>0</v>
      </c>
      <c r="J682" s="2" t="s">
        <v>1779</v>
      </c>
      <c r="K682" s="2">
        <v>36</v>
      </c>
      <c r="L682" s="2">
        <v>10</v>
      </c>
      <c r="M682" s="2">
        <v>10</v>
      </c>
      <c r="N682" s="2">
        <v>6</v>
      </c>
      <c r="O682" s="2">
        <v>10</v>
      </c>
      <c r="P682" s="2">
        <v>0</v>
      </c>
      <c r="Q682" s="2" t="s">
        <v>2843</v>
      </c>
      <c r="R682" s="2" t="s">
        <v>2843</v>
      </c>
      <c r="S682" s="4">
        <v>44837</v>
      </c>
    </row>
    <row r="683" spans="1:19" ht="12.5" x14ac:dyDescent="0.25">
      <c r="A683" s="14" t="str">
        <f>HYPERLINK("https://gerandofalcoes.my.salesforce.com/0014P00003YSp8iQAD", "0014P00003YSp8iQAD")</f>
        <v>0014P00003YSp8iQAD</v>
      </c>
      <c r="B683" s="2" t="s">
        <v>1770</v>
      </c>
      <c r="C683" s="2" t="s">
        <v>423</v>
      </c>
      <c r="D683" s="2" t="s">
        <v>2</v>
      </c>
      <c r="E683" s="2">
        <v>41</v>
      </c>
      <c r="F683" s="2">
        <v>5</v>
      </c>
      <c r="G683" s="2">
        <v>5</v>
      </c>
      <c r="H683" s="2">
        <v>1386827</v>
      </c>
      <c r="I683" s="2">
        <v>40</v>
      </c>
      <c r="J683" s="2" t="s">
        <v>1671</v>
      </c>
      <c r="K683" s="2">
        <v>60</v>
      </c>
      <c r="L683" s="2">
        <v>15</v>
      </c>
      <c r="M683" s="2">
        <v>5</v>
      </c>
      <c r="N683" s="2">
        <v>10</v>
      </c>
      <c r="O683" s="2">
        <v>25</v>
      </c>
      <c r="P683" s="2">
        <v>5</v>
      </c>
      <c r="Q683" s="2" t="s">
        <v>1771</v>
      </c>
      <c r="R683" s="2" t="s">
        <v>1772</v>
      </c>
      <c r="S683" s="4">
        <v>44837</v>
      </c>
    </row>
    <row r="684" spans="1:19" ht="12.5" x14ac:dyDescent="0.25">
      <c r="A684" s="14" t="str">
        <f>HYPERLINK("https://gerandofalcoes.my.salesforce.com/0014P00003YSp8kQAD", "0014P00003YSp8kQAD")</f>
        <v>0014P00003YSp8kQAD</v>
      </c>
      <c r="B684" s="2" t="s">
        <v>2295</v>
      </c>
      <c r="C684" s="2" t="s">
        <v>1800</v>
      </c>
      <c r="D684" s="2" t="s">
        <v>2</v>
      </c>
      <c r="E684" s="2">
        <v>29</v>
      </c>
      <c r="F684" s="2">
        <v>2</v>
      </c>
      <c r="G684" s="2">
        <v>2</v>
      </c>
      <c r="H684" s="2">
        <v>12000</v>
      </c>
      <c r="I684" s="2">
        <v>300</v>
      </c>
      <c r="J684" s="2" t="s">
        <v>1671</v>
      </c>
      <c r="K684" s="2">
        <v>46</v>
      </c>
      <c r="L684" s="2">
        <v>15</v>
      </c>
      <c r="M684" s="2">
        <v>5</v>
      </c>
      <c r="N684" s="2">
        <v>6</v>
      </c>
      <c r="O684" s="2">
        <v>5</v>
      </c>
      <c r="P684" s="2">
        <v>15</v>
      </c>
      <c r="Q684" s="2" t="s">
        <v>2296</v>
      </c>
      <c r="R684" s="2" t="s">
        <v>2297</v>
      </c>
      <c r="S684" s="4">
        <v>44837</v>
      </c>
    </row>
    <row r="685" spans="1:19" ht="12.5" x14ac:dyDescent="0.25">
      <c r="A685" s="14" t="str">
        <f>HYPERLINK("https://gerandofalcoes.my.salesforce.com/0014P00003YSp8lQAD", "0014P00003YSp8lQAD")</f>
        <v>0014P00003YSp8lQAD</v>
      </c>
      <c r="B685" s="2" t="s">
        <v>2775</v>
      </c>
      <c r="C685" s="2" t="s">
        <v>423</v>
      </c>
      <c r="D685" s="2" t="s">
        <v>2</v>
      </c>
      <c r="E685" s="2">
        <v>33</v>
      </c>
      <c r="F685" s="2">
        <v>0</v>
      </c>
      <c r="G685" s="2">
        <v>5</v>
      </c>
      <c r="H685" s="2">
        <v>111840</v>
      </c>
      <c r="I685" s="2">
        <v>30</v>
      </c>
      <c r="J685" s="2" t="s">
        <v>1671</v>
      </c>
      <c r="K685" s="2">
        <v>45</v>
      </c>
      <c r="L685" s="2">
        <v>15</v>
      </c>
      <c r="M685" s="2">
        <v>0</v>
      </c>
      <c r="N685" s="2">
        <v>10</v>
      </c>
      <c r="O685" s="2">
        <v>15</v>
      </c>
      <c r="P685" s="2">
        <v>5</v>
      </c>
      <c r="Q685" s="2" t="s">
        <v>2776</v>
      </c>
      <c r="R685" s="2" t="s">
        <v>2776</v>
      </c>
      <c r="S685" s="4">
        <v>44837</v>
      </c>
    </row>
    <row r="686" spans="1:19" ht="12.5" x14ac:dyDescent="0.25">
      <c r="A686" s="14" t="str">
        <f>HYPERLINK("https://gerandofalcoes.my.salesforce.com/0014P00003YSp8mQAD", "0014P00003YSp8mQAD")</f>
        <v>0014P00003YSp8mQAD</v>
      </c>
      <c r="B686" s="2" t="s">
        <v>2599</v>
      </c>
      <c r="C686" s="2" t="s">
        <v>1800</v>
      </c>
      <c r="D686" s="2" t="s">
        <v>2</v>
      </c>
      <c r="E686" s="2">
        <v>19</v>
      </c>
      <c r="F686" s="2">
        <v>11</v>
      </c>
      <c r="G686" s="2">
        <v>4</v>
      </c>
      <c r="H686" s="2">
        <v>700</v>
      </c>
      <c r="I686" s="2">
        <v>160</v>
      </c>
      <c r="J686" s="2" t="s">
        <v>1671</v>
      </c>
      <c r="K686" s="2">
        <v>49</v>
      </c>
      <c r="L686" s="2">
        <v>10</v>
      </c>
      <c r="M686" s="2">
        <v>12</v>
      </c>
      <c r="N686" s="2">
        <v>10</v>
      </c>
      <c r="O686" s="2">
        <v>5</v>
      </c>
      <c r="P686" s="2">
        <v>12</v>
      </c>
      <c r="Q686" s="2" t="s">
        <v>2600</v>
      </c>
      <c r="R686" s="2" t="s">
        <v>2600</v>
      </c>
      <c r="S686" s="4">
        <v>44837</v>
      </c>
    </row>
    <row r="687" spans="1:19" ht="12.5" x14ac:dyDescent="0.25">
      <c r="A687" s="14" t="str">
        <f>HYPERLINK("https://gerandofalcoes.my.salesforce.com/0014P00003YSp8nQAD", "0014P00003YSp8nQAD")</f>
        <v>0014P00003YSp8nQAD</v>
      </c>
      <c r="B687" s="2" t="s">
        <v>2028</v>
      </c>
      <c r="C687" s="2" t="s">
        <v>423</v>
      </c>
      <c r="D687" s="2" t="s">
        <v>2</v>
      </c>
      <c r="E687" s="2">
        <v>37.01</v>
      </c>
      <c r="F687" s="2">
        <v>6</v>
      </c>
      <c r="G687" s="2">
        <v>2</v>
      </c>
      <c r="H687" s="2">
        <v>7307750</v>
      </c>
      <c r="I687" s="2">
        <v>55</v>
      </c>
      <c r="J687" s="2" t="s">
        <v>1671</v>
      </c>
      <c r="K687" s="2">
        <v>61</v>
      </c>
      <c r="L687" s="2">
        <v>15</v>
      </c>
      <c r="M687" s="2">
        <v>10</v>
      </c>
      <c r="N687" s="2">
        <v>6</v>
      </c>
      <c r="O687" s="2">
        <v>25</v>
      </c>
      <c r="P687" s="2">
        <v>5</v>
      </c>
      <c r="Q687" s="2" t="s">
        <v>2029</v>
      </c>
      <c r="R687" s="2" t="s">
        <v>2030</v>
      </c>
      <c r="S687" s="4">
        <v>44837</v>
      </c>
    </row>
    <row r="688" spans="1:19" ht="12.5" x14ac:dyDescent="0.25">
      <c r="A688" s="14" t="str">
        <f>HYPERLINK("https://gerandofalcoes.my.salesforce.com/0014P00003YSp8pQAD", "0014P00003YSp8pQAD")</f>
        <v>0014P00003YSp8pQAD</v>
      </c>
      <c r="B688" s="2" t="s">
        <v>2644</v>
      </c>
      <c r="C688" s="2" t="s">
        <v>1800</v>
      </c>
      <c r="D688" s="2" t="s">
        <v>2</v>
      </c>
      <c r="E688" s="2">
        <v>18</v>
      </c>
      <c r="F688" s="2">
        <v>0</v>
      </c>
      <c r="G688" s="2">
        <v>2</v>
      </c>
      <c r="H688" s="2">
        <v>3000</v>
      </c>
      <c r="I688" s="2">
        <v>0</v>
      </c>
      <c r="J688" s="2" t="s">
        <v>1779</v>
      </c>
      <c r="K688" s="2">
        <v>21</v>
      </c>
      <c r="L688" s="2">
        <v>10</v>
      </c>
      <c r="M688" s="2">
        <v>0</v>
      </c>
      <c r="N688" s="2">
        <v>6</v>
      </c>
      <c r="O688" s="2">
        <v>5</v>
      </c>
      <c r="P688" s="2">
        <v>0</v>
      </c>
      <c r="Q688" s="2" t="s">
        <v>2645</v>
      </c>
      <c r="R688" s="2" t="s">
        <v>2646</v>
      </c>
      <c r="S688" s="4">
        <v>44837</v>
      </c>
    </row>
    <row r="689" spans="1:19" ht="12.5" x14ac:dyDescent="0.25">
      <c r="A689" s="14" t="str">
        <f>HYPERLINK("https://gerandofalcoes.my.salesforce.com/0014P00003YSp8qQAD", "0014P00003YSp8qQAD")</f>
        <v>0014P00003YSp8qQAD</v>
      </c>
      <c r="B689" s="2" t="s">
        <v>2890</v>
      </c>
      <c r="C689" s="2" t="s">
        <v>423</v>
      </c>
      <c r="D689" s="2" t="s">
        <v>2</v>
      </c>
      <c r="E689" s="2">
        <v>33</v>
      </c>
      <c r="F689" s="2">
        <v>0</v>
      </c>
      <c r="G689" s="2">
        <v>1</v>
      </c>
      <c r="H689" s="2">
        <v>1500</v>
      </c>
      <c r="I689" s="2">
        <v>80</v>
      </c>
      <c r="J689" s="2" t="s">
        <v>1779</v>
      </c>
      <c r="K689" s="2">
        <v>34</v>
      </c>
      <c r="L689" s="2">
        <v>15</v>
      </c>
      <c r="M689" s="2">
        <v>0</v>
      </c>
      <c r="N689" s="2">
        <v>4</v>
      </c>
      <c r="O689" s="2">
        <v>5</v>
      </c>
      <c r="P689" s="2">
        <v>10</v>
      </c>
      <c r="Q689" s="2" t="s">
        <v>2891</v>
      </c>
      <c r="R689" s="2" t="s">
        <v>2892</v>
      </c>
      <c r="S689" s="4">
        <v>44837</v>
      </c>
    </row>
    <row r="690" spans="1:19" ht="12.5" x14ac:dyDescent="0.25">
      <c r="A690" s="14" t="str">
        <f>HYPERLINK("https://gerandofalcoes.my.salesforce.com/0014P00003YSp8rQAD", "0014P00003YSp8rQAD")</f>
        <v>0014P00003YSp8rQAD</v>
      </c>
      <c r="B690" s="2" t="s">
        <v>2365</v>
      </c>
      <c r="C690" s="2" t="s">
        <v>423</v>
      </c>
      <c r="D690" s="2" t="s">
        <v>2</v>
      </c>
      <c r="E690" s="2">
        <v>36</v>
      </c>
      <c r="F690" s="2">
        <v>2</v>
      </c>
      <c r="G690" s="2">
        <v>3</v>
      </c>
      <c r="H690" s="2">
        <v>60000</v>
      </c>
      <c r="I690" s="2">
        <v>120</v>
      </c>
      <c r="J690" s="2" t="s">
        <v>1671</v>
      </c>
      <c r="K690" s="2">
        <v>48</v>
      </c>
      <c r="L690" s="2">
        <v>15</v>
      </c>
      <c r="M690" s="2">
        <v>5</v>
      </c>
      <c r="N690" s="2">
        <v>8</v>
      </c>
      <c r="O690" s="2">
        <v>10</v>
      </c>
      <c r="P690" s="2">
        <v>10</v>
      </c>
      <c r="Q690" s="2" t="s">
        <v>2366</v>
      </c>
      <c r="R690" s="2" t="s">
        <v>2367</v>
      </c>
      <c r="S690" s="4">
        <v>44837</v>
      </c>
    </row>
    <row r="691" spans="1:19" ht="12.5" x14ac:dyDescent="0.25">
      <c r="A691" s="14" t="str">
        <f>HYPERLINK("https://gerandofalcoes.my.salesforce.com/0014P00003YSp8tQAD", "0014P00003YSp8tQAD")</f>
        <v>0014P00003YSp8tQAD</v>
      </c>
      <c r="B691" s="2" t="s">
        <v>2622</v>
      </c>
      <c r="C691" s="2" t="s">
        <v>423</v>
      </c>
      <c r="D691" s="2" t="s">
        <v>2</v>
      </c>
      <c r="E691" s="2">
        <v>18.18</v>
      </c>
      <c r="F691" s="2">
        <v>0</v>
      </c>
      <c r="G691" s="2">
        <v>1</v>
      </c>
      <c r="H691" s="2">
        <v>420000</v>
      </c>
      <c r="I691" s="2">
        <v>0</v>
      </c>
      <c r="J691" s="2" t="s">
        <v>1779</v>
      </c>
      <c r="K691" s="2">
        <v>34</v>
      </c>
      <c r="L691" s="2">
        <v>10</v>
      </c>
      <c r="M691" s="2">
        <v>0</v>
      </c>
      <c r="N691" s="2">
        <v>4</v>
      </c>
      <c r="O691" s="2">
        <v>20</v>
      </c>
      <c r="P691" s="2">
        <v>0</v>
      </c>
      <c r="Q691" s="2" t="s">
        <v>2623</v>
      </c>
      <c r="R691" s="2" t="s">
        <v>2624</v>
      </c>
      <c r="S691" s="4">
        <v>44837</v>
      </c>
    </row>
    <row r="692" spans="1:19" ht="12.5" x14ac:dyDescent="0.25">
      <c r="A692" s="14" t="str">
        <f>HYPERLINK("https://gerandofalcoes.my.salesforce.com/0014P00003YSp8uQAD", "0014P00003YSp8uQAD")</f>
        <v>0014P00003YSp8uQAD</v>
      </c>
      <c r="B692" s="2" t="s">
        <v>2161</v>
      </c>
      <c r="C692" s="2" t="s">
        <v>1800</v>
      </c>
      <c r="D692" s="2" t="s">
        <v>2</v>
      </c>
      <c r="E692" s="2">
        <v>33</v>
      </c>
      <c r="F692" s="2">
        <v>38</v>
      </c>
      <c r="G692" s="2">
        <v>3</v>
      </c>
      <c r="H692" s="2">
        <v>1726721</v>
      </c>
      <c r="I692" s="2">
        <v>1200</v>
      </c>
      <c r="J692" s="2" t="s">
        <v>1654</v>
      </c>
      <c r="K692" s="2">
        <v>83</v>
      </c>
      <c r="L692" s="2">
        <v>15</v>
      </c>
      <c r="M692" s="2">
        <v>15</v>
      </c>
      <c r="N692" s="2">
        <v>8</v>
      </c>
      <c r="O692" s="2">
        <v>25</v>
      </c>
      <c r="P692" s="2">
        <v>20</v>
      </c>
      <c r="Q692" s="2" t="s">
        <v>2162</v>
      </c>
      <c r="R692" s="2" t="s">
        <v>2163</v>
      </c>
      <c r="S692" s="4">
        <v>44837</v>
      </c>
    </row>
    <row r="693" spans="1:19" ht="12.5" x14ac:dyDescent="0.25">
      <c r="A693" s="14" t="str">
        <f>HYPERLINK("https://gerandofalcoes.my.salesforce.com/0014X00002VKCsBQAX", "0014X00002VKCsBQAX")</f>
        <v>0014X00002VKCsBQAX</v>
      </c>
      <c r="B693" s="2" t="s">
        <v>2740</v>
      </c>
      <c r="C693" s="2" t="s">
        <v>423</v>
      </c>
      <c r="D693" s="2" t="s">
        <v>2</v>
      </c>
      <c r="E693" s="2">
        <v>14.54</v>
      </c>
      <c r="F693" s="2">
        <v>1</v>
      </c>
      <c r="G693" s="2">
        <v>1</v>
      </c>
      <c r="H693" s="2">
        <v>68583</v>
      </c>
      <c r="I693" s="2">
        <v>120</v>
      </c>
      <c r="J693" s="2" t="s">
        <v>1779</v>
      </c>
      <c r="K693" s="2">
        <v>39</v>
      </c>
      <c r="L693" s="2">
        <v>10</v>
      </c>
      <c r="M693" s="2">
        <v>5</v>
      </c>
      <c r="N693" s="2">
        <v>4</v>
      </c>
      <c r="O693" s="2">
        <v>10</v>
      </c>
      <c r="P693" s="2">
        <v>10</v>
      </c>
      <c r="Q693" s="2" t="s">
        <v>2741</v>
      </c>
      <c r="R693" s="2" t="s">
        <v>2742</v>
      </c>
      <c r="S693" s="4">
        <v>44837</v>
      </c>
    </row>
    <row r="694" spans="1:19" ht="12.5" x14ac:dyDescent="0.25">
      <c r="A694" s="14" t="str">
        <f>HYPERLINK("https://gerandofalcoes.my.salesforce.com/0014X00002VKCslQAH", "0014X00002VKCslQAH")</f>
        <v>0014X00002VKCslQAH</v>
      </c>
      <c r="B694" s="2" t="s">
        <v>2667</v>
      </c>
      <c r="C694" s="2" t="s">
        <v>1800</v>
      </c>
      <c r="D694" s="2" t="s">
        <v>2</v>
      </c>
      <c r="E694" s="2">
        <v>17</v>
      </c>
      <c r="F694" s="2">
        <v>0</v>
      </c>
      <c r="G694" s="2">
        <v>2</v>
      </c>
      <c r="H694" s="2">
        <v>18000</v>
      </c>
      <c r="I694" s="2">
        <v>10</v>
      </c>
      <c r="J694" s="2" t="s">
        <v>1779</v>
      </c>
      <c r="K694" s="2">
        <v>26</v>
      </c>
      <c r="L694" s="2">
        <v>10</v>
      </c>
      <c r="M694" s="2">
        <v>0</v>
      </c>
      <c r="N694" s="2">
        <v>6</v>
      </c>
      <c r="O694" s="2">
        <v>5</v>
      </c>
      <c r="P694" s="2">
        <v>5</v>
      </c>
      <c r="Q694" s="2" t="s">
        <v>2668</v>
      </c>
      <c r="R694" s="2" t="s">
        <v>2669</v>
      </c>
      <c r="S694" s="4">
        <v>44837</v>
      </c>
    </row>
    <row r="695" spans="1:19" ht="12.5" x14ac:dyDescent="0.25">
      <c r="A695" s="14" t="str">
        <f>HYPERLINK("https://gerandofalcoes.my.salesforce.com/0014P00003YSp8vQAD", "0014P00003YSp8vQAD")</f>
        <v>0014P00003YSp8vQAD</v>
      </c>
      <c r="B695" s="2" t="s">
        <v>2019</v>
      </c>
      <c r="C695" s="2" t="s">
        <v>1800</v>
      </c>
      <c r="D695" s="2" t="s">
        <v>2</v>
      </c>
      <c r="E695" s="2">
        <v>38</v>
      </c>
      <c r="F695" s="2">
        <v>2</v>
      </c>
      <c r="G695" s="2">
        <v>2</v>
      </c>
      <c r="H695" s="2">
        <v>5000</v>
      </c>
      <c r="I695" s="2">
        <v>0</v>
      </c>
      <c r="J695" s="2" t="s">
        <v>1779</v>
      </c>
      <c r="K695" s="2">
        <v>31</v>
      </c>
      <c r="L695" s="2">
        <v>15</v>
      </c>
      <c r="M695" s="2">
        <v>5</v>
      </c>
      <c r="N695" s="2">
        <v>6</v>
      </c>
      <c r="O695" s="2">
        <v>5</v>
      </c>
      <c r="P695" s="2">
        <v>0</v>
      </c>
      <c r="Q695" s="2" t="s">
        <v>2020</v>
      </c>
      <c r="R695" s="2" t="s">
        <v>2021</v>
      </c>
      <c r="S695" s="4">
        <v>44837</v>
      </c>
    </row>
    <row r="696" spans="1:19" ht="12.5" x14ac:dyDescent="0.25">
      <c r="A696" s="14" t="str">
        <f>HYPERLINK("https://gerandofalcoes.my.salesforce.com/0014P00003YSp8wQAD", "0014P00003YSp8wQAD")</f>
        <v>0014P00003YSp8wQAD</v>
      </c>
      <c r="B696" s="2" t="s">
        <v>2686</v>
      </c>
      <c r="C696" s="2" t="s">
        <v>423</v>
      </c>
      <c r="D696" s="2" t="s">
        <v>2</v>
      </c>
      <c r="E696" s="2">
        <v>16</v>
      </c>
      <c r="F696" s="2">
        <v>8</v>
      </c>
      <c r="G696" s="2">
        <v>2</v>
      </c>
      <c r="H696" s="2">
        <v>55000</v>
      </c>
      <c r="I696" s="2">
        <v>3000</v>
      </c>
      <c r="J696" s="2" t="s">
        <v>1671</v>
      </c>
      <c r="K696" s="2">
        <v>56</v>
      </c>
      <c r="L696" s="2">
        <v>10</v>
      </c>
      <c r="M696" s="2">
        <v>10</v>
      </c>
      <c r="N696" s="2">
        <v>6</v>
      </c>
      <c r="O696" s="2">
        <v>10</v>
      </c>
      <c r="P696" s="2">
        <v>20</v>
      </c>
      <c r="Q696" s="2" t="s">
        <v>2687</v>
      </c>
      <c r="R696" s="2" t="s">
        <v>2688</v>
      </c>
      <c r="S696" s="4">
        <v>44837</v>
      </c>
    </row>
    <row r="697" spans="1:19" ht="12.5" x14ac:dyDescent="0.25">
      <c r="A697" s="14" t="str">
        <f>HYPERLINK("https://gerandofalcoes.my.salesforce.com/0014P00003YSp8yQAD", "0014P00003YSp8yQAD")</f>
        <v>0014P00003YSp8yQAD</v>
      </c>
      <c r="B697" s="2" t="s">
        <v>2536</v>
      </c>
      <c r="C697" s="2" t="s">
        <v>1800</v>
      </c>
      <c r="D697" s="2" t="s">
        <v>2</v>
      </c>
      <c r="E697" s="2">
        <v>21</v>
      </c>
      <c r="F697" s="2">
        <v>2</v>
      </c>
      <c r="G697" s="2">
        <v>2</v>
      </c>
      <c r="H697" s="2">
        <v>0</v>
      </c>
      <c r="I697" s="2">
        <v>0</v>
      </c>
      <c r="J697" s="2" t="s">
        <v>1779</v>
      </c>
      <c r="K697" s="2">
        <v>21</v>
      </c>
      <c r="L697" s="2">
        <v>10</v>
      </c>
      <c r="M697" s="2">
        <v>5</v>
      </c>
      <c r="N697" s="2">
        <v>6</v>
      </c>
      <c r="O697" s="2">
        <v>0</v>
      </c>
      <c r="P697" s="2">
        <v>0</v>
      </c>
      <c r="Q697" s="2" t="s">
        <v>2537</v>
      </c>
      <c r="R697" s="2" t="s">
        <v>2538</v>
      </c>
      <c r="S697" s="4">
        <v>44837</v>
      </c>
    </row>
    <row r="698" spans="1:19" ht="12.5" x14ac:dyDescent="0.25">
      <c r="A698" s="14" t="str">
        <f>HYPERLINK("https://gerandofalcoes.my.salesforce.com/0014P00003YSp8zQAD", "0014P00003YSp8zQAD")</f>
        <v>0014P00003YSp8zQAD</v>
      </c>
      <c r="B698" s="2" t="s">
        <v>2087</v>
      </c>
      <c r="C698" s="2" t="s">
        <v>423</v>
      </c>
      <c r="D698" s="2" t="s">
        <v>2</v>
      </c>
      <c r="E698" s="2">
        <v>29</v>
      </c>
      <c r="F698" s="2">
        <v>10</v>
      </c>
      <c r="G698" s="2">
        <v>2</v>
      </c>
      <c r="H698" s="2">
        <v>600000</v>
      </c>
      <c r="I698" s="2">
        <v>115</v>
      </c>
      <c r="J698" s="2" t="s">
        <v>1671</v>
      </c>
      <c r="K698" s="2">
        <v>61</v>
      </c>
      <c r="L698" s="2">
        <v>15</v>
      </c>
      <c r="M698" s="2">
        <v>10</v>
      </c>
      <c r="N698" s="2">
        <v>6</v>
      </c>
      <c r="O698" s="2">
        <v>20</v>
      </c>
      <c r="P698" s="2">
        <v>10</v>
      </c>
      <c r="Q698" s="2" t="s">
        <v>2088</v>
      </c>
      <c r="R698" s="2" t="s">
        <v>2089</v>
      </c>
      <c r="S698" s="4">
        <v>44837</v>
      </c>
    </row>
    <row r="699" spans="1:19" ht="12.5" x14ac:dyDescent="0.25">
      <c r="A699" s="14" t="str">
        <f>HYPERLINK("https://gerandofalcoes.my.salesforce.com/0014P00003YSp90QAD", "0014P00003YSp90QAD")</f>
        <v>0014P00003YSp90QAD</v>
      </c>
      <c r="B699" s="2" t="s">
        <v>2175</v>
      </c>
      <c r="C699" s="2" t="s">
        <v>1800</v>
      </c>
      <c r="D699" s="2" t="s">
        <v>2</v>
      </c>
      <c r="E699" s="2">
        <v>33</v>
      </c>
      <c r="F699" s="2">
        <v>41</v>
      </c>
      <c r="G699" s="2">
        <v>4</v>
      </c>
      <c r="H699" s="2">
        <v>0</v>
      </c>
      <c r="I699" s="2">
        <v>98</v>
      </c>
      <c r="J699" s="2" t="s">
        <v>1671</v>
      </c>
      <c r="K699" s="2">
        <v>50</v>
      </c>
      <c r="L699" s="2">
        <v>15</v>
      </c>
      <c r="M699" s="2">
        <v>15</v>
      </c>
      <c r="N699" s="2">
        <v>10</v>
      </c>
      <c r="O699" s="2">
        <v>0</v>
      </c>
      <c r="P699" s="2">
        <v>10</v>
      </c>
      <c r="Q699" s="2" t="s">
        <v>2176</v>
      </c>
      <c r="R699" s="2" t="s">
        <v>2177</v>
      </c>
      <c r="S699" s="4">
        <v>44837</v>
      </c>
    </row>
    <row r="700" spans="1:19" ht="12.5" x14ac:dyDescent="0.25">
      <c r="A700" s="14" t="str">
        <f>HYPERLINK("https://gerandofalcoes.my.salesforce.com/0014P00003YSp91QAD", "0014P00003YSp91QAD")</f>
        <v>0014P00003YSp91QAD</v>
      </c>
      <c r="B700" s="2" t="s">
        <v>2697</v>
      </c>
      <c r="C700" s="2" t="s">
        <v>423</v>
      </c>
      <c r="D700" s="2" t="s">
        <v>2</v>
      </c>
      <c r="E700" s="2">
        <v>19</v>
      </c>
      <c r="F700" s="2">
        <v>8</v>
      </c>
      <c r="G700" s="2">
        <v>1</v>
      </c>
      <c r="H700" s="2">
        <v>24000</v>
      </c>
      <c r="I700" s="2">
        <v>200</v>
      </c>
      <c r="J700" s="2" t="s">
        <v>1671</v>
      </c>
      <c r="K700" s="2">
        <v>41</v>
      </c>
      <c r="L700" s="2">
        <v>10</v>
      </c>
      <c r="M700" s="2">
        <v>10</v>
      </c>
      <c r="N700" s="2">
        <v>4</v>
      </c>
      <c r="O700" s="2">
        <v>5</v>
      </c>
      <c r="P700" s="2">
        <v>12</v>
      </c>
      <c r="Q700" s="2" t="s">
        <v>2698</v>
      </c>
      <c r="R700" s="2" t="s">
        <v>2699</v>
      </c>
      <c r="S700" s="4">
        <v>44837</v>
      </c>
    </row>
    <row r="701" spans="1:19" ht="12.5" x14ac:dyDescent="0.25">
      <c r="A701" s="14" t="str">
        <f>HYPERLINK("https://gerandofalcoes.my.salesforce.com/0014P00003YSp92QAD", "0014P00003YSp92QAD")</f>
        <v>0014P00003YSp92QAD</v>
      </c>
      <c r="B701" s="2" t="s">
        <v>1892</v>
      </c>
      <c r="C701" s="2" t="s">
        <v>423</v>
      </c>
      <c r="D701" s="2" t="s">
        <v>2</v>
      </c>
      <c r="E701" s="2">
        <v>37</v>
      </c>
      <c r="F701" s="2">
        <v>2</v>
      </c>
      <c r="G701" s="2">
        <v>3</v>
      </c>
      <c r="H701" s="2">
        <v>109472</v>
      </c>
      <c r="I701" s="2">
        <v>40</v>
      </c>
      <c r="J701" s="2" t="s">
        <v>1671</v>
      </c>
      <c r="K701" s="2">
        <v>48</v>
      </c>
      <c r="L701" s="2">
        <v>15</v>
      </c>
      <c r="M701" s="2">
        <v>5</v>
      </c>
      <c r="N701" s="2">
        <v>8</v>
      </c>
      <c r="O701" s="2">
        <v>15</v>
      </c>
      <c r="P701" s="2">
        <v>5</v>
      </c>
      <c r="Q701" s="2" t="s">
        <v>1893</v>
      </c>
      <c r="R701" s="2" t="s">
        <v>1894</v>
      </c>
      <c r="S701" s="4">
        <v>44837</v>
      </c>
    </row>
    <row r="702" spans="1:19" ht="12.5" x14ac:dyDescent="0.25">
      <c r="A702" s="14" t="str">
        <f>HYPERLINK("https://gerandofalcoes.my.salesforce.com/0014X00002VKCv8QAH", "0014X00002VKCv8QAH")</f>
        <v>0014X00002VKCv8QAH</v>
      </c>
      <c r="B702" s="2" t="s">
        <v>2343</v>
      </c>
      <c r="C702" s="2" t="s">
        <v>423</v>
      </c>
      <c r="D702" s="2" t="s">
        <v>2</v>
      </c>
      <c r="E702" s="2">
        <v>19</v>
      </c>
      <c r="F702" s="2">
        <v>0</v>
      </c>
      <c r="G702" s="2">
        <v>0</v>
      </c>
      <c r="H702" s="2">
        <v>0</v>
      </c>
      <c r="I702" s="2">
        <v>400</v>
      </c>
      <c r="J702" s="2" t="s">
        <v>1779</v>
      </c>
      <c r="K702" s="2">
        <v>25</v>
      </c>
      <c r="L702" s="2">
        <v>10</v>
      </c>
      <c r="M702" s="2">
        <v>0</v>
      </c>
      <c r="N702" s="2">
        <v>0</v>
      </c>
      <c r="O702" s="2">
        <v>0</v>
      </c>
      <c r="P702" s="2">
        <v>15</v>
      </c>
      <c r="Q702" s="2" t="s">
        <v>2344</v>
      </c>
      <c r="R702" s="2" t="s">
        <v>2345</v>
      </c>
      <c r="S702" s="4">
        <v>44837</v>
      </c>
    </row>
    <row r="703" spans="1:19" ht="12.5" x14ac:dyDescent="0.25">
      <c r="A703" s="14" t="str">
        <f>HYPERLINK("https://gerandofalcoes.my.salesforce.com/0014X00002VKCp4QAH", "0014X00002VKCp4QAH")</f>
        <v>0014X00002VKCp4QAH</v>
      </c>
      <c r="B703" s="2" t="s">
        <v>2518</v>
      </c>
      <c r="C703" s="2" t="s">
        <v>1800</v>
      </c>
      <c r="D703" s="2" t="s">
        <v>2</v>
      </c>
      <c r="E703" s="2">
        <v>21</v>
      </c>
      <c r="F703" s="2">
        <v>0</v>
      </c>
      <c r="G703" s="2">
        <v>2</v>
      </c>
      <c r="H703" s="2">
        <v>0</v>
      </c>
      <c r="I703" s="2">
        <v>70</v>
      </c>
      <c r="J703" s="2" t="s">
        <v>1779</v>
      </c>
      <c r="K703" s="2">
        <v>21</v>
      </c>
      <c r="L703" s="2">
        <v>10</v>
      </c>
      <c r="M703" s="2">
        <v>0</v>
      </c>
      <c r="N703" s="2">
        <v>6</v>
      </c>
      <c r="O703" s="2">
        <v>0</v>
      </c>
      <c r="P703" s="2">
        <v>5</v>
      </c>
      <c r="Q703" s="2" t="s">
        <v>2519</v>
      </c>
      <c r="R703" s="2" t="s">
        <v>2520</v>
      </c>
      <c r="S703" s="4">
        <v>44837</v>
      </c>
    </row>
    <row r="704" spans="1:19" ht="12.5" x14ac:dyDescent="0.25">
      <c r="A704" s="14" t="str">
        <f>HYPERLINK("https://gerandofalcoes.my.salesforce.com/0014X00002VKCucQAH", "0014X00002VKCucQAH")</f>
        <v>0014X00002VKCucQAH</v>
      </c>
      <c r="B704" s="2" t="s">
        <v>2944</v>
      </c>
      <c r="C704" s="2" t="s">
        <v>423</v>
      </c>
      <c r="D704" s="2" t="s">
        <v>2</v>
      </c>
      <c r="E704" s="2">
        <v>30</v>
      </c>
      <c r="F704" s="2">
        <v>0</v>
      </c>
      <c r="G704" s="2">
        <v>1</v>
      </c>
      <c r="H704" s="2">
        <v>300</v>
      </c>
      <c r="I704" s="2">
        <v>0</v>
      </c>
      <c r="J704" s="2" t="s">
        <v>1779</v>
      </c>
      <c r="K704" s="2">
        <v>24</v>
      </c>
      <c r="L704" s="2">
        <v>15</v>
      </c>
      <c r="M704" s="2">
        <v>0</v>
      </c>
      <c r="N704" s="2">
        <v>4</v>
      </c>
      <c r="O704" s="2">
        <v>5</v>
      </c>
      <c r="P704" s="2">
        <v>0</v>
      </c>
      <c r="Q704" s="2" t="s">
        <v>2945</v>
      </c>
      <c r="R704" s="2" t="s">
        <v>2946</v>
      </c>
      <c r="S704" s="4">
        <v>44837</v>
      </c>
    </row>
    <row r="705" spans="1:19" ht="12.5" x14ac:dyDescent="0.25">
      <c r="A705" s="14" t="str">
        <f>HYPERLINK("https://gerandofalcoes.my.salesforce.com/0014X00002VKCpQQAX", "0014X00002VKCpQQAX")</f>
        <v>0014X00002VKCpQQAX</v>
      </c>
      <c r="B705" s="2" t="s">
        <v>2004</v>
      </c>
      <c r="C705" s="2" t="s">
        <v>423</v>
      </c>
      <c r="D705" s="2" t="s">
        <v>2</v>
      </c>
      <c r="E705" s="2">
        <v>38.72</v>
      </c>
      <c r="F705" s="2">
        <v>0</v>
      </c>
      <c r="G705" s="2">
        <v>5</v>
      </c>
      <c r="H705" s="2">
        <v>90250</v>
      </c>
      <c r="I705" s="2">
        <v>125</v>
      </c>
      <c r="J705" s="2" t="s">
        <v>1671</v>
      </c>
      <c r="K705" s="2">
        <v>45</v>
      </c>
      <c r="L705" s="2">
        <v>15</v>
      </c>
      <c r="M705" s="2">
        <v>0</v>
      </c>
      <c r="N705" s="2">
        <v>10</v>
      </c>
      <c r="O705" s="2">
        <v>10</v>
      </c>
      <c r="P705" s="2">
        <v>10</v>
      </c>
      <c r="Q705" s="2" t="s">
        <v>2005</v>
      </c>
      <c r="R705" s="2" t="s">
        <v>2006</v>
      </c>
      <c r="S705" s="4">
        <v>44837</v>
      </c>
    </row>
    <row r="706" spans="1:19" ht="12.5" x14ac:dyDescent="0.25">
      <c r="A706" s="14" t="str">
        <f>HYPERLINK("https://gerandofalcoes.my.salesforce.com/0014P00003YSp94QAD", "0014P00003YSp94QAD")</f>
        <v>0014P00003YSp94QAD</v>
      </c>
      <c r="B706" s="2" t="s">
        <v>2131</v>
      </c>
      <c r="C706" s="2" t="s">
        <v>1800</v>
      </c>
      <c r="D706" s="2" t="s">
        <v>2</v>
      </c>
      <c r="E706" s="2">
        <v>34</v>
      </c>
      <c r="F706" s="2">
        <v>0</v>
      </c>
      <c r="G706" s="2">
        <v>2</v>
      </c>
      <c r="H706" s="2">
        <v>25000</v>
      </c>
      <c r="I706" s="2">
        <v>600</v>
      </c>
      <c r="J706" s="2" t="s">
        <v>1671</v>
      </c>
      <c r="K706" s="2">
        <v>51</v>
      </c>
      <c r="L706" s="2">
        <v>15</v>
      </c>
      <c r="M706" s="2">
        <v>0</v>
      </c>
      <c r="N706" s="2">
        <v>6</v>
      </c>
      <c r="O706" s="2">
        <v>10</v>
      </c>
      <c r="P706" s="2">
        <v>20</v>
      </c>
      <c r="Q706" s="2" t="s">
        <v>2132</v>
      </c>
      <c r="R706" s="2" t="s">
        <v>2132</v>
      </c>
      <c r="S706" s="4">
        <v>44837</v>
      </c>
    </row>
    <row r="707" spans="1:19" ht="12.5" x14ac:dyDescent="0.25">
      <c r="A707" s="14" t="str">
        <f>HYPERLINK("https://gerandofalcoes.my.salesforce.com/0014P00003YSp95QAD", "0014P00003YSp95QAD")</f>
        <v>0014P00003YSp95QAD</v>
      </c>
      <c r="B707" s="2" t="s">
        <v>1861</v>
      </c>
      <c r="C707" s="2" t="s">
        <v>423</v>
      </c>
      <c r="D707" s="2" t="s">
        <v>2</v>
      </c>
      <c r="E707" s="2">
        <v>36</v>
      </c>
      <c r="F707" s="2">
        <v>8</v>
      </c>
      <c r="G707" s="2">
        <v>3</v>
      </c>
      <c r="H707" s="2">
        <v>60127</v>
      </c>
      <c r="I707" s="2">
        <v>841</v>
      </c>
      <c r="J707" s="2" t="s">
        <v>1671</v>
      </c>
      <c r="K707" s="2">
        <v>63</v>
      </c>
      <c r="L707" s="2">
        <v>15</v>
      </c>
      <c r="M707" s="2">
        <v>10</v>
      </c>
      <c r="N707" s="2">
        <v>8</v>
      </c>
      <c r="O707" s="2">
        <v>10</v>
      </c>
      <c r="P707" s="2">
        <v>20</v>
      </c>
      <c r="Q707" s="2" t="s">
        <v>1862</v>
      </c>
      <c r="R707" s="2" t="s">
        <v>1863</v>
      </c>
      <c r="S707" s="4">
        <v>44837</v>
      </c>
    </row>
    <row r="708" spans="1:19" ht="12.5" x14ac:dyDescent="0.25">
      <c r="A708" s="14" t="str">
        <f>HYPERLINK("https://gerandofalcoes.my.salesforce.com/0014P00003YSp97QAD", "0014P00003YSp97QAD")</f>
        <v>0014P00003YSp97QAD</v>
      </c>
      <c r="B708" s="2" t="s">
        <v>2013</v>
      </c>
      <c r="C708" s="2" t="s">
        <v>1800</v>
      </c>
      <c r="D708" s="2" t="s">
        <v>2</v>
      </c>
      <c r="E708" s="2">
        <v>38</v>
      </c>
      <c r="F708" s="2">
        <v>5</v>
      </c>
      <c r="G708" s="2">
        <v>3</v>
      </c>
      <c r="H708" s="2">
        <v>900000</v>
      </c>
      <c r="I708" s="2">
        <v>450</v>
      </c>
      <c r="J708" s="2" t="s">
        <v>1650</v>
      </c>
      <c r="K708" s="2">
        <v>73</v>
      </c>
      <c r="L708" s="2">
        <v>15</v>
      </c>
      <c r="M708" s="2">
        <v>5</v>
      </c>
      <c r="N708" s="2">
        <v>8</v>
      </c>
      <c r="O708" s="2">
        <v>25</v>
      </c>
      <c r="P708" s="2">
        <v>20</v>
      </c>
      <c r="Q708" s="2" t="s">
        <v>2014</v>
      </c>
      <c r="R708" s="2" t="s">
        <v>2015</v>
      </c>
      <c r="S708" s="4">
        <v>44837</v>
      </c>
    </row>
    <row r="709" spans="1:19" ht="12.5" x14ac:dyDescent="0.25">
      <c r="A709" s="14" t="str">
        <f>HYPERLINK("https://gerandofalcoes.my.salesforce.com/0014P00003YSp98QAD", "0014P00003YSp98QAD")</f>
        <v>0014P00003YSp98QAD</v>
      </c>
      <c r="B709" s="2" t="s">
        <v>2010</v>
      </c>
      <c r="C709" s="2" t="s">
        <v>423</v>
      </c>
      <c r="D709" s="2" t="s">
        <v>2</v>
      </c>
      <c r="E709" s="2">
        <v>38</v>
      </c>
      <c r="F709" s="2">
        <v>5</v>
      </c>
      <c r="G709" s="2">
        <v>2</v>
      </c>
      <c r="H709" s="2">
        <v>15000</v>
      </c>
      <c r="I709" s="2">
        <v>500</v>
      </c>
      <c r="J709" s="2" t="s">
        <v>1671</v>
      </c>
      <c r="K709" s="2">
        <v>51</v>
      </c>
      <c r="L709" s="2">
        <v>15</v>
      </c>
      <c r="M709" s="2">
        <v>5</v>
      </c>
      <c r="N709" s="2">
        <v>6</v>
      </c>
      <c r="O709" s="2">
        <v>5</v>
      </c>
      <c r="P709" s="2">
        <v>20</v>
      </c>
      <c r="Q709" s="2" t="s">
        <v>2011</v>
      </c>
      <c r="R709" s="2" t="s">
        <v>2012</v>
      </c>
      <c r="S709" s="4">
        <v>44837</v>
      </c>
    </row>
    <row r="710" spans="1:19" ht="12.5" x14ac:dyDescent="0.25">
      <c r="A710" s="14" t="str">
        <f>HYPERLINK("https://gerandofalcoes.my.salesforce.com/0014P00003YSp99QAD", "0014P00003YSp99QAD")</f>
        <v>0014P00003YSp99QAD</v>
      </c>
      <c r="B710" s="2" t="s">
        <v>1695</v>
      </c>
      <c r="C710" s="2" t="s">
        <v>423</v>
      </c>
      <c r="D710" s="2" t="s">
        <v>2</v>
      </c>
      <c r="E710" s="2">
        <v>41</v>
      </c>
      <c r="F710" s="2">
        <v>0</v>
      </c>
      <c r="G710" s="2">
        <v>5</v>
      </c>
      <c r="H710" s="2">
        <v>68450</v>
      </c>
      <c r="I710" s="2">
        <v>204</v>
      </c>
      <c r="J710" s="2" t="s">
        <v>1671</v>
      </c>
      <c r="K710" s="2">
        <v>47</v>
      </c>
      <c r="L710" s="2">
        <v>15</v>
      </c>
      <c r="M710" s="2">
        <v>0</v>
      </c>
      <c r="N710" s="2">
        <v>10</v>
      </c>
      <c r="O710" s="2">
        <v>10</v>
      </c>
      <c r="P710" s="2">
        <v>12</v>
      </c>
      <c r="Q710" s="2" t="s">
        <v>1696</v>
      </c>
      <c r="R710" s="2" t="s">
        <v>1697</v>
      </c>
      <c r="S710" s="4">
        <v>44837</v>
      </c>
    </row>
    <row r="711" spans="1:19" ht="12.5" x14ac:dyDescent="0.25">
      <c r="A711" s="14" t="str">
        <f>HYPERLINK("https://gerandofalcoes.my.salesforce.com/0014P00003YSp9AQAT", "0014P00003YSp9AQAT")</f>
        <v>0014P00003YSp9AQAT</v>
      </c>
      <c r="B711" s="2" t="s">
        <v>1957</v>
      </c>
      <c r="C711" s="2" t="s">
        <v>423</v>
      </c>
      <c r="D711" s="2" t="s">
        <v>2</v>
      </c>
      <c r="E711" s="2">
        <v>40.99</v>
      </c>
      <c r="F711" s="2">
        <v>0</v>
      </c>
      <c r="G711" s="2">
        <v>4</v>
      </c>
      <c r="H711" s="2">
        <v>45453</v>
      </c>
      <c r="I711" s="2">
        <v>355</v>
      </c>
      <c r="J711" s="2" t="s">
        <v>1671</v>
      </c>
      <c r="K711" s="2">
        <v>50</v>
      </c>
      <c r="L711" s="2">
        <v>15</v>
      </c>
      <c r="M711" s="2">
        <v>0</v>
      </c>
      <c r="N711" s="2">
        <v>10</v>
      </c>
      <c r="O711" s="2">
        <v>10</v>
      </c>
      <c r="P711" s="2">
        <v>15</v>
      </c>
      <c r="Q711" s="2" t="s">
        <v>1958</v>
      </c>
      <c r="R711" s="2" t="s">
        <v>1958</v>
      </c>
      <c r="S711" s="4">
        <v>44837</v>
      </c>
    </row>
    <row r="712" spans="1:19" ht="12.5" x14ac:dyDescent="0.25">
      <c r="A712" s="14" t="str">
        <f>HYPERLINK("https://gerandofalcoes.my.salesforce.com/0014P00003YSp9BQAT", "0014P00003YSp9BQAT")</f>
        <v>0014P00003YSp9BQAT</v>
      </c>
      <c r="B712" s="2" t="s">
        <v>2839</v>
      </c>
      <c r="C712" s="2" t="s">
        <v>1800</v>
      </c>
      <c r="D712" s="2" t="s">
        <v>2</v>
      </c>
      <c r="E712" s="2">
        <v>11</v>
      </c>
      <c r="F712" s="2">
        <v>24</v>
      </c>
      <c r="G712" s="2">
        <v>4</v>
      </c>
      <c r="H712" s="2">
        <v>200</v>
      </c>
      <c r="I712" s="2">
        <v>112</v>
      </c>
      <c r="J712" s="2" t="s">
        <v>1671</v>
      </c>
      <c r="K712" s="2">
        <v>47</v>
      </c>
      <c r="L712" s="2">
        <v>10</v>
      </c>
      <c r="M712" s="2">
        <v>12</v>
      </c>
      <c r="N712" s="2">
        <v>10</v>
      </c>
      <c r="O712" s="2">
        <v>5</v>
      </c>
      <c r="P712" s="2">
        <v>10</v>
      </c>
      <c r="Q712" s="2" t="s">
        <v>2840</v>
      </c>
      <c r="R712" s="2" t="s">
        <v>2841</v>
      </c>
      <c r="S712" s="4">
        <v>44837</v>
      </c>
    </row>
    <row r="713" spans="1:19" ht="12.5" x14ac:dyDescent="0.25">
      <c r="A713" s="14" t="str">
        <f>HYPERLINK("https://gerandofalcoes.my.salesforce.com/0014P00003YSp9CQAT", "0014P00003YSp9CQAT")</f>
        <v>0014P00003YSp9CQAT</v>
      </c>
      <c r="B713" s="2" t="s">
        <v>2103</v>
      </c>
      <c r="C713" s="2" t="s">
        <v>1800</v>
      </c>
      <c r="D713" s="2" t="s">
        <v>2</v>
      </c>
      <c r="E713" s="2">
        <v>35</v>
      </c>
      <c r="F713" s="2">
        <v>1</v>
      </c>
      <c r="G713" s="2">
        <v>2</v>
      </c>
      <c r="H713" s="2">
        <v>120000</v>
      </c>
      <c r="I713" s="2">
        <v>100</v>
      </c>
      <c r="J713" s="2" t="s">
        <v>1671</v>
      </c>
      <c r="K713" s="2">
        <v>51</v>
      </c>
      <c r="L713" s="2">
        <v>15</v>
      </c>
      <c r="M713" s="2">
        <v>5</v>
      </c>
      <c r="N713" s="2">
        <v>6</v>
      </c>
      <c r="O713" s="2">
        <v>15</v>
      </c>
      <c r="P713" s="2">
        <v>10</v>
      </c>
      <c r="Q713" s="2" t="s">
        <v>2104</v>
      </c>
      <c r="R713" s="2" t="s">
        <v>2105</v>
      </c>
      <c r="S713" s="4">
        <v>44837</v>
      </c>
    </row>
    <row r="714" spans="1:19" ht="12.5" x14ac:dyDescent="0.25">
      <c r="A714" s="14" t="str">
        <f>HYPERLINK("https://gerandofalcoes.my.salesforce.com/0014P00003YSp9DQAT", "0014P00003YSp9DQAT")</f>
        <v>0014P00003YSp9DQAT</v>
      </c>
      <c r="B714" s="2" t="s">
        <v>2539</v>
      </c>
      <c r="C714" s="2" t="s">
        <v>1684</v>
      </c>
      <c r="D714" s="2" t="s">
        <v>2</v>
      </c>
      <c r="E714" s="2">
        <v>21</v>
      </c>
      <c r="F714" s="2">
        <v>1</v>
      </c>
      <c r="G714" s="2">
        <v>0</v>
      </c>
      <c r="H714" s="2">
        <v>0</v>
      </c>
      <c r="I714" s="2">
        <v>0</v>
      </c>
      <c r="J714" s="2" t="s">
        <v>1779</v>
      </c>
      <c r="K714" s="2">
        <v>15</v>
      </c>
      <c r="L714" s="2">
        <v>10</v>
      </c>
      <c r="M714" s="2">
        <v>5</v>
      </c>
      <c r="N714" s="2">
        <v>0</v>
      </c>
      <c r="O714" s="2">
        <v>0</v>
      </c>
      <c r="P714" s="2">
        <v>0</v>
      </c>
      <c r="Q714" s="2" t="s">
        <v>2540</v>
      </c>
      <c r="R714" s="2" t="s">
        <v>2540</v>
      </c>
      <c r="S714" s="4">
        <v>44837</v>
      </c>
    </row>
    <row r="715" spans="1:19" ht="12.5" x14ac:dyDescent="0.25">
      <c r="A715" s="14" t="str">
        <f>HYPERLINK("https://gerandofalcoes.my.salesforce.com/0014P00003YSp9EQAT", "0014P00003YSp9EQAT")</f>
        <v>0014P00003YSp9EQAT</v>
      </c>
      <c r="B715" s="2" t="s">
        <v>2279</v>
      </c>
      <c r="C715" s="2" t="s">
        <v>423</v>
      </c>
      <c r="D715" s="2" t="s">
        <v>2</v>
      </c>
      <c r="E715" s="2">
        <v>29.85</v>
      </c>
      <c r="F715" s="2">
        <v>2</v>
      </c>
      <c r="G715" s="2">
        <v>0</v>
      </c>
      <c r="H715" s="2">
        <v>0</v>
      </c>
      <c r="I715" s="2">
        <v>-30</v>
      </c>
      <c r="J715" s="2" t="s">
        <v>1779</v>
      </c>
      <c r="K715" s="2">
        <v>20</v>
      </c>
      <c r="L715" s="2">
        <v>15</v>
      </c>
      <c r="M715" s="2">
        <v>5</v>
      </c>
      <c r="N715" s="2">
        <v>0</v>
      </c>
      <c r="O715" s="2">
        <v>0</v>
      </c>
      <c r="P715" s="2">
        <v>0</v>
      </c>
      <c r="Q715" s="2" t="s">
        <v>2280</v>
      </c>
      <c r="R715" s="2" t="s">
        <v>2281</v>
      </c>
      <c r="S715" s="4">
        <v>44837</v>
      </c>
    </row>
    <row r="716" spans="1:19" ht="12.5" x14ac:dyDescent="0.25">
      <c r="A716" s="14" t="str">
        <f>HYPERLINK("https://gerandofalcoes.my.salesforce.com/0014P00003YSp9FQAT", "0014P00003YSp9FQAT")</f>
        <v>0014P00003YSp9FQAT</v>
      </c>
      <c r="B716" s="2" t="s">
        <v>1972</v>
      </c>
      <c r="C716" s="2" t="s">
        <v>423</v>
      </c>
      <c r="D716" s="2" t="s">
        <v>2</v>
      </c>
      <c r="E716" s="2">
        <v>43</v>
      </c>
      <c r="F716" s="2">
        <v>7</v>
      </c>
      <c r="G716" s="2">
        <v>1</v>
      </c>
      <c r="H716" s="2">
        <v>43800</v>
      </c>
      <c r="I716" s="2">
        <v>60</v>
      </c>
      <c r="J716" s="2" t="s">
        <v>1671</v>
      </c>
      <c r="K716" s="2">
        <v>44</v>
      </c>
      <c r="L716" s="2">
        <v>15</v>
      </c>
      <c r="M716" s="2">
        <v>10</v>
      </c>
      <c r="N716" s="2">
        <v>4</v>
      </c>
      <c r="O716" s="2">
        <v>10</v>
      </c>
      <c r="P716" s="2">
        <v>5</v>
      </c>
      <c r="Q716" s="2" t="s">
        <v>1973</v>
      </c>
      <c r="R716" s="2" t="s">
        <v>1974</v>
      </c>
      <c r="S716" s="4">
        <v>44837</v>
      </c>
    </row>
    <row r="717" spans="1:19" ht="12.5" x14ac:dyDescent="0.25">
      <c r="A717" s="14" t="str">
        <f>HYPERLINK("https://gerandofalcoes.my.salesforce.com/0014P00003YSp9HQAT", "0014P00003YSp9HQAT")</f>
        <v>0014P00003YSp9HQAT</v>
      </c>
      <c r="B717" s="2" t="s">
        <v>2147</v>
      </c>
      <c r="C717" s="2" t="s">
        <v>423</v>
      </c>
      <c r="D717" s="2" t="s">
        <v>2</v>
      </c>
      <c r="E717" s="2">
        <v>36.79</v>
      </c>
      <c r="F717" s="2">
        <v>0</v>
      </c>
      <c r="G717" s="2">
        <v>2</v>
      </c>
      <c r="H717" s="2">
        <v>6435</v>
      </c>
      <c r="I717" s="2">
        <v>0</v>
      </c>
      <c r="J717" s="2" t="s">
        <v>1779</v>
      </c>
      <c r="K717" s="2">
        <v>26</v>
      </c>
      <c r="L717" s="2">
        <v>15</v>
      </c>
      <c r="M717" s="2">
        <v>0</v>
      </c>
      <c r="N717" s="2">
        <v>6</v>
      </c>
      <c r="O717" s="2">
        <v>5</v>
      </c>
      <c r="P717" s="2">
        <v>0</v>
      </c>
      <c r="Q717" s="2" t="s">
        <v>2148</v>
      </c>
      <c r="R717" s="2" t="s">
        <v>2149</v>
      </c>
      <c r="S717" s="4">
        <v>44837</v>
      </c>
    </row>
    <row r="718" spans="1:19" ht="12.5" x14ac:dyDescent="0.25">
      <c r="A718" s="14" t="str">
        <f>HYPERLINK("https://gerandofalcoes.my.salesforce.com/0014P00003YSp9IQAT", "0014P00003YSp9IQAT")</f>
        <v>0014P00003YSp9IQAT</v>
      </c>
      <c r="B718" s="2" t="s">
        <v>2425</v>
      </c>
      <c r="C718" s="2" t="s">
        <v>1684</v>
      </c>
      <c r="D718" s="2" t="s">
        <v>2</v>
      </c>
      <c r="E718" s="2">
        <v>25</v>
      </c>
      <c r="F718" s="2">
        <v>0</v>
      </c>
      <c r="G718" s="2">
        <v>0</v>
      </c>
      <c r="H718" s="2">
        <v>0</v>
      </c>
      <c r="I718" s="2">
        <v>0</v>
      </c>
      <c r="J718" s="2" t="s">
        <v>1779</v>
      </c>
      <c r="K718" s="2">
        <v>15</v>
      </c>
      <c r="L718" s="2">
        <v>15</v>
      </c>
      <c r="M718" s="2">
        <v>0</v>
      </c>
      <c r="N718" s="2">
        <v>0</v>
      </c>
      <c r="O718" s="2">
        <v>0</v>
      </c>
      <c r="P718" s="2">
        <v>0</v>
      </c>
      <c r="Q718" s="2" t="s">
        <v>2426</v>
      </c>
      <c r="R718" s="2" t="s">
        <v>2427</v>
      </c>
      <c r="S718" s="4">
        <v>44837</v>
      </c>
    </row>
    <row r="719" spans="1:19" ht="12.5" x14ac:dyDescent="0.25">
      <c r="A719" s="14" t="str">
        <f>HYPERLINK("https://gerandofalcoes.my.salesforce.com/0014P00003YSp9JQAT", "0014P00003YSp9JQAT")</f>
        <v>0014P00003YSp9JQAT</v>
      </c>
      <c r="B719" s="2" t="s">
        <v>2046</v>
      </c>
      <c r="C719" s="2" t="s">
        <v>423</v>
      </c>
      <c r="D719" s="2" t="s">
        <v>2</v>
      </c>
      <c r="E719" s="2">
        <v>37</v>
      </c>
      <c r="F719" s="2">
        <v>4</v>
      </c>
      <c r="G719" s="2">
        <v>4</v>
      </c>
      <c r="H719" s="2">
        <v>125000</v>
      </c>
      <c r="I719" s="2">
        <v>60</v>
      </c>
      <c r="J719" s="2" t="s">
        <v>1671</v>
      </c>
      <c r="K719" s="2">
        <v>50</v>
      </c>
      <c r="L719" s="2">
        <v>15</v>
      </c>
      <c r="M719" s="2">
        <v>5</v>
      </c>
      <c r="N719" s="2">
        <v>10</v>
      </c>
      <c r="O719" s="2">
        <v>15</v>
      </c>
      <c r="P719" s="2">
        <v>5</v>
      </c>
      <c r="Q719" s="2" t="s">
        <v>2047</v>
      </c>
      <c r="R719" s="2" t="s">
        <v>2048</v>
      </c>
      <c r="S719" s="4">
        <v>44837</v>
      </c>
    </row>
    <row r="720" spans="1:19" ht="12.5" x14ac:dyDescent="0.25">
      <c r="A720" s="14" t="str">
        <f>HYPERLINK("https://gerandofalcoes.my.salesforce.com/0014P00003YSp9LQAT", "0014P00003YSp9LQAT")</f>
        <v>0014P00003YSp9LQAT</v>
      </c>
      <c r="B720" s="2" t="s">
        <v>1908</v>
      </c>
      <c r="C720" s="2" t="s">
        <v>423</v>
      </c>
      <c r="D720" s="2" t="s">
        <v>2</v>
      </c>
      <c r="E720" s="2">
        <v>43</v>
      </c>
      <c r="F720" s="2">
        <v>16</v>
      </c>
      <c r="G720" s="2">
        <v>6</v>
      </c>
      <c r="H720" s="2">
        <v>153000</v>
      </c>
      <c r="I720" s="2">
        <v>593</v>
      </c>
      <c r="J720" s="2" t="s">
        <v>1650</v>
      </c>
      <c r="K720" s="2">
        <v>72</v>
      </c>
      <c r="L720" s="2">
        <v>15</v>
      </c>
      <c r="M720" s="2">
        <v>12</v>
      </c>
      <c r="N720" s="2">
        <v>10</v>
      </c>
      <c r="O720" s="2">
        <v>15</v>
      </c>
      <c r="P720" s="2">
        <v>20</v>
      </c>
      <c r="Q720" s="2" t="s">
        <v>1909</v>
      </c>
      <c r="R720" s="2" t="s">
        <v>1909</v>
      </c>
      <c r="S720" s="4">
        <v>44837</v>
      </c>
    </row>
    <row r="721" spans="1:19" ht="12.5" x14ac:dyDescent="0.25">
      <c r="A721" s="14" t="str">
        <f>HYPERLINK("https://gerandofalcoes.my.salesforce.com/0014P00003YSp9MQAT", "0014P00003YSp9MQAT")</f>
        <v>0014P00003YSp9MQAT</v>
      </c>
      <c r="B721" s="2" t="s">
        <v>1887</v>
      </c>
      <c r="C721" s="2" t="s">
        <v>1800</v>
      </c>
      <c r="D721" s="2" t="s">
        <v>2</v>
      </c>
      <c r="E721" s="2">
        <v>44</v>
      </c>
      <c r="F721" s="2">
        <v>2</v>
      </c>
      <c r="G721" s="2">
        <v>2</v>
      </c>
      <c r="H721" s="2">
        <v>9000</v>
      </c>
      <c r="I721" s="2">
        <v>30</v>
      </c>
      <c r="J721" s="2" t="s">
        <v>1779</v>
      </c>
      <c r="K721" s="2">
        <v>36</v>
      </c>
      <c r="L721" s="2">
        <v>15</v>
      </c>
      <c r="M721" s="2">
        <v>5</v>
      </c>
      <c r="N721" s="2">
        <v>6</v>
      </c>
      <c r="O721" s="2">
        <v>5</v>
      </c>
      <c r="P721" s="2">
        <v>5</v>
      </c>
      <c r="Q721" s="2" t="s">
        <v>1888</v>
      </c>
      <c r="R721" s="2" t="s">
        <v>1888</v>
      </c>
      <c r="S721" s="4">
        <v>44837</v>
      </c>
    </row>
    <row r="722" spans="1:19" ht="12.5" x14ac:dyDescent="0.25">
      <c r="A722" s="14" t="str">
        <f>HYPERLINK("https://gerandofalcoes.my.salesforce.com/0014P00003YSp9NQAT", "0014P00003YSp9NQAT")</f>
        <v>0014P00003YSp9NQAT</v>
      </c>
      <c r="B722" s="2" t="s">
        <v>2275</v>
      </c>
      <c r="C722" s="2" t="s">
        <v>423</v>
      </c>
      <c r="D722" s="2" t="s">
        <v>2</v>
      </c>
      <c r="E722" s="2">
        <v>30</v>
      </c>
      <c r="F722" s="2">
        <v>0</v>
      </c>
      <c r="G722" s="2">
        <v>2</v>
      </c>
      <c r="H722" s="2">
        <v>11000</v>
      </c>
      <c r="I722" s="2">
        <v>20</v>
      </c>
      <c r="J722" s="2" t="s">
        <v>1779</v>
      </c>
      <c r="K722" s="2">
        <v>31</v>
      </c>
      <c r="L722" s="2">
        <v>15</v>
      </c>
      <c r="M722" s="2">
        <v>0</v>
      </c>
      <c r="N722" s="2">
        <v>6</v>
      </c>
      <c r="O722" s="2">
        <v>5</v>
      </c>
      <c r="P722" s="2">
        <v>5</v>
      </c>
      <c r="Q722" s="2" t="s">
        <v>7188</v>
      </c>
      <c r="R722" s="2" t="s">
        <v>2276</v>
      </c>
      <c r="S722" s="4">
        <v>44837</v>
      </c>
    </row>
    <row r="723" spans="1:19" ht="12.5" x14ac:dyDescent="0.25">
      <c r="A723" s="14" t="str">
        <f>HYPERLINK("https://gerandofalcoes.my.salesforce.com/0014P00003YSp9OQAT", "0014P00003YSp9OQAT")</f>
        <v>0014P00003YSp9OQAT</v>
      </c>
      <c r="B723" s="2" t="s">
        <v>2593</v>
      </c>
      <c r="C723" s="2" t="s">
        <v>1800</v>
      </c>
      <c r="D723" s="2" t="s">
        <v>2</v>
      </c>
      <c r="E723" s="2">
        <v>19</v>
      </c>
      <c r="F723" s="2">
        <v>0</v>
      </c>
      <c r="G723" s="2">
        <v>8</v>
      </c>
      <c r="H723" s="2">
        <v>15000</v>
      </c>
      <c r="I723" s="2">
        <v>958</v>
      </c>
      <c r="J723" s="2" t="s">
        <v>1671</v>
      </c>
      <c r="K723" s="2">
        <v>45</v>
      </c>
      <c r="L723" s="2">
        <v>10</v>
      </c>
      <c r="M723" s="2">
        <v>0</v>
      </c>
      <c r="N723" s="2">
        <v>10</v>
      </c>
      <c r="O723" s="2">
        <v>5</v>
      </c>
      <c r="P723" s="2">
        <v>20</v>
      </c>
      <c r="Q723" s="2" t="s">
        <v>2594</v>
      </c>
      <c r="R723" s="2" t="s">
        <v>2595</v>
      </c>
      <c r="S723" s="4">
        <v>44837</v>
      </c>
    </row>
    <row r="724" spans="1:19" ht="12.5" x14ac:dyDescent="0.25">
      <c r="A724" s="14" t="str">
        <f>HYPERLINK("https://gerandofalcoes.my.salesforce.com/0014P00003YSpA0QAL", "0014P00003YSpA0QAL")</f>
        <v>0014P00003YSpA0QAL</v>
      </c>
      <c r="B724" s="2" t="s">
        <v>2734</v>
      </c>
      <c r="C724" s="2" t="s">
        <v>423</v>
      </c>
      <c r="D724" s="2" t="s">
        <v>2</v>
      </c>
      <c r="E724" s="2">
        <v>8</v>
      </c>
      <c r="F724" s="2">
        <v>10</v>
      </c>
      <c r="G724" s="2">
        <v>0</v>
      </c>
      <c r="H724" s="2">
        <v>0</v>
      </c>
      <c r="I724" s="2">
        <v>52</v>
      </c>
      <c r="J724" s="2" t="s">
        <v>1779</v>
      </c>
      <c r="K724" s="2">
        <v>25</v>
      </c>
      <c r="L724" s="2">
        <v>10</v>
      </c>
      <c r="M724" s="2">
        <v>10</v>
      </c>
      <c r="N724" s="2">
        <v>0</v>
      </c>
      <c r="O724" s="2">
        <v>0</v>
      </c>
      <c r="P724" s="2">
        <v>5</v>
      </c>
      <c r="Q724" s="2" t="s">
        <v>2735</v>
      </c>
      <c r="R724" s="2" t="s">
        <v>2736</v>
      </c>
      <c r="S724" s="4">
        <v>44837</v>
      </c>
    </row>
    <row r="725" spans="1:19" ht="12.5" x14ac:dyDescent="0.25">
      <c r="A725" s="14" t="str">
        <f>HYPERLINK("https://gerandofalcoes.my.salesforce.com/0014P00003YSpA1QAL", "0014P00003YSpA1QAL")</f>
        <v>0014P00003YSpA1QAL</v>
      </c>
      <c r="B725" s="2" t="s">
        <v>2238</v>
      </c>
      <c r="C725" s="2" t="s">
        <v>1800</v>
      </c>
      <c r="D725" s="2" t="s">
        <v>2</v>
      </c>
      <c r="E725" s="2">
        <v>31</v>
      </c>
      <c r="F725" s="2">
        <v>0</v>
      </c>
      <c r="G725" s="2">
        <v>2</v>
      </c>
      <c r="H725" s="2">
        <v>50000</v>
      </c>
      <c r="I725" s="2">
        <v>41</v>
      </c>
      <c r="J725" s="2" t="s">
        <v>1779</v>
      </c>
      <c r="K725" s="2">
        <v>36</v>
      </c>
      <c r="L725" s="2">
        <v>15</v>
      </c>
      <c r="M725" s="2">
        <v>0</v>
      </c>
      <c r="N725" s="2">
        <v>6</v>
      </c>
      <c r="O725" s="2">
        <v>10</v>
      </c>
      <c r="P725" s="2">
        <v>5</v>
      </c>
      <c r="Q725" s="2" t="s">
        <v>2239</v>
      </c>
      <c r="R725" s="2" t="s">
        <v>2239</v>
      </c>
      <c r="S725" s="4">
        <v>44837</v>
      </c>
    </row>
    <row r="726" spans="1:19" ht="12.5" x14ac:dyDescent="0.25">
      <c r="A726" s="14" t="str">
        <f>HYPERLINK("https://gerandofalcoes.my.salesforce.com/0014P00003YSpA2QAL", "0014P00003YSpA2QAL")</f>
        <v>0014P00003YSpA2QAL</v>
      </c>
      <c r="B726" s="2" t="s">
        <v>2469</v>
      </c>
      <c r="C726" s="2" t="s">
        <v>423</v>
      </c>
      <c r="D726" s="2" t="s">
        <v>2</v>
      </c>
      <c r="E726" s="2">
        <v>23</v>
      </c>
      <c r="F726" s="2">
        <v>0</v>
      </c>
      <c r="G726" s="2">
        <v>2</v>
      </c>
      <c r="H726" s="2">
        <v>12000</v>
      </c>
      <c r="I726" s="2">
        <v>0</v>
      </c>
      <c r="J726" s="2" t="s">
        <v>1779</v>
      </c>
      <c r="K726" s="2">
        <v>21</v>
      </c>
      <c r="L726" s="2">
        <v>10</v>
      </c>
      <c r="M726" s="2">
        <v>0</v>
      </c>
      <c r="N726" s="2">
        <v>6</v>
      </c>
      <c r="O726" s="2">
        <v>5</v>
      </c>
      <c r="P726" s="2">
        <v>0</v>
      </c>
      <c r="Q726" s="2" t="s">
        <v>2470</v>
      </c>
      <c r="R726" s="2" t="s">
        <v>2471</v>
      </c>
      <c r="S726" s="4">
        <v>44837</v>
      </c>
    </row>
    <row r="727" spans="1:19" ht="12.5" x14ac:dyDescent="0.25">
      <c r="A727" s="14" t="str">
        <f>HYPERLINK("https://gerandofalcoes.my.salesforce.com/0014P00003YSpA3QAL", "0014P00003YSpA3QAL")</f>
        <v>0014P00003YSpA3QAL</v>
      </c>
      <c r="B727" s="2" t="s">
        <v>1910</v>
      </c>
      <c r="C727" s="2" t="s">
        <v>1800</v>
      </c>
      <c r="D727" s="2" t="s">
        <v>2</v>
      </c>
      <c r="E727" s="2">
        <v>43</v>
      </c>
      <c r="F727" s="2">
        <v>10</v>
      </c>
      <c r="G727" s="2">
        <v>2</v>
      </c>
      <c r="H727" s="2">
        <v>15000</v>
      </c>
      <c r="I727" s="2">
        <v>100</v>
      </c>
      <c r="J727" s="2" t="s">
        <v>1671</v>
      </c>
      <c r="K727" s="2">
        <v>46</v>
      </c>
      <c r="L727" s="2">
        <v>15</v>
      </c>
      <c r="M727" s="2">
        <v>10</v>
      </c>
      <c r="N727" s="2">
        <v>6</v>
      </c>
      <c r="O727" s="2">
        <v>5</v>
      </c>
      <c r="P727" s="2">
        <v>10</v>
      </c>
      <c r="Q727" s="2" t="s">
        <v>1911</v>
      </c>
      <c r="R727" s="2" t="s">
        <v>1912</v>
      </c>
      <c r="S727" s="4">
        <v>44837</v>
      </c>
    </row>
    <row r="728" spans="1:19" ht="12.5" x14ac:dyDescent="0.25">
      <c r="A728" s="14" t="str">
        <f>HYPERLINK("https://gerandofalcoes.my.salesforce.com/0014P00003YSpA5QAL", "0014P00003YSpA5QAL")</f>
        <v>0014P00003YSpA5QAL</v>
      </c>
      <c r="B728" s="2" t="s">
        <v>1983</v>
      </c>
      <c r="C728" s="2" t="s">
        <v>1800</v>
      </c>
      <c r="D728" s="2" t="s">
        <v>2</v>
      </c>
      <c r="E728" s="2">
        <v>39</v>
      </c>
      <c r="F728" s="2">
        <v>2</v>
      </c>
      <c r="G728" s="2">
        <v>5</v>
      </c>
      <c r="H728" s="2">
        <v>90000</v>
      </c>
      <c r="I728" s="2">
        <v>350</v>
      </c>
      <c r="J728" s="2" t="s">
        <v>1671</v>
      </c>
      <c r="K728" s="2">
        <v>55</v>
      </c>
      <c r="L728" s="2">
        <v>15</v>
      </c>
      <c r="M728" s="2">
        <v>5</v>
      </c>
      <c r="N728" s="2">
        <v>10</v>
      </c>
      <c r="O728" s="2">
        <v>10</v>
      </c>
      <c r="P728" s="2">
        <v>15</v>
      </c>
      <c r="Q728" s="2" t="s">
        <v>1984</v>
      </c>
      <c r="R728" s="2" t="s">
        <v>1985</v>
      </c>
      <c r="S728" s="4">
        <v>44837</v>
      </c>
    </row>
    <row r="729" spans="1:19" ht="12.5" x14ac:dyDescent="0.25">
      <c r="A729" s="14" t="str">
        <f>HYPERLINK("https://gerandofalcoes.my.salesforce.com/0014P00003YSpA7QAL", "0014P00003YSpA7QAL")</f>
        <v>0014P00003YSpA7QAL</v>
      </c>
      <c r="B729" s="2" t="s">
        <v>2818</v>
      </c>
      <c r="C729" s="2" t="s">
        <v>423</v>
      </c>
      <c r="D729" s="2" t="s">
        <v>2</v>
      </c>
      <c r="E729" s="2">
        <v>12.03</v>
      </c>
      <c r="F729" s="2">
        <v>1</v>
      </c>
      <c r="G729" s="2">
        <v>1</v>
      </c>
      <c r="H729" s="2">
        <v>20000000</v>
      </c>
      <c r="I729" s="2">
        <v>120</v>
      </c>
      <c r="J729" s="2" t="s">
        <v>1671</v>
      </c>
      <c r="K729" s="2">
        <v>54</v>
      </c>
      <c r="L729" s="2">
        <v>10</v>
      </c>
      <c r="M729" s="2">
        <v>5</v>
      </c>
      <c r="N729" s="2">
        <v>4</v>
      </c>
      <c r="O729" s="2">
        <v>25</v>
      </c>
      <c r="P729" s="2">
        <v>10</v>
      </c>
      <c r="Q729" s="2" t="s">
        <v>2819</v>
      </c>
      <c r="R729" s="2" t="s">
        <v>2819</v>
      </c>
      <c r="S729" s="4">
        <v>44837</v>
      </c>
    </row>
    <row r="730" spans="1:19" ht="12.5" x14ac:dyDescent="0.25">
      <c r="A730" s="14" t="str">
        <f>HYPERLINK("https://gerandofalcoes.my.salesforce.com/0014P00003YSpA8QAL", "0014P00003YSpA8QAL")</f>
        <v>0014P00003YSpA8QAL</v>
      </c>
      <c r="B730" s="2" t="s">
        <v>2647</v>
      </c>
      <c r="C730" s="2" t="s">
        <v>1800</v>
      </c>
      <c r="D730" s="2" t="s">
        <v>2</v>
      </c>
      <c r="E730" s="2">
        <v>18</v>
      </c>
      <c r="F730" s="2">
        <v>0</v>
      </c>
      <c r="G730" s="2">
        <v>2</v>
      </c>
      <c r="H730" s="2">
        <v>0</v>
      </c>
      <c r="I730" s="2">
        <v>0</v>
      </c>
      <c r="J730" s="2" t="s">
        <v>1779</v>
      </c>
      <c r="K730" s="2">
        <v>16</v>
      </c>
      <c r="L730" s="2">
        <v>10</v>
      </c>
      <c r="M730" s="2">
        <v>0</v>
      </c>
      <c r="N730" s="2">
        <v>6</v>
      </c>
      <c r="O730" s="2">
        <v>0</v>
      </c>
      <c r="P730" s="2">
        <v>0</v>
      </c>
      <c r="Q730" s="2" t="s">
        <v>2648</v>
      </c>
      <c r="R730" s="2" t="s">
        <v>2648</v>
      </c>
      <c r="S730" s="4">
        <v>44837</v>
      </c>
    </row>
    <row r="731" spans="1:19" ht="12.5" x14ac:dyDescent="0.25">
      <c r="A731" s="14" t="str">
        <f>HYPERLINK("https://gerandofalcoes.my.salesforce.com/0014P00003YSp9xQAD", "0014P00003YSp9xQAD")</f>
        <v>0014P00003YSp9xQAD</v>
      </c>
      <c r="B731" s="2" t="s">
        <v>2330</v>
      </c>
      <c r="C731" s="2" t="s">
        <v>1800</v>
      </c>
      <c r="D731" s="2" t="s">
        <v>2</v>
      </c>
      <c r="E731" s="2">
        <v>28</v>
      </c>
      <c r="F731" s="2">
        <v>0</v>
      </c>
      <c r="G731" s="2">
        <v>2</v>
      </c>
      <c r="H731" s="2">
        <v>120000</v>
      </c>
      <c r="I731" s="2">
        <v>29</v>
      </c>
      <c r="J731" s="2" t="s">
        <v>1671</v>
      </c>
      <c r="K731" s="2">
        <v>41</v>
      </c>
      <c r="L731" s="2">
        <v>15</v>
      </c>
      <c r="M731" s="2">
        <v>0</v>
      </c>
      <c r="N731" s="2">
        <v>6</v>
      </c>
      <c r="O731" s="2">
        <v>15</v>
      </c>
      <c r="P731" s="2">
        <v>5</v>
      </c>
      <c r="Q731" s="2" t="s">
        <v>2331</v>
      </c>
      <c r="R731" s="2" t="s">
        <v>2331</v>
      </c>
      <c r="S731" s="4">
        <v>44837</v>
      </c>
    </row>
    <row r="732" spans="1:19" ht="12.5" x14ac:dyDescent="0.25">
      <c r="A732" s="14" t="str">
        <f>HYPERLINK("https://gerandofalcoes.my.salesforce.com/0014P00003YSpA9QAL", "0014P00003YSpA9QAL")</f>
        <v>0014P00003YSpA9QAL</v>
      </c>
      <c r="B732" s="2" t="s">
        <v>1835</v>
      </c>
      <c r="C732" s="2" t="s">
        <v>423</v>
      </c>
      <c r="D732" s="2" t="s">
        <v>2</v>
      </c>
      <c r="E732" s="2">
        <v>31</v>
      </c>
      <c r="F732" s="2">
        <v>0</v>
      </c>
      <c r="G732" s="2">
        <v>2</v>
      </c>
      <c r="H732" s="2">
        <v>21270</v>
      </c>
      <c r="I732" s="2">
        <v>25</v>
      </c>
      <c r="J732" s="2" t="s">
        <v>1779</v>
      </c>
      <c r="K732" s="2">
        <v>31</v>
      </c>
      <c r="L732" s="2">
        <v>15</v>
      </c>
      <c r="M732" s="2">
        <v>0</v>
      </c>
      <c r="N732" s="2">
        <v>6</v>
      </c>
      <c r="O732" s="2">
        <v>5</v>
      </c>
      <c r="P732" s="2">
        <v>5</v>
      </c>
      <c r="Q732" s="2" t="s">
        <v>1836</v>
      </c>
      <c r="R732" s="2" t="s">
        <v>7152</v>
      </c>
      <c r="S732" s="4">
        <v>44837</v>
      </c>
    </row>
    <row r="733" spans="1:19" ht="12.5" x14ac:dyDescent="0.25">
      <c r="A733" s="14" t="str">
        <f>HYPERLINK("https://gerandofalcoes.my.salesforce.com/0014P00003YSpAAQA1", "0014P00003YSpAAQA1")</f>
        <v>0014P00003YSpAAQA1</v>
      </c>
      <c r="B733" s="2" t="s">
        <v>2428</v>
      </c>
      <c r="C733" s="2" t="s">
        <v>1684</v>
      </c>
      <c r="D733" s="2" t="s">
        <v>2</v>
      </c>
      <c r="E733" s="2">
        <v>25</v>
      </c>
      <c r="F733" s="2">
        <v>0</v>
      </c>
      <c r="G733" s="2">
        <v>0</v>
      </c>
      <c r="H733" s="2">
        <v>0</v>
      </c>
      <c r="I733" s="2">
        <v>0</v>
      </c>
      <c r="J733" s="2" t="s">
        <v>1779</v>
      </c>
      <c r="K733" s="2">
        <v>15</v>
      </c>
      <c r="L733" s="2">
        <v>15</v>
      </c>
      <c r="M733" s="2">
        <v>0</v>
      </c>
      <c r="N733" s="2">
        <v>0</v>
      </c>
      <c r="O733" s="2">
        <v>0</v>
      </c>
      <c r="P733" s="2">
        <v>0</v>
      </c>
      <c r="Q733" s="2" t="s">
        <v>2429</v>
      </c>
      <c r="R733" s="2" t="s">
        <v>2430</v>
      </c>
      <c r="S733" s="4">
        <v>44837</v>
      </c>
    </row>
    <row r="734" spans="1:19" ht="12.5" x14ac:dyDescent="0.25">
      <c r="A734" s="14" t="str">
        <f>HYPERLINK("https://gerandofalcoes.my.salesforce.com/0014P00003YSp9yQAD", "0014P00003YSp9yQAD")</f>
        <v>0014P00003YSp9yQAD</v>
      </c>
      <c r="B734" s="2" t="s">
        <v>2007</v>
      </c>
      <c r="C734" s="2" t="s">
        <v>1800</v>
      </c>
      <c r="D734" s="2" t="s">
        <v>2</v>
      </c>
      <c r="E734" s="2">
        <v>38</v>
      </c>
      <c r="F734" s="2">
        <v>63</v>
      </c>
      <c r="G734" s="2">
        <v>3</v>
      </c>
      <c r="H734" s="2">
        <v>750106</v>
      </c>
      <c r="I734" s="2">
        <v>900</v>
      </c>
      <c r="J734" s="2" t="s">
        <v>1650</v>
      </c>
      <c r="K734" s="2">
        <v>78</v>
      </c>
      <c r="L734" s="2">
        <v>15</v>
      </c>
      <c r="M734" s="2">
        <v>15</v>
      </c>
      <c r="N734" s="2">
        <v>8</v>
      </c>
      <c r="O734" s="2">
        <v>20</v>
      </c>
      <c r="P734" s="2">
        <v>20</v>
      </c>
      <c r="Q734" s="2" t="s">
        <v>2008</v>
      </c>
      <c r="R734" s="2" t="s">
        <v>2009</v>
      </c>
      <c r="S734" s="4">
        <v>44837</v>
      </c>
    </row>
    <row r="735" spans="1:19" ht="12.5" x14ac:dyDescent="0.25">
      <c r="A735" s="14" t="str">
        <f>HYPERLINK("https://gerandofalcoes.my.salesforce.com/0014P00003YSp9zQAD", "0014P00003YSp9zQAD")</f>
        <v>0014P00003YSp9zQAD</v>
      </c>
      <c r="B735" s="2" t="s">
        <v>1776</v>
      </c>
      <c r="C735" s="2" t="s">
        <v>423</v>
      </c>
      <c r="D735" s="2" t="s">
        <v>2</v>
      </c>
      <c r="E735" s="2">
        <v>34</v>
      </c>
      <c r="F735" s="2">
        <v>0</v>
      </c>
      <c r="G735" s="2">
        <v>12</v>
      </c>
      <c r="H735" s="2">
        <v>17000000</v>
      </c>
      <c r="I735" s="2">
        <v>750</v>
      </c>
      <c r="J735" s="2" t="s">
        <v>1650</v>
      </c>
      <c r="K735" s="2">
        <v>70</v>
      </c>
      <c r="L735" s="2">
        <v>15</v>
      </c>
      <c r="M735" s="2">
        <v>0</v>
      </c>
      <c r="N735" s="2">
        <v>10</v>
      </c>
      <c r="O735" s="2">
        <v>25</v>
      </c>
      <c r="P735" s="2">
        <v>20</v>
      </c>
      <c r="Q735" s="2" t="s">
        <v>1777</v>
      </c>
      <c r="R735" s="2" t="s">
        <v>1777</v>
      </c>
      <c r="S735" s="4">
        <v>44837</v>
      </c>
    </row>
    <row r="736" spans="1:19" ht="12.5" x14ac:dyDescent="0.25">
      <c r="A736" s="14" t="str">
        <f>HYPERLINK("https://gerandofalcoes.my.salesforce.com/0014P00003YSpACQA1", "0014P00003YSpACQA1")</f>
        <v>0014P00003YSpACQA1</v>
      </c>
      <c r="B736" s="2" t="s">
        <v>2601</v>
      </c>
      <c r="C736" s="2" t="s">
        <v>1800</v>
      </c>
      <c r="D736" s="2" t="s">
        <v>2</v>
      </c>
      <c r="E736" s="2">
        <v>19</v>
      </c>
      <c r="F736" s="2">
        <v>2</v>
      </c>
      <c r="G736" s="2">
        <v>2</v>
      </c>
      <c r="H736" s="2">
        <v>0</v>
      </c>
      <c r="I736" s="2">
        <v>120</v>
      </c>
      <c r="J736" s="2" t="s">
        <v>1779</v>
      </c>
      <c r="K736" s="2">
        <v>31</v>
      </c>
      <c r="L736" s="2">
        <v>10</v>
      </c>
      <c r="M736" s="2">
        <v>5</v>
      </c>
      <c r="N736" s="2">
        <v>6</v>
      </c>
      <c r="O736" s="2">
        <v>0</v>
      </c>
      <c r="P736" s="2">
        <v>10</v>
      </c>
      <c r="Q736" s="2" t="s">
        <v>2602</v>
      </c>
      <c r="R736" s="2" t="s">
        <v>2602</v>
      </c>
      <c r="S736" s="4">
        <v>44837</v>
      </c>
    </row>
    <row r="737" spans="1:19" ht="12.5" x14ac:dyDescent="0.25">
      <c r="A737" s="14" t="str">
        <f>HYPERLINK("https://gerandofalcoes.my.salesforce.com/0014P00003YSpADQA1", "0014P00003YSpADQA1")</f>
        <v>0014P00003YSpADQA1</v>
      </c>
      <c r="B737" s="2" t="s">
        <v>1736</v>
      </c>
      <c r="C737" s="2" t="s">
        <v>423</v>
      </c>
      <c r="D737" s="2" t="s">
        <v>2</v>
      </c>
      <c r="E737" s="2">
        <v>41</v>
      </c>
      <c r="F737" s="2">
        <v>10</v>
      </c>
      <c r="G737" s="2">
        <v>7</v>
      </c>
      <c r="H737" s="2">
        <v>595384</v>
      </c>
      <c r="I737" s="2">
        <v>246</v>
      </c>
      <c r="J737" s="2" t="s">
        <v>1650</v>
      </c>
      <c r="K737" s="2">
        <v>67</v>
      </c>
      <c r="L737" s="2">
        <v>15</v>
      </c>
      <c r="M737" s="2">
        <v>10</v>
      </c>
      <c r="N737" s="2">
        <v>10</v>
      </c>
      <c r="O737" s="2">
        <v>20</v>
      </c>
      <c r="P737" s="2">
        <v>12</v>
      </c>
      <c r="Q737" s="2" t="s">
        <v>1737</v>
      </c>
      <c r="R737" s="2" t="s">
        <v>1737</v>
      </c>
      <c r="S737" s="4">
        <v>44837</v>
      </c>
    </row>
    <row r="738" spans="1:19" ht="12.5" x14ac:dyDescent="0.25">
      <c r="A738" s="14" t="str">
        <f>HYPERLINK("https://gerandofalcoes.my.salesforce.com/0014P00003YSpAEQA1", "0014P00003YSpAEQA1")</f>
        <v>0014P00003YSpAEQA1</v>
      </c>
      <c r="B738" s="2" t="s">
        <v>2962</v>
      </c>
      <c r="C738" s="2" t="s">
        <v>423</v>
      </c>
      <c r="D738" s="2" t="s">
        <v>2</v>
      </c>
      <c r="E738" s="2">
        <v>17</v>
      </c>
      <c r="F738" s="2">
        <v>0</v>
      </c>
      <c r="G738" s="2">
        <v>0</v>
      </c>
      <c r="H738" s="2">
        <v>0</v>
      </c>
      <c r="I738" s="2">
        <v>300</v>
      </c>
      <c r="J738" s="2" t="s">
        <v>1779</v>
      </c>
      <c r="K738" s="2">
        <v>25</v>
      </c>
      <c r="L738" s="2">
        <v>10</v>
      </c>
      <c r="M738" s="2">
        <v>0</v>
      </c>
      <c r="N738" s="2">
        <v>0</v>
      </c>
      <c r="O738" s="2">
        <v>0</v>
      </c>
      <c r="P738" s="2">
        <v>15</v>
      </c>
      <c r="Q738" s="2" t="s">
        <v>2963</v>
      </c>
      <c r="R738" s="2" t="s">
        <v>2964</v>
      </c>
      <c r="S738" s="4">
        <v>44837</v>
      </c>
    </row>
    <row r="739" spans="1:19" ht="12.5" x14ac:dyDescent="0.25">
      <c r="A739" s="14" t="str">
        <f>HYPERLINK("https://gerandofalcoes.my.salesforce.com/0014P00003YSpAFQA1", "0014P00003YSpAFQA1")</f>
        <v>0014P00003YSpAFQA1</v>
      </c>
      <c r="B739" s="2" t="s">
        <v>2191</v>
      </c>
      <c r="C739" s="2" t="s">
        <v>1684</v>
      </c>
      <c r="D739" s="2" t="s">
        <v>2</v>
      </c>
      <c r="E739" s="2">
        <v>33</v>
      </c>
      <c r="F739" s="2">
        <v>3</v>
      </c>
      <c r="G739" s="2">
        <v>0</v>
      </c>
      <c r="H739" s="2">
        <v>0</v>
      </c>
      <c r="I739" s="2">
        <v>0</v>
      </c>
      <c r="J739" s="2" t="s">
        <v>1779</v>
      </c>
      <c r="K739" s="2">
        <v>20</v>
      </c>
      <c r="L739" s="2">
        <v>15</v>
      </c>
      <c r="M739" s="2">
        <v>5</v>
      </c>
      <c r="N739" s="2">
        <v>0</v>
      </c>
      <c r="O739" s="2">
        <v>0</v>
      </c>
      <c r="P739" s="2">
        <v>0</v>
      </c>
      <c r="Q739" s="2" t="s">
        <v>2192</v>
      </c>
      <c r="R739" s="2" t="s">
        <v>2193</v>
      </c>
      <c r="S739" s="4">
        <v>44837</v>
      </c>
    </row>
    <row r="740" spans="1:19" ht="12.5" x14ac:dyDescent="0.25">
      <c r="A740" s="14" t="str">
        <f>HYPERLINK("https://gerandofalcoes.my.salesforce.com/0014P00003YSpAGQA1", "0014P00003YSpAGQA1")</f>
        <v>0014P00003YSpAGQA1</v>
      </c>
      <c r="B740" s="2" t="s">
        <v>2850</v>
      </c>
      <c r="C740" s="2" t="s">
        <v>423</v>
      </c>
      <c r="D740" s="2" t="s">
        <v>2</v>
      </c>
      <c r="E740" s="2">
        <v>20</v>
      </c>
      <c r="F740" s="2">
        <v>0</v>
      </c>
      <c r="G740" s="2">
        <v>2</v>
      </c>
      <c r="H740" s="2">
        <v>3156570</v>
      </c>
      <c r="I740" s="2">
        <v>120</v>
      </c>
      <c r="J740" s="2" t="s">
        <v>1671</v>
      </c>
      <c r="K740" s="2">
        <v>51</v>
      </c>
      <c r="L740" s="2">
        <v>10</v>
      </c>
      <c r="M740" s="2">
        <v>0</v>
      </c>
      <c r="N740" s="2">
        <v>6</v>
      </c>
      <c r="O740" s="2">
        <v>25</v>
      </c>
      <c r="P740" s="2">
        <v>10</v>
      </c>
      <c r="Q740" s="2" t="s">
        <v>2851</v>
      </c>
      <c r="R740" s="2" t="s">
        <v>2852</v>
      </c>
      <c r="S740" s="4">
        <v>44837</v>
      </c>
    </row>
    <row r="741" spans="1:19" ht="12.5" x14ac:dyDescent="0.25">
      <c r="A741" s="14" t="str">
        <f>HYPERLINK("https://gerandofalcoes.my.salesforce.com/0014P00003YSpAHQA1", "0014P00003YSpAHQA1")</f>
        <v>0014P00003YSpAHQA1</v>
      </c>
      <c r="B741" s="2" t="s">
        <v>1881</v>
      </c>
      <c r="C741" s="2" t="s">
        <v>423</v>
      </c>
      <c r="D741" s="2" t="s">
        <v>2</v>
      </c>
      <c r="E741" s="2">
        <v>44.09</v>
      </c>
      <c r="F741" s="2">
        <v>34</v>
      </c>
      <c r="G741" s="2">
        <v>3</v>
      </c>
      <c r="H741" s="2">
        <v>109250786</v>
      </c>
      <c r="I741" s="2">
        <v>15</v>
      </c>
      <c r="J741" s="2" t="s">
        <v>1650</v>
      </c>
      <c r="K741" s="2">
        <v>68</v>
      </c>
      <c r="L741" s="2">
        <v>15</v>
      </c>
      <c r="M741" s="2">
        <v>15</v>
      </c>
      <c r="N741" s="2">
        <v>8</v>
      </c>
      <c r="O741" s="2">
        <v>25</v>
      </c>
      <c r="P741" s="2">
        <v>5</v>
      </c>
      <c r="Q741" s="2" t="s">
        <v>1882</v>
      </c>
      <c r="R741" s="2" t="s">
        <v>1882</v>
      </c>
      <c r="S741" s="4">
        <v>44837</v>
      </c>
    </row>
    <row r="742" spans="1:19" ht="12.5" x14ac:dyDescent="0.25">
      <c r="A742" s="14" t="str">
        <f>HYPERLINK("https://gerandofalcoes.my.salesforce.com/0014P00003YSpAIQA1", "0014P00003YSpAIQA1")</f>
        <v>0014P00003YSpAIQA1</v>
      </c>
      <c r="B742" s="2" t="s">
        <v>1810</v>
      </c>
      <c r="C742" s="2" t="s">
        <v>423</v>
      </c>
      <c r="D742" s="2" t="s">
        <v>2</v>
      </c>
      <c r="E742" s="2">
        <v>52.5</v>
      </c>
      <c r="F742" s="2">
        <v>0</v>
      </c>
      <c r="G742" s="2">
        <v>3</v>
      </c>
      <c r="H742" s="2">
        <v>17707602</v>
      </c>
      <c r="I742" s="2">
        <v>0</v>
      </c>
      <c r="J742" s="2" t="s">
        <v>1671</v>
      </c>
      <c r="K742" s="2">
        <v>53</v>
      </c>
      <c r="L742" s="2">
        <v>20</v>
      </c>
      <c r="M742" s="2">
        <v>0</v>
      </c>
      <c r="N742" s="2">
        <v>8</v>
      </c>
      <c r="O742" s="2">
        <v>25</v>
      </c>
      <c r="P742" s="2">
        <v>0</v>
      </c>
      <c r="Q742" s="2" t="s">
        <v>1811</v>
      </c>
      <c r="R742" s="2" t="s">
        <v>1812</v>
      </c>
      <c r="S742" s="4">
        <v>44837</v>
      </c>
    </row>
    <row r="743" spans="1:19" ht="12.5" x14ac:dyDescent="0.25">
      <c r="A743" s="14" t="str">
        <f>HYPERLINK("https://gerandofalcoes.my.salesforce.com/0014X00002VKCp5QAH", "0014X00002VKCp5QAH")</f>
        <v>0014X00002VKCp5QAH</v>
      </c>
      <c r="B743" s="2" t="s">
        <v>2289</v>
      </c>
      <c r="C743" s="2" t="s">
        <v>423</v>
      </c>
      <c r="D743" s="2" t="s">
        <v>2</v>
      </c>
      <c r="E743" s="2">
        <v>29</v>
      </c>
      <c r="F743" s="2">
        <v>0</v>
      </c>
      <c r="G743" s="2">
        <v>8</v>
      </c>
      <c r="H743" s="2">
        <v>52000</v>
      </c>
      <c r="I743" s="2">
        <v>2500</v>
      </c>
      <c r="J743" s="2" t="s">
        <v>1671</v>
      </c>
      <c r="K743" s="2">
        <v>55</v>
      </c>
      <c r="L743" s="2">
        <v>15</v>
      </c>
      <c r="M743" s="2">
        <v>0</v>
      </c>
      <c r="N743" s="2">
        <v>10</v>
      </c>
      <c r="O743" s="2">
        <v>10</v>
      </c>
      <c r="P743" s="2">
        <v>20</v>
      </c>
      <c r="Q743" s="2" t="s">
        <v>2290</v>
      </c>
      <c r="R743" s="2" t="s">
        <v>2291</v>
      </c>
      <c r="S743" s="4">
        <v>44837</v>
      </c>
    </row>
    <row r="744" spans="1:19" ht="12.5" x14ac:dyDescent="0.25">
      <c r="A744" s="14" t="str">
        <f>HYPERLINK("https://gerandofalcoes.my.salesforce.com/0014X00002VKCqlQAH", "0014X00002VKCqlQAH")</f>
        <v>0014X00002VKCqlQAH</v>
      </c>
      <c r="B744" s="2" t="s">
        <v>1741</v>
      </c>
      <c r="C744" s="2" t="s">
        <v>423</v>
      </c>
      <c r="D744" s="2" t="s">
        <v>2</v>
      </c>
      <c r="E744" s="2">
        <v>71</v>
      </c>
      <c r="F744" s="2">
        <v>5</v>
      </c>
      <c r="G744" s="2">
        <v>3</v>
      </c>
      <c r="H744" s="2">
        <v>300000</v>
      </c>
      <c r="I744" s="2">
        <v>83</v>
      </c>
      <c r="J744" s="2" t="s">
        <v>1671</v>
      </c>
      <c r="K744" s="2">
        <v>63</v>
      </c>
      <c r="L744" s="2">
        <v>20</v>
      </c>
      <c r="M744" s="2">
        <v>5</v>
      </c>
      <c r="N744" s="2">
        <v>8</v>
      </c>
      <c r="O744" s="2">
        <v>20</v>
      </c>
      <c r="P744" s="2">
        <v>10</v>
      </c>
      <c r="Q744" s="2" t="s">
        <v>1742</v>
      </c>
      <c r="R744" s="2" t="s">
        <v>1743</v>
      </c>
      <c r="S744" s="4">
        <v>44837</v>
      </c>
    </row>
    <row r="745" spans="1:19" ht="12.5" x14ac:dyDescent="0.25">
      <c r="A745" s="14" t="str">
        <f>HYPERLINK("https://gerandofalcoes.my.salesforce.com/0014X00002VKCqaQAH", "0014X00002VKCqaQAH")</f>
        <v>0014X00002VKCqaQAH</v>
      </c>
      <c r="B745" s="2" t="s">
        <v>2277</v>
      </c>
      <c r="C745" s="2" t="s">
        <v>1800</v>
      </c>
      <c r="D745" s="2" t="s">
        <v>2</v>
      </c>
      <c r="E745" s="2">
        <v>30</v>
      </c>
      <c r="F745" s="2">
        <v>0</v>
      </c>
      <c r="G745" s="2">
        <v>2</v>
      </c>
      <c r="H745" s="2">
        <v>0</v>
      </c>
      <c r="I745" s="2">
        <v>10</v>
      </c>
      <c r="J745" s="2" t="s">
        <v>1779</v>
      </c>
      <c r="K745" s="2">
        <v>26</v>
      </c>
      <c r="L745" s="2">
        <v>15</v>
      </c>
      <c r="M745" s="2">
        <v>0</v>
      </c>
      <c r="N745" s="2">
        <v>6</v>
      </c>
      <c r="O745" s="2">
        <v>0</v>
      </c>
      <c r="P745" s="2">
        <v>5</v>
      </c>
      <c r="Q745" s="2" t="s">
        <v>2278</v>
      </c>
      <c r="R745" s="2" t="s">
        <v>2278</v>
      </c>
      <c r="S745" s="4">
        <v>44837</v>
      </c>
    </row>
    <row r="746" spans="1:19" ht="12.5" x14ac:dyDescent="0.25">
      <c r="A746" s="14" t="str">
        <f>HYPERLINK("https://gerandofalcoes.my.salesforce.com/0014X00002VKCqvQAH", "0014X00002VKCqvQAH")</f>
        <v>0014X00002VKCqvQAH</v>
      </c>
      <c r="B746" s="2" t="s">
        <v>2261</v>
      </c>
      <c r="C746" s="2" t="s">
        <v>1800</v>
      </c>
      <c r="D746" s="2" t="s">
        <v>2</v>
      </c>
      <c r="E746" s="2">
        <v>30</v>
      </c>
      <c r="F746" s="2">
        <v>0</v>
      </c>
      <c r="G746" s="2">
        <v>3</v>
      </c>
      <c r="H746" s="2">
        <v>10000</v>
      </c>
      <c r="I746" s="2">
        <v>300</v>
      </c>
      <c r="J746" s="2" t="s">
        <v>1671</v>
      </c>
      <c r="K746" s="2">
        <v>43</v>
      </c>
      <c r="L746" s="2">
        <v>15</v>
      </c>
      <c r="M746" s="2">
        <v>0</v>
      </c>
      <c r="N746" s="2">
        <v>8</v>
      </c>
      <c r="O746" s="2">
        <v>5</v>
      </c>
      <c r="P746" s="2">
        <v>15</v>
      </c>
      <c r="Q746" s="2" t="s">
        <v>2262</v>
      </c>
      <c r="R746" s="2" t="s">
        <v>2263</v>
      </c>
      <c r="S746" s="4">
        <v>44837</v>
      </c>
    </row>
    <row r="747" spans="1:19" ht="12.5" x14ac:dyDescent="0.25">
      <c r="A747" s="14" t="str">
        <f>HYPERLINK("https://gerandofalcoes.my.salesforce.com/0014X00002VKCtpQAH", "0014X00002VKCtpQAH")</f>
        <v>0014X00002VKCtpQAH</v>
      </c>
      <c r="B747" s="2" t="s">
        <v>2616</v>
      </c>
      <c r="C747" s="2" t="s">
        <v>423</v>
      </c>
      <c r="D747" s="2" t="s">
        <v>2</v>
      </c>
      <c r="E747" s="2">
        <v>19</v>
      </c>
      <c r="F747" s="2">
        <v>0</v>
      </c>
      <c r="G747" s="2">
        <v>2</v>
      </c>
      <c r="H747" s="2">
        <v>0</v>
      </c>
      <c r="I747" s="2">
        <v>0</v>
      </c>
      <c r="J747" s="2" t="s">
        <v>1779</v>
      </c>
      <c r="K747" s="2">
        <v>16</v>
      </c>
      <c r="L747" s="2">
        <v>10</v>
      </c>
      <c r="M747" s="2">
        <v>0</v>
      </c>
      <c r="N747" s="2">
        <v>6</v>
      </c>
      <c r="O747" s="2">
        <v>0</v>
      </c>
      <c r="P747" s="2">
        <v>0</v>
      </c>
      <c r="Q747" s="2" t="s">
        <v>2617</v>
      </c>
      <c r="R747" s="2" t="s">
        <v>2618</v>
      </c>
      <c r="S747" s="4">
        <v>44837</v>
      </c>
    </row>
    <row r="748" spans="1:19" ht="12.5" x14ac:dyDescent="0.25">
      <c r="A748" s="14" t="str">
        <f>HYPERLINK("https://gerandofalcoes.my.salesforce.com/0014X00002VKCpkQAH", "0014X00002VKCpkQAH")</f>
        <v>0014X00002VKCpkQAH</v>
      </c>
      <c r="B748" s="2" t="s">
        <v>2096</v>
      </c>
      <c r="C748" s="2" t="s">
        <v>1800</v>
      </c>
      <c r="D748" s="2" t="s">
        <v>2</v>
      </c>
      <c r="E748" s="2">
        <v>35</v>
      </c>
      <c r="F748" s="2">
        <v>15</v>
      </c>
      <c r="G748" s="2">
        <v>4</v>
      </c>
      <c r="H748" s="2">
        <v>78000</v>
      </c>
      <c r="I748" s="2">
        <v>240</v>
      </c>
      <c r="J748" s="2" t="s">
        <v>1671</v>
      </c>
      <c r="K748" s="2">
        <v>59</v>
      </c>
      <c r="L748" s="2">
        <v>15</v>
      </c>
      <c r="M748" s="2">
        <v>12</v>
      </c>
      <c r="N748" s="2">
        <v>10</v>
      </c>
      <c r="O748" s="2">
        <v>10</v>
      </c>
      <c r="P748" s="2">
        <v>12</v>
      </c>
      <c r="Q748" s="2" t="s">
        <v>2097</v>
      </c>
      <c r="R748" s="2" t="s">
        <v>2097</v>
      </c>
      <c r="S748" s="4">
        <v>44837</v>
      </c>
    </row>
    <row r="749" spans="1:19" ht="12.5" x14ac:dyDescent="0.25">
      <c r="A749" s="14" t="str">
        <f>HYPERLINK("https://gerandofalcoes.my.salesforce.com/0014X00002VKCs5QAH", "0014X00002VKCs5QAH")</f>
        <v>0014X00002VKCs5QAH</v>
      </c>
      <c r="B749" s="2" t="s">
        <v>2588</v>
      </c>
      <c r="C749" s="2" t="s">
        <v>423</v>
      </c>
      <c r="D749" s="2" t="s">
        <v>2</v>
      </c>
      <c r="E749" s="2">
        <v>42</v>
      </c>
      <c r="F749" s="2">
        <v>0</v>
      </c>
      <c r="G749" s="2">
        <v>3</v>
      </c>
      <c r="H749" s="2">
        <v>140000</v>
      </c>
      <c r="I749" s="2">
        <v>0</v>
      </c>
      <c r="J749" s="2" t="s">
        <v>1779</v>
      </c>
      <c r="K749" s="2">
        <v>38</v>
      </c>
      <c r="L749" s="2">
        <v>15</v>
      </c>
      <c r="M749" s="2">
        <v>0</v>
      </c>
      <c r="N749" s="2">
        <v>8</v>
      </c>
      <c r="O749" s="2">
        <v>15</v>
      </c>
      <c r="P749" s="2">
        <v>0</v>
      </c>
      <c r="Q749" s="2" t="s">
        <v>2589</v>
      </c>
      <c r="R749" s="2" t="s">
        <v>2590</v>
      </c>
      <c r="S749" s="4">
        <v>44837</v>
      </c>
    </row>
    <row r="750" spans="1:19" ht="12.5" x14ac:dyDescent="0.25">
      <c r="A750" s="14" t="str">
        <f>HYPERLINK("https://gerandofalcoes.my.salesforce.com/0014X00002VKCqjQAH", "0014X00002VKCqjQAH")</f>
        <v>0014X00002VKCqjQAH</v>
      </c>
      <c r="B750" s="2" t="s">
        <v>2683</v>
      </c>
      <c r="C750" s="2" t="s">
        <v>423</v>
      </c>
      <c r="D750" s="2" t="s">
        <v>2</v>
      </c>
      <c r="E750" s="2">
        <v>23</v>
      </c>
      <c r="F750" s="2">
        <v>0</v>
      </c>
      <c r="G750" s="2">
        <v>3</v>
      </c>
      <c r="H750" s="2">
        <v>8000</v>
      </c>
      <c r="I750" s="2">
        <v>200</v>
      </c>
      <c r="J750" s="2" t="s">
        <v>1779</v>
      </c>
      <c r="K750" s="2">
        <v>35</v>
      </c>
      <c r="L750" s="2">
        <v>10</v>
      </c>
      <c r="M750" s="2">
        <v>0</v>
      </c>
      <c r="N750" s="2">
        <v>8</v>
      </c>
      <c r="O750" s="2">
        <v>5</v>
      </c>
      <c r="P750" s="2">
        <v>12</v>
      </c>
      <c r="Q750" s="2" t="s">
        <v>2684</v>
      </c>
      <c r="R750" s="2" t="s">
        <v>2685</v>
      </c>
      <c r="S750" s="4">
        <v>44837</v>
      </c>
    </row>
    <row r="751" spans="1:19" ht="12.5" x14ac:dyDescent="0.25">
      <c r="A751" s="14" t="str">
        <f>HYPERLINK("https://gerandofalcoes.my.salesforce.com/0014X00002VKCqoQAH", "0014X00002VKCqoQAH")</f>
        <v>0014X00002VKCqoQAH</v>
      </c>
      <c r="B751" s="2" t="s">
        <v>2076</v>
      </c>
      <c r="C751" s="2" t="s">
        <v>1800</v>
      </c>
      <c r="D751" s="2" t="s">
        <v>2</v>
      </c>
      <c r="E751" s="2">
        <v>36</v>
      </c>
      <c r="F751" s="2">
        <v>1</v>
      </c>
      <c r="G751" s="2">
        <v>7</v>
      </c>
      <c r="H751" s="2">
        <v>13800</v>
      </c>
      <c r="I751" s="2">
        <v>100</v>
      </c>
      <c r="J751" s="2" t="s">
        <v>1671</v>
      </c>
      <c r="K751" s="2">
        <v>45</v>
      </c>
      <c r="L751" s="2">
        <v>15</v>
      </c>
      <c r="M751" s="2">
        <v>5</v>
      </c>
      <c r="N751" s="2">
        <v>10</v>
      </c>
      <c r="O751" s="2">
        <v>5</v>
      </c>
      <c r="P751" s="2">
        <v>10</v>
      </c>
      <c r="Q751" s="2" t="s">
        <v>2077</v>
      </c>
      <c r="R751" s="2" t="s">
        <v>2077</v>
      </c>
      <c r="S751" s="4">
        <v>44837</v>
      </c>
    </row>
    <row r="752" spans="1:19" ht="12.5" x14ac:dyDescent="0.25">
      <c r="A752" s="14" t="str">
        <f>HYPERLINK("https://gerandofalcoes.my.salesforce.com/0014X00002VKCujQAH", "0014X00002VKCujQAH")</f>
        <v>0014X00002VKCujQAH</v>
      </c>
      <c r="B752" s="2" t="s">
        <v>1838</v>
      </c>
      <c r="C752" s="2" t="s">
        <v>423</v>
      </c>
      <c r="D752" s="2" t="s">
        <v>2</v>
      </c>
      <c r="E752" s="2">
        <v>74</v>
      </c>
      <c r="F752" s="2">
        <v>4</v>
      </c>
      <c r="G752" s="2">
        <v>1</v>
      </c>
      <c r="H752" s="2">
        <v>679520</v>
      </c>
      <c r="I752" s="2">
        <v>100</v>
      </c>
      <c r="J752" s="2" t="s">
        <v>1671</v>
      </c>
      <c r="K752" s="2">
        <v>59</v>
      </c>
      <c r="L752" s="2">
        <v>20</v>
      </c>
      <c r="M752" s="2">
        <v>5</v>
      </c>
      <c r="N752" s="2">
        <v>4</v>
      </c>
      <c r="O752" s="2">
        <v>20</v>
      </c>
      <c r="P752" s="2">
        <v>10</v>
      </c>
      <c r="Q752" s="2" t="s">
        <v>1839</v>
      </c>
      <c r="R752" s="2" t="s">
        <v>1840</v>
      </c>
      <c r="S752" s="4">
        <v>44837</v>
      </c>
    </row>
    <row r="753" spans="1:19" ht="12.5" x14ac:dyDescent="0.25">
      <c r="A753" s="14" t="str">
        <f>HYPERLINK("https://gerandofalcoes.my.salesforce.com/0014X00002VKCqOQAX", "0014X00002VKCqOQAX")</f>
        <v>0014X00002VKCqOQAX</v>
      </c>
      <c r="B753" s="2" t="s">
        <v>2521</v>
      </c>
      <c r="C753" s="2" t="s">
        <v>423</v>
      </c>
      <c r="D753" s="2" t="s">
        <v>2</v>
      </c>
      <c r="E753" s="2">
        <v>21</v>
      </c>
      <c r="F753" s="2">
        <v>2</v>
      </c>
      <c r="G753" s="2">
        <v>2</v>
      </c>
      <c r="H753" s="2">
        <v>0</v>
      </c>
      <c r="I753" s="2">
        <v>70</v>
      </c>
      <c r="J753" s="2" t="s">
        <v>1779</v>
      </c>
      <c r="K753" s="2">
        <v>26</v>
      </c>
      <c r="L753" s="2">
        <v>10</v>
      </c>
      <c r="M753" s="2">
        <v>5</v>
      </c>
      <c r="N753" s="2">
        <v>6</v>
      </c>
      <c r="O753" s="2">
        <v>0</v>
      </c>
      <c r="P753" s="2">
        <v>5</v>
      </c>
      <c r="Q753" s="2" t="s">
        <v>2522</v>
      </c>
      <c r="R753" s="2" t="s">
        <v>2522</v>
      </c>
      <c r="S753" s="4">
        <v>44837</v>
      </c>
    </row>
    <row r="754" spans="1:19" ht="12.5" x14ac:dyDescent="0.25">
      <c r="A754" s="14" t="str">
        <f>HYPERLINK("https://gerandofalcoes.my.salesforce.com/0014P00003Ck7X8QAJ", "0014P00003Ck7X8QAJ")</f>
        <v>0014P00003Ck7X8QAJ</v>
      </c>
      <c r="B754" s="2" t="s">
        <v>2809</v>
      </c>
      <c r="C754" s="2" t="s">
        <v>423</v>
      </c>
      <c r="D754" s="2" t="s">
        <v>2</v>
      </c>
      <c r="E754" s="2">
        <v>11</v>
      </c>
      <c r="F754" s="2">
        <v>0</v>
      </c>
      <c r="G754" s="2">
        <v>0</v>
      </c>
      <c r="H754" s="2">
        <v>12550</v>
      </c>
      <c r="I754" s="2">
        <v>50</v>
      </c>
      <c r="J754" s="2" t="s">
        <v>1779</v>
      </c>
      <c r="K754" s="2">
        <v>20</v>
      </c>
      <c r="L754" s="2">
        <v>10</v>
      </c>
      <c r="M754" s="2">
        <v>0</v>
      </c>
      <c r="N754" s="2">
        <v>0</v>
      </c>
      <c r="O754" s="2">
        <v>5</v>
      </c>
      <c r="P754" s="2">
        <v>5</v>
      </c>
      <c r="Q754" s="2" t="s">
        <v>891</v>
      </c>
      <c r="R754" s="2" t="s">
        <v>891</v>
      </c>
      <c r="S754" s="4">
        <v>44837</v>
      </c>
    </row>
    <row r="755" spans="1:19" ht="12.5" x14ac:dyDescent="0.25">
      <c r="A755" s="14" t="str">
        <f>HYPERLINK("https://gerandofalcoes.my.salesforce.com/0014X00002VKCuiQAH", "0014X00002VKCuiQAH")</f>
        <v>0014X00002VKCuiQAH</v>
      </c>
      <c r="B755" s="2" t="s">
        <v>1902</v>
      </c>
      <c r="C755" s="2" t="s">
        <v>423</v>
      </c>
      <c r="D755" s="2" t="s">
        <v>2</v>
      </c>
      <c r="E755" s="2">
        <v>51</v>
      </c>
      <c r="F755" s="2">
        <v>17</v>
      </c>
      <c r="G755" s="2">
        <v>7</v>
      </c>
      <c r="H755" s="2">
        <v>359673</v>
      </c>
      <c r="I755" s="2">
        <v>32</v>
      </c>
      <c r="J755" s="2" t="s">
        <v>1650</v>
      </c>
      <c r="K755" s="2">
        <v>67</v>
      </c>
      <c r="L755" s="2">
        <v>20</v>
      </c>
      <c r="M755" s="2">
        <v>12</v>
      </c>
      <c r="N755" s="2">
        <v>10</v>
      </c>
      <c r="O755" s="2">
        <v>20</v>
      </c>
      <c r="P755" s="2">
        <v>5</v>
      </c>
      <c r="Q755" s="2" t="s">
        <v>1903</v>
      </c>
      <c r="R755" s="2" t="s">
        <v>1904</v>
      </c>
      <c r="S755" s="4">
        <v>44837</v>
      </c>
    </row>
    <row r="756" spans="1:19" ht="12.5" x14ac:dyDescent="0.25">
      <c r="A756" s="14" t="str">
        <f>HYPERLINK("https://gerandofalcoes.my.salesforce.com/0014X00002VKCqJQAX", "0014X00002VKCqJQAX")</f>
        <v>0014X00002VKCqJQAX</v>
      </c>
      <c r="B756" s="2" t="s">
        <v>7178</v>
      </c>
      <c r="C756" s="2" t="s">
        <v>423</v>
      </c>
      <c r="D756" s="2" t="s">
        <v>2</v>
      </c>
      <c r="E756" s="2">
        <v>27</v>
      </c>
      <c r="F756" s="2">
        <v>0</v>
      </c>
      <c r="G756" s="2">
        <v>1</v>
      </c>
      <c r="H756" s="2">
        <v>16278</v>
      </c>
      <c r="I756" s="2">
        <v>100</v>
      </c>
      <c r="J756" s="2" t="s">
        <v>1779</v>
      </c>
      <c r="K756" s="2">
        <v>34</v>
      </c>
      <c r="L756" s="2">
        <v>15</v>
      </c>
      <c r="M756" s="2">
        <v>0</v>
      </c>
      <c r="N756" s="2">
        <v>4</v>
      </c>
      <c r="O756" s="2">
        <v>5</v>
      </c>
      <c r="P756" s="2">
        <v>10</v>
      </c>
      <c r="Q756" s="2" t="s">
        <v>2869</v>
      </c>
      <c r="R756" s="2" t="s">
        <v>2870</v>
      </c>
      <c r="S756" s="4">
        <v>44837</v>
      </c>
    </row>
    <row r="757" spans="1:19" ht="12.5" x14ac:dyDescent="0.25">
      <c r="A757" s="14" t="str">
        <f>HYPERLINK("https://gerandofalcoes.my.salesforce.com/0014X00002VKCu7QAH", "0014X00002VKCu7QAH")</f>
        <v>0014X00002VKCu7QAH</v>
      </c>
      <c r="B757" s="2" t="s">
        <v>2777</v>
      </c>
      <c r="C757" s="2" t="s">
        <v>423</v>
      </c>
      <c r="D757" s="2" t="s">
        <v>2</v>
      </c>
      <c r="E757" s="2">
        <v>20</v>
      </c>
      <c r="F757" s="2">
        <v>4</v>
      </c>
      <c r="G757" s="2">
        <v>2</v>
      </c>
      <c r="H757" s="2">
        <v>64700000</v>
      </c>
      <c r="I757" s="2">
        <v>210</v>
      </c>
      <c r="J757" s="2" t="s">
        <v>1671</v>
      </c>
      <c r="K757" s="2">
        <v>58</v>
      </c>
      <c r="L757" s="2">
        <v>10</v>
      </c>
      <c r="M757" s="2">
        <v>5</v>
      </c>
      <c r="N757" s="2">
        <v>6</v>
      </c>
      <c r="O757" s="2">
        <v>25</v>
      </c>
      <c r="P757" s="2">
        <v>12</v>
      </c>
      <c r="Q757" s="2" t="s">
        <v>2778</v>
      </c>
      <c r="R757" s="2" t="s">
        <v>2779</v>
      </c>
      <c r="S757" s="4">
        <v>44837</v>
      </c>
    </row>
    <row r="758" spans="1:19" ht="12.5" x14ac:dyDescent="0.25">
      <c r="A758" s="14" t="str">
        <f>HYPERLINK("https://gerandofalcoes.my.salesforce.com/0014X00002VKCs0QAH", "0014X00002VKCs0QAH")</f>
        <v>0014X00002VKCs0QAH</v>
      </c>
      <c r="B758" s="2" t="s">
        <v>1918</v>
      </c>
      <c r="C758" s="2" t="s">
        <v>423</v>
      </c>
      <c r="D758" s="2" t="s">
        <v>2</v>
      </c>
      <c r="E758" s="2">
        <v>42.91</v>
      </c>
      <c r="F758" s="2">
        <v>0</v>
      </c>
      <c r="G758" s="2">
        <v>2</v>
      </c>
      <c r="H758" s="2">
        <v>500000</v>
      </c>
      <c r="I758" s="2">
        <v>130</v>
      </c>
      <c r="J758" s="2" t="s">
        <v>1671</v>
      </c>
      <c r="K758" s="2">
        <v>51</v>
      </c>
      <c r="L758" s="2">
        <v>15</v>
      </c>
      <c r="M758" s="2">
        <v>0</v>
      </c>
      <c r="N758" s="2">
        <v>6</v>
      </c>
      <c r="O758" s="2">
        <v>20</v>
      </c>
      <c r="P758" s="2">
        <v>10</v>
      </c>
      <c r="Q758" s="2" t="s">
        <v>1919</v>
      </c>
      <c r="R758" s="2" t="s">
        <v>1920</v>
      </c>
      <c r="S758" s="4">
        <v>44837</v>
      </c>
    </row>
    <row r="759" spans="1:19" ht="12.5" x14ac:dyDescent="0.25">
      <c r="A759" s="14" t="str">
        <f>HYPERLINK("https://gerandofalcoes.my.salesforce.com/0014X00002VKCq8QAH", "0014X00002VKCq8QAH")</f>
        <v>0014X00002VKCq8QAH</v>
      </c>
      <c r="B759" s="2" t="s">
        <v>7179</v>
      </c>
      <c r="C759" s="2" t="s">
        <v>1800</v>
      </c>
      <c r="D759" s="2" t="s">
        <v>2</v>
      </c>
      <c r="E759" s="2">
        <v>15</v>
      </c>
      <c r="F759" s="2">
        <v>0</v>
      </c>
      <c r="G759" s="2">
        <v>3</v>
      </c>
      <c r="H759" s="2">
        <v>7000</v>
      </c>
      <c r="I759" s="2">
        <v>70</v>
      </c>
      <c r="J759" s="2" t="s">
        <v>1779</v>
      </c>
      <c r="K759" s="2">
        <v>28</v>
      </c>
      <c r="L759" s="2">
        <v>10</v>
      </c>
      <c r="M759" s="2">
        <v>0</v>
      </c>
      <c r="N759" s="2">
        <v>8</v>
      </c>
      <c r="O759" s="2">
        <v>5</v>
      </c>
      <c r="P759" s="2">
        <v>5</v>
      </c>
      <c r="Q759" s="2" t="s">
        <v>2722</v>
      </c>
      <c r="R759" s="2" t="s">
        <v>2723</v>
      </c>
      <c r="S759" s="4">
        <v>44837</v>
      </c>
    </row>
    <row r="760" spans="1:19" ht="12.5" x14ac:dyDescent="0.25">
      <c r="A760" s="14" t="str">
        <f>HYPERLINK("https://gerandofalcoes.my.salesforce.com/0014X00002VKCpuQAH", "0014X00002VKCpuQAH")</f>
        <v>0014X00002VKCpuQAH</v>
      </c>
      <c r="B760" s="2" t="s">
        <v>2387</v>
      </c>
      <c r="C760" s="2" t="s">
        <v>423</v>
      </c>
      <c r="D760" s="2" t="s">
        <v>2</v>
      </c>
      <c r="E760" s="2">
        <v>36</v>
      </c>
      <c r="F760" s="2">
        <v>0</v>
      </c>
      <c r="G760" s="2">
        <v>2</v>
      </c>
      <c r="H760" s="2">
        <v>40000</v>
      </c>
      <c r="I760" s="2">
        <v>50</v>
      </c>
      <c r="J760" s="2" t="s">
        <v>1779</v>
      </c>
      <c r="K760" s="2">
        <v>36</v>
      </c>
      <c r="L760" s="2">
        <v>15</v>
      </c>
      <c r="M760" s="2">
        <v>0</v>
      </c>
      <c r="N760" s="2">
        <v>6</v>
      </c>
      <c r="O760" s="2">
        <v>10</v>
      </c>
      <c r="P760" s="2">
        <v>5</v>
      </c>
      <c r="Q760" s="2" t="s">
        <v>2388</v>
      </c>
      <c r="R760" s="2" t="s">
        <v>2389</v>
      </c>
      <c r="S760" s="4">
        <v>44837</v>
      </c>
    </row>
    <row r="761" spans="1:19" ht="12.5" x14ac:dyDescent="0.25">
      <c r="A761" s="14" t="str">
        <f>HYPERLINK("https://gerandofalcoes.my.salesforce.com/0014X00002VKCp1QAH", "0014X00002VKCp1QAH")</f>
        <v>0014X00002VKCp1QAH</v>
      </c>
      <c r="B761" s="2" t="s">
        <v>2223</v>
      </c>
      <c r="C761" s="2" t="s">
        <v>1800</v>
      </c>
      <c r="D761" s="2" t="s">
        <v>2</v>
      </c>
      <c r="E761" s="2">
        <v>32</v>
      </c>
      <c r="F761" s="2">
        <v>5</v>
      </c>
      <c r="G761" s="2">
        <v>9</v>
      </c>
      <c r="H761" s="2">
        <v>12000</v>
      </c>
      <c r="I761" s="2">
        <v>60</v>
      </c>
      <c r="J761" s="2" t="s">
        <v>1671</v>
      </c>
      <c r="K761" s="2">
        <v>40</v>
      </c>
      <c r="L761" s="2">
        <v>15</v>
      </c>
      <c r="M761" s="2">
        <v>5</v>
      </c>
      <c r="N761" s="2">
        <v>10</v>
      </c>
      <c r="O761" s="2">
        <v>5</v>
      </c>
      <c r="P761" s="2">
        <v>5</v>
      </c>
      <c r="Q761" s="2" t="s">
        <v>2224</v>
      </c>
      <c r="R761" s="2" t="s">
        <v>2224</v>
      </c>
      <c r="S761" s="4">
        <v>44837</v>
      </c>
    </row>
    <row r="762" spans="1:19" ht="12.5" x14ac:dyDescent="0.25">
      <c r="A762" s="14" t="str">
        <f>HYPERLINK("https://gerandofalcoes.my.salesforce.com/0014X00002VKCtzQAH", "0014X00002VKCtzQAH")</f>
        <v>0014X00002VKCtzQAH</v>
      </c>
      <c r="B762" s="2" t="s">
        <v>2557</v>
      </c>
      <c r="C762" s="2" t="s">
        <v>423</v>
      </c>
      <c r="D762" s="2" t="s">
        <v>2</v>
      </c>
      <c r="E762" s="2">
        <v>20</v>
      </c>
      <c r="F762" s="2">
        <v>0</v>
      </c>
      <c r="G762" s="2">
        <v>2</v>
      </c>
      <c r="H762" s="2">
        <v>1200</v>
      </c>
      <c r="I762" s="2">
        <v>50</v>
      </c>
      <c r="J762" s="2" t="s">
        <v>1779</v>
      </c>
      <c r="K762" s="2">
        <v>26</v>
      </c>
      <c r="L762" s="2">
        <v>10</v>
      </c>
      <c r="M762" s="2">
        <v>0</v>
      </c>
      <c r="N762" s="2">
        <v>6</v>
      </c>
      <c r="O762" s="2">
        <v>5</v>
      </c>
      <c r="P762" s="2">
        <v>5</v>
      </c>
      <c r="Q762" s="2" t="s">
        <v>2558</v>
      </c>
      <c r="R762" s="2" t="s">
        <v>2558</v>
      </c>
      <c r="S762" s="4">
        <v>44837</v>
      </c>
    </row>
    <row r="763" spans="1:19" ht="12.5" x14ac:dyDescent="0.25">
      <c r="A763" s="14" t="str">
        <f>HYPERLINK("https://gerandofalcoes.my.salesforce.com/0014X00002VKCoyQAH", "0014X00002VKCoyQAH")</f>
        <v>0014X00002VKCoyQAH</v>
      </c>
      <c r="B763" s="2" t="s">
        <v>1935</v>
      </c>
      <c r="C763" s="2" t="s">
        <v>423</v>
      </c>
      <c r="D763" s="2" t="s">
        <v>2</v>
      </c>
      <c r="E763" s="2">
        <v>45</v>
      </c>
      <c r="F763" s="2">
        <v>1</v>
      </c>
      <c r="G763" s="2">
        <v>3</v>
      </c>
      <c r="H763" s="2">
        <v>360000</v>
      </c>
      <c r="I763" s="2">
        <v>105</v>
      </c>
      <c r="J763" s="2" t="s">
        <v>1671</v>
      </c>
      <c r="K763" s="2">
        <v>58</v>
      </c>
      <c r="L763" s="2">
        <v>15</v>
      </c>
      <c r="M763" s="2">
        <v>5</v>
      </c>
      <c r="N763" s="2">
        <v>8</v>
      </c>
      <c r="O763" s="2">
        <v>20</v>
      </c>
      <c r="P763" s="2">
        <v>10</v>
      </c>
      <c r="Q763" s="2" t="s">
        <v>1936</v>
      </c>
      <c r="R763" s="2" t="s">
        <v>1937</v>
      </c>
      <c r="S763" s="4">
        <v>44837</v>
      </c>
    </row>
    <row r="764" spans="1:19" ht="12.5" x14ac:dyDescent="0.25">
      <c r="A764" s="14" t="str">
        <f>HYPERLINK("https://gerandofalcoes.my.salesforce.com/0014X00002VKCs4QAH", "0014X00002VKCs4QAH")</f>
        <v>0014X00002VKCs4QAH</v>
      </c>
      <c r="B764" s="2" t="s">
        <v>2487</v>
      </c>
      <c r="C764" s="2" t="s">
        <v>1800</v>
      </c>
      <c r="D764" s="2" t="s">
        <v>2</v>
      </c>
      <c r="E764" s="2">
        <v>22</v>
      </c>
      <c r="F764" s="2">
        <v>0</v>
      </c>
      <c r="G764" s="2">
        <v>2</v>
      </c>
      <c r="H764" s="2">
        <v>0</v>
      </c>
      <c r="I764" s="2">
        <v>10</v>
      </c>
      <c r="J764" s="2" t="s">
        <v>1779</v>
      </c>
      <c r="K764" s="2">
        <v>21</v>
      </c>
      <c r="L764" s="2">
        <v>10</v>
      </c>
      <c r="M764" s="2">
        <v>0</v>
      </c>
      <c r="N764" s="2">
        <v>6</v>
      </c>
      <c r="O764" s="2">
        <v>0</v>
      </c>
      <c r="P764" s="2">
        <v>5</v>
      </c>
      <c r="Q764" s="2" t="s">
        <v>2488</v>
      </c>
      <c r="R764" s="2" t="s">
        <v>2489</v>
      </c>
      <c r="S764" s="4">
        <v>44837</v>
      </c>
    </row>
    <row r="765" spans="1:19" ht="12.5" x14ac:dyDescent="0.25">
      <c r="A765" s="14" t="str">
        <f>HYPERLINK("https://gerandofalcoes.my.salesforce.com/0014X00002VKCpEQAX", "0014X00002VKCpEQAX")</f>
        <v>0014X00002VKCpEQAX</v>
      </c>
      <c r="B765" s="2" t="s">
        <v>2404</v>
      </c>
      <c r="C765" s="2" t="s">
        <v>423</v>
      </c>
      <c r="D765" s="2" t="s">
        <v>2</v>
      </c>
      <c r="E765" s="2">
        <v>25</v>
      </c>
      <c r="F765" s="2">
        <v>11</v>
      </c>
      <c r="G765" s="2">
        <v>2</v>
      </c>
      <c r="H765" s="2">
        <v>40000</v>
      </c>
      <c r="I765" s="2">
        <v>276</v>
      </c>
      <c r="J765" s="2" t="s">
        <v>1671</v>
      </c>
      <c r="K765" s="2">
        <v>55</v>
      </c>
      <c r="L765" s="2">
        <v>15</v>
      </c>
      <c r="M765" s="2">
        <v>12</v>
      </c>
      <c r="N765" s="2">
        <v>6</v>
      </c>
      <c r="O765" s="2">
        <v>10</v>
      </c>
      <c r="P765" s="2">
        <v>12</v>
      </c>
      <c r="Q765" s="2" t="s">
        <v>2405</v>
      </c>
      <c r="R765" s="2" t="s">
        <v>2406</v>
      </c>
      <c r="S765" s="4">
        <v>44837</v>
      </c>
    </row>
    <row r="766" spans="1:19" ht="12.5" x14ac:dyDescent="0.25">
      <c r="A766" s="14" t="str">
        <f>HYPERLINK("https://gerandofalcoes.my.salesforce.com/0014X00002VKCrKQAX", "0014X00002VKCrKQAX")</f>
        <v>0014X00002VKCrKQAX</v>
      </c>
      <c r="B766" s="2" t="s">
        <v>2562</v>
      </c>
      <c r="C766" s="2" t="s">
        <v>1800</v>
      </c>
      <c r="D766" s="2" t="s">
        <v>2</v>
      </c>
      <c r="E766" s="2">
        <v>20</v>
      </c>
      <c r="F766" s="2">
        <v>7</v>
      </c>
      <c r="G766" s="2">
        <v>5</v>
      </c>
      <c r="H766" s="2">
        <v>2000</v>
      </c>
      <c r="I766" s="2">
        <v>20</v>
      </c>
      <c r="J766" s="2" t="s">
        <v>1671</v>
      </c>
      <c r="K766" s="2">
        <v>40</v>
      </c>
      <c r="L766" s="2">
        <v>10</v>
      </c>
      <c r="M766" s="2">
        <v>10</v>
      </c>
      <c r="N766" s="2">
        <v>10</v>
      </c>
      <c r="O766" s="2">
        <v>5</v>
      </c>
      <c r="P766" s="2">
        <v>5</v>
      </c>
      <c r="Q766" s="2" t="s">
        <v>2563</v>
      </c>
      <c r="R766" s="2" t="s">
        <v>2564</v>
      </c>
      <c r="S766" s="4">
        <v>44837</v>
      </c>
    </row>
    <row r="767" spans="1:19" ht="12.5" x14ac:dyDescent="0.25">
      <c r="A767" s="14" t="str">
        <f>HYPERLINK("https://gerandofalcoes.my.salesforce.com/0014X00002VKCt6QAH", "0014X00002VKCt6QAH")</f>
        <v>0014X00002VKCt6QAH</v>
      </c>
      <c r="B767" s="2" t="s">
        <v>2531</v>
      </c>
      <c r="C767" s="2" t="s">
        <v>1800</v>
      </c>
      <c r="D767" s="2" t="s">
        <v>2</v>
      </c>
      <c r="E767" s="2">
        <v>21</v>
      </c>
      <c r="F767" s="2">
        <v>15</v>
      </c>
      <c r="G767" s="2">
        <v>3</v>
      </c>
      <c r="H767" s="2">
        <v>4500</v>
      </c>
      <c r="I767" s="2">
        <v>10</v>
      </c>
      <c r="J767" s="2" t="s">
        <v>1671</v>
      </c>
      <c r="K767" s="2">
        <v>40</v>
      </c>
      <c r="L767" s="2">
        <v>10</v>
      </c>
      <c r="M767" s="2">
        <v>12</v>
      </c>
      <c r="N767" s="2">
        <v>8</v>
      </c>
      <c r="O767" s="2">
        <v>5</v>
      </c>
      <c r="P767" s="2">
        <v>5</v>
      </c>
      <c r="Q767" s="2" t="s">
        <v>2532</v>
      </c>
      <c r="R767" s="2" t="s">
        <v>2533</v>
      </c>
      <c r="S767" s="4">
        <v>44837</v>
      </c>
    </row>
    <row r="768" spans="1:19" ht="12.5" x14ac:dyDescent="0.25">
      <c r="A768" s="14" t="str">
        <f>HYPERLINK("https://gerandofalcoes.my.salesforce.com/0014X00002VKCq6QAH", "0014X00002VKCq6QAH")</f>
        <v>0014X00002VKCq6QAH</v>
      </c>
      <c r="B768" s="2" t="s">
        <v>1773</v>
      </c>
      <c r="C768" s="2" t="s">
        <v>423</v>
      </c>
      <c r="D768" s="2" t="s">
        <v>2</v>
      </c>
      <c r="E768" s="2">
        <v>58.49</v>
      </c>
      <c r="F768" s="2">
        <v>0</v>
      </c>
      <c r="G768" s="2">
        <v>3</v>
      </c>
      <c r="H768" s="2">
        <v>6124615</v>
      </c>
      <c r="I768" s="2">
        <v>0</v>
      </c>
      <c r="J768" s="2" t="s">
        <v>1671</v>
      </c>
      <c r="K768" s="2">
        <v>53</v>
      </c>
      <c r="L768" s="2">
        <v>20</v>
      </c>
      <c r="M768" s="2">
        <v>0</v>
      </c>
      <c r="N768" s="2">
        <v>8</v>
      </c>
      <c r="O768" s="2">
        <v>25</v>
      </c>
      <c r="P768" s="2">
        <v>0</v>
      </c>
      <c r="Q768" s="2" t="s">
        <v>1774</v>
      </c>
      <c r="R768" s="2" t="s">
        <v>1775</v>
      </c>
      <c r="S768" s="4">
        <v>44837</v>
      </c>
    </row>
    <row r="769" spans="1:19" ht="12.5" x14ac:dyDescent="0.25">
      <c r="A769" s="14" t="str">
        <f>HYPERLINK("https://gerandofalcoes.my.salesforce.com/0014X00002VKCqBQAX", "0014X00002VKCqBQAX")</f>
        <v>0014X00002VKCqBQAX</v>
      </c>
      <c r="B769" s="2" t="s">
        <v>1949</v>
      </c>
      <c r="C769" s="2" t="s">
        <v>423</v>
      </c>
      <c r="D769" s="2" t="s">
        <v>2</v>
      </c>
      <c r="E769" s="2">
        <v>41</v>
      </c>
      <c r="F769" s="2">
        <v>6</v>
      </c>
      <c r="G769" s="2">
        <v>1</v>
      </c>
      <c r="H769" s="2">
        <v>109000</v>
      </c>
      <c r="I769" s="2">
        <v>154</v>
      </c>
      <c r="J769" s="2" t="s">
        <v>1671</v>
      </c>
      <c r="K769" s="2">
        <v>56</v>
      </c>
      <c r="L769" s="2">
        <v>15</v>
      </c>
      <c r="M769" s="2">
        <v>10</v>
      </c>
      <c r="N769" s="2">
        <v>4</v>
      </c>
      <c r="O769" s="2">
        <v>15</v>
      </c>
      <c r="P769" s="2">
        <v>12</v>
      </c>
      <c r="Q769" s="2" t="s">
        <v>1950</v>
      </c>
      <c r="R769" s="2" t="s">
        <v>1951</v>
      </c>
      <c r="S769" s="4">
        <v>44837</v>
      </c>
    </row>
    <row r="770" spans="1:19" ht="12.5" x14ac:dyDescent="0.25">
      <c r="A770" s="14" t="str">
        <f>HYPERLINK("https://gerandofalcoes.my.salesforce.com/0014P00003YSpAJQA1", "0014P00003YSpAJQA1")</f>
        <v>0014P00003YSpAJQA1</v>
      </c>
      <c r="B770" s="2" t="s">
        <v>1822</v>
      </c>
      <c r="C770" s="2" t="s">
        <v>423</v>
      </c>
      <c r="D770" s="2" t="s">
        <v>2</v>
      </c>
      <c r="E770" s="2">
        <v>39</v>
      </c>
      <c r="F770" s="2">
        <v>3</v>
      </c>
      <c r="G770" s="2">
        <v>6</v>
      </c>
      <c r="H770" s="2">
        <v>1556030</v>
      </c>
      <c r="I770" s="2">
        <v>200</v>
      </c>
      <c r="J770" s="2" t="s">
        <v>1650</v>
      </c>
      <c r="K770" s="2">
        <v>67</v>
      </c>
      <c r="L770" s="2">
        <v>15</v>
      </c>
      <c r="M770" s="2">
        <v>5</v>
      </c>
      <c r="N770" s="2">
        <v>10</v>
      </c>
      <c r="O770" s="2">
        <v>25</v>
      </c>
      <c r="P770" s="2">
        <v>12</v>
      </c>
      <c r="Q770" s="2" t="s">
        <v>1823</v>
      </c>
      <c r="R770" s="2" t="s">
        <v>1823</v>
      </c>
      <c r="S770" s="4">
        <v>44837</v>
      </c>
    </row>
    <row r="771" spans="1:19" ht="12.5" x14ac:dyDescent="0.25">
      <c r="A771" s="14" t="str">
        <f>HYPERLINK("https://gerandofalcoes.my.salesforce.com/0014P00003YSpAKQA1", "0014P00003YSpAKQA1")</f>
        <v>0014P00003YSpAKQA1</v>
      </c>
      <c r="B771" s="2" t="s">
        <v>2245</v>
      </c>
      <c r="C771" s="2" t="s">
        <v>1800</v>
      </c>
      <c r="D771" s="2" t="s">
        <v>2</v>
      </c>
      <c r="E771" s="2">
        <v>31</v>
      </c>
      <c r="F771" s="2">
        <v>0</v>
      </c>
      <c r="G771" s="2">
        <v>2</v>
      </c>
      <c r="H771" s="2">
        <v>15000</v>
      </c>
      <c r="I771" s="2">
        <v>0</v>
      </c>
      <c r="J771" s="2" t="s">
        <v>1779</v>
      </c>
      <c r="K771" s="2">
        <v>26</v>
      </c>
      <c r="L771" s="2">
        <v>15</v>
      </c>
      <c r="M771" s="2">
        <v>0</v>
      </c>
      <c r="N771" s="2">
        <v>6</v>
      </c>
      <c r="O771" s="2">
        <v>5</v>
      </c>
      <c r="P771" s="2">
        <v>0</v>
      </c>
      <c r="Q771" s="2" t="s">
        <v>2246</v>
      </c>
      <c r="R771" s="2" t="s">
        <v>2246</v>
      </c>
      <c r="S771" s="4">
        <v>44837</v>
      </c>
    </row>
    <row r="772" spans="1:19" ht="12.5" x14ac:dyDescent="0.25">
      <c r="A772" s="14" t="str">
        <f>HYPERLINK("https://gerandofalcoes.my.salesforce.com/0014P00003YSpALQA1", "0014P00003YSpALQA1")</f>
        <v>0014P00003YSpALQA1</v>
      </c>
      <c r="B772" s="2" t="s">
        <v>2106</v>
      </c>
      <c r="C772" s="2" t="s">
        <v>1800</v>
      </c>
      <c r="D772" s="2" t="s">
        <v>2</v>
      </c>
      <c r="E772" s="2">
        <v>35</v>
      </c>
      <c r="F772" s="2">
        <v>7</v>
      </c>
      <c r="G772" s="2">
        <v>6</v>
      </c>
      <c r="H772" s="2">
        <v>83455</v>
      </c>
      <c r="I772" s="2">
        <v>81</v>
      </c>
      <c r="J772" s="2" t="s">
        <v>1671</v>
      </c>
      <c r="K772" s="2">
        <v>55</v>
      </c>
      <c r="L772" s="2">
        <v>15</v>
      </c>
      <c r="M772" s="2">
        <v>10</v>
      </c>
      <c r="N772" s="2">
        <v>10</v>
      </c>
      <c r="O772" s="2">
        <v>10</v>
      </c>
      <c r="P772" s="2">
        <v>10</v>
      </c>
      <c r="Q772" s="2" t="s">
        <v>2107</v>
      </c>
      <c r="R772" s="2" t="s">
        <v>2108</v>
      </c>
      <c r="S772" s="4">
        <v>44837</v>
      </c>
    </row>
    <row r="773" spans="1:19" ht="12.5" x14ac:dyDescent="0.25">
      <c r="A773" s="14" t="str">
        <f>HYPERLINK("https://gerandofalcoes.my.salesforce.com/0014P00003YSpAMQA1", "0014P00003YSpAMQA1")</f>
        <v>0014P00003YSpAMQA1</v>
      </c>
      <c r="B773" s="2" t="s">
        <v>2240</v>
      </c>
      <c r="C773" s="2" t="s">
        <v>1800</v>
      </c>
      <c r="D773" s="2" t="s">
        <v>2</v>
      </c>
      <c r="E773" s="2">
        <v>31</v>
      </c>
      <c r="F773" s="2">
        <v>0</v>
      </c>
      <c r="G773" s="2">
        <v>2</v>
      </c>
      <c r="H773" s="2">
        <v>8000</v>
      </c>
      <c r="I773" s="2">
        <v>21</v>
      </c>
      <c r="J773" s="2" t="s">
        <v>1779</v>
      </c>
      <c r="K773" s="2">
        <v>31</v>
      </c>
      <c r="L773" s="2">
        <v>15</v>
      </c>
      <c r="M773" s="2">
        <v>0</v>
      </c>
      <c r="N773" s="2">
        <v>6</v>
      </c>
      <c r="O773" s="2">
        <v>5</v>
      </c>
      <c r="P773" s="2">
        <v>5</v>
      </c>
      <c r="Q773" s="2" t="s">
        <v>2241</v>
      </c>
      <c r="R773" s="2" t="s">
        <v>2242</v>
      </c>
      <c r="S773" s="4">
        <v>44837</v>
      </c>
    </row>
    <row r="774" spans="1:19" ht="12.5" x14ac:dyDescent="0.25">
      <c r="A774" s="14" t="str">
        <f>HYPERLINK("https://gerandofalcoes.my.salesforce.com/0014P00003YSpA6QAL", "0014P00003YSpA6QAL")</f>
        <v>0014P00003YSpA6QAL</v>
      </c>
      <c r="B774" s="2" t="s">
        <v>2060</v>
      </c>
      <c r="C774" s="2" t="s">
        <v>1800</v>
      </c>
      <c r="D774" s="2" t="s">
        <v>2</v>
      </c>
      <c r="E774" s="2">
        <v>37</v>
      </c>
      <c r="F774" s="2">
        <v>27</v>
      </c>
      <c r="G774" s="2">
        <v>3</v>
      </c>
      <c r="H774" s="2">
        <v>132000</v>
      </c>
      <c r="I774" s="2">
        <v>0</v>
      </c>
      <c r="J774" s="2" t="s">
        <v>1671</v>
      </c>
      <c r="K774" s="2">
        <v>50</v>
      </c>
      <c r="L774" s="2">
        <v>15</v>
      </c>
      <c r="M774" s="2">
        <v>12</v>
      </c>
      <c r="N774" s="2">
        <v>8</v>
      </c>
      <c r="O774" s="2">
        <v>15</v>
      </c>
      <c r="P774" s="2">
        <v>0</v>
      </c>
      <c r="Q774" s="2" t="s">
        <v>2061</v>
      </c>
      <c r="R774" s="2" t="s">
        <v>2061</v>
      </c>
      <c r="S774" s="4">
        <v>44837</v>
      </c>
    </row>
    <row r="775" spans="1:19" ht="12.5" x14ac:dyDescent="0.25">
      <c r="A775" s="14" t="str">
        <f>HYPERLINK("https://gerandofalcoes.my.salesforce.com/0014P00003YSpP9QAL", "0014P00003YSpP9QAL")</f>
        <v>0014P00003YSpP9QAL</v>
      </c>
      <c r="B775" s="2" t="s">
        <v>2752</v>
      </c>
      <c r="C775" s="2" t="s">
        <v>423</v>
      </c>
      <c r="D775" s="2" t="s">
        <v>2</v>
      </c>
      <c r="E775" s="2">
        <v>14</v>
      </c>
      <c r="F775" s="2">
        <v>0</v>
      </c>
      <c r="G775" s="2">
        <v>12</v>
      </c>
      <c r="H775" s="2">
        <v>13000</v>
      </c>
      <c r="I775" s="2">
        <v>208</v>
      </c>
      <c r="J775" s="2" t="s">
        <v>1779</v>
      </c>
      <c r="K775" s="2">
        <v>37</v>
      </c>
      <c r="L775" s="2">
        <v>10</v>
      </c>
      <c r="M775" s="2">
        <v>0</v>
      </c>
      <c r="N775" s="2">
        <v>10</v>
      </c>
      <c r="O775" s="2">
        <v>5</v>
      </c>
      <c r="P775" s="2">
        <v>12</v>
      </c>
      <c r="Q775" s="2" t="s">
        <v>2753</v>
      </c>
      <c r="R775" s="2" t="s">
        <v>2754</v>
      </c>
      <c r="S775" s="4">
        <v>44837</v>
      </c>
    </row>
    <row r="776" spans="1:19" ht="12.5" x14ac:dyDescent="0.25">
      <c r="A776" s="14" t="str">
        <f>HYPERLINK("https://gerandofalcoes.my.salesforce.com/0014P00003AN2GIQA1", "0014P00003AN2GIQA1")</f>
        <v>0014P00003AN2GIQA1</v>
      </c>
      <c r="B776" s="2" t="s">
        <v>1661</v>
      </c>
      <c r="C776" s="2" t="s">
        <v>423</v>
      </c>
      <c r="D776" s="2" t="s">
        <v>27</v>
      </c>
      <c r="E776" s="2">
        <v>95</v>
      </c>
      <c r="F776" s="2">
        <v>5</v>
      </c>
      <c r="G776" s="2">
        <v>3</v>
      </c>
      <c r="H776" s="2">
        <v>133580.48000000001</v>
      </c>
      <c r="I776" s="2">
        <v>82</v>
      </c>
      <c r="J776" s="2" t="s">
        <v>1650</v>
      </c>
      <c r="K776" s="2">
        <v>68</v>
      </c>
      <c r="L776" s="2">
        <v>30</v>
      </c>
      <c r="M776" s="2">
        <v>5</v>
      </c>
      <c r="N776" s="2">
        <v>8</v>
      </c>
      <c r="O776" s="2">
        <v>15</v>
      </c>
      <c r="P776" s="2">
        <v>10</v>
      </c>
      <c r="Q776" s="2" t="s">
        <v>31</v>
      </c>
      <c r="R776" s="2" t="s">
        <v>1662</v>
      </c>
      <c r="S776" s="4">
        <v>44837</v>
      </c>
    </row>
    <row r="777" spans="1:19" ht="12.5" x14ac:dyDescent="0.25">
      <c r="A777" s="14" t="str">
        <f>HYPERLINK("https://gerandofalcoes.my.salesforce.com/0014P00003AN2GJQA1", "0014P00003AN2GJQA1")</f>
        <v>0014P00003AN2GJQA1</v>
      </c>
      <c r="B777" s="2" t="s">
        <v>1720</v>
      </c>
      <c r="C777" s="2" t="s">
        <v>423</v>
      </c>
      <c r="D777" s="2" t="s">
        <v>27</v>
      </c>
      <c r="E777" s="2">
        <v>76</v>
      </c>
      <c r="F777" s="2">
        <v>10</v>
      </c>
      <c r="G777" s="2">
        <v>2</v>
      </c>
      <c r="H777" s="2">
        <v>786451.23</v>
      </c>
      <c r="I777" s="2">
        <v>99</v>
      </c>
      <c r="J777" s="2" t="s">
        <v>1650</v>
      </c>
      <c r="K777" s="2">
        <v>71</v>
      </c>
      <c r="L777" s="2">
        <v>25</v>
      </c>
      <c r="M777" s="2">
        <v>10</v>
      </c>
      <c r="N777" s="2">
        <v>6</v>
      </c>
      <c r="O777" s="2">
        <v>20</v>
      </c>
      <c r="P777" s="2">
        <v>10</v>
      </c>
      <c r="Q777" s="2" t="s">
        <v>35</v>
      </c>
      <c r="R777" s="2" t="s">
        <v>1721</v>
      </c>
      <c r="S777" s="4">
        <v>44837</v>
      </c>
    </row>
    <row r="778" spans="1:19" ht="12.5" x14ac:dyDescent="0.25">
      <c r="A778" s="14" t="str">
        <f>HYPERLINK("https://gerandofalcoes.my.salesforce.com/0014P00003AN2GKQA1", "0014P00003AN2GKQA1")</f>
        <v>0014P00003AN2GKQA1</v>
      </c>
      <c r="B778" s="2" t="s">
        <v>1687</v>
      </c>
      <c r="C778" s="2" t="s">
        <v>423</v>
      </c>
      <c r="D778" s="2" t="s">
        <v>27</v>
      </c>
      <c r="E778" s="2">
        <v>85</v>
      </c>
      <c r="F778" s="2">
        <v>22</v>
      </c>
      <c r="G778" s="2">
        <v>5</v>
      </c>
      <c r="H778" s="2">
        <v>1314918.45</v>
      </c>
      <c r="I778" s="2">
        <v>358</v>
      </c>
      <c r="J778" s="2" t="s">
        <v>1654</v>
      </c>
      <c r="K778" s="2">
        <v>87</v>
      </c>
      <c r="L778" s="2">
        <v>25</v>
      </c>
      <c r="M778" s="2">
        <v>12</v>
      </c>
      <c r="N778" s="2">
        <v>10</v>
      </c>
      <c r="O778" s="2">
        <v>25</v>
      </c>
      <c r="P778" s="2">
        <v>15</v>
      </c>
      <c r="Q778" s="2" t="s">
        <v>28</v>
      </c>
      <c r="R778" s="2" t="s">
        <v>28</v>
      </c>
      <c r="S778" s="4">
        <v>44837</v>
      </c>
    </row>
    <row r="779" spans="1:19" ht="12.5" x14ac:dyDescent="0.25">
      <c r="A779" s="14" t="str">
        <f>HYPERLINK("https://gerandofalcoes.my.salesforce.com/0014X00002VKCu2QAH", "0014X00002VKCu2QAH")</f>
        <v>0014X00002VKCu2QAH</v>
      </c>
      <c r="B779" s="2" t="s">
        <v>2810</v>
      </c>
      <c r="C779" s="2" t="s">
        <v>423</v>
      </c>
      <c r="D779" s="2" t="s">
        <v>2</v>
      </c>
      <c r="E779" s="2">
        <v>41</v>
      </c>
      <c r="F779" s="2">
        <v>0</v>
      </c>
      <c r="G779" s="2">
        <v>2</v>
      </c>
      <c r="H779" s="2">
        <v>3</v>
      </c>
      <c r="I779" s="2">
        <v>300</v>
      </c>
      <c r="J779" s="2" t="s">
        <v>1671</v>
      </c>
      <c r="K779" s="2">
        <v>41</v>
      </c>
      <c r="L779" s="2">
        <v>15</v>
      </c>
      <c r="M779" s="2">
        <v>0</v>
      </c>
      <c r="N779" s="2">
        <v>6</v>
      </c>
      <c r="O779" s="2">
        <v>5</v>
      </c>
      <c r="P779" s="2">
        <v>15</v>
      </c>
      <c r="Q779" s="2" t="s">
        <v>2811</v>
      </c>
      <c r="R779" s="2" t="s">
        <v>2812</v>
      </c>
      <c r="S779" s="4">
        <v>44837</v>
      </c>
    </row>
    <row r="780" spans="1:19" ht="12.5" x14ac:dyDescent="0.25">
      <c r="A780" s="14" t="str">
        <f>HYPERLINK("https://gerandofalcoes.my.salesforce.com/0014X00002VKCsCQAX", "0014X00002VKCsCQAX")</f>
        <v>0014X00002VKCsCQAX</v>
      </c>
      <c r="B780" s="2" t="s">
        <v>2826</v>
      </c>
      <c r="C780" s="2" t="s">
        <v>423</v>
      </c>
      <c r="D780" s="2" t="s">
        <v>2</v>
      </c>
      <c r="E780" s="2">
        <v>11.65</v>
      </c>
      <c r="F780" s="2">
        <v>0</v>
      </c>
      <c r="G780" s="2">
        <v>2</v>
      </c>
      <c r="H780" s="2">
        <v>30000</v>
      </c>
      <c r="I780" s="2">
        <v>70</v>
      </c>
      <c r="J780" s="2" t="s">
        <v>1779</v>
      </c>
      <c r="K780" s="2">
        <v>31</v>
      </c>
      <c r="L780" s="2">
        <v>10</v>
      </c>
      <c r="M780" s="2">
        <v>0</v>
      </c>
      <c r="N780" s="2">
        <v>6</v>
      </c>
      <c r="O780" s="2">
        <v>10</v>
      </c>
      <c r="P780" s="2">
        <v>5</v>
      </c>
      <c r="Q780" s="2" t="s">
        <v>2827</v>
      </c>
      <c r="R780" s="2" t="s">
        <v>2827</v>
      </c>
      <c r="S780" s="4">
        <v>44837</v>
      </c>
    </row>
    <row r="781" spans="1:19" ht="12.5" x14ac:dyDescent="0.25">
      <c r="A781" s="14" t="str">
        <f>HYPERLINK("https://gerandofalcoes.my.salesforce.com/0014X00002VKCseQAH", "0014X00002VKCseQAH")</f>
        <v>0014X00002VKCseQAH</v>
      </c>
      <c r="B781" s="2" t="s">
        <v>2516</v>
      </c>
      <c r="C781" s="2" t="s">
        <v>1800</v>
      </c>
      <c r="D781" s="2" t="s">
        <v>2</v>
      </c>
      <c r="E781" s="2">
        <v>21</v>
      </c>
      <c r="F781" s="2">
        <v>0</v>
      </c>
      <c r="G781" s="2">
        <v>4</v>
      </c>
      <c r="H781" s="2">
        <v>6000</v>
      </c>
      <c r="I781" s="2">
        <v>100</v>
      </c>
      <c r="J781" s="2" t="s">
        <v>1779</v>
      </c>
      <c r="K781" s="2">
        <v>35</v>
      </c>
      <c r="L781" s="2">
        <v>10</v>
      </c>
      <c r="M781" s="2">
        <v>0</v>
      </c>
      <c r="N781" s="2">
        <v>10</v>
      </c>
      <c r="O781" s="2">
        <v>5</v>
      </c>
      <c r="P781" s="2">
        <v>10</v>
      </c>
      <c r="Q781" s="2" t="s">
        <v>2517</v>
      </c>
      <c r="R781" s="2" t="s">
        <v>2517</v>
      </c>
      <c r="S781" s="4">
        <v>44837</v>
      </c>
    </row>
    <row r="782" spans="1:19" ht="12.5" x14ac:dyDescent="0.25">
      <c r="A782" s="14" t="str">
        <f>HYPERLINK("https://gerandofalcoes.my.salesforce.com/0014X00002VKCscQAH", "0014X00002VKCscQAH")</f>
        <v>0014X00002VKCscQAH</v>
      </c>
      <c r="B782" s="2" t="s">
        <v>2771</v>
      </c>
      <c r="C782" s="2" t="s">
        <v>423</v>
      </c>
      <c r="D782" s="2" t="s">
        <v>2</v>
      </c>
      <c r="E782" s="2">
        <v>38</v>
      </c>
      <c r="F782" s="2">
        <v>6</v>
      </c>
      <c r="G782" s="2">
        <v>0</v>
      </c>
      <c r="H782" s="2">
        <v>0</v>
      </c>
      <c r="I782" s="2">
        <v>150</v>
      </c>
      <c r="J782" s="2" t="s">
        <v>1779</v>
      </c>
      <c r="K782" s="2">
        <v>37</v>
      </c>
      <c r="L782" s="2">
        <v>15</v>
      </c>
      <c r="M782" s="2">
        <v>10</v>
      </c>
      <c r="N782" s="2">
        <v>0</v>
      </c>
      <c r="O782" s="2">
        <v>0</v>
      </c>
      <c r="P782" s="2">
        <v>12</v>
      </c>
      <c r="Q782" s="2" t="s">
        <v>2772</v>
      </c>
      <c r="R782" s="2" t="s">
        <v>2773</v>
      </c>
      <c r="S782" s="4">
        <v>44837</v>
      </c>
    </row>
    <row r="783" spans="1:19" ht="12.5" x14ac:dyDescent="0.25">
      <c r="A783" s="14" t="str">
        <f>HYPERLINK("https://gerandofalcoes.my.salesforce.com/0014X00002VKCt1QAH", "0014X00002VKCt1QAH")</f>
        <v>0014X00002VKCt1QAH</v>
      </c>
      <c r="B783" s="2" t="s">
        <v>2452</v>
      </c>
      <c r="C783" s="2" t="s">
        <v>423</v>
      </c>
      <c r="D783" s="2" t="s">
        <v>2</v>
      </c>
      <c r="E783" s="2">
        <v>23.64</v>
      </c>
      <c r="F783" s="2">
        <v>0</v>
      </c>
      <c r="G783" s="2">
        <v>1</v>
      </c>
      <c r="H783" s="2">
        <v>48000</v>
      </c>
      <c r="I783" s="2">
        <v>125</v>
      </c>
      <c r="J783" s="2" t="s">
        <v>1779</v>
      </c>
      <c r="K783" s="2">
        <v>34</v>
      </c>
      <c r="L783" s="2">
        <v>10</v>
      </c>
      <c r="M783" s="2">
        <v>0</v>
      </c>
      <c r="N783" s="2">
        <v>4</v>
      </c>
      <c r="O783" s="2">
        <v>10</v>
      </c>
      <c r="P783" s="2">
        <v>10</v>
      </c>
      <c r="Q783" s="2" t="s">
        <v>2453</v>
      </c>
      <c r="R783" s="2" t="s">
        <v>2453</v>
      </c>
      <c r="S783" s="4">
        <v>44837</v>
      </c>
    </row>
    <row r="784" spans="1:19" ht="12.5" x14ac:dyDescent="0.25">
      <c r="A784" s="14" t="str">
        <f>HYPERLINK("https://gerandofalcoes.my.salesforce.com/0014X00002VKCpyQAH", "0014X00002VKCpyQAH")</f>
        <v>0014X00002VKCpyQAH</v>
      </c>
      <c r="B784" s="2" t="s">
        <v>2340</v>
      </c>
      <c r="C784" s="2" t="s">
        <v>423</v>
      </c>
      <c r="D784" s="2" t="s">
        <v>2</v>
      </c>
      <c r="E784" s="2">
        <v>27.22</v>
      </c>
      <c r="F784" s="2">
        <v>0</v>
      </c>
      <c r="G784" s="2">
        <v>3</v>
      </c>
      <c r="H784" s="2">
        <v>20030</v>
      </c>
      <c r="I784" s="2">
        <v>294</v>
      </c>
      <c r="J784" s="2" t="s">
        <v>1671</v>
      </c>
      <c r="K784" s="2">
        <v>40</v>
      </c>
      <c r="L784" s="2">
        <v>15</v>
      </c>
      <c r="M784" s="2">
        <v>0</v>
      </c>
      <c r="N784" s="2">
        <v>8</v>
      </c>
      <c r="O784" s="2">
        <v>5</v>
      </c>
      <c r="P784" s="2">
        <v>12</v>
      </c>
      <c r="Q784" s="2" t="s">
        <v>2341</v>
      </c>
      <c r="R784" s="2" t="s">
        <v>2342</v>
      </c>
      <c r="S784" s="4">
        <v>44837</v>
      </c>
    </row>
    <row r="785" spans="1:19" ht="12.5" x14ac:dyDescent="0.25">
      <c r="A785" s="14" t="str">
        <f>HYPERLINK("https://gerandofalcoes.my.salesforce.com/0014X00002VKCstQAH", "0014X00002VKCstQAH")</f>
        <v>0014X00002VKCstQAH</v>
      </c>
      <c r="B785" s="2" t="s">
        <v>2259</v>
      </c>
      <c r="C785" s="2" t="s">
        <v>423</v>
      </c>
      <c r="D785" s="2" t="s">
        <v>2</v>
      </c>
      <c r="E785" s="2">
        <v>27</v>
      </c>
      <c r="F785" s="2">
        <v>2</v>
      </c>
      <c r="G785" s="2">
        <v>1</v>
      </c>
      <c r="H785" s="2">
        <v>5000</v>
      </c>
      <c r="I785" s="2">
        <v>50</v>
      </c>
      <c r="J785" s="2" t="s">
        <v>1779</v>
      </c>
      <c r="K785" s="2">
        <v>34</v>
      </c>
      <c r="L785" s="2">
        <v>15</v>
      </c>
      <c r="M785" s="2">
        <v>5</v>
      </c>
      <c r="N785" s="2">
        <v>4</v>
      </c>
      <c r="O785" s="2">
        <v>5</v>
      </c>
      <c r="P785" s="2">
        <v>5</v>
      </c>
      <c r="Q785" s="2" t="s">
        <v>2260</v>
      </c>
      <c r="R785" s="2" t="s">
        <v>2260</v>
      </c>
      <c r="S785" s="4">
        <v>44837</v>
      </c>
    </row>
    <row r="786" spans="1:19" ht="12.5" x14ac:dyDescent="0.25">
      <c r="A786" s="14" t="str">
        <f>HYPERLINK("https://gerandofalcoes.my.salesforce.com/0014X00002VKCqyQAH", "0014X00002VKCqyQAH")</f>
        <v>0014X00002VKCqyQAH</v>
      </c>
      <c r="B786" s="2" t="s">
        <v>7189</v>
      </c>
      <c r="C786" s="2" t="s">
        <v>423</v>
      </c>
      <c r="D786" s="2" t="s">
        <v>2</v>
      </c>
      <c r="E786" s="2">
        <v>40</v>
      </c>
      <c r="F786" s="2">
        <v>20</v>
      </c>
      <c r="G786" s="2">
        <v>3</v>
      </c>
      <c r="H786" s="2">
        <v>5000</v>
      </c>
      <c r="I786" s="2">
        <v>200</v>
      </c>
      <c r="J786" s="2" t="s">
        <v>1671</v>
      </c>
      <c r="K786" s="2">
        <v>52</v>
      </c>
      <c r="L786" s="2">
        <v>15</v>
      </c>
      <c r="M786" s="2">
        <v>12</v>
      </c>
      <c r="N786" s="2">
        <v>8</v>
      </c>
      <c r="O786" s="2">
        <v>5</v>
      </c>
      <c r="P786" s="2">
        <v>12</v>
      </c>
      <c r="Q786" s="2" t="s">
        <v>3808</v>
      </c>
      <c r="R786" s="2" t="s">
        <v>3809</v>
      </c>
      <c r="S786" s="4">
        <v>44837</v>
      </c>
    </row>
    <row r="787" spans="1:19" ht="12.5" x14ac:dyDescent="0.25">
      <c r="A787" s="14" t="str">
        <f>HYPERLINK("https://gerandofalcoes.my.salesforce.com/0014X00002VKCuMQAX", "0014X00002VKCuMQAX")</f>
        <v>0014X00002VKCuMQAX</v>
      </c>
      <c r="B787" s="2" t="s">
        <v>2947</v>
      </c>
      <c r="C787" s="2" t="s">
        <v>423</v>
      </c>
      <c r="D787" s="2" t="s">
        <v>2</v>
      </c>
      <c r="E787" s="2">
        <v>5.54</v>
      </c>
      <c r="F787" s="2">
        <v>0</v>
      </c>
      <c r="G787" s="2">
        <v>1</v>
      </c>
      <c r="H787" s="2">
        <v>0</v>
      </c>
      <c r="I787" s="2">
        <v>420</v>
      </c>
      <c r="J787" s="2" t="s">
        <v>1779</v>
      </c>
      <c r="K787" s="2">
        <v>29</v>
      </c>
      <c r="L787" s="2">
        <v>10</v>
      </c>
      <c r="M787" s="2">
        <v>0</v>
      </c>
      <c r="N787" s="2">
        <v>4</v>
      </c>
      <c r="O787" s="2">
        <v>0</v>
      </c>
      <c r="P787" s="2">
        <v>15</v>
      </c>
      <c r="Q787" s="2" t="s">
        <v>2948</v>
      </c>
      <c r="R787" s="2" t="s">
        <v>2949</v>
      </c>
      <c r="S787" s="4">
        <v>44837</v>
      </c>
    </row>
    <row r="788" spans="1:19" ht="12.5" x14ac:dyDescent="0.25">
      <c r="A788" s="14" t="str">
        <f>HYPERLINK("https://gerandofalcoes.my.salesforce.com/0014X00002VKCqhQAH", "0014X00002VKCqhQAH")</f>
        <v>0014X00002VKCqhQAH</v>
      </c>
      <c r="B788" s="2" t="s">
        <v>2786</v>
      </c>
      <c r="C788" s="2" t="s">
        <v>423</v>
      </c>
      <c r="D788" s="2" t="s">
        <v>2</v>
      </c>
      <c r="E788" s="2">
        <v>48</v>
      </c>
      <c r="F788" s="2">
        <v>0</v>
      </c>
      <c r="G788" s="2">
        <v>0</v>
      </c>
      <c r="H788" s="2">
        <v>0</v>
      </c>
      <c r="I788" s="2">
        <v>300</v>
      </c>
      <c r="J788" s="2" t="s">
        <v>1779</v>
      </c>
      <c r="K788" s="2">
        <v>30</v>
      </c>
      <c r="L788" s="2">
        <v>15</v>
      </c>
      <c r="M788" s="2">
        <v>0</v>
      </c>
      <c r="N788" s="2">
        <v>0</v>
      </c>
      <c r="O788" s="2">
        <v>0</v>
      </c>
      <c r="P788" s="2">
        <v>15</v>
      </c>
      <c r="Q788" s="2" t="s">
        <v>2787</v>
      </c>
      <c r="R788" s="2" t="s">
        <v>2788</v>
      </c>
      <c r="S788" s="4">
        <v>44837</v>
      </c>
    </row>
    <row r="789" spans="1:19" ht="12.5" x14ac:dyDescent="0.25">
      <c r="A789" s="14" t="str">
        <f>HYPERLINK("https://gerandofalcoes.my.salesforce.com/0014X00002VKCqDQAX", "0014X00002VKCqDQAX")</f>
        <v>0014X00002VKCqDQAX</v>
      </c>
      <c r="B789" s="2" t="s">
        <v>2078</v>
      </c>
      <c r="C789" s="2" t="s">
        <v>423</v>
      </c>
      <c r="D789" s="2" t="s">
        <v>2</v>
      </c>
      <c r="E789" s="2">
        <v>36</v>
      </c>
      <c r="F789" s="2">
        <v>0</v>
      </c>
      <c r="G789" s="2">
        <v>2</v>
      </c>
      <c r="H789" s="2">
        <v>12000</v>
      </c>
      <c r="I789" s="2">
        <v>70</v>
      </c>
      <c r="J789" s="2" t="s">
        <v>1779</v>
      </c>
      <c r="K789" s="2">
        <v>31</v>
      </c>
      <c r="L789" s="2">
        <v>15</v>
      </c>
      <c r="M789" s="2">
        <v>0</v>
      </c>
      <c r="N789" s="2">
        <v>6</v>
      </c>
      <c r="O789" s="2">
        <v>5</v>
      </c>
      <c r="P789" s="2">
        <v>5</v>
      </c>
      <c r="Q789" s="2" t="s">
        <v>2079</v>
      </c>
      <c r="R789" s="2" t="s">
        <v>2080</v>
      </c>
      <c r="S789" s="4">
        <v>44837</v>
      </c>
    </row>
    <row r="790" spans="1:19" ht="12.5" x14ac:dyDescent="0.25">
      <c r="A790" s="14" t="str">
        <f>HYPERLINK("https://gerandofalcoes.my.salesforce.com/0014X00002VKCplQAH", "0014X00002VKCplQAH")</f>
        <v>0014X00002VKCplQAH</v>
      </c>
      <c r="B790" s="2" t="s">
        <v>2081</v>
      </c>
      <c r="C790" s="2" t="s">
        <v>1800</v>
      </c>
      <c r="D790" s="2" t="s">
        <v>2</v>
      </c>
      <c r="E790" s="2">
        <v>36</v>
      </c>
      <c r="F790" s="2">
        <v>20</v>
      </c>
      <c r="G790" s="2">
        <v>2</v>
      </c>
      <c r="H790" s="2">
        <v>300000</v>
      </c>
      <c r="I790" s="2">
        <v>50</v>
      </c>
      <c r="J790" s="2" t="s">
        <v>1671</v>
      </c>
      <c r="K790" s="2">
        <v>58</v>
      </c>
      <c r="L790" s="2">
        <v>15</v>
      </c>
      <c r="M790" s="2">
        <v>12</v>
      </c>
      <c r="N790" s="2">
        <v>6</v>
      </c>
      <c r="O790" s="2">
        <v>20</v>
      </c>
      <c r="P790" s="2">
        <v>5</v>
      </c>
      <c r="Q790" s="2" t="s">
        <v>2082</v>
      </c>
      <c r="R790" s="2" t="s">
        <v>2083</v>
      </c>
      <c r="S790" s="4">
        <v>44837</v>
      </c>
    </row>
    <row r="791" spans="1:19" ht="12.5" x14ac:dyDescent="0.25">
      <c r="A791" s="14" t="str">
        <f>HYPERLINK("https://gerandofalcoes.my.salesforce.com/0014X00002VKCqKQAX", "0014X00002VKCqKQAX")</f>
        <v>0014X00002VKCqKQAX</v>
      </c>
      <c r="B791" s="2" t="s">
        <v>2919</v>
      </c>
      <c r="C791" s="2" t="s">
        <v>423</v>
      </c>
      <c r="D791" s="2" t="s">
        <v>2</v>
      </c>
      <c r="E791" s="2">
        <v>21</v>
      </c>
      <c r="F791" s="2">
        <v>0</v>
      </c>
      <c r="G791" s="2">
        <v>1</v>
      </c>
      <c r="H791" s="2">
        <v>7500</v>
      </c>
      <c r="I791" s="2">
        <v>26</v>
      </c>
      <c r="J791" s="2" t="s">
        <v>1779</v>
      </c>
      <c r="K791" s="2">
        <v>24</v>
      </c>
      <c r="L791" s="2">
        <v>10</v>
      </c>
      <c r="M791" s="2">
        <v>0</v>
      </c>
      <c r="N791" s="2">
        <v>4</v>
      </c>
      <c r="O791" s="2">
        <v>5</v>
      </c>
      <c r="P791" s="2">
        <v>5</v>
      </c>
      <c r="Q791" s="2" t="s">
        <v>2920</v>
      </c>
      <c r="R791" s="2" t="s">
        <v>2921</v>
      </c>
      <c r="S791" s="4">
        <v>44837</v>
      </c>
    </row>
    <row r="792" spans="1:19" ht="12.5" x14ac:dyDescent="0.25">
      <c r="A792" s="14" t="str">
        <f>HYPERLINK("https://gerandofalcoes.my.salesforce.com/0014X00002VKCq4QAH", "0014X00002VKCq4QAH")</f>
        <v>0014X00002VKCq4QAH</v>
      </c>
      <c r="B792" s="2" t="s">
        <v>1980</v>
      </c>
      <c r="C792" s="2" t="s">
        <v>423</v>
      </c>
      <c r="D792" s="2" t="s">
        <v>2</v>
      </c>
      <c r="E792" s="2">
        <v>39</v>
      </c>
      <c r="F792" s="2">
        <v>0</v>
      </c>
      <c r="G792" s="2">
        <v>3</v>
      </c>
      <c r="H792" s="2">
        <v>30000</v>
      </c>
      <c r="I792" s="2">
        <v>700</v>
      </c>
      <c r="J792" s="2" t="s">
        <v>1671</v>
      </c>
      <c r="K792" s="2">
        <v>53</v>
      </c>
      <c r="L792" s="2">
        <v>15</v>
      </c>
      <c r="M792" s="2">
        <v>0</v>
      </c>
      <c r="N792" s="2">
        <v>8</v>
      </c>
      <c r="O792" s="2">
        <v>10</v>
      </c>
      <c r="P792" s="2">
        <v>20</v>
      </c>
      <c r="Q792" s="2" t="s">
        <v>1981</v>
      </c>
      <c r="R792" s="2" t="s">
        <v>1982</v>
      </c>
      <c r="S792" s="4">
        <v>44837</v>
      </c>
    </row>
    <row r="793" spans="1:19" ht="12.5" x14ac:dyDescent="0.25">
      <c r="A793" s="14" t="str">
        <f>HYPERLINK("https://gerandofalcoes.my.salesforce.com/0014X00002VKCpfQAH", "0014X00002VKCpfQAH")</f>
        <v>0014X00002VKCpfQAH</v>
      </c>
      <c r="B793" s="2" t="s">
        <v>1868</v>
      </c>
      <c r="C793" s="2" t="s">
        <v>423</v>
      </c>
      <c r="D793" s="2" t="s">
        <v>2</v>
      </c>
      <c r="E793" s="2">
        <v>40</v>
      </c>
      <c r="F793" s="2">
        <v>0</v>
      </c>
      <c r="G793" s="2">
        <v>3</v>
      </c>
      <c r="H793" s="2">
        <v>41307</v>
      </c>
      <c r="I793" s="2">
        <v>120</v>
      </c>
      <c r="J793" s="2" t="s">
        <v>1671</v>
      </c>
      <c r="K793" s="2">
        <v>43</v>
      </c>
      <c r="L793" s="2">
        <v>15</v>
      </c>
      <c r="M793" s="2">
        <v>0</v>
      </c>
      <c r="N793" s="2">
        <v>8</v>
      </c>
      <c r="O793" s="2">
        <v>10</v>
      </c>
      <c r="P793" s="2">
        <v>10</v>
      </c>
      <c r="Q793" s="2" t="s">
        <v>1869</v>
      </c>
      <c r="R793" s="2" t="s">
        <v>1870</v>
      </c>
      <c r="S793" s="4">
        <v>44837</v>
      </c>
    </row>
    <row r="794" spans="1:19" ht="12.5" x14ac:dyDescent="0.25">
      <c r="A794" s="14" t="str">
        <f>HYPERLINK("https://gerandofalcoes.my.salesforce.com/0014X00002VKCtKQAX", "0014X00002VKCtKQAX")</f>
        <v>0014X00002VKCtKQAX</v>
      </c>
      <c r="B794" s="2" t="s">
        <v>2828</v>
      </c>
      <c r="C794" s="2" t="s">
        <v>423</v>
      </c>
      <c r="D794" s="2" t="s">
        <v>2</v>
      </c>
      <c r="E794" s="2">
        <v>25</v>
      </c>
      <c r="F794" s="2">
        <v>8</v>
      </c>
      <c r="G794" s="2">
        <v>12</v>
      </c>
      <c r="H794" s="2">
        <v>5479</v>
      </c>
      <c r="I794" s="2">
        <v>80</v>
      </c>
      <c r="J794" s="2" t="s">
        <v>1671</v>
      </c>
      <c r="K794" s="2">
        <v>50</v>
      </c>
      <c r="L794" s="2">
        <v>15</v>
      </c>
      <c r="M794" s="2">
        <v>10</v>
      </c>
      <c r="N794" s="2">
        <v>10</v>
      </c>
      <c r="O794" s="2">
        <v>5</v>
      </c>
      <c r="P794" s="2">
        <v>10</v>
      </c>
      <c r="Q794" s="2" t="s">
        <v>2829</v>
      </c>
      <c r="R794" s="2" t="s">
        <v>2829</v>
      </c>
      <c r="S794" s="4">
        <v>44837</v>
      </c>
    </row>
    <row r="795" spans="1:19" ht="12.5" x14ac:dyDescent="0.25">
      <c r="A795" s="14" t="str">
        <f>HYPERLINK("https://gerandofalcoes.my.salesforce.com/0014X00002VKCtmQAH", "0014X00002VKCtmQAH")</f>
        <v>0014X00002VKCtmQAH</v>
      </c>
      <c r="B795" s="2" t="s">
        <v>2571</v>
      </c>
      <c r="C795" s="2" t="s">
        <v>1800</v>
      </c>
      <c r="D795" s="2" t="s">
        <v>2</v>
      </c>
      <c r="E795" s="2">
        <v>20</v>
      </c>
      <c r="F795" s="2">
        <v>0</v>
      </c>
      <c r="G795" s="2">
        <v>2</v>
      </c>
      <c r="H795" s="2">
        <v>30000</v>
      </c>
      <c r="I795" s="2">
        <v>0</v>
      </c>
      <c r="J795" s="2" t="s">
        <v>1779</v>
      </c>
      <c r="K795" s="2">
        <v>26</v>
      </c>
      <c r="L795" s="2">
        <v>10</v>
      </c>
      <c r="M795" s="2">
        <v>0</v>
      </c>
      <c r="N795" s="2">
        <v>6</v>
      </c>
      <c r="O795" s="2">
        <v>10</v>
      </c>
      <c r="P795" s="2">
        <v>0</v>
      </c>
      <c r="Q795" s="2" t="s">
        <v>2572</v>
      </c>
      <c r="R795" s="2" t="s">
        <v>2572</v>
      </c>
      <c r="S795" s="4">
        <v>44837</v>
      </c>
    </row>
    <row r="796" spans="1:19" ht="12.5" x14ac:dyDescent="0.25">
      <c r="A796" s="14" t="str">
        <f>HYPERLINK("https://gerandofalcoes.my.salesforce.com/0014X00002VKCq0QAH", "0014X00002VKCq0QAH")</f>
        <v>0014X00002VKCq0QAH</v>
      </c>
      <c r="B796" s="2" t="s">
        <v>2930</v>
      </c>
      <c r="C796" s="2" t="s">
        <v>1800</v>
      </c>
      <c r="D796" s="2" t="s">
        <v>2</v>
      </c>
      <c r="E796" s="2">
        <v>6</v>
      </c>
      <c r="F796" s="2">
        <v>2</v>
      </c>
      <c r="G796" s="2">
        <v>3</v>
      </c>
      <c r="H796" s="2">
        <v>929000</v>
      </c>
      <c r="I796" s="2">
        <v>300</v>
      </c>
      <c r="J796" s="2" t="s">
        <v>1671</v>
      </c>
      <c r="K796" s="2">
        <v>63</v>
      </c>
      <c r="L796" s="2">
        <v>10</v>
      </c>
      <c r="M796" s="2">
        <v>5</v>
      </c>
      <c r="N796" s="2">
        <v>8</v>
      </c>
      <c r="O796" s="2">
        <v>25</v>
      </c>
      <c r="P796" s="2">
        <v>15</v>
      </c>
      <c r="Q796" s="2" t="s">
        <v>2931</v>
      </c>
      <c r="R796" s="2" t="s">
        <v>2932</v>
      </c>
      <c r="S796" s="4">
        <v>44837</v>
      </c>
    </row>
    <row r="797" spans="1:19" ht="12.5" x14ac:dyDescent="0.25">
      <c r="A797" s="14" t="str">
        <f>HYPERLINK("https://gerandofalcoes.my.salesforce.com/0014X00002VKCrRQAX", "0014X00002VKCrRQAX")</f>
        <v>0014X00002VKCrRQAX</v>
      </c>
      <c r="B797" s="2" t="s">
        <v>1864</v>
      </c>
      <c r="C797" s="2" t="s">
        <v>423</v>
      </c>
      <c r="D797" s="2" t="s">
        <v>2</v>
      </c>
      <c r="E797" s="2">
        <v>43</v>
      </c>
      <c r="F797" s="2">
        <v>0</v>
      </c>
      <c r="G797" s="2">
        <v>2</v>
      </c>
      <c r="H797" s="2">
        <v>140300</v>
      </c>
      <c r="I797" s="2">
        <v>238</v>
      </c>
      <c r="J797" s="2" t="s">
        <v>1671</v>
      </c>
      <c r="K797" s="2">
        <v>48</v>
      </c>
      <c r="L797" s="2">
        <v>15</v>
      </c>
      <c r="M797" s="2">
        <v>0</v>
      </c>
      <c r="N797" s="2">
        <v>6</v>
      </c>
      <c r="O797" s="2">
        <v>15</v>
      </c>
      <c r="P797" s="2">
        <v>12</v>
      </c>
      <c r="Q797" s="2" t="s">
        <v>1865</v>
      </c>
      <c r="R797" s="2" t="s">
        <v>1866</v>
      </c>
      <c r="S797" s="4">
        <v>44837</v>
      </c>
    </row>
    <row r="798" spans="1:19" ht="12.5" x14ac:dyDescent="0.25">
      <c r="A798" s="14" t="str">
        <f>HYPERLINK("https://gerandofalcoes.my.salesforce.com/0014X00002VKCutQAH", "0014X00002VKCutQAH")</f>
        <v>0014X00002VKCutQAH</v>
      </c>
      <c r="B798" s="2" t="s">
        <v>2205</v>
      </c>
      <c r="C798" s="2" t="s">
        <v>423</v>
      </c>
      <c r="D798" s="2" t="s">
        <v>2</v>
      </c>
      <c r="E798" s="2">
        <v>45</v>
      </c>
      <c r="F798" s="2">
        <v>8</v>
      </c>
      <c r="G798" s="2">
        <v>3</v>
      </c>
      <c r="H798" s="2">
        <v>60000</v>
      </c>
      <c r="I798" s="2">
        <v>120</v>
      </c>
      <c r="J798" s="2" t="s">
        <v>1671</v>
      </c>
      <c r="K798" s="2">
        <v>53</v>
      </c>
      <c r="L798" s="2">
        <v>15</v>
      </c>
      <c r="M798" s="2">
        <v>10</v>
      </c>
      <c r="N798" s="2">
        <v>8</v>
      </c>
      <c r="O798" s="2">
        <v>10</v>
      </c>
      <c r="P798" s="2">
        <v>10</v>
      </c>
      <c r="Q798" s="2" t="s">
        <v>2206</v>
      </c>
      <c r="R798" s="2" t="s">
        <v>2207</v>
      </c>
      <c r="S798" s="4">
        <v>44837</v>
      </c>
    </row>
    <row r="799" spans="1:19" ht="12.5" x14ac:dyDescent="0.25">
      <c r="A799" s="14" t="str">
        <f>HYPERLINK("https://gerandofalcoes.my.salesforce.com/0014X00002VKCpgQAH", "0014X00002VKCpgQAH")</f>
        <v>0014X00002VKCpgQAH</v>
      </c>
      <c r="B799" s="2" t="s">
        <v>2898</v>
      </c>
      <c r="C799" s="2" t="s">
        <v>423</v>
      </c>
      <c r="D799" s="2" t="s">
        <v>2</v>
      </c>
      <c r="E799" s="2">
        <v>8.61</v>
      </c>
      <c r="F799" s="2">
        <v>1</v>
      </c>
      <c r="G799" s="2">
        <v>1</v>
      </c>
      <c r="H799" s="2">
        <v>1224</v>
      </c>
      <c r="I799" s="2">
        <v>25</v>
      </c>
      <c r="J799" s="2" t="s">
        <v>1779</v>
      </c>
      <c r="K799" s="2">
        <v>29</v>
      </c>
      <c r="L799" s="2">
        <v>10</v>
      </c>
      <c r="M799" s="2">
        <v>5</v>
      </c>
      <c r="N799" s="2">
        <v>4</v>
      </c>
      <c r="O799" s="2">
        <v>5</v>
      </c>
      <c r="P799" s="2">
        <v>5</v>
      </c>
      <c r="Q799" s="2" t="s">
        <v>2899</v>
      </c>
      <c r="R799" s="2" t="s">
        <v>2899</v>
      </c>
      <c r="S799" s="4">
        <v>44837</v>
      </c>
    </row>
    <row r="800" spans="1:19" ht="12.5" x14ac:dyDescent="0.25">
      <c r="A800" s="14" t="str">
        <f>HYPERLINK("https://gerandofalcoes.my.salesforce.com/0014X00002VKCtGQAX", "0014X00002VKCtGQAX")</f>
        <v>0014X00002VKCtGQAX</v>
      </c>
      <c r="B800" s="2" t="s">
        <v>2459</v>
      </c>
      <c r="C800" s="2" t="s">
        <v>1800</v>
      </c>
      <c r="D800" s="2" t="s">
        <v>2</v>
      </c>
      <c r="E800" s="2">
        <v>23</v>
      </c>
      <c r="F800" s="2">
        <v>0</v>
      </c>
      <c r="G800" s="2">
        <v>4</v>
      </c>
      <c r="H800" s="2">
        <v>2000</v>
      </c>
      <c r="I800" s="2">
        <v>90</v>
      </c>
      <c r="J800" s="2" t="s">
        <v>1779</v>
      </c>
      <c r="K800" s="2">
        <v>35</v>
      </c>
      <c r="L800" s="2">
        <v>10</v>
      </c>
      <c r="M800" s="2">
        <v>0</v>
      </c>
      <c r="N800" s="2">
        <v>10</v>
      </c>
      <c r="O800" s="2">
        <v>5</v>
      </c>
      <c r="P800" s="2">
        <v>10</v>
      </c>
      <c r="Q800" s="2" t="s">
        <v>2460</v>
      </c>
      <c r="R800" s="2" t="s">
        <v>2461</v>
      </c>
      <c r="S800" s="4">
        <v>44837</v>
      </c>
    </row>
    <row r="801" spans="1:19" ht="12.5" x14ac:dyDescent="0.25">
      <c r="A801" s="14" t="str">
        <f>HYPERLINK("https://gerandofalcoes.my.salesforce.com/0014X00002VKCtkQAH", "0014X00002VKCtkQAH")</f>
        <v>0014X00002VKCtkQAH</v>
      </c>
      <c r="B801" s="2" t="s">
        <v>2200</v>
      </c>
      <c r="C801" s="2" t="s">
        <v>423</v>
      </c>
      <c r="D801" s="2" t="s">
        <v>2</v>
      </c>
      <c r="E801" s="2">
        <v>32.909999999999997</v>
      </c>
      <c r="F801" s="2">
        <v>14</v>
      </c>
      <c r="G801" s="2">
        <v>0</v>
      </c>
      <c r="H801" s="2">
        <v>345000</v>
      </c>
      <c r="I801" s="2">
        <v>300</v>
      </c>
      <c r="J801" s="2" t="s">
        <v>1671</v>
      </c>
      <c r="K801" s="2">
        <v>62</v>
      </c>
      <c r="L801" s="2">
        <v>15</v>
      </c>
      <c r="M801" s="2">
        <v>12</v>
      </c>
      <c r="N801" s="2">
        <v>0</v>
      </c>
      <c r="O801" s="2">
        <v>20</v>
      </c>
      <c r="P801" s="2">
        <v>15</v>
      </c>
      <c r="Q801" s="2" t="s">
        <v>2201</v>
      </c>
      <c r="R801" s="2" t="s">
        <v>2202</v>
      </c>
      <c r="S801" s="4">
        <v>44837</v>
      </c>
    </row>
    <row r="802" spans="1:19" ht="12.5" x14ac:dyDescent="0.25">
      <c r="A802" s="14" t="str">
        <f>HYPERLINK("https://gerandofalcoes.my.salesforce.com/0014X00002VKCpdQAH", "0014X00002VKCpdQAH")</f>
        <v>0014X00002VKCpdQAH</v>
      </c>
      <c r="B802" s="2" t="s">
        <v>1731</v>
      </c>
      <c r="C802" s="2" t="s">
        <v>423</v>
      </c>
      <c r="D802" s="2" t="s">
        <v>2</v>
      </c>
      <c r="E802" s="2">
        <v>71</v>
      </c>
      <c r="F802" s="2">
        <v>22</v>
      </c>
      <c r="G802" s="2">
        <v>3</v>
      </c>
      <c r="H802" s="2">
        <v>1200000</v>
      </c>
      <c r="I802" s="2">
        <v>520</v>
      </c>
      <c r="J802" s="2" t="s">
        <v>1654</v>
      </c>
      <c r="K802" s="2">
        <v>85</v>
      </c>
      <c r="L802" s="2">
        <v>20</v>
      </c>
      <c r="M802" s="2">
        <v>12</v>
      </c>
      <c r="N802" s="2">
        <v>8</v>
      </c>
      <c r="O802" s="2">
        <v>25</v>
      </c>
      <c r="P802" s="2">
        <v>20</v>
      </c>
      <c r="Q802" s="2" t="s">
        <v>1732</v>
      </c>
      <c r="R802" s="2" t="s">
        <v>1733</v>
      </c>
      <c r="S802" s="4">
        <v>44837</v>
      </c>
    </row>
    <row r="803" spans="1:19" ht="12.5" x14ac:dyDescent="0.25">
      <c r="A803" s="14" t="str">
        <f>HYPERLINK("https://gerandofalcoes.my.salesforce.com/0014X00002VKCtyQAH", "0014X00002VKCtyQAH")</f>
        <v>0014X00002VKCtyQAH</v>
      </c>
      <c r="B803" s="2" t="s">
        <v>1750</v>
      </c>
      <c r="C803" s="2" t="s">
        <v>423</v>
      </c>
      <c r="D803" s="2" t="s">
        <v>2</v>
      </c>
      <c r="E803" s="2">
        <v>63</v>
      </c>
      <c r="F803" s="2">
        <v>0</v>
      </c>
      <c r="G803" s="2">
        <v>4</v>
      </c>
      <c r="H803" s="2">
        <v>50000</v>
      </c>
      <c r="I803" s="2">
        <v>45</v>
      </c>
      <c r="J803" s="2" t="s">
        <v>1671</v>
      </c>
      <c r="K803" s="2">
        <v>45</v>
      </c>
      <c r="L803" s="2">
        <v>20</v>
      </c>
      <c r="M803" s="2">
        <v>0</v>
      </c>
      <c r="N803" s="2">
        <v>10</v>
      </c>
      <c r="O803" s="2">
        <v>10</v>
      </c>
      <c r="P803" s="2">
        <v>5</v>
      </c>
      <c r="Q803" s="2" t="s">
        <v>1751</v>
      </c>
      <c r="R803" s="2" t="s">
        <v>1752</v>
      </c>
      <c r="S803" s="4">
        <v>44837</v>
      </c>
    </row>
    <row r="804" spans="1:19" ht="12.5" x14ac:dyDescent="0.25">
      <c r="A804" s="14" t="str">
        <f>HYPERLINK("https://gerandofalcoes.my.salesforce.com/0014X00002VKCrWQAX", "0014X00002VKCrWQAX")</f>
        <v>0014X00002VKCrWQAX</v>
      </c>
      <c r="B804" s="2" t="s">
        <v>2235</v>
      </c>
      <c r="C804" s="2" t="s">
        <v>1800</v>
      </c>
      <c r="D804" s="2" t="s">
        <v>2</v>
      </c>
      <c r="E804" s="2">
        <v>31</v>
      </c>
      <c r="F804" s="2">
        <v>700</v>
      </c>
      <c r="G804" s="2">
        <v>3</v>
      </c>
      <c r="H804" s="2">
        <v>100000</v>
      </c>
      <c r="I804" s="2">
        <v>850</v>
      </c>
      <c r="J804" s="2" t="s">
        <v>1650</v>
      </c>
      <c r="K804" s="2">
        <v>73</v>
      </c>
      <c r="L804" s="2">
        <v>15</v>
      </c>
      <c r="M804" s="2">
        <v>15</v>
      </c>
      <c r="N804" s="2">
        <v>8</v>
      </c>
      <c r="O804" s="2">
        <v>15</v>
      </c>
      <c r="P804" s="2">
        <v>20</v>
      </c>
      <c r="Q804" s="2" t="s">
        <v>2236</v>
      </c>
      <c r="R804" s="2" t="s">
        <v>2237</v>
      </c>
      <c r="S804" s="4">
        <v>44837</v>
      </c>
    </row>
    <row r="805" spans="1:19" ht="12.5" x14ac:dyDescent="0.25">
      <c r="A805" s="14" t="str">
        <f>HYPERLINK("https://gerandofalcoes.my.salesforce.com/0014X00002VKCrkQAH", "0014X00002VKCrkQAH")</f>
        <v>0014X00002VKCrkQAH</v>
      </c>
      <c r="B805" s="2" t="s">
        <v>2093</v>
      </c>
      <c r="C805" s="2" t="s">
        <v>423</v>
      </c>
      <c r="D805" s="2" t="s">
        <v>2</v>
      </c>
      <c r="E805" s="2">
        <v>50</v>
      </c>
      <c r="F805" s="2">
        <v>10</v>
      </c>
      <c r="G805" s="2">
        <v>3</v>
      </c>
      <c r="H805" s="2">
        <v>7986449</v>
      </c>
      <c r="I805" s="2">
        <v>30</v>
      </c>
      <c r="J805" s="2" t="s">
        <v>1650</v>
      </c>
      <c r="K805" s="2">
        <v>68</v>
      </c>
      <c r="L805" s="2">
        <v>20</v>
      </c>
      <c r="M805" s="2">
        <v>10</v>
      </c>
      <c r="N805" s="2">
        <v>8</v>
      </c>
      <c r="O805" s="2">
        <v>25</v>
      </c>
      <c r="P805" s="2">
        <v>5</v>
      </c>
      <c r="Q805" s="2" t="s">
        <v>2094</v>
      </c>
      <c r="R805" s="2" t="s">
        <v>2095</v>
      </c>
      <c r="S805" s="4">
        <v>44837</v>
      </c>
    </row>
    <row r="806" spans="1:19" ht="12.5" x14ac:dyDescent="0.25">
      <c r="A806" s="14" t="str">
        <f>HYPERLINK("https://gerandofalcoes.my.salesforce.com/0014P00003YSp9PQAT", "0014P00003YSp9PQAT")</f>
        <v>0014P00003YSp9PQAT</v>
      </c>
      <c r="B806" s="2" t="s">
        <v>2312</v>
      </c>
      <c r="C806" s="2" t="s">
        <v>423</v>
      </c>
      <c r="D806" s="2" t="s">
        <v>2</v>
      </c>
      <c r="E806" s="2">
        <v>28.92</v>
      </c>
      <c r="F806" s="2">
        <v>1</v>
      </c>
      <c r="G806" s="2">
        <v>2</v>
      </c>
      <c r="H806" s="2">
        <v>105000</v>
      </c>
      <c r="I806" s="2">
        <v>0</v>
      </c>
      <c r="J806" s="2" t="s">
        <v>1671</v>
      </c>
      <c r="K806" s="2">
        <v>41</v>
      </c>
      <c r="L806" s="2">
        <v>15</v>
      </c>
      <c r="M806" s="2">
        <v>5</v>
      </c>
      <c r="N806" s="2">
        <v>6</v>
      </c>
      <c r="O806" s="2">
        <v>15</v>
      </c>
      <c r="P806" s="2">
        <v>0</v>
      </c>
      <c r="Q806" s="2" t="s">
        <v>2313</v>
      </c>
      <c r="R806" s="2" t="s">
        <v>2313</v>
      </c>
      <c r="S806" s="4">
        <v>44837</v>
      </c>
    </row>
    <row r="807" spans="1:19" ht="12.5" x14ac:dyDescent="0.25">
      <c r="A807" s="14" t="str">
        <f>HYPERLINK("https://gerandofalcoes.my.salesforce.com/0014P00003YSp9TQAT", "0014P00003YSp9TQAT")</f>
        <v>0014P00003YSp9TQAT</v>
      </c>
      <c r="B807" s="2" t="s">
        <v>2194</v>
      </c>
      <c r="C807" s="2" t="s">
        <v>423</v>
      </c>
      <c r="D807" s="2" t="s">
        <v>2</v>
      </c>
      <c r="E807" s="2">
        <v>33</v>
      </c>
      <c r="F807" s="2">
        <v>0</v>
      </c>
      <c r="G807" s="2">
        <v>3</v>
      </c>
      <c r="H807" s="2">
        <v>55000</v>
      </c>
      <c r="I807" s="2">
        <v>0</v>
      </c>
      <c r="J807" s="2" t="s">
        <v>1779</v>
      </c>
      <c r="K807" s="2">
        <v>33</v>
      </c>
      <c r="L807" s="2">
        <v>15</v>
      </c>
      <c r="M807" s="2">
        <v>0</v>
      </c>
      <c r="N807" s="2">
        <v>8</v>
      </c>
      <c r="O807" s="2">
        <v>10</v>
      </c>
      <c r="P807" s="2">
        <v>0</v>
      </c>
      <c r="Q807" s="2" t="s">
        <v>2195</v>
      </c>
      <c r="R807" s="2" t="s">
        <v>2196</v>
      </c>
      <c r="S807" s="4">
        <v>44837</v>
      </c>
    </row>
    <row r="808" spans="1:19" ht="12.5" x14ac:dyDescent="0.25">
      <c r="A808" s="14" t="str">
        <f>HYPERLINK("https://gerandofalcoes.my.salesforce.com/0014P00003YSp9UQAT", "0014P00003YSp9UQAT")</f>
        <v>0014P00003YSp9UQAT</v>
      </c>
      <c r="B808" s="2" t="s">
        <v>2133</v>
      </c>
      <c r="C808" s="2" t="s">
        <v>1800</v>
      </c>
      <c r="D808" s="2" t="s">
        <v>2</v>
      </c>
      <c r="E808" s="2">
        <v>34</v>
      </c>
      <c r="F808" s="2">
        <v>39</v>
      </c>
      <c r="G808" s="2">
        <v>2</v>
      </c>
      <c r="H808" s="2">
        <v>2000</v>
      </c>
      <c r="I808" s="2">
        <v>280</v>
      </c>
      <c r="J808" s="2" t="s">
        <v>1671</v>
      </c>
      <c r="K808" s="2">
        <v>53</v>
      </c>
      <c r="L808" s="2">
        <v>15</v>
      </c>
      <c r="M808" s="2">
        <v>15</v>
      </c>
      <c r="N808" s="2">
        <v>6</v>
      </c>
      <c r="O808" s="2">
        <v>5</v>
      </c>
      <c r="P808" s="2">
        <v>12</v>
      </c>
      <c r="Q808" s="2" t="s">
        <v>2134</v>
      </c>
      <c r="R808" s="2" t="s">
        <v>2135</v>
      </c>
      <c r="S808" s="4">
        <v>44837</v>
      </c>
    </row>
    <row r="809" spans="1:19" ht="12.5" x14ac:dyDescent="0.25">
      <c r="A809" s="14" t="str">
        <f>HYPERLINK("https://gerandofalcoes.my.salesforce.com/0014P00003YSp9WQAT", "0014P00003YSp9WQAT")</f>
        <v>0014P00003YSp9WQAT</v>
      </c>
      <c r="B809" s="2" t="s">
        <v>2286</v>
      </c>
      <c r="C809" s="2" t="s">
        <v>423</v>
      </c>
      <c r="D809" s="2" t="s">
        <v>2</v>
      </c>
      <c r="E809" s="2">
        <v>35</v>
      </c>
      <c r="F809" s="2">
        <v>0</v>
      </c>
      <c r="G809" s="2">
        <v>2</v>
      </c>
      <c r="H809" s="2">
        <v>0</v>
      </c>
      <c r="I809" s="2">
        <v>353</v>
      </c>
      <c r="J809" s="2" t="s">
        <v>1779</v>
      </c>
      <c r="K809" s="2">
        <v>36</v>
      </c>
      <c r="L809" s="2">
        <v>15</v>
      </c>
      <c r="M809" s="2">
        <v>0</v>
      </c>
      <c r="N809" s="2">
        <v>6</v>
      </c>
      <c r="O809" s="2">
        <v>0</v>
      </c>
      <c r="P809" s="2">
        <v>15</v>
      </c>
      <c r="Q809" s="2" t="s">
        <v>2287</v>
      </c>
      <c r="R809" s="2" t="s">
        <v>2287</v>
      </c>
      <c r="S809" s="4">
        <v>44837</v>
      </c>
    </row>
    <row r="810" spans="1:19" ht="12.5" x14ac:dyDescent="0.25">
      <c r="A810" s="14" t="str">
        <f>HYPERLINK("https://gerandofalcoes.my.salesforce.com/0014P00003YSp9XQAT", "0014P00003YSp9XQAT")</f>
        <v>0014P00003YSp9XQAT</v>
      </c>
      <c r="B810" s="2" t="s">
        <v>1833</v>
      </c>
      <c r="C810" s="2" t="s">
        <v>423</v>
      </c>
      <c r="D810" s="2" t="s">
        <v>2</v>
      </c>
      <c r="E810" s="2">
        <v>46</v>
      </c>
      <c r="F810" s="2">
        <v>53</v>
      </c>
      <c r="G810" s="2">
        <v>6</v>
      </c>
      <c r="H810" s="2">
        <v>526341644</v>
      </c>
      <c r="I810" s="2">
        <v>501</v>
      </c>
      <c r="J810" s="2" t="s">
        <v>1654</v>
      </c>
      <c r="K810" s="2">
        <v>85</v>
      </c>
      <c r="L810" s="2">
        <v>15</v>
      </c>
      <c r="M810" s="2">
        <v>15</v>
      </c>
      <c r="N810" s="2">
        <v>10</v>
      </c>
      <c r="O810" s="2">
        <v>25</v>
      </c>
      <c r="P810" s="2">
        <v>20</v>
      </c>
      <c r="Q810" s="2" t="s">
        <v>1834</v>
      </c>
      <c r="R810" s="2"/>
      <c r="S810" s="4">
        <v>44837</v>
      </c>
    </row>
    <row r="811" spans="1:19" ht="12.5" x14ac:dyDescent="0.25">
      <c r="A811" s="14" t="str">
        <f>HYPERLINK("https://gerandofalcoes.my.salesforce.com/0014P00003YSp9YQAT", "0014P00003YSp9YQAT")</f>
        <v>0014P00003YSp9YQAT</v>
      </c>
      <c r="B811" s="2" t="s">
        <v>2203</v>
      </c>
      <c r="C811" s="2" t="s">
        <v>423</v>
      </c>
      <c r="D811" s="2" t="s">
        <v>2</v>
      </c>
      <c r="E811" s="2">
        <v>32</v>
      </c>
      <c r="F811" s="2">
        <v>0</v>
      </c>
      <c r="G811" s="2">
        <v>2</v>
      </c>
      <c r="H811" s="2">
        <v>25822</v>
      </c>
      <c r="I811" s="2">
        <v>300</v>
      </c>
      <c r="J811" s="2" t="s">
        <v>1671</v>
      </c>
      <c r="K811" s="2">
        <v>46</v>
      </c>
      <c r="L811" s="2">
        <v>15</v>
      </c>
      <c r="M811" s="2">
        <v>0</v>
      </c>
      <c r="N811" s="2">
        <v>6</v>
      </c>
      <c r="O811" s="2">
        <v>10</v>
      </c>
      <c r="P811" s="2">
        <v>15</v>
      </c>
      <c r="Q811" s="2" t="s">
        <v>2204</v>
      </c>
      <c r="R811" s="2" t="s">
        <v>2204</v>
      </c>
      <c r="S811" s="4">
        <v>44837</v>
      </c>
    </row>
    <row r="812" spans="1:19" ht="12.5" x14ac:dyDescent="0.25">
      <c r="A812" s="14" t="str">
        <f>HYPERLINK("https://gerandofalcoes.my.salesforce.com/0014P00003YSp9ZQAT", "0014P00003YSp9ZQAT")</f>
        <v>0014P00003YSp9ZQAT</v>
      </c>
      <c r="B812" s="2" t="s">
        <v>2381</v>
      </c>
      <c r="C812" s="2" t="s">
        <v>1800</v>
      </c>
      <c r="D812" s="2" t="s">
        <v>2</v>
      </c>
      <c r="E812" s="2">
        <v>26</v>
      </c>
      <c r="F812" s="2">
        <v>2</v>
      </c>
      <c r="G812" s="2">
        <v>0</v>
      </c>
      <c r="H812" s="2">
        <v>0</v>
      </c>
      <c r="I812" s="2">
        <v>0</v>
      </c>
      <c r="J812" s="2" t="s">
        <v>1779</v>
      </c>
      <c r="K812" s="2">
        <v>20</v>
      </c>
      <c r="L812" s="2">
        <v>15</v>
      </c>
      <c r="M812" s="2">
        <v>5</v>
      </c>
      <c r="N812" s="2">
        <v>0</v>
      </c>
      <c r="O812" s="2">
        <v>0</v>
      </c>
      <c r="P812" s="2">
        <v>0</v>
      </c>
      <c r="Q812" s="2" t="s">
        <v>2382</v>
      </c>
      <c r="R812" s="2" t="s">
        <v>2383</v>
      </c>
      <c r="S812" s="4">
        <v>44837</v>
      </c>
    </row>
    <row r="813" spans="1:19" ht="12.5" x14ac:dyDescent="0.25">
      <c r="A813" s="14" t="str">
        <f>HYPERLINK("https://gerandofalcoes.my.salesforce.com/0014P00003YSp9aQAD", "0014P00003YSp9aQAD")</f>
        <v>0014P00003YSp9aQAD</v>
      </c>
      <c r="B813" s="2" t="s">
        <v>2249</v>
      </c>
      <c r="C813" s="2" t="s">
        <v>423</v>
      </c>
      <c r="D813" s="2" t="s">
        <v>2</v>
      </c>
      <c r="E813" s="2">
        <v>30.96</v>
      </c>
      <c r="F813" s="2">
        <v>0</v>
      </c>
      <c r="G813" s="2">
        <v>1</v>
      </c>
      <c r="H813" s="2">
        <v>2500</v>
      </c>
      <c r="I813" s="2">
        <v>50</v>
      </c>
      <c r="J813" s="2" t="s">
        <v>1779</v>
      </c>
      <c r="K813" s="2">
        <v>29</v>
      </c>
      <c r="L813" s="2">
        <v>15</v>
      </c>
      <c r="M813" s="2">
        <v>0</v>
      </c>
      <c r="N813" s="2">
        <v>4</v>
      </c>
      <c r="O813" s="2">
        <v>5</v>
      </c>
      <c r="P813" s="2">
        <v>5</v>
      </c>
      <c r="Q813" s="2" t="s">
        <v>2250</v>
      </c>
      <c r="R813" s="2" t="s">
        <v>2251</v>
      </c>
      <c r="S813" s="4">
        <v>44837</v>
      </c>
    </row>
    <row r="814" spans="1:19" ht="12.5" x14ac:dyDescent="0.25">
      <c r="A814" s="14" t="str">
        <f>HYPERLINK("https://gerandofalcoes.my.salesforce.com/0014P00003YSp9bQAD", "0014P00003YSp9bQAD")</f>
        <v>0014P00003YSp9bQAD</v>
      </c>
      <c r="B814" s="2" t="s">
        <v>2016</v>
      </c>
      <c r="C814" s="2" t="s">
        <v>1800</v>
      </c>
      <c r="D814" s="2" t="s">
        <v>2</v>
      </c>
      <c r="E814" s="2">
        <v>38</v>
      </c>
      <c r="F814" s="2">
        <v>8</v>
      </c>
      <c r="G814" s="2">
        <v>3</v>
      </c>
      <c r="H814" s="2">
        <v>400216</v>
      </c>
      <c r="I814" s="2">
        <v>340</v>
      </c>
      <c r="J814" s="2" t="s">
        <v>1650</v>
      </c>
      <c r="K814" s="2">
        <v>68</v>
      </c>
      <c r="L814" s="2">
        <v>15</v>
      </c>
      <c r="M814" s="2">
        <v>10</v>
      </c>
      <c r="N814" s="2">
        <v>8</v>
      </c>
      <c r="O814" s="2">
        <v>20</v>
      </c>
      <c r="P814" s="2">
        <v>15</v>
      </c>
      <c r="Q814" s="2" t="s">
        <v>2017</v>
      </c>
      <c r="R814" s="2" t="s">
        <v>2018</v>
      </c>
      <c r="S814" s="4">
        <v>44837</v>
      </c>
    </row>
    <row r="815" spans="1:19" ht="12.5" x14ac:dyDescent="0.25">
      <c r="A815" s="14" t="str">
        <f>HYPERLINK("https://gerandofalcoes.my.salesforce.com/0014P00003YSp9cQAD", "0014P00003YSp9cQAD")</f>
        <v>0014P00003YSp9cQAD</v>
      </c>
      <c r="B815" s="2" t="s">
        <v>2603</v>
      </c>
      <c r="C815" s="2" t="s">
        <v>1800</v>
      </c>
      <c r="D815" s="2" t="s">
        <v>2</v>
      </c>
      <c r="E815" s="2">
        <v>19</v>
      </c>
      <c r="F815" s="2">
        <v>2</v>
      </c>
      <c r="G815" s="2">
        <v>4</v>
      </c>
      <c r="H815" s="2">
        <v>2000</v>
      </c>
      <c r="I815" s="2">
        <v>60</v>
      </c>
      <c r="J815" s="2" t="s">
        <v>1779</v>
      </c>
      <c r="K815" s="2">
        <v>35</v>
      </c>
      <c r="L815" s="2">
        <v>10</v>
      </c>
      <c r="M815" s="2">
        <v>5</v>
      </c>
      <c r="N815" s="2">
        <v>10</v>
      </c>
      <c r="O815" s="2">
        <v>5</v>
      </c>
      <c r="P815" s="2">
        <v>5</v>
      </c>
      <c r="Q815" s="2" t="s">
        <v>2604</v>
      </c>
      <c r="R815" s="2" t="s">
        <v>2605</v>
      </c>
      <c r="S815" s="4">
        <v>44837</v>
      </c>
    </row>
    <row r="816" spans="1:19" ht="12.5" x14ac:dyDescent="0.25">
      <c r="A816" s="14" t="str">
        <f>HYPERLINK("https://gerandofalcoes.my.salesforce.com/0014P00003YSp9dQAD", "0014P00003YSp9dQAD")</f>
        <v>0014P00003YSp9dQAD</v>
      </c>
      <c r="B816" s="2" t="s">
        <v>2691</v>
      </c>
      <c r="C816" s="2" t="s">
        <v>1800</v>
      </c>
      <c r="D816" s="2" t="s">
        <v>2</v>
      </c>
      <c r="E816" s="2">
        <v>16</v>
      </c>
      <c r="F816" s="2">
        <v>0</v>
      </c>
      <c r="G816" s="2">
        <v>2</v>
      </c>
      <c r="H816" s="2">
        <v>10000</v>
      </c>
      <c r="I816" s="2">
        <v>0</v>
      </c>
      <c r="J816" s="2" t="s">
        <v>1779</v>
      </c>
      <c r="K816" s="2">
        <v>21</v>
      </c>
      <c r="L816" s="2">
        <v>10</v>
      </c>
      <c r="M816" s="2">
        <v>0</v>
      </c>
      <c r="N816" s="2">
        <v>6</v>
      </c>
      <c r="O816" s="2">
        <v>5</v>
      </c>
      <c r="P816" s="2">
        <v>0</v>
      </c>
      <c r="Q816" s="2" t="s">
        <v>2692</v>
      </c>
      <c r="R816" s="2" t="s">
        <v>2693</v>
      </c>
      <c r="S816" s="4">
        <v>44837</v>
      </c>
    </row>
    <row r="817" spans="1:19" ht="12.5" x14ac:dyDescent="0.25">
      <c r="A817" s="14" t="str">
        <f>HYPERLINK("https://gerandofalcoes.my.salesforce.com/0014P00003YSp9eQAD", "0014P00003YSp9eQAD")</f>
        <v>0014P00003YSp9eQAD</v>
      </c>
      <c r="B817" s="2" t="s">
        <v>2084</v>
      </c>
      <c r="C817" s="2" t="s">
        <v>1800</v>
      </c>
      <c r="D817" s="2" t="s">
        <v>2</v>
      </c>
      <c r="E817" s="2">
        <v>36</v>
      </c>
      <c r="F817" s="2">
        <v>4</v>
      </c>
      <c r="G817" s="2">
        <v>4</v>
      </c>
      <c r="H817" s="2">
        <v>270000</v>
      </c>
      <c r="I817" s="2">
        <v>0</v>
      </c>
      <c r="J817" s="2" t="s">
        <v>1671</v>
      </c>
      <c r="K817" s="2">
        <v>45</v>
      </c>
      <c r="L817" s="2">
        <v>15</v>
      </c>
      <c r="M817" s="2">
        <v>5</v>
      </c>
      <c r="N817" s="2">
        <v>10</v>
      </c>
      <c r="O817" s="2">
        <v>15</v>
      </c>
      <c r="P817" s="2">
        <v>0</v>
      </c>
      <c r="Q817" s="2" t="s">
        <v>2085</v>
      </c>
      <c r="R817" s="2" t="s">
        <v>2086</v>
      </c>
      <c r="S817" s="4">
        <v>44837</v>
      </c>
    </row>
    <row r="818" spans="1:19" ht="12.5" x14ac:dyDescent="0.25">
      <c r="A818" s="14" t="str">
        <f>HYPERLINK("https://gerandofalcoes.my.salesforce.com/0014P00003YSp9RQAT", "0014P00003YSp9RQAT")</f>
        <v>0014P00003YSp9RQAT</v>
      </c>
      <c r="B818" s="2" t="s">
        <v>2208</v>
      </c>
      <c r="C818" s="2" t="s">
        <v>1800</v>
      </c>
      <c r="D818" s="2" t="s">
        <v>2</v>
      </c>
      <c r="E818" s="2">
        <v>32</v>
      </c>
      <c r="F818" s="2">
        <v>0</v>
      </c>
      <c r="G818" s="2">
        <v>4</v>
      </c>
      <c r="H818" s="2">
        <v>45000</v>
      </c>
      <c r="I818" s="2">
        <v>1700</v>
      </c>
      <c r="J818" s="2" t="s">
        <v>1671</v>
      </c>
      <c r="K818" s="2">
        <v>55</v>
      </c>
      <c r="L818" s="2">
        <v>15</v>
      </c>
      <c r="M818" s="2">
        <v>0</v>
      </c>
      <c r="N818" s="2">
        <v>10</v>
      </c>
      <c r="O818" s="2">
        <v>10</v>
      </c>
      <c r="P818" s="2">
        <v>20</v>
      </c>
      <c r="Q818" s="2" t="s">
        <v>2209</v>
      </c>
      <c r="R818" s="2" t="s">
        <v>2210</v>
      </c>
      <c r="S818" s="4">
        <v>44837</v>
      </c>
    </row>
    <row r="819" spans="1:19" ht="12.5" x14ac:dyDescent="0.25">
      <c r="A819" s="14" t="str">
        <f>HYPERLINK("https://gerandofalcoes.my.salesforce.com/0014P00003YSp9SQAT", "0014P00003YSp9SQAT")</f>
        <v>0014P00003YSp9SQAT</v>
      </c>
      <c r="B819" s="2" t="s">
        <v>1844</v>
      </c>
      <c r="C819" s="2" t="s">
        <v>423</v>
      </c>
      <c r="D819" s="2" t="s">
        <v>2</v>
      </c>
      <c r="E819" s="2">
        <v>20</v>
      </c>
      <c r="F819" s="2">
        <v>3</v>
      </c>
      <c r="G819" s="2">
        <v>4</v>
      </c>
      <c r="H819" s="2">
        <v>2855703</v>
      </c>
      <c r="I819" s="2">
        <v>150</v>
      </c>
      <c r="J819" s="2" t="s">
        <v>1671</v>
      </c>
      <c r="K819" s="2">
        <v>62</v>
      </c>
      <c r="L819" s="2">
        <v>10</v>
      </c>
      <c r="M819" s="2">
        <v>5</v>
      </c>
      <c r="N819" s="2">
        <v>10</v>
      </c>
      <c r="O819" s="2">
        <v>25</v>
      </c>
      <c r="P819" s="2">
        <v>12</v>
      </c>
      <c r="Q819" s="2" t="s">
        <v>1845</v>
      </c>
      <c r="R819" s="2" t="s">
        <v>1846</v>
      </c>
      <c r="S819" s="4">
        <v>44837</v>
      </c>
    </row>
    <row r="820" spans="1:19" ht="12.5" x14ac:dyDescent="0.25">
      <c r="A820" s="14" t="str">
        <f>HYPERLINK("https://gerandofalcoes.my.salesforce.com/0014P00003YSp9fQAD", "0014P00003YSp9fQAD")</f>
        <v>0014P00003YSp9fQAD</v>
      </c>
      <c r="B820" s="2" t="s">
        <v>2436</v>
      </c>
      <c r="C820" s="2" t="s">
        <v>423</v>
      </c>
      <c r="D820" s="2" t="s">
        <v>2</v>
      </c>
      <c r="E820" s="2">
        <v>24.24</v>
      </c>
      <c r="F820" s="2">
        <v>0</v>
      </c>
      <c r="G820" s="2">
        <v>0</v>
      </c>
      <c r="H820" s="2">
        <v>0</v>
      </c>
      <c r="I820" s="2">
        <v>114</v>
      </c>
      <c r="J820" s="2" t="s">
        <v>1779</v>
      </c>
      <c r="K820" s="2">
        <v>20</v>
      </c>
      <c r="L820" s="2">
        <v>10</v>
      </c>
      <c r="M820" s="2">
        <v>0</v>
      </c>
      <c r="N820" s="2">
        <v>0</v>
      </c>
      <c r="O820" s="2">
        <v>0</v>
      </c>
      <c r="P820" s="2">
        <v>10</v>
      </c>
      <c r="Q820" s="2" t="s">
        <v>2437</v>
      </c>
      <c r="R820" s="2" t="s">
        <v>2437</v>
      </c>
      <c r="S820" s="4">
        <v>44837</v>
      </c>
    </row>
    <row r="821" spans="1:19" ht="12.5" x14ac:dyDescent="0.25">
      <c r="A821" s="14" t="str">
        <f>HYPERLINK("https://gerandofalcoes.my.salesforce.com/0014P00003YSp9gQAD", "0014P00003YSp9gQAD")</f>
        <v>0014P00003YSp9gQAD</v>
      </c>
      <c r="B821" s="2" t="s">
        <v>2559</v>
      </c>
      <c r="C821" s="2" t="s">
        <v>1800</v>
      </c>
      <c r="D821" s="2" t="s">
        <v>2</v>
      </c>
      <c r="E821" s="2">
        <v>20</v>
      </c>
      <c r="F821" s="2">
        <v>5</v>
      </c>
      <c r="G821" s="2">
        <v>2</v>
      </c>
      <c r="H821" s="2">
        <v>2000</v>
      </c>
      <c r="I821" s="2">
        <v>50</v>
      </c>
      <c r="J821" s="2" t="s">
        <v>1779</v>
      </c>
      <c r="K821" s="2">
        <v>31</v>
      </c>
      <c r="L821" s="2">
        <v>10</v>
      </c>
      <c r="M821" s="2">
        <v>5</v>
      </c>
      <c r="N821" s="2">
        <v>6</v>
      </c>
      <c r="O821" s="2">
        <v>5</v>
      </c>
      <c r="P821" s="2">
        <v>5</v>
      </c>
      <c r="Q821" s="2" t="s">
        <v>2560</v>
      </c>
      <c r="R821" s="2" t="s">
        <v>2561</v>
      </c>
      <c r="S821" s="4">
        <v>44837</v>
      </c>
    </row>
    <row r="822" spans="1:19" ht="12.5" x14ac:dyDescent="0.25">
      <c r="A822" s="14" t="str">
        <f>HYPERLINK("https://gerandofalcoes.my.salesforce.com/0014P00003YSp9hQAD", "0014P00003YSp9hQAD")</f>
        <v>0014P00003YSp9hQAD</v>
      </c>
      <c r="B822" s="2" t="s">
        <v>2433</v>
      </c>
      <c r="C822" s="2" t="s">
        <v>423</v>
      </c>
      <c r="D822" s="2" t="s">
        <v>2</v>
      </c>
      <c r="E822" s="2">
        <v>15</v>
      </c>
      <c r="F822" s="2">
        <v>15</v>
      </c>
      <c r="G822" s="2">
        <v>5</v>
      </c>
      <c r="H822" s="2">
        <v>3886816</v>
      </c>
      <c r="I822" s="2">
        <v>100</v>
      </c>
      <c r="J822" s="2" t="s">
        <v>1650</v>
      </c>
      <c r="K822" s="2">
        <v>67</v>
      </c>
      <c r="L822" s="2">
        <v>10</v>
      </c>
      <c r="M822" s="2">
        <v>12</v>
      </c>
      <c r="N822" s="2">
        <v>10</v>
      </c>
      <c r="O822" s="2">
        <v>25</v>
      </c>
      <c r="P822" s="2">
        <v>10</v>
      </c>
      <c r="Q822" s="2" t="s">
        <v>2434</v>
      </c>
      <c r="R822" s="2" t="s">
        <v>2435</v>
      </c>
      <c r="S822" s="4">
        <v>44837</v>
      </c>
    </row>
    <row r="823" spans="1:19" ht="12.5" x14ac:dyDescent="0.25">
      <c r="A823" s="14" t="str">
        <f>HYPERLINK("https://gerandofalcoes.my.salesforce.com/0014P00003YSp9iQAD", "0014P00003YSp9iQAD")</f>
        <v>0014P00003YSp9iQAD</v>
      </c>
      <c r="B823" s="2" t="s">
        <v>2253</v>
      </c>
      <c r="C823" s="2" t="s">
        <v>423</v>
      </c>
      <c r="D823" s="2" t="s">
        <v>2</v>
      </c>
      <c r="E823" s="2">
        <v>36</v>
      </c>
      <c r="F823" s="2">
        <v>0</v>
      </c>
      <c r="G823" s="2">
        <v>3</v>
      </c>
      <c r="H823" s="2">
        <v>27240</v>
      </c>
      <c r="I823" s="2">
        <v>0</v>
      </c>
      <c r="J823" s="2" t="s">
        <v>1779</v>
      </c>
      <c r="K823" s="2">
        <v>33</v>
      </c>
      <c r="L823" s="2">
        <v>15</v>
      </c>
      <c r="M823" s="2">
        <v>0</v>
      </c>
      <c r="N823" s="2">
        <v>8</v>
      </c>
      <c r="O823" s="2">
        <v>10</v>
      </c>
      <c r="P823" s="2">
        <v>0</v>
      </c>
      <c r="Q823" s="2" t="s">
        <v>2254</v>
      </c>
      <c r="R823" s="2" t="s">
        <v>2255</v>
      </c>
      <c r="S823" s="4">
        <v>44837</v>
      </c>
    </row>
    <row r="824" spans="1:19" ht="12.5" x14ac:dyDescent="0.25">
      <c r="A824" s="14" t="str">
        <f>HYPERLINK("https://gerandofalcoes.my.salesforce.com/0014P00003YSp9jQAD", "0014P00003YSp9jQAD")</f>
        <v>0014P00003YSp9jQAD</v>
      </c>
      <c r="B824" s="2" t="s">
        <v>2270</v>
      </c>
      <c r="C824" s="2" t="s">
        <v>423</v>
      </c>
      <c r="D824" s="2" t="s">
        <v>2</v>
      </c>
      <c r="E824" s="2">
        <v>30</v>
      </c>
      <c r="F824" s="2">
        <v>1</v>
      </c>
      <c r="G824" s="2">
        <v>1</v>
      </c>
      <c r="H824" s="2">
        <v>6000</v>
      </c>
      <c r="I824" s="2">
        <v>110</v>
      </c>
      <c r="J824" s="2" t="s">
        <v>1779</v>
      </c>
      <c r="K824" s="2">
        <v>39</v>
      </c>
      <c r="L824" s="2">
        <v>15</v>
      </c>
      <c r="M824" s="2">
        <v>5</v>
      </c>
      <c r="N824" s="2">
        <v>4</v>
      </c>
      <c r="O824" s="2">
        <v>5</v>
      </c>
      <c r="P824" s="2">
        <v>10</v>
      </c>
      <c r="Q824" s="2" t="s">
        <v>2271</v>
      </c>
      <c r="R824" s="2" t="s">
        <v>2271</v>
      </c>
      <c r="S824" s="4">
        <v>44837</v>
      </c>
    </row>
    <row r="825" spans="1:19" ht="12.5" x14ac:dyDescent="0.25">
      <c r="A825" s="14" t="str">
        <f>HYPERLINK("https://gerandofalcoes.my.salesforce.com/0014P00003YSp9kQAD", "0014P00003YSp9kQAD")</f>
        <v>0014P00003YSp9kQAD</v>
      </c>
      <c r="B825" s="2" t="s">
        <v>1852</v>
      </c>
      <c r="C825" s="2" t="s">
        <v>423</v>
      </c>
      <c r="D825" s="2" t="s">
        <v>2</v>
      </c>
      <c r="E825" s="2">
        <v>29</v>
      </c>
      <c r="F825" s="2">
        <v>8</v>
      </c>
      <c r="G825" s="2">
        <v>3</v>
      </c>
      <c r="H825" s="2">
        <v>668446</v>
      </c>
      <c r="I825" s="2">
        <v>851</v>
      </c>
      <c r="J825" s="2" t="s">
        <v>1650</v>
      </c>
      <c r="K825" s="2">
        <v>73</v>
      </c>
      <c r="L825" s="2">
        <v>15</v>
      </c>
      <c r="M825" s="2">
        <v>10</v>
      </c>
      <c r="N825" s="2">
        <v>8</v>
      </c>
      <c r="O825" s="2">
        <v>20</v>
      </c>
      <c r="P825" s="2">
        <v>20</v>
      </c>
      <c r="Q825" s="2" t="s">
        <v>1853</v>
      </c>
      <c r="R825" s="2" t="s">
        <v>1854</v>
      </c>
      <c r="S825" s="4">
        <v>44837</v>
      </c>
    </row>
    <row r="826" spans="1:19" ht="12.5" x14ac:dyDescent="0.25">
      <c r="A826" s="14" t="str">
        <f>HYPERLINK("https://gerandofalcoes.my.salesforce.com/0014P00003YSp9lQAD", "0014P00003YSp9lQAD")</f>
        <v>0014P00003YSp9lQAD</v>
      </c>
      <c r="B826" s="2" t="s">
        <v>2573</v>
      </c>
      <c r="C826" s="2" t="s">
        <v>423</v>
      </c>
      <c r="D826" s="2" t="s">
        <v>2</v>
      </c>
      <c r="E826" s="2">
        <v>20</v>
      </c>
      <c r="F826" s="2">
        <v>8</v>
      </c>
      <c r="G826" s="2">
        <v>2</v>
      </c>
      <c r="H826" s="2">
        <v>12000</v>
      </c>
      <c r="I826" s="2">
        <v>0</v>
      </c>
      <c r="J826" s="2" t="s">
        <v>1779</v>
      </c>
      <c r="K826" s="2">
        <v>31</v>
      </c>
      <c r="L826" s="2">
        <v>10</v>
      </c>
      <c r="M826" s="2">
        <v>10</v>
      </c>
      <c r="N826" s="2">
        <v>6</v>
      </c>
      <c r="O826" s="2">
        <v>5</v>
      </c>
      <c r="P826" s="2">
        <v>0</v>
      </c>
      <c r="Q826" s="2" t="s">
        <v>2574</v>
      </c>
      <c r="R826" s="2" t="s">
        <v>2575</v>
      </c>
      <c r="S826" s="4">
        <v>44837</v>
      </c>
    </row>
    <row r="827" spans="1:19" ht="12.5" x14ac:dyDescent="0.25">
      <c r="A827" s="14" t="str">
        <f>HYPERLINK("https://gerandofalcoes.my.salesforce.com/0014P00003YSp9mQAD", "0014P00003YSp9mQAD")</f>
        <v>0014P00003YSp9mQAD</v>
      </c>
      <c r="B827" s="2" t="s">
        <v>1665</v>
      </c>
      <c r="C827" s="2" t="s">
        <v>423</v>
      </c>
      <c r="D827" s="2" t="s">
        <v>27</v>
      </c>
      <c r="E827" s="2">
        <v>38</v>
      </c>
      <c r="F827" s="2">
        <v>15</v>
      </c>
      <c r="G827" s="2">
        <v>6</v>
      </c>
      <c r="H827" s="2">
        <v>1000000</v>
      </c>
      <c r="I827" s="2">
        <v>767</v>
      </c>
      <c r="J827" s="2" t="s">
        <v>1654</v>
      </c>
      <c r="K827" s="2">
        <v>82</v>
      </c>
      <c r="L827" s="2">
        <v>15</v>
      </c>
      <c r="M827" s="2">
        <v>12</v>
      </c>
      <c r="N827" s="2">
        <v>10</v>
      </c>
      <c r="O827" s="2">
        <v>25</v>
      </c>
      <c r="P827" s="2">
        <v>20</v>
      </c>
      <c r="Q827" s="2" t="s">
        <v>1666</v>
      </c>
      <c r="R827" s="2" t="s">
        <v>1667</v>
      </c>
      <c r="S827" s="4">
        <v>44837</v>
      </c>
    </row>
    <row r="828" spans="1:19" ht="12.5" x14ac:dyDescent="0.25">
      <c r="A828" s="14" t="str">
        <f>HYPERLINK("https://gerandofalcoes.my.salesforce.com/0014P00003YSp9qQAD", "0014P00003YSp9qQAD")</f>
        <v>0014P00003YSp9qQAD</v>
      </c>
      <c r="B828" s="2" t="s">
        <v>2792</v>
      </c>
      <c r="C828" s="2" t="s">
        <v>1800</v>
      </c>
      <c r="D828" s="2" t="s">
        <v>2</v>
      </c>
      <c r="E828" s="2">
        <v>13</v>
      </c>
      <c r="F828" s="2">
        <v>0</v>
      </c>
      <c r="G828" s="2">
        <v>4</v>
      </c>
      <c r="H828" s="2">
        <v>3000</v>
      </c>
      <c r="I828" s="2">
        <v>60</v>
      </c>
      <c r="J828" s="2" t="s">
        <v>1779</v>
      </c>
      <c r="K828" s="2">
        <v>30</v>
      </c>
      <c r="L828" s="2">
        <v>10</v>
      </c>
      <c r="M828" s="2">
        <v>0</v>
      </c>
      <c r="N828" s="2">
        <v>10</v>
      </c>
      <c r="O828" s="2">
        <v>5</v>
      </c>
      <c r="P828" s="2">
        <v>5</v>
      </c>
      <c r="Q828" s="2" t="s">
        <v>2793</v>
      </c>
      <c r="R828" s="2" t="s">
        <v>2794</v>
      </c>
      <c r="S828" s="4">
        <v>44837</v>
      </c>
    </row>
    <row r="829" spans="1:19" ht="12.5" x14ac:dyDescent="0.25">
      <c r="A829" s="14" t="str">
        <f>HYPERLINK("https://gerandofalcoes.my.salesforce.com/0014P00003YSp9rQAD", "0014P00003YSp9rQAD")</f>
        <v>0014P00003YSp9rQAD</v>
      </c>
      <c r="B829" s="2" t="s">
        <v>2070</v>
      </c>
      <c r="C829" s="2" t="s">
        <v>1800</v>
      </c>
      <c r="D829" s="2" t="s">
        <v>2</v>
      </c>
      <c r="E829" s="2">
        <v>36</v>
      </c>
      <c r="F829" s="2">
        <v>7</v>
      </c>
      <c r="G829" s="2">
        <v>3</v>
      </c>
      <c r="H829" s="2">
        <v>0</v>
      </c>
      <c r="I829" s="2">
        <v>120</v>
      </c>
      <c r="J829" s="2" t="s">
        <v>1671</v>
      </c>
      <c r="K829" s="2">
        <v>43</v>
      </c>
      <c r="L829" s="2">
        <v>15</v>
      </c>
      <c r="M829" s="2">
        <v>10</v>
      </c>
      <c r="N829" s="2">
        <v>8</v>
      </c>
      <c r="O829" s="2">
        <v>0</v>
      </c>
      <c r="P829" s="2">
        <v>10</v>
      </c>
      <c r="Q829" s="2" t="s">
        <v>2071</v>
      </c>
      <c r="R829" s="2" t="s">
        <v>2072</v>
      </c>
      <c r="S829" s="4">
        <v>44837</v>
      </c>
    </row>
    <row r="830" spans="1:19" ht="12.5" x14ac:dyDescent="0.25">
      <c r="A830" s="14" t="str">
        <f>HYPERLINK("https://gerandofalcoes.my.salesforce.com/0014P00003YSp9tQAD", "0014P00003YSp9tQAD")</f>
        <v>0014P00003YSp9tQAD</v>
      </c>
      <c r="B830" s="2" t="s">
        <v>2022</v>
      </c>
      <c r="C830" s="2" t="s">
        <v>1684</v>
      </c>
      <c r="D830" s="2" t="s">
        <v>2</v>
      </c>
      <c r="E830" s="2">
        <v>38</v>
      </c>
      <c r="F830" s="2">
        <v>0</v>
      </c>
      <c r="G830" s="2">
        <v>0</v>
      </c>
      <c r="H830" s="2">
        <v>0</v>
      </c>
      <c r="I830" s="2">
        <v>0</v>
      </c>
      <c r="J830" s="2" t="s">
        <v>1779</v>
      </c>
      <c r="K830" s="2">
        <v>15</v>
      </c>
      <c r="L830" s="2">
        <v>15</v>
      </c>
      <c r="M830" s="2">
        <v>0</v>
      </c>
      <c r="N830" s="2">
        <v>0</v>
      </c>
      <c r="O830" s="2">
        <v>0</v>
      </c>
      <c r="P830" s="2">
        <v>0</v>
      </c>
      <c r="Q830" s="2" t="s">
        <v>2023</v>
      </c>
      <c r="R830" s="2" t="s">
        <v>2024</v>
      </c>
      <c r="S830" s="4">
        <v>44837</v>
      </c>
    </row>
    <row r="831" spans="1:19" ht="12.5" x14ac:dyDescent="0.25">
      <c r="A831" s="14" t="str">
        <f>HYPERLINK("https://gerandofalcoes.my.salesforce.com/0014P00003YSp9vQAD", "0014P00003YSp9vQAD")</f>
        <v>0014P00003YSp9vQAD</v>
      </c>
      <c r="B831" s="2" t="s">
        <v>2884</v>
      </c>
      <c r="C831" s="2" t="s">
        <v>423</v>
      </c>
      <c r="D831" s="2" t="s">
        <v>2</v>
      </c>
      <c r="E831" s="2">
        <v>9</v>
      </c>
      <c r="F831" s="2">
        <v>0</v>
      </c>
      <c r="G831" s="2">
        <v>2</v>
      </c>
      <c r="H831" s="2">
        <v>11000</v>
      </c>
      <c r="I831" s="2">
        <v>759</v>
      </c>
      <c r="J831" s="2" t="s">
        <v>1671</v>
      </c>
      <c r="K831" s="2">
        <v>41</v>
      </c>
      <c r="L831" s="2">
        <v>10</v>
      </c>
      <c r="M831" s="2">
        <v>0</v>
      </c>
      <c r="N831" s="2">
        <v>6</v>
      </c>
      <c r="O831" s="2">
        <v>5</v>
      </c>
      <c r="P831" s="2">
        <v>20</v>
      </c>
      <c r="Q831" s="2" t="s">
        <v>2885</v>
      </c>
      <c r="R831" s="2" t="s">
        <v>2886</v>
      </c>
      <c r="S831" s="4">
        <v>44837</v>
      </c>
    </row>
    <row r="832" spans="1:19" ht="12.5" x14ac:dyDescent="0.25">
      <c r="A832" s="14" t="str">
        <f>HYPERLINK("https://gerandofalcoes.my.salesforce.com/0014P00003YSp9wQAD", "0014P00003YSp9wQAD")</f>
        <v>0014P00003YSp9wQAD</v>
      </c>
      <c r="B832" s="2" t="s">
        <v>2497</v>
      </c>
      <c r="C832" s="2" t="s">
        <v>423</v>
      </c>
      <c r="D832" s="2" t="s">
        <v>2</v>
      </c>
      <c r="E832" s="2">
        <v>25</v>
      </c>
      <c r="F832" s="2">
        <v>6</v>
      </c>
      <c r="G832" s="2">
        <v>2</v>
      </c>
      <c r="H832" s="2">
        <v>2600000</v>
      </c>
      <c r="I832" s="2">
        <v>200</v>
      </c>
      <c r="J832" s="2" t="s">
        <v>1650</v>
      </c>
      <c r="K832" s="2">
        <v>68</v>
      </c>
      <c r="L832" s="2">
        <v>15</v>
      </c>
      <c r="M832" s="2">
        <v>10</v>
      </c>
      <c r="N832" s="2">
        <v>6</v>
      </c>
      <c r="O832" s="2">
        <v>25</v>
      </c>
      <c r="P832" s="2">
        <v>12</v>
      </c>
      <c r="Q832" s="2" t="s">
        <v>2498</v>
      </c>
      <c r="R832" s="2" t="s">
        <v>2498</v>
      </c>
      <c r="S832" s="4">
        <v>44837</v>
      </c>
    </row>
    <row r="833" spans="1:19" ht="12.5" x14ac:dyDescent="0.25">
      <c r="A833" s="14" t="str">
        <f>HYPERLINK("https://gerandofalcoes.my.salesforce.com/0014P00003AN2GLQA1", "0014P00003AN2GLQA1")</f>
        <v>0014P00003AN2GLQA1</v>
      </c>
      <c r="B833" s="2" t="s">
        <v>1691</v>
      </c>
      <c r="C833" s="2" t="s">
        <v>423</v>
      </c>
      <c r="D833" s="2" t="s">
        <v>27</v>
      </c>
      <c r="E833" s="2">
        <v>85</v>
      </c>
      <c r="F833" s="2">
        <v>13</v>
      </c>
      <c r="G833" s="2">
        <v>4</v>
      </c>
      <c r="H833" s="2">
        <v>154904.04</v>
      </c>
      <c r="I833" s="2">
        <v>172</v>
      </c>
      <c r="J833" s="2" t="s">
        <v>1650</v>
      </c>
      <c r="K833" s="2">
        <v>74</v>
      </c>
      <c r="L833" s="2">
        <v>25</v>
      </c>
      <c r="M833" s="2">
        <v>12</v>
      </c>
      <c r="N833" s="2">
        <v>10</v>
      </c>
      <c r="O833" s="2">
        <v>15</v>
      </c>
      <c r="P833" s="2">
        <v>12</v>
      </c>
      <c r="Q833" s="2" t="s">
        <v>29</v>
      </c>
      <c r="R833" s="2" t="s">
        <v>29</v>
      </c>
      <c r="S833" s="4">
        <v>44837</v>
      </c>
    </row>
    <row r="834" spans="1:19" ht="12.5" x14ac:dyDescent="0.25">
      <c r="A834" s="14" t="str">
        <f>HYPERLINK("https://gerandofalcoes.my.salesforce.com/0014P00003AN2GMQA1", "0014P00003AN2GMQA1")</f>
        <v>0014P00003AN2GMQA1</v>
      </c>
      <c r="B834" s="2" t="s">
        <v>1730</v>
      </c>
      <c r="C834" s="2" t="s">
        <v>423</v>
      </c>
      <c r="D834" s="2" t="s">
        <v>27</v>
      </c>
      <c r="E834" s="2">
        <v>71</v>
      </c>
      <c r="F834" s="2">
        <v>7</v>
      </c>
      <c r="G834" s="2">
        <v>2</v>
      </c>
      <c r="H834" s="2">
        <v>225804.57</v>
      </c>
      <c r="I834" s="2">
        <v>93</v>
      </c>
      <c r="J834" s="2" t="s">
        <v>1671</v>
      </c>
      <c r="K834" s="2">
        <v>61</v>
      </c>
      <c r="L834" s="2">
        <v>20</v>
      </c>
      <c r="M834" s="2">
        <v>10</v>
      </c>
      <c r="N834" s="2">
        <v>6</v>
      </c>
      <c r="O834" s="2">
        <v>15</v>
      </c>
      <c r="P834" s="2">
        <v>10</v>
      </c>
      <c r="Q834" s="2" t="s">
        <v>39</v>
      </c>
      <c r="R834" s="2" t="s">
        <v>39</v>
      </c>
      <c r="S834" s="4">
        <v>44837</v>
      </c>
    </row>
    <row r="835" spans="1:19" ht="12.5" x14ac:dyDescent="0.25">
      <c r="A835" s="14" t="str">
        <f>HYPERLINK("https://gerandofalcoes.my.salesforce.com/0014P00003AN2GNQA1", "0014P00003AN2GNQA1")</f>
        <v>0014P00003AN2GNQA1</v>
      </c>
      <c r="B835" s="2" t="s">
        <v>1655</v>
      </c>
      <c r="C835" s="2" t="s">
        <v>423</v>
      </c>
      <c r="D835" s="2" t="s">
        <v>27</v>
      </c>
      <c r="E835" s="2">
        <v>96</v>
      </c>
      <c r="F835" s="2">
        <v>22</v>
      </c>
      <c r="G835" s="2">
        <v>4</v>
      </c>
      <c r="H835" s="2">
        <v>392688.36</v>
      </c>
      <c r="I835" s="2">
        <v>341</v>
      </c>
      <c r="J835" s="2" t="s">
        <v>1654</v>
      </c>
      <c r="K835" s="2">
        <v>87</v>
      </c>
      <c r="L835" s="2">
        <v>30</v>
      </c>
      <c r="M835" s="2">
        <v>12</v>
      </c>
      <c r="N835" s="2">
        <v>10</v>
      </c>
      <c r="O835" s="2">
        <v>20</v>
      </c>
      <c r="P835" s="2">
        <v>15</v>
      </c>
      <c r="Q835" s="2" t="s">
        <v>43</v>
      </c>
      <c r="R835" s="2" t="s">
        <v>43</v>
      </c>
      <c r="S835" s="4">
        <v>44837</v>
      </c>
    </row>
    <row r="836" spans="1:19" ht="12.5" x14ac:dyDescent="0.25">
      <c r="A836" s="14" t="str">
        <f>HYPERLINK("https://gerandofalcoes.my.salesforce.com/0014P00003AN2GOQA1", "0014P00003AN2GOQA1")</f>
        <v>0014P00003AN2GOQA1</v>
      </c>
      <c r="B836" s="2" t="s">
        <v>1710</v>
      </c>
      <c r="C836" s="2" t="s">
        <v>423</v>
      </c>
      <c r="D836" s="2" t="s">
        <v>27</v>
      </c>
      <c r="E836" s="2">
        <v>79</v>
      </c>
      <c r="F836" s="2">
        <v>10</v>
      </c>
      <c r="G836" s="2">
        <v>3</v>
      </c>
      <c r="H836" s="2">
        <v>230836.02</v>
      </c>
      <c r="I836" s="2">
        <v>124</v>
      </c>
      <c r="J836" s="2" t="s">
        <v>1650</v>
      </c>
      <c r="K836" s="2">
        <v>68</v>
      </c>
      <c r="L836" s="2">
        <v>25</v>
      </c>
      <c r="M836" s="2">
        <v>10</v>
      </c>
      <c r="N836" s="2">
        <v>8</v>
      </c>
      <c r="O836" s="2">
        <v>15</v>
      </c>
      <c r="P836" s="2">
        <v>10</v>
      </c>
      <c r="Q836" s="2" t="s">
        <v>46</v>
      </c>
      <c r="R836" s="2" t="s">
        <v>1711</v>
      </c>
      <c r="S836" s="4">
        <v>44837</v>
      </c>
    </row>
    <row r="837" spans="1:19" ht="12.5" x14ac:dyDescent="0.25">
      <c r="A837" s="14" t="str">
        <f>HYPERLINK("https://gerandofalcoes.my.salesforce.com/0014P00003AN2GPQA1", "0014P00003AN2GPQA1")</f>
        <v>0014P00003AN2GPQA1</v>
      </c>
      <c r="B837" s="2" t="s">
        <v>1653</v>
      </c>
      <c r="C837" s="2" t="s">
        <v>423</v>
      </c>
      <c r="D837" s="2" t="s">
        <v>27</v>
      </c>
      <c r="E837" s="2">
        <v>97</v>
      </c>
      <c r="F837" s="2">
        <v>33</v>
      </c>
      <c r="G837" s="2">
        <v>4</v>
      </c>
      <c r="H837" s="2">
        <v>1500734.93</v>
      </c>
      <c r="I837" s="2">
        <v>378</v>
      </c>
      <c r="J837" s="2" t="s">
        <v>1654</v>
      </c>
      <c r="K837" s="2">
        <v>95</v>
      </c>
      <c r="L837" s="2">
        <v>30</v>
      </c>
      <c r="M837" s="2">
        <v>15</v>
      </c>
      <c r="N837" s="2">
        <v>10</v>
      </c>
      <c r="O837" s="2">
        <v>25</v>
      </c>
      <c r="P837" s="2">
        <v>15</v>
      </c>
      <c r="Q837" s="2" t="s">
        <v>36</v>
      </c>
      <c r="R837" s="2" t="s">
        <v>553</v>
      </c>
      <c r="S837" s="4">
        <v>44837</v>
      </c>
    </row>
    <row r="838" spans="1:19" ht="12.5" x14ac:dyDescent="0.25">
      <c r="A838" s="14" t="str">
        <f>HYPERLINK("https://gerandofalcoes.my.salesforce.com/0014P00003AN2etQAD", "0014P00003AN2etQAD")</f>
        <v>0014P00003AN2etQAD</v>
      </c>
      <c r="B838" s="2" t="s">
        <v>2288</v>
      </c>
      <c r="C838" s="2" t="s">
        <v>423</v>
      </c>
      <c r="D838" s="2" t="s">
        <v>2</v>
      </c>
      <c r="E838" s="2">
        <v>85</v>
      </c>
      <c r="F838" s="2">
        <v>10</v>
      </c>
      <c r="G838" s="2">
        <v>4</v>
      </c>
      <c r="H838" s="2">
        <v>180000</v>
      </c>
      <c r="I838" s="2">
        <v>320</v>
      </c>
      <c r="J838" s="2" t="s">
        <v>1650</v>
      </c>
      <c r="K838" s="2">
        <v>75</v>
      </c>
      <c r="L838" s="2">
        <v>25</v>
      </c>
      <c r="M838" s="2">
        <v>10</v>
      </c>
      <c r="N838" s="2">
        <v>10</v>
      </c>
      <c r="O838" s="2">
        <v>15</v>
      </c>
      <c r="P838" s="2">
        <v>15</v>
      </c>
      <c r="Q838" s="2" t="s">
        <v>572</v>
      </c>
      <c r="R838" s="2" t="s">
        <v>572</v>
      </c>
      <c r="S838" s="4">
        <v>44837</v>
      </c>
    </row>
    <row r="839" spans="1:19" ht="12.5" x14ac:dyDescent="0.25">
      <c r="A839" s="14" t="str">
        <f>HYPERLINK("https://gerandofalcoes.my.salesforce.com/0014X00002VKCp3QAH", "0014X00002VKCp3QAH")</f>
        <v>0014X00002VKCp3QAH</v>
      </c>
      <c r="B839" s="2" t="s">
        <v>2247</v>
      </c>
      <c r="C839" s="2" t="s">
        <v>1800</v>
      </c>
      <c r="D839" s="2" t="s">
        <v>2</v>
      </c>
      <c r="E839" s="2">
        <v>31</v>
      </c>
      <c r="F839" s="2">
        <v>0</v>
      </c>
      <c r="G839" s="2">
        <v>3</v>
      </c>
      <c r="H839" s="2">
        <v>0</v>
      </c>
      <c r="I839" s="2">
        <v>0</v>
      </c>
      <c r="J839" s="2" t="s">
        <v>1779</v>
      </c>
      <c r="K839" s="2">
        <v>23</v>
      </c>
      <c r="L839" s="2">
        <v>15</v>
      </c>
      <c r="M839" s="2">
        <v>0</v>
      </c>
      <c r="N839" s="2">
        <v>8</v>
      </c>
      <c r="O839" s="2">
        <v>0</v>
      </c>
      <c r="P839" s="2">
        <v>0</v>
      </c>
      <c r="Q839" s="2" t="s">
        <v>2248</v>
      </c>
      <c r="R839" s="2" t="s">
        <v>2248</v>
      </c>
      <c r="S839" s="4">
        <v>44837</v>
      </c>
    </row>
    <row r="840" spans="1:19" ht="12.5" x14ac:dyDescent="0.25">
      <c r="A840" s="14" t="str">
        <f>HYPERLINK("https://gerandofalcoes.my.salesforce.com/0014X00002VKCsIQAX", "0014X00002VKCsIQAX")</f>
        <v>0014X00002VKCsIQAX</v>
      </c>
      <c r="B840" s="2" t="s">
        <v>2585</v>
      </c>
      <c r="C840" s="2" t="s">
        <v>423</v>
      </c>
      <c r="D840" s="2" t="s">
        <v>2</v>
      </c>
      <c r="E840" s="2">
        <v>28</v>
      </c>
      <c r="F840" s="2">
        <v>0</v>
      </c>
      <c r="G840" s="2">
        <v>890</v>
      </c>
      <c r="H840" s="2">
        <v>14400</v>
      </c>
      <c r="I840" s="2">
        <v>80</v>
      </c>
      <c r="J840" s="2" t="s">
        <v>1671</v>
      </c>
      <c r="K840" s="2">
        <v>40</v>
      </c>
      <c r="L840" s="2">
        <v>15</v>
      </c>
      <c r="M840" s="2">
        <v>0</v>
      </c>
      <c r="N840" s="2">
        <v>10</v>
      </c>
      <c r="O840" s="2">
        <v>5</v>
      </c>
      <c r="P840" s="2">
        <v>10</v>
      </c>
      <c r="Q840" s="2" t="s">
        <v>2586</v>
      </c>
      <c r="R840" s="2" t="s">
        <v>2587</v>
      </c>
      <c r="S840" s="4">
        <v>44837</v>
      </c>
    </row>
    <row r="841" spans="1:19" ht="12.5" x14ac:dyDescent="0.25">
      <c r="A841" s="14" t="str">
        <f>HYPERLINK("https://gerandofalcoes.my.salesforce.com/0014X00002VKCshQAH", "0014X00002VKCshQAH")</f>
        <v>0014X00002VKCshQAH</v>
      </c>
      <c r="B841" s="2" t="s">
        <v>2893</v>
      </c>
      <c r="C841" s="2" t="s">
        <v>423</v>
      </c>
      <c r="D841" s="2" t="s">
        <v>2</v>
      </c>
      <c r="E841" s="2">
        <v>25</v>
      </c>
      <c r="F841" s="2">
        <v>0</v>
      </c>
      <c r="G841" s="2">
        <v>2</v>
      </c>
      <c r="H841" s="2">
        <v>25000</v>
      </c>
      <c r="I841" s="2">
        <v>83</v>
      </c>
      <c r="J841" s="2" t="s">
        <v>1671</v>
      </c>
      <c r="K841" s="2">
        <v>41</v>
      </c>
      <c r="L841" s="2">
        <v>15</v>
      </c>
      <c r="M841" s="2">
        <v>0</v>
      </c>
      <c r="N841" s="2">
        <v>6</v>
      </c>
      <c r="O841" s="2">
        <v>10</v>
      </c>
      <c r="P841" s="2">
        <v>10</v>
      </c>
      <c r="Q841" s="2" t="s">
        <v>2894</v>
      </c>
      <c r="R841" s="2" t="s">
        <v>2895</v>
      </c>
      <c r="S841" s="4">
        <v>44837</v>
      </c>
    </row>
    <row r="842" spans="1:19" ht="12.5" x14ac:dyDescent="0.25">
      <c r="A842" s="14" t="str">
        <f>HYPERLINK("https://gerandofalcoes.my.salesforce.com/0014X00002VKCuEQAX", "0014X00002VKCuEQAX")</f>
        <v>0014X00002VKCuEQAX</v>
      </c>
      <c r="B842" s="2" t="s">
        <v>1977</v>
      </c>
      <c r="C842" s="2" t="s">
        <v>423</v>
      </c>
      <c r="D842" s="2" t="s">
        <v>2</v>
      </c>
      <c r="E842" s="2">
        <v>39.159999999999997</v>
      </c>
      <c r="F842" s="2">
        <v>5</v>
      </c>
      <c r="G842" s="2">
        <v>4</v>
      </c>
      <c r="H842" s="2">
        <v>120000</v>
      </c>
      <c r="I842" s="2">
        <v>5</v>
      </c>
      <c r="J842" s="2" t="s">
        <v>1671</v>
      </c>
      <c r="K842" s="2">
        <v>50</v>
      </c>
      <c r="L842" s="2">
        <v>15</v>
      </c>
      <c r="M842" s="2">
        <v>5</v>
      </c>
      <c r="N842" s="2">
        <v>10</v>
      </c>
      <c r="O842" s="2">
        <v>15</v>
      </c>
      <c r="P842" s="2">
        <v>5</v>
      </c>
      <c r="Q842" s="2" t="s">
        <v>1978</v>
      </c>
      <c r="R842" s="2" t="s">
        <v>1979</v>
      </c>
      <c r="S842" s="4">
        <v>44837</v>
      </c>
    </row>
    <row r="843" spans="1:19" ht="12.5" x14ac:dyDescent="0.25">
      <c r="A843" s="14" t="str">
        <f>HYPERLINK("https://gerandofalcoes.my.salesforce.com/0014X00002VKCsjQAH", "0014X00002VKCsjQAH")</f>
        <v>0014X00002VKCsjQAH</v>
      </c>
      <c r="B843" s="2" t="s">
        <v>2576</v>
      </c>
      <c r="C843" s="2" t="s">
        <v>423</v>
      </c>
      <c r="D843" s="2" t="s">
        <v>2</v>
      </c>
      <c r="E843" s="2">
        <v>49</v>
      </c>
      <c r="F843" s="2">
        <v>0</v>
      </c>
      <c r="G843" s="2">
        <v>1</v>
      </c>
      <c r="H843" s="2">
        <v>1251382</v>
      </c>
      <c r="I843" s="2">
        <v>0</v>
      </c>
      <c r="J843" s="2" t="s">
        <v>1779</v>
      </c>
      <c r="K843" s="2">
        <v>29</v>
      </c>
      <c r="L843" s="2">
        <v>0</v>
      </c>
      <c r="M843" s="2">
        <v>0</v>
      </c>
      <c r="N843" s="2">
        <v>4</v>
      </c>
      <c r="O843" s="2">
        <v>25</v>
      </c>
      <c r="P843" s="2">
        <v>0</v>
      </c>
      <c r="Q843" s="2" t="s">
        <v>2577</v>
      </c>
      <c r="R843" s="2" t="s">
        <v>2578</v>
      </c>
      <c r="S843" s="4">
        <v>44837</v>
      </c>
    </row>
    <row r="844" spans="1:19" ht="12.5" x14ac:dyDescent="0.25">
      <c r="A844" s="14" t="str">
        <f>HYPERLINK("https://gerandofalcoes.my.salesforce.com/0014X00002VKCsyQAH", "0014X00002VKCsyQAH")</f>
        <v>0014X00002VKCsyQAH</v>
      </c>
      <c r="B844" s="2" t="s">
        <v>1877</v>
      </c>
      <c r="C844" s="2" t="s">
        <v>423</v>
      </c>
      <c r="D844" s="2" t="s">
        <v>2</v>
      </c>
      <c r="E844" s="2">
        <v>44.41</v>
      </c>
      <c r="F844" s="2">
        <v>0</v>
      </c>
      <c r="G844" s="2">
        <v>2</v>
      </c>
      <c r="H844" s="2">
        <v>9000</v>
      </c>
      <c r="I844" s="2">
        <v>157</v>
      </c>
      <c r="J844" s="2" t="s">
        <v>1779</v>
      </c>
      <c r="K844" s="2">
        <v>38</v>
      </c>
      <c r="L844" s="2">
        <v>15</v>
      </c>
      <c r="M844" s="2">
        <v>0</v>
      </c>
      <c r="N844" s="2">
        <v>6</v>
      </c>
      <c r="O844" s="2">
        <v>5</v>
      </c>
      <c r="P844" s="2">
        <v>12</v>
      </c>
      <c r="Q844" s="2" t="s">
        <v>1878</v>
      </c>
      <c r="R844" s="2" t="s">
        <v>1878</v>
      </c>
      <c r="S844" s="4">
        <v>44837</v>
      </c>
    </row>
    <row r="845" spans="1:19" ht="12.5" x14ac:dyDescent="0.25">
      <c r="A845" s="14" t="str">
        <f>HYPERLINK("https://gerandofalcoes.my.salesforce.com/0014X00002VKCt7QAH", "0014X00002VKCt7QAH")</f>
        <v>0014X00002VKCt7QAH</v>
      </c>
      <c r="B845" s="2" t="s">
        <v>2410</v>
      </c>
      <c r="C845" s="2" t="s">
        <v>1800</v>
      </c>
      <c r="D845" s="2" t="s">
        <v>2</v>
      </c>
      <c r="E845" s="2">
        <v>25</v>
      </c>
      <c r="F845" s="2">
        <v>0</v>
      </c>
      <c r="G845" s="2">
        <v>3</v>
      </c>
      <c r="H845" s="2">
        <v>11000</v>
      </c>
      <c r="I845" s="2">
        <v>100</v>
      </c>
      <c r="J845" s="2" t="s">
        <v>1779</v>
      </c>
      <c r="K845" s="2">
        <v>38</v>
      </c>
      <c r="L845" s="2">
        <v>15</v>
      </c>
      <c r="M845" s="2">
        <v>0</v>
      </c>
      <c r="N845" s="2">
        <v>8</v>
      </c>
      <c r="O845" s="2">
        <v>5</v>
      </c>
      <c r="P845" s="2">
        <v>10</v>
      </c>
      <c r="Q845" s="2" t="s">
        <v>2411</v>
      </c>
      <c r="R845" s="2" t="s">
        <v>2412</v>
      </c>
      <c r="S845" s="4">
        <v>44837</v>
      </c>
    </row>
    <row r="846" spans="1:19" ht="12.5" x14ac:dyDescent="0.25">
      <c r="A846" s="14" t="str">
        <f>HYPERLINK("https://gerandofalcoes.my.salesforce.com/0014X00002VKCtYQAX", "0014X00002VKCtYQAX")</f>
        <v>0014X00002VKCtYQAX</v>
      </c>
      <c r="B846" s="2" t="s">
        <v>2125</v>
      </c>
      <c r="C846" s="2" t="s">
        <v>423</v>
      </c>
      <c r="D846" s="2" t="s">
        <v>2</v>
      </c>
      <c r="E846" s="2">
        <v>34.43</v>
      </c>
      <c r="F846" s="2">
        <v>3</v>
      </c>
      <c r="G846" s="2">
        <v>2</v>
      </c>
      <c r="H846" s="2">
        <v>7000</v>
      </c>
      <c r="I846" s="2">
        <v>70</v>
      </c>
      <c r="J846" s="2" t="s">
        <v>1779</v>
      </c>
      <c r="K846" s="2">
        <v>36</v>
      </c>
      <c r="L846" s="2">
        <v>15</v>
      </c>
      <c r="M846" s="2">
        <v>5</v>
      </c>
      <c r="N846" s="2">
        <v>6</v>
      </c>
      <c r="O846" s="2">
        <v>5</v>
      </c>
      <c r="P846" s="2">
        <v>5</v>
      </c>
      <c r="Q846" s="2" t="s">
        <v>2126</v>
      </c>
      <c r="R846" s="2" t="s">
        <v>2126</v>
      </c>
      <c r="S846" s="4">
        <v>44837</v>
      </c>
    </row>
    <row r="847" spans="1:19" ht="12.5" x14ac:dyDescent="0.25">
      <c r="A847" s="14" t="str">
        <f>HYPERLINK("https://gerandofalcoes.my.salesforce.com/0014X00002VKCp9QAH", "0014X00002VKCp9QAH")</f>
        <v>0014X00002VKCp9QAH</v>
      </c>
      <c r="B847" s="2" t="s">
        <v>2384</v>
      </c>
      <c r="C847" s="2" t="s">
        <v>1800</v>
      </c>
      <c r="D847" s="2" t="s">
        <v>2</v>
      </c>
      <c r="E847" s="2">
        <v>26</v>
      </c>
      <c r="F847" s="2">
        <v>17</v>
      </c>
      <c r="G847" s="2">
        <v>5</v>
      </c>
      <c r="H847" s="2">
        <v>0</v>
      </c>
      <c r="I847" s="2">
        <v>0</v>
      </c>
      <c r="J847" s="2" t="s">
        <v>1779</v>
      </c>
      <c r="K847" s="2">
        <v>37</v>
      </c>
      <c r="L847" s="2">
        <v>15</v>
      </c>
      <c r="M847" s="2">
        <v>12</v>
      </c>
      <c r="N847" s="2">
        <v>10</v>
      </c>
      <c r="O847" s="2">
        <v>0</v>
      </c>
      <c r="P847" s="2">
        <v>0</v>
      </c>
      <c r="Q847" s="2" t="s">
        <v>2385</v>
      </c>
      <c r="R847" s="2" t="s">
        <v>2386</v>
      </c>
      <c r="S847" s="4">
        <v>44837</v>
      </c>
    </row>
    <row r="848" spans="1:19" ht="12.5" x14ac:dyDescent="0.25">
      <c r="A848" s="14" t="str">
        <f>HYPERLINK("https://gerandofalcoes.my.salesforce.com/0014X00002VKCqCQAX", "0014X00002VKCqCQAX")</f>
        <v>0014X00002VKCqCQAX</v>
      </c>
      <c r="B848" s="2" t="s">
        <v>2853</v>
      </c>
      <c r="C848" s="2" t="s">
        <v>423</v>
      </c>
      <c r="D848" s="2" t="s">
        <v>2</v>
      </c>
      <c r="E848" s="2">
        <v>18</v>
      </c>
      <c r="F848" s="2">
        <v>0</v>
      </c>
      <c r="G848" s="2">
        <v>0</v>
      </c>
      <c r="H848" s="2">
        <v>63000</v>
      </c>
      <c r="I848" s="2">
        <v>49</v>
      </c>
      <c r="J848" s="2" t="s">
        <v>1779</v>
      </c>
      <c r="K848" s="2">
        <v>25</v>
      </c>
      <c r="L848" s="2">
        <v>10</v>
      </c>
      <c r="M848" s="2">
        <v>0</v>
      </c>
      <c r="N848" s="2">
        <v>0</v>
      </c>
      <c r="O848" s="2">
        <v>10</v>
      </c>
      <c r="P848" s="2">
        <v>5</v>
      </c>
      <c r="Q848" s="2" t="s">
        <v>2854</v>
      </c>
      <c r="R848" s="2" t="s">
        <v>2855</v>
      </c>
      <c r="S848" s="4">
        <v>44837</v>
      </c>
    </row>
    <row r="849" spans="1:19" ht="12.5" x14ac:dyDescent="0.25">
      <c r="A849" s="14" t="str">
        <f>HYPERLINK("https://gerandofalcoes.my.salesforce.com/0014X00002VKCqAQAX", "0014X00002VKCqAQAX")</f>
        <v>0014X00002VKCqAQAX</v>
      </c>
      <c r="B849" s="2" t="s">
        <v>2912</v>
      </c>
      <c r="C849" s="2" t="s">
        <v>423</v>
      </c>
      <c r="D849" s="2" t="s">
        <v>2</v>
      </c>
      <c r="E849" s="2">
        <v>30</v>
      </c>
      <c r="F849" s="2">
        <v>7</v>
      </c>
      <c r="G849" s="2">
        <v>1</v>
      </c>
      <c r="H849" s="2">
        <v>78000</v>
      </c>
      <c r="I849" s="2">
        <v>250</v>
      </c>
      <c r="J849" s="2" t="s">
        <v>1671</v>
      </c>
      <c r="K849" s="2">
        <v>51</v>
      </c>
      <c r="L849" s="2">
        <v>15</v>
      </c>
      <c r="M849" s="2">
        <v>10</v>
      </c>
      <c r="N849" s="2">
        <v>4</v>
      </c>
      <c r="O849" s="2">
        <v>10</v>
      </c>
      <c r="P849" s="2">
        <v>12</v>
      </c>
      <c r="Q849" s="2" t="s">
        <v>2913</v>
      </c>
      <c r="R849" s="2" t="s">
        <v>2913</v>
      </c>
      <c r="S849" s="4">
        <v>44837</v>
      </c>
    </row>
    <row r="850" spans="1:19" ht="12.5" x14ac:dyDescent="0.25">
      <c r="A850" s="14" t="str">
        <f>HYPERLINK("https://gerandofalcoes.my.salesforce.com/0014X00002VKCsEQAX", "0014X00002VKCsEQAX")</f>
        <v>0014X00002VKCsEQAX</v>
      </c>
      <c r="B850" s="2" t="s">
        <v>2051</v>
      </c>
      <c r="C850" s="2" t="s">
        <v>1800</v>
      </c>
      <c r="D850" s="2" t="s">
        <v>2</v>
      </c>
      <c r="E850" s="2">
        <v>37</v>
      </c>
      <c r="F850" s="2">
        <v>2</v>
      </c>
      <c r="G850" s="2">
        <v>3</v>
      </c>
      <c r="H850" s="2">
        <v>1000</v>
      </c>
      <c r="I850" s="2">
        <v>30</v>
      </c>
      <c r="J850" s="2" t="s">
        <v>1779</v>
      </c>
      <c r="K850" s="2">
        <v>38</v>
      </c>
      <c r="L850" s="2">
        <v>15</v>
      </c>
      <c r="M850" s="2">
        <v>5</v>
      </c>
      <c r="N850" s="2">
        <v>8</v>
      </c>
      <c r="O850" s="2">
        <v>5</v>
      </c>
      <c r="P850" s="2">
        <v>5</v>
      </c>
      <c r="Q850" s="2" t="s">
        <v>2052</v>
      </c>
      <c r="R850" s="2" t="s">
        <v>2053</v>
      </c>
      <c r="S850" s="4">
        <v>44837</v>
      </c>
    </row>
    <row r="851" spans="1:19" ht="12.5" x14ac:dyDescent="0.25">
      <c r="A851" s="14" t="str">
        <f>HYPERLINK("https://gerandofalcoes.my.salesforce.com/0014X00002VKCr6QAH", "0014X00002VKCr6QAH")</f>
        <v>0014X00002VKCr6QAH</v>
      </c>
      <c r="B851" s="2" t="s">
        <v>1932</v>
      </c>
      <c r="C851" s="2" t="s">
        <v>423</v>
      </c>
      <c r="D851" s="2" t="s">
        <v>2</v>
      </c>
      <c r="E851" s="2">
        <v>37</v>
      </c>
      <c r="F851" s="2">
        <v>7</v>
      </c>
      <c r="G851" s="2">
        <v>1</v>
      </c>
      <c r="H851" s="2">
        <v>72000000</v>
      </c>
      <c r="I851" s="2">
        <v>5000</v>
      </c>
      <c r="J851" s="2" t="s">
        <v>1650</v>
      </c>
      <c r="K851" s="2">
        <v>74</v>
      </c>
      <c r="L851" s="2">
        <v>15</v>
      </c>
      <c r="M851" s="2">
        <v>10</v>
      </c>
      <c r="N851" s="2">
        <v>4</v>
      </c>
      <c r="O851" s="2">
        <v>25</v>
      </c>
      <c r="P851" s="2">
        <v>20</v>
      </c>
      <c r="Q851" s="2" t="s">
        <v>1933</v>
      </c>
      <c r="R851" s="2" t="s">
        <v>1934</v>
      </c>
      <c r="S851" s="4">
        <v>44837</v>
      </c>
    </row>
    <row r="852" spans="1:19" ht="12.5" x14ac:dyDescent="0.25">
      <c r="A852" s="14" t="str">
        <f>HYPERLINK("https://gerandofalcoes.my.salesforce.com/0014X00002VKCphQAH", "0014X00002VKCphQAH")</f>
        <v>0014X00002VKCphQAH</v>
      </c>
      <c r="B852" s="2" t="s">
        <v>2298</v>
      </c>
      <c r="C852" s="2" t="s">
        <v>1800</v>
      </c>
      <c r="D852" s="2" t="s">
        <v>2</v>
      </c>
      <c r="E852" s="2">
        <v>29</v>
      </c>
      <c r="F852" s="2">
        <v>0</v>
      </c>
      <c r="G852" s="2">
        <v>3</v>
      </c>
      <c r="H852" s="2">
        <v>30000</v>
      </c>
      <c r="I852" s="2">
        <v>150</v>
      </c>
      <c r="J852" s="2" t="s">
        <v>1671</v>
      </c>
      <c r="K852" s="2">
        <v>45</v>
      </c>
      <c r="L852" s="2">
        <v>15</v>
      </c>
      <c r="M852" s="2">
        <v>0</v>
      </c>
      <c r="N852" s="2">
        <v>8</v>
      </c>
      <c r="O852" s="2">
        <v>10</v>
      </c>
      <c r="P852" s="2">
        <v>12</v>
      </c>
      <c r="Q852" s="2" t="s">
        <v>2299</v>
      </c>
      <c r="R852" s="2" t="s">
        <v>2300</v>
      </c>
      <c r="S852" s="4">
        <v>44837</v>
      </c>
    </row>
    <row r="853" spans="1:19" ht="12.5" x14ac:dyDescent="0.25">
      <c r="A853" s="14" t="str">
        <f>HYPERLINK("https://gerandofalcoes.my.salesforce.com/0014X00002VKCp8QAH", "0014X00002VKCp8QAH")</f>
        <v>0014X00002VKCp8QAH</v>
      </c>
      <c r="B853" s="2" t="s">
        <v>1819</v>
      </c>
      <c r="C853" s="2" t="s">
        <v>423</v>
      </c>
      <c r="D853" s="2" t="s">
        <v>2</v>
      </c>
      <c r="E853" s="2">
        <v>55</v>
      </c>
      <c r="F853" s="2">
        <v>2</v>
      </c>
      <c r="G853" s="2">
        <v>2</v>
      </c>
      <c r="H853" s="2">
        <v>63000</v>
      </c>
      <c r="I853" s="2">
        <v>100</v>
      </c>
      <c r="J853" s="2" t="s">
        <v>1671</v>
      </c>
      <c r="K853" s="2">
        <v>51</v>
      </c>
      <c r="L853" s="2">
        <v>20</v>
      </c>
      <c r="M853" s="2">
        <v>5</v>
      </c>
      <c r="N853" s="2">
        <v>6</v>
      </c>
      <c r="O853" s="2">
        <v>10</v>
      </c>
      <c r="P853" s="2">
        <v>10</v>
      </c>
      <c r="Q853" s="2" t="s">
        <v>1820</v>
      </c>
      <c r="R853" s="2" t="s">
        <v>1821</v>
      </c>
      <c r="S853" s="4">
        <v>44837</v>
      </c>
    </row>
    <row r="854" spans="1:19" ht="12.5" x14ac:dyDescent="0.25">
      <c r="A854" s="14" t="str">
        <f>HYPERLINK("https://gerandofalcoes.my.salesforce.com/0014X00002VKCszQAH", "0014X00002VKCszQAH")</f>
        <v>0014X00002VKCszQAH</v>
      </c>
      <c r="B854" s="2" t="s">
        <v>2473</v>
      </c>
      <c r="C854" s="2" t="s">
        <v>423</v>
      </c>
      <c r="D854" s="2" t="s">
        <v>2</v>
      </c>
      <c r="E854" s="2">
        <v>22.35</v>
      </c>
      <c r="F854" s="2">
        <v>0</v>
      </c>
      <c r="G854" s="2">
        <v>3</v>
      </c>
      <c r="H854" s="2">
        <v>116114</v>
      </c>
      <c r="I854" s="2">
        <v>35</v>
      </c>
      <c r="J854" s="2" t="s">
        <v>1779</v>
      </c>
      <c r="K854" s="2">
        <v>38</v>
      </c>
      <c r="L854" s="2">
        <v>10</v>
      </c>
      <c r="M854" s="2">
        <v>0</v>
      </c>
      <c r="N854" s="2">
        <v>8</v>
      </c>
      <c r="O854" s="2">
        <v>15</v>
      </c>
      <c r="P854" s="2">
        <v>5</v>
      </c>
      <c r="Q854" s="2" t="s">
        <v>2474</v>
      </c>
      <c r="R854" s="2" t="s">
        <v>2475</v>
      </c>
      <c r="S854" s="4">
        <v>44837</v>
      </c>
    </row>
    <row r="855" spans="1:19" ht="12.5" x14ac:dyDescent="0.25">
      <c r="A855" s="14" t="str">
        <f>HYPERLINK("https://gerandofalcoes.my.salesforce.com/0014X00002VKCpBQAX", "0014X00002VKCpBQAX")</f>
        <v>0014X00002VKCpBQAX</v>
      </c>
      <c r="B855" s="2" t="s">
        <v>2504</v>
      </c>
      <c r="C855" s="2" t="s">
        <v>423</v>
      </c>
      <c r="D855" s="2" t="s">
        <v>2</v>
      </c>
      <c r="E855" s="2">
        <v>24</v>
      </c>
      <c r="F855" s="2">
        <v>0</v>
      </c>
      <c r="G855" s="2">
        <v>3</v>
      </c>
      <c r="H855" s="2">
        <v>128350</v>
      </c>
      <c r="I855" s="2">
        <v>160</v>
      </c>
      <c r="J855" s="2" t="s">
        <v>1671</v>
      </c>
      <c r="K855" s="2">
        <v>45</v>
      </c>
      <c r="L855" s="2">
        <v>10</v>
      </c>
      <c r="M855" s="2">
        <v>0</v>
      </c>
      <c r="N855" s="2">
        <v>8</v>
      </c>
      <c r="O855" s="2">
        <v>15</v>
      </c>
      <c r="P855" s="2">
        <v>12</v>
      </c>
      <c r="Q855" s="2" t="s">
        <v>2505</v>
      </c>
      <c r="R855" s="2" t="s">
        <v>2505</v>
      </c>
      <c r="S855" s="4">
        <v>44837</v>
      </c>
    </row>
    <row r="856" spans="1:19" ht="12.5" x14ac:dyDescent="0.25">
      <c r="A856" s="14" t="str">
        <f>HYPERLINK("https://gerandofalcoes.my.salesforce.com/0014X00002VKCtrQAH", "0014X00002VKCtrQAH")</f>
        <v>0014X00002VKCtrQAH</v>
      </c>
      <c r="B856" s="2" t="s">
        <v>1969</v>
      </c>
      <c r="C856" s="2" t="s">
        <v>1800</v>
      </c>
      <c r="D856" s="2" t="s">
        <v>2</v>
      </c>
      <c r="E856" s="2">
        <v>40</v>
      </c>
      <c r="F856" s="2">
        <v>0</v>
      </c>
      <c r="G856" s="2">
        <v>2</v>
      </c>
      <c r="H856" s="2">
        <v>0</v>
      </c>
      <c r="I856" s="2">
        <v>0</v>
      </c>
      <c r="J856" s="2" t="s">
        <v>1779</v>
      </c>
      <c r="K856" s="2">
        <v>21</v>
      </c>
      <c r="L856" s="2">
        <v>15</v>
      </c>
      <c r="M856" s="2">
        <v>0</v>
      </c>
      <c r="N856" s="2">
        <v>6</v>
      </c>
      <c r="O856" s="2">
        <v>0</v>
      </c>
      <c r="P856" s="2">
        <v>0</v>
      </c>
      <c r="Q856" s="2" t="s">
        <v>1970</v>
      </c>
      <c r="R856" s="2" t="s">
        <v>1971</v>
      </c>
      <c r="S856" s="4">
        <v>44837</v>
      </c>
    </row>
    <row r="857" spans="1:19" ht="12.5" x14ac:dyDescent="0.25">
      <c r="A857" s="14" t="str">
        <f>HYPERLINK("https://gerandofalcoes.my.salesforce.com/0014X00002VKCuHQAX", "0014X00002VKCuHQAX")</f>
        <v>0014X00002VKCuHQAX</v>
      </c>
      <c r="B857" s="2" t="s">
        <v>2606</v>
      </c>
      <c r="C857" s="2" t="s">
        <v>423</v>
      </c>
      <c r="D857" s="2" t="s">
        <v>2</v>
      </c>
      <c r="E857" s="2">
        <v>19</v>
      </c>
      <c r="F857" s="2">
        <v>0</v>
      </c>
      <c r="G857" s="2">
        <v>2</v>
      </c>
      <c r="H857" s="2">
        <v>25500</v>
      </c>
      <c r="I857" s="2">
        <v>30</v>
      </c>
      <c r="J857" s="2" t="s">
        <v>1779</v>
      </c>
      <c r="K857" s="2">
        <v>31</v>
      </c>
      <c r="L857" s="2">
        <v>10</v>
      </c>
      <c r="M857" s="2">
        <v>0</v>
      </c>
      <c r="N857" s="2">
        <v>6</v>
      </c>
      <c r="O857" s="2">
        <v>10</v>
      </c>
      <c r="P857" s="2">
        <v>5</v>
      </c>
      <c r="Q857" s="2" t="s">
        <v>2607</v>
      </c>
      <c r="R857" s="2" t="s">
        <v>2608</v>
      </c>
      <c r="S857" s="4">
        <v>44837</v>
      </c>
    </row>
    <row r="858" spans="1:19" ht="12.5" x14ac:dyDescent="0.25">
      <c r="A858" s="14" t="str">
        <f>HYPERLINK("https://gerandofalcoes.my.salesforce.com/0014X00002VKCqbQAH", "0014X00002VKCqbQAH")</f>
        <v>0014X00002VKCqbQAH</v>
      </c>
      <c r="B858" s="2" t="s">
        <v>2040</v>
      </c>
      <c r="C858" s="2" t="s">
        <v>423</v>
      </c>
      <c r="D858" s="2" t="s">
        <v>2</v>
      </c>
      <c r="E858" s="2">
        <v>37</v>
      </c>
      <c r="F858" s="2">
        <v>0</v>
      </c>
      <c r="G858" s="2">
        <v>3</v>
      </c>
      <c r="H858" s="2">
        <v>70000</v>
      </c>
      <c r="I858" s="2">
        <v>100</v>
      </c>
      <c r="J858" s="2" t="s">
        <v>1671</v>
      </c>
      <c r="K858" s="2">
        <v>43</v>
      </c>
      <c r="L858" s="2">
        <v>15</v>
      </c>
      <c r="M858" s="2">
        <v>0</v>
      </c>
      <c r="N858" s="2">
        <v>8</v>
      </c>
      <c r="O858" s="2">
        <v>10</v>
      </c>
      <c r="P858" s="2">
        <v>10</v>
      </c>
      <c r="Q858" s="2" t="s">
        <v>2041</v>
      </c>
      <c r="R858" s="2" t="s">
        <v>2042</v>
      </c>
      <c r="S858" s="4">
        <v>44837</v>
      </c>
    </row>
    <row r="859" spans="1:19" ht="12.5" x14ac:dyDescent="0.25">
      <c r="A859" s="14" t="str">
        <f>HYPERLINK("https://gerandofalcoes.my.salesforce.com/0014X00002VKCsnQAH", "0014X00002VKCsnQAH")</f>
        <v>0014X00002VKCsnQAH</v>
      </c>
      <c r="B859" s="2" t="s">
        <v>1899</v>
      </c>
      <c r="C859" s="2" t="s">
        <v>423</v>
      </c>
      <c r="D859" s="2" t="s">
        <v>2</v>
      </c>
      <c r="E859" s="2">
        <v>55</v>
      </c>
      <c r="F859" s="2">
        <v>7</v>
      </c>
      <c r="G859" s="2">
        <v>6</v>
      </c>
      <c r="H859" s="2">
        <v>130175</v>
      </c>
      <c r="I859" s="2">
        <v>120</v>
      </c>
      <c r="J859" s="2" t="s">
        <v>1650</v>
      </c>
      <c r="K859" s="2">
        <v>65</v>
      </c>
      <c r="L859" s="2">
        <v>20</v>
      </c>
      <c r="M859" s="2">
        <v>10</v>
      </c>
      <c r="N859" s="2">
        <v>10</v>
      </c>
      <c r="O859" s="2">
        <v>15</v>
      </c>
      <c r="P859" s="2">
        <v>10</v>
      </c>
      <c r="Q859" s="2" t="s">
        <v>1900</v>
      </c>
      <c r="R859" s="2" t="s">
        <v>1901</v>
      </c>
      <c r="S859" s="4">
        <v>44837</v>
      </c>
    </row>
    <row r="860" spans="1:19" ht="12.5" x14ac:dyDescent="0.25">
      <c r="A860" s="14" t="str">
        <f>HYPERLINK("https://gerandofalcoes.my.salesforce.com/0014X00002VKCqSQAX", "0014X00002VKCqSQAX")</f>
        <v>0014X00002VKCqSQAX</v>
      </c>
      <c r="B860" s="2" t="s">
        <v>2197</v>
      </c>
      <c r="C860" s="2" t="s">
        <v>1800</v>
      </c>
      <c r="D860" s="2" t="s">
        <v>2</v>
      </c>
      <c r="E860" s="2">
        <v>33</v>
      </c>
      <c r="F860" s="2">
        <v>0</v>
      </c>
      <c r="G860" s="2">
        <v>3</v>
      </c>
      <c r="H860" s="2">
        <v>2160</v>
      </c>
      <c r="I860" s="2">
        <v>0</v>
      </c>
      <c r="J860" s="2" t="s">
        <v>1779</v>
      </c>
      <c r="K860" s="2">
        <v>28</v>
      </c>
      <c r="L860" s="2">
        <v>15</v>
      </c>
      <c r="M860" s="2">
        <v>0</v>
      </c>
      <c r="N860" s="2">
        <v>8</v>
      </c>
      <c r="O860" s="2">
        <v>5</v>
      </c>
      <c r="P860" s="2">
        <v>0</v>
      </c>
      <c r="Q860" s="2" t="s">
        <v>2198</v>
      </c>
      <c r="R860" s="2" t="s">
        <v>2199</v>
      </c>
      <c r="S860" s="4">
        <v>44837</v>
      </c>
    </row>
    <row r="861" spans="1:19" ht="12.5" x14ac:dyDescent="0.25">
      <c r="A861" s="14" t="str">
        <f>HYPERLINK("https://gerandofalcoes.my.salesforce.com/0014X00002VKCubQAH", "0014X00002VKCubQAH")</f>
        <v>0014X00002VKCubQAH</v>
      </c>
      <c r="B861" s="2" t="s">
        <v>2062</v>
      </c>
      <c r="C861" s="2" t="s">
        <v>423</v>
      </c>
      <c r="D861" s="2" t="s">
        <v>2</v>
      </c>
      <c r="E861" s="2">
        <v>37</v>
      </c>
      <c r="F861" s="2">
        <v>3</v>
      </c>
      <c r="G861" s="2">
        <v>3</v>
      </c>
      <c r="H861" s="2">
        <v>3000</v>
      </c>
      <c r="I861" s="2">
        <v>0</v>
      </c>
      <c r="J861" s="2" t="s">
        <v>1779</v>
      </c>
      <c r="K861" s="2">
        <v>33</v>
      </c>
      <c r="L861" s="2">
        <v>15</v>
      </c>
      <c r="M861" s="2">
        <v>5</v>
      </c>
      <c r="N861" s="2">
        <v>8</v>
      </c>
      <c r="O861" s="2">
        <v>5</v>
      </c>
      <c r="P861" s="2">
        <v>0</v>
      </c>
      <c r="Q861" s="2" t="s">
        <v>2063</v>
      </c>
      <c r="R861" s="2" t="s">
        <v>2064</v>
      </c>
      <c r="S861" s="4">
        <v>44837</v>
      </c>
    </row>
    <row r="862" spans="1:19" ht="12.5" x14ac:dyDescent="0.25">
      <c r="A862" s="14" t="str">
        <f>HYPERLINK("https://gerandofalcoes.my.salesforce.com/0014X00002VKCsOQAX", "0014X00002VKCsOQAX")</f>
        <v>0014X00002VKCsOQAX</v>
      </c>
      <c r="B862" s="2" t="s">
        <v>1858</v>
      </c>
      <c r="C862" s="2" t="s">
        <v>423</v>
      </c>
      <c r="D862" s="2" t="s">
        <v>2</v>
      </c>
      <c r="E862" s="2">
        <v>46</v>
      </c>
      <c r="F862" s="2">
        <v>0</v>
      </c>
      <c r="G862" s="2">
        <v>3</v>
      </c>
      <c r="H862" s="2">
        <v>10000</v>
      </c>
      <c r="I862" s="2">
        <v>110</v>
      </c>
      <c r="J862" s="2" t="s">
        <v>1779</v>
      </c>
      <c r="K862" s="2">
        <v>38</v>
      </c>
      <c r="L862" s="2">
        <v>15</v>
      </c>
      <c r="M862" s="2">
        <v>0</v>
      </c>
      <c r="N862" s="2">
        <v>8</v>
      </c>
      <c r="O862" s="2">
        <v>5</v>
      </c>
      <c r="P862" s="2">
        <v>10</v>
      </c>
      <c r="Q862" s="2" t="s">
        <v>1859</v>
      </c>
      <c r="R862" s="2" t="s">
        <v>1860</v>
      </c>
      <c r="S862" s="4">
        <v>44837</v>
      </c>
    </row>
    <row r="863" spans="1:19" ht="12.5" x14ac:dyDescent="0.25">
      <c r="A863" s="14" t="str">
        <f>HYPERLINK("https://gerandofalcoes.my.salesforce.com/0014X00002VKCuuQAH", "0014X00002VKCuuQAH")</f>
        <v>0014X00002VKCuuQAH</v>
      </c>
      <c r="B863" s="2" t="s">
        <v>2933</v>
      </c>
      <c r="C863" s="2" t="s">
        <v>423</v>
      </c>
      <c r="D863" s="2" t="s">
        <v>2</v>
      </c>
      <c r="E863" s="2">
        <v>6</v>
      </c>
      <c r="F863" s="2">
        <v>5</v>
      </c>
      <c r="G863" s="2">
        <v>5</v>
      </c>
      <c r="H863" s="2">
        <v>0</v>
      </c>
      <c r="I863" s="2">
        <v>220</v>
      </c>
      <c r="J863" s="2" t="s">
        <v>1779</v>
      </c>
      <c r="K863" s="2">
        <v>37</v>
      </c>
      <c r="L863" s="2">
        <v>10</v>
      </c>
      <c r="M863" s="2">
        <v>5</v>
      </c>
      <c r="N863" s="2">
        <v>10</v>
      </c>
      <c r="O863" s="2">
        <v>0</v>
      </c>
      <c r="P863" s="2">
        <v>12</v>
      </c>
      <c r="Q863" s="2" t="s">
        <v>2934</v>
      </c>
      <c r="R863" s="2" t="s">
        <v>2934</v>
      </c>
      <c r="S863" s="4">
        <v>44837</v>
      </c>
    </row>
    <row r="864" spans="1:19" ht="12.5" x14ac:dyDescent="0.25">
      <c r="A864" s="14" t="str">
        <f>HYPERLINK("https://gerandofalcoes.my.salesforce.com/0014X00002VKCv6QAH", "0014X00002VKCv6QAH")</f>
        <v>0014X00002VKCv6QAH</v>
      </c>
      <c r="B864" s="2" t="s">
        <v>2941</v>
      </c>
      <c r="C864" s="2" t="s">
        <v>423</v>
      </c>
      <c r="D864" s="2" t="s">
        <v>2</v>
      </c>
      <c r="E864" s="2">
        <v>29</v>
      </c>
      <c r="F864" s="2">
        <v>0</v>
      </c>
      <c r="G864" s="2">
        <v>0</v>
      </c>
      <c r="H864" s="2">
        <v>0</v>
      </c>
      <c r="I864" s="2">
        <v>44</v>
      </c>
      <c r="J864" s="2" t="s">
        <v>1779</v>
      </c>
      <c r="K864" s="2">
        <v>20</v>
      </c>
      <c r="L864" s="2">
        <v>15</v>
      </c>
      <c r="M864" s="2">
        <v>0</v>
      </c>
      <c r="N864" s="2">
        <v>0</v>
      </c>
      <c r="O864" s="2">
        <v>0</v>
      </c>
      <c r="P864" s="2">
        <v>5</v>
      </c>
      <c r="Q864" s="2" t="s">
        <v>2942</v>
      </c>
      <c r="R864" s="2" t="s">
        <v>2943</v>
      </c>
      <c r="S864" s="4">
        <v>44837</v>
      </c>
    </row>
    <row r="865" spans="1:19" ht="12.5" x14ac:dyDescent="0.25">
      <c r="A865" s="14" t="str">
        <f>HYPERLINK("https://gerandofalcoes.my.salesforce.com/0014P00003AN2h4QAD", "0014P00003AN2h4QAD")</f>
        <v>0014P00003AN2h4QAD</v>
      </c>
      <c r="B865" s="2" t="s">
        <v>1698</v>
      </c>
      <c r="C865" s="2" t="s">
        <v>423</v>
      </c>
      <c r="D865" s="2" t="s">
        <v>2</v>
      </c>
      <c r="E865" s="2">
        <v>84.3</v>
      </c>
      <c r="F865" s="2">
        <v>10</v>
      </c>
      <c r="G865" s="2">
        <v>5</v>
      </c>
      <c r="H865" s="2">
        <v>450000</v>
      </c>
      <c r="I865" s="2">
        <v>106</v>
      </c>
      <c r="J865" s="2" t="s">
        <v>1650</v>
      </c>
      <c r="K865" s="2">
        <v>75</v>
      </c>
      <c r="L865" s="2">
        <v>25</v>
      </c>
      <c r="M865" s="2">
        <v>10</v>
      </c>
      <c r="N865" s="2">
        <v>10</v>
      </c>
      <c r="O865" s="2">
        <v>20</v>
      </c>
      <c r="P865" s="2">
        <v>10</v>
      </c>
      <c r="Q865" s="2" t="s">
        <v>595</v>
      </c>
      <c r="R865" s="2" t="s">
        <v>595</v>
      </c>
      <c r="S865" s="4">
        <v>44837</v>
      </c>
    </row>
    <row r="866" spans="1:19" ht="12.5" x14ac:dyDescent="0.25">
      <c r="A866" s="14" t="str">
        <f>HYPERLINK("https://gerandofalcoes.my.salesforce.com/0014P00003AN2h5QAD", "0014P00003AN2h5QAD")</f>
        <v>0014P00003AN2h5QAD</v>
      </c>
      <c r="B866" s="2" t="s">
        <v>1660</v>
      </c>
      <c r="C866" s="2" t="s">
        <v>423</v>
      </c>
      <c r="D866" s="2" t="s">
        <v>27</v>
      </c>
      <c r="E866" s="2">
        <v>95</v>
      </c>
      <c r="F866" s="2">
        <v>25</v>
      </c>
      <c r="G866" s="2">
        <v>3</v>
      </c>
      <c r="H866" s="2">
        <v>1106859.57</v>
      </c>
      <c r="I866" s="2">
        <v>164</v>
      </c>
      <c r="J866" s="2" t="s">
        <v>1654</v>
      </c>
      <c r="K866" s="2">
        <v>87</v>
      </c>
      <c r="L866" s="2">
        <v>30</v>
      </c>
      <c r="M866" s="2">
        <v>12</v>
      </c>
      <c r="N866" s="2">
        <v>8</v>
      </c>
      <c r="O866" s="2">
        <v>25</v>
      </c>
      <c r="P866" s="2">
        <v>12</v>
      </c>
      <c r="Q866" s="2" t="s">
        <v>54</v>
      </c>
      <c r="R866" s="2" t="s">
        <v>54</v>
      </c>
      <c r="S866" s="4">
        <v>44837</v>
      </c>
    </row>
    <row r="867" spans="1:19" ht="12.5" x14ac:dyDescent="0.25">
      <c r="A867" s="14" t="str">
        <f>HYPERLINK("https://gerandofalcoes.my.salesforce.com/0014P00003AN2h6QAD", "0014P00003AN2h6QAD")</f>
        <v>0014P00003AN2h6QAD</v>
      </c>
      <c r="B867" s="2" t="s">
        <v>1649</v>
      </c>
      <c r="C867" s="2" t="s">
        <v>423</v>
      </c>
      <c r="D867" s="2" t="s">
        <v>27</v>
      </c>
      <c r="E867" s="2">
        <v>98</v>
      </c>
      <c r="F867" s="2">
        <v>13</v>
      </c>
      <c r="G867" s="2">
        <v>3</v>
      </c>
      <c r="H867" s="2">
        <v>245092.99</v>
      </c>
      <c r="I867" s="2">
        <v>182</v>
      </c>
      <c r="J867" s="2" t="s">
        <v>1650</v>
      </c>
      <c r="K867" s="2">
        <v>77</v>
      </c>
      <c r="L867" s="2">
        <v>30</v>
      </c>
      <c r="M867" s="2">
        <v>12</v>
      </c>
      <c r="N867" s="2">
        <v>8</v>
      </c>
      <c r="O867" s="2">
        <v>15</v>
      </c>
      <c r="P867" s="2">
        <v>12</v>
      </c>
      <c r="Q867" s="2" t="s">
        <v>1651</v>
      </c>
      <c r="R867" s="2" t="s">
        <v>1652</v>
      </c>
      <c r="S867" s="4">
        <v>44837</v>
      </c>
    </row>
    <row r="868" spans="1:19" ht="12.5" x14ac:dyDescent="0.25">
      <c r="A868" s="14" t="str">
        <f>HYPERLINK("https://gerandofalcoes.my.salesforce.com/0014P00003AN2h7QAD", "0014P00003AN2h7QAD")</f>
        <v>0014P00003AN2h7QAD</v>
      </c>
      <c r="B868" s="2" t="s">
        <v>2988</v>
      </c>
      <c r="C868" s="2" t="s">
        <v>1684</v>
      </c>
      <c r="D868" s="2" t="s">
        <v>2</v>
      </c>
      <c r="E868" s="2"/>
      <c r="F868" s="2">
        <v>0</v>
      </c>
      <c r="G868" s="2">
        <v>0</v>
      </c>
      <c r="H868" s="2">
        <v>0</v>
      </c>
      <c r="I868" s="2">
        <v>130</v>
      </c>
      <c r="J868" s="2" t="s">
        <v>1779</v>
      </c>
      <c r="K868" s="2">
        <v>10</v>
      </c>
      <c r="L868" s="2">
        <v>0</v>
      </c>
      <c r="M868" s="2">
        <v>0</v>
      </c>
      <c r="N868" s="2">
        <v>0</v>
      </c>
      <c r="O868" s="2">
        <v>0</v>
      </c>
      <c r="P868" s="2">
        <v>10</v>
      </c>
      <c r="Q868" s="2" t="s">
        <v>2989</v>
      </c>
      <c r="R868" s="2" t="s">
        <v>602</v>
      </c>
      <c r="S868" s="4">
        <v>44837</v>
      </c>
    </row>
    <row r="869" spans="1:19" ht="12.5" x14ac:dyDescent="0.25">
      <c r="A869" s="14" t="str">
        <f>HYPERLINK("https://gerandofalcoes.my.salesforce.com/0014P00003AN6yVQAT", "0014P00003AN6yVQAT")</f>
        <v>0014P00003AN6yVQAT</v>
      </c>
      <c r="B869" s="2" t="s">
        <v>1798</v>
      </c>
      <c r="C869" s="2" t="s">
        <v>423</v>
      </c>
      <c r="D869" s="2" t="s">
        <v>2</v>
      </c>
      <c r="E869" s="2">
        <v>68</v>
      </c>
      <c r="F869" s="2">
        <v>0</v>
      </c>
      <c r="G869" s="2">
        <v>2</v>
      </c>
      <c r="H869" s="2">
        <v>9586512</v>
      </c>
      <c r="I869" s="2">
        <v>151</v>
      </c>
      <c r="J869" s="2" t="s">
        <v>1671</v>
      </c>
      <c r="K869" s="2">
        <v>63</v>
      </c>
      <c r="L869" s="2">
        <v>20</v>
      </c>
      <c r="M869" s="2">
        <v>0</v>
      </c>
      <c r="N869" s="2">
        <v>6</v>
      </c>
      <c r="O869" s="2">
        <v>25</v>
      </c>
      <c r="P869" s="2">
        <v>12</v>
      </c>
      <c r="Q869" s="2" t="s">
        <v>560</v>
      </c>
      <c r="R869" s="2" t="s">
        <v>560</v>
      </c>
      <c r="S869" s="4">
        <v>44837</v>
      </c>
    </row>
    <row r="870" spans="1:19" ht="12.5" x14ac:dyDescent="0.25">
      <c r="A870" s="14" t="str">
        <f>HYPERLINK("https://gerandofalcoes.my.salesforce.com/0014P00003AN72DQAT", "0014P00003AN72DQAT")</f>
        <v>0014P00003AN72DQAT</v>
      </c>
      <c r="B870" s="2" t="s">
        <v>1722</v>
      </c>
      <c r="C870" s="2" t="s">
        <v>1800</v>
      </c>
      <c r="D870" s="2" t="s">
        <v>2</v>
      </c>
      <c r="E870" s="2">
        <v>74</v>
      </c>
      <c r="F870" s="2">
        <v>35</v>
      </c>
      <c r="G870" s="2">
        <v>5</v>
      </c>
      <c r="H870" s="2">
        <v>1000000</v>
      </c>
      <c r="I870" s="2">
        <v>506</v>
      </c>
      <c r="J870" s="2" t="s">
        <v>1654</v>
      </c>
      <c r="K870" s="2">
        <v>90</v>
      </c>
      <c r="L870" s="2">
        <v>20</v>
      </c>
      <c r="M870" s="2">
        <v>15</v>
      </c>
      <c r="N870" s="2">
        <v>10</v>
      </c>
      <c r="O870" s="2">
        <v>25</v>
      </c>
      <c r="P870" s="2">
        <v>20</v>
      </c>
      <c r="Q870" s="2" t="s">
        <v>565</v>
      </c>
      <c r="R870" s="2" t="s">
        <v>565</v>
      </c>
      <c r="S870" s="4">
        <v>44837</v>
      </c>
    </row>
    <row r="871" spans="1:19" ht="12.5" x14ac:dyDescent="0.25">
      <c r="A871" s="14" t="str">
        <f>HYPERLINK("https://gerandofalcoes.my.salesforce.com/0014P00003AN76yQAD", "0014P00003AN76yQAD")</f>
        <v>0014P00003AN76yQAD</v>
      </c>
      <c r="B871" s="2" t="s">
        <v>49</v>
      </c>
      <c r="C871" s="2" t="s">
        <v>423</v>
      </c>
      <c r="D871" s="2" t="s">
        <v>27</v>
      </c>
      <c r="E871" s="2">
        <v>43</v>
      </c>
      <c r="F871" s="2">
        <v>6</v>
      </c>
      <c r="G871" s="2">
        <v>2</v>
      </c>
      <c r="H871" s="2">
        <v>80000</v>
      </c>
      <c r="I871" s="2">
        <v>80</v>
      </c>
      <c r="J871" s="2" t="s">
        <v>1671</v>
      </c>
      <c r="K871" s="2">
        <v>51</v>
      </c>
      <c r="L871" s="2">
        <v>15</v>
      </c>
      <c r="M871" s="2">
        <v>10</v>
      </c>
      <c r="N871" s="2">
        <v>6</v>
      </c>
      <c r="O871" s="2">
        <v>10</v>
      </c>
      <c r="P871" s="2">
        <v>10</v>
      </c>
      <c r="Q871" s="2" t="s">
        <v>1716</v>
      </c>
      <c r="R871" s="2" t="s">
        <v>1716</v>
      </c>
      <c r="S871" s="4">
        <v>44837</v>
      </c>
    </row>
    <row r="872" spans="1:19" ht="12.5" x14ac:dyDescent="0.25">
      <c r="A872" s="14" t="str">
        <f>HYPERLINK("https://gerandofalcoes.my.salesforce.com/0014P00003ERUfsQAH", "0014P00003ERUfsQAH")</f>
        <v>0014P00003ERUfsQAH</v>
      </c>
      <c r="B872" s="2" t="s">
        <v>1668</v>
      </c>
      <c r="C872" s="2" t="s">
        <v>423</v>
      </c>
      <c r="D872" s="2" t="s">
        <v>27</v>
      </c>
      <c r="E872" s="2">
        <v>91</v>
      </c>
      <c r="F872" s="2">
        <v>30</v>
      </c>
      <c r="G872" s="2">
        <v>4</v>
      </c>
      <c r="H872" s="2">
        <v>155230.70000000001</v>
      </c>
      <c r="I872" s="2">
        <v>782</v>
      </c>
      <c r="J872" s="2" t="s">
        <v>1654</v>
      </c>
      <c r="K872" s="2">
        <v>87</v>
      </c>
      <c r="L872" s="2">
        <v>30</v>
      </c>
      <c r="M872" s="2">
        <v>12</v>
      </c>
      <c r="N872" s="2">
        <v>10</v>
      </c>
      <c r="O872" s="2">
        <v>15</v>
      </c>
      <c r="P872" s="2">
        <v>20</v>
      </c>
      <c r="Q872" s="2" t="s">
        <v>73</v>
      </c>
      <c r="R872" s="2" t="s">
        <v>73</v>
      </c>
      <c r="S872" s="4">
        <v>44837</v>
      </c>
    </row>
    <row r="873" spans="1:19" ht="12.5" x14ac:dyDescent="0.25">
      <c r="A873" s="14" t="str">
        <f>HYPERLINK("https://gerandofalcoes.my.salesforce.com/0014P00003ERakHQAT", "0014P00003ERakHQAT")</f>
        <v>0014P00003ERakHQAT</v>
      </c>
      <c r="B873" s="2" t="s">
        <v>2983</v>
      </c>
      <c r="C873" s="2" t="s">
        <v>1684</v>
      </c>
      <c r="D873" s="2" t="s">
        <v>2</v>
      </c>
      <c r="E873" s="2"/>
      <c r="F873" s="2">
        <v>0</v>
      </c>
      <c r="G873" s="2">
        <v>0</v>
      </c>
      <c r="H873" s="2">
        <v>0</v>
      </c>
      <c r="I873" s="2">
        <v>300</v>
      </c>
      <c r="J873" s="2" t="s">
        <v>1779</v>
      </c>
      <c r="K873" s="2">
        <v>15</v>
      </c>
      <c r="L873" s="2">
        <v>0</v>
      </c>
      <c r="M873" s="2">
        <v>0</v>
      </c>
      <c r="N873" s="2">
        <v>0</v>
      </c>
      <c r="O873" s="2">
        <v>0</v>
      </c>
      <c r="P873" s="2">
        <v>15</v>
      </c>
      <c r="Q873" s="2" t="s">
        <v>2984</v>
      </c>
      <c r="R873" s="2" t="s">
        <v>2984</v>
      </c>
      <c r="S873" s="4">
        <v>44837</v>
      </c>
    </row>
    <row r="874" spans="1:19" ht="12.5" x14ac:dyDescent="0.25">
      <c r="A874" s="14" t="str">
        <f>HYPERLINK("https://gerandofalcoes.my.salesforce.com/0014P00003ERavoQAD", "0014P00003ERavoQAD")</f>
        <v>0014P00003ERavoQAD</v>
      </c>
      <c r="B874" s="2" t="s">
        <v>77</v>
      </c>
      <c r="C874" s="2" t="s">
        <v>423</v>
      </c>
      <c r="D874" s="2" t="s">
        <v>27</v>
      </c>
      <c r="E874" s="2">
        <v>86</v>
      </c>
      <c r="F874" s="2">
        <v>5</v>
      </c>
      <c r="G874" s="2">
        <v>4</v>
      </c>
      <c r="H874" s="2">
        <v>275378.40000000002</v>
      </c>
      <c r="I874" s="2">
        <v>184</v>
      </c>
      <c r="J874" s="2" t="s">
        <v>1650</v>
      </c>
      <c r="K874" s="2">
        <v>67</v>
      </c>
      <c r="L874" s="2">
        <v>25</v>
      </c>
      <c r="M874" s="2">
        <v>5</v>
      </c>
      <c r="N874" s="2">
        <v>10</v>
      </c>
      <c r="O874" s="2">
        <v>15</v>
      </c>
      <c r="P874" s="2">
        <v>12</v>
      </c>
      <c r="Q874" s="2" t="s">
        <v>78</v>
      </c>
      <c r="R874" s="2" t="s">
        <v>78</v>
      </c>
      <c r="S874" s="4">
        <v>44837</v>
      </c>
    </row>
    <row r="875" spans="1:19" ht="12.5" x14ac:dyDescent="0.25">
      <c r="A875" s="14" t="str">
        <f>HYPERLINK("https://gerandofalcoes.my.salesforce.com/0014P00003MjNTIQA3", "0014P00003MjNTIQA3")</f>
        <v>0014P00003MjNTIQA3</v>
      </c>
      <c r="B875" s="2" t="s">
        <v>2976</v>
      </c>
      <c r="C875" s="2" t="s">
        <v>423</v>
      </c>
      <c r="D875" s="2" t="s">
        <v>66</v>
      </c>
      <c r="E875" s="2">
        <v>0</v>
      </c>
      <c r="F875" s="2">
        <v>10</v>
      </c>
      <c r="G875" s="2">
        <v>0</v>
      </c>
      <c r="H875" s="2">
        <v>0</v>
      </c>
      <c r="I875" s="2">
        <v>0</v>
      </c>
      <c r="J875" s="2" t="s">
        <v>1779</v>
      </c>
      <c r="K875" s="2">
        <v>10</v>
      </c>
      <c r="L875" s="2">
        <v>0</v>
      </c>
      <c r="M875" s="2">
        <v>10</v>
      </c>
      <c r="N875" s="2">
        <v>0</v>
      </c>
      <c r="O875" s="2">
        <v>0</v>
      </c>
      <c r="P875" s="2">
        <v>0</v>
      </c>
      <c r="Q875" s="2" t="s">
        <v>862</v>
      </c>
      <c r="R875" s="2" t="s">
        <v>862</v>
      </c>
      <c r="S875" s="4">
        <v>44837</v>
      </c>
    </row>
    <row r="876" spans="1:19" ht="12.5" x14ac:dyDescent="0.25">
      <c r="A876" s="14" t="str">
        <f>HYPERLINK("https://gerandofalcoes.my.salesforce.com/0014P00003MjOsqQAF", "0014P00003MjOsqQAF")</f>
        <v>0014P00003MjOsqQAF</v>
      </c>
      <c r="B876" s="2" t="s">
        <v>2977</v>
      </c>
      <c r="C876" s="2" t="s">
        <v>1684</v>
      </c>
      <c r="D876" s="2" t="s">
        <v>66</v>
      </c>
      <c r="E876" s="2">
        <v>0</v>
      </c>
      <c r="F876" s="2">
        <v>6</v>
      </c>
      <c r="G876" s="2">
        <v>1</v>
      </c>
      <c r="H876" s="2">
        <v>0</v>
      </c>
      <c r="I876" s="2">
        <v>0</v>
      </c>
      <c r="J876" s="2" t="s">
        <v>1779</v>
      </c>
      <c r="K876" s="2">
        <v>14</v>
      </c>
      <c r="L876" s="2">
        <v>0</v>
      </c>
      <c r="M876" s="2">
        <v>10</v>
      </c>
      <c r="N876" s="2">
        <v>4</v>
      </c>
      <c r="O876" s="2">
        <v>0</v>
      </c>
      <c r="P876" s="2">
        <v>0</v>
      </c>
      <c r="Q876" s="2" t="s">
        <v>71</v>
      </c>
      <c r="R876" s="2" t="s">
        <v>870</v>
      </c>
      <c r="S876" s="4">
        <v>44837</v>
      </c>
    </row>
    <row r="877" spans="1:19" ht="12.5" x14ac:dyDescent="0.25">
      <c r="A877" s="14" t="str">
        <f>HYPERLINK("https://gerandofalcoes.my.salesforce.com/0014P00003MjR9oQAF", "0014P00003MjR9oQAF")</f>
        <v>0014P00003MjR9oQAF</v>
      </c>
      <c r="B877" s="2" t="s">
        <v>2978</v>
      </c>
      <c r="C877" s="2" t="s">
        <v>423</v>
      </c>
      <c r="D877" s="2" t="s">
        <v>66</v>
      </c>
      <c r="E877" s="2">
        <v>0</v>
      </c>
      <c r="F877" s="2">
        <v>23</v>
      </c>
      <c r="G877" s="2">
        <v>1</v>
      </c>
      <c r="H877" s="2">
        <v>0</v>
      </c>
      <c r="I877" s="2">
        <v>0</v>
      </c>
      <c r="J877" s="2" t="s">
        <v>1779</v>
      </c>
      <c r="K877" s="2">
        <v>16</v>
      </c>
      <c r="L877" s="2">
        <v>0</v>
      </c>
      <c r="M877" s="2">
        <v>12</v>
      </c>
      <c r="N877" s="2">
        <v>4</v>
      </c>
      <c r="O877" s="2">
        <v>0</v>
      </c>
      <c r="P877" s="2">
        <v>0</v>
      </c>
      <c r="Q877" s="2" t="s">
        <v>67</v>
      </c>
      <c r="R877" s="2" t="s">
        <v>2979</v>
      </c>
      <c r="S877" s="4">
        <v>44837</v>
      </c>
    </row>
    <row r="878" spans="1:19" ht="12.5" x14ac:dyDescent="0.25">
      <c r="A878" s="14" t="str">
        <f>HYPERLINK("https://gerandofalcoes.my.salesforce.com/0014X00002YgggQQAR", "0014X00002YgggQQAR")</f>
        <v>0014X00002YgggQQAR</v>
      </c>
      <c r="B878" s="2" t="s">
        <v>3111</v>
      </c>
      <c r="C878" s="2" t="s">
        <v>423</v>
      </c>
      <c r="D878" s="2" t="s">
        <v>2</v>
      </c>
      <c r="E878" s="2"/>
      <c r="F878" s="2">
        <v>2</v>
      </c>
      <c r="G878" s="2">
        <v>2</v>
      </c>
      <c r="H878" s="2">
        <v>55000</v>
      </c>
      <c r="I878" s="2">
        <v>20</v>
      </c>
      <c r="J878" s="2"/>
      <c r="K878" s="2">
        <v>26</v>
      </c>
      <c r="L878" s="2">
        <v>0</v>
      </c>
      <c r="M878" s="2">
        <v>5</v>
      </c>
      <c r="N878" s="2">
        <v>6</v>
      </c>
      <c r="O878" s="2">
        <v>10</v>
      </c>
      <c r="P878" s="2">
        <v>5</v>
      </c>
      <c r="Q878" s="2" t="s">
        <v>3112</v>
      </c>
      <c r="R878" s="2" t="s">
        <v>3113</v>
      </c>
      <c r="S878" s="4">
        <v>44949</v>
      </c>
    </row>
    <row r="879" spans="1:19" ht="12.5" x14ac:dyDescent="0.25">
      <c r="A879" s="14" t="str">
        <f>HYPERLINK("https://gerandofalcoes.my.salesforce.com/0014X00002YggjvQAB", "0014X00002YggjvQAB")</f>
        <v>0014X00002YggjvQAB</v>
      </c>
      <c r="B879" s="2" t="s">
        <v>3365</v>
      </c>
      <c r="C879" s="2" t="s">
        <v>423</v>
      </c>
      <c r="D879" s="2" t="s">
        <v>2</v>
      </c>
      <c r="E879" s="2"/>
      <c r="F879" s="2">
        <v>6</v>
      </c>
      <c r="G879" s="2">
        <v>2</v>
      </c>
      <c r="H879" s="2">
        <v>13000</v>
      </c>
      <c r="I879" s="2">
        <v>60</v>
      </c>
      <c r="J879" s="2"/>
      <c r="K879" s="2">
        <v>26</v>
      </c>
      <c r="L879" s="2">
        <v>0</v>
      </c>
      <c r="M879" s="2">
        <v>10</v>
      </c>
      <c r="N879" s="2">
        <v>6</v>
      </c>
      <c r="O879" s="2">
        <v>5</v>
      </c>
      <c r="P879" s="2">
        <v>5</v>
      </c>
      <c r="Q879" s="2" t="s">
        <v>3366</v>
      </c>
      <c r="R879" s="2" t="s">
        <v>3366</v>
      </c>
      <c r="S879" s="4">
        <v>44953</v>
      </c>
    </row>
    <row r="880" spans="1:19" ht="12.5" x14ac:dyDescent="0.25">
      <c r="A880" s="14" t="str">
        <f>HYPERLINK("https://gerandofalcoes.my.salesforce.com/0014X00002YgglqQAB", "0014X00002YgglqQAB")</f>
        <v>0014X00002YgglqQAB</v>
      </c>
      <c r="B880" s="2" t="s">
        <v>3062</v>
      </c>
      <c r="C880" s="2" t="s">
        <v>423</v>
      </c>
      <c r="D880" s="2" t="s">
        <v>2</v>
      </c>
      <c r="E880" s="2"/>
      <c r="F880" s="2">
        <v>0</v>
      </c>
      <c r="G880" s="2">
        <v>3</v>
      </c>
      <c r="H880" s="2">
        <v>200</v>
      </c>
      <c r="I880" s="2">
        <v>0</v>
      </c>
      <c r="J880" s="2"/>
      <c r="K880" s="2">
        <v>13</v>
      </c>
      <c r="L880" s="2">
        <v>0</v>
      </c>
      <c r="M880" s="2">
        <v>0</v>
      </c>
      <c r="N880" s="2">
        <v>8</v>
      </c>
      <c r="O880" s="2">
        <v>5</v>
      </c>
      <c r="P880" s="2">
        <v>0</v>
      </c>
      <c r="Q880" s="2" t="s">
        <v>3063</v>
      </c>
      <c r="R880" s="2" t="s">
        <v>3064</v>
      </c>
      <c r="S880" s="4">
        <v>44946</v>
      </c>
    </row>
    <row r="881" spans="1:19" ht="12.5" x14ac:dyDescent="0.25">
      <c r="A881" s="14" t="str">
        <f>HYPERLINK("https://gerandofalcoes.my.salesforce.com/0014X00002YggjeQAB", "0014X00002YggjeQAB")</f>
        <v>0014X00002YggjeQAB</v>
      </c>
      <c r="B881" s="2" t="s">
        <v>3098</v>
      </c>
      <c r="C881" s="2" t="s">
        <v>423</v>
      </c>
      <c r="D881" s="2" t="s">
        <v>2</v>
      </c>
      <c r="E881" s="2"/>
      <c r="F881" s="2">
        <v>5</v>
      </c>
      <c r="G881" s="2">
        <v>3</v>
      </c>
      <c r="H881" s="2">
        <v>26000</v>
      </c>
      <c r="I881" s="2">
        <v>150</v>
      </c>
      <c r="J881" s="2"/>
      <c r="K881" s="2">
        <v>35</v>
      </c>
      <c r="L881" s="2">
        <v>0</v>
      </c>
      <c r="M881" s="2">
        <v>5</v>
      </c>
      <c r="N881" s="2">
        <v>8</v>
      </c>
      <c r="O881" s="2">
        <v>10</v>
      </c>
      <c r="P881" s="2">
        <v>12</v>
      </c>
      <c r="Q881" s="2" t="s">
        <v>3099</v>
      </c>
      <c r="R881" s="2" t="s">
        <v>3100</v>
      </c>
      <c r="S881" s="4">
        <v>44948</v>
      </c>
    </row>
    <row r="882" spans="1:19" ht="12.5" x14ac:dyDescent="0.25">
      <c r="A882" s="14" t="str">
        <f>HYPERLINK("https://gerandofalcoes.my.salesforce.com/0014X00002YggkqQAB", "0014X00002YggkqQAB")</f>
        <v>0014X00002YggkqQAB</v>
      </c>
      <c r="B882" s="2" t="s">
        <v>3035</v>
      </c>
      <c r="C882" s="2" t="s">
        <v>423</v>
      </c>
      <c r="D882" s="2" t="s">
        <v>2</v>
      </c>
      <c r="E882" s="2"/>
      <c r="F882" s="2">
        <v>0</v>
      </c>
      <c r="G882" s="2">
        <v>3</v>
      </c>
      <c r="H882" s="2">
        <v>11000</v>
      </c>
      <c r="I882" s="2">
        <v>530</v>
      </c>
      <c r="J882" s="2"/>
      <c r="K882" s="2">
        <v>33</v>
      </c>
      <c r="L882" s="2">
        <v>0</v>
      </c>
      <c r="M882" s="2">
        <v>0</v>
      </c>
      <c r="N882" s="2">
        <v>8</v>
      </c>
      <c r="O882" s="2">
        <v>5</v>
      </c>
      <c r="P882" s="2">
        <v>20</v>
      </c>
      <c r="Q882" s="2" t="s">
        <v>3036</v>
      </c>
      <c r="R882" s="2" t="s">
        <v>3037</v>
      </c>
      <c r="S882" s="4">
        <v>44945</v>
      </c>
    </row>
    <row r="883" spans="1:19" ht="12.5" x14ac:dyDescent="0.25">
      <c r="A883" s="14" t="str">
        <f>HYPERLINK("https://gerandofalcoes.my.salesforce.com/0014X00002VKCqEQAX", "0014X00002VKCqEQAX")</f>
        <v>0014X00002VKCqEQAX</v>
      </c>
      <c r="B883" s="2" t="s">
        <v>2349</v>
      </c>
      <c r="C883" s="2" t="s">
        <v>1800</v>
      </c>
      <c r="D883" s="2" t="s">
        <v>2</v>
      </c>
      <c r="E883" s="2">
        <v>27</v>
      </c>
      <c r="F883" s="2">
        <v>0</v>
      </c>
      <c r="G883" s="2">
        <v>6</v>
      </c>
      <c r="H883" s="2">
        <v>18500</v>
      </c>
      <c r="I883" s="2">
        <v>116</v>
      </c>
      <c r="J883" s="2" t="s">
        <v>1671</v>
      </c>
      <c r="K883" s="2">
        <v>40</v>
      </c>
      <c r="L883" s="2">
        <v>15</v>
      </c>
      <c r="M883" s="2">
        <v>0</v>
      </c>
      <c r="N883" s="2">
        <v>10</v>
      </c>
      <c r="O883" s="2">
        <v>5</v>
      </c>
      <c r="P883" s="2">
        <v>10</v>
      </c>
      <c r="Q883" s="2" t="s">
        <v>2350</v>
      </c>
      <c r="R883" s="2" t="s">
        <v>2351</v>
      </c>
      <c r="S883" s="4">
        <v>44837</v>
      </c>
    </row>
    <row r="884" spans="1:19" ht="12.5" x14ac:dyDescent="0.25">
      <c r="A884" s="14" t="str">
        <f>HYPERLINK("https://gerandofalcoes.my.salesforce.com/0014X00002YggpOQAR", "0014X00002YggpOQAR")</f>
        <v>0014X00002YggpOQAR</v>
      </c>
      <c r="B884" s="2" t="s">
        <v>3053</v>
      </c>
      <c r="C884" s="2" t="s">
        <v>423</v>
      </c>
      <c r="D884" s="2" t="s">
        <v>2</v>
      </c>
      <c r="E884" s="2"/>
      <c r="F884" s="2">
        <v>34</v>
      </c>
      <c r="G884" s="2">
        <v>2</v>
      </c>
      <c r="H884" s="2">
        <v>343</v>
      </c>
      <c r="I884" s="2">
        <v>64</v>
      </c>
      <c r="J884" s="2"/>
      <c r="K884" s="2">
        <v>31</v>
      </c>
      <c r="L884" s="2">
        <v>0</v>
      </c>
      <c r="M884" s="2">
        <v>15</v>
      </c>
      <c r="N884" s="2">
        <v>6</v>
      </c>
      <c r="O884" s="2">
        <v>5</v>
      </c>
      <c r="P884" s="2">
        <v>5</v>
      </c>
      <c r="Q884" s="2" t="s">
        <v>3054</v>
      </c>
      <c r="R884" s="2" t="s">
        <v>3055</v>
      </c>
      <c r="S884" s="4">
        <v>44946</v>
      </c>
    </row>
    <row r="885" spans="1:19" ht="12.5" x14ac:dyDescent="0.25">
      <c r="A885" s="14" t="str">
        <f>HYPERLINK("https://gerandofalcoes.my.salesforce.com/0014X00002YggkiQAB", "0014X00002YggkiQAB")</f>
        <v>0014X00002YggkiQAB</v>
      </c>
      <c r="B885" s="2" t="s">
        <v>3067</v>
      </c>
      <c r="C885" s="2" t="s">
        <v>423</v>
      </c>
      <c r="D885" s="2" t="s">
        <v>2</v>
      </c>
      <c r="E885" s="2"/>
      <c r="F885" s="2">
        <v>0</v>
      </c>
      <c r="G885" s="2">
        <v>2</v>
      </c>
      <c r="H885" s="2">
        <v>0</v>
      </c>
      <c r="I885" s="2">
        <v>80</v>
      </c>
      <c r="J885" s="2"/>
      <c r="K885" s="2">
        <v>16</v>
      </c>
      <c r="L885" s="2">
        <v>0</v>
      </c>
      <c r="M885" s="2">
        <v>0</v>
      </c>
      <c r="N885" s="2">
        <v>6</v>
      </c>
      <c r="O885" s="2">
        <v>0</v>
      </c>
      <c r="P885" s="2">
        <v>10</v>
      </c>
      <c r="Q885" s="2" t="s">
        <v>3068</v>
      </c>
      <c r="R885" s="2" t="s">
        <v>3068</v>
      </c>
      <c r="S885" s="4">
        <v>44946</v>
      </c>
    </row>
    <row r="886" spans="1:19" ht="12.5" x14ac:dyDescent="0.25">
      <c r="A886" s="14" t="str">
        <f>HYPERLINK("https://gerandofalcoes.my.salesforce.com/0014X00002YggltQAB", "0014X00002YggltQAB")</f>
        <v>0014X00002YggltQAB</v>
      </c>
      <c r="B886" s="2" t="s">
        <v>3142</v>
      </c>
      <c r="C886" s="2" t="s">
        <v>423</v>
      </c>
      <c r="D886" s="2" t="s">
        <v>2</v>
      </c>
      <c r="E886" s="2"/>
      <c r="F886" s="2">
        <v>0</v>
      </c>
      <c r="G886" s="2">
        <v>5</v>
      </c>
      <c r="H886" s="2">
        <v>3000</v>
      </c>
      <c r="I886" s="2">
        <v>10</v>
      </c>
      <c r="J886" s="2"/>
      <c r="K886" s="2">
        <v>20</v>
      </c>
      <c r="L886" s="2">
        <v>0</v>
      </c>
      <c r="M886" s="2">
        <v>0</v>
      </c>
      <c r="N886" s="2">
        <v>10</v>
      </c>
      <c r="O886" s="2">
        <v>5</v>
      </c>
      <c r="P886" s="2">
        <v>5</v>
      </c>
      <c r="Q886" s="2" t="s">
        <v>3143</v>
      </c>
      <c r="R886" s="2" t="s">
        <v>3143</v>
      </c>
      <c r="S886" s="4">
        <v>44949</v>
      </c>
    </row>
    <row r="887" spans="1:19" ht="12.5" x14ac:dyDescent="0.25">
      <c r="A887" s="14" t="str">
        <f>HYPERLINK("https://gerandofalcoes.my.salesforce.com/0014X00002YggntQAB", "0014X00002YggntQAB")</f>
        <v>0014X00002YggntQAB</v>
      </c>
      <c r="B887" s="2" t="s">
        <v>3109</v>
      </c>
      <c r="C887" s="2" t="s">
        <v>423</v>
      </c>
      <c r="D887" s="2" t="s">
        <v>2</v>
      </c>
      <c r="E887" s="2"/>
      <c r="F887" s="2">
        <v>0</v>
      </c>
      <c r="G887" s="2">
        <v>2</v>
      </c>
      <c r="H887" s="2">
        <v>40000</v>
      </c>
      <c r="I887" s="2">
        <v>0</v>
      </c>
      <c r="J887" s="2"/>
      <c r="K887" s="2">
        <v>16</v>
      </c>
      <c r="L887" s="2">
        <v>0</v>
      </c>
      <c r="M887" s="2">
        <v>0</v>
      </c>
      <c r="N887" s="2">
        <v>6</v>
      </c>
      <c r="O887" s="2">
        <v>10</v>
      </c>
      <c r="P887" s="2">
        <v>0</v>
      </c>
      <c r="Q887" s="2" t="s">
        <v>3110</v>
      </c>
      <c r="R887" s="2" t="s">
        <v>3110</v>
      </c>
      <c r="S887" s="4">
        <v>44948</v>
      </c>
    </row>
    <row r="888" spans="1:19" ht="12.5" x14ac:dyDescent="0.25">
      <c r="A888" s="14" t="str">
        <f>HYPERLINK("https://gerandofalcoes.my.salesforce.com/0014X00002YggooQAB", "0014X00002YggooQAB")</f>
        <v>0014X00002YggooQAB</v>
      </c>
      <c r="B888" s="2" t="s">
        <v>3047</v>
      </c>
      <c r="C888" s="2" t="s">
        <v>423</v>
      </c>
      <c r="D888" s="2" t="s">
        <v>2</v>
      </c>
      <c r="E888" s="2"/>
      <c r="F888" s="2">
        <v>1</v>
      </c>
      <c r="G888" s="2">
        <v>3</v>
      </c>
      <c r="H888" s="2">
        <v>19000</v>
      </c>
      <c r="I888" s="2">
        <v>30</v>
      </c>
      <c r="J888" s="2"/>
      <c r="K888" s="2">
        <v>23</v>
      </c>
      <c r="L888" s="2">
        <v>0</v>
      </c>
      <c r="M888" s="2">
        <v>5</v>
      </c>
      <c r="N888" s="2">
        <v>8</v>
      </c>
      <c r="O888" s="2">
        <v>5</v>
      </c>
      <c r="P888" s="2">
        <v>5</v>
      </c>
      <c r="Q888" s="2" t="s">
        <v>3048</v>
      </c>
      <c r="R888" s="2" t="s">
        <v>3049</v>
      </c>
      <c r="S888" s="4">
        <v>44946</v>
      </c>
    </row>
    <row r="889" spans="1:19" ht="12.5" x14ac:dyDescent="0.25">
      <c r="A889" s="14" t="str">
        <f>HYPERLINK("https://gerandofalcoes.my.salesforce.com/0014X00002YggpbQAB", "0014X00002YggpbQAB")</f>
        <v>0014X00002YggpbQAB</v>
      </c>
      <c r="B889" s="2" t="s">
        <v>3038</v>
      </c>
      <c r="C889" s="2" t="s">
        <v>423</v>
      </c>
      <c r="D889" s="2" t="s">
        <v>2</v>
      </c>
      <c r="E889" s="2"/>
      <c r="F889" s="2">
        <v>10</v>
      </c>
      <c r="G889" s="2">
        <v>2</v>
      </c>
      <c r="H889" s="2">
        <v>15000</v>
      </c>
      <c r="I889" s="2">
        <v>240</v>
      </c>
      <c r="J889" s="2"/>
      <c r="K889" s="2">
        <v>33</v>
      </c>
      <c r="L889" s="2">
        <v>0</v>
      </c>
      <c r="M889" s="2">
        <v>10</v>
      </c>
      <c r="N889" s="2">
        <v>6</v>
      </c>
      <c r="O889" s="2">
        <v>5</v>
      </c>
      <c r="P889" s="2">
        <v>12</v>
      </c>
      <c r="Q889" s="2" t="s">
        <v>3039</v>
      </c>
      <c r="R889" s="2" t="s">
        <v>3039</v>
      </c>
      <c r="S889" s="4">
        <v>44945</v>
      </c>
    </row>
    <row r="890" spans="1:19" ht="12.5" x14ac:dyDescent="0.25">
      <c r="A890" s="14" t="str">
        <f>HYPERLINK("https://gerandofalcoes.my.salesforce.com/0014X00002YggmlQAB", "0014X00002YggmlQAB")</f>
        <v>0014X00002YggmlQAB</v>
      </c>
      <c r="B890" s="2" t="s">
        <v>3078</v>
      </c>
      <c r="C890" s="2" t="s">
        <v>423</v>
      </c>
      <c r="D890" s="2" t="s">
        <v>2</v>
      </c>
      <c r="E890" s="2"/>
      <c r="F890" s="2">
        <v>1</v>
      </c>
      <c r="G890" s="2">
        <v>2</v>
      </c>
      <c r="H890" s="2">
        <v>30000</v>
      </c>
      <c r="I890" s="2">
        <v>90</v>
      </c>
      <c r="J890" s="2"/>
      <c r="K890" s="2">
        <v>31</v>
      </c>
      <c r="L890" s="2">
        <v>0</v>
      </c>
      <c r="M890" s="2">
        <v>5</v>
      </c>
      <c r="N890" s="2">
        <v>6</v>
      </c>
      <c r="O890" s="2">
        <v>10</v>
      </c>
      <c r="P890" s="2">
        <v>10</v>
      </c>
      <c r="Q890" s="2" t="s">
        <v>3079</v>
      </c>
      <c r="R890" s="2" t="s">
        <v>3080</v>
      </c>
      <c r="S890" s="4">
        <v>44946</v>
      </c>
    </row>
    <row r="891" spans="1:19" ht="12.5" x14ac:dyDescent="0.25">
      <c r="A891" s="14" t="str">
        <f>HYPERLINK("https://gerandofalcoes.my.salesforce.com/0014X00002YggmBQAR", "0014X00002YggmBQAR")</f>
        <v>0014X00002YggmBQAR</v>
      </c>
      <c r="B891" s="2" t="s">
        <v>3125</v>
      </c>
      <c r="C891" s="2" t="s">
        <v>423</v>
      </c>
      <c r="D891" s="2" t="s">
        <v>2</v>
      </c>
      <c r="E891" s="2"/>
      <c r="F891" s="2">
        <v>5</v>
      </c>
      <c r="G891" s="2">
        <v>8</v>
      </c>
      <c r="H891" s="2">
        <v>35000</v>
      </c>
      <c r="I891" s="2">
        <v>120</v>
      </c>
      <c r="J891" s="2"/>
      <c r="K891" s="2">
        <v>35</v>
      </c>
      <c r="L891" s="2">
        <v>0</v>
      </c>
      <c r="M891" s="2">
        <v>5</v>
      </c>
      <c r="N891" s="2">
        <v>10</v>
      </c>
      <c r="O891" s="2">
        <v>10</v>
      </c>
      <c r="P891" s="2">
        <v>10</v>
      </c>
      <c r="Q891" s="2" t="s">
        <v>3126</v>
      </c>
      <c r="R891" s="2" t="s">
        <v>3127</v>
      </c>
      <c r="S891" s="4">
        <v>44949</v>
      </c>
    </row>
    <row r="892" spans="1:19" ht="12.5" x14ac:dyDescent="0.25">
      <c r="A892" s="14" t="str">
        <f>HYPERLINK("https://gerandofalcoes.my.salesforce.com/0014X00002YgghgQAB", "0014X00002YgghgQAB")</f>
        <v>0014X00002YgghgQAB</v>
      </c>
      <c r="B892" s="2" t="s">
        <v>3093</v>
      </c>
      <c r="C892" s="2" t="s">
        <v>423</v>
      </c>
      <c r="D892" s="2" t="s">
        <v>2</v>
      </c>
      <c r="E892" s="2"/>
      <c r="F892" s="2">
        <v>0</v>
      </c>
      <c r="G892" s="2">
        <v>10</v>
      </c>
      <c r="H892" s="2">
        <v>5000</v>
      </c>
      <c r="I892" s="2">
        <v>132</v>
      </c>
      <c r="J892" s="2"/>
      <c r="K892" s="2">
        <v>25</v>
      </c>
      <c r="L892" s="2">
        <v>0</v>
      </c>
      <c r="M892" s="2">
        <v>0</v>
      </c>
      <c r="N892" s="2">
        <v>10</v>
      </c>
      <c r="O892" s="2">
        <v>5</v>
      </c>
      <c r="P892" s="2">
        <v>10</v>
      </c>
      <c r="Q892" s="2" t="s">
        <v>3094</v>
      </c>
      <c r="R892" s="2" t="s">
        <v>3095</v>
      </c>
      <c r="S892" s="4">
        <v>44947</v>
      </c>
    </row>
    <row r="893" spans="1:19" ht="12.5" x14ac:dyDescent="0.25">
      <c r="A893" s="14" t="str">
        <f>HYPERLINK("https://gerandofalcoes.my.salesforce.com/0014X00002YggpCQAR", "0014X00002YggpCQAR")</f>
        <v>0014X00002YggpCQAR</v>
      </c>
      <c r="B893" s="2" t="s">
        <v>3120</v>
      </c>
      <c r="C893" s="2" t="s">
        <v>423</v>
      </c>
      <c r="D893" s="2" t="s">
        <v>2</v>
      </c>
      <c r="E893" s="2"/>
      <c r="F893" s="2">
        <v>0</v>
      </c>
      <c r="G893" s="2">
        <v>10</v>
      </c>
      <c r="H893" s="2">
        <v>1100</v>
      </c>
      <c r="I893" s="2">
        <v>0</v>
      </c>
      <c r="J893" s="2"/>
      <c r="K893" s="2">
        <v>15</v>
      </c>
      <c r="L893" s="2">
        <v>0</v>
      </c>
      <c r="M893" s="2">
        <v>0</v>
      </c>
      <c r="N893" s="2">
        <v>10</v>
      </c>
      <c r="O893" s="2">
        <v>5</v>
      </c>
      <c r="P893" s="2">
        <v>0</v>
      </c>
      <c r="Q893" s="2" t="s">
        <v>3121</v>
      </c>
      <c r="R893" s="2" t="s">
        <v>3121</v>
      </c>
      <c r="S893" s="4">
        <v>44949</v>
      </c>
    </row>
    <row r="894" spans="1:19" ht="12.5" x14ac:dyDescent="0.25">
      <c r="A894" s="14" t="str">
        <f>HYPERLINK("https://gerandofalcoes.my.salesforce.com/0014X00002Yggj9QAB", "0014X00002Yggj9QAB")</f>
        <v>0014X00002Yggj9QAB</v>
      </c>
      <c r="B894" s="2" t="s">
        <v>3090</v>
      </c>
      <c r="C894" s="2" t="s">
        <v>423</v>
      </c>
      <c r="D894" s="2" t="s">
        <v>2</v>
      </c>
      <c r="E894" s="2"/>
      <c r="F894" s="2">
        <v>30</v>
      </c>
      <c r="G894" s="2">
        <v>3</v>
      </c>
      <c r="H894" s="2">
        <v>1200000</v>
      </c>
      <c r="I894" s="2">
        <v>0</v>
      </c>
      <c r="J894" s="2"/>
      <c r="K894" s="2">
        <v>45</v>
      </c>
      <c r="L894" s="2">
        <v>0</v>
      </c>
      <c r="M894" s="2">
        <v>12</v>
      </c>
      <c r="N894" s="2">
        <v>8</v>
      </c>
      <c r="O894" s="2">
        <v>25</v>
      </c>
      <c r="P894" s="2">
        <v>0</v>
      </c>
      <c r="Q894" s="2" t="s">
        <v>3091</v>
      </c>
      <c r="R894" s="2" t="s">
        <v>3092</v>
      </c>
      <c r="S894" s="4">
        <v>44946</v>
      </c>
    </row>
    <row r="895" spans="1:19" ht="12.5" x14ac:dyDescent="0.25">
      <c r="A895" s="14" t="str">
        <f>HYPERLINK("https://gerandofalcoes.my.salesforce.com/0014X00002Yggr1QAB", "0014X00002Yggr1QAB")</f>
        <v>0014X00002Yggr1QAB</v>
      </c>
      <c r="B895" s="2" t="s">
        <v>3002</v>
      </c>
      <c r="C895" s="2" t="s">
        <v>423</v>
      </c>
      <c r="D895" s="2" t="s">
        <v>2</v>
      </c>
      <c r="E895" s="2"/>
      <c r="F895" s="2">
        <v>24</v>
      </c>
      <c r="G895" s="2">
        <v>5</v>
      </c>
      <c r="H895" s="2">
        <v>35000</v>
      </c>
      <c r="I895" s="2">
        <v>85</v>
      </c>
      <c r="J895" s="2"/>
      <c r="K895" s="2">
        <v>42</v>
      </c>
      <c r="L895" s="2">
        <v>0</v>
      </c>
      <c r="M895" s="2">
        <v>12</v>
      </c>
      <c r="N895" s="2">
        <v>10</v>
      </c>
      <c r="O895" s="2">
        <v>10</v>
      </c>
      <c r="P895" s="2">
        <v>10</v>
      </c>
      <c r="Q895" s="2" t="s">
        <v>3003</v>
      </c>
      <c r="R895" s="2" t="s">
        <v>3004</v>
      </c>
      <c r="S895" s="4">
        <v>44944</v>
      </c>
    </row>
    <row r="896" spans="1:19" ht="12.5" x14ac:dyDescent="0.25">
      <c r="A896" s="14" t="str">
        <f>HYPERLINK("https://gerandofalcoes.my.salesforce.com/0014X00002YggqdQAB", "0014X00002YggqdQAB")</f>
        <v>0014X00002YggqdQAB</v>
      </c>
      <c r="B896" s="2" t="s">
        <v>3117</v>
      </c>
      <c r="C896" s="2" t="s">
        <v>423</v>
      </c>
      <c r="D896" s="2" t="s">
        <v>2</v>
      </c>
      <c r="E896" s="2"/>
      <c r="F896" s="2">
        <v>1</v>
      </c>
      <c r="G896" s="2">
        <v>3</v>
      </c>
      <c r="H896" s="2">
        <v>1000</v>
      </c>
      <c r="I896" s="2">
        <v>0</v>
      </c>
      <c r="J896" s="2"/>
      <c r="K896" s="2">
        <v>18</v>
      </c>
      <c r="L896" s="2">
        <v>0</v>
      </c>
      <c r="M896" s="2">
        <v>5</v>
      </c>
      <c r="N896" s="2">
        <v>8</v>
      </c>
      <c r="O896" s="2">
        <v>5</v>
      </c>
      <c r="P896" s="2">
        <v>0</v>
      </c>
      <c r="Q896" s="2" t="s">
        <v>3118</v>
      </c>
      <c r="R896" s="2" t="s">
        <v>3119</v>
      </c>
      <c r="S896" s="4">
        <v>44949</v>
      </c>
    </row>
    <row r="897" spans="1:19" ht="12.5" x14ac:dyDescent="0.25">
      <c r="A897" s="14" t="str">
        <f>HYPERLINK("https://gerandofalcoes.my.salesforce.com/0014X00002YggojQAB", "0014X00002YggojQAB")</f>
        <v>0014X00002YggojQAB</v>
      </c>
      <c r="B897" s="2" t="s">
        <v>3136</v>
      </c>
      <c r="C897" s="2" t="s">
        <v>423</v>
      </c>
      <c r="D897" s="2" t="s">
        <v>2</v>
      </c>
      <c r="E897" s="2"/>
      <c r="F897" s="2">
        <v>0</v>
      </c>
      <c r="G897" s="2">
        <v>4</v>
      </c>
      <c r="H897" s="2">
        <v>0</v>
      </c>
      <c r="I897" s="2">
        <v>44</v>
      </c>
      <c r="J897" s="2"/>
      <c r="K897" s="2">
        <v>15</v>
      </c>
      <c r="L897" s="2">
        <v>0</v>
      </c>
      <c r="M897" s="2">
        <v>0</v>
      </c>
      <c r="N897" s="2">
        <v>10</v>
      </c>
      <c r="O897" s="2">
        <v>0</v>
      </c>
      <c r="P897" s="2">
        <v>5</v>
      </c>
      <c r="Q897" s="2" t="s">
        <v>3137</v>
      </c>
      <c r="R897" s="2" t="s">
        <v>3138</v>
      </c>
      <c r="S897" s="4">
        <v>44949</v>
      </c>
    </row>
    <row r="898" spans="1:19" ht="12.5" x14ac:dyDescent="0.25">
      <c r="A898" s="14" t="str">
        <f>HYPERLINK("https://gerandofalcoes.my.salesforce.com/0014X00002YggleQAB", "0014X00002YggleQAB")</f>
        <v>0014X00002YggleQAB</v>
      </c>
      <c r="B898" s="2" t="s">
        <v>3083</v>
      </c>
      <c r="C898" s="2" t="s">
        <v>423</v>
      </c>
      <c r="D898" s="2" t="s">
        <v>2</v>
      </c>
      <c r="F898" s="2">
        <v>0</v>
      </c>
      <c r="G898" s="2">
        <v>2</v>
      </c>
      <c r="H898" s="2">
        <v>50000</v>
      </c>
      <c r="I898" s="2">
        <v>50</v>
      </c>
      <c r="K898" s="2">
        <v>21</v>
      </c>
      <c r="L898" s="2">
        <v>0</v>
      </c>
      <c r="M898" s="2">
        <v>0</v>
      </c>
      <c r="N898" s="2">
        <v>6</v>
      </c>
      <c r="O898" s="2">
        <v>10</v>
      </c>
      <c r="P898" s="2">
        <v>5</v>
      </c>
      <c r="Q898" s="2" t="s">
        <v>3084</v>
      </c>
      <c r="R898" s="2" t="s">
        <v>3084</v>
      </c>
      <c r="S898" s="4">
        <v>44946</v>
      </c>
    </row>
    <row r="899" spans="1:19" ht="12.5" x14ac:dyDescent="0.25">
      <c r="A899" s="14" t="str">
        <f>HYPERLINK("https://gerandofalcoes.my.salesforce.com/0014X00002YggkDQAR", "0014X00002YggkDQAR")</f>
        <v>0014X00002YggkDQAR</v>
      </c>
      <c r="B899" s="2" t="s">
        <v>3023</v>
      </c>
      <c r="C899" s="2" t="s">
        <v>423</v>
      </c>
      <c r="D899" s="2" t="s">
        <v>2</v>
      </c>
      <c r="F899" s="2">
        <v>0</v>
      </c>
      <c r="G899" s="2">
        <v>4</v>
      </c>
      <c r="H899" s="2">
        <v>78654</v>
      </c>
      <c r="I899" s="2">
        <v>0</v>
      </c>
      <c r="K899" s="2">
        <v>20</v>
      </c>
      <c r="L899" s="2">
        <v>0</v>
      </c>
      <c r="M899" s="2">
        <v>0</v>
      </c>
      <c r="N899" s="2">
        <v>10</v>
      </c>
      <c r="O899" s="2">
        <v>10</v>
      </c>
      <c r="P899" s="2">
        <v>0</v>
      </c>
      <c r="Q899" s="2" t="s">
        <v>3024</v>
      </c>
      <c r="R899" s="2" t="s">
        <v>3025</v>
      </c>
      <c r="S899" s="4">
        <v>44945</v>
      </c>
    </row>
    <row r="900" spans="1:19" ht="12.5" x14ac:dyDescent="0.25">
      <c r="A900" s="14" t="str">
        <f>HYPERLINK("https://gerandofalcoes.my.salesforce.com/0014X00002YggoVQAR", "0014X00002YggoVQAR")</f>
        <v>0014X00002YggoVQAR</v>
      </c>
      <c r="B900" s="2" t="s">
        <v>3101</v>
      </c>
      <c r="C900" s="2" t="s">
        <v>423</v>
      </c>
      <c r="D900" s="2" t="s">
        <v>2</v>
      </c>
      <c r="F900" s="2">
        <v>0</v>
      </c>
      <c r="G900" s="2">
        <v>4</v>
      </c>
      <c r="H900" s="2">
        <v>300</v>
      </c>
      <c r="I900" s="2">
        <v>30</v>
      </c>
      <c r="K900" s="2">
        <v>20</v>
      </c>
      <c r="L900" s="2">
        <v>0</v>
      </c>
      <c r="M900" s="2">
        <v>0</v>
      </c>
      <c r="N900" s="2">
        <v>10</v>
      </c>
      <c r="O900" s="2">
        <v>5</v>
      </c>
      <c r="P900" s="2">
        <v>5</v>
      </c>
      <c r="Q900" s="2" t="s">
        <v>3102</v>
      </c>
      <c r="R900" s="2" t="s">
        <v>3102</v>
      </c>
      <c r="S900" s="4">
        <v>44948</v>
      </c>
    </row>
    <row r="901" spans="1:19" ht="12.5" x14ac:dyDescent="0.25">
      <c r="B901" s="2"/>
      <c r="C901" s="2"/>
      <c r="D901" s="2"/>
      <c r="F901" s="2"/>
      <c r="G901" s="2"/>
      <c r="H901" s="2"/>
      <c r="I901" s="2"/>
      <c r="K901" s="2"/>
      <c r="L901" s="2"/>
      <c r="M901" s="2"/>
      <c r="N901" s="2"/>
      <c r="O901" s="2"/>
      <c r="P901" s="2"/>
      <c r="Q901" s="2"/>
      <c r="R901" s="2"/>
      <c r="S901" s="4"/>
    </row>
  </sheetData>
  <pageMargins left="0.511811024" right="0.511811024" top="0.78740157499999996" bottom="0.78740157499999996" header="0.31496062000000002" footer="0.31496062000000002"/>
  <pageSetup paperSize="9" orientation="portrait" verticalDpi="597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B0"/>
    <outlinePr summaryBelow="0" summaryRight="0"/>
  </sheetPr>
  <dimension ref="A1:Z744"/>
  <sheetViews>
    <sheetView workbookViewId="0">
      <pane ySplit="2" topLeftCell="A3" activePane="bottomLeft" state="frozen"/>
      <selection pane="bottomLeft" activeCell="B4" sqref="B4"/>
    </sheetView>
  </sheetViews>
  <sheetFormatPr defaultColWidth="12.6328125" defaultRowHeight="15.75" customHeight="1" x14ac:dyDescent="0.25"/>
  <cols>
    <col min="1" max="1" width="20.08984375" customWidth="1"/>
    <col min="2" max="2" width="37.6328125" customWidth="1"/>
    <col min="3" max="3" width="13.08984375" customWidth="1"/>
    <col min="4" max="4" width="16.08984375" customWidth="1"/>
    <col min="5" max="5" width="14.08984375" customWidth="1"/>
    <col min="6" max="6" width="17.08984375" customWidth="1"/>
    <col min="7" max="8" width="19.08984375" customWidth="1"/>
    <col min="9" max="9" width="14.08984375" customWidth="1"/>
    <col min="10" max="10" width="16.36328125" customWidth="1"/>
    <col min="11" max="11" width="11.08984375" customWidth="1"/>
    <col min="12" max="12" width="18.08984375" customWidth="1"/>
    <col min="13" max="13" width="21.08984375" customWidth="1"/>
    <col min="14" max="15" width="23.08984375" customWidth="1"/>
    <col min="16" max="16" width="18.08984375" customWidth="1"/>
    <col min="17" max="18" width="37.6328125" customWidth="1"/>
    <col min="19" max="19" width="30.08984375" customWidth="1"/>
  </cols>
  <sheetData>
    <row r="1" spans="1:26" ht="33.75" customHeight="1" x14ac:dyDescent="0.25">
      <c r="A1" s="17" t="s">
        <v>7190</v>
      </c>
      <c r="B1" s="17" t="s">
        <v>1632</v>
      </c>
      <c r="C1" s="17" t="s">
        <v>1632</v>
      </c>
      <c r="D1" s="17" t="s">
        <v>1632</v>
      </c>
      <c r="E1" s="17" t="s">
        <v>1632</v>
      </c>
      <c r="F1" s="17" t="s">
        <v>1632</v>
      </c>
      <c r="G1" s="17" t="s">
        <v>1632</v>
      </c>
      <c r="H1" s="17" t="s">
        <v>1632</v>
      </c>
      <c r="I1" s="17" t="s">
        <v>1632</v>
      </c>
      <c r="J1" s="17" t="s">
        <v>1632</v>
      </c>
      <c r="K1" s="17" t="s">
        <v>1632</v>
      </c>
      <c r="L1" s="17" t="s">
        <v>1632</v>
      </c>
      <c r="M1" s="17" t="s">
        <v>1632</v>
      </c>
      <c r="N1" s="17" t="s">
        <v>1632</v>
      </c>
      <c r="O1" s="17" t="s">
        <v>1632</v>
      </c>
      <c r="P1" s="17" t="s">
        <v>1632</v>
      </c>
      <c r="Q1" s="17" t="s">
        <v>1632</v>
      </c>
      <c r="R1" s="17" t="s">
        <v>1632</v>
      </c>
      <c r="S1" s="17" t="s">
        <v>1632</v>
      </c>
      <c r="T1" s="17"/>
      <c r="U1" s="17"/>
      <c r="V1" s="17"/>
      <c r="W1" s="17"/>
      <c r="X1" s="17"/>
      <c r="Y1" s="17"/>
      <c r="Z1" s="17"/>
    </row>
    <row r="2" spans="1:26" ht="22.5" customHeight="1" x14ac:dyDescent="0.25">
      <c r="A2" s="15" t="s">
        <v>1633</v>
      </c>
      <c r="B2" s="15" t="s">
        <v>1634</v>
      </c>
      <c r="C2" s="15" t="s">
        <v>1635</v>
      </c>
      <c r="D2" s="15" t="s">
        <v>0</v>
      </c>
      <c r="E2" s="15" t="s">
        <v>1636</v>
      </c>
      <c r="F2" s="15" t="s">
        <v>1637</v>
      </c>
      <c r="G2" s="15" t="s">
        <v>1638</v>
      </c>
      <c r="H2" s="15" t="s">
        <v>1639</v>
      </c>
      <c r="I2" s="15" t="s">
        <v>1640</v>
      </c>
      <c r="J2" s="15" t="s">
        <v>1625</v>
      </c>
      <c r="K2" s="15" t="s">
        <v>1641</v>
      </c>
      <c r="L2" s="15" t="s">
        <v>1642</v>
      </c>
      <c r="M2" s="15" t="s">
        <v>1643</v>
      </c>
      <c r="N2" s="15" t="s">
        <v>1644</v>
      </c>
      <c r="O2" s="15" t="s">
        <v>1645</v>
      </c>
      <c r="P2" s="15" t="s">
        <v>1646</v>
      </c>
      <c r="Q2" s="15" t="s">
        <v>1647</v>
      </c>
      <c r="R2" s="15" t="s">
        <v>387</v>
      </c>
      <c r="S2" s="15" t="s">
        <v>1648</v>
      </c>
      <c r="T2" s="16"/>
      <c r="U2" s="16"/>
      <c r="V2" s="16"/>
      <c r="W2" s="16"/>
      <c r="X2" s="16"/>
      <c r="Y2" s="16"/>
      <c r="Z2" s="16"/>
    </row>
    <row r="3" spans="1:26" ht="12.5" x14ac:dyDescent="0.25">
      <c r="A3" s="14" t="str">
        <f>HYPERLINK("https://gerandofalcoes.my.salesforce.com/0014X00002YggmlQAB", "0014X00002YggmlQAB")</f>
        <v>0014X00002YggmlQAB</v>
      </c>
      <c r="B3" s="2" t="s">
        <v>3078</v>
      </c>
      <c r="C3" s="2" t="s">
        <v>423</v>
      </c>
      <c r="D3" s="2" t="s">
        <v>2</v>
      </c>
      <c r="E3" s="2"/>
      <c r="F3" s="2">
        <v>1</v>
      </c>
      <c r="G3" s="2">
        <v>2</v>
      </c>
      <c r="H3" s="2">
        <v>30000</v>
      </c>
      <c r="I3" s="2">
        <v>90</v>
      </c>
      <c r="J3" s="2"/>
      <c r="K3" s="2">
        <v>31</v>
      </c>
      <c r="L3" s="2">
        <v>0</v>
      </c>
      <c r="M3" s="2">
        <v>5</v>
      </c>
      <c r="N3" s="2">
        <v>6</v>
      </c>
      <c r="O3" s="2">
        <v>10</v>
      </c>
      <c r="P3" s="2">
        <v>10</v>
      </c>
      <c r="Q3" s="2" t="s">
        <v>3079</v>
      </c>
      <c r="R3" s="2" t="s">
        <v>3080</v>
      </c>
      <c r="S3" s="4">
        <v>44953</v>
      </c>
    </row>
    <row r="4" spans="1:26" ht="12.5" x14ac:dyDescent="0.25">
      <c r="A4" s="14" t="str">
        <f>HYPERLINK("https://gerandofalcoes.my.salesforce.com/0014X00002YgggYQAR", "0014X00002YgggYQAR")</f>
        <v>0014X00002YgggYQAR</v>
      </c>
      <c r="B4" s="2" t="s">
        <v>3352</v>
      </c>
      <c r="C4" s="2" t="s">
        <v>423</v>
      </c>
      <c r="D4" s="2" t="s">
        <v>2</v>
      </c>
      <c r="E4" s="2"/>
      <c r="F4" s="2">
        <v>10</v>
      </c>
      <c r="G4" s="2">
        <v>3</v>
      </c>
      <c r="H4" s="2">
        <v>471944</v>
      </c>
      <c r="I4" s="2">
        <v>115</v>
      </c>
      <c r="J4" s="2"/>
      <c r="K4" s="2">
        <v>48</v>
      </c>
      <c r="L4" s="2">
        <v>0</v>
      </c>
      <c r="M4" s="2">
        <v>10</v>
      </c>
      <c r="N4" s="2">
        <v>8</v>
      </c>
      <c r="O4" s="2">
        <v>20</v>
      </c>
      <c r="P4" s="2">
        <v>10</v>
      </c>
      <c r="Q4" s="2" t="s">
        <v>3353</v>
      </c>
      <c r="R4" s="2" t="s">
        <v>7157</v>
      </c>
      <c r="S4" s="4">
        <v>44953</v>
      </c>
    </row>
    <row r="5" spans="1:26" ht="12.5" x14ac:dyDescent="0.25">
      <c r="A5" s="14" t="str">
        <f>HYPERLINK("https://gerandofalcoes.my.salesforce.com/0014X00002YgglrQAB", "0014X00002YgglrQAB")</f>
        <v>0014X00002YgglrQAB</v>
      </c>
      <c r="B5" s="2" t="s">
        <v>7174</v>
      </c>
      <c r="C5" s="2" t="s">
        <v>423</v>
      </c>
      <c r="D5" s="2" t="s">
        <v>2</v>
      </c>
      <c r="E5" s="2"/>
      <c r="F5" s="2">
        <v>0</v>
      </c>
      <c r="G5" s="2">
        <v>5</v>
      </c>
      <c r="H5" s="2">
        <v>10000</v>
      </c>
      <c r="I5" s="2">
        <v>0</v>
      </c>
      <c r="J5" s="2"/>
      <c r="K5" s="2">
        <v>15</v>
      </c>
      <c r="L5" s="2">
        <v>0</v>
      </c>
      <c r="M5" s="2">
        <v>0</v>
      </c>
      <c r="N5" s="2">
        <v>10</v>
      </c>
      <c r="O5" s="2">
        <v>5</v>
      </c>
      <c r="P5" s="2">
        <v>0</v>
      </c>
      <c r="Q5" s="2" t="s">
        <v>3385</v>
      </c>
      <c r="R5" s="2" t="s">
        <v>3386</v>
      </c>
      <c r="S5" s="4">
        <v>44953</v>
      </c>
    </row>
    <row r="6" spans="1:26" ht="12.5" x14ac:dyDescent="0.25">
      <c r="A6" s="14" t="str">
        <f>HYPERLINK("https://gerandofalcoes.my.salesforce.com/0014X00002YgglTQAR", "0014X00002YgglTQAR")</f>
        <v>0014X00002YgglTQAR</v>
      </c>
      <c r="B6" s="2" t="s">
        <v>3363</v>
      </c>
      <c r="C6" s="2" t="s">
        <v>423</v>
      </c>
      <c r="D6" s="2" t="s">
        <v>2</v>
      </c>
      <c r="E6" s="2"/>
      <c r="F6" s="2">
        <v>0</v>
      </c>
      <c r="G6" s="2">
        <v>2</v>
      </c>
      <c r="H6" s="2">
        <v>0</v>
      </c>
      <c r="I6" s="2">
        <v>60</v>
      </c>
      <c r="J6" s="2"/>
      <c r="K6" s="2">
        <v>11</v>
      </c>
      <c r="L6" s="2">
        <v>0</v>
      </c>
      <c r="M6" s="2">
        <v>0</v>
      </c>
      <c r="N6" s="2">
        <v>6</v>
      </c>
      <c r="O6" s="2">
        <v>0</v>
      </c>
      <c r="P6" s="2">
        <v>5</v>
      </c>
      <c r="Q6" s="2" t="s">
        <v>3364</v>
      </c>
      <c r="R6" s="2" t="s">
        <v>3364</v>
      </c>
      <c r="S6" s="4">
        <v>44953</v>
      </c>
    </row>
    <row r="7" spans="1:26" ht="12.5" x14ac:dyDescent="0.25">
      <c r="A7" s="14" t="str">
        <f>HYPERLINK("https://gerandofalcoes.my.salesforce.com/0014X00002YgghWQAR", "0014X00002YgghWQAR")</f>
        <v>0014X00002YgghWQAR</v>
      </c>
      <c r="B7" s="2" t="s">
        <v>3331</v>
      </c>
      <c r="C7" s="2" t="s">
        <v>423</v>
      </c>
      <c r="D7" s="2" t="s">
        <v>2</v>
      </c>
      <c r="E7" s="2"/>
      <c r="F7" s="2">
        <v>0</v>
      </c>
      <c r="G7" s="2">
        <v>2</v>
      </c>
      <c r="H7" s="2">
        <v>8000</v>
      </c>
      <c r="I7" s="2">
        <v>0</v>
      </c>
      <c r="J7" s="2"/>
      <c r="K7" s="2">
        <v>11</v>
      </c>
      <c r="L7" s="2">
        <v>0</v>
      </c>
      <c r="M7" s="2">
        <v>0</v>
      </c>
      <c r="N7" s="2">
        <v>6</v>
      </c>
      <c r="O7" s="2">
        <v>5</v>
      </c>
      <c r="P7" s="2">
        <v>0</v>
      </c>
      <c r="Q7" s="2" t="s">
        <v>3332</v>
      </c>
      <c r="R7" s="2" t="s">
        <v>3333</v>
      </c>
      <c r="S7" s="4">
        <v>44953</v>
      </c>
    </row>
    <row r="8" spans="1:26" ht="12.5" x14ac:dyDescent="0.25">
      <c r="A8" s="14" t="str">
        <f>HYPERLINK("https://gerandofalcoes.my.salesforce.com/0014X00002Yggk3QAB", "0014X00002Yggk3QAB")</f>
        <v>0014X00002Yggk3QAB</v>
      </c>
      <c r="B8" s="2" t="s">
        <v>3325</v>
      </c>
      <c r="C8" s="2" t="s">
        <v>423</v>
      </c>
      <c r="D8" s="2" t="s">
        <v>2</v>
      </c>
      <c r="E8" s="2"/>
      <c r="F8" s="2">
        <v>0</v>
      </c>
      <c r="G8" s="2">
        <v>3</v>
      </c>
      <c r="H8" s="2">
        <v>8386</v>
      </c>
      <c r="I8" s="2">
        <v>0</v>
      </c>
      <c r="J8" s="2"/>
      <c r="K8" s="2">
        <v>13</v>
      </c>
      <c r="L8" s="2">
        <v>0</v>
      </c>
      <c r="M8" s="2">
        <v>0</v>
      </c>
      <c r="N8" s="2">
        <v>8</v>
      </c>
      <c r="O8" s="2">
        <v>5</v>
      </c>
      <c r="P8" s="2">
        <v>0</v>
      </c>
      <c r="Q8" s="2" t="s">
        <v>3326</v>
      </c>
      <c r="R8" s="2" t="s">
        <v>3327</v>
      </c>
      <c r="S8" s="4">
        <v>44953</v>
      </c>
    </row>
    <row r="9" spans="1:26" ht="12.5" x14ac:dyDescent="0.25">
      <c r="A9" s="14" t="str">
        <f>HYPERLINK("https://gerandofalcoes.my.salesforce.com/0014X00002YgglpQAB", "0014X00002YgglpQAB")</f>
        <v>0014X00002YgglpQAB</v>
      </c>
      <c r="B9" s="2" t="s">
        <v>3360</v>
      </c>
      <c r="C9" s="2" t="s">
        <v>423</v>
      </c>
      <c r="D9" s="2" t="s">
        <v>2</v>
      </c>
      <c r="E9" s="2"/>
      <c r="F9" s="2">
        <v>24</v>
      </c>
      <c r="G9" s="2">
        <v>8</v>
      </c>
      <c r="H9" s="2">
        <v>12828162</v>
      </c>
      <c r="I9" s="2">
        <v>60</v>
      </c>
      <c r="J9" s="2"/>
      <c r="K9" s="2">
        <v>52</v>
      </c>
      <c r="L9" s="2">
        <v>0</v>
      </c>
      <c r="M9" s="2">
        <v>12</v>
      </c>
      <c r="N9" s="2">
        <v>10</v>
      </c>
      <c r="O9" s="2">
        <v>25</v>
      </c>
      <c r="P9" s="2">
        <v>5</v>
      </c>
      <c r="Q9" s="2" t="s">
        <v>3361</v>
      </c>
      <c r="R9" s="2" t="s">
        <v>3362</v>
      </c>
      <c r="S9" s="4">
        <v>44953</v>
      </c>
    </row>
    <row r="10" spans="1:26" ht="12.5" x14ac:dyDescent="0.25">
      <c r="A10" s="14" t="str">
        <f>HYPERLINK("https://gerandofalcoes.my.salesforce.com/0014X00002YggguQAB", "0014X00002YggguQAB")</f>
        <v>0014X00002YggguQAB</v>
      </c>
      <c r="B10" s="2" t="s">
        <v>3367</v>
      </c>
      <c r="C10" s="2" t="s">
        <v>423</v>
      </c>
      <c r="D10" s="2" t="s">
        <v>2</v>
      </c>
      <c r="E10" s="2"/>
      <c r="F10" s="2">
        <v>5</v>
      </c>
      <c r="G10" s="2">
        <v>80</v>
      </c>
      <c r="H10" s="2">
        <v>15000</v>
      </c>
      <c r="I10" s="2">
        <v>30</v>
      </c>
      <c r="J10" s="2"/>
      <c r="K10" s="2">
        <v>25</v>
      </c>
      <c r="L10" s="2">
        <v>0</v>
      </c>
      <c r="M10" s="2">
        <v>5</v>
      </c>
      <c r="N10" s="2">
        <v>10</v>
      </c>
      <c r="O10" s="2">
        <v>5</v>
      </c>
      <c r="P10" s="2">
        <v>5</v>
      </c>
      <c r="Q10" s="2" t="s">
        <v>3368</v>
      </c>
      <c r="R10" s="2" t="s">
        <v>3369</v>
      </c>
      <c r="S10" s="4">
        <v>44953</v>
      </c>
    </row>
    <row r="11" spans="1:26" ht="12.5" x14ac:dyDescent="0.25">
      <c r="A11" s="14" t="str">
        <f>HYPERLINK("https://gerandofalcoes.my.salesforce.com/0014X00002YgggwQAB", "0014X00002YgggwQAB")</f>
        <v>0014X00002YgggwQAB</v>
      </c>
      <c r="B11" s="2" t="s">
        <v>3106</v>
      </c>
      <c r="C11" s="2" t="s">
        <v>423</v>
      </c>
      <c r="D11" s="2" t="s">
        <v>2</v>
      </c>
      <c r="E11" s="2"/>
      <c r="F11" s="2">
        <v>0</v>
      </c>
      <c r="G11" s="2">
        <v>3</v>
      </c>
      <c r="H11" s="2">
        <v>1000</v>
      </c>
      <c r="I11" s="2">
        <v>0</v>
      </c>
      <c r="J11" s="2"/>
      <c r="K11" s="2">
        <v>13</v>
      </c>
      <c r="L11" s="2">
        <v>0</v>
      </c>
      <c r="M11" s="2">
        <v>0</v>
      </c>
      <c r="N11" s="2">
        <v>8</v>
      </c>
      <c r="O11" s="2">
        <v>5</v>
      </c>
      <c r="P11" s="2">
        <v>0</v>
      </c>
      <c r="Q11" s="2" t="s">
        <v>3107</v>
      </c>
      <c r="R11" s="2" t="s">
        <v>3108</v>
      </c>
      <c r="S11" s="4">
        <v>44948</v>
      </c>
    </row>
    <row r="12" spans="1:26" ht="12.5" x14ac:dyDescent="0.25">
      <c r="A12" s="14" t="str">
        <f>HYPERLINK("https://gerandofalcoes.my.salesforce.com/0014X00002YggoVQAR", "0014X00002YggoVQAR")</f>
        <v>0014X00002YggoVQAR</v>
      </c>
      <c r="B12" s="2" t="s">
        <v>3101</v>
      </c>
      <c r="C12" s="2" t="s">
        <v>423</v>
      </c>
      <c r="D12" s="2" t="s">
        <v>2</v>
      </c>
      <c r="E12" s="2"/>
      <c r="F12" s="2">
        <v>0</v>
      </c>
      <c r="G12" s="2">
        <v>4</v>
      </c>
      <c r="H12" s="2">
        <v>300</v>
      </c>
      <c r="I12" s="2">
        <v>30</v>
      </c>
      <c r="J12" s="2"/>
      <c r="K12" s="2">
        <v>20</v>
      </c>
      <c r="L12" s="2">
        <v>0</v>
      </c>
      <c r="M12" s="2">
        <v>0</v>
      </c>
      <c r="N12" s="2">
        <v>10</v>
      </c>
      <c r="O12" s="2">
        <v>5</v>
      </c>
      <c r="P12" s="2">
        <v>5</v>
      </c>
      <c r="Q12" s="2" t="s">
        <v>3102</v>
      </c>
      <c r="R12" s="2" t="s">
        <v>3102</v>
      </c>
      <c r="S12" s="4">
        <v>44948</v>
      </c>
    </row>
    <row r="13" spans="1:26" ht="12.5" x14ac:dyDescent="0.25">
      <c r="A13" s="14" t="str">
        <f>HYPERLINK("https://gerandofalcoes.my.salesforce.com/0014X00002YggpMQAR", "0014X00002YggpMQAR")</f>
        <v>0014X00002YggpMQAR</v>
      </c>
      <c r="B13" s="2" t="s">
        <v>3261</v>
      </c>
      <c r="C13" s="2" t="s">
        <v>423</v>
      </c>
      <c r="D13" s="2" t="s">
        <v>2</v>
      </c>
      <c r="E13" s="2"/>
      <c r="F13" s="2">
        <v>0</v>
      </c>
      <c r="G13" s="2">
        <v>5</v>
      </c>
      <c r="H13" s="2">
        <v>2000</v>
      </c>
      <c r="I13" s="2">
        <v>15</v>
      </c>
      <c r="J13" s="2"/>
      <c r="K13" s="2">
        <v>20</v>
      </c>
      <c r="L13" s="2">
        <v>0</v>
      </c>
      <c r="M13" s="2">
        <v>0</v>
      </c>
      <c r="N13" s="2">
        <v>10</v>
      </c>
      <c r="O13" s="2">
        <v>5</v>
      </c>
      <c r="P13" s="2">
        <v>5</v>
      </c>
      <c r="Q13" s="2" t="s">
        <v>3262</v>
      </c>
      <c r="R13" s="2" t="s">
        <v>3262</v>
      </c>
      <c r="S13" s="4">
        <v>44952</v>
      </c>
    </row>
    <row r="14" spans="1:26" ht="12.5" x14ac:dyDescent="0.25">
      <c r="A14" s="14" t="str">
        <f>HYPERLINK("https://gerandofalcoes.my.salesforce.com/0014X00002YggntQAB", "0014X00002YggntQAB")</f>
        <v>0014X00002YggntQAB</v>
      </c>
      <c r="B14" s="2" t="s">
        <v>3109</v>
      </c>
      <c r="C14" s="2" t="s">
        <v>423</v>
      </c>
      <c r="D14" s="2" t="s">
        <v>2</v>
      </c>
      <c r="E14" s="2"/>
      <c r="F14" s="2">
        <v>0</v>
      </c>
      <c r="G14" s="2">
        <v>2</v>
      </c>
      <c r="H14" s="2">
        <v>40000</v>
      </c>
      <c r="I14" s="2">
        <v>0</v>
      </c>
      <c r="J14" s="2"/>
      <c r="K14" s="2">
        <v>16</v>
      </c>
      <c r="L14" s="2">
        <v>0</v>
      </c>
      <c r="M14" s="2">
        <v>0</v>
      </c>
      <c r="N14" s="2">
        <v>6</v>
      </c>
      <c r="O14" s="2">
        <v>10</v>
      </c>
      <c r="P14" s="2">
        <v>0</v>
      </c>
      <c r="Q14" s="2" t="s">
        <v>3110</v>
      </c>
      <c r="R14" s="2" t="s">
        <v>3110</v>
      </c>
      <c r="S14" s="4">
        <v>44948</v>
      </c>
    </row>
    <row r="15" spans="1:26" ht="12.5" x14ac:dyDescent="0.25">
      <c r="A15" s="14" t="str">
        <f>HYPERLINK("https://gerandofalcoes.my.salesforce.com/0014X00002YggiBQAR", "0014X00002YggiBQAR")</f>
        <v>0014X00002YggiBQAR</v>
      </c>
      <c r="B15" s="2" t="s">
        <v>3322</v>
      </c>
      <c r="C15" s="2" t="s">
        <v>423</v>
      </c>
      <c r="D15" s="2" t="s">
        <v>2</v>
      </c>
      <c r="E15" s="2"/>
      <c r="F15" s="2">
        <v>123</v>
      </c>
      <c r="G15" s="2">
        <v>5</v>
      </c>
      <c r="H15" s="2">
        <v>20000</v>
      </c>
      <c r="I15" s="2">
        <v>100</v>
      </c>
      <c r="J15" s="2"/>
      <c r="K15" s="2">
        <v>40</v>
      </c>
      <c r="L15" s="2">
        <v>0</v>
      </c>
      <c r="M15" s="2">
        <v>15</v>
      </c>
      <c r="N15" s="2">
        <v>10</v>
      </c>
      <c r="O15" s="2">
        <v>5</v>
      </c>
      <c r="P15" s="2">
        <v>10</v>
      </c>
      <c r="Q15" s="2" t="s">
        <v>3323</v>
      </c>
      <c r="R15" s="2" t="s">
        <v>3324</v>
      </c>
      <c r="S15" s="4">
        <v>44953</v>
      </c>
    </row>
    <row r="16" spans="1:26" ht="12.5" x14ac:dyDescent="0.25">
      <c r="A16" s="14" t="str">
        <f>HYPERLINK("https://gerandofalcoes.my.salesforce.com/0014X00002Yggk6QAB", "0014X00002Yggk6QAB")</f>
        <v>0014X00002Yggk6QAB</v>
      </c>
      <c r="B16" s="2" t="s">
        <v>3370</v>
      </c>
      <c r="C16" s="2" t="s">
        <v>423</v>
      </c>
      <c r="D16" s="2" t="s">
        <v>2</v>
      </c>
      <c r="E16" s="2"/>
      <c r="F16" s="2">
        <v>0</v>
      </c>
      <c r="G16" s="2">
        <v>2</v>
      </c>
      <c r="H16" s="2">
        <v>1000</v>
      </c>
      <c r="I16" s="2">
        <v>20</v>
      </c>
      <c r="J16" s="2"/>
      <c r="K16" s="2">
        <v>16</v>
      </c>
      <c r="L16" s="2">
        <v>0</v>
      </c>
      <c r="M16" s="2">
        <v>0</v>
      </c>
      <c r="N16" s="2">
        <v>6</v>
      </c>
      <c r="O16" s="2">
        <v>5</v>
      </c>
      <c r="P16" s="2">
        <v>5</v>
      </c>
      <c r="Q16" s="2" t="s">
        <v>3371</v>
      </c>
      <c r="R16" s="2" t="s">
        <v>3371</v>
      </c>
      <c r="S16" s="4">
        <v>44953</v>
      </c>
    </row>
    <row r="17" spans="1:19" ht="12.5" x14ac:dyDescent="0.25">
      <c r="A17" s="14" t="str">
        <f>HYPERLINK("https://gerandofalcoes.my.salesforce.com/0014X00002YggimQAB", "0014X00002YggimQAB")</f>
        <v>0014X00002YggimQAB</v>
      </c>
      <c r="B17" s="2" t="s">
        <v>7170</v>
      </c>
      <c r="C17" s="2" t="s">
        <v>423</v>
      </c>
      <c r="D17" s="2" t="s">
        <v>2</v>
      </c>
      <c r="E17" s="2"/>
      <c r="F17" s="2">
        <v>0</v>
      </c>
      <c r="G17" s="2">
        <v>2</v>
      </c>
      <c r="H17" s="2">
        <v>200</v>
      </c>
      <c r="I17" s="2">
        <v>0</v>
      </c>
      <c r="J17" s="2"/>
      <c r="K17" s="2">
        <v>11</v>
      </c>
      <c r="L17" s="2">
        <v>0</v>
      </c>
      <c r="M17" s="2">
        <v>0</v>
      </c>
      <c r="N17" s="2">
        <v>6</v>
      </c>
      <c r="O17" s="2">
        <v>5</v>
      </c>
      <c r="P17" s="2">
        <v>0</v>
      </c>
      <c r="Q17" s="2" t="s">
        <v>3148</v>
      </c>
      <c r="R17" s="2" t="s">
        <v>3148</v>
      </c>
      <c r="S17" s="4">
        <v>44949</v>
      </c>
    </row>
    <row r="18" spans="1:19" ht="12.5" x14ac:dyDescent="0.25">
      <c r="A18" s="14" t="str">
        <f>HYPERLINK("https://gerandofalcoes.my.salesforce.com/0014X00002YggglQAB", "0014X00002YggglQAB")</f>
        <v>0014X00002YggglQAB</v>
      </c>
      <c r="B18" s="2" t="s">
        <v>7154</v>
      </c>
      <c r="C18" s="2" t="s">
        <v>423</v>
      </c>
      <c r="D18" s="2" t="s">
        <v>2</v>
      </c>
      <c r="E18" s="2"/>
      <c r="F18" s="2">
        <v>0</v>
      </c>
      <c r="G18" s="2">
        <v>2</v>
      </c>
      <c r="H18" s="2">
        <v>15000</v>
      </c>
      <c r="I18" s="2">
        <v>0</v>
      </c>
      <c r="J18" s="2"/>
      <c r="K18" s="2">
        <v>11</v>
      </c>
      <c r="L18" s="2">
        <v>0</v>
      </c>
      <c r="M18" s="2">
        <v>0</v>
      </c>
      <c r="N18" s="2">
        <v>6</v>
      </c>
      <c r="O18" s="2">
        <v>5</v>
      </c>
      <c r="P18" s="2">
        <v>0</v>
      </c>
      <c r="Q18" s="2" t="s">
        <v>7155</v>
      </c>
      <c r="R18" s="2" t="s">
        <v>3145</v>
      </c>
      <c r="S18" s="4">
        <v>44949</v>
      </c>
    </row>
    <row r="19" spans="1:19" ht="12.5" x14ac:dyDescent="0.25">
      <c r="A19" s="14" t="str">
        <f>HYPERLINK("https://gerandofalcoes.my.salesforce.com/0014X00002YggnGQAR", "0014X00002YggnGQAR")</f>
        <v>0014X00002YggnGQAR</v>
      </c>
      <c r="B19" s="2" t="s">
        <v>3173</v>
      </c>
      <c r="C19" s="2" t="s">
        <v>423</v>
      </c>
      <c r="D19" s="2" t="s">
        <v>2</v>
      </c>
      <c r="E19" s="2"/>
      <c r="F19" s="2">
        <v>0</v>
      </c>
      <c r="G19" s="2">
        <v>3</v>
      </c>
      <c r="H19" s="2">
        <v>10000</v>
      </c>
      <c r="I19" s="2">
        <v>0</v>
      </c>
      <c r="J19" s="2"/>
      <c r="K19" s="2">
        <v>13</v>
      </c>
      <c r="L19" s="2">
        <v>0</v>
      </c>
      <c r="M19" s="2">
        <v>0</v>
      </c>
      <c r="N19" s="2">
        <v>8</v>
      </c>
      <c r="O19" s="2">
        <v>5</v>
      </c>
      <c r="P19" s="2">
        <v>0</v>
      </c>
      <c r="Q19" s="2" t="s">
        <v>3174</v>
      </c>
      <c r="R19" s="2" t="s">
        <v>3175</v>
      </c>
      <c r="S19" s="4">
        <v>44950</v>
      </c>
    </row>
    <row r="20" spans="1:19" ht="12.5" x14ac:dyDescent="0.25">
      <c r="A20" s="14" t="str">
        <f>HYPERLINK("https://gerandofalcoes.my.salesforce.com/0014X00002YggpQQAR", "0014X00002YggpQQAR")</f>
        <v>0014X00002YggpQQAR</v>
      </c>
      <c r="B20" s="2" t="s">
        <v>3202</v>
      </c>
      <c r="C20" s="2" t="s">
        <v>423</v>
      </c>
      <c r="D20" s="2" t="s">
        <v>2</v>
      </c>
      <c r="E20" s="2"/>
      <c r="F20" s="2">
        <v>1</v>
      </c>
      <c r="G20" s="2">
        <v>3</v>
      </c>
      <c r="H20" s="2">
        <v>3000</v>
      </c>
      <c r="I20" s="2">
        <v>50</v>
      </c>
      <c r="J20" s="2"/>
      <c r="K20" s="2">
        <v>23</v>
      </c>
      <c r="L20" s="2">
        <v>0</v>
      </c>
      <c r="M20" s="2">
        <v>5</v>
      </c>
      <c r="N20" s="2">
        <v>8</v>
      </c>
      <c r="O20" s="2">
        <v>5</v>
      </c>
      <c r="P20" s="2">
        <v>5</v>
      </c>
      <c r="Q20" s="2" t="s">
        <v>3203</v>
      </c>
      <c r="R20" s="2" t="s">
        <v>3203</v>
      </c>
      <c r="S20" s="4">
        <v>44951</v>
      </c>
    </row>
    <row r="21" spans="1:19" ht="12.5" x14ac:dyDescent="0.25">
      <c r="A21" s="14" t="str">
        <f>HYPERLINK("https://gerandofalcoes.my.salesforce.com/0014X00002Yggo3QAB", "0014X00002Yggo3QAB")</f>
        <v>0014X00002Yggo3QAB</v>
      </c>
      <c r="B21" s="2" t="s">
        <v>7182</v>
      </c>
      <c r="C21" s="2" t="s">
        <v>423</v>
      </c>
      <c r="D21" s="2" t="s">
        <v>2</v>
      </c>
      <c r="E21" s="2"/>
      <c r="F21" s="2">
        <v>0</v>
      </c>
      <c r="G21" s="2">
        <v>2</v>
      </c>
      <c r="H21" s="2">
        <v>10000</v>
      </c>
      <c r="I21" s="2">
        <v>0</v>
      </c>
      <c r="J21" s="2"/>
      <c r="K21" s="2">
        <v>11</v>
      </c>
      <c r="L21" s="2">
        <v>0</v>
      </c>
      <c r="M21" s="2">
        <v>0</v>
      </c>
      <c r="N21" s="2">
        <v>6</v>
      </c>
      <c r="O21" s="2">
        <v>5</v>
      </c>
      <c r="P21" s="2">
        <v>0</v>
      </c>
      <c r="Q21" s="2" t="s">
        <v>3104</v>
      </c>
      <c r="R21" s="2" t="s">
        <v>3105</v>
      </c>
      <c r="S21" s="4">
        <v>44948</v>
      </c>
    </row>
    <row r="22" spans="1:19" ht="12.5" x14ac:dyDescent="0.25">
      <c r="A22" s="14" t="str">
        <f>HYPERLINK("https://gerandofalcoes.my.salesforce.com/0014X00002YgglMQAR", "0014X00002YgglMQAR")</f>
        <v>0014X00002YgglMQAR</v>
      </c>
      <c r="B22" s="2" t="s">
        <v>3188</v>
      </c>
      <c r="C22" s="2" t="s">
        <v>423</v>
      </c>
      <c r="D22" s="2" t="s">
        <v>2</v>
      </c>
      <c r="E22" s="2"/>
      <c r="F22" s="2">
        <v>1</v>
      </c>
      <c r="G22" s="2">
        <v>2</v>
      </c>
      <c r="H22" s="2">
        <v>12000</v>
      </c>
      <c r="I22" s="2">
        <v>3</v>
      </c>
      <c r="J22" s="2"/>
      <c r="K22" s="2">
        <v>21</v>
      </c>
      <c r="L22" s="2">
        <v>0</v>
      </c>
      <c r="M22" s="2">
        <v>5</v>
      </c>
      <c r="N22" s="2">
        <v>6</v>
      </c>
      <c r="O22" s="2">
        <v>5</v>
      </c>
      <c r="P22" s="2">
        <v>5</v>
      </c>
      <c r="Q22" s="2" t="s">
        <v>3189</v>
      </c>
      <c r="R22" s="2" t="s">
        <v>3190</v>
      </c>
      <c r="S22" s="4">
        <v>44951</v>
      </c>
    </row>
    <row r="23" spans="1:19" ht="12.5" x14ac:dyDescent="0.25">
      <c r="A23" s="14" t="str">
        <f>HYPERLINK("https://gerandofalcoes.my.salesforce.com/0014X00002YggpCQAR", "0014X00002YggpCQAR")</f>
        <v>0014X00002YggpCQAR</v>
      </c>
      <c r="B23" s="2" t="s">
        <v>3120</v>
      </c>
      <c r="C23" s="2" t="s">
        <v>423</v>
      </c>
      <c r="D23" s="2" t="s">
        <v>2</v>
      </c>
      <c r="E23" s="2"/>
      <c r="F23" s="2">
        <v>0</v>
      </c>
      <c r="G23" s="2">
        <v>10</v>
      </c>
      <c r="H23" s="2">
        <v>1100</v>
      </c>
      <c r="I23" s="2">
        <v>0</v>
      </c>
      <c r="J23" s="2"/>
      <c r="K23" s="2">
        <v>15</v>
      </c>
      <c r="L23" s="2">
        <v>0</v>
      </c>
      <c r="M23" s="2">
        <v>0</v>
      </c>
      <c r="N23" s="2">
        <v>10</v>
      </c>
      <c r="O23" s="2">
        <v>5</v>
      </c>
      <c r="P23" s="2">
        <v>0</v>
      </c>
      <c r="Q23" s="2" t="s">
        <v>3121</v>
      </c>
      <c r="R23" s="2" t="s">
        <v>3121</v>
      </c>
      <c r="S23" s="4">
        <v>44949</v>
      </c>
    </row>
    <row r="24" spans="1:19" ht="12.5" x14ac:dyDescent="0.25">
      <c r="A24" s="14" t="str">
        <f>HYPERLINK("https://gerandofalcoes.my.salesforce.com/0014X00002YggqZQAR", "0014X00002YggqZQAR")</f>
        <v>0014X00002YggqZQAR</v>
      </c>
      <c r="B24" s="2" t="s">
        <v>3289</v>
      </c>
      <c r="C24" s="2" t="s">
        <v>423</v>
      </c>
      <c r="D24" s="2" t="s">
        <v>2</v>
      </c>
      <c r="E24" s="2"/>
      <c r="F24" s="2">
        <v>5</v>
      </c>
      <c r="G24" s="2">
        <v>3</v>
      </c>
      <c r="H24" s="2">
        <v>1000</v>
      </c>
      <c r="I24" s="2">
        <v>23</v>
      </c>
      <c r="J24" s="2"/>
      <c r="K24" s="2">
        <v>23</v>
      </c>
      <c r="L24" s="2">
        <v>0</v>
      </c>
      <c r="M24" s="2">
        <v>5</v>
      </c>
      <c r="N24" s="2">
        <v>8</v>
      </c>
      <c r="O24" s="2">
        <v>5</v>
      </c>
      <c r="P24" s="2">
        <v>5</v>
      </c>
      <c r="Q24" s="2" t="s">
        <v>3290</v>
      </c>
      <c r="R24" s="2" t="s">
        <v>3290</v>
      </c>
      <c r="S24" s="4">
        <v>44952</v>
      </c>
    </row>
    <row r="25" spans="1:19" ht="12.5" x14ac:dyDescent="0.25">
      <c r="A25" s="14" t="str">
        <f>HYPERLINK("https://gerandofalcoes.my.salesforce.com/0014X00002YggivQAB", "0014X00002YggivQAB")</f>
        <v>0014X00002YggivQAB</v>
      </c>
      <c r="B25" s="2" t="s">
        <v>3931</v>
      </c>
      <c r="C25" s="2" t="s">
        <v>423</v>
      </c>
      <c r="D25" s="2" t="s">
        <v>2</v>
      </c>
      <c r="E25" s="2"/>
      <c r="F25" s="2">
        <v>4</v>
      </c>
      <c r="G25" s="2">
        <v>6</v>
      </c>
      <c r="H25" s="2">
        <v>20</v>
      </c>
      <c r="I25" s="2">
        <v>200</v>
      </c>
      <c r="J25" s="2"/>
      <c r="K25" s="2">
        <v>32</v>
      </c>
      <c r="L25" s="2">
        <v>0</v>
      </c>
      <c r="M25" s="2">
        <v>5</v>
      </c>
      <c r="N25" s="2">
        <v>10</v>
      </c>
      <c r="O25" s="2">
        <v>5</v>
      </c>
      <c r="P25" s="2">
        <v>12</v>
      </c>
      <c r="Q25" s="2" t="s">
        <v>3932</v>
      </c>
      <c r="R25" s="2" t="s">
        <v>3932</v>
      </c>
      <c r="S25" s="4">
        <v>44952</v>
      </c>
    </row>
    <row r="26" spans="1:19" ht="12.5" x14ac:dyDescent="0.25">
      <c r="A26" s="14" t="str">
        <f>HYPERLINK("https://gerandofalcoes.my.salesforce.com/0014X00002YgghzQAB", "0014X00002YgghzQAB")</f>
        <v>0014X00002YgghzQAB</v>
      </c>
      <c r="B26" s="2" t="s">
        <v>3139</v>
      </c>
      <c r="C26" s="2" t="s">
        <v>423</v>
      </c>
      <c r="D26" s="2" t="s">
        <v>2</v>
      </c>
      <c r="E26" s="2"/>
      <c r="F26" s="2">
        <v>1</v>
      </c>
      <c r="G26" s="2">
        <v>4</v>
      </c>
      <c r="H26" s="2">
        <v>2500</v>
      </c>
      <c r="I26" s="2">
        <v>25</v>
      </c>
      <c r="J26" s="2"/>
      <c r="K26" s="2">
        <v>25</v>
      </c>
      <c r="L26" s="2">
        <v>0</v>
      </c>
      <c r="M26" s="2">
        <v>5</v>
      </c>
      <c r="N26" s="2">
        <v>10</v>
      </c>
      <c r="O26" s="2">
        <v>5</v>
      </c>
      <c r="P26" s="2">
        <v>5</v>
      </c>
      <c r="Q26" s="2" t="s">
        <v>3140</v>
      </c>
      <c r="R26" s="2" t="s">
        <v>3141</v>
      </c>
      <c r="S26" s="4">
        <v>44949</v>
      </c>
    </row>
    <row r="27" spans="1:19" ht="12.5" x14ac:dyDescent="0.25">
      <c r="A27" s="14" t="str">
        <f>HYPERLINK("https://gerandofalcoes.my.salesforce.com/0014X00002YggkAQAR", "0014X00002YggkAQAR")</f>
        <v>0014X00002YggkAQAR</v>
      </c>
      <c r="B27" s="2" t="s">
        <v>4569</v>
      </c>
      <c r="C27" s="2" t="s">
        <v>423</v>
      </c>
      <c r="D27" s="2" t="s">
        <v>2</v>
      </c>
      <c r="E27" s="2"/>
      <c r="F27" s="2">
        <v>12</v>
      </c>
      <c r="G27" s="2">
        <v>2</v>
      </c>
      <c r="H27" s="2">
        <v>4000</v>
      </c>
      <c r="I27" s="2">
        <v>0</v>
      </c>
      <c r="J27" s="2"/>
      <c r="K27" s="2">
        <v>23</v>
      </c>
      <c r="L27" s="2">
        <v>0</v>
      </c>
      <c r="M27" s="2">
        <v>12</v>
      </c>
      <c r="N27" s="2">
        <v>6</v>
      </c>
      <c r="O27" s="2">
        <v>5</v>
      </c>
      <c r="P27" s="2">
        <v>0</v>
      </c>
      <c r="Q27" s="2" t="s">
        <v>3256</v>
      </c>
      <c r="R27" s="2" t="s">
        <v>3257</v>
      </c>
      <c r="S27" s="4">
        <v>44952</v>
      </c>
    </row>
    <row r="28" spans="1:19" ht="12.5" x14ac:dyDescent="0.25">
      <c r="A28" s="14" t="str">
        <f>HYPERLINK("https://gerandofalcoes.my.salesforce.com/0014X00002YggmBQAR", "0014X00002YggmBQAR")</f>
        <v>0014X00002YggmBQAR</v>
      </c>
      <c r="B28" s="2" t="s">
        <v>3125</v>
      </c>
      <c r="C28" s="2" t="s">
        <v>423</v>
      </c>
      <c r="D28" s="2" t="s">
        <v>2</v>
      </c>
      <c r="E28" s="2"/>
      <c r="F28" s="2">
        <v>5</v>
      </c>
      <c r="G28" s="2">
        <v>8</v>
      </c>
      <c r="H28" s="2">
        <v>35000</v>
      </c>
      <c r="I28" s="2">
        <v>120</v>
      </c>
      <c r="J28" s="2"/>
      <c r="K28" s="2">
        <v>35</v>
      </c>
      <c r="L28" s="2">
        <v>0</v>
      </c>
      <c r="M28" s="2">
        <v>5</v>
      </c>
      <c r="N28" s="2">
        <v>10</v>
      </c>
      <c r="O28" s="2">
        <v>10</v>
      </c>
      <c r="P28" s="2">
        <v>10</v>
      </c>
      <c r="Q28" s="2" t="s">
        <v>3126</v>
      </c>
      <c r="R28" s="2" t="s">
        <v>3127</v>
      </c>
      <c r="S28" s="4">
        <v>44949</v>
      </c>
    </row>
    <row r="29" spans="1:19" ht="12.5" x14ac:dyDescent="0.25">
      <c r="A29" s="14" t="str">
        <f>HYPERLINK("https://gerandofalcoes.my.salesforce.com/0014X00002YggltQAB", "0014X00002YggltQAB")</f>
        <v>0014X00002YggltQAB</v>
      </c>
      <c r="B29" s="2" t="s">
        <v>3142</v>
      </c>
      <c r="C29" s="2" t="s">
        <v>423</v>
      </c>
      <c r="D29" s="2" t="s">
        <v>2</v>
      </c>
      <c r="E29" s="2"/>
      <c r="F29" s="2">
        <v>0</v>
      </c>
      <c r="G29" s="2">
        <v>5</v>
      </c>
      <c r="H29" s="2">
        <v>3000</v>
      </c>
      <c r="I29" s="2">
        <v>10</v>
      </c>
      <c r="J29" s="2"/>
      <c r="K29" s="2">
        <v>20</v>
      </c>
      <c r="L29" s="2">
        <v>0</v>
      </c>
      <c r="M29" s="2">
        <v>0</v>
      </c>
      <c r="N29" s="2">
        <v>10</v>
      </c>
      <c r="O29" s="2">
        <v>5</v>
      </c>
      <c r="P29" s="2">
        <v>5</v>
      </c>
      <c r="Q29" s="2" t="s">
        <v>3143</v>
      </c>
      <c r="R29" s="2" t="s">
        <v>3143</v>
      </c>
      <c r="S29" s="4">
        <v>44949</v>
      </c>
    </row>
    <row r="30" spans="1:19" ht="12.5" x14ac:dyDescent="0.25">
      <c r="A30" s="14" t="str">
        <f>HYPERLINK("https://gerandofalcoes.my.salesforce.com/0014X00002YggnyQAB", "0014X00002YggnyQAB")</f>
        <v>0014X00002YggnyQAB</v>
      </c>
      <c r="B30" s="2" t="s">
        <v>3519</v>
      </c>
      <c r="C30" s="2" t="s">
        <v>423</v>
      </c>
      <c r="D30" s="2" t="s">
        <v>2</v>
      </c>
      <c r="E30" s="2"/>
      <c r="F30" s="2">
        <v>25</v>
      </c>
      <c r="G30" s="2">
        <v>3</v>
      </c>
      <c r="H30" s="2">
        <v>49000</v>
      </c>
      <c r="I30" s="2">
        <v>0</v>
      </c>
      <c r="J30" s="2"/>
      <c r="K30" s="2">
        <v>30</v>
      </c>
      <c r="L30" s="2">
        <v>0</v>
      </c>
      <c r="M30" s="2">
        <v>12</v>
      </c>
      <c r="N30" s="2">
        <v>8</v>
      </c>
      <c r="O30" s="2">
        <v>10</v>
      </c>
      <c r="P30" s="2">
        <v>0</v>
      </c>
      <c r="Q30" s="2" t="s">
        <v>3520</v>
      </c>
      <c r="R30" s="2" t="s">
        <v>3521</v>
      </c>
      <c r="S30" s="4">
        <v>44950</v>
      </c>
    </row>
    <row r="31" spans="1:19" ht="12.5" x14ac:dyDescent="0.25">
      <c r="A31" s="14" t="str">
        <f>HYPERLINK("https://gerandofalcoes.my.salesforce.com/0014X00002YggqMQAR", "0014X00002YggqMQAR")</f>
        <v>0014X00002YggqMQAR</v>
      </c>
      <c r="B31" s="2" t="s">
        <v>3045</v>
      </c>
      <c r="C31" s="2" t="s">
        <v>423</v>
      </c>
      <c r="D31" s="2" t="s">
        <v>2</v>
      </c>
      <c r="E31" s="2"/>
      <c r="F31" s="2">
        <v>0</v>
      </c>
      <c r="G31" s="2">
        <v>2</v>
      </c>
      <c r="H31" s="2">
        <v>0</v>
      </c>
      <c r="I31" s="2">
        <v>0</v>
      </c>
      <c r="J31" s="2"/>
      <c r="K31" s="2">
        <v>6</v>
      </c>
      <c r="L31" s="2">
        <v>0</v>
      </c>
      <c r="M31" s="2">
        <v>0</v>
      </c>
      <c r="N31" s="2">
        <v>6</v>
      </c>
      <c r="O31" s="2">
        <v>0</v>
      </c>
      <c r="P31" s="2">
        <v>0</v>
      </c>
      <c r="Q31" s="2" t="s">
        <v>3046</v>
      </c>
      <c r="R31" s="2" t="s">
        <v>3046</v>
      </c>
      <c r="S31" s="4">
        <v>44945</v>
      </c>
    </row>
    <row r="32" spans="1:19" ht="12.5" x14ac:dyDescent="0.25">
      <c r="A32" s="14" t="str">
        <f>HYPERLINK("https://gerandofalcoes.my.salesforce.com/0014X00002YggkqQAB", "0014X00002YggkqQAB")</f>
        <v>0014X00002YggkqQAB</v>
      </c>
      <c r="B32" s="2" t="s">
        <v>3035</v>
      </c>
      <c r="C32" s="2" t="s">
        <v>423</v>
      </c>
      <c r="D32" s="2" t="s">
        <v>2</v>
      </c>
      <c r="E32" s="2"/>
      <c r="F32" s="2">
        <v>0</v>
      </c>
      <c r="G32" s="2">
        <v>3</v>
      </c>
      <c r="H32" s="2">
        <v>11000</v>
      </c>
      <c r="I32" s="2">
        <v>530</v>
      </c>
      <c r="J32" s="2"/>
      <c r="K32" s="2">
        <v>33</v>
      </c>
      <c r="L32" s="2">
        <v>0</v>
      </c>
      <c r="M32" s="2">
        <v>0</v>
      </c>
      <c r="N32" s="2">
        <v>8</v>
      </c>
      <c r="O32" s="2">
        <v>5</v>
      </c>
      <c r="P32" s="2">
        <v>20</v>
      </c>
      <c r="Q32" s="2" t="s">
        <v>3036</v>
      </c>
      <c r="R32" s="2" t="s">
        <v>3037</v>
      </c>
      <c r="S32" s="4">
        <v>44945</v>
      </c>
    </row>
    <row r="33" spans="1:19" ht="12.5" x14ac:dyDescent="0.25">
      <c r="A33" s="14" t="str">
        <f>HYPERLINK("https://gerandofalcoes.my.salesforce.com/0014X00002YggmHQAR", "0014X00002YggmHQAR")</f>
        <v>0014X00002YggmHQAR</v>
      </c>
      <c r="B33" s="2" t="s">
        <v>3016</v>
      </c>
      <c r="C33" s="2" t="s">
        <v>423</v>
      </c>
      <c r="D33" s="2" t="s">
        <v>2</v>
      </c>
      <c r="E33" s="2"/>
      <c r="F33" s="2">
        <v>0</v>
      </c>
      <c r="G33" s="2">
        <v>5</v>
      </c>
      <c r="H33" s="2">
        <v>280524</v>
      </c>
      <c r="I33" s="2">
        <v>100</v>
      </c>
      <c r="J33" s="2"/>
      <c r="K33" s="2">
        <v>35</v>
      </c>
      <c r="L33" s="2">
        <v>0</v>
      </c>
      <c r="M33" s="2">
        <v>0</v>
      </c>
      <c r="N33" s="2">
        <v>10</v>
      </c>
      <c r="O33" s="2">
        <v>15</v>
      </c>
      <c r="P33" s="2">
        <v>10</v>
      </c>
      <c r="Q33" s="2" t="s">
        <v>3017</v>
      </c>
      <c r="R33" s="2" t="s">
        <v>3018</v>
      </c>
      <c r="S33" s="4">
        <v>44945</v>
      </c>
    </row>
    <row r="34" spans="1:19" ht="12.5" x14ac:dyDescent="0.25">
      <c r="A34" s="14" t="str">
        <f>HYPERLINK("https://gerandofalcoes.my.salesforce.com/0014X00002YggnzQAB", "0014X00002YggnzQAB")</f>
        <v>0014X00002YggnzQAB</v>
      </c>
      <c r="B34" s="2" t="s">
        <v>3228</v>
      </c>
      <c r="C34" s="2" t="s">
        <v>423</v>
      </c>
      <c r="D34" s="2" t="s">
        <v>2</v>
      </c>
      <c r="E34" s="2"/>
      <c r="F34" s="2">
        <v>3</v>
      </c>
      <c r="G34" s="2">
        <v>3</v>
      </c>
      <c r="H34" s="2">
        <v>19000</v>
      </c>
      <c r="I34" s="2">
        <v>25</v>
      </c>
      <c r="J34" s="2"/>
      <c r="K34" s="2">
        <v>23</v>
      </c>
      <c r="L34" s="2">
        <v>0</v>
      </c>
      <c r="M34" s="2">
        <v>5</v>
      </c>
      <c r="N34" s="2">
        <v>8</v>
      </c>
      <c r="O34" s="2">
        <v>5</v>
      </c>
      <c r="P34" s="2">
        <v>5</v>
      </c>
      <c r="Q34" s="2" t="s">
        <v>3229</v>
      </c>
      <c r="R34" s="2" t="s">
        <v>3229</v>
      </c>
      <c r="S34" s="4">
        <v>44951</v>
      </c>
    </row>
    <row r="35" spans="1:19" ht="12.5" x14ac:dyDescent="0.25">
      <c r="A35" s="14" t="str">
        <f>HYPERLINK("https://gerandofalcoes.my.salesforce.com/0014X00002YgghhQAB", "0014X00002YgghhQAB")</f>
        <v>0014X00002YgghhQAB</v>
      </c>
      <c r="B35" s="2" t="s">
        <v>3286</v>
      </c>
      <c r="C35" s="2" t="s">
        <v>423</v>
      </c>
      <c r="D35" s="2" t="s">
        <v>2</v>
      </c>
      <c r="E35" s="2"/>
      <c r="F35" s="2">
        <v>1</v>
      </c>
      <c r="G35" s="2">
        <v>2</v>
      </c>
      <c r="H35" s="2">
        <v>0</v>
      </c>
      <c r="I35" s="2">
        <v>46</v>
      </c>
      <c r="J35" s="2"/>
      <c r="K35" s="2">
        <v>16</v>
      </c>
      <c r="L35" s="2">
        <v>0</v>
      </c>
      <c r="M35" s="2">
        <v>5</v>
      </c>
      <c r="N35" s="2">
        <v>6</v>
      </c>
      <c r="O35" s="2">
        <v>0</v>
      </c>
      <c r="P35" s="2">
        <v>5</v>
      </c>
      <c r="Q35" s="2" t="s">
        <v>3287</v>
      </c>
      <c r="R35" s="2" t="s">
        <v>3288</v>
      </c>
      <c r="S35" s="4">
        <v>44952</v>
      </c>
    </row>
    <row r="36" spans="1:19" ht="12.5" x14ac:dyDescent="0.25">
      <c r="A36" s="14" t="str">
        <f>HYPERLINK("https://gerandofalcoes.my.salesforce.com/0014X00002YggiuQAB", "0014X00002YggiuQAB")</f>
        <v>0014X00002YggiuQAB</v>
      </c>
      <c r="B36" s="2" t="s">
        <v>3031</v>
      </c>
      <c r="C36" s="2" t="s">
        <v>423</v>
      </c>
      <c r="D36" s="2" t="s">
        <v>2</v>
      </c>
      <c r="E36" s="2"/>
      <c r="F36" s="2">
        <v>0</v>
      </c>
      <c r="G36" s="2">
        <v>2</v>
      </c>
      <c r="H36" s="2">
        <v>7000</v>
      </c>
      <c r="I36" s="2">
        <v>100</v>
      </c>
      <c r="J36" s="2"/>
      <c r="K36" s="2">
        <v>21</v>
      </c>
      <c r="L36" s="2">
        <v>0</v>
      </c>
      <c r="M36" s="2">
        <v>0</v>
      </c>
      <c r="N36" s="2">
        <v>6</v>
      </c>
      <c r="O36" s="2">
        <v>5</v>
      </c>
      <c r="P36" s="2">
        <v>10</v>
      </c>
      <c r="Q36" s="2" t="s">
        <v>3032</v>
      </c>
      <c r="R36" s="2" t="s">
        <v>3032</v>
      </c>
      <c r="S36" s="4">
        <v>44945</v>
      </c>
    </row>
    <row r="37" spans="1:19" ht="12.5" x14ac:dyDescent="0.25">
      <c r="A37" s="14" t="str">
        <f>HYPERLINK("https://gerandofalcoes.my.salesforce.com/0014X00002YggqVQAR", "0014X00002YggqVQAR")</f>
        <v>0014X00002YggqVQAR</v>
      </c>
      <c r="B37" s="2" t="s">
        <v>3013</v>
      </c>
      <c r="C37" s="2" t="s">
        <v>423</v>
      </c>
      <c r="D37" s="2" t="s">
        <v>2</v>
      </c>
      <c r="E37" s="2"/>
      <c r="F37" s="2">
        <v>1</v>
      </c>
      <c r="G37" s="2">
        <v>3</v>
      </c>
      <c r="H37" s="2">
        <v>12000</v>
      </c>
      <c r="I37" s="2">
        <v>40</v>
      </c>
      <c r="J37" s="2"/>
      <c r="K37" s="2">
        <v>23</v>
      </c>
      <c r="L37" s="2">
        <v>0</v>
      </c>
      <c r="M37" s="2">
        <v>5</v>
      </c>
      <c r="N37" s="2">
        <v>8</v>
      </c>
      <c r="O37" s="2">
        <v>5</v>
      </c>
      <c r="P37" s="2">
        <v>5</v>
      </c>
      <c r="Q37" s="2" t="s">
        <v>3014</v>
      </c>
      <c r="R37" s="2" t="s">
        <v>3015</v>
      </c>
      <c r="S37" s="4">
        <v>44945</v>
      </c>
    </row>
    <row r="38" spans="1:19" ht="12.5" x14ac:dyDescent="0.25">
      <c r="A38" s="14" t="str">
        <f>HYPERLINK("https://gerandofalcoes.my.salesforce.com/0014X00002YggjJQAR", "0014X00002YggjJQAR")</f>
        <v>0014X00002YggjJQAR</v>
      </c>
      <c r="B38" s="2" t="s">
        <v>3011</v>
      </c>
      <c r="C38" s="2" t="s">
        <v>423</v>
      </c>
      <c r="D38" s="2" t="s">
        <v>2</v>
      </c>
      <c r="E38" s="2"/>
      <c r="F38" s="2">
        <v>24</v>
      </c>
      <c r="G38" s="2">
        <v>4</v>
      </c>
      <c r="H38" s="2">
        <v>89800000</v>
      </c>
      <c r="I38" s="2">
        <v>250</v>
      </c>
      <c r="J38" s="2"/>
      <c r="K38" s="2">
        <v>59</v>
      </c>
      <c r="L38" s="2">
        <v>0</v>
      </c>
      <c r="M38" s="2">
        <v>12</v>
      </c>
      <c r="N38" s="2">
        <v>10</v>
      </c>
      <c r="O38" s="2">
        <v>25</v>
      </c>
      <c r="P38" s="2">
        <v>12</v>
      </c>
      <c r="Q38" s="2" t="s">
        <v>3012</v>
      </c>
      <c r="R38" s="2" t="s">
        <v>3012</v>
      </c>
      <c r="S38" s="4">
        <v>44945</v>
      </c>
    </row>
    <row r="39" spans="1:19" ht="12.5" x14ac:dyDescent="0.25">
      <c r="A39" s="14" t="str">
        <f>HYPERLINK("https://gerandofalcoes.my.salesforce.com/0014X00002VKCsvQAH", "0014X00002VKCsvQAH")</f>
        <v>0014X00002VKCsvQAH</v>
      </c>
      <c r="B39" s="2" t="s">
        <v>2467</v>
      </c>
      <c r="C39" s="2" t="s">
        <v>423</v>
      </c>
      <c r="D39" s="2" t="s">
        <v>2</v>
      </c>
      <c r="E39" s="2">
        <v>23</v>
      </c>
      <c r="F39" s="2">
        <v>4</v>
      </c>
      <c r="G39" s="2">
        <v>2</v>
      </c>
      <c r="H39" s="2">
        <v>0</v>
      </c>
      <c r="I39" s="2">
        <v>0</v>
      </c>
      <c r="J39" s="2" t="s">
        <v>1779</v>
      </c>
      <c r="K39" s="2">
        <v>21</v>
      </c>
      <c r="L39" s="2">
        <v>10</v>
      </c>
      <c r="M39" s="2">
        <v>5</v>
      </c>
      <c r="N39" s="2">
        <v>6</v>
      </c>
      <c r="O39" s="2">
        <v>0</v>
      </c>
      <c r="P39" s="2">
        <v>0</v>
      </c>
      <c r="Q39" s="2" t="s">
        <v>2468</v>
      </c>
      <c r="R39" s="2" t="s">
        <v>2468</v>
      </c>
      <c r="S39" s="4">
        <v>44837</v>
      </c>
    </row>
    <row r="40" spans="1:19" ht="12.5" x14ac:dyDescent="0.25">
      <c r="A40" s="14" t="str">
        <f>HYPERLINK("https://gerandofalcoes.my.salesforce.com/0014P00003SGWPlQAP", "0014P00003SGWPlQAP")</f>
        <v>0014P00003SGWPlQAP</v>
      </c>
      <c r="B40" s="2" t="s">
        <v>311</v>
      </c>
      <c r="C40" s="2" t="s">
        <v>423</v>
      </c>
      <c r="D40" s="2" t="s">
        <v>2</v>
      </c>
      <c r="E40" s="2">
        <v>30</v>
      </c>
      <c r="F40" s="2">
        <v>0</v>
      </c>
      <c r="G40" s="2">
        <v>1</v>
      </c>
      <c r="H40" s="2">
        <v>20000</v>
      </c>
      <c r="I40" s="2">
        <v>180</v>
      </c>
      <c r="J40" s="2" t="s">
        <v>1779</v>
      </c>
      <c r="K40" s="2">
        <v>36</v>
      </c>
      <c r="L40" s="2">
        <v>15</v>
      </c>
      <c r="M40" s="2">
        <v>0</v>
      </c>
      <c r="N40" s="2">
        <v>4</v>
      </c>
      <c r="O40" s="2">
        <v>5</v>
      </c>
      <c r="P40" s="2">
        <v>12</v>
      </c>
      <c r="Q40" s="2" t="s">
        <v>312</v>
      </c>
      <c r="R40" s="2" t="s">
        <v>312</v>
      </c>
      <c r="S40" s="4">
        <v>44837</v>
      </c>
    </row>
    <row r="41" spans="1:19" ht="12.5" x14ac:dyDescent="0.25">
      <c r="A41" s="14" t="str">
        <f>HYPERLINK("https://gerandofalcoes.my.salesforce.com/0014P00003SGWPmQAP", "0014P00003SGWPmQAP")</f>
        <v>0014P00003SGWPmQAP</v>
      </c>
      <c r="B41" s="2" t="s">
        <v>315</v>
      </c>
      <c r="C41" s="2" t="s">
        <v>423</v>
      </c>
      <c r="D41" s="2" t="s">
        <v>2</v>
      </c>
      <c r="E41" s="2">
        <v>49</v>
      </c>
      <c r="F41" s="2">
        <v>2</v>
      </c>
      <c r="G41" s="2">
        <v>4</v>
      </c>
      <c r="H41" s="2">
        <v>20000</v>
      </c>
      <c r="I41" s="2">
        <v>37</v>
      </c>
      <c r="J41" s="2" t="s">
        <v>1779</v>
      </c>
      <c r="K41" s="2">
        <v>25</v>
      </c>
      <c r="L41" s="2">
        <v>0</v>
      </c>
      <c r="M41" s="2">
        <v>5</v>
      </c>
      <c r="N41" s="2">
        <v>10</v>
      </c>
      <c r="O41" s="2">
        <v>5</v>
      </c>
      <c r="P41" s="2">
        <v>5</v>
      </c>
      <c r="Q41" s="2" t="s">
        <v>316</v>
      </c>
      <c r="R41" s="2" t="s">
        <v>1370</v>
      </c>
      <c r="S41" s="4">
        <v>44837</v>
      </c>
    </row>
    <row r="42" spans="1:19" ht="12.5" x14ac:dyDescent="0.25">
      <c r="A42" s="14" t="str">
        <f>HYPERLINK("https://gerandofalcoes.my.salesforce.com/0014P00003SGWPnQAP", "0014P00003SGWPnQAP")</f>
        <v>0014P00003SGWPnQAP</v>
      </c>
      <c r="B42" s="2" t="s">
        <v>1745</v>
      </c>
      <c r="C42" s="2" t="s">
        <v>423</v>
      </c>
      <c r="D42" s="2" t="s">
        <v>2</v>
      </c>
      <c r="E42" s="2">
        <v>64</v>
      </c>
      <c r="F42" s="2">
        <v>20</v>
      </c>
      <c r="G42" s="2">
        <v>1</v>
      </c>
      <c r="H42" s="2">
        <v>400000</v>
      </c>
      <c r="I42" s="2">
        <v>180</v>
      </c>
      <c r="J42" s="2" t="s">
        <v>1650</v>
      </c>
      <c r="K42" s="2">
        <v>68</v>
      </c>
      <c r="L42" s="2">
        <v>20</v>
      </c>
      <c r="M42" s="2">
        <v>12</v>
      </c>
      <c r="N42" s="2">
        <v>4</v>
      </c>
      <c r="O42" s="2">
        <v>20</v>
      </c>
      <c r="P42" s="2">
        <v>12</v>
      </c>
      <c r="Q42" s="2" t="s">
        <v>319</v>
      </c>
      <c r="R42" s="2" t="s">
        <v>1379</v>
      </c>
      <c r="S42" s="4">
        <v>44837</v>
      </c>
    </row>
    <row r="43" spans="1:19" ht="12.5" x14ac:dyDescent="0.25">
      <c r="A43" s="14" t="str">
        <f>HYPERLINK("https://gerandofalcoes.my.salesforce.com/0014P00003SGWPoQAP", "0014P00003SGWPoQAP")</f>
        <v>0014P00003SGWPoQAP</v>
      </c>
      <c r="B43" s="2" t="s">
        <v>1705</v>
      </c>
      <c r="C43" s="2" t="s">
        <v>423</v>
      </c>
      <c r="D43" s="2" t="s">
        <v>27</v>
      </c>
      <c r="E43" s="2">
        <v>39</v>
      </c>
      <c r="F43" s="2">
        <v>0</v>
      </c>
      <c r="G43" s="2">
        <v>2</v>
      </c>
      <c r="H43" s="2">
        <v>1000</v>
      </c>
      <c r="I43" s="2">
        <v>120</v>
      </c>
      <c r="J43" s="2" t="s">
        <v>1779</v>
      </c>
      <c r="K43" s="2">
        <v>36</v>
      </c>
      <c r="L43" s="2">
        <v>15</v>
      </c>
      <c r="M43" s="2">
        <v>0</v>
      </c>
      <c r="N43" s="2">
        <v>6</v>
      </c>
      <c r="O43" s="2">
        <v>5</v>
      </c>
      <c r="P43" s="2">
        <v>10</v>
      </c>
      <c r="Q43" s="2" t="s">
        <v>321</v>
      </c>
      <c r="R43" s="2" t="s">
        <v>1706</v>
      </c>
      <c r="S43" s="4">
        <v>44837</v>
      </c>
    </row>
    <row r="44" spans="1:19" ht="12.5" x14ac:dyDescent="0.25">
      <c r="A44" s="14" t="str">
        <f>HYPERLINK("https://gerandofalcoes.my.salesforce.com/0014P00003SGWPpQAP", "0014P00003SGWPpQAP")</f>
        <v>0014P00003SGWPpQAP</v>
      </c>
      <c r="B44" s="2" t="s">
        <v>1694</v>
      </c>
      <c r="C44" s="2" t="s">
        <v>423</v>
      </c>
      <c r="D44" s="2" t="s">
        <v>27</v>
      </c>
      <c r="E44" s="2">
        <v>33</v>
      </c>
      <c r="F44" s="2">
        <v>1</v>
      </c>
      <c r="G44" s="2">
        <v>5</v>
      </c>
      <c r="H44" s="2">
        <v>36000</v>
      </c>
      <c r="I44" s="2">
        <v>80</v>
      </c>
      <c r="J44" s="2" t="s">
        <v>1671</v>
      </c>
      <c r="K44" s="2">
        <v>50</v>
      </c>
      <c r="L44" s="2">
        <v>15</v>
      </c>
      <c r="M44" s="2">
        <v>5</v>
      </c>
      <c r="N44" s="2">
        <v>10</v>
      </c>
      <c r="O44" s="2">
        <v>10</v>
      </c>
      <c r="P44" s="2">
        <v>10</v>
      </c>
      <c r="Q44" s="2" t="s">
        <v>323</v>
      </c>
      <c r="R44" s="2" t="s">
        <v>1402</v>
      </c>
      <c r="S44" s="4">
        <v>44837</v>
      </c>
    </row>
    <row r="45" spans="1:19" ht="12.5" x14ac:dyDescent="0.25">
      <c r="A45" s="14" t="str">
        <f>HYPERLINK("https://gerandofalcoes.my.salesforce.com/0014P00003SGWPqQAP", "0014P00003SGWPqQAP")</f>
        <v>0014P00003SGWPqQAP</v>
      </c>
      <c r="B45" s="2" t="s">
        <v>2835</v>
      </c>
      <c r="C45" s="2" t="s">
        <v>1800</v>
      </c>
      <c r="D45" s="2" t="s">
        <v>2</v>
      </c>
      <c r="E45" s="2">
        <v>11</v>
      </c>
      <c r="F45" s="2">
        <v>2</v>
      </c>
      <c r="G45" s="2">
        <v>0</v>
      </c>
      <c r="H45" s="2">
        <v>140000</v>
      </c>
      <c r="I45" s="2">
        <v>200</v>
      </c>
      <c r="J45" s="2" t="s">
        <v>1671</v>
      </c>
      <c r="K45" s="2">
        <v>42</v>
      </c>
      <c r="L45" s="2">
        <v>10</v>
      </c>
      <c r="M45" s="2">
        <v>5</v>
      </c>
      <c r="N45" s="2">
        <v>0</v>
      </c>
      <c r="O45" s="2">
        <v>15</v>
      </c>
      <c r="P45" s="2">
        <v>12</v>
      </c>
      <c r="Q45" s="2" t="s">
        <v>327</v>
      </c>
      <c r="R45" s="2" t="s">
        <v>1409</v>
      </c>
      <c r="S45" s="4">
        <v>44837</v>
      </c>
    </row>
    <row r="46" spans="1:19" ht="12.5" x14ac:dyDescent="0.25">
      <c r="A46" s="14" t="str">
        <f>HYPERLINK("https://gerandofalcoes.my.salesforce.com/0014P00003SGWPrQAP", "0014P00003SGWPrQAP")</f>
        <v>0014P00003SGWPrQAP</v>
      </c>
      <c r="B46" s="2" t="s">
        <v>2774</v>
      </c>
      <c r="C46" s="2" t="s">
        <v>423</v>
      </c>
      <c r="D46" s="2" t="s">
        <v>2</v>
      </c>
      <c r="E46" s="2">
        <v>31</v>
      </c>
      <c r="F46" s="2">
        <v>0</v>
      </c>
      <c r="G46" s="2">
        <v>0</v>
      </c>
      <c r="H46" s="2">
        <v>50000</v>
      </c>
      <c r="I46" s="2">
        <v>130</v>
      </c>
      <c r="J46" s="2" t="s">
        <v>1779</v>
      </c>
      <c r="K46" s="2">
        <v>35</v>
      </c>
      <c r="L46" s="2">
        <v>15</v>
      </c>
      <c r="M46" s="2">
        <v>0</v>
      </c>
      <c r="N46" s="2">
        <v>0</v>
      </c>
      <c r="O46" s="2">
        <v>10</v>
      </c>
      <c r="P46" s="2">
        <v>10</v>
      </c>
      <c r="Q46" s="2" t="s">
        <v>329</v>
      </c>
      <c r="R46" s="2" t="s">
        <v>1419</v>
      </c>
      <c r="S46" s="4">
        <v>44837</v>
      </c>
    </row>
    <row r="47" spans="1:19" ht="12.5" x14ac:dyDescent="0.25">
      <c r="A47" s="14" t="str">
        <f>HYPERLINK("https://gerandofalcoes.my.salesforce.com/0014P00003SGWPsQAP", "0014P00003SGWPsQAP")</f>
        <v>0014P00003SGWPsQAP</v>
      </c>
      <c r="B47" s="2" t="s">
        <v>1663</v>
      </c>
      <c r="C47" s="2" t="s">
        <v>423</v>
      </c>
      <c r="D47" s="2" t="s">
        <v>27</v>
      </c>
      <c r="E47" s="2">
        <v>93</v>
      </c>
      <c r="F47" s="2">
        <v>49</v>
      </c>
      <c r="G47" s="2">
        <v>3</v>
      </c>
      <c r="H47" s="2">
        <v>1126099.1000000001</v>
      </c>
      <c r="I47" s="2">
        <v>390</v>
      </c>
      <c r="J47" s="2" t="s">
        <v>1654</v>
      </c>
      <c r="K47" s="2">
        <v>93</v>
      </c>
      <c r="L47" s="2">
        <v>30</v>
      </c>
      <c r="M47" s="2">
        <v>15</v>
      </c>
      <c r="N47" s="2">
        <v>8</v>
      </c>
      <c r="O47" s="2">
        <v>25</v>
      </c>
      <c r="P47" s="2">
        <v>15</v>
      </c>
      <c r="Q47" s="2" t="s">
        <v>332</v>
      </c>
      <c r="R47" s="2" t="s">
        <v>1429</v>
      </c>
      <c r="S47" s="4">
        <v>44837</v>
      </c>
    </row>
    <row r="48" spans="1:19" ht="12.5" x14ac:dyDescent="0.25">
      <c r="A48" s="14" t="str">
        <f>HYPERLINK("https://gerandofalcoes.my.salesforce.com/0014P00003SGWPtQAP", "0014P00003SGWPtQAP")</f>
        <v>0014P00003SGWPtQAP</v>
      </c>
      <c r="B48" s="2" t="s">
        <v>2628</v>
      </c>
      <c r="C48" s="2" t="s">
        <v>423</v>
      </c>
      <c r="D48" s="2" t="s">
        <v>2</v>
      </c>
      <c r="E48" s="2">
        <v>24</v>
      </c>
      <c r="F48" s="2">
        <v>3</v>
      </c>
      <c r="G48" s="2">
        <v>0</v>
      </c>
      <c r="H48" s="2">
        <v>400000</v>
      </c>
      <c r="I48" s="2">
        <v>149</v>
      </c>
      <c r="J48" s="2" t="s">
        <v>1671</v>
      </c>
      <c r="K48" s="2">
        <v>45</v>
      </c>
      <c r="L48" s="2">
        <v>10</v>
      </c>
      <c r="M48" s="2">
        <v>5</v>
      </c>
      <c r="N48" s="2">
        <v>0</v>
      </c>
      <c r="O48" s="2">
        <v>20</v>
      </c>
      <c r="P48" s="2">
        <v>10</v>
      </c>
      <c r="Q48" s="2" t="s">
        <v>336</v>
      </c>
      <c r="R48" s="2" t="s">
        <v>336</v>
      </c>
      <c r="S48" s="4">
        <v>44837</v>
      </c>
    </row>
    <row r="49" spans="1:19" ht="12.5" x14ac:dyDescent="0.25">
      <c r="A49" s="14" t="str">
        <f>HYPERLINK("https://gerandofalcoes.my.salesforce.com/0014P00003SGWFqQAP", "0014P00003SGWFqQAP")</f>
        <v>0014P00003SGWFqQAP</v>
      </c>
      <c r="B49" s="2" t="s">
        <v>343</v>
      </c>
      <c r="C49" s="2" t="s">
        <v>423</v>
      </c>
      <c r="D49" s="2" t="s">
        <v>2</v>
      </c>
      <c r="E49" s="2">
        <v>67</v>
      </c>
      <c r="F49" s="2">
        <v>10</v>
      </c>
      <c r="G49" s="2">
        <v>4</v>
      </c>
      <c r="H49" s="2">
        <v>320000</v>
      </c>
      <c r="I49" s="2">
        <v>150</v>
      </c>
      <c r="J49" s="2" t="s">
        <v>1650</v>
      </c>
      <c r="K49" s="2">
        <v>72</v>
      </c>
      <c r="L49" s="2">
        <v>20</v>
      </c>
      <c r="M49" s="2">
        <v>10</v>
      </c>
      <c r="N49" s="2">
        <v>10</v>
      </c>
      <c r="O49" s="2">
        <v>20</v>
      </c>
      <c r="P49" s="2">
        <v>12</v>
      </c>
      <c r="Q49" s="2" t="s">
        <v>344</v>
      </c>
      <c r="R49" s="2" t="s">
        <v>1479</v>
      </c>
      <c r="S49" s="4">
        <v>44837</v>
      </c>
    </row>
    <row r="50" spans="1:19" ht="12.5" x14ac:dyDescent="0.25">
      <c r="A50" s="14" t="str">
        <f>HYPERLINK("https://gerandofalcoes.my.salesforce.com/0014P00003SGWPMQA5", "0014P00003SGWPMQA5")</f>
        <v>0014P00003SGWPMQA5</v>
      </c>
      <c r="B50" s="2" t="s">
        <v>347</v>
      </c>
      <c r="C50" s="2" t="s">
        <v>423</v>
      </c>
      <c r="D50" s="2" t="s">
        <v>2</v>
      </c>
      <c r="E50" s="2">
        <v>17</v>
      </c>
      <c r="F50" s="2">
        <v>0</v>
      </c>
      <c r="G50" s="2">
        <v>4</v>
      </c>
      <c r="H50" s="2">
        <v>0</v>
      </c>
      <c r="I50" s="2">
        <v>150</v>
      </c>
      <c r="J50" s="2" t="s">
        <v>1779</v>
      </c>
      <c r="K50" s="2">
        <v>32</v>
      </c>
      <c r="L50" s="2">
        <v>10</v>
      </c>
      <c r="M50" s="2">
        <v>0</v>
      </c>
      <c r="N50" s="2">
        <v>10</v>
      </c>
      <c r="O50" s="2">
        <v>0</v>
      </c>
      <c r="P50" s="2">
        <v>12</v>
      </c>
      <c r="Q50" s="2" t="s">
        <v>348</v>
      </c>
      <c r="R50" s="2" t="s">
        <v>1488</v>
      </c>
      <c r="S50" s="4">
        <v>44837</v>
      </c>
    </row>
    <row r="51" spans="1:19" ht="12.5" x14ac:dyDescent="0.25">
      <c r="A51" s="14" t="str">
        <f>HYPERLINK("https://gerandofalcoes.my.salesforce.com/0014P00003SGWFrQAP", "0014P00003SGWFrQAP")</f>
        <v>0014P00003SGWFrQAP</v>
      </c>
      <c r="B51" s="2" t="s">
        <v>350</v>
      </c>
      <c r="C51" s="2" t="s">
        <v>423</v>
      </c>
      <c r="D51" s="2" t="s">
        <v>2</v>
      </c>
      <c r="E51" s="2">
        <v>43</v>
      </c>
      <c r="F51" s="2">
        <v>7</v>
      </c>
      <c r="G51" s="2">
        <v>0</v>
      </c>
      <c r="H51" s="2">
        <v>290000</v>
      </c>
      <c r="I51" s="2">
        <v>123</v>
      </c>
      <c r="J51" s="2" t="s">
        <v>1671</v>
      </c>
      <c r="K51" s="2">
        <v>50</v>
      </c>
      <c r="L51" s="2">
        <v>15</v>
      </c>
      <c r="M51" s="2">
        <v>10</v>
      </c>
      <c r="N51" s="2">
        <v>0</v>
      </c>
      <c r="O51" s="2">
        <v>15</v>
      </c>
      <c r="P51" s="2">
        <v>10</v>
      </c>
      <c r="Q51" s="2" t="s">
        <v>351</v>
      </c>
      <c r="R51" s="2" t="s">
        <v>1499</v>
      </c>
      <c r="S51" s="4">
        <v>44837</v>
      </c>
    </row>
    <row r="52" spans="1:19" ht="12.5" x14ac:dyDescent="0.25">
      <c r="A52" s="14" t="str">
        <f>HYPERLINK("https://gerandofalcoes.my.salesforce.com/0014P00003SGWFsQAP", "0014P00003SGWFsQAP")</f>
        <v>0014P00003SGWFsQAP</v>
      </c>
      <c r="B52" s="2" t="s">
        <v>339</v>
      </c>
      <c r="C52" s="2" t="s">
        <v>423</v>
      </c>
      <c r="D52" s="2" t="s">
        <v>2</v>
      </c>
      <c r="E52" s="2">
        <v>33</v>
      </c>
      <c r="F52" s="2">
        <v>0</v>
      </c>
      <c r="G52" s="2">
        <v>0</v>
      </c>
      <c r="H52" s="2">
        <v>8000</v>
      </c>
      <c r="I52" s="2">
        <v>20</v>
      </c>
      <c r="J52" s="2" t="s">
        <v>1779</v>
      </c>
      <c r="K52" s="2">
        <v>25</v>
      </c>
      <c r="L52" s="2">
        <v>15</v>
      </c>
      <c r="M52" s="2">
        <v>0</v>
      </c>
      <c r="N52" s="2">
        <v>0</v>
      </c>
      <c r="O52" s="2">
        <v>5</v>
      </c>
      <c r="P52" s="2">
        <v>5</v>
      </c>
      <c r="Q52" s="2" t="s">
        <v>340</v>
      </c>
      <c r="R52" s="2" t="s">
        <v>340</v>
      </c>
      <c r="S52" s="4">
        <v>44837</v>
      </c>
    </row>
    <row r="53" spans="1:19" ht="12.5" x14ac:dyDescent="0.25">
      <c r="A53" s="14" t="str">
        <f>HYPERLINK("https://gerandofalcoes.my.salesforce.com/0014P00003SGWFtQAP", "0014P00003SGWFtQAP")</f>
        <v>0014P00003SGWFtQAP</v>
      </c>
      <c r="B53" s="2" t="s">
        <v>354</v>
      </c>
      <c r="C53" s="2" t="s">
        <v>423</v>
      </c>
      <c r="D53" s="2" t="s">
        <v>27</v>
      </c>
      <c r="E53" s="2">
        <v>85</v>
      </c>
      <c r="F53" s="2">
        <v>4</v>
      </c>
      <c r="G53" s="2">
        <v>1</v>
      </c>
      <c r="H53" s="2">
        <v>11500</v>
      </c>
      <c r="I53" s="2">
        <v>78</v>
      </c>
      <c r="J53" s="2" t="s">
        <v>1671</v>
      </c>
      <c r="K53" s="2">
        <v>44</v>
      </c>
      <c r="L53" s="2">
        <v>25</v>
      </c>
      <c r="M53" s="2">
        <v>5</v>
      </c>
      <c r="N53" s="2">
        <v>4</v>
      </c>
      <c r="O53" s="2">
        <v>5</v>
      </c>
      <c r="P53" s="2">
        <v>5</v>
      </c>
      <c r="Q53" s="2" t="s">
        <v>1692</v>
      </c>
      <c r="R53" s="2" t="s">
        <v>1449</v>
      </c>
      <c r="S53" s="4">
        <v>44837</v>
      </c>
    </row>
    <row r="54" spans="1:19" ht="12.5" x14ac:dyDescent="0.25">
      <c r="A54" s="14" t="str">
        <f>HYPERLINK("https://gerandofalcoes.my.salesforce.com/0014P00003YSp7WQAT", "0014P00003YSp7WQAT")</f>
        <v>0014P00003YSp7WQAT</v>
      </c>
      <c r="B54" s="2" t="s">
        <v>1782</v>
      </c>
      <c r="C54" s="2" t="s">
        <v>423</v>
      </c>
      <c r="D54" s="2" t="s">
        <v>2</v>
      </c>
      <c r="E54" s="2">
        <v>45</v>
      </c>
      <c r="F54" s="2">
        <v>11</v>
      </c>
      <c r="G54" s="2">
        <v>4</v>
      </c>
      <c r="H54" s="2">
        <v>728345</v>
      </c>
      <c r="I54" s="2">
        <v>147</v>
      </c>
      <c r="J54" s="2" t="s">
        <v>1650</v>
      </c>
      <c r="K54" s="2">
        <v>67</v>
      </c>
      <c r="L54" s="2">
        <v>15</v>
      </c>
      <c r="M54" s="2">
        <v>12</v>
      </c>
      <c r="N54" s="2">
        <v>10</v>
      </c>
      <c r="O54" s="2">
        <v>20</v>
      </c>
      <c r="P54" s="2">
        <v>10</v>
      </c>
      <c r="Q54" s="2" t="s">
        <v>1783</v>
      </c>
      <c r="R54" s="2" t="s">
        <v>1784</v>
      </c>
      <c r="S54" s="4">
        <v>44837</v>
      </c>
    </row>
    <row r="55" spans="1:19" ht="12.5" x14ac:dyDescent="0.25">
      <c r="A55" s="14" t="str">
        <f>HYPERLINK("https://gerandofalcoes.my.salesforce.com/0014P00003SGWPLQA5", "0014P00003SGWPLQA5")</f>
        <v>0014P00003SGWPLQA5</v>
      </c>
      <c r="B55" s="2" t="s">
        <v>356</v>
      </c>
      <c r="C55" s="2" t="s">
        <v>423</v>
      </c>
      <c r="D55" s="2" t="s">
        <v>2</v>
      </c>
      <c r="E55" s="2">
        <v>63</v>
      </c>
      <c r="F55" s="2">
        <v>0</v>
      </c>
      <c r="G55" s="2">
        <v>2</v>
      </c>
      <c r="H55" s="2">
        <v>21250</v>
      </c>
      <c r="I55" s="2">
        <v>15</v>
      </c>
      <c r="J55" s="2" t="s">
        <v>1779</v>
      </c>
      <c r="K55" s="2">
        <v>36</v>
      </c>
      <c r="L55" s="2">
        <v>20</v>
      </c>
      <c r="M55" s="2">
        <v>0</v>
      </c>
      <c r="N55" s="2">
        <v>6</v>
      </c>
      <c r="O55" s="2">
        <v>5</v>
      </c>
      <c r="P55" s="2">
        <v>5</v>
      </c>
      <c r="Q55" s="2" t="s">
        <v>357</v>
      </c>
      <c r="R55" s="2" t="s">
        <v>2314</v>
      </c>
      <c r="S55" s="4">
        <v>44837</v>
      </c>
    </row>
    <row r="56" spans="1:19" ht="12.5" x14ac:dyDescent="0.25">
      <c r="A56" s="14" t="str">
        <f>HYPERLINK("https://gerandofalcoes.my.salesforce.com/0014P00003SGWPNQA5", "0014P00003SGWPNQA5")</f>
        <v>0014P00003SGWPNQA5</v>
      </c>
      <c r="B56" s="2" t="s">
        <v>2998</v>
      </c>
      <c r="C56" s="2" t="s">
        <v>1684</v>
      </c>
      <c r="D56" s="2" t="s">
        <v>2</v>
      </c>
      <c r="E56" s="2"/>
      <c r="F56" s="2">
        <v>0</v>
      </c>
      <c r="G56" s="2">
        <v>1</v>
      </c>
      <c r="H56" s="2">
        <v>6000</v>
      </c>
      <c r="I56" s="2">
        <v>0</v>
      </c>
      <c r="J56" s="2" t="s">
        <v>1779</v>
      </c>
      <c r="K56" s="2">
        <v>9</v>
      </c>
      <c r="L56" s="2">
        <v>0</v>
      </c>
      <c r="M56" s="2">
        <v>0</v>
      </c>
      <c r="N56" s="2">
        <v>4</v>
      </c>
      <c r="O56" s="2">
        <v>5</v>
      </c>
      <c r="P56" s="2">
        <v>0</v>
      </c>
      <c r="Q56" s="2" t="s">
        <v>359</v>
      </c>
      <c r="R56" s="2" t="s">
        <v>359</v>
      </c>
      <c r="S56" s="4">
        <v>44837</v>
      </c>
    </row>
    <row r="57" spans="1:19" ht="12.5" x14ac:dyDescent="0.25">
      <c r="A57" s="14" t="str">
        <f>HYPERLINK("https://gerandofalcoes.my.salesforce.com/0014P00003SGWPQQA5", "0014P00003SGWPQQA5")</f>
        <v>0014P00003SGWPQQA5</v>
      </c>
      <c r="B57" s="2" t="s">
        <v>363</v>
      </c>
      <c r="C57" s="2" t="s">
        <v>423</v>
      </c>
      <c r="D57" s="2" t="s">
        <v>27</v>
      </c>
      <c r="E57" s="2">
        <v>93</v>
      </c>
      <c r="F57" s="2">
        <v>32</v>
      </c>
      <c r="G57" s="2">
        <v>4</v>
      </c>
      <c r="H57" s="2">
        <v>1010730.87</v>
      </c>
      <c r="I57" s="2">
        <v>192</v>
      </c>
      <c r="J57" s="2" t="s">
        <v>1654</v>
      </c>
      <c r="K57" s="2">
        <v>92</v>
      </c>
      <c r="L57" s="2">
        <v>30</v>
      </c>
      <c r="M57" s="2">
        <v>15</v>
      </c>
      <c r="N57" s="2">
        <v>10</v>
      </c>
      <c r="O57" s="2">
        <v>25</v>
      </c>
      <c r="P57" s="2">
        <v>12</v>
      </c>
      <c r="Q57" s="2" t="s">
        <v>364</v>
      </c>
      <c r="R57" s="2" t="s">
        <v>1545</v>
      </c>
      <c r="S57" s="4">
        <v>44837</v>
      </c>
    </row>
    <row r="58" spans="1:19" ht="12.5" x14ac:dyDescent="0.25">
      <c r="A58" s="14" t="str">
        <f>HYPERLINK("https://gerandofalcoes.my.salesforce.com/0014P00003SGWPPQA5", "0014P00003SGWPPQA5")</f>
        <v>0014P00003SGWPPQA5</v>
      </c>
      <c r="B58" s="2" t="s">
        <v>1700</v>
      </c>
      <c r="C58" s="2" t="s">
        <v>423</v>
      </c>
      <c r="D58" s="2" t="s">
        <v>27</v>
      </c>
      <c r="E58" s="2">
        <v>60</v>
      </c>
      <c r="F58" s="2">
        <v>10</v>
      </c>
      <c r="G58" s="2">
        <v>2</v>
      </c>
      <c r="H58" s="2">
        <v>60000</v>
      </c>
      <c r="I58" s="2">
        <v>120</v>
      </c>
      <c r="J58" s="2" t="s">
        <v>1671</v>
      </c>
      <c r="K58" s="2">
        <v>56</v>
      </c>
      <c r="L58" s="2">
        <v>20</v>
      </c>
      <c r="M58" s="2">
        <v>10</v>
      </c>
      <c r="N58" s="2">
        <v>6</v>
      </c>
      <c r="O58" s="2">
        <v>10</v>
      </c>
      <c r="P58" s="2">
        <v>10</v>
      </c>
      <c r="Q58" s="2" t="s">
        <v>366</v>
      </c>
      <c r="R58" s="2" t="s">
        <v>1557</v>
      </c>
      <c r="S58" s="4">
        <v>44837</v>
      </c>
    </row>
    <row r="59" spans="1:19" ht="12.5" x14ac:dyDescent="0.25">
      <c r="A59" s="14" t="str">
        <f>HYPERLINK("https://gerandofalcoes.my.salesforce.com/0014P00003SGWPRQA5", "0014P00003SGWPRQA5")</f>
        <v>0014P00003SGWPRQA5</v>
      </c>
      <c r="B59" s="2" t="s">
        <v>367</v>
      </c>
      <c r="C59" s="2" t="s">
        <v>423</v>
      </c>
      <c r="D59" s="2" t="s">
        <v>2</v>
      </c>
      <c r="E59" s="2">
        <v>33</v>
      </c>
      <c r="F59" s="2">
        <v>4</v>
      </c>
      <c r="G59" s="2">
        <v>4</v>
      </c>
      <c r="H59" s="2">
        <v>70000</v>
      </c>
      <c r="I59" s="2">
        <v>150</v>
      </c>
      <c r="J59" s="2" t="s">
        <v>1671</v>
      </c>
      <c r="K59" s="2">
        <v>52</v>
      </c>
      <c r="L59" s="2">
        <v>15</v>
      </c>
      <c r="M59" s="2">
        <v>5</v>
      </c>
      <c r="N59" s="2">
        <v>10</v>
      </c>
      <c r="O59" s="2">
        <v>10</v>
      </c>
      <c r="P59" s="2">
        <v>12</v>
      </c>
      <c r="Q59" s="2" t="s">
        <v>369</v>
      </c>
      <c r="R59" s="2" t="s">
        <v>7191</v>
      </c>
      <c r="S59" s="4">
        <v>44837</v>
      </c>
    </row>
    <row r="60" spans="1:19" ht="12.5" x14ac:dyDescent="0.25">
      <c r="A60" s="14" t="str">
        <f>HYPERLINK("https://gerandofalcoes.my.salesforce.com/0014P00003SGWPSQA5", "0014P00003SGWPSQA5")</f>
        <v>0014P00003SGWPSQA5</v>
      </c>
      <c r="B60" s="2" t="s">
        <v>372</v>
      </c>
      <c r="C60" s="2" t="s">
        <v>423</v>
      </c>
      <c r="D60" s="2" t="s">
        <v>2</v>
      </c>
      <c r="E60" s="2">
        <v>57</v>
      </c>
      <c r="F60" s="2">
        <v>10</v>
      </c>
      <c r="G60" s="2">
        <v>5</v>
      </c>
      <c r="H60" s="2">
        <v>561000</v>
      </c>
      <c r="I60" s="2">
        <v>96</v>
      </c>
      <c r="J60" s="2" t="s">
        <v>1650</v>
      </c>
      <c r="K60" s="2">
        <v>70</v>
      </c>
      <c r="L60" s="2">
        <v>20</v>
      </c>
      <c r="M60" s="2">
        <v>10</v>
      </c>
      <c r="N60" s="2">
        <v>10</v>
      </c>
      <c r="O60" s="2">
        <v>20</v>
      </c>
      <c r="P60" s="2">
        <v>10</v>
      </c>
      <c r="Q60" s="2" t="s">
        <v>373</v>
      </c>
      <c r="R60" s="2" t="s">
        <v>373</v>
      </c>
      <c r="S60" s="4">
        <v>44837</v>
      </c>
    </row>
    <row r="61" spans="1:19" ht="12.5" x14ac:dyDescent="0.25">
      <c r="A61" s="14" t="str">
        <f>HYPERLINK("https://gerandofalcoes.my.salesforce.com/0014X00002OEuauQAD", "0014X00002OEuauQAD")</f>
        <v>0014X00002OEuauQAD</v>
      </c>
      <c r="B61" s="2" t="s">
        <v>2639</v>
      </c>
      <c r="C61" s="2" t="s">
        <v>423</v>
      </c>
      <c r="D61" s="2" t="s">
        <v>2</v>
      </c>
      <c r="E61" s="2">
        <v>18</v>
      </c>
      <c r="F61" s="2">
        <v>2</v>
      </c>
      <c r="G61" s="2">
        <v>2</v>
      </c>
      <c r="H61" s="2">
        <v>5000</v>
      </c>
      <c r="I61" s="2">
        <v>507</v>
      </c>
      <c r="J61" s="2" t="s">
        <v>1671</v>
      </c>
      <c r="K61" s="2">
        <v>46</v>
      </c>
      <c r="L61" s="2">
        <v>10</v>
      </c>
      <c r="M61" s="2">
        <v>5</v>
      </c>
      <c r="N61" s="2">
        <v>6</v>
      </c>
      <c r="O61" s="2">
        <v>5</v>
      </c>
      <c r="P61" s="2">
        <v>20</v>
      </c>
      <c r="Q61" s="2" t="s">
        <v>2640</v>
      </c>
      <c r="R61" s="2" t="s">
        <v>2641</v>
      </c>
      <c r="S61" s="4">
        <v>44837</v>
      </c>
    </row>
    <row r="62" spans="1:19" ht="12.5" x14ac:dyDescent="0.25">
      <c r="A62" s="14" t="str">
        <f>HYPERLINK("https://gerandofalcoes.my.salesforce.com/0014X00002OEualQAD", "0014X00002OEualQAD")</f>
        <v>0014X00002OEualQAD</v>
      </c>
      <c r="B62" s="2" t="s">
        <v>2220</v>
      </c>
      <c r="C62" s="2" t="s">
        <v>1800</v>
      </c>
      <c r="D62" s="2" t="s">
        <v>2</v>
      </c>
      <c r="E62" s="2">
        <v>32</v>
      </c>
      <c r="F62" s="2">
        <v>2</v>
      </c>
      <c r="G62" s="2">
        <v>3</v>
      </c>
      <c r="H62" s="2">
        <v>40000</v>
      </c>
      <c r="I62" s="2">
        <v>80</v>
      </c>
      <c r="J62" s="2" t="s">
        <v>1671</v>
      </c>
      <c r="K62" s="2">
        <v>48</v>
      </c>
      <c r="L62" s="2">
        <v>15</v>
      </c>
      <c r="M62" s="2">
        <v>5</v>
      </c>
      <c r="N62" s="2">
        <v>8</v>
      </c>
      <c r="O62" s="2">
        <v>10</v>
      </c>
      <c r="P62" s="2">
        <v>10</v>
      </c>
      <c r="Q62" s="2" t="s">
        <v>2221</v>
      </c>
      <c r="R62" s="2" t="s">
        <v>2222</v>
      </c>
      <c r="S62" s="4">
        <v>44837</v>
      </c>
    </row>
    <row r="63" spans="1:19" ht="12.5" x14ac:dyDescent="0.25">
      <c r="A63" s="14" t="str">
        <f>HYPERLINK("https://gerandofalcoes.my.salesforce.com/0014X00002OEuamQAD", "0014X00002OEuamQAD")</f>
        <v>0014X00002OEuamQAD</v>
      </c>
      <c r="B63" s="2" t="s">
        <v>2612</v>
      </c>
      <c r="C63" s="2" t="s">
        <v>1800</v>
      </c>
      <c r="D63" s="2" t="s">
        <v>2</v>
      </c>
      <c r="E63" s="2">
        <v>19</v>
      </c>
      <c r="F63" s="2">
        <v>0</v>
      </c>
      <c r="G63" s="2">
        <v>4</v>
      </c>
      <c r="H63" s="2">
        <v>7000</v>
      </c>
      <c r="I63" s="2">
        <v>0</v>
      </c>
      <c r="J63" s="2" t="s">
        <v>1779</v>
      </c>
      <c r="K63" s="2">
        <v>25</v>
      </c>
      <c r="L63" s="2">
        <v>10</v>
      </c>
      <c r="M63" s="2">
        <v>0</v>
      </c>
      <c r="N63" s="2">
        <v>10</v>
      </c>
      <c r="O63" s="2">
        <v>5</v>
      </c>
      <c r="P63" s="2">
        <v>0</v>
      </c>
      <c r="Q63" s="2" t="s">
        <v>2613</v>
      </c>
      <c r="R63" s="2" t="s">
        <v>2613</v>
      </c>
      <c r="S63" s="4">
        <v>44837</v>
      </c>
    </row>
    <row r="64" spans="1:19" ht="12.5" x14ac:dyDescent="0.25">
      <c r="A64" s="14" t="str">
        <f>HYPERLINK("https://gerandofalcoes.my.salesforce.com/0014X00002OEuaoQAD", "0014X00002OEuaoQAD")</f>
        <v>0014X00002OEuaoQAD</v>
      </c>
      <c r="B64" s="2" t="s">
        <v>2749</v>
      </c>
      <c r="C64" s="2" t="s">
        <v>1800</v>
      </c>
      <c r="D64" s="2" t="s">
        <v>2</v>
      </c>
      <c r="E64" s="2">
        <v>14</v>
      </c>
      <c r="F64" s="2">
        <v>0</v>
      </c>
      <c r="G64" s="2">
        <v>2</v>
      </c>
      <c r="H64" s="2">
        <v>0</v>
      </c>
      <c r="I64" s="2">
        <v>230</v>
      </c>
      <c r="J64" s="2" t="s">
        <v>1779</v>
      </c>
      <c r="K64" s="2">
        <v>28</v>
      </c>
      <c r="L64" s="2">
        <v>10</v>
      </c>
      <c r="M64" s="2">
        <v>0</v>
      </c>
      <c r="N64" s="2">
        <v>6</v>
      </c>
      <c r="O64" s="2">
        <v>0</v>
      </c>
      <c r="P64" s="2">
        <v>12</v>
      </c>
      <c r="Q64" s="2" t="s">
        <v>2750</v>
      </c>
      <c r="R64" s="2" t="s">
        <v>2751</v>
      </c>
      <c r="S64" s="4">
        <v>44837</v>
      </c>
    </row>
    <row r="65" spans="1:19" ht="12.5" x14ac:dyDescent="0.25">
      <c r="A65" s="14" t="str">
        <f>HYPERLINK("https://gerandofalcoes.my.salesforce.com/0014X00002OEuapQAD", "0014X00002OEuapQAD")</f>
        <v>0014X00002OEuapQAD</v>
      </c>
      <c r="B65" s="2" t="s">
        <v>2732</v>
      </c>
      <c r="C65" s="2" t="s">
        <v>1800</v>
      </c>
      <c r="D65" s="2" t="s">
        <v>2</v>
      </c>
      <c r="E65" s="2">
        <v>15</v>
      </c>
      <c r="F65" s="2">
        <v>0</v>
      </c>
      <c r="G65" s="2">
        <v>0</v>
      </c>
      <c r="H65" s="2">
        <v>0</v>
      </c>
      <c r="I65" s="2">
        <v>0</v>
      </c>
      <c r="J65" s="2" t="s">
        <v>1779</v>
      </c>
      <c r="K65" s="2">
        <v>10</v>
      </c>
      <c r="L65" s="2">
        <v>10</v>
      </c>
      <c r="M65" s="2">
        <v>0</v>
      </c>
      <c r="N65" s="2">
        <v>0</v>
      </c>
      <c r="O65" s="2">
        <v>0</v>
      </c>
      <c r="P65" s="2">
        <v>0</v>
      </c>
      <c r="Q65" s="2" t="s">
        <v>2733</v>
      </c>
      <c r="R65" s="2" t="s">
        <v>2733</v>
      </c>
      <c r="S65" s="4">
        <v>44837</v>
      </c>
    </row>
    <row r="66" spans="1:19" ht="12.5" x14ac:dyDescent="0.25">
      <c r="A66" s="14" t="str">
        <f>HYPERLINK("https://gerandofalcoes.my.salesforce.com/0014X00002OEuaqQAD", "0014X00002OEuaqQAD")</f>
        <v>0014X00002OEuaqQAD</v>
      </c>
      <c r="B66" s="2" t="s">
        <v>2629</v>
      </c>
      <c r="C66" s="2" t="s">
        <v>423</v>
      </c>
      <c r="D66" s="2" t="s">
        <v>2</v>
      </c>
      <c r="E66" s="2">
        <v>18</v>
      </c>
      <c r="F66" s="2">
        <v>20</v>
      </c>
      <c r="G66" s="2">
        <v>2</v>
      </c>
      <c r="H66" s="2">
        <v>3000</v>
      </c>
      <c r="I66" s="2">
        <v>70</v>
      </c>
      <c r="J66" s="2" t="s">
        <v>1779</v>
      </c>
      <c r="K66" s="2">
        <v>38</v>
      </c>
      <c r="L66" s="2">
        <v>10</v>
      </c>
      <c r="M66" s="2">
        <v>12</v>
      </c>
      <c r="N66" s="2">
        <v>6</v>
      </c>
      <c r="O66" s="2">
        <v>5</v>
      </c>
      <c r="P66" s="2">
        <v>5</v>
      </c>
      <c r="Q66" s="2" t="s">
        <v>2630</v>
      </c>
      <c r="R66" s="2" t="s">
        <v>2631</v>
      </c>
      <c r="S66" s="4">
        <v>44837</v>
      </c>
    </row>
    <row r="67" spans="1:19" ht="12.5" x14ac:dyDescent="0.25">
      <c r="A67" s="14" t="str">
        <f>HYPERLINK("https://gerandofalcoes.my.salesforce.com/0014X00002OEuasQAD", "0014X00002OEuasQAD")</f>
        <v>0014X00002OEuasQAD</v>
      </c>
      <c r="B67" s="2" t="s">
        <v>2420</v>
      </c>
      <c r="C67" s="2" t="s">
        <v>423</v>
      </c>
      <c r="D67" s="2" t="s">
        <v>2</v>
      </c>
      <c r="E67" s="2">
        <v>25</v>
      </c>
      <c r="F67" s="2">
        <v>0</v>
      </c>
      <c r="G67" s="2">
        <v>4</v>
      </c>
      <c r="H67" s="2">
        <v>20000</v>
      </c>
      <c r="I67" s="2">
        <v>300</v>
      </c>
      <c r="J67" s="2" t="s">
        <v>1671</v>
      </c>
      <c r="K67" s="2">
        <v>45</v>
      </c>
      <c r="L67" s="2">
        <v>15</v>
      </c>
      <c r="M67" s="2">
        <v>0</v>
      </c>
      <c r="N67" s="2">
        <v>10</v>
      </c>
      <c r="O67" s="2">
        <v>5</v>
      </c>
      <c r="P67" s="2">
        <v>15</v>
      </c>
      <c r="Q67" s="2" t="s">
        <v>2421</v>
      </c>
      <c r="R67" s="2" t="s">
        <v>2422</v>
      </c>
      <c r="S67" s="4">
        <v>44837</v>
      </c>
    </row>
    <row r="68" spans="1:19" ht="12.5" x14ac:dyDescent="0.25">
      <c r="A68" s="14" t="str">
        <f>HYPERLINK("https://gerandofalcoes.my.salesforce.com/0014X00002OEuawQAD", "0014X00002OEuawQAD")</f>
        <v>0014X00002OEuawQAD</v>
      </c>
      <c r="B68" s="2" t="s">
        <v>1995</v>
      </c>
      <c r="C68" s="2" t="s">
        <v>1800</v>
      </c>
      <c r="D68" s="2" t="s">
        <v>2</v>
      </c>
      <c r="E68" s="2">
        <v>39</v>
      </c>
      <c r="F68" s="2">
        <v>13</v>
      </c>
      <c r="G68" s="2">
        <v>3</v>
      </c>
      <c r="H68" s="2">
        <v>120000</v>
      </c>
      <c r="I68" s="2">
        <v>130</v>
      </c>
      <c r="J68" s="2" t="s">
        <v>1671</v>
      </c>
      <c r="K68" s="2">
        <v>60</v>
      </c>
      <c r="L68" s="2">
        <v>15</v>
      </c>
      <c r="M68" s="2">
        <v>12</v>
      </c>
      <c r="N68" s="2">
        <v>8</v>
      </c>
      <c r="O68" s="2">
        <v>15</v>
      </c>
      <c r="P68" s="2">
        <v>10</v>
      </c>
      <c r="Q68" s="2" t="s">
        <v>1996</v>
      </c>
      <c r="R68" s="2" t="s">
        <v>1997</v>
      </c>
      <c r="S68" s="4">
        <v>44837</v>
      </c>
    </row>
    <row r="69" spans="1:19" ht="12.5" x14ac:dyDescent="0.25">
      <c r="A69" s="14" t="str">
        <f>HYPERLINK("https://gerandofalcoes.my.salesforce.com/0014X00002OFqnrQAD", "0014X00002OFqnrQAD")</f>
        <v>0014X00002OFqnrQAD</v>
      </c>
      <c r="B69" s="2" t="s">
        <v>1791</v>
      </c>
      <c r="C69" s="2" t="s">
        <v>1684</v>
      </c>
      <c r="D69" s="2" t="s">
        <v>27</v>
      </c>
      <c r="E69" s="2">
        <v>56</v>
      </c>
      <c r="F69" s="2">
        <v>0</v>
      </c>
      <c r="G69" s="2">
        <v>0</v>
      </c>
      <c r="H69" s="2">
        <v>0</v>
      </c>
      <c r="I69" s="2">
        <v>0</v>
      </c>
      <c r="J69" s="2" t="s">
        <v>1779</v>
      </c>
      <c r="K69" s="2">
        <v>20</v>
      </c>
      <c r="L69" s="2">
        <v>20</v>
      </c>
      <c r="M69" s="2">
        <v>0</v>
      </c>
      <c r="N69" s="2">
        <v>0</v>
      </c>
      <c r="O69" s="2">
        <v>0</v>
      </c>
      <c r="P69" s="2">
        <v>0</v>
      </c>
      <c r="Q69" s="2"/>
      <c r="R69" s="2"/>
      <c r="S69" s="4">
        <v>44837</v>
      </c>
    </row>
    <row r="70" spans="1:19" ht="12.5" x14ac:dyDescent="0.25">
      <c r="A70" s="14" t="str">
        <f>HYPERLINK("https://gerandofalcoes.my.salesforce.com/0014X00002QTWXtQAP", "0014X00002QTWXtQAP")</f>
        <v>0014X00002QTWXtQAP</v>
      </c>
      <c r="B70" s="2" t="s">
        <v>7176</v>
      </c>
      <c r="C70" s="2" t="s">
        <v>1800</v>
      </c>
      <c r="D70" s="2" t="s">
        <v>2</v>
      </c>
      <c r="E70" s="2">
        <v>35</v>
      </c>
      <c r="F70" s="2">
        <v>0</v>
      </c>
      <c r="G70" s="2">
        <v>6</v>
      </c>
      <c r="H70" s="2">
        <v>148600</v>
      </c>
      <c r="I70" s="2">
        <v>526</v>
      </c>
      <c r="J70" s="2" t="s">
        <v>1671</v>
      </c>
      <c r="K70" s="2">
        <v>60</v>
      </c>
      <c r="L70" s="2">
        <v>15</v>
      </c>
      <c r="M70" s="2">
        <v>0</v>
      </c>
      <c r="N70" s="2">
        <v>10</v>
      </c>
      <c r="O70" s="2">
        <v>15</v>
      </c>
      <c r="P70" s="2">
        <v>20</v>
      </c>
      <c r="Q70" s="2" t="s">
        <v>7177</v>
      </c>
      <c r="R70" s="2" t="s">
        <v>3814</v>
      </c>
      <c r="S70" s="4">
        <v>44837</v>
      </c>
    </row>
    <row r="71" spans="1:19" ht="12.5" x14ac:dyDescent="0.25">
      <c r="A71" s="14" t="str">
        <f>HYPERLINK("https://gerandofalcoes.my.salesforce.com/0014X00002QTWZVQA5", "0014X00002QTWZVQA5")</f>
        <v>0014X00002QTWZVQA5</v>
      </c>
      <c r="B71" s="2" t="s">
        <v>2662</v>
      </c>
      <c r="C71" s="2" t="s">
        <v>1800</v>
      </c>
      <c r="D71" s="2" t="s">
        <v>2</v>
      </c>
      <c r="E71" s="2">
        <v>17</v>
      </c>
      <c r="F71" s="2">
        <v>4</v>
      </c>
      <c r="G71" s="2">
        <v>3</v>
      </c>
      <c r="H71" s="2">
        <v>69000</v>
      </c>
      <c r="I71" s="2">
        <v>35</v>
      </c>
      <c r="J71" s="2" t="s">
        <v>1779</v>
      </c>
      <c r="K71" s="2">
        <v>38</v>
      </c>
      <c r="L71" s="2">
        <v>10</v>
      </c>
      <c r="M71" s="2">
        <v>5</v>
      </c>
      <c r="N71" s="2">
        <v>8</v>
      </c>
      <c r="O71" s="2">
        <v>10</v>
      </c>
      <c r="P71" s="2">
        <v>5</v>
      </c>
      <c r="Q71" s="2" t="s">
        <v>2663</v>
      </c>
      <c r="R71" s="2" t="s">
        <v>2664</v>
      </c>
      <c r="S71" s="4">
        <v>44837</v>
      </c>
    </row>
    <row r="72" spans="1:19" ht="12.5" x14ac:dyDescent="0.25">
      <c r="A72" s="14" t="str">
        <f>HYPERLINK("https://gerandofalcoes.my.salesforce.com/0014X00002PUOTvQAP", "0014X00002PUOTvQAP")</f>
        <v>0014X00002PUOTvQAP</v>
      </c>
      <c r="B72" s="2" t="s">
        <v>1883</v>
      </c>
      <c r="C72" s="2" t="s">
        <v>1800</v>
      </c>
      <c r="D72" s="2" t="s">
        <v>2</v>
      </c>
      <c r="E72" s="2">
        <v>44</v>
      </c>
      <c r="F72" s="2">
        <v>3</v>
      </c>
      <c r="G72" s="2">
        <v>1</v>
      </c>
      <c r="H72" s="2">
        <v>150000</v>
      </c>
      <c r="I72" s="2">
        <v>800</v>
      </c>
      <c r="J72" s="2" t="s">
        <v>1671</v>
      </c>
      <c r="K72" s="2">
        <v>59</v>
      </c>
      <c r="L72" s="2">
        <v>15</v>
      </c>
      <c r="M72" s="2">
        <v>5</v>
      </c>
      <c r="N72" s="2">
        <v>4</v>
      </c>
      <c r="O72" s="2">
        <v>15</v>
      </c>
      <c r="P72" s="2">
        <v>20</v>
      </c>
      <c r="Q72" s="2" t="s">
        <v>1884</v>
      </c>
      <c r="R72" s="2" t="s">
        <v>424</v>
      </c>
      <c r="S72" s="4">
        <v>44837</v>
      </c>
    </row>
    <row r="73" spans="1:19" ht="12.5" x14ac:dyDescent="0.25">
      <c r="A73" s="14" t="str">
        <f>HYPERLINK("https://gerandofalcoes.my.salesforce.com/0014X00002PUOaDQAX", "0014X00002PUOaDQAX")</f>
        <v>0014X00002PUOaDQAX</v>
      </c>
      <c r="B73" s="2" t="s">
        <v>1767</v>
      </c>
      <c r="C73" s="2" t="s">
        <v>423</v>
      </c>
      <c r="D73" s="2" t="s">
        <v>2</v>
      </c>
      <c r="E73" s="2">
        <v>80</v>
      </c>
      <c r="F73" s="2">
        <v>11</v>
      </c>
      <c r="G73" s="2">
        <v>5</v>
      </c>
      <c r="H73" s="2">
        <v>354463</v>
      </c>
      <c r="I73" s="2">
        <v>52</v>
      </c>
      <c r="J73" s="2" t="s">
        <v>1650</v>
      </c>
      <c r="K73" s="2">
        <v>72</v>
      </c>
      <c r="L73" s="2">
        <v>25</v>
      </c>
      <c r="M73" s="2">
        <v>12</v>
      </c>
      <c r="N73" s="2">
        <v>10</v>
      </c>
      <c r="O73" s="2">
        <v>20</v>
      </c>
      <c r="P73" s="2">
        <v>5</v>
      </c>
      <c r="Q73" s="2" t="s">
        <v>439</v>
      </c>
      <c r="R73" s="2" t="s">
        <v>439</v>
      </c>
      <c r="S73" s="4">
        <v>44837</v>
      </c>
    </row>
    <row r="74" spans="1:19" ht="12.5" x14ac:dyDescent="0.25">
      <c r="A74" s="14" t="str">
        <f>HYPERLINK("https://gerandofalcoes.my.salesforce.com/0014X00002PUOUaQAP", "0014X00002PUOUaQAP")</f>
        <v>0014X00002PUOUaQAP</v>
      </c>
      <c r="B74" s="2" t="s">
        <v>8</v>
      </c>
      <c r="C74" s="2" t="s">
        <v>423</v>
      </c>
      <c r="D74" s="2" t="s">
        <v>2</v>
      </c>
      <c r="E74" s="2">
        <v>29</v>
      </c>
      <c r="F74" s="2">
        <v>2</v>
      </c>
      <c r="G74" s="2">
        <v>2</v>
      </c>
      <c r="H74" s="2">
        <v>20000</v>
      </c>
      <c r="I74" s="2">
        <v>102</v>
      </c>
      <c r="J74" s="2" t="s">
        <v>1671</v>
      </c>
      <c r="K74" s="2">
        <v>41</v>
      </c>
      <c r="L74" s="2">
        <v>15</v>
      </c>
      <c r="M74" s="2">
        <v>5</v>
      </c>
      <c r="N74" s="2">
        <v>6</v>
      </c>
      <c r="O74" s="2">
        <v>5</v>
      </c>
      <c r="P74" s="2">
        <v>10</v>
      </c>
      <c r="Q74" s="2" t="s">
        <v>2252</v>
      </c>
      <c r="R74" s="2" t="s">
        <v>2252</v>
      </c>
      <c r="S74" s="4">
        <v>44837</v>
      </c>
    </row>
    <row r="75" spans="1:19" ht="12.5" x14ac:dyDescent="0.25">
      <c r="A75" s="14" t="str">
        <f>HYPERLINK("https://gerandofalcoes.my.salesforce.com/0014X00002PUObkQAH", "0014X00002PUObkQAH")</f>
        <v>0014X00002PUObkQAH</v>
      </c>
      <c r="B75" s="2" t="s">
        <v>2065</v>
      </c>
      <c r="C75" s="2" t="s">
        <v>423</v>
      </c>
      <c r="D75" s="2" t="s">
        <v>2</v>
      </c>
      <c r="E75" s="2">
        <v>39</v>
      </c>
      <c r="F75" s="2">
        <v>0</v>
      </c>
      <c r="G75" s="2">
        <v>6</v>
      </c>
      <c r="H75" s="2">
        <v>10000</v>
      </c>
      <c r="I75" s="2">
        <v>237</v>
      </c>
      <c r="J75" s="2" t="s">
        <v>1671</v>
      </c>
      <c r="K75" s="2">
        <v>42</v>
      </c>
      <c r="L75" s="2">
        <v>15</v>
      </c>
      <c r="M75" s="2">
        <v>0</v>
      </c>
      <c r="N75" s="2">
        <v>10</v>
      </c>
      <c r="O75" s="2">
        <v>5</v>
      </c>
      <c r="P75" s="2">
        <v>12</v>
      </c>
      <c r="Q75" s="2" t="s">
        <v>2066</v>
      </c>
      <c r="R75" s="2" t="s">
        <v>477</v>
      </c>
      <c r="S75" s="4">
        <v>44837</v>
      </c>
    </row>
    <row r="76" spans="1:19" ht="12.5" x14ac:dyDescent="0.25">
      <c r="A76" s="14" t="str">
        <f>HYPERLINK("https://gerandofalcoes.my.salesforce.com/0014X00002PUOdWQAX", "0014X00002PUOdWQAX")</f>
        <v>0014X00002PUOdWQAX</v>
      </c>
      <c r="B76" s="2" t="s">
        <v>22</v>
      </c>
      <c r="C76" s="2" t="s">
        <v>423</v>
      </c>
      <c r="D76" s="2" t="s">
        <v>2</v>
      </c>
      <c r="E76" s="2">
        <v>29</v>
      </c>
      <c r="F76" s="2">
        <v>10</v>
      </c>
      <c r="G76" s="2">
        <v>0</v>
      </c>
      <c r="H76" s="2">
        <v>1000</v>
      </c>
      <c r="I76" s="2">
        <v>95</v>
      </c>
      <c r="J76" s="2" t="s">
        <v>1671</v>
      </c>
      <c r="K76" s="2">
        <v>40</v>
      </c>
      <c r="L76" s="2">
        <v>15</v>
      </c>
      <c r="M76" s="2">
        <v>10</v>
      </c>
      <c r="N76" s="2">
        <v>0</v>
      </c>
      <c r="O76" s="2">
        <v>5</v>
      </c>
      <c r="P76" s="2">
        <v>10</v>
      </c>
      <c r="Q76" s="2" t="s">
        <v>485</v>
      </c>
      <c r="R76" s="2" t="s">
        <v>485</v>
      </c>
      <c r="S76" s="4">
        <v>44837</v>
      </c>
    </row>
    <row r="77" spans="1:19" ht="12.5" x14ac:dyDescent="0.25">
      <c r="A77" s="14" t="str">
        <f>HYPERLINK("https://gerandofalcoes.my.salesforce.com/0014P00003YSp7OQAT", "0014P00003YSp7OQAT")</f>
        <v>0014P00003YSp7OQAT</v>
      </c>
      <c r="B77" s="2" t="s">
        <v>2694</v>
      </c>
      <c r="C77" s="2" t="s">
        <v>423</v>
      </c>
      <c r="D77" s="2" t="s">
        <v>2</v>
      </c>
      <c r="E77" s="2">
        <v>22</v>
      </c>
      <c r="F77" s="2">
        <v>5</v>
      </c>
      <c r="G77" s="2">
        <v>3</v>
      </c>
      <c r="H77" s="2">
        <v>20000</v>
      </c>
      <c r="I77" s="2">
        <v>200</v>
      </c>
      <c r="J77" s="2" t="s">
        <v>1671</v>
      </c>
      <c r="K77" s="2">
        <v>40</v>
      </c>
      <c r="L77" s="2">
        <v>10</v>
      </c>
      <c r="M77" s="2">
        <v>5</v>
      </c>
      <c r="N77" s="2">
        <v>8</v>
      </c>
      <c r="O77" s="2">
        <v>5</v>
      </c>
      <c r="P77" s="2">
        <v>12</v>
      </c>
      <c r="Q77" s="2" t="s">
        <v>2695</v>
      </c>
      <c r="R77" s="2" t="s">
        <v>2696</v>
      </c>
      <c r="S77" s="4">
        <v>44837</v>
      </c>
    </row>
    <row r="78" spans="1:19" ht="12.5" x14ac:dyDescent="0.25">
      <c r="A78" s="14" t="str">
        <f>HYPERLINK("https://gerandofalcoes.my.salesforce.com/0014P00003YSp7PQAT", "0014P00003YSp7PQAT")</f>
        <v>0014P00003YSp7PQAT</v>
      </c>
      <c r="B78" s="2" t="s">
        <v>1807</v>
      </c>
      <c r="C78" s="2" t="s">
        <v>423</v>
      </c>
      <c r="D78" s="2" t="s">
        <v>2</v>
      </c>
      <c r="E78" s="2">
        <v>41</v>
      </c>
      <c r="F78" s="2">
        <v>5</v>
      </c>
      <c r="G78" s="2">
        <v>3</v>
      </c>
      <c r="H78" s="2">
        <v>326724</v>
      </c>
      <c r="I78" s="2">
        <v>56</v>
      </c>
      <c r="J78" s="2" t="s">
        <v>1671</v>
      </c>
      <c r="K78" s="2">
        <v>53</v>
      </c>
      <c r="L78" s="2">
        <v>15</v>
      </c>
      <c r="M78" s="2">
        <v>5</v>
      </c>
      <c r="N78" s="2">
        <v>8</v>
      </c>
      <c r="O78" s="2">
        <v>20</v>
      </c>
      <c r="P78" s="2">
        <v>5</v>
      </c>
      <c r="Q78" s="2" t="s">
        <v>1808</v>
      </c>
      <c r="R78" s="2" t="s">
        <v>1809</v>
      </c>
      <c r="S78" s="4">
        <v>44837</v>
      </c>
    </row>
    <row r="79" spans="1:19" ht="12.5" x14ac:dyDescent="0.25">
      <c r="A79" s="14" t="str">
        <f>HYPERLINK("https://gerandofalcoes.my.salesforce.com/0014P00003YSp7RQAT", "0014P00003YSp7RQAT")</f>
        <v>0014P00003YSp7RQAT</v>
      </c>
      <c r="B79" s="2" t="s">
        <v>2272</v>
      </c>
      <c r="C79" s="2" t="s">
        <v>423</v>
      </c>
      <c r="D79" s="2" t="s">
        <v>2</v>
      </c>
      <c r="E79" s="2">
        <v>30</v>
      </c>
      <c r="F79" s="2">
        <v>1</v>
      </c>
      <c r="G79" s="2">
        <v>2</v>
      </c>
      <c r="H79" s="2">
        <v>25000</v>
      </c>
      <c r="I79" s="2">
        <v>110</v>
      </c>
      <c r="J79" s="2" t="s">
        <v>1671</v>
      </c>
      <c r="K79" s="2">
        <v>46</v>
      </c>
      <c r="L79" s="2">
        <v>15</v>
      </c>
      <c r="M79" s="2">
        <v>5</v>
      </c>
      <c r="N79" s="2">
        <v>6</v>
      </c>
      <c r="O79" s="2">
        <v>10</v>
      </c>
      <c r="P79" s="2">
        <v>10</v>
      </c>
      <c r="Q79" s="2" t="s">
        <v>2273</v>
      </c>
      <c r="R79" s="2" t="s">
        <v>2274</v>
      </c>
      <c r="S79" s="4">
        <v>44837</v>
      </c>
    </row>
    <row r="80" spans="1:19" ht="12.5" x14ac:dyDescent="0.25">
      <c r="A80" s="14" t="str">
        <f>HYPERLINK("https://gerandofalcoes.my.salesforce.com/0014P00003YSp7SQAT", "0014P00003YSp7SQAT")</f>
        <v>0014P00003YSp7SQAT</v>
      </c>
      <c r="B80" s="2" t="s">
        <v>2619</v>
      </c>
      <c r="C80" s="2" t="s">
        <v>423</v>
      </c>
      <c r="D80" s="2" t="s">
        <v>2</v>
      </c>
      <c r="E80" s="2">
        <v>25</v>
      </c>
      <c r="F80" s="2">
        <v>0</v>
      </c>
      <c r="G80" s="2">
        <v>2</v>
      </c>
      <c r="H80" s="2">
        <v>40000</v>
      </c>
      <c r="I80" s="2">
        <v>600</v>
      </c>
      <c r="J80" s="2" t="s">
        <v>1671</v>
      </c>
      <c r="K80" s="2">
        <v>51</v>
      </c>
      <c r="L80" s="2">
        <v>15</v>
      </c>
      <c r="M80" s="2">
        <v>0</v>
      </c>
      <c r="N80" s="2">
        <v>6</v>
      </c>
      <c r="O80" s="2">
        <v>10</v>
      </c>
      <c r="P80" s="2">
        <v>20</v>
      </c>
      <c r="Q80" s="2" t="s">
        <v>2620</v>
      </c>
      <c r="R80" s="2" t="s">
        <v>2621</v>
      </c>
      <c r="S80" s="4">
        <v>44837</v>
      </c>
    </row>
    <row r="81" spans="1:19" ht="12.5" x14ac:dyDescent="0.25">
      <c r="A81" s="14" t="str">
        <f>HYPERLINK("https://gerandofalcoes.my.salesforce.com/0014P00003YSp7TQAT", "0014P00003YSp7TQAT")</f>
        <v>0014P00003YSp7TQAT</v>
      </c>
      <c r="B81" s="2" t="s">
        <v>2614</v>
      </c>
      <c r="C81" s="2" t="s">
        <v>1800</v>
      </c>
      <c r="D81" s="2" t="s">
        <v>2</v>
      </c>
      <c r="E81" s="2">
        <v>19</v>
      </c>
      <c r="F81" s="2">
        <v>0</v>
      </c>
      <c r="G81" s="2">
        <v>0</v>
      </c>
      <c r="H81" s="2">
        <v>0</v>
      </c>
      <c r="I81" s="2">
        <v>0</v>
      </c>
      <c r="J81" s="2" t="s">
        <v>1779</v>
      </c>
      <c r="K81" s="2">
        <v>10</v>
      </c>
      <c r="L81" s="2">
        <v>10</v>
      </c>
      <c r="M81" s="2">
        <v>0</v>
      </c>
      <c r="N81" s="2">
        <v>0</v>
      </c>
      <c r="O81" s="2">
        <v>0</v>
      </c>
      <c r="P81" s="2">
        <v>0</v>
      </c>
      <c r="Q81" s="2" t="s">
        <v>2615</v>
      </c>
      <c r="R81" s="2" t="s">
        <v>2615</v>
      </c>
      <c r="S81" s="4">
        <v>44837</v>
      </c>
    </row>
    <row r="82" spans="1:19" ht="12.5" x14ac:dyDescent="0.25">
      <c r="A82" s="14" t="str">
        <f>HYPERLINK("https://gerandofalcoes.my.salesforce.com/0014P00003YSp7UQAT", "0014P00003YSp7UQAT")</f>
        <v>0014P00003YSp7UQAT</v>
      </c>
      <c r="B82" s="2" t="s">
        <v>2098</v>
      </c>
      <c r="C82" s="2" t="s">
        <v>1800</v>
      </c>
      <c r="D82" s="2" t="s">
        <v>2</v>
      </c>
      <c r="E82" s="2">
        <v>35</v>
      </c>
      <c r="F82" s="2">
        <v>3</v>
      </c>
      <c r="G82" s="2">
        <v>0</v>
      </c>
      <c r="H82" s="2">
        <v>11000</v>
      </c>
      <c r="I82" s="2">
        <v>200</v>
      </c>
      <c r="J82" s="2" t="s">
        <v>1779</v>
      </c>
      <c r="K82" s="2">
        <v>37</v>
      </c>
      <c r="L82" s="2">
        <v>15</v>
      </c>
      <c r="M82" s="2">
        <v>5</v>
      </c>
      <c r="N82" s="2">
        <v>0</v>
      </c>
      <c r="O82" s="2">
        <v>5</v>
      </c>
      <c r="P82" s="2">
        <v>12</v>
      </c>
      <c r="Q82" s="2" t="s">
        <v>2099</v>
      </c>
      <c r="R82" s="2" t="s">
        <v>2099</v>
      </c>
      <c r="S82" s="4">
        <v>44837</v>
      </c>
    </row>
    <row r="83" spans="1:19" ht="12.5" x14ac:dyDescent="0.25">
      <c r="A83" s="14" t="str">
        <f>HYPERLINK("https://gerandofalcoes.my.salesforce.com/0014P00003YSp7VQAT", "0014P00003YSp7VQAT")</f>
        <v>0014P00003YSp7VQAT</v>
      </c>
      <c r="B83" s="2" t="s">
        <v>2546</v>
      </c>
      <c r="C83" s="2" t="s">
        <v>423</v>
      </c>
      <c r="D83" s="2" t="s">
        <v>2</v>
      </c>
      <c r="E83" s="2">
        <v>18</v>
      </c>
      <c r="F83" s="2">
        <v>0</v>
      </c>
      <c r="G83" s="2">
        <v>2</v>
      </c>
      <c r="H83" s="2">
        <v>3000</v>
      </c>
      <c r="I83" s="2">
        <v>120</v>
      </c>
      <c r="J83" s="2" t="s">
        <v>1779</v>
      </c>
      <c r="K83" s="2">
        <v>31</v>
      </c>
      <c r="L83" s="2">
        <v>10</v>
      </c>
      <c r="M83" s="2">
        <v>0</v>
      </c>
      <c r="N83" s="2">
        <v>6</v>
      </c>
      <c r="O83" s="2">
        <v>5</v>
      </c>
      <c r="P83" s="2">
        <v>10</v>
      </c>
      <c r="Q83" s="2" t="s">
        <v>2547</v>
      </c>
      <c r="R83" s="2" t="s">
        <v>2548</v>
      </c>
      <c r="S83" s="4">
        <v>44837</v>
      </c>
    </row>
    <row r="84" spans="1:19" ht="12.5" x14ac:dyDescent="0.25">
      <c r="A84" s="14" t="str">
        <f>HYPERLINK("https://gerandofalcoes.my.salesforce.com/0014P00003YSp7XQAT", "0014P00003YSp7XQAT")</f>
        <v>0014P00003YSp7XQAT</v>
      </c>
      <c r="B84" s="2" t="s">
        <v>2511</v>
      </c>
      <c r="C84" s="2" t="s">
        <v>1800</v>
      </c>
      <c r="D84" s="2" t="s">
        <v>2</v>
      </c>
      <c r="E84" s="2">
        <v>21</v>
      </c>
      <c r="F84" s="2">
        <v>0</v>
      </c>
      <c r="G84" s="2">
        <v>3</v>
      </c>
      <c r="H84" s="2">
        <v>8200</v>
      </c>
      <c r="I84" s="2">
        <v>109</v>
      </c>
      <c r="J84" s="2" t="s">
        <v>1779</v>
      </c>
      <c r="K84" s="2">
        <v>33</v>
      </c>
      <c r="L84" s="2">
        <v>10</v>
      </c>
      <c r="M84" s="2">
        <v>0</v>
      </c>
      <c r="N84" s="2">
        <v>8</v>
      </c>
      <c r="O84" s="2">
        <v>5</v>
      </c>
      <c r="P84" s="2">
        <v>10</v>
      </c>
      <c r="Q84" s="2" t="s">
        <v>2512</v>
      </c>
      <c r="R84" s="2" t="s">
        <v>2513</v>
      </c>
      <c r="S84" s="4">
        <v>44837</v>
      </c>
    </row>
    <row r="85" spans="1:19" ht="12.5" x14ac:dyDescent="0.25">
      <c r="A85" s="14" t="str">
        <f>HYPERLINK("https://gerandofalcoes.my.salesforce.com/0014P00003YSp7YQAT", "0014P00003YSp7YQAT")</f>
        <v>0014P00003YSp7YQAT</v>
      </c>
      <c r="B85" s="2" t="s">
        <v>2001</v>
      </c>
      <c r="C85" s="2" t="s">
        <v>1684</v>
      </c>
      <c r="D85" s="2" t="s">
        <v>2</v>
      </c>
      <c r="E85" s="2">
        <v>39</v>
      </c>
      <c r="F85" s="2">
        <v>1</v>
      </c>
      <c r="G85" s="2">
        <v>0</v>
      </c>
      <c r="H85" s="2">
        <v>0</v>
      </c>
      <c r="I85" s="2">
        <v>0</v>
      </c>
      <c r="J85" s="2" t="s">
        <v>1779</v>
      </c>
      <c r="K85" s="2">
        <v>20</v>
      </c>
      <c r="L85" s="2">
        <v>15</v>
      </c>
      <c r="M85" s="2">
        <v>5</v>
      </c>
      <c r="N85" s="2">
        <v>0</v>
      </c>
      <c r="O85" s="2">
        <v>0</v>
      </c>
      <c r="P85" s="2">
        <v>0</v>
      </c>
      <c r="Q85" s="2" t="s">
        <v>2002</v>
      </c>
      <c r="R85" s="2" t="s">
        <v>2003</v>
      </c>
      <c r="S85" s="4">
        <v>44837</v>
      </c>
    </row>
    <row r="86" spans="1:19" ht="12.5" x14ac:dyDescent="0.25">
      <c r="A86" s="14" t="str">
        <f>HYPERLINK("https://gerandofalcoes.my.salesforce.com/0014X00002VKCuvQAH", "0014X00002VKCuvQAH")</f>
        <v>0014X00002VKCuvQAH</v>
      </c>
      <c r="B86" s="2" t="s">
        <v>1924</v>
      </c>
      <c r="C86" s="2" t="s">
        <v>423</v>
      </c>
      <c r="D86" s="2" t="s">
        <v>2</v>
      </c>
      <c r="E86" s="2">
        <v>42</v>
      </c>
      <c r="F86" s="2">
        <v>44</v>
      </c>
      <c r="G86" s="2">
        <v>6</v>
      </c>
      <c r="H86" s="2">
        <v>900000</v>
      </c>
      <c r="I86" s="2">
        <v>460</v>
      </c>
      <c r="J86" s="2" t="s">
        <v>1654</v>
      </c>
      <c r="K86" s="2">
        <v>85</v>
      </c>
      <c r="L86" s="2">
        <v>15</v>
      </c>
      <c r="M86" s="2">
        <v>15</v>
      </c>
      <c r="N86" s="2">
        <v>10</v>
      </c>
      <c r="O86" s="2">
        <v>25</v>
      </c>
      <c r="P86" s="2">
        <v>20</v>
      </c>
      <c r="Q86" s="2" t="s">
        <v>1925</v>
      </c>
      <c r="R86" s="2" t="s">
        <v>1926</v>
      </c>
      <c r="S86" s="4">
        <v>44837</v>
      </c>
    </row>
    <row r="87" spans="1:19" ht="12.5" x14ac:dyDescent="0.25">
      <c r="A87" s="14" t="str">
        <f>HYPERLINK("https://gerandofalcoes.my.salesforce.com/0014X00002VKCpIQAX", "0014X00002VKCpIQAX")</f>
        <v>0014X00002VKCpIQAX</v>
      </c>
      <c r="B87" s="2" t="s">
        <v>2523</v>
      </c>
      <c r="C87" s="2" t="s">
        <v>423</v>
      </c>
      <c r="D87" s="2" t="s">
        <v>2</v>
      </c>
      <c r="E87" s="2">
        <v>21</v>
      </c>
      <c r="F87" s="2">
        <v>0</v>
      </c>
      <c r="G87" s="2">
        <v>4</v>
      </c>
      <c r="H87" s="2">
        <v>300</v>
      </c>
      <c r="I87" s="2">
        <v>50</v>
      </c>
      <c r="J87" s="2" t="s">
        <v>1779</v>
      </c>
      <c r="K87" s="2">
        <v>30</v>
      </c>
      <c r="L87" s="2">
        <v>10</v>
      </c>
      <c r="M87" s="2">
        <v>0</v>
      </c>
      <c r="N87" s="2">
        <v>10</v>
      </c>
      <c r="O87" s="2">
        <v>5</v>
      </c>
      <c r="P87" s="2">
        <v>5</v>
      </c>
      <c r="Q87" s="2" t="s">
        <v>2524</v>
      </c>
      <c r="R87" s="2" t="s">
        <v>2525</v>
      </c>
      <c r="S87" s="4">
        <v>44837</v>
      </c>
    </row>
    <row r="88" spans="1:19" ht="12.5" x14ac:dyDescent="0.25">
      <c r="A88" s="14" t="str">
        <f>HYPERLINK("https://gerandofalcoes.my.salesforce.com/0014X00002VKCqHQAX", "0014X00002VKCqHQAX")</f>
        <v>0014X00002VKCqHQAX</v>
      </c>
      <c r="B88" s="2" t="s">
        <v>1829</v>
      </c>
      <c r="C88" s="2" t="s">
        <v>423</v>
      </c>
      <c r="D88" s="2" t="s">
        <v>2</v>
      </c>
      <c r="E88" s="2">
        <v>50</v>
      </c>
      <c r="F88" s="2">
        <v>0</v>
      </c>
      <c r="G88" s="2">
        <v>5</v>
      </c>
      <c r="H88" s="2">
        <v>521000</v>
      </c>
      <c r="I88" s="2">
        <v>352</v>
      </c>
      <c r="J88" s="2" t="s">
        <v>1650</v>
      </c>
      <c r="K88" s="2">
        <v>65</v>
      </c>
      <c r="L88" s="2">
        <v>20</v>
      </c>
      <c r="M88" s="2">
        <v>0</v>
      </c>
      <c r="N88" s="2">
        <v>10</v>
      </c>
      <c r="O88" s="2">
        <v>20</v>
      </c>
      <c r="P88" s="2">
        <v>15</v>
      </c>
      <c r="Q88" s="2" t="s">
        <v>1830</v>
      </c>
      <c r="R88" s="2" t="s">
        <v>1831</v>
      </c>
      <c r="S88" s="4">
        <v>44837</v>
      </c>
    </row>
    <row r="89" spans="1:19" ht="12.5" x14ac:dyDescent="0.25">
      <c r="A89" s="14" t="str">
        <f>HYPERLINK("https://gerandofalcoes.my.salesforce.com/0014X00002VKCqZQAX", "0014X00002VKCqZQAX")</f>
        <v>0014X00002VKCqZQAX</v>
      </c>
      <c r="B89" s="2" t="s">
        <v>2315</v>
      </c>
      <c r="C89" s="2" t="s">
        <v>423</v>
      </c>
      <c r="D89" s="2" t="s">
        <v>2</v>
      </c>
      <c r="E89" s="2">
        <v>38</v>
      </c>
      <c r="F89" s="2">
        <v>0</v>
      </c>
      <c r="G89" s="2">
        <v>2</v>
      </c>
      <c r="H89" s="2">
        <v>10000</v>
      </c>
      <c r="I89" s="2">
        <v>40</v>
      </c>
      <c r="J89" s="2" t="s">
        <v>1779</v>
      </c>
      <c r="K89" s="2">
        <v>31</v>
      </c>
      <c r="L89" s="2">
        <v>15</v>
      </c>
      <c r="M89" s="2">
        <v>0</v>
      </c>
      <c r="N89" s="2">
        <v>6</v>
      </c>
      <c r="O89" s="2">
        <v>5</v>
      </c>
      <c r="P89" s="2">
        <v>5</v>
      </c>
      <c r="Q89" s="2" t="s">
        <v>2316</v>
      </c>
      <c r="R89" s="2" t="s">
        <v>2316</v>
      </c>
      <c r="S89" s="4">
        <v>44837</v>
      </c>
    </row>
    <row r="90" spans="1:19" ht="12.5" x14ac:dyDescent="0.25">
      <c r="A90" s="14" t="str">
        <f>HYPERLINK("https://gerandofalcoes.my.salesforce.com/0014X00002VKCuBQAX", "0014X00002VKCuBQAX")</f>
        <v>0014X00002VKCuBQAX</v>
      </c>
      <c r="B90" s="2" t="s">
        <v>2038</v>
      </c>
      <c r="C90" s="2" t="s">
        <v>423</v>
      </c>
      <c r="D90" s="2" t="s">
        <v>2</v>
      </c>
      <c r="E90" s="2">
        <v>37</v>
      </c>
      <c r="F90" s="2">
        <v>0</v>
      </c>
      <c r="G90" s="2">
        <v>2</v>
      </c>
      <c r="H90" s="2">
        <v>10000</v>
      </c>
      <c r="I90" s="2">
        <v>102</v>
      </c>
      <c r="J90" s="2" t="s">
        <v>1779</v>
      </c>
      <c r="K90" s="2">
        <v>36</v>
      </c>
      <c r="L90" s="2">
        <v>15</v>
      </c>
      <c r="M90" s="2">
        <v>0</v>
      </c>
      <c r="N90" s="2">
        <v>6</v>
      </c>
      <c r="O90" s="2">
        <v>5</v>
      </c>
      <c r="P90" s="2">
        <v>10</v>
      </c>
      <c r="Q90" s="2" t="s">
        <v>2039</v>
      </c>
      <c r="R90" s="2" t="s">
        <v>2039</v>
      </c>
      <c r="S90" s="4">
        <v>44837</v>
      </c>
    </row>
    <row r="91" spans="1:19" ht="12.5" x14ac:dyDescent="0.25">
      <c r="A91" s="14" t="str">
        <f>HYPERLINK("https://gerandofalcoes.my.salesforce.com/0014X00002VKCuKQAX", "0014X00002VKCuKQAX")</f>
        <v>0014X00002VKCuKQAX</v>
      </c>
      <c r="B91" s="2" t="s">
        <v>1879</v>
      </c>
      <c r="C91" s="2" t="s">
        <v>423</v>
      </c>
      <c r="D91" s="2" t="s">
        <v>2</v>
      </c>
      <c r="E91" s="2">
        <v>40</v>
      </c>
      <c r="F91" s="2">
        <v>2</v>
      </c>
      <c r="G91" s="2">
        <v>3</v>
      </c>
      <c r="H91" s="2">
        <v>5000</v>
      </c>
      <c r="I91" s="2">
        <v>20</v>
      </c>
      <c r="J91" s="2" t="s">
        <v>1779</v>
      </c>
      <c r="K91" s="2">
        <v>38</v>
      </c>
      <c r="L91" s="2">
        <v>15</v>
      </c>
      <c r="M91" s="2">
        <v>5</v>
      </c>
      <c r="N91" s="2">
        <v>8</v>
      </c>
      <c r="O91" s="2">
        <v>5</v>
      </c>
      <c r="P91" s="2">
        <v>5</v>
      </c>
      <c r="Q91" s="2" t="s">
        <v>1880</v>
      </c>
      <c r="R91" s="2" t="s">
        <v>1880</v>
      </c>
      <c r="S91" s="4">
        <v>44837</v>
      </c>
    </row>
    <row r="92" spans="1:19" ht="12.5" x14ac:dyDescent="0.25">
      <c r="A92" s="14" t="str">
        <f>HYPERLINK("https://gerandofalcoes.my.salesforce.com/0014X00002VKCptQAH", "0014X00002VKCptQAH")</f>
        <v>0014X00002VKCptQAH</v>
      </c>
      <c r="B92" s="2" t="s">
        <v>2230</v>
      </c>
      <c r="C92" s="2" t="s">
        <v>423</v>
      </c>
      <c r="D92" s="2" t="s">
        <v>2</v>
      </c>
      <c r="E92" s="2">
        <v>40</v>
      </c>
      <c r="F92" s="2">
        <v>8</v>
      </c>
      <c r="G92" s="2">
        <v>2</v>
      </c>
      <c r="H92" s="2">
        <v>127272</v>
      </c>
      <c r="I92" s="2">
        <v>0</v>
      </c>
      <c r="J92" s="2" t="s">
        <v>1671</v>
      </c>
      <c r="K92" s="2">
        <v>46</v>
      </c>
      <c r="L92" s="2">
        <v>15</v>
      </c>
      <c r="M92" s="2">
        <v>10</v>
      </c>
      <c r="N92" s="2">
        <v>6</v>
      </c>
      <c r="O92" s="2">
        <v>15</v>
      </c>
      <c r="P92" s="2">
        <v>0</v>
      </c>
      <c r="Q92" s="2" t="s">
        <v>2231</v>
      </c>
      <c r="R92" s="2" t="s">
        <v>2232</v>
      </c>
      <c r="S92" s="4">
        <v>44837</v>
      </c>
    </row>
    <row r="93" spans="1:19" ht="12.5" x14ac:dyDescent="0.25">
      <c r="A93" s="14" t="str">
        <f>HYPERLINK("https://gerandofalcoes.my.salesforce.com/0014X00002VKCowQAH", "0014X00002VKCowQAH")</f>
        <v>0014X00002VKCowQAH</v>
      </c>
      <c r="B93" s="2" t="s">
        <v>2549</v>
      </c>
      <c r="C93" s="2" t="s">
        <v>423</v>
      </c>
      <c r="D93" s="2" t="s">
        <v>2</v>
      </c>
      <c r="E93" s="2">
        <v>27</v>
      </c>
      <c r="F93" s="2">
        <v>0</v>
      </c>
      <c r="G93" s="2">
        <v>3</v>
      </c>
      <c r="H93" s="2">
        <v>0</v>
      </c>
      <c r="I93" s="2">
        <v>40</v>
      </c>
      <c r="J93" s="2" t="s">
        <v>1779</v>
      </c>
      <c r="K93" s="2">
        <v>28</v>
      </c>
      <c r="L93" s="2">
        <v>15</v>
      </c>
      <c r="M93" s="2">
        <v>0</v>
      </c>
      <c r="N93" s="2">
        <v>8</v>
      </c>
      <c r="O93" s="2">
        <v>0</v>
      </c>
      <c r="P93" s="2">
        <v>5</v>
      </c>
      <c r="Q93" s="2" t="s">
        <v>2550</v>
      </c>
      <c r="R93" s="2" t="s">
        <v>2550</v>
      </c>
      <c r="S93" s="4">
        <v>44837</v>
      </c>
    </row>
    <row r="94" spans="1:19" ht="12.5" x14ac:dyDescent="0.25">
      <c r="A94" s="14" t="str">
        <f>HYPERLINK("https://gerandofalcoes.my.salesforce.com/0014X00002VKCsYQAX", "0014X00002VKCsYQAX")</f>
        <v>0014X00002VKCsYQAX</v>
      </c>
      <c r="B94" s="2" t="s">
        <v>2413</v>
      </c>
      <c r="C94" s="2" t="s">
        <v>423</v>
      </c>
      <c r="D94" s="2" t="s">
        <v>2</v>
      </c>
      <c r="E94" s="2">
        <v>25</v>
      </c>
      <c r="F94" s="2">
        <v>0</v>
      </c>
      <c r="G94" s="2">
        <v>1</v>
      </c>
      <c r="H94" s="2">
        <v>0</v>
      </c>
      <c r="I94" s="2">
        <v>0</v>
      </c>
      <c r="J94" s="2" t="s">
        <v>1779</v>
      </c>
      <c r="K94" s="2">
        <v>19</v>
      </c>
      <c r="L94" s="2">
        <v>15</v>
      </c>
      <c r="M94" s="2">
        <v>0</v>
      </c>
      <c r="N94" s="2">
        <v>4</v>
      </c>
      <c r="O94" s="2">
        <v>0</v>
      </c>
      <c r="P94" s="2">
        <v>0</v>
      </c>
      <c r="Q94" s="2" t="s">
        <v>2414</v>
      </c>
      <c r="R94" s="2" t="s">
        <v>2414</v>
      </c>
      <c r="S94" s="4">
        <v>44837</v>
      </c>
    </row>
    <row r="95" spans="1:19" ht="12.5" x14ac:dyDescent="0.25">
      <c r="A95" s="14" t="str">
        <f>HYPERLINK("https://gerandofalcoes.my.salesforce.com/0014X00002VKCusQAH", "0014X00002VKCusQAH")</f>
        <v>0014X00002VKCusQAH</v>
      </c>
      <c r="B95" s="2" t="s">
        <v>1946</v>
      </c>
      <c r="C95" s="2" t="s">
        <v>423</v>
      </c>
      <c r="D95" s="2" t="s">
        <v>2</v>
      </c>
      <c r="E95" s="2">
        <v>41</v>
      </c>
      <c r="F95" s="2">
        <v>0</v>
      </c>
      <c r="G95" s="2">
        <v>2</v>
      </c>
      <c r="H95" s="2">
        <v>3000</v>
      </c>
      <c r="I95" s="2">
        <v>137</v>
      </c>
      <c r="J95" s="2" t="s">
        <v>1779</v>
      </c>
      <c r="K95" s="2">
        <v>36</v>
      </c>
      <c r="L95" s="2">
        <v>15</v>
      </c>
      <c r="M95" s="2">
        <v>0</v>
      </c>
      <c r="N95" s="2">
        <v>6</v>
      </c>
      <c r="O95" s="2">
        <v>5</v>
      </c>
      <c r="P95" s="2">
        <v>10</v>
      </c>
      <c r="Q95" s="2" t="s">
        <v>1947</v>
      </c>
      <c r="R95" s="2" t="s">
        <v>1948</v>
      </c>
      <c r="S95" s="4">
        <v>44837</v>
      </c>
    </row>
    <row r="96" spans="1:19" ht="12.5" x14ac:dyDescent="0.25">
      <c r="A96" s="14" t="str">
        <f>HYPERLINK("https://gerandofalcoes.my.salesforce.com/0014X00002VKCpnQAH", "0014X00002VKCpnQAH")</f>
        <v>0014X00002VKCpnQAH</v>
      </c>
      <c r="B96" s="2" t="s">
        <v>2965</v>
      </c>
      <c r="C96" s="2" t="s">
        <v>423</v>
      </c>
      <c r="D96" s="2" t="s">
        <v>2</v>
      </c>
      <c r="E96" s="2">
        <v>13</v>
      </c>
      <c r="F96" s="2">
        <v>0</v>
      </c>
      <c r="G96" s="2">
        <v>2</v>
      </c>
      <c r="H96" s="2">
        <v>10000</v>
      </c>
      <c r="I96" s="2">
        <v>0</v>
      </c>
      <c r="J96" s="2" t="s">
        <v>1779</v>
      </c>
      <c r="K96" s="2">
        <v>21</v>
      </c>
      <c r="L96" s="2">
        <v>10</v>
      </c>
      <c r="M96" s="2">
        <v>0</v>
      </c>
      <c r="N96" s="2">
        <v>6</v>
      </c>
      <c r="O96" s="2">
        <v>5</v>
      </c>
      <c r="P96" s="2">
        <v>0</v>
      </c>
      <c r="Q96" s="2" t="s">
        <v>2966</v>
      </c>
      <c r="R96" s="2" t="s">
        <v>2966</v>
      </c>
      <c r="S96" s="4">
        <v>44837</v>
      </c>
    </row>
    <row r="97" spans="1:19" ht="12.5" x14ac:dyDescent="0.25">
      <c r="A97" s="14" t="str">
        <f>HYPERLINK("https://gerandofalcoes.my.salesforce.com/0014X00002VKCqQQAX", "0014X00002VKCqQQAX")</f>
        <v>0014X00002VKCqQQAX</v>
      </c>
      <c r="B97" s="2" t="s">
        <v>2952</v>
      </c>
      <c r="C97" s="2" t="s">
        <v>423</v>
      </c>
      <c r="D97" s="2" t="s">
        <v>2</v>
      </c>
      <c r="E97" s="2">
        <v>17</v>
      </c>
      <c r="F97" s="2">
        <v>0</v>
      </c>
      <c r="G97" s="2">
        <v>2</v>
      </c>
      <c r="H97" s="2">
        <v>0</v>
      </c>
      <c r="I97" s="2">
        <v>20</v>
      </c>
      <c r="J97" s="2" t="s">
        <v>1779</v>
      </c>
      <c r="K97" s="2">
        <v>21</v>
      </c>
      <c r="L97" s="2">
        <v>10</v>
      </c>
      <c r="M97" s="2">
        <v>0</v>
      </c>
      <c r="N97" s="2">
        <v>6</v>
      </c>
      <c r="O97" s="2">
        <v>0</v>
      </c>
      <c r="P97" s="2">
        <v>5</v>
      </c>
      <c r="Q97" s="2" t="s">
        <v>2953</v>
      </c>
      <c r="R97" s="2" t="s">
        <v>2954</v>
      </c>
      <c r="S97" s="4">
        <v>44837</v>
      </c>
    </row>
    <row r="98" spans="1:19" ht="12.5" x14ac:dyDescent="0.25">
      <c r="A98" s="14" t="str">
        <f>HYPERLINK("https://gerandofalcoes.my.salesforce.com/0014X00002VKCqfQAH", "0014X00002VKCqfQAH")</f>
        <v>0014X00002VKCqfQAH</v>
      </c>
      <c r="B98" s="2" t="s">
        <v>1998</v>
      </c>
      <c r="C98" s="2" t="s">
        <v>1800</v>
      </c>
      <c r="D98" s="2" t="s">
        <v>2</v>
      </c>
      <c r="E98" s="2">
        <v>39</v>
      </c>
      <c r="F98" s="2">
        <v>0</v>
      </c>
      <c r="G98" s="2">
        <v>2</v>
      </c>
      <c r="H98" s="2">
        <v>14000</v>
      </c>
      <c r="I98" s="2">
        <v>0</v>
      </c>
      <c r="J98" s="2" t="s">
        <v>1779</v>
      </c>
      <c r="K98" s="2">
        <v>26</v>
      </c>
      <c r="L98" s="2">
        <v>15</v>
      </c>
      <c r="M98" s="2">
        <v>0</v>
      </c>
      <c r="N98" s="2">
        <v>6</v>
      </c>
      <c r="O98" s="2">
        <v>5</v>
      </c>
      <c r="P98" s="2">
        <v>0</v>
      </c>
      <c r="Q98" s="2" t="s">
        <v>1999</v>
      </c>
      <c r="R98" s="2" t="s">
        <v>2000</v>
      </c>
      <c r="S98" s="4">
        <v>44837</v>
      </c>
    </row>
    <row r="99" spans="1:19" ht="12.5" x14ac:dyDescent="0.25">
      <c r="A99" s="14" t="str">
        <f>HYPERLINK("https://gerandofalcoes.my.salesforce.com/0014X00002VKCsWQAX", "0014X00002VKCsWQAX")</f>
        <v>0014X00002VKCsWQAX</v>
      </c>
      <c r="B99" s="2" t="s">
        <v>2211</v>
      </c>
      <c r="C99" s="2" t="s">
        <v>1800</v>
      </c>
      <c r="D99" s="2" t="s">
        <v>2</v>
      </c>
      <c r="E99" s="2">
        <v>32</v>
      </c>
      <c r="F99" s="2">
        <v>3</v>
      </c>
      <c r="G99" s="2">
        <v>2</v>
      </c>
      <c r="H99" s="2">
        <v>1000</v>
      </c>
      <c r="I99" s="2">
        <v>1200</v>
      </c>
      <c r="J99" s="2" t="s">
        <v>1671</v>
      </c>
      <c r="K99" s="2">
        <v>51</v>
      </c>
      <c r="L99" s="2">
        <v>15</v>
      </c>
      <c r="M99" s="2">
        <v>5</v>
      </c>
      <c r="N99" s="2">
        <v>6</v>
      </c>
      <c r="O99" s="2">
        <v>5</v>
      </c>
      <c r="P99" s="2">
        <v>20</v>
      </c>
      <c r="Q99" s="2" t="s">
        <v>7184</v>
      </c>
      <c r="R99" s="2" t="s">
        <v>2213</v>
      </c>
      <c r="S99" s="4">
        <v>44837</v>
      </c>
    </row>
    <row r="100" spans="1:19" ht="12.5" x14ac:dyDescent="0.25">
      <c r="A100" s="14" t="str">
        <f>HYPERLINK("https://gerandofalcoes.my.salesforce.com/0014X00002VKCrNQAX", "0014X00002VKCrNQAX")</f>
        <v>0014X00002VKCrNQAX</v>
      </c>
      <c r="B100" s="2" t="s">
        <v>2035</v>
      </c>
      <c r="C100" s="2" t="s">
        <v>423</v>
      </c>
      <c r="D100" s="2" t="s">
        <v>2</v>
      </c>
      <c r="E100" s="2">
        <v>37</v>
      </c>
      <c r="F100" s="2">
        <v>10</v>
      </c>
      <c r="G100" s="2">
        <v>2</v>
      </c>
      <c r="H100" s="2">
        <v>20000</v>
      </c>
      <c r="I100" s="2">
        <v>230</v>
      </c>
      <c r="J100" s="2" t="s">
        <v>1671</v>
      </c>
      <c r="K100" s="2">
        <v>48</v>
      </c>
      <c r="L100" s="2">
        <v>15</v>
      </c>
      <c r="M100" s="2">
        <v>10</v>
      </c>
      <c r="N100" s="2">
        <v>6</v>
      </c>
      <c r="O100" s="2">
        <v>5</v>
      </c>
      <c r="P100" s="2">
        <v>12</v>
      </c>
      <c r="Q100" s="2" t="s">
        <v>2036</v>
      </c>
      <c r="R100" s="2" t="s">
        <v>2037</v>
      </c>
      <c r="S100" s="4">
        <v>44837</v>
      </c>
    </row>
    <row r="101" spans="1:19" ht="12.5" x14ac:dyDescent="0.25">
      <c r="A101" s="14" t="str">
        <f>HYPERLINK("https://gerandofalcoes.my.salesforce.com/0014X00002VKCqWQAX", "0014X00002VKCqWQAX")</f>
        <v>0014X00002VKCqWQAX</v>
      </c>
      <c r="B101" s="2" t="s">
        <v>2114</v>
      </c>
      <c r="C101" s="2" t="s">
        <v>1800</v>
      </c>
      <c r="D101" s="2" t="s">
        <v>2</v>
      </c>
      <c r="E101" s="2">
        <v>35</v>
      </c>
      <c r="F101" s="2">
        <v>2</v>
      </c>
      <c r="G101" s="2">
        <v>3</v>
      </c>
      <c r="H101" s="2">
        <v>11579</v>
      </c>
      <c r="I101" s="2">
        <v>20</v>
      </c>
      <c r="J101" s="2" t="s">
        <v>1779</v>
      </c>
      <c r="K101" s="2">
        <v>38</v>
      </c>
      <c r="L101" s="2">
        <v>15</v>
      </c>
      <c r="M101" s="2">
        <v>5</v>
      </c>
      <c r="N101" s="2">
        <v>8</v>
      </c>
      <c r="O101" s="2">
        <v>5</v>
      </c>
      <c r="P101" s="2">
        <v>5</v>
      </c>
      <c r="Q101" s="2" t="s">
        <v>2115</v>
      </c>
      <c r="R101" s="2" t="s">
        <v>2116</v>
      </c>
      <c r="S101" s="4">
        <v>44837</v>
      </c>
    </row>
    <row r="102" spans="1:19" ht="12.5" x14ac:dyDescent="0.25">
      <c r="A102" s="14" t="str">
        <f>HYPERLINK("https://gerandofalcoes.my.salesforce.com/0014X00002VKCqPQAX", "0014X00002VKCqPQAX")</f>
        <v>0014X00002VKCqPQAX</v>
      </c>
      <c r="B102" s="2" t="s">
        <v>2122</v>
      </c>
      <c r="C102" s="2" t="s">
        <v>423</v>
      </c>
      <c r="D102" s="2" t="s">
        <v>2</v>
      </c>
      <c r="E102" s="2">
        <v>34</v>
      </c>
      <c r="F102" s="2">
        <v>5</v>
      </c>
      <c r="G102" s="2">
        <v>2</v>
      </c>
      <c r="H102" s="2">
        <v>32000</v>
      </c>
      <c r="I102" s="2">
        <v>186</v>
      </c>
      <c r="J102" s="2" t="s">
        <v>1671</v>
      </c>
      <c r="K102" s="2">
        <v>48</v>
      </c>
      <c r="L102" s="2">
        <v>15</v>
      </c>
      <c r="M102" s="2">
        <v>5</v>
      </c>
      <c r="N102" s="2">
        <v>6</v>
      </c>
      <c r="O102" s="2">
        <v>10</v>
      </c>
      <c r="P102" s="2">
        <v>12</v>
      </c>
      <c r="Q102" s="2" t="s">
        <v>2123</v>
      </c>
      <c r="R102" s="2" t="s">
        <v>2124</v>
      </c>
      <c r="S102" s="4">
        <v>44837</v>
      </c>
    </row>
    <row r="103" spans="1:19" ht="12.5" x14ac:dyDescent="0.25">
      <c r="A103" s="14" t="str">
        <f>HYPERLINK("https://gerandofalcoes.my.salesforce.com/0014X00002VKCqkQAH", "0014X00002VKCqkQAH")</f>
        <v>0014X00002VKCqkQAH</v>
      </c>
      <c r="B103" s="2" t="s">
        <v>2847</v>
      </c>
      <c r="C103" s="2" t="s">
        <v>423</v>
      </c>
      <c r="D103" s="2" t="s">
        <v>2</v>
      </c>
      <c r="E103" s="2">
        <v>41</v>
      </c>
      <c r="F103" s="2">
        <v>0</v>
      </c>
      <c r="G103" s="2">
        <v>2</v>
      </c>
      <c r="H103" s="2">
        <v>12000</v>
      </c>
      <c r="I103" s="2">
        <v>1523</v>
      </c>
      <c r="J103" s="2" t="s">
        <v>1671</v>
      </c>
      <c r="K103" s="2">
        <v>46</v>
      </c>
      <c r="L103" s="2">
        <v>15</v>
      </c>
      <c r="M103" s="2">
        <v>0</v>
      </c>
      <c r="N103" s="2">
        <v>6</v>
      </c>
      <c r="O103" s="2">
        <v>5</v>
      </c>
      <c r="P103" s="2">
        <v>20</v>
      </c>
      <c r="Q103" s="2" t="s">
        <v>2848</v>
      </c>
      <c r="R103" s="2" t="s">
        <v>2849</v>
      </c>
      <c r="S103" s="4">
        <v>44837</v>
      </c>
    </row>
    <row r="104" spans="1:19" ht="12.5" x14ac:dyDescent="0.25">
      <c r="A104" s="14" t="str">
        <f>HYPERLINK("https://gerandofalcoes.my.salesforce.com/0014X00002VKCt2QAH", "0014X00002VKCt2QAH")</f>
        <v>0014X00002VKCt2QAH</v>
      </c>
      <c r="B104" s="2" t="s">
        <v>1792</v>
      </c>
      <c r="C104" s="2" t="s">
        <v>423</v>
      </c>
      <c r="D104" s="2" t="s">
        <v>2</v>
      </c>
      <c r="E104" s="2">
        <v>71</v>
      </c>
      <c r="F104" s="2">
        <v>4</v>
      </c>
      <c r="G104" s="2">
        <v>3</v>
      </c>
      <c r="H104" s="2">
        <v>238000</v>
      </c>
      <c r="I104" s="2">
        <v>133</v>
      </c>
      <c r="J104" s="2" t="s">
        <v>1671</v>
      </c>
      <c r="K104" s="2">
        <v>58</v>
      </c>
      <c r="L104" s="2">
        <v>20</v>
      </c>
      <c r="M104" s="2">
        <v>5</v>
      </c>
      <c r="N104" s="2">
        <v>8</v>
      </c>
      <c r="O104" s="2">
        <v>15</v>
      </c>
      <c r="P104" s="2">
        <v>10</v>
      </c>
      <c r="Q104" s="2" t="s">
        <v>1793</v>
      </c>
      <c r="R104" s="2" t="s">
        <v>1794</v>
      </c>
      <c r="S104" s="4">
        <v>44837</v>
      </c>
    </row>
    <row r="105" spans="1:19" ht="12.5" x14ac:dyDescent="0.25">
      <c r="A105" s="14" t="str">
        <f>HYPERLINK("https://gerandofalcoes.my.salesforce.com/0014X00002VKCt3QAH", "0014X00002VKCt3QAH")</f>
        <v>0014X00002VKCt3QAH</v>
      </c>
      <c r="B105" s="2" t="s">
        <v>2706</v>
      </c>
      <c r="C105" s="2" t="s">
        <v>423</v>
      </c>
      <c r="D105" s="2" t="s">
        <v>2</v>
      </c>
      <c r="E105" s="2">
        <v>21</v>
      </c>
      <c r="F105" s="2">
        <v>0</v>
      </c>
      <c r="G105" s="2">
        <v>2</v>
      </c>
      <c r="H105" s="2">
        <v>1</v>
      </c>
      <c r="I105" s="2">
        <v>100</v>
      </c>
      <c r="J105" s="2" t="s">
        <v>1779</v>
      </c>
      <c r="K105" s="2">
        <v>31</v>
      </c>
      <c r="L105" s="2">
        <v>10</v>
      </c>
      <c r="M105" s="2">
        <v>0</v>
      </c>
      <c r="N105" s="2">
        <v>6</v>
      </c>
      <c r="O105" s="2">
        <v>5</v>
      </c>
      <c r="P105" s="2">
        <v>10</v>
      </c>
      <c r="Q105" s="2" t="s">
        <v>2707</v>
      </c>
      <c r="R105" s="2" t="s">
        <v>2708</v>
      </c>
      <c r="S105" s="4">
        <v>44837</v>
      </c>
    </row>
    <row r="106" spans="1:19" ht="12.5" x14ac:dyDescent="0.25">
      <c r="A106" s="14" t="str">
        <f>HYPERLINK("https://gerandofalcoes.my.salesforce.com/0014P00003YSp7ZQAT", "0014P00003YSp7ZQAT")</f>
        <v>0014P00003YSp7ZQAT</v>
      </c>
      <c r="B106" s="2" t="s">
        <v>2136</v>
      </c>
      <c r="C106" s="2" t="s">
        <v>423</v>
      </c>
      <c r="D106" s="2" t="s">
        <v>2</v>
      </c>
      <c r="E106" s="2">
        <v>34</v>
      </c>
      <c r="F106" s="2">
        <v>0</v>
      </c>
      <c r="G106" s="2">
        <v>2</v>
      </c>
      <c r="H106" s="2">
        <v>50000</v>
      </c>
      <c r="I106" s="2">
        <v>400</v>
      </c>
      <c r="J106" s="2" t="s">
        <v>1671</v>
      </c>
      <c r="K106" s="2">
        <v>46</v>
      </c>
      <c r="L106" s="2">
        <v>15</v>
      </c>
      <c r="M106" s="2">
        <v>0</v>
      </c>
      <c r="N106" s="2">
        <v>6</v>
      </c>
      <c r="O106" s="2">
        <v>10</v>
      </c>
      <c r="P106" s="2">
        <v>15</v>
      </c>
      <c r="Q106" s="2" t="s">
        <v>2137</v>
      </c>
      <c r="R106" s="2" t="s">
        <v>2138</v>
      </c>
      <c r="S106" s="4">
        <v>44837</v>
      </c>
    </row>
    <row r="107" spans="1:19" ht="12.5" x14ac:dyDescent="0.25">
      <c r="A107" s="14" t="str">
        <f>HYPERLINK("https://gerandofalcoes.my.salesforce.com/0014P00003YSp7aQAD", "0014P00003YSp7aQAD")</f>
        <v>0014P00003YSp7aQAD</v>
      </c>
      <c r="B107" s="2" t="s">
        <v>2922</v>
      </c>
      <c r="C107" s="2" t="s">
        <v>423</v>
      </c>
      <c r="D107" s="2" t="s">
        <v>2</v>
      </c>
      <c r="E107" s="2">
        <v>14</v>
      </c>
      <c r="F107" s="2">
        <v>8</v>
      </c>
      <c r="G107" s="2">
        <v>2</v>
      </c>
      <c r="H107" s="2">
        <v>1000</v>
      </c>
      <c r="I107" s="2">
        <v>300</v>
      </c>
      <c r="J107" s="2" t="s">
        <v>1671</v>
      </c>
      <c r="K107" s="2">
        <v>46</v>
      </c>
      <c r="L107" s="2">
        <v>10</v>
      </c>
      <c r="M107" s="2">
        <v>10</v>
      </c>
      <c r="N107" s="2">
        <v>6</v>
      </c>
      <c r="O107" s="2">
        <v>5</v>
      </c>
      <c r="P107" s="2">
        <v>15</v>
      </c>
      <c r="Q107" s="2" t="s">
        <v>2923</v>
      </c>
      <c r="R107" s="2" t="s">
        <v>2924</v>
      </c>
      <c r="S107" s="4">
        <v>44837</v>
      </c>
    </row>
    <row r="108" spans="1:19" ht="12.5" x14ac:dyDescent="0.25">
      <c r="A108" s="14" t="str">
        <f>HYPERLINK("https://gerandofalcoes.my.salesforce.com/0014P00003YSp7bQAD", "0014P00003YSp7bQAD")</f>
        <v>0014P00003YSp7bQAD</v>
      </c>
      <c r="B108" s="2" t="s">
        <v>2169</v>
      </c>
      <c r="C108" s="2" t="s">
        <v>1800</v>
      </c>
      <c r="D108" s="2" t="s">
        <v>2</v>
      </c>
      <c r="E108" s="2">
        <v>33</v>
      </c>
      <c r="F108" s="2">
        <v>40</v>
      </c>
      <c r="G108" s="2">
        <v>2</v>
      </c>
      <c r="H108" s="2">
        <v>50000</v>
      </c>
      <c r="I108" s="2">
        <v>150</v>
      </c>
      <c r="J108" s="2" t="s">
        <v>1671</v>
      </c>
      <c r="K108" s="2">
        <v>58</v>
      </c>
      <c r="L108" s="2">
        <v>15</v>
      </c>
      <c r="M108" s="2">
        <v>15</v>
      </c>
      <c r="N108" s="2">
        <v>6</v>
      </c>
      <c r="O108" s="2">
        <v>10</v>
      </c>
      <c r="P108" s="2">
        <v>12</v>
      </c>
      <c r="Q108" s="2" t="s">
        <v>2170</v>
      </c>
      <c r="R108" s="2" t="s">
        <v>2171</v>
      </c>
      <c r="S108" s="4">
        <v>44837</v>
      </c>
    </row>
    <row r="109" spans="1:19" ht="12.5" x14ac:dyDescent="0.25">
      <c r="A109" s="14" t="str">
        <f>HYPERLINK("https://gerandofalcoes.my.salesforce.com/0014P00003YSp7dQAD", "0014P00003YSp7dQAD")</f>
        <v>0014P00003YSp7dQAD</v>
      </c>
      <c r="B109" s="2" t="s">
        <v>1855</v>
      </c>
      <c r="C109" s="2" t="s">
        <v>423</v>
      </c>
      <c r="D109" s="2" t="s">
        <v>2</v>
      </c>
      <c r="E109" s="2">
        <v>34</v>
      </c>
      <c r="F109" s="2">
        <v>6</v>
      </c>
      <c r="G109" s="2">
        <v>2</v>
      </c>
      <c r="H109" s="2">
        <v>29000</v>
      </c>
      <c r="I109" s="2">
        <v>64</v>
      </c>
      <c r="J109" s="2" t="s">
        <v>1671</v>
      </c>
      <c r="K109" s="2">
        <v>46</v>
      </c>
      <c r="L109" s="2">
        <v>15</v>
      </c>
      <c r="M109" s="2">
        <v>10</v>
      </c>
      <c r="N109" s="2">
        <v>6</v>
      </c>
      <c r="O109" s="2">
        <v>10</v>
      </c>
      <c r="P109" s="2">
        <v>5</v>
      </c>
      <c r="Q109" s="2" t="s">
        <v>1856</v>
      </c>
      <c r="R109" s="2" t="s">
        <v>1857</v>
      </c>
      <c r="S109" s="4">
        <v>44837</v>
      </c>
    </row>
    <row r="110" spans="1:19" ht="12.5" x14ac:dyDescent="0.25">
      <c r="A110" s="14" t="str">
        <f>HYPERLINK("https://gerandofalcoes.my.salesforce.com/0014P00003YSp7eQAD", "0014P00003YSp7eQAD")</f>
        <v>0014P00003YSp7eQAD</v>
      </c>
      <c r="B110" s="2" t="s">
        <v>1804</v>
      </c>
      <c r="C110" s="2" t="s">
        <v>423</v>
      </c>
      <c r="D110" s="2" t="s">
        <v>2</v>
      </c>
      <c r="E110" s="2">
        <v>45</v>
      </c>
      <c r="F110" s="2">
        <v>6</v>
      </c>
      <c r="G110" s="2">
        <v>4</v>
      </c>
      <c r="H110" s="2">
        <v>126094</v>
      </c>
      <c r="I110" s="2">
        <v>380</v>
      </c>
      <c r="J110" s="2" t="s">
        <v>1650</v>
      </c>
      <c r="K110" s="2">
        <v>65</v>
      </c>
      <c r="L110" s="2">
        <v>15</v>
      </c>
      <c r="M110" s="2">
        <v>10</v>
      </c>
      <c r="N110" s="2">
        <v>10</v>
      </c>
      <c r="O110" s="2">
        <v>15</v>
      </c>
      <c r="P110" s="2">
        <v>15</v>
      </c>
      <c r="Q110" s="2" t="s">
        <v>1805</v>
      </c>
      <c r="R110" s="2" t="s">
        <v>1806</v>
      </c>
      <c r="S110" s="4">
        <v>44837</v>
      </c>
    </row>
    <row r="111" spans="1:19" ht="12.5" x14ac:dyDescent="0.25">
      <c r="A111" s="14" t="str">
        <f>HYPERLINK("https://gerandofalcoes.my.salesforce.com/0014P00003YSp7fQAD", "0014P00003YSp7fQAD")</f>
        <v>0014P00003YSp7fQAD</v>
      </c>
      <c r="B111" s="2" t="s">
        <v>2465</v>
      </c>
      <c r="C111" s="2" t="s">
        <v>423</v>
      </c>
      <c r="D111" s="2" t="s">
        <v>2</v>
      </c>
      <c r="E111" s="2">
        <v>23</v>
      </c>
      <c r="F111" s="2">
        <v>0</v>
      </c>
      <c r="G111" s="2">
        <v>2</v>
      </c>
      <c r="H111" s="2">
        <v>5000</v>
      </c>
      <c r="I111" s="2">
        <v>250</v>
      </c>
      <c r="J111" s="2" t="s">
        <v>1779</v>
      </c>
      <c r="K111" s="2">
        <v>33</v>
      </c>
      <c r="L111" s="2">
        <v>10</v>
      </c>
      <c r="M111" s="2">
        <v>0</v>
      </c>
      <c r="N111" s="2">
        <v>6</v>
      </c>
      <c r="O111" s="2">
        <v>5</v>
      </c>
      <c r="P111" s="2">
        <v>12</v>
      </c>
      <c r="Q111" s="2" t="s">
        <v>6552</v>
      </c>
      <c r="R111" s="2" t="s">
        <v>6552</v>
      </c>
      <c r="S111" s="4">
        <v>44837</v>
      </c>
    </row>
    <row r="112" spans="1:19" ht="12.5" x14ac:dyDescent="0.25">
      <c r="A112" s="14" t="str">
        <f>HYPERLINK("https://gerandofalcoes.my.salesforce.com/0014P00003YSp7hQAD", "0014P00003YSp7hQAD")</f>
        <v>0014P00003YSp7hQAD</v>
      </c>
      <c r="B112" s="2" t="s">
        <v>2713</v>
      </c>
      <c r="C112" s="2" t="s">
        <v>423</v>
      </c>
      <c r="D112" s="2" t="s">
        <v>2</v>
      </c>
      <c r="E112" s="2">
        <v>15</v>
      </c>
      <c r="F112" s="2">
        <v>4</v>
      </c>
      <c r="G112" s="2">
        <v>2</v>
      </c>
      <c r="H112" s="2">
        <v>32000</v>
      </c>
      <c r="I112" s="2">
        <v>348</v>
      </c>
      <c r="J112" s="2" t="s">
        <v>1671</v>
      </c>
      <c r="K112" s="2">
        <v>46</v>
      </c>
      <c r="L112" s="2">
        <v>10</v>
      </c>
      <c r="M112" s="2">
        <v>5</v>
      </c>
      <c r="N112" s="2">
        <v>6</v>
      </c>
      <c r="O112" s="2">
        <v>10</v>
      </c>
      <c r="P112" s="2">
        <v>15</v>
      </c>
      <c r="Q112" s="2" t="s">
        <v>7192</v>
      </c>
      <c r="R112" s="2" t="s">
        <v>2714</v>
      </c>
      <c r="S112" s="4">
        <v>44837</v>
      </c>
    </row>
    <row r="113" spans="1:19" ht="12.5" x14ac:dyDescent="0.25">
      <c r="A113" s="14" t="str">
        <f>HYPERLINK("https://gerandofalcoes.my.salesforce.com/0014P00003YSp7iQAD", "0014P00003YSp7iQAD")</f>
        <v>0014P00003YSp7iQAD</v>
      </c>
      <c r="B113" s="2" t="s">
        <v>2680</v>
      </c>
      <c r="C113" s="2" t="s">
        <v>1800</v>
      </c>
      <c r="D113" s="2" t="s">
        <v>2</v>
      </c>
      <c r="E113" s="2">
        <v>35</v>
      </c>
      <c r="F113" s="2">
        <v>0</v>
      </c>
      <c r="G113" s="2">
        <v>2</v>
      </c>
      <c r="H113" s="2">
        <v>5000</v>
      </c>
      <c r="I113" s="2">
        <v>30</v>
      </c>
      <c r="J113" s="2" t="s">
        <v>1779</v>
      </c>
      <c r="K113" s="2">
        <v>31</v>
      </c>
      <c r="L113" s="2">
        <v>15</v>
      </c>
      <c r="M113" s="2">
        <v>0</v>
      </c>
      <c r="N113" s="2">
        <v>6</v>
      </c>
      <c r="O113" s="2">
        <v>5</v>
      </c>
      <c r="P113" s="2">
        <v>5</v>
      </c>
      <c r="Q113" s="2" t="s">
        <v>2681</v>
      </c>
      <c r="R113" s="2" t="s">
        <v>2682</v>
      </c>
      <c r="S113" s="4">
        <v>44837</v>
      </c>
    </row>
    <row r="114" spans="1:19" ht="12.5" x14ac:dyDescent="0.25">
      <c r="A114" s="14" t="str">
        <f>HYPERLINK("https://gerandofalcoes.my.salesforce.com/0014P00003YSp7kQAD", "0014P00003YSp7kQAD")</f>
        <v>0014P00003YSp7kQAD</v>
      </c>
      <c r="B114" s="2" t="s">
        <v>2225</v>
      </c>
      <c r="C114" s="2" t="s">
        <v>1800</v>
      </c>
      <c r="D114" s="2" t="s">
        <v>2</v>
      </c>
      <c r="E114" s="2">
        <v>32</v>
      </c>
      <c r="F114" s="2">
        <v>0</v>
      </c>
      <c r="G114" s="2">
        <v>2</v>
      </c>
      <c r="H114" s="2">
        <v>0</v>
      </c>
      <c r="I114" s="2">
        <v>17</v>
      </c>
      <c r="J114" s="2" t="s">
        <v>1779</v>
      </c>
      <c r="K114" s="2">
        <v>26</v>
      </c>
      <c r="L114" s="2">
        <v>15</v>
      </c>
      <c r="M114" s="2">
        <v>0</v>
      </c>
      <c r="N114" s="2">
        <v>6</v>
      </c>
      <c r="O114" s="2">
        <v>0</v>
      </c>
      <c r="P114" s="2">
        <v>5</v>
      </c>
      <c r="Q114" s="2" t="s">
        <v>2226</v>
      </c>
      <c r="R114" s="2" t="s">
        <v>2227</v>
      </c>
      <c r="S114" s="4">
        <v>44837</v>
      </c>
    </row>
    <row r="115" spans="1:19" ht="12.5" x14ac:dyDescent="0.25">
      <c r="A115" s="14" t="str">
        <f>HYPERLINK("https://gerandofalcoes.my.salesforce.com/0014P00003YSp7lQAD", "0014P00003YSp7lQAD")</f>
        <v>0014P00003YSp7lQAD</v>
      </c>
      <c r="B115" s="2" t="s">
        <v>2057</v>
      </c>
      <c r="C115" s="2" t="s">
        <v>423</v>
      </c>
      <c r="D115" s="2" t="s">
        <v>2</v>
      </c>
      <c r="E115" s="2">
        <v>37</v>
      </c>
      <c r="F115" s="2">
        <v>0</v>
      </c>
      <c r="G115" s="2">
        <v>2</v>
      </c>
      <c r="H115" s="2">
        <v>50000</v>
      </c>
      <c r="I115" s="2">
        <v>20</v>
      </c>
      <c r="J115" s="2" t="s">
        <v>1779</v>
      </c>
      <c r="K115" s="2">
        <v>36</v>
      </c>
      <c r="L115" s="2">
        <v>15</v>
      </c>
      <c r="M115" s="2">
        <v>0</v>
      </c>
      <c r="N115" s="2">
        <v>6</v>
      </c>
      <c r="O115" s="2">
        <v>10</v>
      </c>
      <c r="P115" s="2">
        <v>5</v>
      </c>
      <c r="Q115" s="2" t="s">
        <v>2058</v>
      </c>
      <c r="R115" s="2" t="s">
        <v>2059</v>
      </c>
      <c r="S115" s="4">
        <v>44837</v>
      </c>
    </row>
    <row r="116" spans="1:19" ht="12.5" x14ac:dyDescent="0.25">
      <c r="A116" s="14" t="str">
        <f>HYPERLINK("https://gerandofalcoes.my.salesforce.com/0014P00003YSp7mQAD", "0014P00003YSp7mQAD")</f>
        <v>0014P00003YSp7mQAD</v>
      </c>
      <c r="B116" s="2" t="s">
        <v>2109</v>
      </c>
      <c r="C116" s="2" t="s">
        <v>1800</v>
      </c>
      <c r="D116" s="2" t="s">
        <v>2</v>
      </c>
      <c r="E116" s="2">
        <v>35</v>
      </c>
      <c r="F116" s="2">
        <v>5</v>
      </c>
      <c r="G116" s="2">
        <v>4</v>
      </c>
      <c r="H116" s="2">
        <v>0</v>
      </c>
      <c r="I116" s="2">
        <v>53</v>
      </c>
      <c r="J116" s="2" t="s">
        <v>1779</v>
      </c>
      <c r="K116" s="2">
        <v>35</v>
      </c>
      <c r="L116" s="2">
        <v>15</v>
      </c>
      <c r="M116" s="2">
        <v>5</v>
      </c>
      <c r="N116" s="2">
        <v>10</v>
      </c>
      <c r="O116" s="2">
        <v>0</v>
      </c>
      <c r="P116" s="2">
        <v>5</v>
      </c>
      <c r="Q116" s="2" t="s">
        <v>2110</v>
      </c>
      <c r="R116" s="2" t="s">
        <v>2111</v>
      </c>
      <c r="S116" s="4">
        <v>44837</v>
      </c>
    </row>
    <row r="117" spans="1:19" ht="12.5" x14ac:dyDescent="0.25">
      <c r="A117" s="14" t="str">
        <f>HYPERLINK("https://gerandofalcoes.my.salesforce.com/0014P00003YSp7nQAD", "0014P00003YSp7nQAD")</f>
        <v>0014P00003YSp7nQAD</v>
      </c>
      <c r="B117" s="2" t="s">
        <v>2401</v>
      </c>
      <c r="C117" s="2" t="s">
        <v>1800</v>
      </c>
      <c r="D117" s="2" t="s">
        <v>2</v>
      </c>
      <c r="E117" s="2">
        <v>25</v>
      </c>
      <c r="F117" s="2">
        <v>7</v>
      </c>
      <c r="G117" s="2">
        <v>6</v>
      </c>
      <c r="H117" s="2">
        <v>200000</v>
      </c>
      <c r="I117" s="2">
        <v>350</v>
      </c>
      <c r="J117" s="2" t="s">
        <v>1650</v>
      </c>
      <c r="K117" s="2">
        <v>65</v>
      </c>
      <c r="L117" s="2">
        <v>15</v>
      </c>
      <c r="M117" s="2">
        <v>10</v>
      </c>
      <c r="N117" s="2">
        <v>10</v>
      </c>
      <c r="O117" s="2">
        <v>15</v>
      </c>
      <c r="P117" s="2">
        <v>15</v>
      </c>
      <c r="Q117" s="2" t="s">
        <v>2402</v>
      </c>
      <c r="R117" s="2" t="s">
        <v>2403</v>
      </c>
      <c r="S117" s="4">
        <v>44837</v>
      </c>
    </row>
    <row r="118" spans="1:19" ht="12.5" x14ac:dyDescent="0.25">
      <c r="A118" s="14" t="str">
        <f>HYPERLINK("https://gerandofalcoes.my.salesforce.com/0014P00003YSp7oQAD", "0014P00003YSp7oQAD")</f>
        <v>0014P00003YSp7oQAD</v>
      </c>
      <c r="B118" s="2" t="s">
        <v>2746</v>
      </c>
      <c r="C118" s="2" t="s">
        <v>1800</v>
      </c>
      <c r="D118" s="2" t="s">
        <v>2</v>
      </c>
      <c r="E118" s="2">
        <v>14</v>
      </c>
      <c r="F118" s="2">
        <v>30</v>
      </c>
      <c r="G118" s="2">
        <v>2</v>
      </c>
      <c r="H118" s="2">
        <v>10000</v>
      </c>
      <c r="I118" s="2">
        <v>350</v>
      </c>
      <c r="J118" s="2" t="s">
        <v>1671</v>
      </c>
      <c r="K118" s="2">
        <v>48</v>
      </c>
      <c r="L118" s="2">
        <v>10</v>
      </c>
      <c r="M118" s="2">
        <v>12</v>
      </c>
      <c r="N118" s="2">
        <v>6</v>
      </c>
      <c r="O118" s="2">
        <v>5</v>
      </c>
      <c r="P118" s="2">
        <v>15</v>
      </c>
      <c r="Q118" s="2" t="s">
        <v>2747</v>
      </c>
      <c r="R118" s="2" t="s">
        <v>2748</v>
      </c>
      <c r="S118" s="4">
        <v>44837</v>
      </c>
    </row>
    <row r="119" spans="1:19" ht="12.5" x14ac:dyDescent="0.25">
      <c r="A119" s="14" t="str">
        <f>HYPERLINK("https://gerandofalcoes.my.salesforce.com/0014P00003YSp7pQAD", "0014P00003YSp7pQAD")</f>
        <v>0014P00003YSp7pQAD</v>
      </c>
      <c r="B119" s="2" t="s">
        <v>2596</v>
      </c>
      <c r="C119" s="2" t="s">
        <v>1800</v>
      </c>
      <c r="D119" s="2" t="s">
        <v>2</v>
      </c>
      <c r="E119" s="2">
        <v>19</v>
      </c>
      <c r="F119" s="2">
        <v>0</v>
      </c>
      <c r="G119" s="2">
        <v>3</v>
      </c>
      <c r="H119" s="2">
        <v>150000</v>
      </c>
      <c r="I119" s="2">
        <v>190</v>
      </c>
      <c r="J119" s="2" t="s">
        <v>1671</v>
      </c>
      <c r="K119" s="2">
        <v>45</v>
      </c>
      <c r="L119" s="2">
        <v>10</v>
      </c>
      <c r="M119" s="2">
        <v>0</v>
      </c>
      <c r="N119" s="2">
        <v>8</v>
      </c>
      <c r="O119" s="2">
        <v>15</v>
      </c>
      <c r="P119" s="2">
        <v>12</v>
      </c>
      <c r="Q119" s="2" t="s">
        <v>2597</v>
      </c>
      <c r="R119" s="2" t="s">
        <v>2598</v>
      </c>
      <c r="S119" s="4">
        <v>44837</v>
      </c>
    </row>
    <row r="120" spans="1:19" ht="12.5" x14ac:dyDescent="0.25">
      <c r="A120" s="14" t="str">
        <f>HYPERLINK("https://gerandofalcoes.my.salesforce.com/0014P00003YSp7qQAD", "0014P00003YSp7qQAD")</f>
        <v>0014P00003YSp7qQAD</v>
      </c>
      <c r="B120" s="2" t="s">
        <v>2438</v>
      </c>
      <c r="C120" s="2" t="s">
        <v>1800</v>
      </c>
      <c r="D120" s="2" t="s">
        <v>2</v>
      </c>
      <c r="E120" s="2">
        <v>24</v>
      </c>
      <c r="F120" s="2">
        <v>5</v>
      </c>
      <c r="G120" s="2">
        <v>2</v>
      </c>
      <c r="H120" s="2">
        <v>7000</v>
      </c>
      <c r="I120" s="2">
        <v>1250</v>
      </c>
      <c r="J120" s="2" t="s">
        <v>1671</v>
      </c>
      <c r="K120" s="2">
        <v>46</v>
      </c>
      <c r="L120" s="2">
        <v>10</v>
      </c>
      <c r="M120" s="2">
        <v>5</v>
      </c>
      <c r="N120" s="2">
        <v>6</v>
      </c>
      <c r="O120" s="2">
        <v>5</v>
      </c>
      <c r="P120" s="2">
        <v>20</v>
      </c>
      <c r="Q120" s="2" t="s">
        <v>2439</v>
      </c>
      <c r="R120" s="2" t="s">
        <v>2440</v>
      </c>
      <c r="S120" s="4">
        <v>44837</v>
      </c>
    </row>
    <row r="121" spans="1:19" ht="12.5" x14ac:dyDescent="0.25">
      <c r="A121" s="14" t="str">
        <f>HYPERLINK("https://gerandofalcoes.my.salesforce.com/0014P00003YSp7rQAD", "0014P00003YSp7rQAD")</f>
        <v>0014P00003YSp7rQAD</v>
      </c>
      <c r="B121" s="2" t="s">
        <v>2509</v>
      </c>
      <c r="C121" s="2" t="s">
        <v>1800</v>
      </c>
      <c r="D121" s="2" t="s">
        <v>2</v>
      </c>
      <c r="E121" s="2">
        <v>21</v>
      </c>
      <c r="F121" s="2">
        <v>1</v>
      </c>
      <c r="G121" s="2">
        <v>2</v>
      </c>
      <c r="H121" s="2">
        <v>11000</v>
      </c>
      <c r="I121" s="2">
        <v>320</v>
      </c>
      <c r="J121" s="2" t="s">
        <v>1671</v>
      </c>
      <c r="K121" s="2">
        <v>41</v>
      </c>
      <c r="L121" s="2">
        <v>10</v>
      </c>
      <c r="M121" s="2">
        <v>5</v>
      </c>
      <c r="N121" s="2">
        <v>6</v>
      </c>
      <c r="O121" s="2">
        <v>5</v>
      </c>
      <c r="P121" s="2">
        <v>15</v>
      </c>
      <c r="Q121" s="2" t="s">
        <v>2510</v>
      </c>
      <c r="R121" s="2" t="s">
        <v>2510</v>
      </c>
      <c r="S121" s="4">
        <v>44837</v>
      </c>
    </row>
    <row r="122" spans="1:19" ht="12.5" x14ac:dyDescent="0.25">
      <c r="A122" s="14" t="str">
        <f>HYPERLINK("https://gerandofalcoes.my.salesforce.com/0014P00003YSp7sQAD", "0014P00003YSp7sQAD")</f>
        <v>0014P00003YSp7sQAD</v>
      </c>
      <c r="B122" s="2" t="s">
        <v>1674</v>
      </c>
      <c r="C122" s="2" t="s">
        <v>423</v>
      </c>
      <c r="D122" s="2" t="s">
        <v>27</v>
      </c>
      <c r="E122" s="2">
        <v>42</v>
      </c>
      <c r="F122" s="2">
        <v>12</v>
      </c>
      <c r="G122" s="2">
        <v>3</v>
      </c>
      <c r="H122" s="2">
        <v>60000</v>
      </c>
      <c r="I122" s="2">
        <v>300</v>
      </c>
      <c r="J122" s="2" t="s">
        <v>1671</v>
      </c>
      <c r="K122" s="2">
        <v>60</v>
      </c>
      <c r="L122" s="2">
        <v>15</v>
      </c>
      <c r="M122" s="2">
        <v>12</v>
      </c>
      <c r="N122" s="2">
        <v>8</v>
      </c>
      <c r="O122" s="2">
        <v>10</v>
      </c>
      <c r="P122" s="2">
        <v>15</v>
      </c>
      <c r="Q122" s="2" t="s">
        <v>1675</v>
      </c>
      <c r="R122" s="2" t="s">
        <v>1675</v>
      </c>
      <c r="S122" s="4">
        <v>44837</v>
      </c>
    </row>
    <row r="123" spans="1:19" ht="12.5" x14ac:dyDescent="0.25">
      <c r="A123" s="14" t="str">
        <f>HYPERLINK("https://gerandofalcoes.my.salesforce.com/0014P00003YSp7tQAD", "0014P00003YSp7tQAD")</f>
        <v>0014P00003YSp7tQAD</v>
      </c>
      <c r="B123" s="2" t="s">
        <v>2418</v>
      </c>
      <c r="C123" s="2" t="s">
        <v>1800</v>
      </c>
      <c r="D123" s="2" t="s">
        <v>2</v>
      </c>
      <c r="E123" s="2">
        <v>25</v>
      </c>
      <c r="F123" s="2">
        <v>8</v>
      </c>
      <c r="G123" s="2">
        <v>2</v>
      </c>
      <c r="H123" s="2">
        <v>0</v>
      </c>
      <c r="I123" s="2">
        <v>0</v>
      </c>
      <c r="J123" s="2" t="s">
        <v>1779</v>
      </c>
      <c r="K123" s="2">
        <v>31</v>
      </c>
      <c r="L123" s="2">
        <v>15</v>
      </c>
      <c r="M123" s="2">
        <v>10</v>
      </c>
      <c r="N123" s="2">
        <v>6</v>
      </c>
      <c r="O123" s="2">
        <v>0</v>
      </c>
      <c r="P123" s="2">
        <v>0</v>
      </c>
      <c r="Q123" s="2" t="s">
        <v>2419</v>
      </c>
      <c r="R123" s="2" t="s">
        <v>2419</v>
      </c>
      <c r="S123" s="4">
        <v>44837</v>
      </c>
    </row>
    <row r="124" spans="1:19" ht="12.5" x14ac:dyDescent="0.25">
      <c r="A124" s="14" t="str">
        <f>HYPERLINK("https://gerandofalcoes.my.salesforce.com/0014P00003YSp7uQAD", "0014P00003YSp7uQAD")</f>
        <v>0014P00003YSp7uQAD</v>
      </c>
      <c r="B124" s="2" t="s">
        <v>2120</v>
      </c>
      <c r="C124" s="2" t="s">
        <v>423</v>
      </c>
      <c r="D124" s="2" t="s">
        <v>2</v>
      </c>
      <c r="E124" s="2">
        <v>35</v>
      </c>
      <c r="F124" s="2">
        <v>5</v>
      </c>
      <c r="G124" s="2">
        <v>6</v>
      </c>
      <c r="H124" s="2">
        <v>250000</v>
      </c>
      <c r="I124" s="2">
        <v>5000</v>
      </c>
      <c r="J124" s="2" t="s">
        <v>1650</v>
      </c>
      <c r="K124" s="2">
        <v>65</v>
      </c>
      <c r="L124" s="2">
        <v>15</v>
      </c>
      <c r="M124" s="2">
        <v>5</v>
      </c>
      <c r="N124" s="2">
        <v>10</v>
      </c>
      <c r="O124" s="2">
        <v>15</v>
      </c>
      <c r="P124" s="2">
        <v>20</v>
      </c>
      <c r="Q124" s="2" t="s">
        <v>2121</v>
      </c>
      <c r="R124" s="2" t="s">
        <v>2121</v>
      </c>
      <c r="S124" s="4">
        <v>44837</v>
      </c>
    </row>
    <row r="125" spans="1:19" ht="12.5" x14ac:dyDescent="0.25">
      <c r="A125" s="14" t="str">
        <f>HYPERLINK("https://gerandofalcoes.my.salesforce.com/0014X00002VKCpXQAX", "0014X00002VKCpXQAX")</f>
        <v>0014X00002VKCpXQAX</v>
      </c>
      <c r="B125" s="2" t="s">
        <v>2565</v>
      </c>
      <c r="C125" s="2" t="s">
        <v>1800</v>
      </c>
      <c r="D125" s="2" t="s">
        <v>2</v>
      </c>
      <c r="E125" s="2">
        <v>20</v>
      </c>
      <c r="F125" s="2">
        <v>6</v>
      </c>
      <c r="G125" s="2">
        <v>4</v>
      </c>
      <c r="H125" s="2">
        <v>0</v>
      </c>
      <c r="I125" s="2">
        <v>0</v>
      </c>
      <c r="J125" s="2" t="s">
        <v>1779</v>
      </c>
      <c r="K125" s="2">
        <v>30</v>
      </c>
      <c r="L125" s="2">
        <v>10</v>
      </c>
      <c r="M125" s="2">
        <v>10</v>
      </c>
      <c r="N125" s="2">
        <v>10</v>
      </c>
      <c r="O125" s="2">
        <v>0</v>
      </c>
      <c r="P125" s="2">
        <v>0</v>
      </c>
      <c r="Q125" s="2" t="s">
        <v>2566</v>
      </c>
      <c r="R125" s="2" t="s">
        <v>2567</v>
      </c>
      <c r="S125" s="4">
        <v>44837</v>
      </c>
    </row>
    <row r="126" spans="1:19" ht="12.5" x14ac:dyDescent="0.25">
      <c r="A126" s="14" t="str">
        <f>HYPERLINK("https://gerandofalcoes.my.salesforce.com/0014X00002VKCpPQAX", "0014X00002VKCpPQAX")</f>
        <v>0014X00002VKCpPQAX</v>
      </c>
      <c r="B126" s="2" t="s">
        <v>2591</v>
      </c>
      <c r="C126" s="2" t="s">
        <v>423</v>
      </c>
      <c r="D126" s="2" t="s">
        <v>2</v>
      </c>
      <c r="E126" s="2">
        <v>29</v>
      </c>
      <c r="F126" s="2">
        <v>0</v>
      </c>
      <c r="G126" s="2">
        <v>3</v>
      </c>
      <c r="H126" s="2">
        <v>72000</v>
      </c>
      <c r="I126" s="2">
        <v>0</v>
      </c>
      <c r="J126" s="2" t="s">
        <v>1779</v>
      </c>
      <c r="K126" s="2">
        <v>33</v>
      </c>
      <c r="L126" s="2">
        <v>15</v>
      </c>
      <c r="M126" s="2">
        <v>0</v>
      </c>
      <c r="N126" s="2">
        <v>8</v>
      </c>
      <c r="O126" s="2">
        <v>10</v>
      </c>
      <c r="P126" s="2">
        <v>0</v>
      </c>
      <c r="Q126" s="2" t="s">
        <v>2592</v>
      </c>
      <c r="R126" s="2" t="s">
        <v>2592</v>
      </c>
      <c r="S126" s="4">
        <v>44837</v>
      </c>
    </row>
    <row r="127" spans="1:19" ht="12.5" x14ac:dyDescent="0.25">
      <c r="A127" s="14" t="str">
        <f>HYPERLINK("https://gerandofalcoes.my.salesforce.com/0014X00002VKCvCQAX", "0014X00002VKCvCQAX")</f>
        <v>0014X00002VKCvCQAX</v>
      </c>
      <c r="B127" s="2" t="s">
        <v>2415</v>
      </c>
      <c r="C127" s="2" t="s">
        <v>1800</v>
      </c>
      <c r="D127" s="2" t="s">
        <v>2</v>
      </c>
      <c r="E127" s="2">
        <v>25</v>
      </c>
      <c r="F127" s="2">
        <v>0</v>
      </c>
      <c r="G127" s="2">
        <v>4</v>
      </c>
      <c r="H127" s="2">
        <v>25000</v>
      </c>
      <c r="I127" s="2">
        <v>0</v>
      </c>
      <c r="J127" s="2" t="s">
        <v>1779</v>
      </c>
      <c r="K127" s="2">
        <v>35</v>
      </c>
      <c r="L127" s="2">
        <v>15</v>
      </c>
      <c r="M127" s="2">
        <v>0</v>
      </c>
      <c r="N127" s="2">
        <v>10</v>
      </c>
      <c r="O127" s="2">
        <v>10</v>
      </c>
      <c r="P127" s="2">
        <v>0</v>
      </c>
      <c r="Q127" s="2" t="s">
        <v>2416</v>
      </c>
      <c r="R127" s="2" t="s">
        <v>2417</v>
      </c>
      <c r="S127" s="4">
        <v>44837</v>
      </c>
    </row>
    <row r="128" spans="1:19" ht="12.5" x14ac:dyDescent="0.25">
      <c r="A128" s="14" t="str">
        <f>HYPERLINK("https://gerandofalcoes.my.salesforce.com/0014X00002VKCsaQAH", "0014X00002VKCsaQAH")</f>
        <v>0014X00002VKCsaQAH</v>
      </c>
      <c r="B128" s="2" t="s">
        <v>7167</v>
      </c>
      <c r="C128" s="2" t="s">
        <v>423</v>
      </c>
      <c r="D128" s="2" t="s">
        <v>2</v>
      </c>
      <c r="E128" s="2">
        <v>42</v>
      </c>
      <c r="F128" s="2">
        <v>0</v>
      </c>
      <c r="G128" s="2">
        <v>2</v>
      </c>
      <c r="H128" s="2">
        <v>11800</v>
      </c>
      <c r="I128" s="2">
        <v>98</v>
      </c>
      <c r="J128" s="2" t="s">
        <v>1779</v>
      </c>
      <c r="K128" s="2">
        <v>36</v>
      </c>
      <c r="L128" s="2">
        <v>15</v>
      </c>
      <c r="M128" s="2">
        <v>0</v>
      </c>
      <c r="N128" s="2">
        <v>6</v>
      </c>
      <c r="O128" s="2">
        <v>5</v>
      </c>
      <c r="P128" s="2">
        <v>10</v>
      </c>
      <c r="Q128" s="2" t="s">
        <v>1962</v>
      </c>
      <c r="R128" s="2" t="s">
        <v>1962</v>
      </c>
      <c r="S128" s="4">
        <v>44837</v>
      </c>
    </row>
    <row r="129" spans="1:19" ht="12.5" x14ac:dyDescent="0.25">
      <c r="A129" s="14" t="str">
        <f>HYPERLINK("https://gerandofalcoes.my.salesforce.com/0014X00002VKCt9QAH", "0014X00002VKCt9QAH")</f>
        <v>0014X00002VKCt9QAH</v>
      </c>
      <c r="B129" s="2" t="s">
        <v>2100</v>
      </c>
      <c r="C129" s="2" t="s">
        <v>1800</v>
      </c>
      <c r="D129" s="2" t="s">
        <v>2</v>
      </c>
      <c r="E129" s="2">
        <v>35</v>
      </c>
      <c r="F129" s="2">
        <v>0</v>
      </c>
      <c r="G129" s="2">
        <v>2</v>
      </c>
      <c r="H129" s="2">
        <v>600</v>
      </c>
      <c r="I129" s="2">
        <v>150</v>
      </c>
      <c r="J129" s="2" t="s">
        <v>1779</v>
      </c>
      <c r="K129" s="2">
        <v>38</v>
      </c>
      <c r="L129" s="2">
        <v>15</v>
      </c>
      <c r="M129" s="2">
        <v>0</v>
      </c>
      <c r="N129" s="2">
        <v>6</v>
      </c>
      <c r="O129" s="2">
        <v>5</v>
      </c>
      <c r="P129" s="2">
        <v>12</v>
      </c>
      <c r="Q129" s="2" t="s">
        <v>2101</v>
      </c>
      <c r="R129" s="2" t="s">
        <v>2102</v>
      </c>
      <c r="S129" s="4">
        <v>44837</v>
      </c>
    </row>
    <row r="130" spans="1:19" ht="12.5" x14ac:dyDescent="0.25">
      <c r="A130" s="14" t="str">
        <f>HYPERLINK("https://gerandofalcoes.my.salesforce.com/0014X00002VKCtvQAH", "0014X00002VKCtvQAH")</f>
        <v>0014X00002VKCtvQAH</v>
      </c>
      <c r="B130" s="2" t="s">
        <v>1959</v>
      </c>
      <c r="C130" s="2" t="s">
        <v>423</v>
      </c>
      <c r="D130" s="2" t="s">
        <v>2</v>
      </c>
      <c r="E130" s="2">
        <v>54</v>
      </c>
      <c r="F130" s="2">
        <v>0</v>
      </c>
      <c r="G130" s="2">
        <v>6</v>
      </c>
      <c r="H130" s="2">
        <v>15000</v>
      </c>
      <c r="I130" s="2">
        <v>420</v>
      </c>
      <c r="J130" s="2" t="s">
        <v>1671</v>
      </c>
      <c r="K130" s="2">
        <v>50</v>
      </c>
      <c r="L130" s="2">
        <v>20</v>
      </c>
      <c r="M130" s="2">
        <v>0</v>
      </c>
      <c r="N130" s="2">
        <v>10</v>
      </c>
      <c r="O130" s="2">
        <v>5</v>
      </c>
      <c r="P130" s="2">
        <v>15</v>
      </c>
      <c r="Q130" s="2" t="s">
        <v>7153</v>
      </c>
      <c r="R130" s="2" t="s">
        <v>1960</v>
      </c>
      <c r="S130" s="4">
        <v>44837</v>
      </c>
    </row>
    <row r="131" spans="1:19" ht="12.5" x14ac:dyDescent="0.25">
      <c r="A131" s="14" t="str">
        <f>HYPERLINK("https://gerandofalcoes.my.salesforce.com/0014X00002VKCpMQAX", "0014X00002VKCpMQAX")</f>
        <v>0014X00002VKCpMQAX</v>
      </c>
      <c r="B131" s="2" t="s">
        <v>2660</v>
      </c>
      <c r="C131" s="2" t="s">
        <v>1800</v>
      </c>
      <c r="D131" s="2" t="s">
        <v>2</v>
      </c>
      <c r="E131" s="2">
        <v>17</v>
      </c>
      <c r="F131" s="2">
        <v>0</v>
      </c>
      <c r="G131" s="2">
        <v>2</v>
      </c>
      <c r="H131" s="2">
        <v>6000</v>
      </c>
      <c r="I131" s="2">
        <v>90</v>
      </c>
      <c r="J131" s="2" t="s">
        <v>1779</v>
      </c>
      <c r="K131" s="2">
        <v>31</v>
      </c>
      <c r="L131" s="2">
        <v>10</v>
      </c>
      <c r="M131" s="2">
        <v>0</v>
      </c>
      <c r="N131" s="2">
        <v>6</v>
      </c>
      <c r="O131" s="2">
        <v>5</v>
      </c>
      <c r="P131" s="2">
        <v>10</v>
      </c>
      <c r="Q131" s="2" t="s">
        <v>2661</v>
      </c>
      <c r="R131" s="2" t="s">
        <v>2661</v>
      </c>
      <c r="S131" s="4">
        <v>44837</v>
      </c>
    </row>
    <row r="132" spans="1:19" ht="12.5" x14ac:dyDescent="0.25">
      <c r="A132" s="14" t="str">
        <f>HYPERLINK("https://gerandofalcoes.my.salesforce.com/0014X00002VKCtJQAX", "0014X00002VKCtJQAX")</f>
        <v>0014X00002VKCtJQAX</v>
      </c>
      <c r="B132" s="2" t="s">
        <v>2672</v>
      </c>
      <c r="C132" s="2" t="s">
        <v>1800</v>
      </c>
      <c r="D132" s="2" t="s">
        <v>2</v>
      </c>
      <c r="E132" s="2">
        <v>17</v>
      </c>
      <c r="F132" s="2">
        <v>0</v>
      </c>
      <c r="G132" s="2">
        <v>3</v>
      </c>
      <c r="H132" s="2">
        <v>0</v>
      </c>
      <c r="I132" s="2">
        <v>0</v>
      </c>
      <c r="J132" s="2" t="s">
        <v>1779</v>
      </c>
      <c r="K132" s="2">
        <v>18</v>
      </c>
      <c r="L132" s="2">
        <v>10</v>
      </c>
      <c r="M132" s="2">
        <v>0</v>
      </c>
      <c r="N132" s="2">
        <v>8</v>
      </c>
      <c r="O132" s="2">
        <v>0</v>
      </c>
      <c r="P132" s="2">
        <v>0</v>
      </c>
      <c r="Q132" s="2" t="s">
        <v>2673</v>
      </c>
      <c r="R132" s="2" t="s">
        <v>2674</v>
      </c>
      <c r="S132" s="4">
        <v>44837</v>
      </c>
    </row>
    <row r="133" spans="1:19" ht="12.5" x14ac:dyDescent="0.25">
      <c r="A133" s="14" t="str">
        <f>HYPERLINK("https://gerandofalcoes.my.salesforce.com/0014X00002VKCttQAH", "0014X00002VKCttQAH")</f>
        <v>0014X00002VKCttQAH</v>
      </c>
      <c r="B133" s="2" t="s">
        <v>1966</v>
      </c>
      <c r="C133" s="2" t="s">
        <v>1800</v>
      </c>
      <c r="D133" s="2" t="s">
        <v>2</v>
      </c>
      <c r="E133" s="2">
        <v>40</v>
      </c>
      <c r="F133" s="2">
        <v>5</v>
      </c>
      <c r="G133" s="2">
        <v>3</v>
      </c>
      <c r="H133" s="2">
        <v>20</v>
      </c>
      <c r="I133" s="2">
        <v>30</v>
      </c>
      <c r="J133" s="2" t="s">
        <v>1779</v>
      </c>
      <c r="K133" s="2">
        <v>38</v>
      </c>
      <c r="L133" s="2">
        <v>15</v>
      </c>
      <c r="M133" s="2">
        <v>5</v>
      </c>
      <c r="N133" s="2">
        <v>8</v>
      </c>
      <c r="O133" s="2">
        <v>5</v>
      </c>
      <c r="P133" s="2">
        <v>5</v>
      </c>
      <c r="Q133" s="2" t="s">
        <v>1967</v>
      </c>
      <c r="R133" s="2" t="s">
        <v>1968</v>
      </c>
      <c r="S133" s="4">
        <v>44837</v>
      </c>
    </row>
    <row r="134" spans="1:19" ht="12.5" x14ac:dyDescent="0.25">
      <c r="A134" s="14" t="str">
        <f>HYPERLINK("https://gerandofalcoes.my.salesforce.com/0014X00002VKCsQQAX", "0014X00002VKCsQQAX")</f>
        <v>0014X00002VKCsQQAX</v>
      </c>
      <c r="B134" s="2" t="s">
        <v>2780</v>
      </c>
      <c r="C134" s="2" t="s">
        <v>1800</v>
      </c>
      <c r="D134" s="2" t="s">
        <v>2</v>
      </c>
      <c r="E134" s="2">
        <v>13</v>
      </c>
      <c r="F134" s="2">
        <v>0</v>
      </c>
      <c r="G134" s="2">
        <v>2</v>
      </c>
      <c r="H134" s="2">
        <v>0</v>
      </c>
      <c r="I134" s="2">
        <v>585</v>
      </c>
      <c r="J134" s="2" t="s">
        <v>1779</v>
      </c>
      <c r="K134" s="2">
        <v>36</v>
      </c>
      <c r="L134" s="2">
        <v>10</v>
      </c>
      <c r="M134" s="2">
        <v>0</v>
      </c>
      <c r="N134" s="2">
        <v>6</v>
      </c>
      <c r="O134" s="2">
        <v>0</v>
      </c>
      <c r="P134" s="2">
        <v>20</v>
      </c>
      <c r="Q134" s="2" t="s">
        <v>2781</v>
      </c>
      <c r="R134" s="2" t="s">
        <v>2782</v>
      </c>
      <c r="S134" s="4">
        <v>44837</v>
      </c>
    </row>
    <row r="135" spans="1:19" ht="12.5" x14ac:dyDescent="0.25">
      <c r="A135" s="14" t="str">
        <f>HYPERLINK("https://gerandofalcoes.my.salesforce.com/0014X00002VKCuUQAX", "0014X00002VKCuUQAX")</f>
        <v>0014X00002VKCuUQAX</v>
      </c>
      <c r="B135" s="2" t="s">
        <v>2860</v>
      </c>
      <c r="C135" s="2" t="s">
        <v>1800</v>
      </c>
      <c r="D135" s="2" t="s">
        <v>2</v>
      </c>
      <c r="E135" s="2">
        <v>10</v>
      </c>
      <c r="F135" s="2">
        <v>83</v>
      </c>
      <c r="G135" s="2">
        <v>8</v>
      </c>
      <c r="H135" s="2">
        <v>0</v>
      </c>
      <c r="I135" s="2">
        <v>5</v>
      </c>
      <c r="J135" s="2" t="s">
        <v>1671</v>
      </c>
      <c r="K135" s="2">
        <v>40</v>
      </c>
      <c r="L135" s="2">
        <v>10</v>
      </c>
      <c r="M135" s="2">
        <v>15</v>
      </c>
      <c r="N135" s="2">
        <v>10</v>
      </c>
      <c r="O135" s="2">
        <v>0</v>
      </c>
      <c r="P135" s="2">
        <v>5</v>
      </c>
      <c r="Q135" s="2" t="s">
        <v>2861</v>
      </c>
      <c r="R135" s="2" t="s">
        <v>2862</v>
      </c>
      <c r="S135" s="4">
        <v>44837</v>
      </c>
    </row>
    <row r="136" spans="1:19" ht="12.5" x14ac:dyDescent="0.25">
      <c r="A136" s="14" t="str">
        <f>HYPERLINK("https://gerandofalcoes.my.salesforce.com/0014X00002VKCpNQAX", "0014X00002VKCpNQAX")</f>
        <v>0014X00002VKCpNQAX</v>
      </c>
      <c r="B136" s="2" t="s">
        <v>2185</v>
      </c>
      <c r="C136" s="2" t="s">
        <v>1800</v>
      </c>
      <c r="D136" s="2" t="s">
        <v>2</v>
      </c>
      <c r="E136" s="2">
        <v>33</v>
      </c>
      <c r="F136" s="2">
        <v>0</v>
      </c>
      <c r="G136" s="2">
        <v>4</v>
      </c>
      <c r="H136" s="2">
        <v>800</v>
      </c>
      <c r="I136" s="2">
        <v>25</v>
      </c>
      <c r="J136" s="2" t="s">
        <v>1779</v>
      </c>
      <c r="K136" s="2">
        <v>35</v>
      </c>
      <c r="L136" s="2">
        <v>15</v>
      </c>
      <c r="M136" s="2">
        <v>0</v>
      </c>
      <c r="N136" s="2">
        <v>10</v>
      </c>
      <c r="O136" s="2">
        <v>5</v>
      </c>
      <c r="P136" s="2">
        <v>5</v>
      </c>
      <c r="Q136" s="2" t="s">
        <v>2186</v>
      </c>
      <c r="R136" s="2" t="s">
        <v>2187</v>
      </c>
      <c r="S136" s="4">
        <v>44837</v>
      </c>
    </row>
    <row r="137" spans="1:19" ht="12.5" x14ac:dyDescent="0.25">
      <c r="A137" s="14" t="str">
        <f>HYPERLINK("https://gerandofalcoes.my.salesforce.com/0014X00002VKCuYQAX", "0014X00002VKCuYQAX")</f>
        <v>0014X00002VKCuYQAX</v>
      </c>
      <c r="B137" s="2" t="s">
        <v>2049</v>
      </c>
      <c r="C137" s="2" t="s">
        <v>423</v>
      </c>
      <c r="D137" s="2" t="s">
        <v>2</v>
      </c>
      <c r="E137" s="2">
        <v>37</v>
      </c>
      <c r="F137" s="2">
        <v>0</v>
      </c>
      <c r="G137" s="2">
        <v>4</v>
      </c>
      <c r="H137" s="2">
        <v>2500</v>
      </c>
      <c r="I137" s="2">
        <v>100</v>
      </c>
      <c r="J137" s="2" t="s">
        <v>1671</v>
      </c>
      <c r="K137" s="2">
        <v>40</v>
      </c>
      <c r="L137" s="2">
        <v>15</v>
      </c>
      <c r="M137" s="2">
        <v>0</v>
      </c>
      <c r="N137" s="2">
        <v>10</v>
      </c>
      <c r="O137" s="2">
        <v>5</v>
      </c>
      <c r="P137" s="2">
        <v>10</v>
      </c>
      <c r="Q137" s="2" t="s">
        <v>7193</v>
      </c>
      <c r="R137" s="2" t="s">
        <v>2050</v>
      </c>
      <c r="S137" s="4">
        <v>44837</v>
      </c>
    </row>
    <row r="138" spans="1:19" ht="12.5" x14ac:dyDescent="0.25">
      <c r="A138" s="14" t="str">
        <f>HYPERLINK("https://gerandofalcoes.my.salesforce.com/0014X00002VKCq2QAH", "0014X00002VKCq2QAH")</f>
        <v>0014X00002VKCq2QAH</v>
      </c>
      <c r="B138" s="2" t="s">
        <v>2390</v>
      </c>
      <c r="C138" s="2" t="s">
        <v>423</v>
      </c>
      <c r="D138" s="2" t="s">
        <v>2</v>
      </c>
      <c r="E138" s="2">
        <v>29</v>
      </c>
      <c r="F138" s="2">
        <v>0</v>
      </c>
      <c r="G138" s="2">
        <v>2</v>
      </c>
      <c r="H138" s="2">
        <v>0</v>
      </c>
      <c r="I138" s="2">
        <v>260</v>
      </c>
      <c r="J138" s="2" t="s">
        <v>1779</v>
      </c>
      <c r="K138" s="2">
        <v>33</v>
      </c>
      <c r="L138" s="2">
        <v>15</v>
      </c>
      <c r="M138" s="2">
        <v>0</v>
      </c>
      <c r="N138" s="2">
        <v>6</v>
      </c>
      <c r="O138" s="2">
        <v>0</v>
      </c>
      <c r="P138" s="2">
        <v>12</v>
      </c>
      <c r="Q138" s="2" t="s">
        <v>2391</v>
      </c>
      <c r="R138" s="2" t="s">
        <v>2392</v>
      </c>
      <c r="S138" s="4">
        <v>44837</v>
      </c>
    </row>
    <row r="139" spans="1:19" ht="12.5" x14ac:dyDescent="0.25">
      <c r="A139" s="14" t="str">
        <f>HYPERLINK("https://gerandofalcoes.my.salesforce.com/0014X00002VKCsGQAX", "0014X00002VKCsGQAX")</f>
        <v>0014X00002VKCsGQAX</v>
      </c>
      <c r="B139" s="2" t="s">
        <v>2657</v>
      </c>
      <c r="C139" s="2" t="s">
        <v>423</v>
      </c>
      <c r="D139" s="2" t="s">
        <v>2</v>
      </c>
      <c r="E139" s="2">
        <v>17</v>
      </c>
      <c r="F139" s="2">
        <v>0</v>
      </c>
      <c r="G139" s="2">
        <v>9</v>
      </c>
      <c r="H139" s="2">
        <v>1000</v>
      </c>
      <c r="I139" s="2">
        <v>50</v>
      </c>
      <c r="J139" s="2" t="s">
        <v>1779</v>
      </c>
      <c r="K139" s="2">
        <v>30</v>
      </c>
      <c r="L139" s="2">
        <v>10</v>
      </c>
      <c r="M139" s="2">
        <v>0</v>
      </c>
      <c r="N139" s="2">
        <v>10</v>
      </c>
      <c r="O139" s="2">
        <v>5</v>
      </c>
      <c r="P139" s="2">
        <v>5</v>
      </c>
      <c r="Q139" s="2" t="s">
        <v>2658</v>
      </c>
      <c r="R139" s="2" t="s">
        <v>2659</v>
      </c>
      <c r="S139" s="4">
        <v>44837</v>
      </c>
    </row>
    <row r="140" spans="1:19" ht="12.5" x14ac:dyDescent="0.25">
      <c r="A140" s="14" t="str">
        <f>HYPERLINK("https://gerandofalcoes.my.salesforce.com/0014X00002VKCuhQAH", "0014X00002VKCuhQAH")</f>
        <v>0014X00002VKCuhQAH</v>
      </c>
      <c r="B140" s="2" t="s">
        <v>2423</v>
      </c>
      <c r="C140" s="2" t="s">
        <v>1800</v>
      </c>
      <c r="D140" s="2" t="s">
        <v>2</v>
      </c>
      <c r="E140" s="2">
        <v>25</v>
      </c>
      <c r="F140" s="2">
        <v>0</v>
      </c>
      <c r="G140" s="2">
        <v>3</v>
      </c>
      <c r="H140" s="2">
        <v>12000</v>
      </c>
      <c r="I140" s="2">
        <v>0</v>
      </c>
      <c r="J140" s="2" t="s">
        <v>1779</v>
      </c>
      <c r="K140" s="2">
        <v>28</v>
      </c>
      <c r="L140" s="2">
        <v>15</v>
      </c>
      <c r="M140" s="2">
        <v>0</v>
      </c>
      <c r="N140" s="2">
        <v>8</v>
      </c>
      <c r="O140" s="2">
        <v>5</v>
      </c>
      <c r="P140" s="2">
        <v>0</v>
      </c>
      <c r="Q140" s="2" t="s">
        <v>2424</v>
      </c>
      <c r="R140" s="2" t="s">
        <v>2424</v>
      </c>
      <c r="S140" s="4">
        <v>44837</v>
      </c>
    </row>
    <row r="141" spans="1:19" ht="12.5" x14ac:dyDescent="0.25">
      <c r="A141" s="14" t="str">
        <f>HYPERLINK("https://gerandofalcoes.my.salesforce.com/0014X00002VKCp6QAH", "0014X00002VKCp6QAH")</f>
        <v>0014X00002VKCp6QAH</v>
      </c>
      <c r="B141" s="2" t="s">
        <v>2256</v>
      </c>
      <c r="C141" s="2" t="s">
        <v>423</v>
      </c>
      <c r="D141" s="2" t="s">
        <v>2</v>
      </c>
      <c r="E141" s="2">
        <v>48</v>
      </c>
      <c r="F141" s="2">
        <v>0</v>
      </c>
      <c r="G141" s="2">
        <v>2</v>
      </c>
      <c r="H141" s="2">
        <v>100000</v>
      </c>
      <c r="I141" s="2">
        <v>230</v>
      </c>
      <c r="J141" s="2" t="s">
        <v>1671</v>
      </c>
      <c r="K141" s="2">
        <v>48</v>
      </c>
      <c r="L141" s="2">
        <v>15</v>
      </c>
      <c r="M141" s="2">
        <v>0</v>
      </c>
      <c r="N141" s="2">
        <v>6</v>
      </c>
      <c r="O141" s="2">
        <v>15</v>
      </c>
      <c r="P141" s="2">
        <v>12</v>
      </c>
      <c r="Q141" s="2" t="s">
        <v>2257</v>
      </c>
      <c r="R141" s="2" t="s">
        <v>2258</v>
      </c>
      <c r="S141" s="4">
        <v>44837</v>
      </c>
    </row>
    <row r="142" spans="1:19" ht="12.5" x14ac:dyDescent="0.25">
      <c r="A142" s="14" t="str">
        <f>HYPERLINK("https://gerandofalcoes.my.salesforce.com/0014X00002VKCuLQAX", "0014X00002VKCuLQAX")</f>
        <v>0014X00002VKCuLQAX</v>
      </c>
      <c r="B142" s="2" t="s">
        <v>2950</v>
      </c>
      <c r="C142" s="2" t="s">
        <v>423</v>
      </c>
      <c r="D142" s="2" t="s">
        <v>2</v>
      </c>
      <c r="E142" s="2">
        <v>24</v>
      </c>
      <c r="F142" s="2">
        <v>0</v>
      </c>
      <c r="G142" s="2">
        <v>4</v>
      </c>
      <c r="H142" s="2">
        <v>0</v>
      </c>
      <c r="I142" s="2">
        <v>20</v>
      </c>
      <c r="J142" s="2" t="s">
        <v>1779</v>
      </c>
      <c r="K142" s="2">
        <v>25</v>
      </c>
      <c r="L142" s="2">
        <v>10</v>
      </c>
      <c r="M142" s="2">
        <v>0</v>
      </c>
      <c r="N142" s="2">
        <v>10</v>
      </c>
      <c r="O142" s="2">
        <v>0</v>
      </c>
      <c r="P142" s="2">
        <v>5</v>
      </c>
      <c r="Q142" s="2" t="s">
        <v>2951</v>
      </c>
      <c r="R142" s="2" t="s">
        <v>2951</v>
      </c>
      <c r="S142" s="4">
        <v>44837</v>
      </c>
    </row>
    <row r="143" spans="1:19" ht="12.5" x14ac:dyDescent="0.25">
      <c r="A143" s="14" t="str">
        <f>HYPERLINK("https://gerandofalcoes.my.salesforce.com/0014X00002VKCpFQAX", "0014X00002VKCpFQAX")</f>
        <v>0014X00002VKCpFQAX</v>
      </c>
      <c r="B143" s="2" t="s">
        <v>2757</v>
      </c>
      <c r="C143" s="2" t="s">
        <v>1800</v>
      </c>
      <c r="D143" s="2" t="s">
        <v>2</v>
      </c>
      <c r="E143" s="2">
        <v>14</v>
      </c>
      <c r="F143" s="2">
        <v>0</v>
      </c>
      <c r="G143" s="2">
        <v>2</v>
      </c>
      <c r="H143" s="2">
        <v>5000</v>
      </c>
      <c r="I143" s="2">
        <v>30</v>
      </c>
      <c r="J143" s="2" t="s">
        <v>1779</v>
      </c>
      <c r="K143" s="2">
        <v>26</v>
      </c>
      <c r="L143" s="2">
        <v>10</v>
      </c>
      <c r="M143" s="2">
        <v>0</v>
      </c>
      <c r="N143" s="2">
        <v>6</v>
      </c>
      <c r="O143" s="2">
        <v>5</v>
      </c>
      <c r="P143" s="2">
        <v>5</v>
      </c>
      <c r="Q143" s="2" t="s">
        <v>2758</v>
      </c>
      <c r="R143" s="2" t="s">
        <v>2758</v>
      </c>
      <c r="S143" s="4">
        <v>44837</v>
      </c>
    </row>
    <row r="144" spans="1:19" ht="12.5" x14ac:dyDescent="0.25">
      <c r="A144" s="14" t="str">
        <f>HYPERLINK("https://gerandofalcoes.my.salesforce.com/0014X00002VKCt0QAH", "0014X00002VKCt0QAH")</f>
        <v>0014X00002VKCt0QAH</v>
      </c>
      <c r="B144" s="2" t="s">
        <v>1975</v>
      </c>
      <c r="C144" s="2" t="s">
        <v>423</v>
      </c>
      <c r="D144" s="2" t="s">
        <v>2</v>
      </c>
      <c r="E144" s="2">
        <v>53</v>
      </c>
      <c r="F144" s="2">
        <v>0</v>
      </c>
      <c r="G144" s="2">
        <v>4</v>
      </c>
      <c r="H144" s="2">
        <v>53000</v>
      </c>
      <c r="I144" s="2">
        <v>44</v>
      </c>
      <c r="J144" s="2" t="s">
        <v>1671</v>
      </c>
      <c r="K144" s="2">
        <v>45</v>
      </c>
      <c r="L144" s="2">
        <v>20</v>
      </c>
      <c r="M144" s="2">
        <v>0</v>
      </c>
      <c r="N144" s="2">
        <v>10</v>
      </c>
      <c r="O144" s="2">
        <v>10</v>
      </c>
      <c r="P144" s="2">
        <v>5</v>
      </c>
      <c r="Q144" s="2" t="s">
        <v>1976</v>
      </c>
      <c r="R144" s="2" t="s">
        <v>1976</v>
      </c>
      <c r="S144" s="4">
        <v>44837</v>
      </c>
    </row>
    <row r="145" spans="1:19" ht="12.5" x14ac:dyDescent="0.25">
      <c r="A145" s="14" t="str">
        <f>HYPERLINK("https://gerandofalcoes.my.salesforce.com/0014X00002VKCv4QAH", "0014X00002VKCv4QAH")</f>
        <v>0014X00002VKCv4QAH</v>
      </c>
      <c r="B145" s="2" t="s">
        <v>1788</v>
      </c>
      <c r="C145" s="2" t="s">
        <v>1800</v>
      </c>
      <c r="D145" s="2" t="s">
        <v>2</v>
      </c>
      <c r="E145" s="2">
        <v>56</v>
      </c>
      <c r="F145" s="2">
        <v>1</v>
      </c>
      <c r="G145" s="2">
        <v>2</v>
      </c>
      <c r="H145" s="2">
        <v>63500</v>
      </c>
      <c r="I145" s="2">
        <v>74</v>
      </c>
      <c r="J145" s="2" t="s">
        <v>1671</v>
      </c>
      <c r="K145" s="2">
        <v>46</v>
      </c>
      <c r="L145" s="2">
        <v>20</v>
      </c>
      <c r="M145" s="2">
        <v>5</v>
      </c>
      <c r="N145" s="2">
        <v>6</v>
      </c>
      <c r="O145" s="2">
        <v>10</v>
      </c>
      <c r="P145" s="2">
        <v>5</v>
      </c>
      <c r="Q145" s="2" t="s">
        <v>1789</v>
      </c>
      <c r="R145" s="2" t="s">
        <v>1790</v>
      </c>
      <c r="S145" s="4">
        <v>44837</v>
      </c>
    </row>
    <row r="146" spans="1:19" ht="12.5" x14ac:dyDescent="0.25">
      <c r="A146" s="14" t="str">
        <f>HYPERLINK("https://gerandofalcoes.my.salesforce.com/0014X00002VKCpzQAH", "0014X00002VKCpzQAH")</f>
        <v>0014X00002VKCpzQAH</v>
      </c>
      <c r="B146" s="2" t="s">
        <v>2346</v>
      </c>
      <c r="C146" s="2" t="s">
        <v>423</v>
      </c>
      <c r="D146" s="2" t="s">
        <v>2</v>
      </c>
      <c r="E146" s="2">
        <v>53</v>
      </c>
      <c r="F146" s="2">
        <v>0</v>
      </c>
      <c r="G146" s="2">
        <v>3</v>
      </c>
      <c r="H146" s="2">
        <v>50879</v>
      </c>
      <c r="I146" s="2">
        <v>96</v>
      </c>
      <c r="J146" s="2" t="s">
        <v>1671</v>
      </c>
      <c r="K146" s="2">
        <v>48</v>
      </c>
      <c r="L146" s="2">
        <v>20</v>
      </c>
      <c r="M146" s="2">
        <v>0</v>
      </c>
      <c r="N146" s="2">
        <v>8</v>
      </c>
      <c r="O146" s="2">
        <v>10</v>
      </c>
      <c r="P146" s="2">
        <v>10</v>
      </c>
      <c r="Q146" s="2" t="s">
        <v>2347</v>
      </c>
      <c r="R146" s="2" t="s">
        <v>2348</v>
      </c>
      <c r="S146" s="4">
        <v>44837</v>
      </c>
    </row>
    <row r="147" spans="1:19" ht="12.5" x14ac:dyDescent="0.25">
      <c r="A147" s="14" t="str">
        <f>HYPERLINK("https://gerandofalcoes.my.salesforce.com/0014X00002VKCtuQAH", "0014X00002VKCtuQAH")</f>
        <v>0014X00002VKCtuQAH</v>
      </c>
      <c r="B147" s="2" t="s">
        <v>2768</v>
      </c>
      <c r="C147" s="2" t="s">
        <v>423</v>
      </c>
      <c r="D147" s="2" t="s">
        <v>2</v>
      </c>
      <c r="E147" s="2">
        <v>38</v>
      </c>
      <c r="F147" s="2">
        <v>0</v>
      </c>
      <c r="G147" s="2">
        <v>2</v>
      </c>
      <c r="H147" s="2">
        <v>50000</v>
      </c>
      <c r="I147" s="2">
        <v>50</v>
      </c>
      <c r="J147" s="2" t="s">
        <v>1779</v>
      </c>
      <c r="K147" s="2">
        <v>36</v>
      </c>
      <c r="L147" s="2">
        <v>15</v>
      </c>
      <c r="M147" s="2">
        <v>0</v>
      </c>
      <c r="N147" s="2">
        <v>6</v>
      </c>
      <c r="O147" s="2">
        <v>10</v>
      </c>
      <c r="P147" s="2">
        <v>5</v>
      </c>
      <c r="Q147" s="2" t="s">
        <v>2769</v>
      </c>
      <c r="R147" s="2" t="s">
        <v>2770</v>
      </c>
      <c r="S147" s="4">
        <v>44837</v>
      </c>
    </row>
    <row r="148" spans="1:19" ht="12.5" x14ac:dyDescent="0.25">
      <c r="A148" s="14" t="str">
        <f>HYPERLINK("https://gerandofalcoes.my.salesforce.com/0014X00002VKCr8QAH", "0014X00002VKCr8QAH")</f>
        <v>0014X00002VKCr8QAH</v>
      </c>
      <c r="B148" s="2" t="s">
        <v>2830</v>
      </c>
      <c r="C148" s="2" t="s">
        <v>423</v>
      </c>
      <c r="D148" s="2" t="s">
        <v>2</v>
      </c>
      <c r="E148" s="2">
        <v>60</v>
      </c>
      <c r="F148" s="2">
        <v>9</v>
      </c>
      <c r="G148" s="2">
        <v>4</v>
      </c>
      <c r="H148" s="2">
        <v>400000</v>
      </c>
      <c r="I148" s="2">
        <v>539</v>
      </c>
      <c r="J148" s="2" t="s">
        <v>1654</v>
      </c>
      <c r="K148" s="2">
        <v>80</v>
      </c>
      <c r="L148" s="2">
        <v>20</v>
      </c>
      <c r="M148" s="2">
        <v>10</v>
      </c>
      <c r="N148" s="2">
        <v>10</v>
      </c>
      <c r="O148" s="2">
        <v>20</v>
      </c>
      <c r="P148" s="2">
        <v>20</v>
      </c>
      <c r="Q148" s="2" t="s">
        <v>2831</v>
      </c>
      <c r="R148" s="2" t="s">
        <v>2831</v>
      </c>
      <c r="S148" s="4">
        <v>44837</v>
      </c>
    </row>
    <row r="149" spans="1:19" ht="12.5" x14ac:dyDescent="0.25">
      <c r="A149" s="14" t="str">
        <f>HYPERLINK("https://gerandofalcoes.my.salesforce.com/0014X00002VKCr4QAH", "0014X00002VKCr4QAH")</f>
        <v>0014X00002VKCr4QAH</v>
      </c>
      <c r="B149" s="2" t="s">
        <v>2026</v>
      </c>
      <c r="C149" s="2" t="s">
        <v>423</v>
      </c>
      <c r="D149" s="2" t="s">
        <v>2</v>
      </c>
      <c r="E149" s="2">
        <v>47</v>
      </c>
      <c r="F149" s="2">
        <v>12</v>
      </c>
      <c r="G149" s="2">
        <v>5</v>
      </c>
      <c r="H149" s="2">
        <v>414092</v>
      </c>
      <c r="I149" s="2">
        <v>289</v>
      </c>
      <c r="J149" s="2" t="s">
        <v>1650</v>
      </c>
      <c r="K149" s="2">
        <v>69</v>
      </c>
      <c r="L149" s="2">
        <v>15</v>
      </c>
      <c r="M149" s="2">
        <v>12</v>
      </c>
      <c r="N149" s="2">
        <v>10</v>
      </c>
      <c r="O149" s="2">
        <v>20</v>
      </c>
      <c r="P149" s="2">
        <v>12</v>
      </c>
      <c r="Q149" s="2" t="s">
        <v>2027</v>
      </c>
      <c r="R149" s="2" t="s">
        <v>2027</v>
      </c>
      <c r="S149" s="4">
        <v>44837</v>
      </c>
    </row>
    <row r="150" spans="1:19" ht="12.5" x14ac:dyDescent="0.25">
      <c r="A150" s="14" t="str">
        <f>HYPERLINK("https://gerandofalcoes.my.salesforce.com/0014X00002VKCrlQAH", "0014X00002VKCrlQAH")</f>
        <v>0014X00002VKCrlQAH</v>
      </c>
      <c r="B150" s="2" t="s">
        <v>1850</v>
      </c>
      <c r="C150" s="2" t="s">
        <v>423</v>
      </c>
      <c r="D150" s="2" t="s">
        <v>2</v>
      </c>
      <c r="E150" s="2">
        <v>48</v>
      </c>
      <c r="F150" s="2">
        <v>0</v>
      </c>
      <c r="G150" s="2">
        <v>2</v>
      </c>
      <c r="H150" s="2">
        <v>30000</v>
      </c>
      <c r="I150" s="2">
        <v>3</v>
      </c>
      <c r="J150" s="2" t="s">
        <v>1779</v>
      </c>
      <c r="K150" s="2">
        <v>36</v>
      </c>
      <c r="L150" s="2">
        <v>15</v>
      </c>
      <c r="M150" s="2">
        <v>0</v>
      </c>
      <c r="N150" s="2">
        <v>6</v>
      </c>
      <c r="O150" s="2">
        <v>10</v>
      </c>
      <c r="P150" s="2">
        <v>5</v>
      </c>
      <c r="Q150" s="2" t="s">
        <v>1851</v>
      </c>
      <c r="R150" s="2" t="s">
        <v>1851</v>
      </c>
      <c r="S150" s="4">
        <v>44837</v>
      </c>
    </row>
    <row r="151" spans="1:19" ht="12.5" x14ac:dyDescent="0.25">
      <c r="A151" s="14" t="str">
        <f>HYPERLINK("https://gerandofalcoes.my.salesforce.com/0014X00002VKCpbQAH", "0014X00002VKCpbQAH")</f>
        <v>0014X00002VKCpbQAH</v>
      </c>
      <c r="B151" s="2" t="s">
        <v>7194</v>
      </c>
      <c r="C151" s="2" t="s">
        <v>423</v>
      </c>
      <c r="D151" s="2" t="s">
        <v>2</v>
      </c>
      <c r="E151" s="2">
        <v>43</v>
      </c>
      <c r="F151" s="2">
        <v>20</v>
      </c>
      <c r="G151" s="2">
        <v>2</v>
      </c>
      <c r="H151" s="2">
        <v>2000</v>
      </c>
      <c r="I151" s="2">
        <v>30</v>
      </c>
      <c r="J151" s="2" t="s">
        <v>1671</v>
      </c>
      <c r="K151" s="2">
        <v>43</v>
      </c>
      <c r="L151" s="2">
        <v>15</v>
      </c>
      <c r="M151" s="2">
        <v>12</v>
      </c>
      <c r="N151" s="2">
        <v>6</v>
      </c>
      <c r="O151" s="2">
        <v>5</v>
      </c>
      <c r="P151" s="2">
        <v>5</v>
      </c>
      <c r="Q151" s="2" t="s">
        <v>1914</v>
      </c>
      <c r="R151" s="2" t="s">
        <v>1914</v>
      </c>
      <c r="S151" s="4">
        <v>44837</v>
      </c>
    </row>
    <row r="152" spans="1:19" ht="12.5" x14ac:dyDescent="0.25">
      <c r="A152" s="14" t="str">
        <f>HYPERLINK("https://gerandofalcoes.my.salesforce.com/0014X00002VKCpYQAX", "0014X00002VKCpYQAX")</f>
        <v>0014X00002VKCpYQAX</v>
      </c>
      <c r="B152" s="2" t="s">
        <v>2328</v>
      </c>
      <c r="C152" s="2" t="s">
        <v>423</v>
      </c>
      <c r="D152" s="2" t="s">
        <v>2</v>
      </c>
      <c r="E152" s="2">
        <v>28</v>
      </c>
      <c r="F152" s="2">
        <v>0</v>
      </c>
      <c r="G152" s="2">
        <v>5</v>
      </c>
      <c r="H152" s="2">
        <v>4000</v>
      </c>
      <c r="I152" s="2">
        <v>30</v>
      </c>
      <c r="J152" s="2" t="s">
        <v>1779</v>
      </c>
      <c r="K152" s="2">
        <v>35</v>
      </c>
      <c r="L152" s="2">
        <v>15</v>
      </c>
      <c r="M152" s="2">
        <v>0</v>
      </c>
      <c r="N152" s="2">
        <v>10</v>
      </c>
      <c r="O152" s="2">
        <v>5</v>
      </c>
      <c r="P152" s="2">
        <v>5</v>
      </c>
      <c r="Q152" s="2" t="s">
        <v>2329</v>
      </c>
      <c r="R152" s="2" t="s">
        <v>2329</v>
      </c>
      <c r="S152" s="4">
        <v>44837</v>
      </c>
    </row>
    <row r="153" spans="1:19" ht="12.5" x14ac:dyDescent="0.25">
      <c r="A153" s="14" t="str">
        <f>HYPERLINK("https://gerandofalcoes.my.salesforce.com/0014X00002VKCuwQAH", "0014X00002VKCuwQAH")</f>
        <v>0014X00002VKCuwQAH</v>
      </c>
      <c r="B153" s="2" t="s">
        <v>2378</v>
      </c>
      <c r="C153" s="2" t="s">
        <v>1800</v>
      </c>
      <c r="D153" s="2" t="s">
        <v>2</v>
      </c>
      <c r="E153" s="2">
        <v>26</v>
      </c>
      <c r="F153" s="2">
        <v>0</v>
      </c>
      <c r="G153" s="2">
        <v>2</v>
      </c>
      <c r="H153" s="2">
        <v>50000</v>
      </c>
      <c r="I153" s="2">
        <v>0</v>
      </c>
      <c r="J153" s="2" t="s">
        <v>1779</v>
      </c>
      <c r="K153" s="2">
        <v>31</v>
      </c>
      <c r="L153" s="2">
        <v>15</v>
      </c>
      <c r="M153" s="2">
        <v>0</v>
      </c>
      <c r="N153" s="2">
        <v>6</v>
      </c>
      <c r="O153" s="2">
        <v>10</v>
      </c>
      <c r="P153" s="2">
        <v>0</v>
      </c>
      <c r="Q153" s="2" t="s">
        <v>2379</v>
      </c>
      <c r="R153" s="2" t="s">
        <v>2380</v>
      </c>
      <c r="S153" s="4">
        <v>44837</v>
      </c>
    </row>
    <row r="154" spans="1:19" ht="12.5" x14ac:dyDescent="0.25">
      <c r="A154" s="14" t="str">
        <f>HYPERLINK("https://gerandofalcoes.my.salesforce.com/0014X00002VKCugQAH", "0014X00002VKCugQAH")</f>
        <v>0014X00002VKCugQAH</v>
      </c>
      <c r="B154" s="2" t="s">
        <v>2935</v>
      </c>
      <c r="C154" s="2" t="s">
        <v>1800</v>
      </c>
      <c r="D154" s="2" t="s">
        <v>2</v>
      </c>
      <c r="E154" s="2">
        <v>6</v>
      </c>
      <c r="F154" s="2">
        <v>0</v>
      </c>
      <c r="G154" s="2">
        <v>2</v>
      </c>
      <c r="H154" s="2">
        <v>3000</v>
      </c>
      <c r="I154" s="2">
        <v>0</v>
      </c>
      <c r="J154" s="2" t="s">
        <v>1779</v>
      </c>
      <c r="K154" s="2">
        <v>21</v>
      </c>
      <c r="L154" s="2">
        <v>10</v>
      </c>
      <c r="M154" s="2">
        <v>0</v>
      </c>
      <c r="N154" s="2">
        <v>6</v>
      </c>
      <c r="O154" s="2">
        <v>5</v>
      </c>
      <c r="P154" s="2">
        <v>0</v>
      </c>
      <c r="Q154" s="2" t="s">
        <v>2936</v>
      </c>
      <c r="R154" s="2" t="s">
        <v>2937</v>
      </c>
      <c r="S154" s="4">
        <v>44837</v>
      </c>
    </row>
    <row r="155" spans="1:19" ht="12.5" x14ac:dyDescent="0.25">
      <c r="A155" s="14" t="str">
        <f>HYPERLINK("https://gerandofalcoes.my.salesforce.com/0014X00002VKCtDQAX", "0014X00002VKCtDQAX")</f>
        <v>0014X00002VKCtDQAX</v>
      </c>
      <c r="B155" s="2" t="s">
        <v>2955</v>
      </c>
      <c r="C155" s="2" t="s">
        <v>423</v>
      </c>
      <c r="D155" s="2" t="s">
        <v>2</v>
      </c>
      <c r="E155" s="2">
        <v>13</v>
      </c>
      <c r="F155" s="2">
        <v>5</v>
      </c>
      <c r="G155" s="2">
        <v>2</v>
      </c>
      <c r="H155" s="2">
        <v>2000</v>
      </c>
      <c r="I155" s="2">
        <v>30</v>
      </c>
      <c r="J155" s="2" t="s">
        <v>1779</v>
      </c>
      <c r="K155" s="2">
        <v>31</v>
      </c>
      <c r="L155" s="2">
        <v>10</v>
      </c>
      <c r="M155" s="2">
        <v>5</v>
      </c>
      <c r="N155" s="2">
        <v>6</v>
      </c>
      <c r="O155" s="2">
        <v>5</v>
      </c>
      <c r="P155" s="2">
        <v>5</v>
      </c>
      <c r="Q155" s="2" t="s">
        <v>2956</v>
      </c>
      <c r="R155" s="2" t="s">
        <v>2957</v>
      </c>
      <c r="S155" s="4">
        <v>44837</v>
      </c>
    </row>
    <row r="156" spans="1:19" ht="12.5" x14ac:dyDescent="0.25">
      <c r="A156" s="14" t="str">
        <f>HYPERLINK("https://gerandofalcoes.my.salesforce.com/0014X00002VKCuVQAX", "0014X00002VKCuVQAX")</f>
        <v>0014X00002VKCuVQAX</v>
      </c>
      <c r="B156" s="2" t="s">
        <v>2675</v>
      </c>
      <c r="C156" s="2" t="s">
        <v>1800</v>
      </c>
      <c r="D156" s="2" t="s">
        <v>2</v>
      </c>
      <c r="E156" s="2">
        <v>17</v>
      </c>
      <c r="F156" s="2">
        <v>0</v>
      </c>
      <c r="G156" s="2">
        <v>2</v>
      </c>
      <c r="H156" s="2">
        <v>12000</v>
      </c>
      <c r="I156" s="2">
        <v>0</v>
      </c>
      <c r="J156" s="2" t="s">
        <v>1779</v>
      </c>
      <c r="K156" s="2">
        <v>21</v>
      </c>
      <c r="L156" s="2">
        <v>10</v>
      </c>
      <c r="M156" s="2">
        <v>0</v>
      </c>
      <c r="N156" s="2">
        <v>6</v>
      </c>
      <c r="O156" s="2">
        <v>5</v>
      </c>
      <c r="P156" s="2">
        <v>0</v>
      </c>
      <c r="Q156" s="2" t="s">
        <v>2676</v>
      </c>
      <c r="R156" s="2" t="s">
        <v>2676</v>
      </c>
      <c r="S156" s="4">
        <v>44837</v>
      </c>
    </row>
    <row r="157" spans="1:19" ht="12.5" x14ac:dyDescent="0.25">
      <c r="A157" s="14" t="str">
        <f>HYPERLINK("https://gerandofalcoes.my.salesforce.com/0014X00002VKCsoQAH", "0014X00002VKCsoQAH")</f>
        <v>0014X00002VKCsoQAH</v>
      </c>
      <c r="B157" s="2" t="s">
        <v>1885</v>
      </c>
      <c r="C157" s="2" t="s">
        <v>1800</v>
      </c>
      <c r="D157" s="2" t="s">
        <v>2</v>
      </c>
      <c r="E157" s="2">
        <v>44</v>
      </c>
      <c r="F157" s="2">
        <v>0</v>
      </c>
      <c r="G157" s="2">
        <v>5</v>
      </c>
      <c r="H157" s="2">
        <v>35000</v>
      </c>
      <c r="I157" s="2">
        <v>240</v>
      </c>
      <c r="J157" s="2" t="s">
        <v>1671</v>
      </c>
      <c r="K157" s="2">
        <v>47</v>
      </c>
      <c r="L157" s="2">
        <v>15</v>
      </c>
      <c r="M157" s="2">
        <v>0</v>
      </c>
      <c r="N157" s="2">
        <v>10</v>
      </c>
      <c r="O157" s="2">
        <v>10</v>
      </c>
      <c r="P157" s="2">
        <v>12</v>
      </c>
      <c r="Q157" s="2" t="s">
        <v>1886</v>
      </c>
      <c r="R157" s="2" t="s">
        <v>1886</v>
      </c>
      <c r="S157" s="4">
        <v>44837</v>
      </c>
    </row>
    <row r="158" spans="1:19" ht="12.5" x14ac:dyDescent="0.25">
      <c r="A158" s="14" t="str">
        <f>HYPERLINK("https://gerandofalcoes.my.salesforce.com/0014X00002VKCqzQAH", "0014X00002VKCqzQAH")</f>
        <v>0014X00002VKCqzQAH</v>
      </c>
      <c r="B158" s="2" t="s">
        <v>2490</v>
      </c>
      <c r="C158" s="2" t="s">
        <v>1800</v>
      </c>
      <c r="D158" s="2" t="s">
        <v>2</v>
      </c>
      <c r="E158" s="2">
        <v>22</v>
      </c>
      <c r="F158" s="2">
        <v>0</v>
      </c>
      <c r="G158" s="2">
        <v>3</v>
      </c>
      <c r="H158" s="2">
        <v>3000</v>
      </c>
      <c r="I158" s="2">
        <v>0</v>
      </c>
      <c r="J158" s="2" t="s">
        <v>1779</v>
      </c>
      <c r="K158" s="2">
        <v>23</v>
      </c>
      <c r="L158" s="2">
        <v>10</v>
      </c>
      <c r="M158" s="2">
        <v>0</v>
      </c>
      <c r="N158" s="2">
        <v>8</v>
      </c>
      <c r="O158" s="2">
        <v>5</v>
      </c>
      <c r="P158" s="2">
        <v>0</v>
      </c>
      <c r="Q158" s="2" t="s">
        <v>2491</v>
      </c>
      <c r="R158" s="2" t="s">
        <v>2491</v>
      </c>
      <c r="S158" s="4">
        <v>44837</v>
      </c>
    </row>
    <row r="159" spans="1:19" ht="12.5" x14ac:dyDescent="0.25">
      <c r="A159" s="14" t="str">
        <f>HYPERLINK("https://gerandofalcoes.my.salesforce.com/0014X00002VKCtAQAX", "0014X00002VKCtAQAX")</f>
        <v>0014X00002VKCtAQAX</v>
      </c>
      <c r="B159" s="2" t="s">
        <v>2267</v>
      </c>
      <c r="C159" s="2" t="s">
        <v>1800</v>
      </c>
      <c r="D159" s="2" t="s">
        <v>2</v>
      </c>
      <c r="E159" s="2">
        <v>30</v>
      </c>
      <c r="F159" s="2">
        <v>0</v>
      </c>
      <c r="G159" s="2">
        <v>3</v>
      </c>
      <c r="H159" s="2">
        <v>12000</v>
      </c>
      <c r="I159" s="2">
        <v>140</v>
      </c>
      <c r="J159" s="2" t="s">
        <v>1779</v>
      </c>
      <c r="K159" s="2">
        <v>38</v>
      </c>
      <c r="L159" s="2">
        <v>15</v>
      </c>
      <c r="M159" s="2">
        <v>0</v>
      </c>
      <c r="N159" s="2">
        <v>8</v>
      </c>
      <c r="O159" s="2">
        <v>5</v>
      </c>
      <c r="P159" s="2">
        <v>10</v>
      </c>
      <c r="Q159" s="2" t="s">
        <v>2268</v>
      </c>
      <c r="R159" s="2" t="s">
        <v>2269</v>
      </c>
      <c r="S159" s="4">
        <v>44837</v>
      </c>
    </row>
    <row r="160" spans="1:19" ht="12.5" x14ac:dyDescent="0.25">
      <c r="A160" s="14" t="str">
        <f>HYPERLINK("https://gerandofalcoes.my.salesforce.com/0014X00002VKCtVQAX", "0014X00002VKCtVQAX")</f>
        <v>0014X00002VKCtVQAX</v>
      </c>
      <c r="B160" s="2" t="s">
        <v>2665</v>
      </c>
      <c r="C160" s="2" t="s">
        <v>1800</v>
      </c>
      <c r="D160" s="2" t="s">
        <v>2</v>
      </c>
      <c r="E160" s="2">
        <v>17</v>
      </c>
      <c r="F160" s="2">
        <v>8</v>
      </c>
      <c r="G160" s="2">
        <v>2</v>
      </c>
      <c r="H160" s="2">
        <v>8000</v>
      </c>
      <c r="I160" s="2">
        <v>16</v>
      </c>
      <c r="J160" s="2" t="s">
        <v>1779</v>
      </c>
      <c r="K160" s="2">
        <v>36</v>
      </c>
      <c r="L160" s="2">
        <v>10</v>
      </c>
      <c r="M160" s="2">
        <v>10</v>
      </c>
      <c r="N160" s="2">
        <v>6</v>
      </c>
      <c r="O160" s="2">
        <v>5</v>
      </c>
      <c r="P160" s="2">
        <v>5</v>
      </c>
      <c r="Q160" s="2" t="s">
        <v>2666</v>
      </c>
      <c r="R160" s="2" t="s">
        <v>2666</v>
      </c>
      <c r="S160" s="4">
        <v>44837</v>
      </c>
    </row>
    <row r="161" spans="1:19" ht="12.5" x14ac:dyDescent="0.25">
      <c r="A161" s="14" t="str">
        <f>HYPERLINK("https://gerandofalcoes.my.salesforce.com/0014X00002VKCuqQAH", "0014X00002VKCuqQAH")</f>
        <v>0014X00002VKCuqQAH</v>
      </c>
      <c r="B161" s="2" t="s">
        <v>2649</v>
      </c>
      <c r="C161" s="2" t="s">
        <v>423</v>
      </c>
      <c r="D161" s="2" t="s">
        <v>2</v>
      </c>
      <c r="E161" s="2">
        <v>23</v>
      </c>
      <c r="F161" s="2">
        <v>0</v>
      </c>
      <c r="G161" s="2">
        <v>2</v>
      </c>
      <c r="H161" s="2">
        <v>0</v>
      </c>
      <c r="I161" s="2">
        <v>60</v>
      </c>
      <c r="J161" s="2" t="s">
        <v>1779</v>
      </c>
      <c r="K161" s="2">
        <v>21</v>
      </c>
      <c r="L161" s="2">
        <v>10</v>
      </c>
      <c r="M161" s="2">
        <v>0</v>
      </c>
      <c r="N161" s="2">
        <v>6</v>
      </c>
      <c r="O161" s="2">
        <v>0</v>
      </c>
      <c r="P161" s="2">
        <v>5</v>
      </c>
      <c r="Q161" s="2" t="s">
        <v>2650</v>
      </c>
      <c r="R161" s="2" t="s">
        <v>2650</v>
      </c>
      <c r="S161" s="4">
        <v>44837</v>
      </c>
    </row>
    <row r="162" spans="1:19" ht="12.5" x14ac:dyDescent="0.25">
      <c r="A162" s="14" t="str">
        <f>HYPERLINK("https://gerandofalcoes.my.salesforce.com/0014X00002VKCrhQAH", "0014X00002VKCrhQAH")</f>
        <v>0014X00002VKCrhQAH</v>
      </c>
      <c r="B162" s="2" t="s">
        <v>3895</v>
      </c>
      <c r="C162" s="2" t="s">
        <v>1800</v>
      </c>
      <c r="D162" s="2" t="s">
        <v>2</v>
      </c>
      <c r="E162" s="2">
        <v>45</v>
      </c>
      <c r="F162" s="2">
        <v>6</v>
      </c>
      <c r="G162" s="2">
        <v>5</v>
      </c>
      <c r="H162" s="2">
        <v>150000</v>
      </c>
      <c r="I162" s="2">
        <v>200</v>
      </c>
      <c r="J162" s="2" t="s">
        <v>1671</v>
      </c>
      <c r="K162" s="2">
        <v>62</v>
      </c>
      <c r="L162" s="2">
        <v>15</v>
      </c>
      <c r="M162" s="2">
        <v>10</v>
      </c>
      <c r="N162" s="2">
        <v>10</v>
      </c>
      <c r="O162" s="2">
        <v>15</v>
      </c>
      <c r="P162" s="2">
        <v>12</v>
      </c>
      <c r="Q162" s="2" t="s">
        <v>7168</v>
      </c>
      <c r="R162" s="2" t="s">
        <v>3897</v>
      </c>
      <c r="S162" s="4">
        <v>44837</v>
      </c>
    </row>
    <row r="163" spans="1:19" ht="12.5" x14ac:dyDescent="0.25">
      <c r="A163" s="14" t="str">
        <f>HYPERLINK("https://gerandofalcoes.my.salesforce.com/0014X00002VKCuSQAX", "0014X00002VKCuSQAX")</f>
        <v>0014X00002VKCuSQAX</v>
      </c>
      <c r="B163" s="2" t="s">
        <v>2444</v>
      </c>
      <c r="C163" s="2" t="s">
        <v>1800</v>
      </c>
      <c r="D163" s="2" t="s">
        <v>2</v>
      </c>
      <c r="E163" s="2">
        <v>24</v>
      </c>
      <c r="F163" s="2">
        <v>6</v>
      </c>
      <c r="G163" s="2">
        <v>2</v>
      </c>
      <c r="H163" s="2">
        <v>15000</v>
      </c>
      <c r="I163" s="2">
        <v>336</v>
      </c>
      <c r="J163" s="2" t="s">
        <v>1671</v>
      </c>
      <c r="K163" s="2">
        <v>46</v>
      </c>
      <c r="L163" s="2">
        <v>10</v>
      </c>
      <c r="M163" s="2">
        <v>10</v>
      </c>
      <c r="N163" s="2">
        <v>6</v>
      </c>
      <c r="O163" s="2">
        <v>5</v>
      </c>
      <c r="P163" s="2">
        <v>15</v>
      </c>
      <c r="Q163" s="2" t="s">
        <v>2445</v>
      </c>
      <c r="R163" s="2" t="s">
        <v>2446</v>
      </c>
      <c r="S163" s="4">
        <v>44837</v>
      </c>
    </row>
    <row r="164" spans="1:19" ht="12.5" x14ac:dyDescent="0.25">
      <c r="A164" s="14" t="str">
        <f>HYPERLINK("https://gerandofalcoes.my.salesforce.com/0014X00002VKCr2QAH", "0014X00002VKCr2QAH")</f>
        <v>0014X00002VKCr2QAH</v>
      </c>
      <c r="B164" s="2" t="s">
        <v>1915</v>
      </c>
      <c r="C164" s="2" t="s">
        <v>423</v>
      </c>
      <c r="D164" s="2" t="s">
        <v>2</v>
      </c>
      <c r="E164" s="2">
        <v>36</v>
      </c>
      <c r="F164" s="2">
        <v>8</v>
      </c>
      <c r="G164" s="2">
        <v>3</v>
      </c>
      <c r="H164" s="2">
        <v>3000</v>
      </c>
      <c r="I164" s="2">
        <v>25</v>
      </c>
      <c r="J164" s="2" t="s">
        <v>1671</v>
      </c>
      <c r="K164" s="2">
        <v>43</v>
      </c>
      <c r="L164" s="2">
        <v>15</v>
      </c>
      <c r="M164" s="2">
        <v>10</v>
      </c>
      <c r="N164" s="2">
        <v>8</v>
      </c>
      <c r="O164" s="2">
        <v>5</v>
      </c>
      <c r="P164" s="2">
        <v>5</v>
      </c>
      <c r="Q164" s="2" t="s">
        <v>1916</v>
      </c>
      <c r="R164" s="2" t="s">
        <v>1917</v>
      </c>
      <c r="S164" s="4">
        <v>44837</v>
      </c>
    </row>
    <row r="165" spans="1:19" ht="12.5" x14ac:dyDescent="0.25">
      <c r="A165" s="14" t="str">
        <f>HYPERLINK("https://gerandofalcoes.my.salesforce.com/0014X00002VKCtHQAX", "0014X00002VKCtHQAX")</f>
        <v>0014X00002VKCtHQAX</v>
      </c>
      <c r="B165" s="2" t="s">
        <v>2188</v>
      </c>
      <c r="C165" s="2" t="s">
        <v>423</v>
      </c>
      <c r="D165" s="2" t="s">
        <v>2</v>
      </c>
      <c r="E165" s="2">
        <v>33</v>
      </c>
      <c r="F165" s="2">
        <v>0</v>
      </c>
      <c r="G165" s="2">
        <v>3</v>
      </c>
      <c r="H165" s="2">
        <v>3000</v>
      </c>
      <c r="I165" s="2">
        <v>0</v>
      </c>
      <c r="J165" s="2" t="s">
        <v>1779</v>
      </c>
      <c r="K165" s="2">
        <v>28</v>
      </c>
      <c r="L165" s="2">
        <v>15</v>
      </c>
      <c r="M165" s="2">
        <v>0</v>
      </c>
      <c r="N165" s="2">
        <v>8</v>
      </c>
      <c r="O165" s="2">
        <v>5</v>
      </c>
      <c r="P165" s="2">
        <v>0</v>
      </c>
      <c r="Q165" s="2" t="s">
        <v>2189</v>
      </c>
      <c r="R165" s="2" t="s">
        <v>2190</v>
      </c>
      <c r="S165" s="4">
        <v>44837</v>
      </c>
    </row>
    <row r="166" spans="1:19" ht="12.5" x14ac:dyDescent="0.25">
      <c r="A166" s="14" t="str">
        <f>HYPERLINK("https://gerandofalcoes.my.salesforce.com/0014X00002VKCtXQAX", "0014X00002VKCtXQAX")</f>
        <v>0014X00002VKCtXQAX</v>
      </c>
      <c r="B166" s="2" t="s">
        <v>2462</v>
      </c>
      <c r="C166" s="2" t="s">
        <v>1800</v>
      </c>
      <c r="D166" s="2" t="s">
        <v>2</v>
      </c>
      <c r="E166" s="2">
        <v>23</v>
      </c>
      <c r="F166" s="2">
        <v>0</v>
      </c>
      <c r="G166" s="2">
        <v>2</v>
      </c>
      <c r="H166" s="2">
        <v>25000</v>
      </c>
      <c r="I166" s="2">
        <v>60</v>
      </c>
      <c r="J166" s="2" t="s">
        <v>1779</v>
      </c>
      <c r="K166" s="2">
        <v>31</v>
      </c>
      <c r="L166" s="2">
        <v>10</v>
      </c>
      <c r="M166" s="2">
        <v>0</v>
      </c>
      <c r="N166" s="2">
        <v>6</v>
      </c>
      <c r="O166" s="2">
        <v>10</v>
      </c>
      <c r="P166" s="2">
        <v>5</v>
      </c>
      <c r="Q166" s="2" t="s">
        <v>2463</v>
      </c>
      <c r="R166" s="2" t="s">
        <v>2464</v>
      </c>
      <c r="S166" s="4">
        <v>44837</v>
      </c>
    </row>
    <row r="167" spans="1:19" ht="12.5" x14ac:dyDescent="0.25">
      <c r="A167" s="14" t="str">
        <f>HYPERLINK("https://gerandofalcoes.my.salesforce.com/0014X00002VKCsDQAX", "0014X00002VKCsDQAX")</f>
        <v>0014X00002VKCsDQAX</v>
      </c>
      <c r="B167" s="2" t="s">
        <v>2789</v>
      </c>
      <c r="C167" s="2" t="s">
        <v>1800</v>
      </c>
      <c r="D167" s="2" t="s">
        <v>2</v>
      </c>
      <c r="E167" s="2">
        <v>13</v>
      </c>
      <c r="F167" s="2">
        <v>0</v>
      </c>
      <c r="G167" s="2">
        <v>2</v>
      </c>
      <c r="H167" s="2">
        <v>14000</v>
      </c>
      <c r="I167" s="2">
        <v>60</v>
      </c>
      <c r="J167" s="2" t="s">
        <v>1779</v>
      </c>
      <c r="K167" s="2">
        <v>26</v>
      </c>
      <c r="L167" s="2">
        <v>10</v>
      </c>
      <c r="M167" s="2">
        <v>0</v>
      </c>
      <c r="N167" s="2">
        <v>6</v>
      </c>
      <c r="O167" s="2">
        <v>5</v>
      </c>
      <c r="P167" s="2">
        <v>5</v>
      </c>
      <c r="Q167" s="2" t="s">
        <v>2790</v>
      </c>
      <c r="R167" s="2" t="s">
        <v>2791</v>
      </c>
      <c r="S167" s="4">
        <v>44837</v>
      </c>
    </row>
    <row r="168" spans="1:19" ht="12.5" x14ac:dyDescent="0.25">
      <c r="A168" s="14" t="str">
        <f>HYPERLINK("https://gerandofalcoes.my.salesforce.com/0014X00002VKCrLQAX", "0014X00002VKCrLQAX")</f>
        <v>0014X00002VKCrLQAX</v>
      </c>
      <c r="B168" s="2" t="s">
        <v>2637</v>
      </c>
      <c r="C168" s="2" t="s">
        <v>1800</v>
      </c>
      <c r="D168" s="2" t="s">
        <v>2</v>
      </c>
      <c r="E168" s="2">
        <v>18</v>
      </c>
      <c r="F168" s="2">
        <v>0</v>
      </c>
      <c r="G168" s="2">
        <v>4</v>
      </c>
      <c r="H168" s="2">
        <v>6.5</v>
      </c>
      <c r="I168" s="2">
        <v>45</v>
      </c>
      <c r="J168" s="2" t="s">
        <v>1779</v>
      </c>
      <c r="K168" s="2">
        <v>30</v>
      </c>
      <c r="L168" s="2">
        <v>10</v>
      </c>
      <c r="M168" s="2">
        <v>0</v>
      </c>
      <c r="N168" s="2">
        <v>10</v>
      </c>
      <c r="O168" s="2">
        <v>5</v>
      </c>
      <c r="P168" s="2">
        <v>5</v>
      </c>
      <c r="Q168" s="2" t="s">
        <v>2638</v>
      </c>
      <c r="R168" s="2" t="s">
        <v>2638</v>
      </c>
      <c r="S168" s="4">
        <v>44837</v>
      </c>
    </row>
    <row r="169" spans="1:19" ht="12.5" x14ac:dyDescent="0.25">
      <c r="A169" s="14" t="str">
        <f>HYPERLINK("https://gerandofalcoes.my.salesforce.com/0014X00002VKCtMQAX", "0014X00002VKCtMQAX")</f>
        <v>0014X00002VKCtMQAX</v>
      </c>
      <c r="B169" s="2" t="s">
        <v>2762</v>
      </c>
      <c r="C169" s="2" t="s">
        <v>1800</v>
      </c>
      <c r="D169" s="2" t="s">
        <v>2</v>
      </c>
      <c r="E169" s="2">
        <v>14</v>
      </c>
      <c r="F169" s="2">
        <v>5</v>
      </c>
      <c r="G169" s="2">
        <v>2</v>
      </c>
      <c r="H169" s="2">
        <v>500</v>
      </c>
      <c r="I169" s="2">
        <v>0</v>
      </c>
      <c r="J169" s="2" t="s">
        <v>1779</v>
      </c>
      <c r="K169" s="2">
        <v>26</v>
      </c>
      <c r="L169" s="2">
        <v>10</v>
      </c>
      <c r="M169" s="2">
        <v>5</v>
      </c>
      <c r="N169" s="2">
        <v>6</v>
      </c>
      <c r="O169" s="2">
        <v>5</v>
      </c>
      <c r="P169" s="2">
        <v>0</v>
      </c>
      <c r="Q169" s="2" t="s">
        <v>2763</v>
      </c>
      <c r="R169" s="2" t="s">
        <v>2764</v>
      </c>
      <c r="S169" s="4">
        <v>44837</v>
      </c>
    </row>
    <row r="170" spans="1:19" ht="12.5" x14ac:dyDescent="0.25">
      <c r="A170" s="14" t="str">
        <f>HYPERLINK("https://gerandofalcoes.my.salesforce.com/0014X00002VKCqNQAX", "0014X00002VKCqNQAX")</f>
        <v>0014X00002VKCqNQAX</v>
      </c>
      <c r="B170" s="2" t="s">
        <v>2783</v>
      </c>
      <c r="C170" s="2" t="s">
        <v>423</v>
      </c>
      <c r="D170" s="2" t="s">
        <v>2</v>
      </c>
      <c r="E170" s="2">
        <v>13</v>
      </c>
      <c r="F170" s="2">
        <v>10</v>
      </c>
      <c r="G170" s="2">
        <v>10</v>
      </c>
      <c r="H170" s="2">
        <v>275000</v>
      </c>
      <c r="I170" s="2">
        <v>30</v>
      </c>
      <c r="J170" s="2" t="s">
        <v>1671</v>
      </c>
      <c r="K170" s="2">
        <v>50</v>
      </c>
      <c r="L170" s="2">
        <v>10</v>
      </c>
      <c r="M170" s="2">
        <v>10</v>
      </c>
      <c r="N170" s="2">
        <v>10</v>
      </c>
      <c r="O170" s="2">
        <v>15</v>
      </c>
      <c r="P170" s="2">
        <v>5</v>
      </c>
      <c r="Q170" s="2" t="s">
        <v>2784</v>
      </c>
      <c r="R170" s="2" t="s">
        <v>2785</v>
      </c>
      <c r="S170" s="4">
        <v>44837</v>
      </c>
    </row>
    <row r="171" spans="1:19" ht="12.5" x14ac:dyDescent="0.25">
      <c r="A171" s="14" t="str">
        <f>HYPERLINK("https://gerandofalcoes.my.salesforce.com/0014X00002VKCtRQAX", "0014X00002VKCtRQAX")</f>
        <v>0014X00002VKCtRQAX</v>
      </c>
      <c r="B171" s="2" t="s">
        <v>2529</v>
      </c>
      <c r="C171" s="2" t="s">
        <v>1800</v>
      </c>
      <c r="D171" s="2" t="s">
        <v>2</v>
      </c>
      <c r="E171" s="2">
        <v>21</v>
      </c>
      <c r="F171" s="2">
        <v>1</v>
      </c>
      <c r="G171" s="2">
        <v>6</v>
      </c>
      <c r="H171" s="2">
        <v>300</v>
      </c>
      <c r="I171" s="2">
        <v>30</v>
      </c>
      <c r="J171" s="2" t="s">
        <v>1779</v>
      </c>
      <c r="K171" s="2">
        <v>35</v>
      </c>
      <c r="L171" s="2">
        <v>10</v>
      </c>
      <c r="M171" s="2">
        <v>5</v>
      </c>
      <c r="N171" s="2">
        <v>10</v>
      </c>
      <c r="O171" s="2">
        <v>5</v>
      </c>
      <c r="P171" s="2">
        <v>5</v>
      </c>
      <c r="Q171" s="2" t="s">
        <v>2530</v>
      </c>
      <c r="R171" s="2" t="s">
        <v>2530</v>
      </c>
      <c r="S171" s="4">
        <v>44837</v>
      </c>
    </row>
    <row r="172" spans="1:19" ht="12.5" x14ac:dyDescent="0.25">
      <c r="A172" s="14" t="str">
        <f>HYPERLINK("https://gerandofalcoes.my.salesforce.com/0014X00002VKCrvQAH", "0014X00002VKCrvQAH")</f>
        <v>0014X00002VKCrvQAH</v>
      </c>
      <c r="B172" s="2" t="s">
        <v>2816</v>
      </c>
      <c r="C172" s="2" t="s">
        <v>423</v>
      </c>
      <c r="D172" s="2" t="s">
        <v>2</v>
      </c>
      <c r="E172" s="2">
        <v>10</v>
      </c>
      <c r="F172" s="2">
        <v>4</v>
      </c>
      <c r="G172" s="2">
        <v>4</v>
      </c>
      <c r="H172" s="2">
        <v>800</v>
      </c>
      <c r="I172" s="2">
        <v>65</v>
      </c>
      <c r="J172" s="2" t="s">
        <v>1779</v>
      </c>
      <c r="K172" s="2">
        <v>35</v>
      </c>
      <c r="L172" s="2">
        <v>10</v>
      </c>
      <c r="M172" s="2">
        <v>5</v>
      </c>
      <c r="N172" s="2">
        <v>10</v>
      </c>
      <c r="O172" s="2">
        <v>5</v>
      </c>
      <c r="P172" s="2">
        <v>5</v>
      </c>
      <c r="Q172" s="2" t="s">
        <v>7160</v>
      </c>
      <c r="R172" s="2" t="s">
        <v>7160</v>
      </c>
      <c r="S172" s="4">
        <v>44837</v>
      </c>
    </row>
    <row r="173" spans="1:19" ht="12.5" x14ac:dyDescent="0.25">
      <c r="A173" s="14" t="str">
        <f>HYPERLINK("https://gerandofalcoes.my.salesforce.com/0014X00002VKD04QAH", "0014X00002VKD04QAH")</f>
        <v>0014X00002VKD04QAH</v>
      </c>
      <c r="B173" s="2" t="s">
        <v>2282</v>
      </c>
      <c r="C173" s="2" t="s">
        <v>423</v>
      </c>
      <c r="D173" s="2" t="s">
        <v>2</v>
      </c>
      <c r="E173" s="2">
        <v>37</v>
      </c>
      <c r="F173" s="2">
        <v>24</v>
      </c>
      <c r="G173" s="2">
        <v>4</v>
      </c>
      <c r="H173" s="2">
        <v>900000</v>
      </c>
      <c r="I173" s="2">
        <v>150</v>
      </c>
      <c r="J173" s="2" t="s">
        <v>1650</v>
      </c>
      <c r="K173" s="2">
        <v>74</v>
      </c>
      <c r="L173" s="2">
        <v>15</v>
      </c>
      <c r="M173" s="2">
        <v>12</v>
      </c>
      <c r="N173" s="2">
        <v>10</v>
      </c>
      <c r="O173" s="2">
        <v>25</v>
      </c>
      <c r="P173" s="2">
        <v>12</v>
      </c>
      <c r="Q173" s="2" t="s">
        <v>2283</v>
      </c>
      <c r="R173" s="2" t="s">
        <v>2284</v>
      </c>
      <c r="S173" s="4">
        <v>44837</v>
      </c>
    </row>
    <row r="174" spans="1:19" ht="12.5" x14ac:dyDescent="0.25">
      <c r="A174" s="14" t="str">
        <f>HYPERLINK("https://gerandofalcoes.my.salesforce.com/0014X00002VKCvAQAX", "0014X00002VKCvAQAX")</f>
        <v>0014X00002VKCvAQAX</v>
      </c>
      <c r="B174" s="2" t="s">
        <v>2927</v>
      </c>
      <c r="C174" s="2" t="s">
        <v>423</v>
      </c>
      <c r="D174" s="2" t="s">
        <v>2</v>
      </c>
      <c r="E174" s="2">
        <v>35</v>
      </c>
      <c r="F174" s="2">
        <v>0</v>
      </c>
      <c r="G174" s="2">
        <v>3</v>
      </c>
      <c r="H174" s="2">
        <v>11000</v>
      </c>
      <c r="I174" s="2">
        <v>1500</v>
      </c>
      <c r="J174" s="2" t="s">
        <v>1671</v>
      </c>
      <c r="K174" s="2">
        <v>48</v>
      </c>
      <c r="L174" s="2">
        <v>15</v>
      </c>
      <c r="M174" s="2">
        <v>0</v>
      </c>
      <c r="N174" s="2">
        <v>8</v>
      </c>
      <c r="O174" s="2">
        <v>5</v>
      </c>
      <c r="P174" s="2">
        <v>20</v>
      </c>
      <c r="Q174" s="2" t="s">
        <v>2928</v>
      </c>
      <c r="R174" s="2" t="s">
        <v>2929</v>
      </c>
      <c r="S174" s="4">
        <v>44837</v>
      </c>
    </row>
    <row r="175" spans="1:19" ht="12.5" x14ac:dyDescent="0.25">
      <c r="A175" s="14" t="str">
        <f>HYPERLINK("https://gerandofalcoes.my.salesforce.com/0014X00002VKCrZQAX", "0014X00002VKCrZQAX")</f>
        <v>0014X00002VKCrZQAX</v>
      </c>
      <c r="B175" s="2" t="s">
        <v>1724</v>
      </c>
      <c r="C175" s="2" t="s">
        <v>423</v>
      </c>
      <c r="D175" s="2" t="s">
        <v>2</v>
      </c>
      <c r="E175" s="2">
        <v>80</v>
      </c>
      <c r="F175" s="2">
        <v>5</v>
      </c>
      <c r="G175" s="2">
        <v>7</v>
      </c>
      <c r="H175" s="2">
        <v>201710</v>
      </c>
      <c r="I175" s="2">
        <v>205</v>
      </c>
      <c r="J175" s="2" t="s">
        <v>1650</v>
      </c>
      <c r="K175" s="2">
        <v>67</v>
      </c>
      <c r="L175" s="2">
        <v>25</v>
      </c>
      <c r="M175" s="2">
        <v>5</v>
      </c>
      <c r="N175" s="2">
        <v>10</v>
      </c>
      <c r="O175" s="2">
        <v>15</v>
      </c>
      <c r="P175" s="2">
        <v>12</v>
      </c>
      <c r="Q175" s="2" t="s">
        <v>1725</v>
      </c>
      <c r="R175" s="2" t="s">
        <v>1726</v>
      </c>
      <c r="S175" s="4">
        <v>44837</v>
      </c>
    </row>
    <row r="176" spans="1:19" ht="12.5" x14ac:dyDescent="0.25">
      <c r="A176" s="14" t="str">
        <f>HYPERLINK("https://gerandofalcoes.my.salesforce.com/0014X00002VMXzMQAX", "0014X00002VMXzMQAX")</f>
        <v>0014X00002VMXzMQAX</v>
      </c>
      <c r="B176" s="2" t="s">
        <v>2916</v>
      </c>
      <c r="C176" s="2" t="s">
        <v>423</v>
      </c>
      <c r="D176" s="2" t="s">
        <v>2</v>
      </c>
      <c r="E176" s="2">
        <v>20</v>
      </c>
      <c r="F176" s="2">
        <v>1</v>
      </c>
      <c r="G176" s="2">
        <v>2</v>
      </c>
      <c r="H176" s="2">
        <v>18000</v>
      </c>
      <c r="I176" s="2">
        <v>10</v>
      </c>
      <c r="J176" s="2" t="s">
        <v>1779</v>
      </c>
      <c r="K176" s="2">
        <v>31</v>
      </c>
      <c r="L176" s="2">
        <v>10</v>
      </c>
      <c r="M176" s="2">
        <v>5</v>
      </c>
      <c r="N176" s="2">
        <v>6</v>
      </c>
      <c r="O176" s="2">
        <v>5</v>
      </c>
      <c r="P176" s="2">
        <v>5</v>
      </c>
      <c r="Q176" s="2" t="s">
        <v>2917</v>
      </c>
      <c r="R176" s="2" t="s">
        <v>2918</v>
      </c>
      <c r="S176" s="4">
        <v>44837</v>
      </c>
    </row>
    <row r="177" spans="1:19" ht="12.5" x14ac:dyDescent="0.25">
      <c r="A177" s="14" t="str">
        <f>HYPERLINK("https://gerandofalcoes.my.salesforce.com/0014X00002VKCtEQAX", "0014X00002VKCtEQAX")</f>
        <v>0014X00002VKCtEQAX</v>
      </c>
      <c r="B177" s="2" t="s">
        <v>2717</v>
      </c>
      <c r="C177" s="2" t="s">
        <v>423</v>
      </c>
      <c r="D177" s="2" t="s">
        <v>2</v>
      </c>
      <c r="E177" s="2">
        <v>15</v>
      </c>
      <c r="F177" s="2">
        <v>0</v>
      </c>
      <c r="G177" s="2">
        <v>3</v>
      </c>
      <c r="H177" s="2">
        <v>0</v>
      </c>
      <c r="I177" s="2">
        <v>137</v>
      </c>
      <c r="J177" s="2" t="s">
        <v>1779</v>
      </c>
      <c r="K177" s="2">
        <v>28</v>
      </c>
      <c r="L177" s="2">
        <v>10</v>
      </c>
      <c r="M177" s="2">
        <v>0</v>
      </c>
      <c r="N177" s="2">
        <v>8</v>
      </c>
      <c r="O177" s="2">
        <v>0</v>
      </c>
      <c r="P177" s="2">
        <v>10</v>
      </c>
      <c r="Q177" s="2" t="s">
        <v>2718</v>
      </c>
      <c r="R177" s="2" t="s">
        <v>2719</v>
      </c>
      <c r="S177" s="4">
        <v>44837</v>
      </c>
    </row>
    <row r="178" spans="1:19" ht="12.5" x14ac:dyDescent="0.25">
      <c r="A178" s="14" t="str">
        <f>HYPERLINK("https://gerandofalcoes.my.salesforce.com/0014X00002VKCqTQAX", "0014X00002VKCqTQAX")</f>
        <v>0014X00002VKCqTQAX</v>
      </c>
      <c r="B178" s="2" t="s">
        <v>2431</v>
      </c>
      <c r="C178" s="2" t="s">
        <v>423</v>
      </c>
      <c r="D178" s="2" t="s">
        <v>2</v>
      </c>
      <c r="E178" s="2">
        <v>33</v>
      </c>
      <c r="F178" s="2">
        <v>0</v>
      </c>
      <c r="G178" s="2">
        <v>4</v>
      </c>
      <c r="H178" s="2">
        <v>26851</v>
      </c>
      <c r="I178" s="2">
        <v>200</v>
      </c>
      <c r="J178" s="2" t="s">
        <v>1671</v>
      </c>
      <c r="K178" s="2">
        <v>47</v>
      </c>
      <c r="L178" s="2">
        <v>15</v>
      </c>
      <c r="M178" s="2">
        <v>0</v>
      </c>
      <c r="N178" s="2">
        <v>10</v>
      </c>
      <c r="O178" s="2">
        <v>10</v>
      </c>
      <c r="P178" s="2">
        <v>12</v>
      </c>
      <c r="Q178" s="2" t="s">
        <v>2432</v>
      </c>
      <c r="R178" s="2" t="s">
        <v>2432</v>
      </c>
      <c r="S178" s="4">
        <v>44837</v>
      </c>
    </row>
    <row r="179" spans="1:19" ht="12.5" x14ac:dyDescent="0.25">
      <c r="A179" s="14" t="str">
        <f>HYPERLINK("https://gerandofalcoes.my.salesforce.com/0014X00002VKCriQAH", "0014X00002VKCriQAH")</f>
        <v>0014X00002VKCriQAH</v>
      </c>
      <c r="B179" s="2" t="s">
        <v>1905</v>
      </c>
      <c r="C179" s="2" t="s">
        <v>423</v>
      </c>
      <c r="D179" s="2" t="s">
        <v>2</v>
      </c>
      <c r="E179" s="2">
        <v>60</v>
      </c>
      <c r="F179" s="2">
        <v>0</v>
      </c>
      <c r="G179" s="2">
        <v>2</v>
      </c>
      <c r="H179" s="2">
        <v>4115</v>
      </c>
      <c r="I179" s="2">
        <v>50</v>
      </c>
      <c r="J179" s="2" t="s">
        <v>1779</v>
      </c>
      <c r="K179" s="2">
        <v>36</v>
      </c>
      <c r="L179" s="2">
        <v>20</v>
      </c>
      <c r="M179" s="2">
        <v>0</v>
      </c>
      <c r="N179" s="2">
        <v>6</v>
      </c>
      <c r="O179" s="2">
        <v>5</v>
      </c>
      <c r="P179" s="2">
        <v>5</v>
      </c>
      <c r="Q179" s="2" t="s">
        <v>1906</v>
      </c>
      <c r="R179" s="2" t="s">
        <v>1907</v>
      </c>
      <c r="S179" s="4">
        <v>44837</v>
      </c>
    </row>
    <row r="180" spans="1:19" ht="12.5" x14ac:dyDescent="0.25">
      <c r="A180" s="14" t="str">
        <f>HYPERLINK("https://gerandofalcoes.my.salesforce.com/0014X00002VKCrCQAX", "0014X00002VKCrCQAX")</f>
        <v>0014X00002VKCrCQAX</v>
      </c>
      <c r="B180" s="2" t="s">
        <v>2534</v>
      </c>
      <c r="C180" s="2" t="s">
        <v>423</v>
      </c>
      <c r="D180" s="2" t="s">
        <v>2</v>
      </c>
      <c r="E180" s="2">
        <v>21</v>
      </c>
      <c r="F180" s="2">
        <v>0</v>
      </c>
      <c r="G180" s="2">
        <v>2</v>
      </c>
      <c r="H180" s="2">
        <v>12000</v>
      </c>
      <c r="I180" s="2">
        <v>0</v>
      </c>
      <c r="J180" s="2" t="s">
        <v>1779</v>
      </c>
      <c r="K180" s="2">
        <v>21</v>
      </c>
      <c r="L180" s="2">
        <v>10</v>
      </c>
      <c r="M180" s="2">
        <v>0</v>
      </c>
      <c r="N180" s="2">
        <v>6</v>
      </c>
      <c r="O180" s="2">
        <v>5</v>
      </c>
      <c r="P180" s="2">
        <v>0</v>
      </c>
      <c r="Q180" s="2" t="s">
        <v>2535</v>
      </c>
      <c r="R180" s="2" t="s">
        <v>2535</v>
      </c>
      <c r="S180" s="4">
        <v>44837</v>
      </c>
    </row>
    <row r="181" spans="1:19" ht="12.5" x14ac:dyDescent="0.25">
      <c r="A181" s="14" t="str">
        <f>HYPERLINK("https://gerandofalcoes.my.salesforce.com/0014X00002VKCtbQAH", "0014X00002VKCtbQAH")</f>
        <v>0014X00002VKCtbQAH</v>
      </c>
      <c r="B181" s="2" t="s">
        <v>2871</v>
      </c>
      <c r="C181" s="2" t="s">
        <v>423</v>
      </c>
      <c r="D181" s="2" t="s">
        <v>2</v>
      </c>
      <c r="E181" s="2">
        <v>40</v>
      </c>
      <c r="F181" s="2">
        <v>11</v>
      </c>
      <c r="G181" s="2">
        <v>4</v>
      </c>
      <c r="H181" s="2">
        <v>0</v>
      </c>
      <c r="I181" s="2">
        <v>60</v>
      </c>
      <c r="J181" s="2" t="s">
        <v>1671</v>
      </c>
      <c r="K181" s="2">
        <v>42</v>
      </c>
      <c r="L181" s="2">
        <v>15</v>
      </c>
      <c r="M181" s="2">
        <v>12</v>
      </c>
      <c r="N181" s="2">
        <v>10</v>
      </c>
      <c r="O181" s="2">
        <v>0</v>
      </c>
      <c r="P181" s="2">
        <v>5</v>
      </c>
      <c r="Q181" s="2" t="s">
        <v>2872</v>
      </c>
      <c r="R181" s="2" t="s">
        <v>2873</v>
      </c>
      <c r="S181" s="4">
        <v>44837</v>
      </c>
    </row>
    <row r="182" spans="1:19" ht="12.5" x14ac:dyDescent="0.25">
      <c r="A182" s="14" t="str">
        <f>HYPERLINK("https://gerandofalcoes.my.salesforce.com/0014X00002VKCpwQAH", "0014X00002VKCpwQAH")</f>
        <v>0014X00002VKCpwQAH</v>
      </c>
      <c r="B182" s="2" t="s">
        <v>1940</v>
      </c>
      <c r="C182" s="2" t="s">
        <v>423</v>
      </c>
      <c r="D182" s="2" t="s">
        <v>2</v>
      </c>
      <c r="E182" s="2">
        <v>23</v>
      </c>
      <c r="F182" s="2">
        <v>0</v>
      </c>
      <c r="G182" s="2">
        <v>2</v>
      </c>
      <c r="H182" s="2">
        <v>12000</v>
      </c>
      <c r="I182" s="2">
        <v>150</v>
      </c>
      <c r="J182" s="2" t="s">
        <v>1779</v>
      </c>
      <c r="K182" s="2">
        <v>33</v>
      </c>
      <c r="L182" s="2">
        <v>10</v>
      </c>
      <c r="M182" s="2">
        <v>0</v>
      </c>
      <c r="N182" s="2">
        <v>6</v>
      </c>
      <c r="O182" s="2">
        <v>5</v>
      </c>
      <c r="P182" s="2">
        <v>12</v>
      </c>
      <c r="Q182" s="2" t="s">
        <v>1941</v>
      </c>
      <c r="R182" s="2" t="s">
        <v>1942</v>
      </c>
      <c r="S182" s="4">
        <v>44837</v>
      </c>
    </row>
    <row r="183" spans="1:19" ht="12.5" x14ac:dyDescent="0.25">
      <c r="A183" s="14" t="str">
        <f>HYPERLINK("https://gerandofalcoes.my.salesforce.com/0014X00002VKCt8QAH", "0014X00002VKCt8QAH")</f>
        <v>0014X00002VKCt8QAH</v>
      </c>
      <c r="B183" s="2" t="s">
        <v>2938</v>
      </c>
      <c r="C183" s="2" t="s">
        <v>423</v>
      </c>
      <c r="D183" s="2" t="s">
        <v>2</v>
      </c>
      <c r="E183" s="2">
        <v>21</v>
      </c>
      <c r="F183" s="2">
        <v>0</v>
      </c>
      <c r="G183" s="2">
        <v>2</v>
      </c>
      <c r="H183" s="2">
        <v>1200</v>
      </c>
      <c r="I183" s="2">
        <v>0</v>
      </c>
      <c r="J183" s="2" t="s">
        <v>1779</v>
      </c>
      <c r="K183" s="2">
        <v>21</v>
      </c>
      <c r="L183" s="2">
        <v>10</v>
      </c>
      <c r="M183" s="2">
        <v>0</v>
      </c>
      <c r="N183" s="2">
        <v>6</v>
      </c>
      <c r="O183" s="2">
        <v>5</v>
      </c>
      <c r="P183" s="2">
        <v>0</v>
      </c>
      <c r="Q183" s="2" t="s">
        <v>2939</v>
      </c>
      <c r="R183" s="2" t="s">
        <v>2940</v>
      </c>
      <c r="S183" s="4">
        <v>44837</v>
      </c>
    </row>
    <row r="184" spans="1:19" ht="12.5" x14ac:dyDescent="0.25">
      <c r="A184" s="14" t="str">
        <f>HYPERLINK("https://gerandofalcoes.my.salesforce.com/0014X00002VKCuJQAX", "0014X00002VKCuJQAX")</f>
        <v>0014X00002VKCuJQAX</v>
      </c>
      <c r="B184" s="2" t="s">
        <v>2073</v>
      </c>
      <c r="C184" s="2" t="s">
        <v>423</v>
      </c>
      <c r="D184" s="2" t="s">
        <v>2</v>
      </c>
      <c r="E184" s="2">
        <v>36</v>
      </c>
      <c r="F184" s="2">
        <v>0</v>
      </c>
      <c r="G184" s="2">
        <v>3</v>
      </c>
      <c r="H184" s="2">
        <v>3000</v>
      </c>
      <c r="I184" s="2">
        <v>25</v>
      </c>
      <c r="J184" s="2" t="s">
        <v>1779</v>
      </c>
      <c r="K184" s="2">
        <v>33</v>
      </c>
      <c r="L184" s="2">
        <v>15</v>
      </c>
      <c r="M184" s="2">
        <v>0</v>
      </c>
      <c r="N184" s="2">
        <v>8</v>
      </c>
      <c r="O184" s="2">
        <v>5</v>
      </c>
      <c r="P184" s="2">
        <v>5</v>
      </c>
      <c r="Q184" s="2" t="s">
        <v>2074</v>
      </c>
      <c r="R184" s="2" t="s">
        <v>2075</v>
      </c>
      <c r="S184" s="4">
        <v>44837</v>
      </c>
    </row>
    <row r="185" spans="1:19" ht="12.5" x14ac:dyDescent="0.25">
      <c r="A185" s="14" t="str">
        <f>HYPERLINK("https://gerandofalcoes.my.salesforce.com/0014X00002VKCtjQAH", "0014X00002VKCtjQAH")</f>
        <v>0014X00002VKCtjQAH</v>
      </c>
      <c r="B185" s="2" t="s">
        <v>2144</v>
      </c>
      <c r="C185" s="2" t="s">
        <v>423</v>
      </c>
      <c r="D185" s="2" t="s">
        <v>2</v>
      </c>
      <c r="E185" s="2">
        <v>49</v>
      </c>
      <c r="F185" s="2">
        <v>0</v>
      </c>
      <c r="G185" s="2">
        <v>3</v>
      </c>
      <c r="H185" s="2">
        <v>100000</v>
      </c>
      <c r="I185" s="2">
        <v>50</v>
      </c>
      <c r="J185" s="2" t="s">
        <v>1779</v>
      </c>
      <c r="K185" s="2">
        <v>28</v>
      </c>
      <c r="L185" s="2">
        <v>0</v>
      </c>
      <c r="M185" s="2">
        <v>0</v>
      </c>
      <c r="N185" s="2">
        <v>8</v>
      </c>
      <c r="O185" s="2">
        <v>15</v>
      </c>
      <c r="P185" s="2">
        <v>5</v>
      </c>
      <c r="Q185" s="2" t="s">
        <v>2145</v>
      </c>
      <c r="R185" s="2" t="s">
        <v>2146</v>
      </c>
      <c r="S185" s="4">
        <v>44837</v>
      </c>
    </row>
    <row r="186" spans="1:19" ht="12.5" x14ac:dyDescent="0.25">
      <c r="A186" s="14" t="str">
        <f>HYPERLINK("https://gerandofalcoes.my.salesforce.com/0014X00002VKCryQAH", "0014X00002VKCryQAH")</f>
        <v>0014X00002VKCryQAH</v>
      </c>
      <c r="B186" s="2" t="s">
        <v>1824</v>
      </c>
      <c r="C186" s="2" t="s">
        <v>423</v>
      </c>
      <c r="D186" s="2" t="s">
        <v>2</v>
      </c>
      <c r="E186" s="2">
        <v>51</v>
      </c>
      <c r="F186" s="2">
        <v>2</v>
      </c>
      <c r="G186" s="2">
        <v>7</v>
      </c>
      <c r="H186" s="2">
        <v>200000</v>
      </c>
      <c r="I186" s="2">
        <v>266</v>
      </c>
      <c r="J186" s="2" t="s">
        <v>1671</v>
      </c>
      <c r="K186" s="2">
        <v>62</v>
      </c>
      <c r="L186" s="2">
        <v>20</v>
      </c>
      <c r="M186" s="2">
        <v>5</v>
      </c>
      <c r="N186" s="2">
        <v>10</v>
      </c>
      <c r="O186" s="2">
        <v>15</v>
      </c>
      <c r="P186" s="2">
        <v>12</v>
      </c>
      <c r="Q186" s="2" t="s">
        <v>1825</v>
      </c>
      <c r="R186" s="2" t="s">
        <v>1826</v>
      </c>
      <c r="S186" s="4">
        <v>44837</v>
      </c>
    </row>
    <row r="187" spans="1:19" ht="12.5" x14ac:dyDescent="0.25">
      <c r="A187" s="14" t="str">
        <f>HYPERLINK("https://gerandofalcoes.my.salesforce.com/0014X00002VKCtFQAX", "0014X00002VKCtFQAX")</f>
        <v>0014X00002VKCtFQAX</v>
      </c>
      <c r="B187" s="2" t="s">
        <v>2112</v>
      </c>
      <c r="C187" s="2" t="s">
        <v>423</v>
      </c>
      <c r="D187" s="2" t="s">
        <v>2</v>
      </c>
      <c r="E187" s="2">
        <v>35</v>
      </c>
      <c r="F187" s="2">
        <v>12</v>
      </c>
      <c r="G187" s="2">
        <v>2</v>
      </c>
      <c r="H187" s="2">
        <v>100000</v>
      </c>
      <c r="I187" s="2">
        <v>40</v>
      </c>
      <c r="J187" s="2" t="s">
        <v>1671</v>
      </c>
      <c r="K187" s="2">
        <v>53</v>
      </c>
      <c r="L187" s="2">
        <v>15</v>
      </c>
      <c r="M187" s="2">
        <v>12</v>
      </c>
      <c r="N187" s="2">
        <v>6</v>
      </c>
      <c r="O187" s="2">
        <v>15</v>
      </c>
      <c r="P187" s="2">
        <v>5</v>
      </c>
      <c r="Q187" s="2" t="s">
        <v>2113</v>
      </c>
      <c r="R187" s="2" t="s">
        <v>2113</v>
      </c>
      <c r="S187" s="4">
        <v>44837</v>
      </c>
    </row>
    <row r="188" spans="1:19" ht="12.5" x14ac:dyDescent="0.25">
      <c r="A188" s="14" t="str">
        <f>HYPERLINK("https://gerandofalcoes.my.salesforce.com/0014X00002VKCsRQAX", "0014X00002VKCsRQAX")</f>
        <v>0014X00002VKCsRQAX</v>
      </c>
      <c r="B188" s="2" t="s">
        <v>2878</v>
      </c>
      <c r="C188" s="2" t="s">
        <v>423</v>
      </c>
      <c r="D188" s="2" t="s">
        <v>2</v>
      </c>
      <c r="E188" s="2">
        <v>29</v>
      </c>
      <c r="F188" s="2">
        <v>0</v>
      </c>
      <c r="G188" s="2">
        <v>2</v>
      </c>
      <c r="H188" s="2">
        <v>0</v>
      </c>
      <c r="I188" s="2">
        <v>30</v>
      </c>
      <c r="J188" s="2" t="s">
        <v>1779</v>
      </c>
      <c r="K188" s="2">
        <v>26</v>
      </c>
      <c r="L188" s="2">
        <v>15</v>
      </c>
      <c r="M188" s="2">
        <v>0</v>
      </c>
      <c r="N188" s="2">
        <v>6</v>
      </c>
      <c r="O188" s="2">
        <v>0</v>
      </c>
      <c r="P188" s="2">
        <v>5</v>
      </c>
      <c r="Q188" s="2" t="s">
        <v>2879</v>
      </c>
      <c r="R188" s="2" t="s">
        <v>2880</v>
      </c>
      <c r="S188" s="4">
        <v>44837</v>
      </c>
    </row>
    <row r="189" spans="1:19" ht="12.5" x14ac:dyDescent="0.25">
      <c r="A189" s="14" t="str">
        <f>HYPERLINK("https://gerandofalcoes.my.salesforce.com/0014X00002VKCsdQAH", "0014X00002VKCsdQAH")</f>
        <v>0014X00002VKCsdQAH</v>
      </c>
      <c r="B189" s="2" t="s">
        <v>2857</v>
      </c>
      <c r="C189" s="2" t="s">
        <v>1800</v>
      </c>
      <c r="D189" s="2" t="s">
        <v>2</v>
      </c>
      <c r="E189" s="2">
        <v>10</v>
      </c>
      <c r="F189" s="2">
        <v>0</v>
      </c>
      <c r="G189" s="2">
        <v>2</v>
      </c>
      <c r="H189" s="2">
        <v>24000</v>
      </c>
      <c r="I189" s="2">
        <v>95</v>
      </c>
      <c r="J189" s="2" t="s">
        <v>1779</v>
      </c>
      <c r="K189" s="2">
        <v>31</v>
      </c>
      <c r="L189" s="2">
        <v>10</v>
      </c>
      <c r="M189" s="2">
        <v>0</v>
      </c>
      <c r="N189" s="2">
        <v>6</v>
      </c>
      <c r="O189" s="2">
        <v>5</v>
      </c>
      <c r="P189" s="2">
        <v>10</v>
      </c>
      <c r="Q189" s="2" t="s">
        <v>2858</v>
      </c>
      <c r="R189" s="2" t="s">
        <v>2859</v>
      </c>
      <c r="S189" s="4">
        <v>44837</v>
      </c>
    </row>
    <row r="190" spans="1:19" ht="12.5" x14ac:dyDescent="0.25">
      <c r="A190" s="14" t="str">
        <f>HYPERLINK("https://gerandofalcoes.my.salesforce.com/0014X00002VKCurQAH", "0014X00002VKCurQAH")</f>
        <v>0014X00002VKCurQAH</v>
      </c>
      <c r="B190" s="2" t="s">
        <v>2484</v>
      </c>
      <c r="C190" s="2" t="s">
        <v>1800</v>
      </c>
      <c r="D190" s="2" t="s">
        <v>2</v>
      </c>
      <c r="E190" s="2">
        <v>22</v>
      </c>
      <c r="F190" s="2">
        <v>0</v>
      </c>
      <c r="G190" s="2">
        <v>2</v>
      </c>
      <c r="H190" s="2">
        <v>30000</v>
      </c>
      <c r="I190" s="2">
        <v>90</v>
      </c>
      <c r="J190" s="2" t="s">
        <v>1779</v>
      </c>
      <c r="K190" s="2">
        <v>36</v>
      </c>
      <c r="L190" s="2">
        <v>10</v>
      </c>
      <c r="M190" s="2">
        <v>0</v>
      </c>
      <c r="N190" s="2">
        <v>6</v>
      </c>
      <c r="O190" s="2">
        <v>10</v>
      </c>
      <c r="P190" s="2">
        <v>10</v>
      </c>
      <c r="Q190" s="2" t="s">
        <v>2485</v>
      </c>
      <c r="R190" s="2" t="s">
        <v>2486</v>
      </c>
      <c r="S190" s="4">
        <v>44837</v>
      </c>
    </row>
    <row r="191" spans="1:19" ht="12.5" x14ac:dyDescent="0.25">
      <c r="A191" s="14" t="str">
        <f>HYPERLINK("https://gerandofalcoes.my.salesforce.com/0014X00002VKCqGQAX", "0014X00002VKCqGQAX")</f>
        <v>0014X00002VKCqGQAX</v>
      </c>
      <c r="B191" s="2" t="s">
        <v>2372</v>
      </c>
      <c r="C191" s="2" t="s">
        <v>1800</v>
      </c>
      <c r="D191" s="2" t="s">
        <v>2</v>
      </c>
      <c r="E191" s="2">
        <v>26</v>
      </c>
      <c r="F191" s="2">
        <v>0</v>
      </c>
      <c r="G191" s="2">
        <v>2</v>
      </c>
      <c r="H191" s="2">
        <v>0</v>
      </c>
      <c r="I191" s="2">
        <v>0</v>
      </c>
      <c r="J191" s="2" t="s">
        <v>1779</v>
      </c>
      <c r="K191" s="2">
        <v>21</v>
      </c>
      <c r="L191" s="2">
        <v>15</v>
      </c>
      <c r="M191" s="2">
        <v>0</v>
      </c>
      <c r="N191" s="2">
        <v>6</v>
      </c>
      <c r="O191" s="2">
        <v>0</v>
      </c>
      <c r="P191" s="2">
        <v>0</v>
      </c>
      <c r="Q191" s="2" t="s">
        <v>2373</v>
      </c>
      <c r="R191" s="2" t="s">
        <v>2374</v>
      </c>
      <c r="S191" s="4">
        <v>44837</v>
      </c>
    </row>
    <row r="192" spans="1:19" ht="12.5" x14ac:dyDescent="0.25">
      <c r="A192" s="14" t="str">
        <f>HYPERLINK("https://gerandofalcoes.my.salesforce.com/0014X00002VKD06QAH", "0014X00002VKD06QAH")</f>
        <v>0014X00002VKD06QAH</v>
      </c>
      <c r="B192" s="2" t="s">
        <v>2677</v>
      </c>
      <c r="C192" s="2" t="s">
        <v>423</v>
      </c>
      <c r="D192" s="2" t="s">
        <v>2</v>
      </c>
      <c r="E192" s="2">
        <v>44</v>
      </c>
      <c r="F192" s="2">
        <v>17</v>
      </c>
      <c r="G192" s="2">
        <v>5</v>
      </c>
      <c r="H192" s="2">
        <v>722164</v>
      </c>
      <c r="I192" s="2">
        <v>90</v>
      </c>
      <c r="J192" s="2" t="s">
        <v>1650</v>
      </c>
      <c r="K192" s="2">
        <v>67</v>
      </c>
      <c r="L192" s="2">
        <v>15</v>
      </c>
      <c r="M192" s="2">
        <v>12</v>
      </c>
      <c r="N192" s="2">
        <v>10</v>
      </c>
      <c r="O192" s="2">
        <v>20</v>
      </c>
      <c r="P192" s="2">
        <v>10</v>
      </c>
      <c r="Q192" s="2" t="s">
        <v>2678</v>
      </c>
      <c r="R192" s="2" t="s">
        <v>2679</v>
      </c>
      <c r="S192" s="4">
        <v>44837</v>
      </c>
    </row>
    <row r="193" spans="1:19" ht="12.5" x14ac:dyDescent="0.25">
      <c r="A193" s="14" t="str">
        <f>HYPERLINK("https://gerandofalcoes.my.salesforce.com/0014X00002VKCv7QAH", "0014X00002VKCv7QAH")</f>
        <v>0014X00002VKCv7QAH</v>
      </c>
      <c r="B193" s="2" t="s">
        <v>2568</v>
      </c>
      <c r="C193" s="2" t="s">
        <v>1800</v>
      </c>
      <c r="D193" s="2" t="s">
        <v>2</v>
      </c>
      <c r="E193" s="2">
        <v>20</v>
      </c>
      <c r="F193" s="2">
        <v>0</v>
      </c>
      <c r="G193" s="2">
        <v>3</v>
      </c>
      <c r="H193" s="2">
        <v>2000</v>
      </c>
      <c r="I193" s="2">
        <v>0</v>
      </c>
      <c r="J193" s="2" t="s">
        <v>1779</v>
      </c>
      <c r="K193" s="2">
        <v>23</v>
      </c>
      <c r="L193" s="2">
        <v>10</v>
      </c>
      <c r="M193" s="2">
        <v>0</v>
      </c>
      <c r="N193" s="2">
        <v>8</v>
      </c>
      <c r="O193" s="2">
        <v>5</v>
      </c>
      <c r="P193" s="2">
        <v>0</v>
      </c>
      <c r="Q193" s="2" t="s">
        <v>7185</v>
      </c>
      <c r="R193" s="2" t="s">
        <v>2570</v>
      </c>
      <c r="S193" s="4">
        <v>44837</v>
      </c>
    </row>
    <row r="194" spans="1:19" ht="12.5" x14ac:dyDescent="0.25">
      <c r="A194" s="14" t="str">
        <f>HYPERLINK("https://gerandofalcoes.my.salesforce.com/0014X00002VKCreQAH", "0014X00002VKCreQAH")</f>
        <v>0014X00002VKCreQAH</v>
      </c>
      <c r="B194" s="2" t="s">
        <v>2914</v>
      </c>
      <c r="C194" s="2" t="s">
        <v>423</v>
      </c>
      <c r="D194" s="2" t="s">
        <v>2</v>
      </c>
      <c r="E194" s="2">
        <v>29</v>
      </c>
      <c r="F194" s="2">
        <v>0</v>
      </c>
      <c r="G194" s="2">
        <v>1</v>
      </c>
      <c r="H194" s="2">
        <v>3000</v>
      </c>
      <c r="I194" s="2">
        <v>60</v>
      </c>
      <c r="J194" s="2" t="s">
        <v>1779</v>
      </c>
      <c r="K194" s="2">
        <v>29</v>
      </c>
      <c r="L194" s="2">
        <v>15</v>
      </c>
      <c r="M194" s="2">
        <v>0</v>
      </c>
      <c r="N194" s="2">
        <v>4</v>
      </c>
      <c r="O194" s="2">
        <v>5</v>
      </c>
      <c r="P194" s="2">
        <v>5</v>
      </c>
      <c r="Q194" s="2" t="s">
        <v>2915</v>
      </c>
      <c r="R194" s="2" t="s">
        <v>2915</v>
      </c>
      <c r="S194" s="4">
        <v>44837</v>
      </c>
    </row>
    <row r="195" spans="1:19" ht="12.5" x14ac:dyDescent="0.25">
      <c r="A195" s="14" t="str">
        <f>HYPERLINK("https://gerandofalcoes.my.salesforce.com/0014X00002VKCrbQAH", "0014X00002VKCrbQAH")</f>
        <v>0014X00002VKCrbQAH</v>
      </c>
      <c r="B195" s="2" t="s">
        <v>2820</v>
      </c>
      <c r="C195" s="2" t="s">
        <v>423</v>
      </c>
      <c r="D195" s="2" t="s">
        <v>2</v>
      </c>
      <c r="E195" s="2">
        <v>12</v>
      </c>
      <c r="F195" s="2">
        <v>0</v>
      </c>
      <c r="G195" s="2">
        <v>3</v>
      </c>
      <c r="H195" s="2">
        <v>300</v>
      </c>
      <c r="I195" s="2">
        <v>60</v>
      </c>
      <c r="J195" s="2" t="s">
        <v>1779</v>
      </c>
      <c r="K195" s="2">
        <v>28</v>
      </c>
      <c r="L195" s="2">
        <v>10</v>
      </c>
      <c r="M195" s="2">
        <v>0</v>
      </c>
      <c r="N195" s="2">
        <v>8</v>
      </c>
      <c r="O195" s="2">
        <v>5</v>
      </c>
      <c r="P195" s="2">
        <v>5</v>
      </c>
      <c r="Q195" s="2" t="s">
        <v>2821</v>
      </c>
      <c r="R195" s="2" t="s">
        <v>2822</v>
      </c>
      <c r="S195" s="4">
        <v>44837</v>
      </c>
    </row>
    <row r="196" spans="1:19" ht="12.5" x14ac:dyDescent="0.25">
      <c r="A196" s="14" t="str">
        <f>HYPERLINK("https://gerandofalcoes.my.salesforce.com/0014X00002VKCs2QAH", "0014X00002VKCs2QAH")</f>
        <v>0014X00002VKCs2QAH</v>
      </c>
      <c r="B196" s="2" t="s">
        <v>2727</v>
      </c>
      <c r="C196" s="2" t="s">
        <v>1800</v>
      </c>
      <c r="D196" s="2" t="s">
        <v>2</v>
      </c>
      <c r="E196" s="2">
        <v>15</v>
      </c>
      <c r="F196" s="2">
        <v>0</v>
      </c>
      <c r="G196" s="2">
        <v>2</v>
      </c>
      <c r="H196" s="2">
        <v>2500</v>
      </c>
      <c r="I196" s="2">
        <v>0</v>
      </c>
      <c r="J196" s="2" t="s">
        <v>1779</v>
      </c>
      <c r="K196" s="2">
        <v>21</v>
      </c>
      <c r="L196" s="2">
        <v>10</v>
      </c>
      <c r="M196" s="2">
        <v>0</v>
      </c>
      <c r="N196" s="2">
        <v>6</v>
      </c>
      <c r="O196" s="2">
        <v>5</v>
      </c>
      <c r="P196" s="2">
        <v>0</v>
      </c>
      <c r="Q196" s="2" t="s">
        <v>2728</v>
      </c>
      <c r="R196" s="2" t="s">
        <v>2729</v>
      </c>
      <c r="S196" s="4">
        <v>44837</v>
      </c>
    </row>
    <row r="197" spans="1:19" ht="12.5" x14ac:dyDescent="0.25">
      <c r="A197" s="14" t="str">
        <f>HYPERLINK("https://gerandofalcoes.my.salesforce.com/0014X00002VKCr5QAH", "0014X00002VKCr5QAH")</f>
        <v>0014X00002VKCr5QAH</v>
      </c>
      <c r="B197" s="2" t="s">
        <v>2067</v>
      </c>
      <c r="C197" s="2" t="s">
        <v>423</v>
      </c>
      <c r="D197" s="2" t="s">
        <v>2</v>
      </c>
      <c r="E197" s="2">
        <v>47</v>
      </c>
      <c r="F197" s="2">
        <v>6</v>
      </c>
      <c r="G197" s="2">
        <v>3</v>
      </c>
      <c r="H197" s="2">
        <v>1000</v>
      </c>
      <c r="I197" s="2">
        <v>0</v>
      </c>
      <c r="J197" s="2" t="s">
        <v>1779</v>
      </c>
      <c r="K197" s="2">
        <v>38</v>
      </c>
      <c r="L197" s="2">
        <v>15</v>
      </c>
      <c r="M197" s="2">
        <v>10</v>
      </c>
      <c r="N197" s="2">
        <v>8</v>
      </c>
      <c r="O197" s="2">
        <v>5</v>
      </c>
      <c r="P197" s="2">
        <v>0</v>
      </c>
      <c r="Q197" s="2" t="s">
        <v>2068</v>
      </c>
      <c r="R197" s="2" t="s">
        <v>2069</v>
      </c>
      <c r="S197" s="4">
        <v>44837</v>
      </c>
    </row>
    <row r="198" spans="1:19" ht="12.5" x14ac:dyDescent="0.25">
      <c r="A198" s="14" t="str">
        <f>HYPERLINK("https://gerandofalcoes.my.salesforce.com/0014X00002VKCsxQAH", "0014X00002VKCsxQAH")</f>
        <v>0014X00002VKCsxQAH</v>
      </c>
      <c r="B198" s="2" t="s">
        <v>2500</v>
      </c>
      <c r="C198" s="2" t="s">
        <v>423</v>
      </c>
      <c r="D198" s="2" t="s">
        <v>2</v>
      </c>
      <c r="E198" s="2">
        <v>25</v>
      </c>
      <c r="F198" s="2">
        <v>0</v>
      </c>
      <c r="G198" s="2">
        <v>3</v>
      </c>
      <c r="H198" s="2">
        <v>5</v>
      </c>
      <c r="I198" s="2">
        <v>173</v>
      </c>
      <c r="J198" s="2" t="s">
        <v>1671</v>
      </c>
      <c r="K198" s="2">
        <v>40</v>
      </c>
      <c r="L198" s="2">
        <v>15</v>
      </c>
      <c r="M198" s="2">
        <v>0</v>
      </c>
      <c r="N198" s="2">
        <v>8</v>
      </c>
      <c r="O198" s="2">
        <v>5</v>
      </c>
      <c r="P198" s="2">
        <v>12</v>
      </c>
      <c r="Q198" s="2" t="s">
        <v>2501</v>
      </c>
      <c r="R198" s="2" t="s">
        <v>2502</v>
      </c>
      <c r="S198" s="4">
        <v>44837</v>
      </c>
    </row>
    <row r="199" spans="1:19" ht="12.5" x14ac:dyDescent="0.25">
      <c r="A199" s="14" t="str">
        <f>HYPERLINK("https://gerandofalcoes.my.salesforce.com/0014X00002VKCpLQAX", "0014X00002VKCpLQAX")</f>
        <v>0014X00002VKCpLQAX</v>
      </c>
      <c r="B199" s="2" t="s">
        <v>2335</v>
      </c>
      <c r="C199" s="2" t="s">
        <v>1800</v>
      </c>
      <c r="D199" s="2" t="s">
        <v>2</v>
      </c>
      <c r="E199" s="2">
        <v>10</v>
      </c>
      <c r="F199" s="2">
        <v>0</v>
      </c>
      <c r="G199" s="2">
        <v>3</v>
      </c>
      <c r="H199" s="2">
        <v>5000</v>
      </c>
      <c r="I199" s="2">
        <v>0</v>
      </c>
      <c r="J199" s="2" t="s">
        <v>1779</v>
      </c>
      <c r="K199" s="2">
        <v>23</v>
      </c>
      <c r="L199" s="2">
        <v>10</v>
      </c>
      <c r="M199" s="2">
        <v>0</v>
      </c>
      <c r="N199" s="2">
        <v>8</v>
      </c>
      <c r="O199" s="2">
        <v>5</v>
      </c>
      <c r="P199" s="2">
        <v>0</v>
      </c>
      <c r="Q199" s="2" t="s">
        <v>2863</v>
      </c>
      <c r="R199" s="2" t="s">
        <v>2864</v>
      </c>
      <c r="S199" s="4">
        <v>44837</v>
      </c>
    </row>
    <row r="200" spans="1:19" ht="12.5" x14ac:dyDescent="0.25">
      <c r="A200" s="14" t="str">
        <f>HYPERLINK("https://gerandofalcoes.my.salesforce.com/0014X00002VKCpWQAX", "0014X00002VKCpWQAX")</f>
        <v>0014X00002VKCpWQAX</v>
      </c>
      <c r="B200" s="2" t="s">
        <v>2844</v>
      </c>
      <c r="C200" s="2" t="s">
        <v>423</v>
      </c>
      <c r="D200" s="2" t="s">
        <v>2</v>
      </c>
      <c r="E200" s="2">
        <v>21</v>
      </c>
      <c r="F200" s="2">
        <v>5</v>
      </c>
      <c r="G200" s="2">
        <v>4</v>
      </c>
      <c r="H200" s="2">
        <v>70000</v>
      </c>
      <c r="I200" s="2">
        <v>0</v>
      </c>
      <c r="J200" s="2" t="s">
        <v>1779</v>
      </c>
      <c r="K200" s="2">
        <v>35</v>
      </c>
      <c r="L200" s="2">
        <v>10</v>
      </c>
      <c r="M200" s="2">
        <v>5</v>
      </c>
      <c r="N200" s="2">
        <v>10</v>
      </c>
      <c r="O200" s="2">
        <v>10</v>
      </c>
      <c r="P200" s="2">
        <v>0</v>
      </c>
      <c r="Q200" s="2" t="s">
        <v>2845</v>
      </c>
      <c r="R200" s="2" t="s">
        <v>2846</v>
      </c>
      <c r="S200" s="4">
        <v>44837</v>
      </c>
    </row>
    <row r="201" spans="1:19" ht="12.5" x14ac:dyDescent="0.25">
      <c r="A201" s="14" t="str">
        <f>HYPERLINK("https://gerandofalcoes.my.salesforce.com/0014X00002VKCqMQAX", "0014X00002VKCqMQAX")</f>
        <v>0014X00002VKCqMQAX</v>
      </c>
      <c r="B201" s="2" t="s">
        <v>2737</v>
      </c>
      <c r="C201" s="2" t="s">
        <v>423</v>
      </c>
      <c r="D201" s="2" t="s">
        <v>2</v>
      </c>
      <c r="E201" s="2">
        <v>51</v>
      </c>
      <c r="F201" s="2">
        <v>2</v>
      </c>
      <c r="G201" s="2">
        <v>3</v>
      </c>
      <c r="H201" s="2">
        <v>150000</v>
      </c>
      <c r="I201" s="2">
        <v>10</v>
      </c>
      <c r="J201" s="2" t="s">
        <v>1671</v>
      </c>
      <c r="K201" s="2">
        <v>53</v>
      </c>
      <c r="L201" s="2">
        <v>20</v>
      </c>
      <c r="M201" s="2">
        <v>5</v>
      </c>
      <c r="N201" s="2">
        <v>8</v>
      </c>
      <c r="O201" s="2">
        <v>15</v>
      </c>
      <c r="P201" s="2">
        <v>5</v>
      </c>
      <c r="Q201" s="2" t="s">
        <v>2738</v>
      </c>
      <c r="R201" s="2" t="s">
        <v>2739</v>
      </c>
      <c r="S201" s="4">
        <v>44837</v>
      </c>
    </row>
    <row r="202" spans="1:19" ht="12.5" x14ac:dyDescent="0.25">
      <c r="A202" s="14" t="str">
        <f>HYPERLINK("https://gerandofalcoes.my.salesforce.com/0014X00002VKCpKQAX", "0014X00002VKCpKQAX")</f>
        <v>0014X00002VKCpKQAX</v>
      </c>
      <c r="B202" s="2" t="s">
        <v>2225</v>
      </c>
      <c r="C202" s="2" t="s">
        <v>423</v>
      </c>
      <c r="D202" s="2" t="s">
        <v>2</v>
      </c>
      <c r="E202" s="2">
        <v>42</v>
      </c>
      <c r="F202" s="2">
        <v>0</v>
      </c>
      <c r="G202" s="2">
        <v>3</v>
      </c>
      <c r="H202" s="2">
        <v>29881</v>
      </c>
      <c r="I202" s="2">
        <v>0</v>
      </c>
      <c r="J202" s="2" t="s">
        <v>1779</v>
      </c>
      <c r="K202" s="2">
        <v>33</v>
      </c>
      <c r="L202" s="2">
        <v>15</v>
      </c>
      <c r="M202" s="2">
        <v>0</v>
      </c>
      <c r="N202" s="2">
        <v>8</v>
      </c>
      <c r="O202" s="2">
        <v>10</v>
      </c>
      <c r="P202" s="2">
        <v>0</v>
      </c>
      <c r="Q202" s="2" t="s">
        <v>2233</v>
      </c>
      <c r="R202" s="2" t="s">
        <v>2234</v>
      </c>
      <c r="S202" s="4">
        <v>44837</v>
      </c>
    </row>
    <row r="203" spans="1:19" ht="12.5" x14ac:dyDescent="0.25">
      <c r="A203" s="14" t="str">
        <f>HYPERLINK("https://gerandofalcoes.my.salesforce.com/0014X00002VKCqtQAH", "0014X00002VKCqtQAH")</f>
        <v>0014X00002VKCqtQAH</v>
      </c>
      <c r="B203" s="2" t="s">
        <v>2543</v>
      </c>
      <c r="C203" s="2" t="s">
        <v>423</v>
      </c>
      <c r="D203" s="2" t="s">
        <v>2</v>
      </c>
      <c r="E203" s="2">
        <v>47</v>
      </c>
      <c r="F203" s="2">
        <v>0</v>
      </c>
      <c r="G203" s="2">
        <v>3</v>
      </c>
      <c r="H203" s="2">
        <v>12000</v>
      </c>
      <c r="I203" s="2">
        <v>79</v>
      </c>
      <c r="J203" s="2" t="s">
        <v>1779</v>
      </c>
      <c r="K203" s="2">
        <v>33</v>
      </c>
      <c r="L203" s="2">
        <v>15</v>
      </c>
      <c r="M203" s="2">
        <v>0</v>
      </c>
      <c r="N203" s="2">
        <v>8</v>
      </c>
      <c r="O203" s="2">
        <v>5</v>
      </c>
      <c r="P203" s="2">
        <v>5</v>
      </c>
      <c r="Q203" s="2" t="s">
        <v>2544</v>
      </c>
      <c r="R203" s="2" t="s">
        <v>2545</v>
      </c>
      <c r="S203" s="4">
        <v>44837</v>
      </c>
    </row>
    <row r="204" spans="1:19" ht="12.5" x14ac:dyDescent="0.25">
      <c r="A204" s="14" t="str">
        <f>HYPERLINK("https://gerandofalcoes.my.salesforce.com/0014X00002VKCrAQAX", "0014X00002VKCrAQAX")</f>
        <v>0014X00002VKCrAQAX</v>
      </c>
      <c r="B204" s="2" t="s">
        <v>1795</v>
      </c>
      <c r="C204" s="2" t="s">
        <v>423</v>
      </c>
      <c r="D204" s="2" t="s">
        <v>2</v>
      </c>
      <c r="E204" s="2">
        <v>50</v>
      </c>
      <c r="F204" s="2">
        <v>2</v>
      </c>
      <c r="G204" s="2">
        <v>3</v>
      </c>
      <c r="H204" s="2">
        <v>76576</v>
      </c>
      <c r="I204" s="2">
        <v>30</v>
      </c>
      <c r="J204" s="2" t="s">
        <v>1671</v>
      </c>
      <c r="K204" s="2">
        <v>48</v>
      </c>
      <c r="L204" s="2">
        <v>20</v>
      </c>
      <c r="M204" s="2">
        <v>5</v>
      </c>
      <c r="N204" s="2">
        <v>8</v>
      </c>
      <c r="O204" s="2">
        <v>10</v>
      </c>
      <c r="P204" s="2">
        <v>5</v>
      </c>
      <c r="Q204" s="2" t="s">
        <v>1796</v>
      </c>
      <c r="R204" s="2" t="s">
        <v>1797</v>
      </c>
      <c r="S204" s="4">
        <v>44837</v>
      </c>
    </row>
    <row r="205" spans="1:19" ht="12.5" x14ac:dyDescent="0.25">
      <c r="A205" s="14" t="str">
        <f>HYPERLINK("https://gerandofalcoes.my.salesforce.com/0014X00002VKCpCQAX", "0014X00002VKCpCQAX")</f>
        <v>0014X00002VKCpCQAX</v>
      </c>
      <c r="B205" s="2" t="s">
        <v>2182</v>
      </c>
      <c r="C205" s="2" t="s">
        <v>423</v>
      </c>
      <c r="D205" s="2" t="s">
        <v>2</v>
      </c>
      <c r="E205" s="2">
        <v>33</v>
      </c>
      <c r="F205" s="2">
        <v>0</v>
      </c>
      <c r="G205" s="2">
        <v>2</v>
      </c>
      <c r="H205" s="2">
        <v>0</v>
      </c>
      <c r="I205" s="2">
        <v>20</v>
      </c>
      <c r="J205" s="2" t="s">
        <v>1779</v>
      </c>
      <c r="K205" s="2">
        <v>26</v>
      </c>
      <c r="L205" s="2">
        <v>15</v>
      </c>
      <c r="M205" s="2">
        <v>0</v>
      </c>
      <c r="N205" s="2">
        <v>6</v>
      </c>
      <c r="O205" s="2">
        <v>0</v>
      </c>
      <c r="P205" s="2">
        <v>5</v>
      </c>
      <c r="Q205" s="2" t="s">
        <v>2183</v>
      </c>
      <c r="R205" s="2" t="s">
        <v>2184</v>
      </c>
      <c r="S205" s="4">
        <v>44837</v>
      </c>
    </row>
    <row r="206" spans="1:19" ht="12.5" x14ac:dyDescent="0.25">
      <c r="A206" s="14" t="str">
        <f>HYPERLINK("https://gerandofalcoes.my.salesforce.com/0014X00002VKCpRQAX", "0014X00002VKCpRQAX")</f>
        <v>0014X00002VKCpRQAX</v>
      </c>
      <c r="B206" s="2" t="s">
        <v>2332</v>
      </c>
      <c r="C206" s="2" t="s">
        <v>1800</v>
      </c>
      <c r="D206" s="2" t="s">
        <v>2</v>
      </c>
      <c r="E206" s="2">
        <v>28</v>
      </c>
      <c r="F206" s="2">
        <v>0</v>
      </c>
      <c r="G206" s="2">
        <v>2</v>
      </c>
      <c r="H206" s="2">
        <v>32500000</v>
      </c>
      <c r="I206" s="2">
        <v>0</v>
      </c>
      <c r="J206" s="2" t="s">
        <v>1671</v>
      </c>
      <c r="K206" s="2">
        <v>46</v>
      </c>
      <c r="L206" s="2">
        <v>15</v>
      </c>
      <c r="M206" s="2">
        <v>0</v>
      </c>
      <c r="N206" s="2">
        <v>6</v>
      </c>
      <c r="O206" s="2">
        <v>25</v>
      </c>
      <c r="P206" s="2">
        <v>0</v>
      </c>
      <c r="Q206" s="2" t="s">
        <v>2333</v>
      </c>
      <c r="R206" s="2" t="s">
        <v>2334</v>
      </c>
      <c r="S206" s="4">
        <v>44837</v>
      </c>
    </row>
    <row r="207" spans="1:19" ht="12.5" x14ac:dyDescent="0.25">
      <c r="A207" s="14" t="str">
        <f>HYPERLINK("https://gerandofalcoes.my.salesforce.com/0014X00002VKCrVQAX", "0014X00002VKCrVQAX")</f>
        <v>0014X00002VKCrVQAX</v>
      </c>
      <c r="B207" s="2" t="s">
        <v>2973</v>
      </c>
      <c r="C207" s="2" t="s">
        <v>423</v>
      </c>
      <c r="D207" s="2" t="s">
        <v>2</v>
      </c>
      <c r="E207" s="2">
        <v>20</v>
      </c>
      <c r="F207" s="2">
        <v>0</v>
      </c>
      <c r="G207" s="2">
        <v>2</v>
      </c>
      <c r="H207" s="2">
        <v>0</v>
      </c>
      <c r="I207" s="2">
        <v>0</v>
      </c>
      <c r="J207" s="2" t="s">
        <v>1779</v>
      </c>
      <c r="K207" s="2">
        <v>16</v>
      </c>
      <c r="L207" s="2">
        <v>10</v>
      </c>
      <c r="M207" s="2">
        <v>0</v>
      </c>
      <c r="N207" s="2">
        <v>6</v>
      </c>
      <c r="O207" s="2">
        <v>0</v>
      </c>
      <c r="P207" s="2">
        <v>0</v>
      </c>
      <c r="Q207" s="2" t="s">
        <v>2974</v>
      </c>
      <c r="R207" s="2" t="s">
        <v>2975</v>
      </c>
      <c r="S207" s="4">
        <v>44837</v>
      </c>
    </row>
    <row r="208" spans="1:19" ht="12.5" x14ac:dyDescent="0.25">
      <c r="A208" s="14" t="str">
        <f>HYPERLINK("https://gerandofalcoes.my.salesforce.com/0014X00002VKCrcQAH", "0014X00002VKCrcQAH")</f>
        <v>0014X00002VKCrcQAH</v>
      </c>
      <c r="B208" s="2" t="s">
        <v>2609</v>
      </c>
      <c r="C208" s="2" t="s">
        <v>423</v>
      </c>
      <c r="D208" s="2" t="s">
        <v>2</v>
      </c>
      <c r="E208" s="2">
        <v>19</v>
      </c>
      <c r="F208" s="2">
        <v>0</v>
      </c>
      <c r="G208" s="2">
        <v>3</v>
      </c>
      <c r="H208" s="2">
        <v>2000</v>
      </c>
      <c r="I208" s="2">
        <v>0</v>
      </c>
      <c r="J208" s="2" t="s">
        <v>1779</v>
      </c>
      <c r="K208" s="2">
        <v>23</v>
      </c>
      <c r="L208" s="2">
        <v>10</v>
      </c>
      <c r="M208" s="2">
        <v>0</v>
      </c>
      <c r="N208" s="2">
        <v>8</v>
      </c>
      <c r="O208" s="2">
        <v>5</v>
      </c>
      <c r="P208" s="2">
        <v>0</v>
      </c>
      <c r="Q208" s="2" t="s">
        <v>2610</v>
      </c>
      <c r="R208" s="2" t="s">
        <v>2611</v>
      </c>
      <c r="S208" s="4">
        <v>44837</v>
      </c>
    </row>
    <row r="209" spans="1:19" ht="12.5" x14ac:dyDescent="0.25">
      <c r="A209" s="14" t="str">
        <f>HYPERLINK("https://gerandofalcoes.my.salesforce.com/0014X00002VKCr9QAH", "0014X00002VKCr9QAH")</f>
        <v>0014X00002VKCr9QAH</v>
      </c>
      <c r="B209" s="2" t="s">
        <v>2357</v>
      </c>
      <c r="C209" s="2" t="s">
        <v>1800</v>
      </c>
      <c r="D209" s="2" t="s">
        <v>2</v>
      </c>
      <c r="E209" s="2">
        <v>27</v>
      </c>
      <c r="F209" s="2">
        <v>0</v>
      </c>
      <c r="G209" s="2">
        <v>2</v>
      </c>
      <c r="H209" s="2">
        <v>0</v>
      </c>
      <c r="I209" s="2">
        <v>30</v>
      </c>
      <c r="J209" s="2" t="s">
        <v>1779</v>
      </c>
      <c r="K209" s="2">
        <v>26</v>
      </c>
      <c r="L209" s="2">
        <v>15</v>
      </c>
      <c r="M209" s="2">
        <v>0</v>
      </c>
      <c r="N209" s="2">
        <v>6</v>
      </c>
      <c r="O209" s="2">
        <v>0</v>
      </c>
      <c r="P209" s="2">
        <v>5</v>
      </c>
      <c r="Q209" s="2" t="s">
        <v>2358</v>
      </c>
      <c r="R209" s="2" t="s">
        <v>2358</v>
      </c>
      <c r="S209" s="4">
        <v>44837</v>
      </c>
    </row>
    <row r="210" spans="1:19" ht="12.5" x14ac:dyDescent="0.25">
      <c r="A210" s="14" t="str">
        <f>HYPERLINK("https://gerandofalcoes.my.salesforce.com/0014X00002VKCu5QAH", "0014X00002VKCu5QAH")</f>
        <v>0014X00002VKCu5QAH</v>
      </c>
      <c r="B210" s="2" t="s">
        <v>2172</v>
      </c>
      <c r="C210" s="2" t="s">
        <v>423</v>
      </c>
      <c r="D210" s="2" t="s">
        <v>2</v>
      </c>
      <c r="E210" s="2">
        <v>33</v>
      </c>
      <c r="F210" s="2">
        <v>17</v>
      </c>
      <c r="G210" s="2">
        <v>4</v>
      </c>
      <c r="H210" s="2">
        <v>35000</v>
      </c>
      <c r="I210" s="2">
        <v>134</v>
      </c>
      <c r="J210" s="2" t="s">
        <v>1671</v>
      </c>
      <c r="K210" s="2">
        <v>57</v>
      </c>
      <c r="L210" s="2">
        <v>15</v>
      </c>
      <c r="M210" s="2">
        <v>12</v>
      </c>
      <c r="N210" s="2">
        <v>10</v>
      </c>
      <c r="O210" s="2">
        <v>10</v>
      </c>
      <c r="P210" s="2">
        <v>10</v>
      </c>
      <c r="Q210" s="2" t="s">
        <v>7195</v>
      </c>
      <c r="R210" s="2" t="s">
        <v>2174</v>
      </c>
      <c r="S210" s="4">
        <v>44837</v>
      </c>
    </row>
    <row r="211" spans="1:19" ht="12.5" x14ac:dyDescent="0.25">
      <c r="A211" s="14" t="str">
        <f>HYPERLINK("https://gerandofalcoes.my.salesforce.com/0014X00002VKCraQAH", "0014X00002VKCraQAH")</f>
        <v>0014X00002VKCraQAH</v>
      </c>
      <c r="B211" s="2" t="s">
        <v>2836</v>
      </c>
      <c r="C211" s="2" t="s">
        <v>423</v>
      </c>
      <c r="D211" s="2" t="s">
        <v>2</v>
      </c>
      <c r="E211" s="2">
        <v>35</v>
      </c>
      <c r="F211" s="2">
        <v>0</v>
      </c>
      <c r="G211" s="2">
        <v>2</v>
      </c>
      <c r="H211" s="2">
        <v>9600</v>
      </c>
      <c r="I211" s="2">
        <v>0</v>
      </c>
      <c r="J211" s="2" t="s">
        <v>1779</v>
      </c>
      <c r="K211" s="2">
        <v>26</v>
      </c>
      <c r="L211" s="2">
        <v>15</v>
      </c>
      <c r="M211" s="2">
        <v>0</v>
      </c>
      <c r="N211" s="2">
        <v>6</v>
      </c>
      <c r="O211" s="2">
        <v>5</v>
      </c>
      <c r="P211" s="2">
        <v>0</v>
      </c>
      <c r="Q211" s="2" t="s">
        <v>2837</v>
      </c>
      <c r="R211" s="2" t="s">
        <v>2838</v>
      </c>
      <c r="S211" s="4">
        <v>44837</v>
      </c>
    </row>
    <row r="212" spans="1:19" ht="12.5" x14ac:dyDescent="0.25">
      <c r="A212" s="14" t="str">
        <f>HYPERLINK("https://gerandofalcoes.my.salesforce.com/0014X00002VKCp7QAH", "0014X00002VKCp7QAH")</f>
        <v>0014X00002VKCp7QAH</v>
      </c>
      <c r="B212" s="2" t="s">
        <v>2043</v>
      </c>
      <c r="C212" s="2" t="s">
        <v>423</v>
      </c>
      <c r="D212" s="2" t="s">
        <v>2</v>
      </c>
      <c r="E212" s="2">
        <v>37</v>
      </c>
      <c r="F212" s="2">
        <v>4</v>
      </c>
      <c r="G212" s="2">
        <v>3</v>
      </c>
      <c r="H212" s="2">
        <v>96000</v>
      </c>
      <c r="I212" s="2">
        <v>200</v>
      </c>
      <c r="J212" s="2" t="s">
        <v>1671</v>
      </c>
      <c r="K212" s="2">
        <v>50</v>
      </c>
      <c r="L212" s="2">
        <v>15</v>
      </c>
      <c r="M212" s="2">
        <v>5</v>
      </c>
      <c r="N212" s="2">
        <v>8</v>
      </c>
      <c r="O212" s="2">
        <v>10</v>
      </c>
      <c r="P212" s="2">
        <v>12</v>
      </c>
      <c r="Q212" s="2" t="s">
        <v>2044</v>
      </c>
      <c r="R212" s="2" t="s">
        <v>2045</v>
      </c>
      <c r="S212" s="4">
        <v>44837</v>
      </c>
    </row>
    <row r="213" spans="1:19" ht="12.5" x14ac:dyDescent="0.25">
      <c r="A213" s="14" t="str">
        <f>HYPERLINK("https://gerandofalcoes.my.salesforce.com/0014X00002VKCrMQAX", "0014X00002VKCrMQAX")</f>
        <v>0014X00002VKCrMQAX</v>
      </c>
      <c r="B213" s="2" t="s">
        <v>2881</v>
      </c>
      <c r="C213" s="2" t="s">
        <v>423</v>
      </c>
      <c r="D213" s="2" t="s">
        <v>2</v>
      </c>
      <c r="E213" s="2">
        <v>17</v>
      </c>
      <c r="F213" s="2">
        <v>0</v>
      </c>
      <c r="G213" s="2">
        <v>2</v>
      </c>
      <c r="H213" s="2">
        <v>1000</v>
      </c>
      <c r="I213" s="2">
        <v>50</v>
      </c>
      <c r="J213" s="2" t="s">
        <v>1779</v>
      </c>
      <c r="K213" s="2">
        <v>26</v>
      </c>
      <c r="L213" s="2">
        <v>10</v>
      </c>
      <c r="M213" s="2">
        <v>0</v>
      </c>
      <c r="N213" s="2">
        <v>6</v>
      </c>
      <c r="O213" s="2">
        <v>5</v>
      </c>
      <c r="P213" s="2">
        <v>5</v>
      </c>
      <c r="Q213" s="2" t="s">
        <v>2882</v>
      </c>
      <c r="R213" s="2" t="s">
        <v>2883</v>
      </c>
      <c r="S213" s="4">
        <v>44837</v>
      </c>
    </row>
    <row r="214" spans="1:19" ht="12.5" x14ac:dyDescent="0.25">
      <c r="A214" s="14" t="str">
        <f>HYPERLINK("https://gerandofalcoes.my.salesforce.com/0014X00002VKCqUQAX", "0014X00002VKCqUQAX")</f>
        <v>0014X00002VKCqUQAX</v>
      </c>
      <c r="B214" s="2" t="s">
        <v>2807</v>
      </c>
      <c r="C214" s="2" t="s">
        <v>1800</v>
      </c>
      <c r="D214" s="2" t="s">
        <v>2</v>
      </c>
      <c r="E214" s="2">
        <v>13</v>
      </c>
      <c r="F214" s="2">
        <v>0</v>
      </c>
      <c r="G214" s="2">
        <v>3</v>
      </c>
      <c r="H214" s="2">
        <v>10000</v>
      </c>
      <c r="I214" s="2">
        <v>0</v>
      </c>
      <c r="J214" s="2" t="s">
        <v>1779</v>
      </c>
      <c r="K214" s="2">
        <v>23</v>
      </c>
      <c r="L214" s="2">
        <v>10</v>
      </c>
      <c r="M214" s="2">
        <v>0</v>
      </c>
      <c r="N214" s="2">
        <v>8</v>
      </c>
      <c r="O214" s="2">
        <v>5</v>
      </c>
      <c r="P214" s="2">
        <v>0</v>
      </c>
      <c r="Q214" s="2" t="s">
        <v>2808</v>
      </c>
      <c r="R214" s="2" t="s">
        <v>2808</v>
      </c>
      <c r="S214" s="4">
        <v>44837</v>
      </c>
    </row>
    <row r="215" spans="1:19" ht="12.5" x14ac:dyDescent="0.25">
      <c r="A215" s="14" t="str">
        <f>HYPERLINK("https://gerandofalcoes.my.salesforce.com/0014X00002VKCrOQAX", "0014X00002VKCrOQAX")</f>
        <v>0014X00002VKCrOQAX</v>
      </c>
      <c r="B215" s="2" t="s">
        <v>2715</v>
      </c>
      <c r="C215" s="2" t="s">
        <v>1800</v>
      </c>
      <c r="D215" s="2" t="s">
        <v>2</v>
      </c>
      <c r="E215" s="2">
        <v>15</v>
      </c>
      <c r="F215" s="2">
        <v>0</v>
      </c>
      <c r="G215" s="2">
        <v>3</v>
      </c>
      <c r="H215" s="2">
        <v>15000</v>
      </c>
      <c r="I215" s="2">
        <v>255</v>
      </c>
      <c r="J215" s="2" t="s">
        <v>1779</v>
      </c>
      <c r="K215" s="2">
        <v>35</v>
      </c>
      <c r="L215" s="2">
        <v>10</v>
      </c>
      <c r="M215" s="2">
        <v>0</v>
      </c>
      <c r="N215" s="2">
        <v>8</v>
      </c>
      <c r="O215" s="2">
        <v>5</v>
      </c>
      <c r="P215" s="2">
        <v>12</v>
      </c>
      <c r="Q215" s="2" t="s">
        <v>2716</v>
      </c>
      <c r="R215" s="2" t="s">
        <v>2716</v>
      </c>
      <c r="S215" s="4">
        <v>44837</v>
      </c>
    </row>
    <row r="216" spans="1:19" ht="12.5" x14ac:dyDescent="0.25">
      <c r="A216" s="14" t="str">
        <f>HYPERLINK("https://gerandofalcoes.my.salesforce.com/0014X00002VKCqVQAX", "0014X00002VKCqVQAX")</f>
        <v>0014X00002VKCqVQAX</v>
      </c>
      <c r="B216" s="2" t="s">
        <v>2759</v>
      </c>
      <c r="C216" s="2" t="s">
        <v>423</v>
      </c>
      <c r="D216" s="2" t="s">
        <v>2</v>
      </c>
      <c r="E216" s="2">
        <v>14</v>
      </c>
      <c r="F216" s="2">
        <v>0</v>
      </c>
      <c r="G216" s="2">
        <v>5</v>
      </c>
      <c r="H216" s="2">
        <v>35000</v>
      </c>
      <c r="I216" s="2">
        <v>60</v>
      </c>
      <c r="J216" s="2" t="s">
        <v>1779</v>
      </c>
      <c r="K216" s="2">
        <v>35</v>
      </c>
      <c r="L216" s="2">
        <v>10</v>
      </c>
      <c r="M216" s="2">
        <v>0</v>
      </c>
      <c r="N216" s="2">
        <v>10</v>
      </c>
      <c r="O216" s="2">
        <v>10</v>
      </c>
      <c r="P216" s="2">
        <v>5</v>
      </c>
      <c r="Q216" s="2" t="s">
        <v>2760</v>
      </c>
      <c r="R216" s="2" t="s">
        <v>2761</v>
      </c>
      <c r="S216" s="4">
        <v>44837</v>
      </c>
    </row>
    <row r="217" spans="1:19" ht="12.5" x14ac:dyDescent="0.25">
      <c r="A217" s="14" t="str">
        <f>HYPERLINK("https://gerandofalcoes.my.salesforce.com/0014X00002VKCtxQAH", "0014X00002VKCtxQAH")</f>
        <v>0014X00002VKCtxQAH</v>
      </c>
      <c r="B217" s="2" t="s">
        <v>1813</v>
      </c>
      <c r="C217" s="2" t="s">
        <v>423</v>
      </c>
      <c r="D217" s="2" t="s">
        <v>2</v>
      </c>
      <c r="E217" s="2">
        <v>52</v>
      </c>
      <c r="F217" s="2">
        <v>10</v>
      </c>
      <c r="G217" s="2">
        <v>3</v>
      </c>
      <c r="H217" s="2">
        <v>5000</v>
      </c>
      <c r="I217" s="2">
        <v>550</v>
      </c>
      <c r="J217" s="2" t="s">
        <v>1671</v>
      </c>
      <c r="K217" s="2">
        <v>63</v>
      </c>
      <c r="L217" s="2">
        <v>20</v>
      </c>
      <c r="M217" s="2">
        <v>10</v>
      </c>
      <c r="N217" s="2">
        <v>8</v>
      </c>
      <c r="O217" s="2">
        <v>5</v>
      </c>
      <c r="P217" s="2">
        <v>20</v>
      </c>
      <c r="Q217" s="2" t="s">
        <v>1814</v>
      </c>
      <c r="R217" s="2" t="s">
        <v>1815</v>
      </c>
      <c r="S217" s="4">
        <v>44837</v>
      </c>
    </row>
    <row r="218" spans="1:19" ht="12.5" x14ac:dyDescent="0.25">
      <c r="A218" s="14" t="str">
        <f>HYPERLINK("https://gerandofalcoes.my.salesforce.com/0014X00002VKCqYQAX", "0014X00002VKCqYQAX")</f>
        <v>0014X00002VKCqYQAX</v>
      </c>
      <c r="B218" s="2" t="s">
        <v>2322</v>
      </c>
      <c r="C218" s="2" t="s">
        <v>1800</v>
      </c>
      <c r="D218" s="2" t="s">
        <v>2</v>
      </c>
      <c r="E218" s="2">
        <v>28</v>
      </c>
      <c r="F218" s="2">
        <v>1</v>
      </c>
      <c r="G218" s="2">
        <v>6</v>
      </c>
      <c r="H218" s="2">
        <v>5000</v>
      </c>
      <c r="I218" s="2">
        <v>80</v>
      </c>
      <c r="J218" s="2" t="s">
        <v>1671</v>
      </c>
      <c r="K218" s="2">
        <v>45</v>
      </c>
      <c r="L218" s="2">
        <v>15</v>
      </c>
      <c r="M218" s="2">
        <v>5</v>
      </c>
      <c r="N218" s="2">
        <v>10</v>
      </c>
      <c r="O218" s="2">
        <v>5</v>
      </c>
      <c r="P218" s="2">
        <v>10</v>
      </c>
      <c r="Q218" s="2" t="s">
        <v>2323</v>
      </c>
      <c r="R218" s="2" t="s">
        <v>2324</v>
      </c>
      <c r="S218" s="4">
        <v>44837</v>
      </c>
    </row>
    <row r="219" spans="1:19" ht="12.5" x14ac:dyDescent="0.25">
      <c r="A219" s="14" t="str">
        <f>HYPERLINK("https://gerandofalcoes.my.salesforce.com/0014X00002VKCukQAH", "0014X00002VKCukQAH")</f>
        <v>0014X00002VKCukQAH</v>
      </c>
      <c r="B219" s="2" t="s">
        <v>2990</v>
      </c>
      <c r="C219" s="2" t="s">
        <v>1800</v>
      </c>
      <c r="D219" s="2" t="s">
        <v>2</v>
      </c>
      <c r="E219" s="2"/>
      <c r="F219" s="2">
        <v>8</v>
      </c>
      <c r="G219" s="2">
        <v>2</v>
      </c>
      <c r="H219" s="2">
        <v>0</v>
      </c>
      <c r="I219" s="2">
        <v>50</v>
      </c>
      <c r="J219" s="2" t="s">
        <v>1779</v>
      </c>
      <c r="K219" s="2">
        <v>21</v>
      </c>
      <c r="L219" s="2">
        <v>0</v>
      </c>
      <c r="M219" s="2">
        <v>10</v>
      </c>
      <c r="N219" s="2">
        <v>6</v>
      </c>
      <c r="O219" s="2">
        <v>0</v>
      </c>
      <c r="P219" s="2">
        <v>5</v>
      </c>
      <c r="Q219" s="2" t="s">
        <v>2991</v>
      </c>
      <c r="R219" s="2" t="s">
        <v>2991</v>
      </c>
      <c r="S219" s="4">
        <v>44837</v>
      </c>
    </row>
    <row r="220" spans="1:19" ht="12.5" x14ac:dyDescent="0.25">
      <c r="A220" s="14" t="str">
        <f>HYPERLINK("https://gerandofalcoes.my.salesforce.com/0014X00002VKCsmQAH", "0014X00002VKCsmQAH")</f>
        <v>0014X00002VKCsmQAH</v>
      </c>
      <c r="B220" s="2" t="s">
        <v>2370</v>
      </c>
      <c r="C220" s="2" t="s">
        <v>1800</v>
      </c>
      <c r="D220" s="2" t="s">
        <v>2</v>
      </c>
      <c r="E220" s="2">
        <v>26</v>
      </c>
      <c r="F220" s="2">
        <v>0</v>
      </c>
      <c r="G220" s="2">
        <v>2</v>
      </c>
      <c r="H220" s="2">
        <v>8000</v>
      </c>
      <c r="I220" s="2">
        <v>20</v>
      </c>
      <c r="J220" s="2" t="s">
        <v>1779</v>
      </c>
      <c r="K220" s="2">
        <v>31</v>
      </c>
      <c r="L220" s="2">
        <v>15</v>
      </c>
      <c r="M220" s="2">
        <v>0</v>
      </c>
      <c r="N220" s="2">
        <v>6</v>
      </c>
      <c r="O220" s="2">
        <v>5</v>
      </c>
      <c r="P220" s="2">
        <v>5</v>
      </c>
      <c r="Q220" s="2" t="s">
        <v>2371</v>
      </c>
      <c r="R220" s="2" t="s">
        <v>2371</v>
      </c>
      <c r="S220" s="4">
        <v>44837</v>
      </c>
    </row>
    <row r="221" spans="1:19" ht="12.5" x14ac:dyDescent="0.25">
      <c r="A221" s="14" t="str">
        <f>HYPERLINK("https://gerandofalcoes.my.salesforce.com/0014X00002VKCpUQAX", "0014X00002VKCpUQAX")</f>
        <v>0014X00002VKCpUQAX</v>
      </c>
      <c r="B221" s="2" t="s">
        <v>2795</v>
      </c>
      <c r="C221" s="2" t="s">
        <v>423</v>
      </c>
      <c r="D221" s="2" t="s">
        <v>2</v>
      </c>
      <c r="E221" s="2">
        <v>13</v>
      </c>
      <c r="F221" s="2">
        <v>3</v>
      </c>
      <c r="G221" s="2">
        <v>2</v>
      </c>
      <c r="H221" s="2">
        <v>300</v>
      </c>
      <c r="I221" s="2">
        <v>50</v>
      </c>
      <c r="J221" s="2" t="s">
        <v>1779</v>
      </c>
      <c r="K221" s="2">
        <v>31</v>
      </c>
      <c r="L221" s="2">
        <v>10</v>
      </c>
      <c r="M221" s="2">
        <v>5</v>
      </c>
      <c r="N221" s="2">
        <v>6</v>
      </c>
      <c r="O221" s="2">
        <v>5</v>
      </c>
      <c r="P221" s="2">
        <v>5</v>
      </c>
      <c r="Q221" s="2" t="s">
        <v>2796</v>
      </c>
      <c r="R221" s="2" t="s">
        <v>2797</v>
      </c>
      <c r="S221" s="4">
        <v>44837</v>
      </c>
    </row>
    <row r="222" spans="1:19" ht="12.5" x14ac:dyDescent="0.25">
      <c r="A222" s="14" t="str">
        <f>HYPERLINK("https://gerandofalcoes.my.salesforce.com/0014X00002VKCpcQAH", "0014X00002VKCpcQAH")</f>
        <v>0014X00002VKCpcQAH</v>
      </c>
      <c r="B222" s="2" t="s">
        <v>2689</v>
      </c>
      <c r="C222" s="2" t="s">
        <v>1800</v>
      </c>
      <c r="D222" s="2" t="s">
        <v>2</v>
      </c>
      <c r="E222" s="2">
        <v>16</v>
      </c>
      <c r="F222" s="2">
        <v>0</v>
      </c>
      <c r="G222" s="2">
        <v>2</v>
      </c>
      <c r="H222" s="2">
        <v>98000</v>
      </c>
      <c r="I222" s="2">
        <v>20</v>
      </c>
      <c r="J222" s="2" t="s">
        <v>1779</v>
      </c>
      <c r="K222" s="2">
        <v>31</v>
      </c>
      <c r="L222" s="2">
        <v>10</v>
      </c>
      <c r="M222" s="2">
        <v>0</v>
      </c>
      <c r="N222" s="2">
        <v>6</v>
      </c>
      <c r="O222" s="2">
        <v>10</v>
      </c>
      <c r="P222" s="2">
        <v>5</v>
      </c>
      <c r="Q222" s="2" t="s">
        <v>7166</v>
      </c>
      <c r="R222" s="2" t="s">
        <v>2690</v>
      </c>
      <c r="S222" s="4">
        <v>44837</v>
      </c>
    </row>
    <row r="223" spans="1:19" ht="12.5" x14ac:dyDescent="0.25">
      <c r="A223" s="14" t="str">
        <f>HYPERLINK("https://gerandofalcoes.my.salesforce.com/0014X00002VKCtwQAH", "0014X00002VKCtwQAH")</f>
        <v>0014X00002VKCtwQAH</v>
      </c>
      <c r="B223" s="2" t="s">
        <v>1954</v>
      </c>
      <c r="C223" s="2" t="s">
        <v>1800</v>
      </c>
      <c r="D223" s="2" t="s">
        <v>2</v>
      </c>
      <c r="E223" s="2">
        <v>41</v>
      </c>
      <c r="F223" s="2">
        <v>4</v>
      </c>
      <c r="G223" s="2">
        <v>3</v>
      </c>
      <c r="H223" s="2">
        <v>186011</v>
      </c>
      <c r="I223" s="2">
        <v>0</v>
      </c>
      <c r="J223" s="2" t="s">
        <v>1671</v>
      </c>
      <c r="K223" s="2">
        <v>43</v>
      </c>
      <c r="L223" s="2">
        <v>15</v>
      </c>
      <c r="M223" s="2">
        <v>5</v>
      </c>
      <c r="N223" s="2">
        <v>8</v>
      </c>
      <c r="O223" s="2">
        <v>15</v>
      </c>
      <c r="P223" s="2">
        <v>0</v>
      </c>
      <c r="Q223" s="2" t="s">
        <v>1955</v>
      </c>
      <c r="R223" s="2" t="s">
        <v>1956</v>
      </c>
      <c r="S223" s="4">
        <v>44837</v>
      </c>
    </row>
    <row r="224" spans="1:19" ht="12.5" x14ac:dyDescent="0.25">
      <c r="A224" s="14" t="str">
        <f>HYPERLINK("https://gerandofalcoes.my.salesforce.com/0014X00002VMXzNQAX", "0014X00002VMXzNQAX")</f>
        <v>0014X00002VMXzNQAX</v>
      </c>
      <c r="B224" s="2" t="s">
        <v>1778</v>
      </c>
      <c r="C224" s="2" t="s">
        <v>423</v>
      </c>
      <c r="D224" s="2" t="s">
        <v>2</v>
      </c>
      <c r="E224" s="2">
        <v>57</v>
      </c>
      <c r="F224" s="2">
        <v>0</v>
      </c>
      <c r="G224" s="2">
        <v>6</v>
      </c>
      <c r="H224" s="2">
        <v>60000</v>
      </c>
      <c r="I224" s="2">
        <v>15</v>
      </c>
      <c r="J224" s="2" t="s">
        <v>1671</v>
      </c>
      <c r="K224" s="2">
        <v>45</v>
      </c>
      <c r="L224" s="2">
        <v>20</v>
      </c>
      <c r="M224" s="2">
        <v>0</v>
      </c>
      <c r="N224" s="2">
        <v>10</v>
      </c>
      <c r="O224" s="2">
        <v>10</v>
      </c>
      <c r="P224" s="2">
        <v>5</v>
      </c>
      <c r="Q224" s="2" t="s">
        <v>1780</v>
      </c>
      <c r="R224" s="2" t="s">
        <v>1781</v>
      </c>
      <c r="S224" s="4">
        <v>44837</v>
      </c>
    </row>
    <row r="225" spans="1:19" ht="12.5" x14ac:dyDescent="0.25">
      <c r="A225" s="14" t="str">
        <f>HYPERLINK("https://gerandofalcoes.my.salesforce.com/0014X00002VKCv9QAH", "0014X00002VKCv9QAH")</f>
        <v>0014X00002VKCv9QAH</v>
      </c>
      <c r="B225" s="2" t="s">
        <v>2874</v>
      </c>
      <c r="C225" s="2" t="s">
        <v>423</v>
      </c>
      <c r="D225" s="2" t="s">
        <v>2</v>
      </c>
      <c r="E225" s="2">
        <v>35</v>
      </c>
      <c r="F225" s="2">
        <v>0</v>
      </c>
      <c r="G225" s="2">
        <v>4</v>
      </c>
      <c r="H225" s="2">
        <v>0</v>
      </c>
      <c r="I225" s="2">
        <v>0</v>
      </c>
      <c r="J225" s="2" t="s">
        <v>1779</v>
      </c>
      <c r="K225" s="2">
        <v>25</v>
      </c>
      <c r="L225" s="2">
        <v>15</v>
      </c>
      <c r="M225" s="2">
        <v>0</v>
      </c>
      <c r="N225" s="2">
        <v>10</v>
      </c>
      <c r="O225" s="2">
        <v>0</v>
      </c>
      <c r="P225" s="2">
        <v>0</v>
      </c>
      <c r="Q225" s="2" t="s">
        <v>2875</v>
      </c>
      <c r="R225" s="2" t="s">
        <v>2875</v>
      </c>
      <c r="S225" s="4">
        <v>44837</v>
      </c>
    </row>
    <row r="226" spans="1:19" ht="12.5" x14ac:dyDescent="0.25">
      <c r="A226" s="14" t="str">
        <f>HYPERLINK("https://gerandofalcoes.my.salesforce.com/0014X00002VKCrIQAX", "0014X00002VKCrIQAX")</f>
        <v>0014X00002VKCrIQAX</v>
      </c>
      <c r="B226" s="2" t="s">
        <v>2670</v>
      </c>
      <c r="C226" s="2" t="s">
        <v>1800</v>
      </c>
      <c r="D226" s="2" t="s">
        <v>2</v>
      </c>
      <c r="E226" s="2">
        <v>17</v>
      </c>
      <c r="F226" s="2">
        <v>0</v>
      </c>
      <c r="G226" s="2">
        <v>2</v>
      </c>
      <c r="H226" s="2">
        <v>1</v>
      </c>
      <c r="I226" s="2">
        <v>0</v>
      </c>
      <c r="J226" s="2" t="s">
        <v>1779</v>
      </c>
      <c r="K226" s="2">
        <v>21</v>
      </c>
      <c r="L226" s="2">
        <v>10</v>
      </c>
      <c r="M226" s="2">
        <v>0</v>
      </c>
      <c r="N226" s="2">
        <v>6</v>
      </c>
      <c r="O226" s="2">
        <v>5</v>
      </c>
      <c r="P226" s="2">
        <v>0</v>
      </c>
      <c r="Q226" s="2" t="s">
        <v>2671</v>
      </c>
      <c r="R226" s="2" t="s">
        <v>2671</v>
      </c>
      <c r="S226" s="4">
        <v>44837</v>
      </c>
    </row>
    <row r="227" spans="1:19" ht="12.5" x14ac:dyDescent="0.25">
      <c r="A227" s="14" t="str">
        <f>HYPERLINK("https://gerandofalcoes.my.salesforce.com/0014X00002VKCuRQAX", "0014X00002VKCuRQAX")</f>
        <v>0014X00002VKCuRQAX</v>
      </c>
      <c r="B227" s="2" t="s">
        <v>2243</v>
      </c>
      <c r="C227" s="2" t="s">
        <v>423</v>
      </c>
      <c r="D227" s="2" t="s">
        <v>2</v>
      </c>
      <c r="E227" s="2">
        <v>31</v>
      </c>
      <c r="F227" s="2">
        <v>3</v>
      </c>
      <c r="G227" s="2">
        <v>6</v>
      </c>
      <c r="H227" s="2">
        <v>100000</v>
      </c>
      <c r="I227" s="2">
        <v>0</v>
      </c>
      <c r="J227" s="2" t="s">
        <v>1671</v>
      </c>
      <c r="K227" s="2">
        <v>45</v>
      </c>
      <c r="L227" s="2">
        <v>15</v>
      </c>
      <c r="M227" s="2">
        <v>5</v>
      </c>
      <c r="N227" s="2">
        <v>10</v>
      </c>
      <c r="O227" s="2">
        <v>15</v>
      </c>
      <c r="P227" s="2">
        <v>0</v>
      </c>
      <c r="Q227" s="2" t="s">
        <v>2244</v>
      </c>
      <c r="R227" s="2" t="s">
        <v>2244</v>
      </c>
      <c r="S227" s="4">
        <v>44837</v>
      </c>
    </row>
    <row r="228" spans="1:19" ht="12.5" x14ac:dyDescent="0.25">
      <c r="A228" s="14" t="str">
        <f>HYPERLINK("https://gerandofalcoes.my.salesforce.com/0014X00002VKCrwQAH", "0014X00002VKCrwQAH")</f>
        <v>0014X00002VKCrwQAH</v>
      </c>
      <c r="B228" s="2" t="s">
        <v>2959</v>
      </c>
      <c r="C228" s="2" t="s">
        <v>423</v>
      </c>
      <c r="D228" s="2" t="s">
        <v>2</v>
      </c>
      <c r="E228" s="2">
        <v>16</v>
      </c>
      <c r="F228" s="2">
        <v>0</v>
      </c>
      <c r="G228" s="2">
        <v>4</v>
      </c>
      <c r="H228" s="2">
        <v>45000</v>
      </c>
      <c r="I228" s="2">
        <v>0</v>
      </c>
      <c r="J228" s="2" t="s">
        <v>1779</v>
      </c>
      <c r="K228" s="2">
        <v>30</v>
      </c>
      <c r="L228" s="2">
        <v>10</v>
      </c>
      <c r="M228" s="2">
        <v>0</v>
      </c>
      <c r="N228" s="2">
        <v>10</v>
      </c>
      <c r="O228" s="2">
        <v>10</v>
      </c>
      <c r="P228" s="2">
        <v>0</v>
      </c>
      <c r="Q228" s="2" t="s">
        <v>2960</v>
      </c>
      <c r="R228" s="2" t="s">
        <v>2961</v>
      </c>
      <c r="S228" s="4">
        <v>44837</v>
      </c>
    </row>
    <row r="229" spans="1:19" ht="12.5" x14ac:dyDescent="0.25">
      <c r="A229" s="14" t="str">
        <f>HYPERLINK("https://gerandofalcoes.my.salesforce.com/0014X00002VKCsLQAX", "0014X00002VKCsLQAX")</f>
        <v>0014X00002VKCsLQAX</v>
      </c>
      <c r="B229" s="2" t="s">
        <v>2798</v>
      </c>
      <c r="C229" s="2" t="s">
        <v>1800</v>
      </c>
      <c r="D229" s="2" t="s">
        <v>2</v>
      </c>
      <c r="E229" s="2">
        <v>13</v>
      </c>
      <c r="F229" s="2">
        <v>0</v>
      </c>
      <c r="G229" s="2">
        <v>3</v>
      </c>
      <c r="H229" s="2">
        <v>500</v>
      </c>
      <c r="I229" s="2">
        <v>30</v>
      </c>
      <c r="J229" s="2" t="s">
        <v>1779</v>
      </c>
      <c r="K229" s="2">
        <v>28</v>
      </c>
      <c r="L229" s="2">
        <v>10</v>
      </c>
      <c r="M229" s="2">
        <v>0</v>
      </c>
      <c r="N229" s="2">
        <v>8</v>
      </c>
      <c r="O229" s="2">
        <v>5</v>
      </c>
      <c r="P229" s="2">
        <v>5</v>
      </c>
      <c r="Q229" s="2" t="s">
        <v>2799</v>
      </c>
      <c r="R229" s="2" t="s">
        <v>2800</v>
      </c>
      <c r="S229" s="4">
        <v>44837</v>
      </c>
    </row>
    <row r="230" spans="1:19" ht="12.5" x14ac:dyDescent="0.25">
      <c r="A230" s="14" t="str">
        <f>HYPERLINK("https://gerandofalcoes.my.salesforce.com/0014X00002VKCrTQAX", "0014X00002VKCrTQAX")</f>
        <v>0014X00002VKCrTQAX</v>
      </c>
      <c r="B230" s="2" t="s">
        <v>2180</v>
      </c>
      <c r="C230" s="2" t="s">
        <v>1800</v>
      </c>
      <c r="D230" s="2" t="s">
        <v>2</v>
      </c>
      <c r="E230" s="2">
        <v>33</v>
      </c>
      <c r="F230" s="2">
        <v>0</v>
      </c>
      <c r="G230" s="2">
        <v>5</v>
      </c>
      <c r="H230" s="2">
        <v>0</v>
      </c>
      <c r="I230" s="2">
        <v>40</v>
      </c>
      <c r="J230" s="2" t="s">
        <v>1779</v>
      </c>
      <c r="K230" s="2">
        <v>30</v>
      </c>
      <c r="L230" s="2">
        <v>15</v>
      </c>
      <c r="M230" s="2">
        <v>0</v>
      </c>
      <c r="N230" s="2">
        <v>10</v>
      </c>
      <c r="O230" s="2">
        <v>0</v>
      </c>
      <c r="P230" s="2">
        <v>5</v>
      </c>
      <c r="Q230" s="2" t="s">
        <v>2181</v>
      </c>
      <c r="R230" s="2" t="s">
        <v>2181</v>
      </c>
      <c r="S230" s="4">
        <v>44837</v>
      </c>
    </row>
    <row r="231" spans="1:19" ht="12.5" x14ac:dyDescent="0.25">
      <c r="A231" s="14" t="str">
        <f>HYPERLINK("https://gerandofalcoes.my.salesforce.com/0014P00003YSp7vQAD", "0014P00003YSp7vQAD")</f>
        <v>0014P00003YSp7vQAD</v>
      </c>
      <c r="B231" s="2" t="s">
        <v>2492</v>
      </c>
      <c r="C231" s="2" t="s">
        <v>423</v>
      </c>
      <c r="D231" s="2" t="s">
        <v>2</v>
      </c>
      <c r="E231" s="2">
        <v>20</v>
      </c>
      <c r="F231" s="2">
        <v>2</v>
      </c>
      <c r="G231" s="2">
        <v>2</v>
      </c>
      <c r="H231" s="2">
        <v>7000</v>
      </c>
      <c r="I231" s="2">
        <v>349</v>
      </c>
      <c r="J231" s="2" t="s">
        <v>1671</v>
      </c>
      <c r="K231" s="2">
        <v>41</v>
      </c>
      <c r="L231" s="2">
        <v>10</v>
      </c>
      <c r="M231" s="2">
        <v>5</v>
      </c>
      <c r="N231" s="2">
        <v>6</v>
      </c>
      <c r="O231" s="2">
        <v>5</v>
      </c>
      <c r="P231" s="2">
        <v>15</v>
      </c>
      <c r="Q231" s="2" t="s">
        <v>2493</v>
      </c>
      <c r="R231" s="2" t="s">
        <v>2493</v>
      </c>
      <c r="S231" s="4">
        <v>44837</v>
      </c>
    </row>
    <row r="232" spans="1:19" ht="12.5" x14ac:dyDescent="0.25">
      <c r="A232" s="14" t="str">
        <f>HYPERLINK("https://gerandofalcoes.my.salesforce.com/0014P00003YSp7xQAD", "0014P00003YSp7xQAD")</f>
        <v>0014P00003YSp7xQAD</v>
      </c>
      <c r="B232" s="2" t="s">
        <v>2801</v>
      </c>
      <c r="C232" s="2" t="s">
        <v>1800</v>
      </c>
      <c r="D232" s="2" t="s">
        <v>2</v>
      </c>
      <c r="E232" s="2">
        <v>13</v>
      </c>
      <c r="F232" s="2">
        <v>7</v>
      </c>
      <c r="G232" s="2">
        <v>3</v>
      </c>
      <c r="H232" s="2">
        <v>1000</v>
      </c>
      <c r="I232" s="2">
        <v>30</v>
      </c>
      <c r="J232" s="2" t="s">
        <v>1779</v>
      </c>
      <c r="K232" s="2">
        <v>38</v>
      </c>
      <c r="L232" s="2">
        <v>10</v>
      </c>
      <c r="M232" s="2">
        <v>10</v>
      </c>
      <c r="N232" s="2">
        <v>8</v>
      </c>
      <c r="O232" s="2">
        <v>5</v>
      </c>
      <c r="P232" s="2">
        <v>5</v>
      </c>
      <c r="Q232" s="2" t="s">
        <v>2802</v>
      </c>
      <c r="R232" s="2" t="s">
        <v>2803</v>
      </c>
      <c r="S232" s="4">
        <v>44837</v>
      </c>
    </row>
    <row r="233" spans="1:19" ht="12.5" x14ac:dyDescent="0.25">
      <c r="A233" s="14" t="str">
        <f>HYPERLINK("https://gerandofalcoes.my.salesforce.com/0014X00002VKCuAQAX", "0014X00002VKCuAQAX")</f>
        <v>0014X00002VKCuAQAX</v>
      </c>
      <c r="B233" s="2" t="s">
        <v>2155</v>
      </c>
      <c r="C233" s="2" t="s">
        <v>423</v>
      </c>
      <c r="D233" s="2" t="s">
        <v>2</v>
      </c>
      <c r="E233" s="2">
        <v>46</v>
      </c>
      <c r="F233" s="2">
        <v>0</v>
      </c>
      <c r="G233" s="2">
        <v>3</v>
      </c>
      <c r="H233" s="2">
        <v>30000</v>
      </c>
      <c r="I233" s="2">
        <v>30</v>
      </c>
      <c r="J233" s="2" t="s">
        <v>1779</v>
      </c>
      <c r="K233" s="2">
        <v>38</v>
      </c>
      <c r="L233" s="2">
        <v>15</v>
      </c>
      <c r="M233" s="2">
        <v>0</v>
      </c>
      <c r="N233" s="2">
        <v>8</v>
      </c>
      <c r="O233" s="2">
        <v>10</v>
      </c>
      <c r="P233" s="2">
        <v>5</v>
      </c>
      <c r="Q233" s="2" t="s">
        <v>2156</v>
      </c>
      <c r="R233" s="2" t="s">
        <v>2157</v>
      </c>
      <c r="S233" s="4">
        <v>44837</v>
      </c>
    </row>
    <row r="234" spans="1:19" ht="12.5" x14ac:dyDescent="0.25">
      <c r="A234" s="14" t="str">
        <f>HYPERLINK("https://gerandofalcoes.my.salesforce.com/0014X00002VKCrHQAX", "0014X00002VKCrHQAX")</f>
        <v>0014X00002VKCrHQAX</v>
      </c>
      <c r="B234" s="2" t="s">
        <v>2478</v>
      </c>
      <c r="C234" s="2" t="s">
        <v>423</v>
      </c>
      <c r="D234" s="2" t="s">
        <v>2</v>
      </c>
      <c r="E234" s="2">
        <v>22</v>
      </c>
      <c r="F234" s="2">
        <v>0</v>
      </c>
      <c r="G234" s="2">
        <v>3</v>
      </c>
      <c r="H234" s="2">
        <v>500</v>
      </c>
      <c r="I234" s="2">
        <v>95</v>
      </c>
      <c r="J234" s="2" t="s">
        <v>1779</v>
      </c>
      <c r="K234" s="2">
        <v>33</v>
      </c>
      <c r="L234" s="2">
        <v>10</v>
      </c>
      <c r="M234" s="2">
        <v>0</v>
      </c>
      <c r="N234" s="2">
        <v>8</v>
      </c>
      <c r="O234" s="2">
        <v>5</v>
      </c>
      <c r="P234" s="2">
        <v>10</v>
      </c>
      <c r="Q234" s="2" t="s">
        <v>2479</v>
      </c>
      <c r="R234" s="2" t="s">
        <v>2479</v>
      </c>
      <c r="S234" s="4">
        <v>44837</v>
      </c>
    </row>
    <row r="235" spans="1:19" ht="12.5" x14ac:dyDescent="0.25">
      <c r="A235" s="14" t="str">
        <f>HYPERLINK("https://gerandofalcoes.my.salesforce.com/0014X00002VKCsFQAX", "0014X00002VKCsFQAX")</f>
        <v>0014X00002VKCsFQAX</v>
      </c>
      <c r="B235" s="2" t="s">
        <v>2625</v>
      </c>
      <c r="C235" s="2" t="s">
        <v>423</v>
      </c>
      <c r="D235" s="2" t="s">
        <v>2</v>
      </c>
      <c r="E235" s="2">
        <v>36</v>
      </c>
      <c r="F235" s="2">
        <v>0</v>
      </c>
      <c r="G235" s="2">
        <v>2</v>
      </c>
      <c r="H235" s="2">
        <v>1500</v>
      </c>
      <c r="I235" s="2">
        <v>50</v>
      </c>
      <c r="J235" s="2" t="s">
        <v>1779</v>
      </c>
      <c r="K235" s="2">
        <v>31</v>
      </c>
      <c r="L235" s="2">
        <v>15</v>
      </c>
      <c r="M235" s="2">
        <v>0</v>
      </c>
      <c r="N235" s="2">
        <v>6</v>
      </c>
      <c r="O235" s="2">
        <v>5</v>
      </c>
      <c r="P235" s="2">
        <v>5</v>
      </c>
      <c r="Q235" s="2" t="s">
        <v>2626</v>
      </c>
      <c r="R235" s="2" t="s">
        <v>2627</v>
      </c>
      <c r="S235" s="4">
        <v>44837</v>
      </c>
    </row>
    <row r="236" spans="1:19" ht="12.5" x14ac:dyDescent="0.25">
      <c r="A236" s="14" t="str">
        <f>HYPERLINK("https://gerandofalcoes.my.salesforce.com/0014X00002VKCsMQAX", "0014X00002VKCsMQAX")</f>
        <v>0014X00002VKCsMQAX</v>
      </c>
      <c r="B236" s="2" t="s">
        <v>2902</v>
      </c>
      <c r="C236" s="2" t="s">
        <v>423</v>
      </c>
      <c r="D236" s="2" t="s">
        <v>2</v>
      </c>
      <c r="E236" s="2">
        <v>8</v>
      </c>
      <c r="F236" s="2">
        <v>10</v>
      </c>
      <c r="G236" s="2">
        <v>2</v>
      </c>
      <c r="H236" s="2">
        <v>5000</v>
      </c>
      <c r="I236" s="2">
        <v>100</v>
      </c>
      <c r="J236" s="2" t="s">
        <v>1671</v>
      </c>
      <c r="K236" s="2">
        <v>41</v>
      </c>
      <c r="L236" s="2">
        <v>10</v>
      </c>
      <c r="M236" s="2">
        <v>10</v>
      </c>
      <c r="N236" s="2">
        <v>6</v>
      </c>
      <c r="O236" s="2">
        <v>5</v>
      </c>
      <c r="P236" s="2">
        <v>10</v>
      </c>
      <c r="Q236" s="2" t="s">
        <v>2903</v>
      </c>
      <c r="R236" s="2" t="s">
        <v>2904</v>
      </c>
      <c r="S236" s="4">
        <v>44837</v>
      </c>
    </row>
    <row r="237" spans="1:19" ht="12.5" x14ac:dyDescent="0.25">
      <c r="A237" s="14" t="str">
        <f>HYPERLINK("https://gerandofalcoes.my.salesforce.com/0014X00002VKCrJQAX", "0014X00002VKCrJQAX")</f>
        <v>0014X00002VKCrJQAX</v>
      </c>
      <c r="B237" s="2" t="s">
        <v>2375</v>
      </c>
      <c r="C237" s="2" t="s">
        <v>1800</v>
      </c>
      <c r="D237" s="2" t="s">
        <v>2</v>
      </c>
      <c r="E237" s="2">
        <v>26</v>
      </c>
      <c r="F237" s="2">
        <v>0</v>
      </c>
      <c r="G237" s="2">
        <v>4</v>
      </c>
      <c r="H237" s="2">
        <v>1</v>
      </c>
      <c r="I237" s="2">
        <v>0</v>
      </c>
      <c r="J237" s="2" t="s">
        <v>1779</v>
      </c>
      <c r="K237" s="2">
        <v>30</v>
      </c>
      <c r="L237" s="2">
        <v>15</v>
      </c>
      <c r="M237" s="2">
        <v>0</v>
      </c>
      <c r="N237" s="2">
        <v>10</v>
      </c>
      <c r="O237" s="2">
        <v>5</v>
      </c>
      <c r="P237" s="2">
        <v>0</v>
      </c>
      <c r="Q237" s="2" t="s">
        <v>2376</v>
      </c>
      <c r="R237" s="2" t="s">
        <v>2377</v>
      </c>
      <c r="S237" s="4">
        <v>44837</v>
      </c>
    </row>
    <row r="238" spans="1:19" ht="12.5" x14ac:dyDescent="0.25">
      <c r="A238" s="14" t="str">
        <f>HYPERLINK("https://gerandofalcoes.my.salesforce.com/0014X00002VKCpjQAH", "0014X00002VKCpjQAH")</f>
        <v>0014X00002VKCpjQAH</v>
      </c>
      <c r="B238" s="2" t="s">
        <v>2152</v>
      </c>
      <c r="C238" s="2" t="s">
        <v>423</v>
      </c>
      <c r="D238" s="2" t="s">
        <v>2</v>
      </c>
      <c r="E238" s="2">
        <v>46</v>
      </c>
      <c r="F238" s="2">
        <v>0</v>
      </c>
      <c r="G238" s="2">
        <v>2</v>
      </c>
      <c r="H238" s="2">
        <v>122554</v>
      </c>
      <c r="I238" s="2">
        <v>156</v>
      </c>
      <c r="J238" s="2" t="s">
        <v>1671</v>
      </c>
      <c r="K238" s="2">
        <v>48</v>
      </c>
      <c r="L238" s="2">
        <v>15</v>
      </c>
      <c r="M238" s="2">
        <v>0</v>
      </c>
      <c r="N238" s="2">
        <v>6</v>
      </c>
      <c r="O238" s="2">
        <v>15</v>
      </c>
      <c r="P238" s="2">
        <v>12</v>
      </c>
      <c r="Q238" s="2" t="s">
        <v>2153</v>
      </c>
      <c r="R238" s="2" t="s">
        <v>2154</v>
      </c>
      <c r="S238" s="4">
        <v>44837</v>
      </c>
    </row>
    <row r="239" spans="1:19" ht="12.5" x14ac:dyDescent="0.25">
      <c r="A239" s="14" t="str">
        <f>HYPERLINK("https://gerandofalcoes.my.salesforce.com/0014X00002VKCv2QAH", "0014X00002VKCv2QAH")</f>
        <v>0014X00002VKCv2QAH</v>
      </c>
      <c r="B239" s="2" t="s">
        <v>2450</v>
      </c>
      <c r="C239" s="2" t="s">
        <v>1800</v>
      </c>
      <c r="D239" s="2" t="s">
        <v>2</v>
      </c>
      <c r="E239" s="2">
        <v>24</v>
      </c>
      <c r="F239" s="2">
        <v>5</v>
      </c>
      <c r="G239" s="2">
        <v>3</v>
      </c>
      <c r="H239" s="2">
        <v>500</v>
      </c>
      <c r="I239" s="2">
        <v>0</v>
      </c>
      <c r="J239" s="2" t="s">
        <v>1779</v>
      </c>
      <c r="K239" s="2">
        <v>28</v>
      </c>
      <c r="L239" s="2">
        <v>10</v>
      </c>
      <c r="M239" s="2">
        <v>5</v>
      </c>
      <c r="N239" s="2">
        <v>8</v>
      </c>
      <c r="O239" s="2">
        <v>5</v>
      </c>
      <c r="P239" s="2">
        <v>0</v>
      </c>
      <c r="Q239" s="2" t="s">
        <v>2451</v>
      </c>
      <c r="R239" s="2" t="s">
        <v>2451</v>
      </c>
      <c r="S239" s="4">
        <v>44837</v>
      </c>
    </row>
    <row r="240" spans="1:19" ht="12.5" x14ac:dyDescent="0.25">
      <c r="A240" s="14" t="str">
        <f>HYPERLINK("https://gerandofalcoes.my.salesforce.com/0014X00002VKCtTQAX", "0014X00002VKCtTQAX")</f>
        <v>0014X00002VKCtTQAX</v>
      </c>
      <c r="B240" s="2" t="s">
        <v>2091</v>
      </c>
      <c r="C240" s="2" t="s">
        <v>423</v>
      </c>
      <c r="D240" s="2" t="s">
        <v>2</v>
      </c>
      <c r="E240" s="2">
        <v>44</v>
      </c>
      <c r="F240" s="2">
        <v>0</v>
      </c>
      <c r="G240" s="2">
        <v>2</v>
      </c>
      <c r="H240" s="2">
        <v>24230</v>
      </c>
      <c r="I240" s="2">
        <v>50</v>
      </c>
      <c r="J240" s="2" t="s">
        <v>1779</v>
      </c>
      <c r="K240" s="2">
        <v>31</v>
      </c>
      <c r="L240" s="2">
        <v>15</v>
      </c>
      <c r="M240" s="2">
        <v>0</v>
      </c>
      <c r="N240" s="2">
        <v>6</v>
      </c>
      <c r="O240" s="2">
        <v>5</v>
      </c>
      <c r="P240" s="2">
        <v>5</v>
      </c>
      <c r="Q240" s="2" t="s">
        <v>7186</v>
      </c>
      <c r="R240" s="2" t="s">
        <v>2092</v>
      </c>
      <c r="S240" s="4">
        <v>44837</v>
      </c>
    </row>
    <row r="241" spans="1:19" ht="12.5" x14ac:dyDescent="0.25">
      <c r="A241" s="14" t="str">
        <f>HYPERLINK("https://gerandofalcoes.my.salesforce.com/0014X00002VKCtNQAX", "0014X00002VKCtNQAX")</f>
        <v>0014X00002VKCtNQAX</v>
      </c>
      <c r="B241" s="2" t="s">
        <v>2703</v>
      </c>
      <c r="C241" s="2" t="s">
        <v>423</v>
      </c>
      <c r="D241" s="2" t="s">
        <v>2</v>
      </c>
      <c r="E241" s="2">
        <v>26</v>
      </c>
      <c r="F241" s="2">
        <v>0</v>
      </c>
      <c r="G241" s="2">
        <v>3</v>
      </c>
      <c r="H241" s="2">
        <v>1000</v>
      </c>
      <c r="I241" s="2">
        <v>31</v>
      </c>
      <c r="J241" s="2" t="s">
        <v>1779</v>
      </c>
      <c r="K241" s="2">
        <v>33</v>
      </c>
      <c r="L241" s="2">
        <v>15</v>
      </c>
      <c r="M241" s="2">
        <v>0</v>
      </c>
      <c r="N241" s="2">
        <v>8</v>
      </c>
      <c r="O241" s="2">
        <v>5</v>
      </c>
      <c r="P241" s="2">
        <v>5</v>
      </c>
      <c r="Q241" s="2" t="s">
        <v>2704</v>
      </c>
      <c r="R241" s="2" t="s">
        <v>2705</v>
      </c>
      <c r="S241" s="4">
        <v>44837</v>
      </c>
    </row>
    <row r="242" spans="1:19" ht="12.5" x14ac:dyDescent="0.25">
      <c r="A242" s="14" t="str">
        <f>HYPERLINK("https://gerandofalcoes.my.salesforce.com/0014X00002VKCu0QAH", "0014X00002VKCu0QAH")</f>
        <v>0014X00002VKCu0QAH</v>
      </c>
      <c r="B242" s="2" t="s">
        <v>2457</v>
      </c>
      <c r="C242" s="2" t="s">
        <v>423</v>
      </c>
      <c r="D242" s="2" t="s">
        <v>2</v>
      </c>
      <c r="E242" s="2">
        <v>23</v>
      </c>
      <c r="F242" s="2">
        <v>0</v>
      </c>
      <c r="G242" s="2">
        <v>2</v>
      </c>
      <c r="H242" s="2">
        <v>2500</v>
      </c>
      <c r="I242" s="2">
        <v>115</v>
      </c>
      <c r="J242" s="2" t="s">
        <v>1779</v>
      </c>
      <c r="K242" s="2">
        <v>31</v>
      </c>
      <c r="L242" s="2">
        <v>10</v>
      </c>
      <c r="M242" s="2">
        <v>0</v>
      </c>
      <c r="N242" s="2">
        <v>6</v>
      </c>
      <c r="O242" s="2">
        <v>5</v>
      </c>
      <c r="P242" s="2">
        <v>10</v>
      </c>
      <c r="Q242" s="2" t="s">
        <v>2458</v>
      </c>
      <c r="R242" s="2" t="s">
        <v>2458</v>
      </c>
      <c r="S242" s="4">
        <v>44837</v>
      </c>
    </row>
    <row r="243" spans="1:19" ht="12.5" x14ac:dyDescent="0.25">
      <c r="A243" s="14" t="str">
        <f>HYPERLINK("https://gerandofalcoes.my.salesforce.com/0014X00002VKCspQAH", "0014X00002VKCspQAH")</f>
        <v>0014X00002VKCspQAH</v>
      </c>
      <c r="B243" s="2" t="s">
        <v>2506</v>
      </c>
      <c r="C243" s="2" t="s">
        <v>423</v>
      </c>
      <c r="D243" s="2" t="s">
        <v>2</v>
      </c>
      <c r="E243" s="2">
        <v>32</v>
      </c>
      <c r="F243" s="2">
        <v>0</v>
      </c>
      <c r="G243" s="2">
        <v>3</v>
      </c>
      <c r="H243" s="2">
        <v>1000</v>
      </c>
      <c r="I243" s="2">
        <v>103</v>
      </c>
      <c r="J243" s="2" t="s">
        <v>1779</v>
      </c>
      <c r="K243" s="2">
        <v>38</v>
      </c>
      <c r="L243" s="2">
        <v>15</v>
      </c>
      <c r="M243" s="2">
        <v>0</v>
      </c>
      <c r="N243" s="2">
        <v>8</v>
      </c>
      <c r="O243" s="2">
        <v>5</v>
      </c>
      <c r="P243" s="2">
        <v>10</v>
      </c>
      <c r="Q243" s="2" t="s">
        <v>2507</v>
      </c>
      <c r="R243" s="2" t="s">
        <v>2508</v>
      </c>
      <c r="S243" s="4">
        <v>44837</v>
      </c>
    </row>
    <row r="244" spans="1:19" ht="12.5" x14ac:dyDescent="0.25">
      <c r="A244" s="14" t="str">
        <f>HYPERLINK("https://gerandofalcoes.my.salesforce.com/0014X00002VKCuCQAX", "0014X00002VKCuCQAX")</f>
        <v>0014X00002VKCuCQAX</v>
      </c>
      <c r="B244" s="2" t="s">
        <v>1847</v>
      </c>
      <c r="C244" s="2" t="s">
        <v>423</v>
      </c>
      <c r="D244" s="2" t="s">
        <v>2</v>
      </c>
      <c r="E244" s="2">
        <v>62</v>
      </c>
      <c r="F244" s="2">
        <v>3</v>
      </c>
      <c r="G244" s="2">
        <v>2</v>
      </c>
      <c r="H244" s="2">
        <v>0</v>
      </c>
      <c r="I244" s="2">
        <v>62</v>
      </c>
      <c r="J244" s="2" t="s">
        <v>1779</v>
      </c>
      <c r="K244" s="2">
        <v>36</v>
      </c>
      <c r="L244" s="2">
        <v>20</v>
      </c>
      <c r="M244" s="2">
        <v>5</v>
      </c>
      <c r="N244" s="2">
        <v>6</v>
      </c>
      <c r="O244" s="2">
        <v>0</v>
      </c>
      <c r="P244" s="2">
        <v>5</v>
      </c>
      <c r="Q244" s="2" t="s">
        <v>1848</v>
      </c>
      <c r="R244" s="2" t="s">
        <v>1849</v>
      </c>
      <c r="S244" s="4">
        <v>44837</v>
      </c>
    </row>
    <row r="245" spans="1:19" ht="12.5" x14ac:dyDescent="0.25">
      <c r="A245" s="14" t="str">
        <f>HYPERLINK("https://gerandofalcoes.my.salesforce.com/0014X00002VKCrfQAH", "0014X00002VKCrfQAH")</f>
        <v>0014X00002VKCrfQAH</v>
      </c>
      <c r="B245" s="2" t="s">
        <v>2804</v>
      </c>
      <c r="C245" s="2" t="s">
        <v>1800</v>
      </c>
      <c r="D245" s="2" t="s">
        <v>2</v>
      </c>
      <c r="E245" s="2">
        <v>13</v>
      </c>
      <c r="F245" s="2">
        <v>0</v>
      </c>
      <c r="G245" s="2">
        <v>4</v>
      </c>
      <c r="H245" s="2">
        <v>10000</v>
      </c>
      <c r="I245" s="2">
        <v>2</v>
      </c>
      <c r="J245" s="2" t="s">
        <v>1779</v>
      </c>
      <c r="K245" s="2">
        <v>30</v>
      </c>
      <c r="L245" s="2">
        <v>10</v>
      </c>
      <c r="M245" s="2">
        <v>0</v>
      </c>
      <c r="N245" s="2">
        <v>10</v>
      </c>
      <c r="O245" s="2">
        <v>5</v>
      </c>
      <c r="P245" s="2">
        <v>5</v>
      </c>
      <c r="Q245" s="2" t="s">
        <v>2805</v>
      </c>
      <c r="R245" s="2" t="s">
        <v>2806</v>
      </c>
      <c r="S245" s="4">
        <v>44837</v>
      </c>
    </row>
    <row r="246" spans="1:19" ht="12.5" x14ac:dyDescent="0.25">
      <c r="A246" s="14" t="str">
        <f>HYPERLINK("https://gerandofalcoes.my.salesforce.com/0014X00002VKCrQQAX", "0014X00002VKCrQQAX")</f>
        <v>0014X00002VKCrQQAX</v>
      </c>
      <c r="B246" s="2" t="s">
        <v>2765</v>
      </c>
      <c r="C246" s="2" t="s">
        <v>1800</v>
      </c>
      <c r="D246" s="2" t="s">
        <v>2</v>
      </c>
      <c r="E246" s="2">
        <v>14</v>
      </c>
      <c r="F246" s="2">
        <v>0</v>
      </c>
      <c r="G246" s="2">
        <v>2</v>
      </c>
      <c r="H246" s="2">
        <v>40000</v>
      </c>
      <c r="I246" s="2">
        <v>0</v>
      </c>
      <c r="J246" s="2" t="s">
        <v>1779</v>
      </c>
      <c r="K246" s="2">
        <v>26</v>
      </c>
      <c r="L246" s="2">
        <v>10</v>
      </c>
      <c r="M246" s="2">
        <v>0</v>
      </c>
      <c r="N246" s="2">
        <v>6</v>
      </c>
      <c r="O246" s="2">
        <v>10</v>
      </c>
      <c r="P246" s="2">
        <v>0</v>
      </c>
      <c r="Q246" s="2" t="s">
        <v>2766</v>
      </c>
      <c r="R246" s="2" t="s">
        <v>2767</v>
      </c>
      <c r="S246" s="4">
        <v>44837</v>
      </c>
    </row>
    <row r="247" spans="1:19" ht="12.5" x14ac:dyDescent="0.25">
      <c r="A247" s="14" t="str">
        <f>HYPERLINK("https://gerandofalcoes.my.salesforce.com/0014X00002VKCroQAH", "0014X00002VKCroQAH")</f>
        <v>0014X00002VKCroQAH</v>
      </c>
      <c r="B247" s="2" t="s">
        <v>2632</v>
      </c>
      <c r="C247" s="2" t="s">
        <v>1800</v>
      </c>
      <c r="D247" s="2" t="s">
        <v>2</v>
      </c>
      <c r="E247" s="2">
        <v>18</v>
      </c>
      <c r="F247" s="2">
        <v>0</v>
      </c>
      <c r="G247" s="2">
        <v>3</v>
      </c>
      <c r="H247" s="2">
        <v>8400</v>
      </c>
      <c r="I247" s="2">
        <v>100</v>
      </c>
      <c r="J247" s="2" t="s">
        <v>1779</v>
      </c>
      <c r="K247" s="2">
        <v>33</v>
      </c>
      <c r="L247" s="2">
        <v>10</v>
      </c>
      <c r="M247" s="2">
        <v>0</v>
      </c>
      <c r="N247" s="2">
        <v>8</v>
      </c>
      <c r="O247" s="2">
        <v>5</v>
      </c>
      <c r="P247" s="2">
        <v>10</v>
      </c>
      <c r="Q247" s="2" t="s">
        <v>2633</v>
      </c>
      <c r="R247" s="2" t="s">
        <v>2634</v>
      </c>
      <c r="S247" s="4">
        <v>44837</v>
      </c>
    </row>
    <row r="248" spans="1:19" ht="12.5" x14ac:dyDescent="0.25">
      <c r="A248" s="14" t="str">
        <f>HYPERLINK("https://gerandofalcoes.my.salesforce.com/0014X00002VKCueQAH", "0014X00002VKCueQAH")</f>
        <v>0014X00002VKCueQAH</v>
      </c>
      <c r="B248" s="2" t="s">
        <v>2128</v>
      </c>
      <c r="C248" s="2" t="s">
        <v>423</v>
      </c>
      <c r="D248" s="2" t="s">
        <v>2</v>
      </c>
      <c r="E248" s="2">
        <v>33</v>
      </c>
      <c r="F248" s="2">
        <v>0</v>
      </c>
      <c r="G248" s="2">
        <v>3</v>
      </c>
      <c r="H248" s="2">
        <v>15000</v>
      </c>
      <c r="I248" s="2">
        <v>0</v>
      </c>
      <c r="J248" s="2" t="s">
        <v>1779</v>
      </c>
      <c r="K248" s="2">
        <v>28</v>
      </c>
      <c r="L248" s="2">
        <v>15</v>
      </c>
      <c r="M248" s="2">
        <v>0</v>
      </c>
      <c r="N248" s="2">
        <v>8</v>
      </c>
      <c r="O248" s="2">
        <v>5</v>
      </c>
      <c r="P248" s="2">
        <v>0</v>
      </c>
      <c r="Q248" s="2" t="s">
        <v>2129</v>
      </c>
      <c r="R248" s="2" t="s">
        <v>2130</v>
      </c>
      <c r="S248" s="4">
        <v>44837</v>
      </c>
    </row>
    <row r="249" spans="1:19" ht="12.5" x14ac:dyDescent="0.25">
      <c r="A249" s="14" t="str">
        <f>HYPERLINK("https://gerandofalcoes.my.salesforce.com/0014X00002VKCqnQAH", "0014X00002VKCqnQAH")</f>
        <v>0014X00002VKCqnQAH</v>
      </c>
      <c r="B249" s="2" t="s">
        <v>2743</v>
      </c>
      <c r="C249" s="2" t="s">
        <v>423</v>
      </c>
      <c r="D249" s="2" t="s">
        <v>2</v>
      </c>
      <c r="E249" s="2">
        <v>48</v>
      </c>
      <c r="F249" s="2">
        <v>0</v>
      </c>
      <c r="G249" s="2">
        <v>2</v>
      </c>
      <c r="H249" s="2">
        <v>30000</v>
      </c>
      <c r="I249" s="2">
        <v>50</v>
      </c>
      <c r="J249" s="2" t="s">
        <v>1779</v>
      </c>
      <c r="K249" s="2">
        <v>36</v>
      </c>
      <c r="L249" s="2">
        <v>15</v>
      </c>
      <c r="M249" s="2">
        <v>0</v>
      </c>
      <c r="N249" s="2">
        <v>6</v>
      </c>
      <c r="O249" s="2">
        <v>10</v>
      </c>
      <c r="P249" s="2">
        <v>5</v>
      </c>
      <c r="Q249" s="2" t="s">
        <v>2744</v>
      </c>
      <c r="R249" s="2" t="s">
        <v>2745</v>
      </c>
      <c r="S249" s="4">
        <v>44837</v>
      </c>
    </row>
    <row r="250" spans="1:19" ht="12.5" x14ac:dyDescent="0.25">
      <c r="A250" s="14" t="str">
        <f>HYPERLINK("https://gerandofalcoes.my.salesforce.com/0014X00002VKCr7QAH", "0014X00002VKCr7QAH")</f>
        <v>0014X00002VKCr7QAH</v>
      </c>
      <c r="B250" s="2" t="s">
        <v>2730</v>
      </c>
      <c r="C250" s="2" t="s">
        <v>423</v>
      </c>
      <c r="D250" s="2" t="s">
        <v>2</v>
      </c>
      <c r="E250" s="2">
        <v>15</v>
      </c>
      <c r="F250" s="2">
        <v>0</v>
      </c>
      <c r="G250" s="2">
        <v>2</v>
      </c>
      <c r="H250" s="2">
        <v>0</v>
      </c>
      <c r="I250" s="2">
        <v>0</v>
      </c>
      <c r="J250" s="2" t="s">
        <v>1779</v>
      </c>
      <c r="K250" s="2">
        <v>16</v>
      </c>
      <c r="L250" s="2">
        <v>10</v>
      </c>
      <c r="M250" s="2">
        <v>0</v>
      </c>
      <c r="N250" s="2">
        <v>6</v>
      </c>
      <c r="O250" s="2">
        <v>0</v>
      </c>
      <c r="P250" s="2">
        <v>0</v>
      </c>
      <c r="Q250" s="2" t="s">
        <v>2731</v>
      </c>
      <c r="R250" s="2" t="s">
        <v>2731</v>
      </c>
      <c r="S250" s="4">
        <v>44837</v>
      </c>
    </row>
    <row r="251" spans="1:19" ht="12.5" x14ac:dyDescent="0.25">
      <c r="A251" s="14" t="str">
        <f>HYPERLINK("https://gerandofalcoes.my.salesforce.com/0014X00002VKCtCQAX", "0014X00002VKCtCQAX")</f>
        <v>0014X00002VKCtCQAX</v>
      </c>
      <c r="B251" s="2" t="s">
        <v>2724</v>
      </c>
      <c r="C251" s="2" t="s">
        <v>423</v>
      </c>
      <c r="D251" s="2" t="s">
        <v>2</v>
      </c>
      <c r="E251" s="2">
        <v>15</v>
      </c>
      <c r="F251" s="2">
        <v>0</v>
      </c>
      <c r="G251" s="2">
        <v>3</v>
      </c>
      <c r="H251" s="2">
        <v>2900</v>
      </c>
      <c r="I251" s="2">
        <v>70</v>
      </c>
      <c r="J251" s="2" t="s">
        <v>1779</v>
      </c>
      <c r="K251" s="2">
        <v>28</v>
      </c>
      <c r="L251" s="2">
        <v>10</v>
      </c>
      <c r="M251" s="2">
        <v>0</v>
      </c>
      <c r="N251" s="2">
        <v>8</v>
      </c>
      <c r="O251" s="2">
        <v>5</v>
      </c>
      <c r="P251" s="2">
        <v>5</v>
      </c>
      <c r="Q251" s="2" t="s">
        <v>2725</v>
      </c>
      <c r="R251" s="2" t="s">
        <v>2726</v>
      </c>
      <c r="S251" s="4">
        <v>44837</v>
      </c>
    </row>
    <row r="252" spans="1:19" ht="12.5" x14ac:dyDescent="0.25">
      <c r="A252" s="14" t="str">
        <f>HYPERLINK("https://gerandofalcoes.my.salesforce.com/0014X00002VKCr3QAH", "0014X00002VKCr3QAH")</f>
        <v>0014X00002VKCr3QAH</v>
      </c>
      <c r="B252" s="2" t="s">
        <v>2399</v>
      </c>
      <c r="C252" s="2" t="s">
        <v>423</v>
      </c>
      <c r="D252" s="2" t="s">
        <v>2</v>
      </c>
      <c r="E252" s="2">
        <v>25</v>
      </c>
      <c r="F252" s="2">
        <v>0</v>
      </c>
      <c r="G252" s="2">
        <v>2</v>
      </c>
      <c r="H252" s="2">
        <v>5000</v>
      </c>
      <c r="I252" s="2">
        <v>2000</v>
      </c>
      <c r="J252" s="2" t="s">
        <v>1671</v>
      </c>
      <c r="K252" s="2">
        <v>46</v>
      </c>
      <c r="L252" s="2">
        <v>15</v>
      </c>
      <c r="M252" s="2">
        <v>0</v>
      </c>
      <c r="N252" s="2">
        <v>6</v>
      </c>
      <c r="O252" s="2">
        <v>5</v>
      </c>
      <c r="P252" s="2">
        <v>20</v>
      </c>
      <c r="Q252" s="2" t="s">
        <v>2400</v>
      </c>
      <c r="R252" s="2" t="s">
        <v>2400</v>
      </c>
      <c r="S252" s="4">
        <v>44837</v>
      </c>
    </row>
    <row r="253" spans="1:19" ht="12.5" x14ac:dyDescent="0.25">
      <c r="A253" s="14" t="str">
        <f>HYPERLINK("https://gerandofalcoes.my.salesforce.com/0014X00002VKCqmQAH", "0014X00002VKCqmQAH")</f>
        <v>0014X00002VKCqmQAH</v>
      </c>
      <c r="B253" s="2" t="s">
        <v>2032</v>
      </c>
      <c r="C253" s="2" t="s">
        <v>423</v>
      </c>
      <c r="D253" s="2" t="s">
        <v>2</v>
      </c>
      <c r="E253" s="2">
        <v>37</v>
      </c>
      <c r="F253" s="2">
        <v>5</v>
      </c>
      <c r="G253" s="2">
        <v>4</v>
      </c>
      <c r="H253" s="2">
        <v>40000</v>
      </c>
      <c r="I253" s="2">
        <v>50</v>
      </c>
      <c r="J253" s="2" t="s">
        <v>1671</v>
      </c>
      <c r="K253" s="2">
        <v>45</v>
      </c>
      <c r="L253" s="2">
        <v>15</v>
      </c>
      <c r="M253" s="2">
        <v>5</v>
      </c>
      <c r="N253" s="2">
        <v>10</v>
      </c>
      <c r="O253" s="2">
        <v>10</v>
      </c>
      <c r="P253" s="2">
        <v>5</v>
      </c>
      <c r="Q253" s="2" t="s">
        <v>2033</v>
      </c>
      <c r="R253" s="2" t="s">
        <v>2034</v>
      </c>
      <c r="S253" s="4">
        <v>44837</v>
      </c>
    </row>
    <row r="254" spans="1:19" ht="12.5" x14ac:dyDescent="0.25">
      <c r="A254" s="14" t="str">
        <f>HYPERLINK("https://gerandofalcoes.my.salesforce.com/0014X00002VKCu1QAH", "0014X00002VKCu1QAH")</f>
        <v>0014X00002VKCu1QAH</v>
      </c>
      <c r="B254" s="2" t="s">
        <v>2158</v>
      </c>
      <c r="C254" s="2" t="s">
        <v>1800</v>
      </c>
      <c r="D254" s="2" t="s">
        <v>2</v>
      </c>
      <c r="E254" s="2">
        <v>33</v>
      </c>
      <c r="F254" s="2">
        <v>0</v>
      </c>
      <c r="G254" s="2">
        <v>3</v>
      </c>
      <c r="H254" s="2">
        <v>10000</v>
      </c>
      <c r="I254" s="2">
        <v>3500</v>
      </c>
      <c r="J254" s="2" t="s">
        <v>1671</v>
      </c>
      <c r="K254" s="2">
        <v>48</v>
      </c>
      <c r="L254" s="2">
        <v>15</v>
      </c>
      <c r="M254" s="2">
        <v>0</v>
      </c>
      <c r="N254" s="2">
        <v>8</v>
      </c>
      <c r="O254" s="2">
        <v>5</v>
      </c>
      <c r="P254" s="2">
        <v>20</v>
      </c>
      <c r="Q254" s="2" t="s">
        <v>2159</v>
      </c>
      <c r="R254" s="2" t="s">
        <v>2160</v>
      </c>
      <c r="S254" s="4">
        <v>44837</v>
      </c>
    </row>
    <row r="255" spans="1:19" ht="12.5" x14ac:dyDescent="0.25">
      <c r="A255" s="14" t="str">
        <f>HYPERLINK("https://gerandofalcoes.my.salesforce.com/0014X00002VKD05QAH", "0014X00002VKD05QAH")</f>
        <v>0014X00002VKD05QAH</v>
      </c>
      <c r="B255" s="2" t="s">
        <v>2264</v>
      </c>
      <c r="C255" s="2" t="s">
        <v>423</v>
      </c>
      <c r="D255" s="2" t="s">
        <v>2</v>
      </c>
      <c r="E255" s="2">
        <v>30</v>
      </c>
      <c r="F255" s="2">
        <v>0</v>
      </c>
      <c r="G255" s="2">
        <v>2</v>
      </c>
      <c r="H255" s="2">
        <v>199010</v>
      </c>
      <c r="I255" s="2">
        <v>240</v>
      </c>
      <c r="J255" s="2" t="s">
        <v>1671</v>
      </c>
      <c r="K255" s="2">
        <v>48</v>
      </c>
      <c r="L255" s="2">
        <v>15</v>
      </c>
      <c r="M255" s="2">
        <v>0</v>
      </c>
      <c r="N255" s="2">
        <v>6</v>
      </c>
      <c r="O255" s="2">
        <v>15</v>
      </c>
      <c r="P255" s="2">
        <v>12</v>
      </c>
      <c r="Q255" s="2" t="s">
        <v>2265</v>
      </c>
      <c r="R255" s="2" t="s">
        <v>2266</v>
      </c>
      <c r="S255" s="4">
        <v>44837</v>
      </c>
    </row>
    <row r="256" spans="1:19" ht="12.5" x14ac:dyDescent="0.25">
      <c r="A256" s="14" t="str">
        <f>HYPERLINK("https://gerandofalcoes.my.salesforce.com/0014X00002VKCsSQAX", "0014X00002VKCsSQAX")</f>
        <v>0014X00002VKCsSQAX</v>
      </c>
      <c r="B256" s="2" t="s">
        <v>2354</v>
      </c>
      <c r="C256" s="2" t="s">
        <v>1800</v>
      </c>
      <c r="D256" s="2" t="s">
        <v>2</v>
      </c>
      <c r="E256" s="2">
        <v>27</v>
      </c>
      <c r="F256" s="2">
        <v>0</v>
      </c>
      <c r="G256" s="2">
        <v>3</v>
      </c>
      <c r="H256" s="2">
        <v>28800</v>
      </c>
      <c r="I256" s="2">
        <v>65</v>
      </c>
      <c r="J256" s="2" t="s">
        <v>1779</v>
      </c>
      <c r="K256" s="2">
        <v>38</v>
      </c>
      <c r="L256" s="2">
        <v>15</v>
      </c>
      <c r="M256" s="2">
        <v>0</v>
      </c>
      <c r="N256" s="2">
        <v>8</v>
      </c>
      <c r="O256" s="2">
        <v>10</v>
      </c>
      <c r="P256" s="2">
        <v>5</v>
      </c>
      <c r="Q256" s="2" t="s">
        <v>2355</v>
      </c>
      <c r="R256" s="2" t="s">
        <v>2356</v>
      </c>
      <c r="S256" s="4">
        <v>44837</v>
      </c>
    </row>
    <row r="257" spans="1:19" ht="12.5" x14ac:dyDescent="0.25">
      <c r="A257" s="14" t="str">
        <f>HYPERLINK("https://gerandofalcoes.my.salesforce.com/0014X00002UGqWjQAL", "0014X00002UGqWjQAL")</f>
        <v>0014X00002UGqWjQAL</v>
      </c>
      <c r="B257" s="2" t="s">
        <v>2654</v>
      </c>
      <c r="C257" s="2" t="s">
        <v>423</v>
      </c>
      <c r="D257" s="2" t="s">
        <v>2</v>
      </c>
      <c r="E257" s="2">
        <v>17</v>
      </c>
      <c r="F257" s="2">
        <v>0</v>
      </c>
      <c r="G257" s="2">
        <v>2</v>
      </c>
      <c r="H257" s="2">
        <v>2000</v>
      </c>
      <c r="I257" s="2">
        <v>128</v>
      </c>
      <c r="J257" s="2" t="s">
        <v>1779</v>
      </c>
      <c r="K257" s="2">
        <v>31</v>
      </c>
      <c r="L257" s="2">
        <v>10</v>
      </c>
      <c r="M257" s="2">
        <v>0</v>
      </c>
      <c r="N257" s="2">
        <v>6</v>
      </c>
      <c r="O257" s="2">
        <v>5</v>
      </c>
      <c r="P257" s="2">
        <v>10</v>
      </c>
      <c r="Q257" s="2" t="s">
        <v>2655</v>
      </c>
      <c r="R257" s="2" t="s">
        <v>2656</v>
      </c>
      <c r="S257" s="4">
        <v>44837</v>
      </c>
    </row>
    <row r="258" spans="1:19" ht="12.5" x14ac:dyDescent="0.25">
      <c r="A258" s="14" t="str">
        <f>HYPERLINK("https://gerandofalcoes.my.salesforce.com/0014X00002UGscXQAT", "0014X00002UGscXQAT")</f>
        <v>0014X00002UGscXQAT</v>
      </c>
      <c r="B258" s="2" t="s">
        <v>2995</v>
      </c>
      <c r="C258" s="2" t="s">
        <v>1800</v>
      </c>
      <c r="D258" s="2" t="s">
        <v>2</v>
      </c>
      <c r="E258" s="2"/>
      <c r="F258" s="2">
        <v>2</v>
      </c>
      <c r="G258" s="2">
        <v>2</v>
      </c>
      <c r="H258" s="2">
        <v>1000</v>
      </c>
      <c r="I258" s="2">
        <v>0</v>
      </c>
      <c r="J258" s="2" t="s">
        <v>1779</v>
      </c>
      <c r="K258" s="2">
        <v>16</v>
      </c>
      <c r="L258" s="2">
        <v>0</v>
      </c>
      <c r="M258" s="2">
        <v>5</v>
      </c>
      <c r="N258" s="2">
        <v>6</v>
      </c>
      <c r="O258" s="2">
        <v>5</v>
      </c>
      <c r="P258" s="2">
        <v>0</v>
      </c>
      <c r="Q258" s="2" t="s">
        <v>2996</v>
      </c>
      <c r="R258" s="2" t="s">
        <v>2997</v>
      </c>
      <c r="S258" s="4">
        <v>44837</v>
      </c>
    </row>
    <row r="259" spans="1:19" ht="12.5" x14ac:dyDescent="0.25">
      <c r="A259" s="14" t="str">
        <f>HYPERLINK("https://gerandofalcoes.my.salesforce.com/0014P00003AN2FoQAL", "0014P00003AN2FoQAL")</f>
        <v>0014P00003AN2FoQAL</v>
      </c>
      <c r="B259" s="2" t="s">
        <v>1938</v>
      </c>
      <c r="C259" s="2" t="s">
        <v>423</v>
      </c>
      <c r="D259" s="2" t="s">
        <v>2</v>
      </c>
      <c r="E259" s="2"/>
      <c r="F259" s="2">
        <v>5</v>
      </c>
      <c r="G259" s="2">
        <v>2</v>
      </c>
      <c r="H259" s="2">
        <v>150000</v>
      </c>
      <c r="I259" s="2">
        <v>160</v>
      </c>
      <c r="J259" s="2" t="s">
        <v>1779</v>
      </c>
      <c r="K259" s="2">
        <v>38</v>
      </c>
      <c r="L259" s="2">
        <v>0</v>
      </c>
      <c r="M259" s="2">
        <v>5</v>
      </c>
      <c r="N259" s="2">
        <v>6</v>
      </c>
      <c r="O259" s="2">
        <v>15</v>
      </c>
      <c r="P259" s="2">
        <v>12</v>
      </c>
      <c r="Q259" s="2" t="s">
        <v>130</v>
      </c>
      <c r="R259" s="2" t="s">
        <v>1939</v>
      </c>
      <c r="S259" s="4">
        <v>44837</v>
      </c>
    </row>
    <row r="260" spans="1:19" ht="12.5" x14ac:dyDescent="0.25">
      <c r="A260" s="14" t="str">
        <f>HYPERLINK("https://gerandofalcoes.my.salesforce.com/0014P00003AN2FpQAL", "0014P00003AN2FpQAL")</f>
        <v>0014P00003AN2FpQAL</v>
      </c>
      <c r="B260" s="2" t="s">
        <v>1678</v>
      </c>
      <c r="C260" s="2" t="s">
        <v>423</v>
      </c>
      <c r="D260" s="2" t="s">
        <v>27</v>
      </c>
      <c r="E260" s="2">
        <v>89</v>
      </c>
      <c r="F260" s="2">
        <v>16</v>
      </c>
      <c r="G260" s="2">
        <v>2</v>
      </c>
      <c r="H260" s="2">
        <v>76727.45</v>
      </c>
      <c r="I260" s="2">
        <v>173</v>
      </c>
      <c r="J260" s="2" t="s">
        <v>1650</v>
      </c>
      <c r="K260" s="2">
        <v>65</v>
      </c>
      <c r="L260" s="2">
        <v>25</v>
      </c>
      <c r="M260" s="2">
        <v>12</v>
      </c>
      <c r="N260" s="2">
        <v>6</v>
      </c>
      <c r="O260" s="2">
        <v>10</v>
      </c>
      <c r="P260" s="2">
        <v>12</v>
      </c>
      <c r="Q260" s="2" t="s">
        <v>131</v>
      </c>
      <c r="R260" s="2" t="s">
        <v>131</v>
      </c>
      <c r="S260" s="4">
        <v>44837</v>
      </c>
    </row>
    <row r="261" spans="1:19" ht="12.5" x14ac:dyDescent="0.25">
      <c r="A261" s="14" t="str">
        <f>HYPERLINK("https://gerandofalcoes.my.salesforce.com/0014P00003AN2FvQAL", "0014P00003AN2FvQAL")</f>
        <v>0014P00003AN2FvQAL</v>
      </c>
      <c r="B261" s="2" t="s">
        <v>1746</v>
      </c>
      <c r="C261" s="2" t="s">
        <v>423</v>
      </c>
      <c r="D261" s="2" t="s">
        <v>27</v>
      </c>
      <c r="E261" s="2">
        <v>64</v>
      </c>
      <c r="F261" s="2">
        <v>7</v>
      </c>
      <c r="G261" s="2">
        <v>2</v>
      </c>
      <c r="H261" s="2">
        <v>109514.68</v>
      </c>
      <c r="I261" s="2">
        <v>127</v>
      </c>
      <c r="J261" s="2" t="s">
        <v>1671</v>
      </c>
      <c r="K261" s="2">
        <v>61</v>
      </c>
      <c r="L261" s="2">
        <v>20</v>
      </c>
      <c r="M261" s="2">
        <v>10</v>
      </c>
      <c r="N261" s="2">
        <v>6</v>
      </c>
      <c r="O261" s="2">
        <v>15</v>
      </c>
      <c r="P261" s="2">
        <v>10</v>
      </c>
      <c r="Q261" s="2" t="s">
        <v>142</v>
      </c>
      <c r="R261" s="2" t="s">
        <v>142</v>
      </c>
      <c r="S261" s="4">
        <v>44837</v>
      </c>
    </row>
    <row r="262" spans="1:19" ht="12.5" x14ac:dyDescent="0.25">
      <c r="A262" s="14" t="str">
        <f>HYPERLINK("https://gerandofalcoes.my.salesforce.com/0014P00003AN2FqQAL", "0014P00003AN2FqQAL")</f>
        <v>0014P00003AN2FqQAL</v>
      </c>
      <c r="B262" s="2" t="s">
        <v>1658</v>
      </c>
      <c r="C262" s="2" t="s">
        <v>423</v>
      </c>
      <c r="D262" s="2" t="s">
        <v>27</v>
      </c>
      <c r="E262" s="2">
        <v>95</v>
      </c>
      <c r="F262" s="2">
        <v>46</v>
      </c>
      <c r="G262" s="2">
        <v>4</v>
      </c>
      <c r="H262" s="2">
        <v>1272655.06</v>
      </c>
      <c r="I262" s="2">
        <v>348</v>
      </c>
      <c r="J262" s="2" t="s">
        <v>1654</v>
      </c>
      <c r="K262" s="2">
        <v>95</v>
      </c>
      <c r="L262" s="2">
        <v>30</v>
      </c>
      <c r="M262" s="2">
        <v>15</v>
      </c>
      <c r="N262" s="2">
        <v>10</v>
      </c>
      <c r="O262" s="2">
        <v>25</v>
      </c>
      <c r="P262" s="2">
        <v>15</v>
      </c>
      <c r="Q262" s="2" t="s">
        <v>132</v>
      </c>
      <c r="R262" s="2" t="s">
        <v>132</v>
      </c>
      <c r="S262" s="4">
        <v>44837</v>
      </c>
    </row>
    <row r="263" spans="1:19" ht="12.5" x14ac:dyDescent="0.25">
      <c r="A263" s="14" t="str">
        <f>HYPERLINK("https://gerandofalcoes.my.salesforce.com/0014P00003AN2FsQAL", "0014P00003AN2FsQAL")</f>
        <v>0014P00003AN2FsQAL</v>
      </c>
      <c r="B263" s="2" t="s">
        <v>1688</v>
      </c>
      <c r="C263" s="2" t="s">
        <v>423</v>
      </c>
      <c r="D263" s="2" t="s">
        <v>27</v>
      </c>
      <c r="E263" s="2">
        <v>85</v>
      </c>
      <c r="F263" s="2">
        <v>6</v>
      </c>
      <c r="G263" s="2">
        <v>3</v>
      </c>
      <c r="H263" s="2">
        <v>93122.27</v>
      </c>
      <c r="I263" s="2">
        <v>206</v>
      </c>
      <c r="J263" s="2" t="s">
        <v>1650</v>
      </c>
      <c r="K263" s="2">
        <v>65</v>
      </c>
      <c r="L263" s="2">
        <v>25</v>
      </c>
      <c r="M263" s="2">
        <v>10</v>
      </c>
      <c r="N263" s="2">
        <v>8</v>
      </c>
      <c r="O263" s="2">
        <v>10</v>
      </c>
      <c r="P263" s="2">
        <v>12</v>
      </c>
      <c r="Q263" s="2" t="s">
        <v>134</v>
      </c>
      <c r="R263" s="2" t="s">
        <v>134</v>
      </c>
      <c r="S263" s="4">
        <v>44837</v>
      </c>
    </row>
    <row r="264" spans="1:19" ht="12.5" x14ac:dyDescent="0.25">
      <c r="A264" s="14" t="str">
        <f>HYPERLINK("https://gerandofalcoes.my.salesforce.com/0014P00003AN2FtQAL", "0014P00003AN2FtQAL")</f>
        <v>0014P00003AN2FtQAL</v>
      </c>
      <c r="B264" s="2" t="s">
        <v>137</v>
      </c>
      <c r="C264" s="2" t="s">
        <v>423</v>
      </c>
      <c r="D264" s="2" t="s">
        <v>27</v>
      </c>
      <c r="E264" s="2">
        <v>86</v>
      </c>
      <c r="F264" s="2">
        <v>7</v>
      </c>
      <c r="G264" s="2">
        <v>4</v>
      </c>
      <c r="H264" s="2">
        <v>67399.429999999993</v>
      </c>
      <c r="I264" s="2">
        <v>159</v>
      </c>
      <c r="J264" s="2" t="s">
        <v>1650</v>
      </c>
      <c r="K264" s="2">
        <v>67</v>
      </c>
      <c r="L264" s="2">
        <v>25</v>
      </c>
      <c r="M264" s="2">
        <v>10</v>
      </c>
      <c r="N264" s="2">
        <v>10</v>
      </c>
      <c r="O264" s="2">
        <v>10</v>
      </c>
      <c r="P264" s="2">
        <v>12</v>
      </c>
      <c r="Q264" s="2" t="s">
        <v>138</v>
      </c>
      <c r="R264" s="2" t="s">
        <v>1682</v>
      </c>
      <c r="S264" s="4">
        <v>44837</v>
      </c>
    </row>
    <row r="265" spans="1:19" ht="12.5" x14ac:dyDescent="0.25">
      <c r="A265" s="14" t="str">
        <f>HYPERLINK("https://gerandofalcoes.my.salesforce.com/0014P00003AN2FuQAL", "0014P00003AN2FuQAL")</f>
        <v>0014P00003AN2FuQAL</v>
      </c>
      <c r="B265" s="2" t="s">
        <v>1659</v>
      </c>
      <c r="C265" s="2" t="s">
        <v>423</v>
      </c>
      <c r="D265" s="2" t="s">
        <v>27</v>
      </c>
      <c r="E265" s="2">
        <v>95</v>
      </c>
      <c r="F265" s="2">
        <v>23</v>
      </c>
      <c r="G265" s="2">
        <v>3</v>
      </c>
      <c r="H265" s="2">
        <v>243360.63</v>
      </c>
      <c r="I265" s="2">
        <v>291</v>
      </c>
      <c r="J265" s="2" t="s">
        <v>1650</v>
      </c>
      <c r="K265" s="2">
        <v>77</v>
      </c>
      <c r="L265" s="2">
        <v>30</v>
      </c>
      <c r="M265" s="2">
        <v>12</v>
      </c>
      <c r="N265" s="2">
        <v>8</v>
      </c>
      <c r="O265" s="2">
        <v>15</v>
      </c>
      <c r="P265" s="2">
        <v>12</v>
      </c>
      <c r="Q265" s="2" t="s">
        <v>140</v>
      </c>
      <c r="R265" s="2" t="s">
        <v>140</v>
      </c>
      <c r="S265" s="4">
        <v>44837</v>
      </c>
    </row>
    <row r="266" spans="1:19" ht="12.5" x14ac:dyDescent="0.25">
      <c r="A266" s="14" t="str">
        <f>HYPERLINK("https://gerandofalcoes.my.salesforce.com/0014P00003AN2FwQAL", "0014P00003AN2FwQAL")</f>
        <v>0014P00003AN2FwQAL</v>
      </c>
      <c r="B266" s="2" t="s">
        <v>115</v>
      </c>
      <c r="C266" s="2" t="s">
        <v>423</v>
      </c>
      <c r="D266" s="2" t="s">
        <v>27</v>
      </c>
      <c r="E266" s="2">
        <v>73</v>
      </c>
      <c r="F266" s="2">
        <v>15</v>
      </c>
      <c r="G266" s="2">
        <v>1</v>
      </c>
      <c r="H266" s="2">
        <v>65923</v>
      </c>
      <c r="I266" s="2">
        <v>77</v>
      </c>
      <c r="J266" s="2" t="s">
        <v>1671</v>
      </c>
      <c r="K266" s="2">
        <v>51</v>
      </c>
      <c r="L266" s="2">
        <v>20</v>
      </c>
      <c r="M266" s="2">
        <v>12</v>
      </c>
      <c r="N266" s="2">
        <v>4</v>
      </c>
      <c r="O266" s="2">
        <v>10</v>
      </c>
      <c r="P266" s="2">
        <v>5</v>
      </c>
      <c r="Q266" s="2" t="s">
        <v>116</v>
      </c>
      <c r="R266" s="2" t="s">
        <v>1723</v>
      </c>
      <c r="S266" s="4">
        <v>44837</v>
      </c>
    </row>
    <row r="267" spans="1:19" ht="12.5" x14ac:dyDescent="0.25">
      <c r="A267" s="14" t="str">
        <f>HYPERLINK("https://gerandofalcoes.my.salesforce.com/0014P00003AN2FxQAL", "0014P00003AN2FxQAL")</f>
        <v>0014P00003AN2FxQAL</v>
      </c>
      <c r="B267" s="2" t="s">
        <v>1664</v>
      </c>
      <c r="C267" s="2" t="s">
        <v>423</v>
      </c>
      <c r="D267" s="2" t="s">
        <v>27</v>
      </c>
      <c r="E267" s="2">
        <v>93</v>
      </c>
      <c r="F267" s="2">
        <v>29</v>
      </c>
      <c r="G267" s="2">
        <v>1</v>
      </c>
      <c r="H267" s="2">
        <v>621309.18999999994</v>
      </c>
      <c r="I267" s="2">
        <v>203</v>
      </c>
      <c r="J267" s="2" t="s">
        <v>1650</v>
      </c>
      <c r="K267" s="2">
        <v>78</v>
      </c>
      <c r="L267" s="2">
        <v>30</v>
      </c>
      <c r="M267" s="2">
        <v>12</v>
      </c>
      <c r="N267" s="2">
        <v>4</v>
      </c>
      <c r="O267" s="2">
        <v>20</v>
      </c>
      <c r="P267" s="2">
        <v>12</v>
      </c>
      <c r="Q267" s="2" t="s">
        <v>144</v>
      </c>
      <c r="R267" s="2" t="s">
        <v>144</v>
      </c>
      <c r="S267" s="4">
        <v>44837</v>
      </c>
    </row>
    <row r="268" spans="1:19" ht="12.5" x14ac:dyDescent="0.25">
      <c r="A268" s="14" t="str">
        <f>HYPERLINK("https://gerandofalcoes.my.salesforce.com/0014P00003YSp7yQAD", "0014P00003YSp7yQAD")</f>
        <v>0014P00003YSp7yQAD</v>
      </c>
      <c r="B268" s="2" t="s">
        <v>2823</v>
      </c>
      <c r="C268" s="2" t="s">
        <v>423</v>
      </c>
      <c r="D268" s="2" t="s">
        <v>2</v>
      </c>
      <c r="E268" s="2">
        <v>12</v>
      </c>
      <c r="F268" s="2">
        <v>0</v>
      </c>
      <c r="G268" s="2">
        <v>2</v>
      </c>
      <c r="H268" s="2">
        <v>20000</v>
      </c>
      <c r="I268" s="2">
        <v>600</v>
      </c>
      <c r="J268" s="2" t="s">
        <v>1671</v>
      </c>
      <c r="K268" s="2">
        <v>41</v>
      </c>
      <c r="L268" s="2">
        <v>10</v>
      </c>
      <c r="M268" s="2">
        <v>0</v>
      </c>
      <c r="N268" s="2">
        <v>6</v>
      </c>
      <c r="O268" s="2">
        <v>5</v>
      </c>
      <c r="P268" s="2">
        <v>20</v>
      </c>
      <c r="Q268" s="2" t="s">
        <v>2824</v>
      </c>
      <c r="R268" s="2" t="s">
        <v>2825</v>
      </c>
      <c r="S268" s="4">
        <v>44837</v>
      </c>
    </row>
    <row r="269" spans="1:19" ht="12.5" x14ac:dyDescent="0.25">
      <c r="A269" s="14" t="str">
        <f>HYPERLINK("https://gerandofalcoes.my.salesforce.com/0014P00003YSp7zQAD", "0014P00003YSp7zQAD")</f>
        <v>0014P00003YSp7zQAD</v>
      </c>
      <c r="B269" s="2" t="s">
        <v>2441</v>
      </c>
      <c r="C269" s="2" t="s">
        <v>1800</v>
      </c>
      <c r="D269" s="2" t="s">
        <v>2</v>
      </c>
      <c r="E269" s="2">
        <v>24</v>
      </c>
      <c r="F269" s="2">
        <v>1</v>
      </c>
      <c r="G269" s="2">
        <v>0</v>
      </c>
      <c r="H269" s="2">
        <v>380000</v>
      </c>
      <c r="I269" s="2">
        <v>780</v>
      </c>
      <c r="J269" s="2" t="s">
        <v>1671</v>
      </c>
      <c r="K269" s="2">
        <v>55</v>
      </c>
      <c r="L269" s="2">
        <v>10</v>
      </c>
      <c r="M269" s="2">
        <v>5</v>
      </c>
      <c r="N269" s="2">
        <v>0</v>
      </c>
      <c r="O269" s="2">
        <v>20</v>
      </c>
      <c r="P269" s="2">
        <v>20</v>
      </c>
      <c r="Q269" s="2" t="s">
        <v>2442</v>
      </c>
      <c r="R269" s="2" t="s">
        <v>2443</v>
      </c>
      <c r="S269" s="4">
        <v>44837</v>
      </c>
    </row>
    <row r="270" spans="1:19" ht="12.5" x14ac:dyDescent="0.25">
      <c r="A270" s="14" t="str">
        <f>HYPERLINK("https://gerandofalcoes.my.salesforce.com/0014P00003YSp81QAD", "0014P00003YSp81QAD")</f>
        <v>0014P00003YSp81QAD</v>
      </c>
      <c r="B270" s="2" t="s">
        <v>1992</v>
      </c>
      <c r="C270" s="2" t="s">
        <v>1800</v>
      </c>
      <c r="D270" s="2" t="s">
        <v>2</v>
      </c>
      <c r="E270" s="2">
        <v>39</v>
      </c>
      <c r="F270" s="2">
        <v>0</v>
      </c>
      <c r="G270" s="2">
        <v>2</v>
      </c>
      <c r="H270" s="2">
        <v>5000</v>
      </c>
      <c r="I270" s="2">
        <v>150</v>
      </c>
      <c r="J270" s="2" t="s">
        <v>1779</v>
      </c>
      <c r="K270" s="2">
        <v>38</v>
      </c>
      <c r="L270" s="2">
        <v>15</v>
      </c>
      <c r="M270" s="2">
        <v>0</v>
      </c>
      <c r="N270" s="2">
        <v>6</v>
      </c>
      <c r="O270" s="2">
        <v>5</v>
      </c>
      <c r="P270" s="2">
        <v>12</v>
      </c>
      <c r="Q270" s="2" t="s">
        <v>1993</v>
      </c>
      <c r="R270" s="2" t="s">
        <v>1994</v>
      </c>
      <c r="S270" s="4">
        <v>44837</v>
      </c>
    </row>
    <row r="271" spans="1:19" ht="12.5" x14ac:dyDescent="0.25">
      <c r="A271" s="14" t="str">
        <f>HYPERLINK("https://gerandofalcoes.my.salesforce.com/0014P00003YSp82QAD", "0014P00003YSp82QAD")</f>
        <v>0014P00003YSp82QAD</v>
      </c>
      <c r="B271" s="2" t="s">
        <v>2362</v>
      </c>
      <c r="C271" s="2" t="s">
        <v>423</v>
      </c>
      <c r="D271" s="2" t="s">
        <v>2</v>
      </c>
      <c r="E271" s="2">
        <v>25</v>
      </c>
      <c r="F271" s="2">
        <v>9</v>
      </c>
      <c r="G271" s="2">
        <v>4</v>
      </c>
      <c r="H271" s="2">
        <v>10500</v>
      </c>
      <c r="I271" s="2">
        <v>90</v>
      </c>
      <c r="J271" s="2" t="s">
        <v>1671</v>
      </c>
      <c r="K271" s="2">
        <v>50</v>
      </c>
      <c r="L271" s="2">
        <v>15</v>
      </c>
      <c r="M271" s="2">
        <v>10</v>
      </c>
      <c r="N271" s="2">
        <v>10</v>
      </c>
      <c r="O271" s="2">
        <v>5</v>
      </c>
      <c r="P271" s="2">
        <v>10</v>
      </c>
      <c r="Q271" s="2" t="s">
        <v>2363</v>
      </c>
      <c r="R271" s="2" t="s">
        <v>2364</v>
      </c>
      <c r="S271" s="4">
        <v>44837</v>
      </c>
    </row>
    <row r="272" spans="1:19" ht="12.5" x14ac:dyDescent="0.25">
      <c r="A272" s="14" t="str">
        <f>HYPERLINK("https://gerandofalcoes.my.salesforce.com/0014P00003YSp83QAD", "0014P00003YSp83QAD")</f>
        <v>0014P00003YSp83QAD</v>
      </c>
      <c r="B272" s="2" t="s">
        <v>1727</v>
      </c>
      <c r="C272" s="2" t="s">
        <v>423</v>
      </c>
      <c r="D272" s="2" t="s">
        <v>2</v>
      </c>
      <c r="E272" s="2">
        <v>45</v>
      </c>
      <c r="F272" s="2">
        <v>3</v>
      </c>
      <c r="G272" s="2">
        <v>3</v>
      </c>
      <c r="H272" s="2">
        <v>197325</v>
      </c>
      <c r="I272" s="2">
        <v>104</v>
      </c>
      <c r="J272" s="2" t="s">
        <v>1671</v>
      </c>
      <c r="K272" s="2">
        <v>53</v>
      </c>
      <c r="L272" s="2">
        <v>15</v>
      </c>
      <c r="M272" s="2">
        <v>5</v>
      </c>
      <c r="N272" s="2">
        <v>8</v>
      </c>
      <c r="O272" s="2">
        <v>15</v>
      </c>
      <c r="P272" s="2">
        <v>10</v>
      </c>
      <c r="Q272" s="2" t="s">
        <v>1728</v>
      </c>
      <c r="R272" s="2" t="s">
        <v>1729</v>
      </c>
      <c r="S272" s="4">
        <v>44837</v>
      </c>
    </row>
    <row r="273" spans="1:19" ht="12.5" x14ac:dyDescent="0.25">
      <c r="A273" s="14" t="str">
        <f>HYPERLINK("https://gerandofalcoes.my.salesforce.com/0014P00003YSp84QAD", "0014P00003YSp84QAD")</f>
        <v>0014P00003YSp84QAD</v>
      </c>
      <c r="B273" s="2" t="s">
        <v>2454</v>
      </c>
      <c r="C273" s="2" t="s">
        <v>423</v>
      </c>
      <c r="D273" s="2" t="s">
        <v>2</v>
      </c>
      <c r="E273" s="2">
        <v>35</v>
      </c>
      <c r="F273" s="2">
        <v>0</v>
      </c>
      <c r="G273" s="2">
        <v>2</v>
      </c>
      <c r="H273" s="2">
        <v>0</v>
      </c>
      <c r="I273" s="2">
        <v>220</v>
      </c>
      <c r="J273" s="2" t="s">
        <v>1779</v>
      </c>
      <c r="K273" s="2">
        <v>33</v>
      </c>
      <c r="L273" s="2">
        <v>15</v>
      </c>
      <c r="M273" s="2">
        <v>0</v>
      </c>
      <c r="N273" s="2">
        <v>6</v>
      </c>
      <c r="O273" s="2">
        <v>0</v>
      </c>
      <c r="P273" s="2">
        <v>12</v>
      </c>
      <c r="Q273" s="2" t="s">
        <v>2455</v>
      </c>
      <c r="R273" s="2" t="s">
        <v>2456</v>
      </c>
      <c r="S273" s="4">
        <v>44837</v>
      </c>
    </row>
    <row r="274" spans="1:19" ht="12.5" x14ac:dyDescent="0.25">
      <c r="A274" s="14" t="str">
        <f>HYPERLINK("https://gerandofalcoes.my.salesforce.com/0014P00003YSp86QAD", "0014P00003YSp86QAD")</f>
        <v>0014P00003YSp86QAD</v>
      </c>
      <c r="B274" s="2" t="s">
        <v>2514</v>
      </c>
      <c r="C274" s="2" t="s">
        <v>1800</v>
      </c>
      <c r="D274" s="2" t="s">
        <v>2</v>
      </c>
      <c r="E274" s="2">
        <v>21</v>
      </c>
      <c r="F274" s="2">
        <v>0</v>
      </c>
      <c r="G274" s="2">
        <v>2</v>
      </c>
      <c r="H274" s="2">
        <v>10000</v>
      </c>
      <c r="I274" s="2">
        <v>100</v>
      </c>
      <c r="J274" s="2" t="s">
        <v>1779</v>
      </c>
      <c r="K274" s="2">
        <v>31</v>
      </c>
      <c r="L274" s="2">
        <v>10</v>
      </c>
      <c r="M274" s="2">
        <v>0</v>
      </c>
      <c r="N274" s="2">
        <v>6</v>
      </c>
      <c r="O274" s="2">
        <v>5</v>
      </c>
      <c r="P274" s="2">
        <v>10</v>
      </c>
      <c r="Q274" s="2" t="s">
        <v>2515</v>
      </c>
      <c r="R274" s="2" t="s">
        <v>2515</v>
      </c>
      <c r="S274" s="4">
        <v>44837</v>
      </c>
    </row>
    <row r="275" spans="1:19" ht="12.5" x14ac:dyDescent="0.25">
      <c r="A275" s="14" t="str">
        <f>HYPERLINK("https://gerandofalcoes.my.salesforce.com/0014P00003YSp87QAD", "0014P00003YSp87QAD")</f>
        <v>0014P00003YSp87QAD</v>
      </c>
      <c r="B275" s="2" t="s">
        <v>1755</v>
      </c>
      <c r="C275" s="2" t="s">
        <v>423</v>
      </c>
      <c r="D275" s="2" t="s">
        <v>2</v>
      </c>
      <c r="E275" s="2">
        <v>41</v>
      </c>
      <c r="F275" s="2">
        <v>19</v>
      </c>
      <c r="G275" s="2">
        <v>2</v>
      </c>
      <c r="H275" s="2">
        <v>0</v>
      </c>
      <c r="I275" s="2">
        <v>52</v>
      </c>
      <c r="J275" s="2" t="s">
        <v>1779</v>
      </c>
      <c r="K275" s="2">
        <v>38</v>
      </c>
      <c r="L275" s="2">
        <v>15</v>
      </c>
      <c r="M275" s="2">
        <v>12</v>
      </c>
      <c r="N275" s="2">
        <v>6</v>
      </c>
      <c r="O275" s="2">
        <v>0</v>
      </c>
      <c r="P275" s="2">
        <v>5</v>
      </c>
      <c r="Q275" s="2" t="s">
        <v>1756</v>
      </c>
      <c r="R275" s="2" t="s">
        <v>1757</v>
      </c>
      <c r="S275" s="4">
        <v>44837</v>
      </c>
    </row>
    <row r="276" spans="1:19" ht="12.5" x14ac:dyDescent="0.25">
      <c r="A276" s="14" t="str">
        <f>HYPERLINK("https://gerandofalcoes.my.salesforce.com/0014P00003YSp88QAD", "0014P00003YSp88QAD")</f>
        <v>0014P00003YSp88QAD</v>
      </c>
      <c r="B276" s="2" t="s">
        <v>2325</v>
      </c>
      <c r="C276" s="2" t="s">
        <v>1800</v>
      </c>
      <c r="D276" s="2" t="s">
        <v>2</v>
      </c>
      <c r="E276" s="2">
        <v>28</v>
      </c>
      <c r="F276" s="2">
        <v>0</v>
      </c>
      <c r="G276" s="2">
        <v>2</v>
      </c>
      <c r="H276" s="2">
        <v>0</v>
      </c>
      <c r="I276" s="2">
        <v>140</v>
      </c>
      <c r="J276" s="2" t="s">
        <v>1779</v>
      </c>
      <c r="K276" s="2">
        <v>31</v>
      </c>
      <c r="L276" s="2">
        <v>15</v>
      </c>
      <c r="M276" s="2">
        <v>0</v>
      </c>
      <c r="N276" s="2">
        <v>6</v>
      </c>
      <c r="O276" s="2">
        <v>0</v>
      </c>
      <c r="P276" s="2">
        <v>10</v>
      </c>
      <c r="Q276" s="2" t="s">
        <v>2326</v>
      </c>
      <c r="R276" s="2" t="s">
        <v>2327</v>
      </c>
      <c r="S276" s="4">
        <v>44837</v>
      </c>
    </row>
    <row r="277" spans="1:19" ht="12.5" x14ac:dyDescent="0.25">
      <c r="A277" s="14" t="str">
        <f>HYPERLINK("https://gerandofalcoes.my.salesforce.com/0014P00003YSp8AQAT", "0014P00003YSp8AQAT")</f>
        <v>0014P00003YSp8AQAT</v>
      </c>
      <c r="B277" s="2" t="s">
        <v>1943</v>
      </c>
      <c r="C277" s="2" t="s">
        <v>423</v>
      </c>
      <c r="D277" s="2" t="s">
        <v>2</v>
      </c>
      <c r="E277" s="2">
        <v>31</v>
      </c>
      <c r="F277" s="2">
        <v>15</v>
      </c>
      <c r="G277" s="2">
        <v>2</v>
      </c>
      <c r="H277" s="2">
        <v>1590</v>
      </c>
      <c r="I277" s="2">
        <v>169</v>
      </c>
      <c r="J277" s="2" t="s">
        <v>1671</v>
      </c>
      <c r="K277" s="2">
        <v>50</v>
      </c>
      <c r="L277" s="2">
        <v>15</v>
      </c>
      <c r="M277" s="2">
        <v>12</v>
      </c>
      <c r="N277" s="2">
        <v>6</v>
      </c>
      <c r="O277" s="2">
        <v>5</v>
      </c>
      <c r="P277" s="2">
        <v>12</v>
      </c>
      <c r="Q277" s="2" t="s">
        <v>1944</v>
      </c>
      <c r="R277" s="2" t="s">
        <v>1945</v>
      </c>
      <c r="S277" s="4">
        <v>44837</v>
      </c>
    </row>
    <row r="278" spans="1:19" ht="12.5" x14ac:dyDescent="0.25">
      <c r="A278" s="14" t="str">
        <f>HYPERLINK("https://gerandofalcoes.my.salesforce.com/0014P00003YSp8BQAT", "0014P00003YSp8BQAT")</f>
        <v>0014P00003YSp8BQAT</v>
      </c>
      <c r="B278" s="2" t="s">
        <v>2813</v>
      </c>
      <c r="C278" s="2" t="s">
        <v>423</v>
      </c>
      <c r="D278" s="2" t="s">
        <v>2</v>
      </c>
      <c r="E278" s="2">
        <v>24</v>
      </c>
      <c r="F278" s="2">
        <v>0</v>
      </c>
      <c r="G278" s="2">
        <v>2</v>
      </c>
      <c r="H278" s="2">
        <v>600</v>
      </c>
      <c r="I278" s="2">
        <v>520</v>
      </c>
      <c r="J278" s="2" t="s">
        <v>1671</v>
      </c>
      <c r="K278" s="2">
        <v>41</v>
      </c>
      <c r="L278" s="2">
        <v>10</v>
      </c>
      <c r="M278" s="2">
        <v>0</v>
      </c>
      <c r="N278" s="2">
        <v>6</v>
      </c>
      <c r="O278" s="2">
        <v>5</v>
      </c>
      <c r="P278" s="2">
        <v>20</v>
      </c>
      <c r="Q278" s="2" t="s">
        <v>2814</v>
      </c>
      <c r="R278" s="2" t="s">
        <v>2815</v>
      </c>
      <c r="S278" s="4">
        <v>44837</v>
      </c>
    </row>
    <row r="279" spans="1:19" ht="12.5" x14ac:dyDescent="0.25">
      <c r="A279" s="14" t="str">
        <f>HYPERLINK("https://gerandofalcoes.my.salesforce.com/0014P00003YSp8CQAT", "0014P00003YSp8CQAT")</f>
        <v>0014P00003YSp8CQAT</v>
      </c>
      <c r="B279" s="2" t="s">
        <v>2139</v>
      </c>
      <c r="C279" s="2" t="s">
        <v>423</v>
      </c>
      <c r="D279" s="2" t="s">
        <v>2</v>
      </c>
      <c r="E279" s="2">
        <v>34</v>
      </c>
      <c r="F279" s="2">
        <v>11</v>
      </c>
      <c r="G279" s="2">
        <v>4</v>
      </c>
      <c r="H279" s="2">
        <v>309270</v>
      </c>
      <c r="I279" s="2">
        <v>186</v>
      </c>
      <c r="J279" s="2" t="s">
        <v>1650</v>
      </c>
      <c r="K279" s="2">
        <v>69</v>
      </c>
      <c r="L279" s="2">
        <v>15</v>
      </c>
      <c r="M279" s="2">
        <v>12</v>
      </c>
      <c r="N279" s="2">
        <v>10</v>
      </c>
      <c r="O279" s="2">
        <v>20</v>
      </c>
      <c r="P279" s="2">
        <v>12</v>
      </c>
      <c r="Q279" s="2" t="s">
        <v>2140</v>
      </c>
      <c r="R279" s="2" t="s">
        <v>2140</v>
      </c>
      <c r="S279" s="4">
        <v>44837</v>
      </c>
    </row>
    <row r="280" spans="1:19" ht="12.5" x14ac:dyDescent="0.25">
      <c r="A280" s="14" t="str">
        <f>HYPERLINK("https://gerandofalcoes.my.salesforce.com/0014P00003YSp8EQAT", "0014P00003YSp8EQAT")</f>
        <v>0014P00003YSp8EQAT</v>
      </c>
      <c r="B280" s="2" t="s">
        <v>2407</v>
      </c>
      <c r="C280" s="2" t="s">
        <v>423</v>
      </c>
      <c r="D280" s="2" t="s">
        <v>2</v>
      </c>
      <c r="E280" s="2">
        <v>25</v>
      </c>
      <c r="F280" s="2">
        <v>0</v>
      </c>
      <c r="G280" s="2">
        <v>2</v>
      </c>
      <c r="H280" s="2">
        <v>2000</v>
      </c>
      <c r="I280" s="2">
        <v>130</v>
      </c>
      <c r="J280" s="2" t="s">
        <v>1779</v>
      </c>
      <c r="K280" s="2">
        <v>36</v>
      </c>
      <c r="L280" s="2">
        <v>15</v>
      </c>
      <c r="M280" s="2">
        <v>0</v>
      </c>
      <c r="N280" s="2">
        <v>6</v>
      </c>
      <c r="O280" s="2">
        <v>5</v>
      </c>
      <c r="P280" s="2">
        <v>10</v>
      </c>
      <c r="Q280" s="2" t="s">
        <v>2408</v>
      </c>
      <c r="R280" s="2" t="s">
        <v>2409</v>
      </c>
      <c r="S280" s="4">
        <v>44837</v>
      </c>
    </row>
    <row r="281" spans="1:19" ht="12.5" x14ac:dyDescent="0.25">
      <c r="A281" s="14" t="str">
        <f>HYPERLINK("https://gerandofalcoes.my.salesforce.com/0014P00003YSp8FQAT", "0014P00003YSp8FQAT")</f>
        <v>0014P00003YSp8FQAT</v>
      </c>
      <c r="B281" s="2" t="s">
        <v>2178</v>
      </c>
      <c r="C281" s="2" t="s">
        <v>1800</v>
      </c>
      <c r="D281" s="2" t="s">
        <v>2</v>
      </c>
      <c r="E281" s="2">
        <v>33</v>
      </c>
      <c r="F281" s="2">
        <v>10</v>
      </c>
      <c r="G281" s="2">
        <v>0</v>
      </c>
      <c r="H281" s="2">
        <v>0</v>
      </c>
      <c r="I281" s="2">
        <v>60</v>
      </c>
      <c r="J281" s="2" t="s">
        <v>1779</v>
      </c>
      <c r="K281" s="2">
        <v>30</v>
      </c>
      <c r="L281" s="2">
        <v>15</v>
      </c>
      <c r="M281" s="2">
        <v>10</v>
      </c>
      <c r="N281" s="2">
        <v>0</v>
      </c>
      <c r="O281" s="2">
        <v>0</v>
      </c>
      <c r="P281" s="2">
        <v>5</v>
      </c>
      <c r="Q281" s="2" t="s">
        <v>2179</v>
      </c>
      <c r="R281" s="2" t="s">
        <v>2179</v>
      </c>
      <c r="S281" s="4">
        <v>44837</v>
      </c>
    </row>
    <row r="282" spans="1:19" ht="12.5" x14ac:dyDescent="0.25">
      <c r="A282" s="14" t="str">
        <f>HYPERLINK("https://gerandofalcoes.my.salesforce.com/0014P00003YSp8GQAT", "0014P00003YSp8GQAT")</f>
        <v>0014P00003YSp8GQAT</v>
      </c>
      <c r="B282" s="2" t="s">
        <v>2214</v>
      </c>
      <c r="C282" s="2" t="s">
        <v>1800</v>
      </c>
      <c r="D282" s="2" t="s">
        <v>2</v>
      </c>
      <c r="E282" s="2">
        <v>32</v>
      </c>
      <c r="F282" s="2">
        <v>1</v>
      </c>
      <c r="G282" s="2">
        <v>2</v>
      </c>
      <c r="H282" s="2">
        <v>0</v>
      </c>
      <c r="I282" s="2">
        <v>600</v>
      </c>
      <c r="J282" s="2" t="s">
        <v>1671</v>
      </c>
      <c r="K282" s="2">
        <v>46</v>
      </c>
      <c r="L282" s="2">
        <v>15</v>
      </c>
      <c r="M282" s="2">
        <v>5</v>
      </c>
      <c r="N282" s="2">
        <v>6</v>
      </c>
      <c r="O282" s="2">
        <v>0</v>
      </c>
      <c r="P282" s="2">
        <v>20</v>
      </c>
      <c r="Q282" s="2" t="s">
        <v>2215</v>
      </c>
      <c r="R282" s="2" t="s">
        <v>2216</v>
      </c>
      <c r="S282" s="4">
        <v>44837</v>
      </c>
    </row>
    <row r="283" spans="1:19" ht="12.5" x14ac:dyDescent="0.25">
      <c r="A283" s="14" t="str">
        <f>HYPERLINK("https://gerandofalcoes.my.salesforce.com/0014P00003YSp8HQAT", "0014P00003YSp8HQAT")</f>
        <v>0014P00003YSp8HQAT</v>
      </c>
      <c r="B283" s="2" t="s">
        <v>2359</v>
      </c>
      <c r="C283" s="2" t="s">
        <v>423</v>
      </c>
      <c r="D283" s="2" t="s">
        <v>2</v>
      </c>
      <c r="E283" s="2">
        <v>28</v>
      </c>
      <c r="F283" s="2">
        <v>2</v>
      </c>
      <c r="G283" s="2">
        <v>2</v>
      </c>
      <c r="H283" s="2">
        <v>8000</v>
      </c>
      <c r="I283" s="2">
        <v>500</v>
      </c>
      <c r="J283" s="2" t="s">
        <v>1671</v>
      </c>
      <c r="K283" s="2">
        <v>51</v>
      </c>
      <c r="L283" s="2">
        <v>15</v>
      </c>
      <c r="M283" s="2">
        <v>5</v>
      </c>
      <c r="N283" s="2">
        <v>6</v>
      </c>
      <c r="O283" s="2">
        <v>5</v>
      </c>
      <c r="P283" s="2">
        <v>20</v>
      </c>
      <c r="Q283" s="2" t="s">
        <v>2360</v>
      </c>
      <c r="R283" s="2" t="s">
        <v>2361</v>
      </c>
      <c r="S283" s="4">
        <v>44837</v>
      </c>
    </row>
    <row r="284" spans="1:19" ht="12.5" x14ac:dyDescent="0.25">
      <c r="A284" s="14" t="str">
        <f>HYPERLINK("https://gerandofalcoes.my.salesforce.com/0014P00003YSp8IQAT", "0014P00003YSp8IQAT")</f>
        <v>0014P00003YSp8IQAT</v>
      </c>
      <c r="B284" s="2" t="s">
        <v>2335</v>
      </c>
      <c r="C284" s="2" t="s">
        <v>423</v>
      </c>
      <c r="D284" s="2" t="s">
        <v>2</v>
      </c>
      <c r="E284" s="2">
        <v>34</v>
      </c>
      <c r="F284" s="2">
        <v>0</v>
      </c>
      <c r="G284" s="2">
        <v>2</v>
      </c>
      <c r="H284" s="2">
        <v>50000</v>
      </c>
      <c r="I284" s="2">
        <v>300</v>
      </c>
      <c r="J284" s="2" t="s">
        <v>1671</v>
      </c>
      <c r="K284" s="2">
        <v>46</v>
      </c>
      <c r="L284" s="2">
        <v>15</v>
      </c>
      <c r="M284" s="2">
        <v>0</v>
      </c>
      <c r="N284" s="2">
        <v>6</v>
      </c>
      <c r="O284" s="2">
        <v>10</v>
      </c>
      <c r="P284" s="2">
        <v>15</v>
      </c>
      <c r="Q284" s="2" t="s">
        <v>2336</v>
      </c>
      <c r="R284" s="2" t="s">
        <v>2337</v>
      </c>
      <c r="S284" s="4">
        <v>44837</v>
      </c>
    </row>
    <row r="285" spans="1:19" ht="12.5" x14ac:dyDescent="0.25">
      <c r="A285" s="14" t="str">
        <f>HYPERLINK("https://gerandofalcoes.my.salesforce.com/0014P00003YSp80QAD", "0014P00003YSp80QAD")</f>
        <v>0014P00003YSp80QAD</v>
      </c>
      <c r="B285" s="2" t="s">
        <v>2709</v>
      </c>
      <c r="C285" s="2" t="s">
        <v>423</v>
      </c>
      <c r="D285" s="2" t="s">
        <v>2</v>
      </c>
      <c r="E285" s="2">
        <v>20</v>
      </c>
      <c r="F285" s="2">
        <v>1</v>
      </c>
      <c r="G285" s="2">
        <v>2</v>
      </c>
      <c r="H285" s="2">
        <v>12000</v>
      </c>
      <c r="I285" s="2">
        <v>33</v>
      </c>
      <c r="J285" s="2" t="s">
        <v>1779</v>
      </c>
      <c r="K285" s="2">
        <v>31</v>
      </c>
      <c r="L285" s="2">
        <v>10</v>
      </c>
      <c r="M285" s="2">
        <v>5</v>
      </c>
      <c r="N285" s="2">
        <v>6</v>
      </c>
      <c r="O285" s="2">
        <v>5</v>
      </c>
      <c r="P285" s="2">
        <v>5</v>
      </c>
      <c r="Q285" s="2" t="s">
        <v>2710</v>
      </c>
      <c r="R285" s="2" t="s">
        <v>2710</v>
      </c>
      <c r="S285" s="4">
        <v>44837</v>
      </c>
    </row>
    <row r="286" spans="1:19" ht="12.5" x14ac:dyDescent="0.25">
      <c r="A286" s="14" t="str">
        <f>HYPERLINK("https://gerandofalcoes.my.salesforce.com/0014P00003YSp8JQAT", "0014P00003YSp8JQAT")</f>
        <v>0014P00003YSp8JQAT</v>
      </c>
      <c r="B286" s="2" t="s">
        <v>2393</v>
      </c>
      <c r="C286" s="2" t="s">
        <v>423</v>
      </c>
      <c r="D286" s="2" t="s">
        <v>2</v>
      </c>
      <c r="E286" s="2">
        <v>33</v>
      </c>
      <c r="F286" s="2">
        <v>9</v>
      </c>
      <c r="G286" s="2">
        <v>2</v>
      </c>
      <c r="H286" s="2">
        <v>105000</v>
      </c>
      <c r="I286" s="2">
        <v>68</v>
      </c>
      <c r="J286" s="2" t="s">
        <v>1671</v>
      </c>
      <c r="K286" s="2">
        <v>51</v>
      </c>
      <c r="L286" s="2">
        <v>15</v>
      </c>
      <c r="M286" s="2">
        <v>10</v>
      </c>
      <c r="N286" s="2">
        <v>6</v>
      </c>
      <c r="O286" s="2">
        <v>15</v>
      </c>
      <c r="P286" s="2">
        <v>5</v>
      </c>
      <c r="Q286" s="2" t="s">
        <v>2394</v>
      </c>
      <c r="R286" s="2" t="s">
        <v>2394</v>
      </c>
      <c r="S286" s="4">
        <v>44837</v>
      </c>
    </row>
    <row r="287" spans="1:19" ht="12.5" x14ac:dyDescent="0.25">
      <c r="A287" s="14" t="str">
        <f>HYPERLINK("https://gerandofalcoes.my.salesforce.com/0014P00003YSp8KQAT", "0014P00003YSp8KQAT")</f>
        <v>0014P00003YSp8KQAT</v>
      </c>
      <c r="B287" s="2" t="s">
        <v>2167</v>
      </c>
      <c r="C287" s="2" t="s">
        <v>1800</v>
      </c>
      <c r="D287" s="2" t="s">
        <v>2</v>
      </c>
      <c r="E287" s="2">
        <v>33</v>
      </c>
      <c r="F287" s="2">
        <v>2</v>
      </c>
      <c r="G287" s="2">
        <v>4</v>
      </c>
      <c r="H287" s="2">
        <v>400000</v>
      </c>
      <c r="I287" s="2">
        <v>250</v>
      </c>
      <c r="J287" s="2" t="s">
        <v>1671</v>
      </c>
      <c r="K287" s="2">
        <v>62</v>
      </c>
      <c r="L287" s="2">
        <v>15</v>
      </c>
      <c r="M287" s="2">
        <v>5</v>
      </c>
      <c r="N287" s="2">
        <v>10</v>
      </c>
      <c r="O287" s="2">
        <v>20</v>
      </c>
      <c r="P287" s="2">
        <v>12</v>
      </c>
      <c r="Q287" s="2" t="s">
        <v>2168</v>
      </c>
      <c r="R287" s="2" t="s">
        <v>2168</v>
      </c>
      <c r="S287" s="4">
        <v>44837</v>
      </c>
    </row>
    <row r="288" spans="1:19" ht="12.5" x14ac:dyDescent="0.25">
      <c r="A288" s="14" t="str">
        <f>HYPERLINK("https://gerandofalcoes.my.salesforce.com/0014P00003YSp8LQAT", "0014P00003YSp8LQAT")</f>
        <v>0014P00003YSp8LQAT</v>
      </c>
      <c r="B288" s="2" t="s">
        <v>2907</v>
      </c>
      <c r="C288" s="2" t="s">
        <v>423</v>
      </c>
      <c r="D288" s="2" t="s">
        <v>2</v>
      </c>
      <c r="E288" s="2">
        <v>24</v>
      </c>
      <c r="F288" s="2">
        <v>0</v>
      </c>
      <c r="G288" s="2">
        <v>2</v>
      </c>
      <c r="H288" s="2">
        <v>5000</v>
      </c>
      <c r="I288" s="2">
        <v>18</v>
      </c>
      <c r="J288" s="2" t="s">
        <v>1779</v>
      </c>
      <c r="K288" s="2">
        <v>26</v>
      </c>
      <c r="L288" s="2">
        <v>10</v>
      </c>
      <c r="M288" s="2">
        <v>0</v>
      </c>
      <c r="N288" s="2">
        <v>6</v>
      </c>
      <c r="O288" s="2">
        <v>5</v>
      </c>
      <c r="P288" s="2">
        <v>5</v>
      </c>
      <c r="Q288" s="2" t="s">
        <v>2908</v>
      </c>
      <c r="R288" s="2" t="s">
        <v>2908</v>
      </c>
      <c r="S288" s="4">
        <v>44837</v>
      </c>
    </row>
    <row r="289" spans="1:19" ht="12.5" x14ac:dyDescent="0.25">
      <c r="A289" s="14" t="str">
        <f>HYPERLINK("https://gerandofalcoes.my.salesforce.com/0014P00003YSp8MQAT", "0014P00003YSp8MQAT")</f>
        <v>0014P00003YSp8MQAT</v>
      </c>
      <c r="B289" s="2" t="s">
        <v>1761</v>
      </c>
      <c r="C289" s="2" t="s">
        <v>423</v>
      </c>
      <c r="D289" s="2" t="s">
        <v>2</v>
      </c>
      <c r="E289" s="2">
        <v>35</v>
      </c>
      <c r="F289" s="2">
        <v>15</v>
      </c>
      <c r="G289" s="2">
        <v>2</v>
      </c>
      <c r="H289" s="2">
        <v>300000</v>
      </c>
      <c r="I289" s="2">
        <v>281</v>
      </c>
      <c r="J289" s="2" t="s">
        <v>1650</v>
      </c>
      <c r="K289" s="2">
        <v>65</v>
      </c>
      <c r="L289" s="2">
        <v>15</v>
      </c>
      <c r="M289" s="2">
        <v>12</v>
      </c>
      <c r="N289" s="2">
        <v>6</v>
      </c>
      <c r="O289" s="2">
        <v>20</v>
      </c>
      <c r="P289" s="2">
        <v>12</v>
      </c>
      <c r="Q289" s="2" t="s">
        <v>1762</v>
      </c>
      <c r="R289" s="2" t="s">
        <v>1763</v>
      </c>
      <c r="S289" s="4">
        <v>44837</v>
      </c>
    </row>
    <row r="290" spans="1:19" ht="12.5" x14ac:dyDescent="0.25">
      <c r="A290" s="14" t="str">
        <f>HYPERLINK("https://gerandofalcoes.my.salesforce.com/0014P00003YSp8NQAT", "0014P00003YSp8NQAT")</f>
        <v>0014P00003YSp8NQAT</v>
      </c>
      <c r="B290" s="2" t="s">
        <v>2292</v>
      </c>
      <c r="C290" s="2" t="s">
        <v>1800</v>
      </c>
      <c r="D290" s="2" t="s">
        <v>2</v>
      </c>
      <c r="E290" s="2">
        <v>29</v>
      </c>
      <c r="F290" s="2">
        <v>3</v>
      </c>
      <c r="G290" s="2">
        <v>2</v>
      </c>
      <c r="H290" s="2">
        <v>13121</v>
      </c>
      <c r="I290" s="2">
        <v>800</v>
      </c>
      <c r="J290" s="2" t="s">
        <v>1671</v>
      </c>
      <c r="K290" s="2">
        <v>51</v>
      </c>
      <c r="L290" s="2">
        <v>15</v>
      </c>
      <c r="M290" s="2">
        <v>5</v>
      </c>
      <c r="N290" s="2">
        <v>6</v>
      </c>
      <c r="O290" s="2">
        <v>5</v>
      </c>
      <c r="P290" s="2">
        <v>20</v>
      </c>
      <c r="Q290" s="2" t="s">
        <v>2293</v>
      </c>
      <c r="R290" s="2" t="s">
        <v>2294</v>
      </c>
      <c r="S290" s="4">
        <v>44837</v>
      </c>
    </row>
    <row r="291" spans="1:19" ht="12.5" x14ac:dyDescent="0.25">
      <c r="A291" s="14" t="str">
        <f>HYPERLINK("https://gerandofalcoes.my.salesforce.com/0014P00003YSp8OQAT", "0014P00003YSp8OQAT")</f>
        <v>0014P00003YSp8OQAT</v>
      </c>
      <c r="B291" s="2" t="s">
        <v>1952</v>
      </c>
      <c r="C291" s="2" t="s">
        <v>1800</v>
      </c>
      <c r="D291" s="2" t="s">
        <v>2</v>
      </c>
      <c r="E291" s="2">
        <v>41</v>
      </c>
      <c r="F291" s="2">
        <v>1</v>
      </c>
      <c r="G291" s="2">
        <v>3</v>
      </c>
      <c r="H291" s="2">
        <v>25000</v>
      </c>
      <c r="I291" s="2">
        <v>90</v>
      </c>
      <c r="J291" s="2" t="s">
        <v>1671</v>
      </c>
      <c r="K291" s="2">
        <v>48</v>
      </c>
      <c r="L291" s="2">
        <v>15</v>
      </c>
      <c r="M291" s="2">
        <v>5</v>
      </c>
      <c r="N291" s="2">
        <v>8</v>
      </c>
      <c r="O291" s="2">
        <v>10</v>
      </c>
      <c r="P291" s="2">
        <v>10</v>
      </c>
      <c r="Q291" s="2" t="s">
        <v>1953</v>
      </c>
      <c r="R291" s="2" t="s">
        <v>1953</v>
      </c>
      <c r="S291" s="4">
        <v>44837</v>
      </c>
    </row>
    <row r="292" spans="1:19" ht="12.5" x14ac:dyDescent="0.25">
      <c r="A292" s="14" t="str">
        <f>HYPERLINK("https://gerandofalcoes.my.salesforce.com/0014P00003YSp8PQAT", "0014P00003YSp8PQAT")</f>
        <v>0014P00003YSp8PQAT</v>
      </c>
      <c r="B292" s="2" t="s">
        <v>2832</v>
      </c>
      <c r="C292" s="2" t="s">
        <v>423</v>
      </c>
      <c r="D292" s="2" t="s">
        <v>2</v>
      </c>
      <c r="E292" s="2">
        <v>24</v>
      </c>
      <c r="F292" s="2">
        <v>0</v>
      </c>
      <c r="G292" s="2">
        <v>2</v>
      </c>
      <c r="H292" s="2">
        <v>60000</v>
      </c>
      <c r="I292" s="2">
        <v>200</v>
      </c>
      <c r="J292" s="2" t="s">
        <v>1779</v>
      </c>
      <c r="K292" s="2">
        <v>38</v>
      </c>
      <c r="L292" s="2">
        <v>10</v>
      </c>
      <c r="M292" s="2">
        <v>0</v>
      </c>
      <c r="N292" s="2">
        <v>6</v>
      </c>
      <c r="O292" s="2">
        <v>10</v>
      </c>
      <c r="P292" s="2">
        <v>12</v>
      </c>
      <c r="Q292" s="2" t="s">
        <v>2833</v>
      </c>
      <c r="R292" s="2" t="s">
        <v>2834</v>
      </c>
      <c r="S292" s="4">
        <v>44837</v>
      </c>
    </row>
    <row r="293" spans="1:19" ht="12.5" x14ac:dyDescent="0.25">
      <c r="A293" s="14" t="str">
        <f>HYPERLINK("https://gerandofalcoes.my.salesforce.com/0014P00003YSp8QQAT", "0014P00003YSp8QQAT")</f>
        <v>0014P00003YSp8QQAT</v>
      </c>
      <c r="B293" s="2" t="s">
        <v>1890</v>
      </c>
      <c r="C293" s="2" t="s">
        <v>423</v>
      </c>
      <c r="D293" s="2" t="s">
        <v>2</v>
      </c>
      <c r="E293" s="2">
        <v>22</v>
      </c>
      <c r="F293" s="2">
        <v>7</v>
      </c>
      <c r="G293" s="2">
        <v>2</v>
      </c>
      <c r="H293" s="2">
        <v>300000</v>
      </c>
      <c r="I293" s="2">
        <v>61</v>
      </c>
      <c r="J293" s="2" t="s">
        <v>1671</v>
      </c>
      <c r="K293" s="2">
        <v>51</v>
      </c>
      <c r="L293" s="2">
        <v>10</v>
      </c>
      <c r="M293" s="2">
        <v>10</v>
      </c>
      <c r="N293" s="2">
        <v>6</v>
      </c>
      <c r="O293" s="2">
        <v>20</v>
      </c>
      <c r="P293" s="2">
        <v>5</v>
      </c>
      <c r="Q293" s="2" t="s">
        <v>1891</v>
      </c>
      <c r="R293" s="2" t="s">
        <v>1891</v>
      </c>
      <c r="S293" s="4">
        <v>44837</v>
      </c>
    </row>
    <row r="294" spans="1:19" ht="12.5" x14ac:dyDescent="0.25">
      <c r="A294" s="14" t="str">
        <f>HYPERLINK("https://gerandofalcoes.my.salesforce.com/0014P00003YSp8RQAT", "0014P00003YSp8RQAT")</f>
        <v>0014P00003YSp8RQAT</v>
      </c>
      <c r="B294" s="2" t="s">
        <v>1989</v>
      </c>
      <c r="C294" s="2" t="s">
        <v>1800</v>
      </c>
      <c r="D294" s="2" t="s">
        <v>2</v>
      </c>
      <c r="E294" s="2">
        <v>39</v>
      </c>
      <c r="F294" s="2">
        <v>1</v>
      </c>
      <c r="G294" s="2">
        <v>2</v>
      </c>
      <c r="H294" s="2">
        <v>11000</v>
      </c>
      <c r="I294" s="2">
        <v>200</v>
      </c>
      <c r="J294" s="2" t="s">
        <v>1671</v>
      </c>
      <c r="K294" s="2">
        <v>43</v>
      </c>
      <c r="L294" s="2">
        <v>15</v>
      </c>
      <c r="M294" s="2">
        <v>5</v>
      </c>
      <c r="N294" s="2">
        <v>6</v>
      </c>
      <c r="O294" s="2">
        <v>5</v>
      </c>
      <c r="P294" s="2">
        <v>12</v>
      </c>
      <c r="Q294" s="2" t="s">
        <v>1990</v>
      </c>
      <c r="R294" s="2" t="s">
        <v>1991</v>
      </c>
      <c r="S294" s="4">
        <v>44837</v>
      </c>
    </row>
    <row r="295" spans="1:19" ht="12.5" x14ac:dyDescent="0.25">
      <c r="A295" s="14" t="str">
        <f>HYPERLINK("https://gerandofalcoes.my.salesforce.com/0014P00003YSp8SQAT", "0014P00003YSp8SQAT")</f>
        <v>0014P00003YSp8SQAT</v>
      </c>
      <c r="B295" s="2" t="s">
        <v>2476</v>
      </c>
      <c r="C295" s="2" t="s">
        <v>423</v>
      </c>
      <c r="D295" s="2" t="s">
        <v>2</v>
      </c>
      <c r="E295" s="2">
        <v>22</v>
      </c>
      <c r="F295" s="2">
        <v>0</v>
      </c>
      <c r="G295" s="2">
        <v>2</v>
      </c>
      <c r="H295" s="2">
        <v>150000</v>
      </c>
      <c r="I295" s="2">
        <v>227</v>
      </c>
      <c r="J295" s="2" t="s">
        <v>1671</v>
      </c>
      <c r="K295" s="2">
        <v>43</v>
      </c>
      <c r="L295" s="2">
        <v>10</v>
      </c>
      <c r="M295" s="2">
        <v>0</v>
      </c>
      <c r="N295" s="2">
        <v>6</v>
      </c>
      <c r="O295" s="2">
        <v>15</v>
      </c>
      <c r="P295" s="2">
        <v>12</v>
      </c>
      <c r="Q295" s="2" t="s">
        <v>2477</v>
      </c>
      <c r="R295" s="2" t="s">
        <v>2477</v>
      </c>
      <c r="S295" s="4">
        <v>44837</v>
      </c>
    </row>
    <row r="296" spans="1:19" ht="12.5" x14ac:dyDescent="0.25">
      <c r="A296" s="14" t="str">
        <f>HYPERLINK("https://gerandofalcoes.my.salesforce.com/0014P00003YSp8UQAT", "0014P00003YSp8UQAT")</f>
        <v>0014P00003YSp8UQAT</v>
      </c>
      <c r="B296" s="2" t="s">
        <v>2319</v>
      </c>
      <c r="C296" s="2" t="s">
        <v>423</v>
      </c>
      <c r="D296" s="2" t="s">
        <v>2</v>
      </c>
      <c r="E296" s="2">
        <v>28</v>
      </c>
      <c r="F296" s="2">
        <v>0</v>
      </c>
      <c r="G296" s="2">
        <v>3</v>
      </c>
      <c r="H296" s="2">
        <v>9994</v>
      </c>
      <c r="I296" s="2">
        <v>110</v>
      </c>
      <c r="J296" s="2" t="s">
        <v>1779</v>
      </c>
      <c r="K296" s="2">
        <v>38</v>
      </c>
      <c r="L296" s="2">
        <v>15</v>
      </c>
      <c r="M296" s="2">
        <v>0</v>
      </c>
      <c r="N296" s="2">
        <v>8</v>
      </c>
      <c r="O296" s="2">
        <v>5</v>
      </c>
      <c r="P296" s="2">
        <v>10</v>
      </c>
      <c r="Q296" s="2" t="s">
        <v>2321</v>
      </c>
      <c r="R296" s="2" t="s">
        <v>2321</v>
      </c>
      <c r="S296" s="4">
        <v>44837</v>
      </c>
    </row>
    <row r="297" spans="1:19" ht="12.5" x14ac:dyDescent="0.25">
      <c r="A297" s="14" t="str">
        <f>HYPERLINK("https://gerandofalcoes.my.salesforce.com/0014P00003YSp8VQAT", "0014P00003YSp8VQAT")</f>
        <v>0014P00003YSp8VQAT</v>
      </c>
      <c r="B297" s="2" t="s">
        <v>2865</v>
      </c>
      <c r="C297" s="2" t="s">
        <v>1800</v>
      </c>
      <c r="D297" s="2" t="s">
        <v>2</v>
      </c>
      <c r="E297" s="2">
        <v>10</v>
      </c>
      <c r="F297" s="2">
        <v>0</v>
      </c>
      <c r="G297" s="2">
        <v>0</v>
      </c>
      <c r="H297" s="2">
        <v>0</v>
      </c>
      <c r="I297" s="2">
        <v>0</v>
      </c>
      <c r="J297" s="2" t="s">
        <v>1779</v>
      </c>
      <c r="K297" s="2">
        <v>10</v>
      </c>
      <c r="L297" s="2">
        <v>10</v>
      </c>
      <c r="M297" s="2">
        <v>0</v>
      </c>
      <c r="N297" s="2">
        <v>0</v>
      </c>
      <c r="O297" s="2">
        <v>0</v>
      </c>
      <c r="P297" s="2">
        <v>0</v>
      </c>
      <c r="Q297" s="2" t="s">
        <v>2866</v>
      </c>
      <c r="R297" s="2" t="s">
        <v>2867</v>
      </c>
      <c r="S297" s="4">
        <v>44837</v>
      </c>
    </row>
    <row r="298" spans="1:19" ht="12.5" x14ac:dyDescent="0.25">
      <c r="A298" s="14" t="str">
        <f>HYPERLINK("https://gerandofalcoes.my.salesforce.com/0014P00003YSp8XQAT", "0014P00003YSp8XQAT")</f>
        <v>0014P00003YSp8XQAT</v>
      </c>
      <c r="B298" s="2" t="s">
        <v>2526</v>
      </c>
      <c r="C298" s="2" t="s">
        <v>423</v>
      </c>
      <c r="D298" s="2" t="s">
        <v>2</v>
      </c>
      <c r="E298" s="2">
        <v>21</v>
      </c>
      <c r="F298" s="2">
        <v>0</v>
      </c>
      <c r="G298" s="2">
        <v>2</v>
      </c>
      <c r="H298" s="2">
        <v>25000</v>
      </c>
      <c r="I298" s="2">
        <v>68</v>
      </c>
      <c r="J298" s="2" t="s">
        <v>1779</v>
      </c>
      <c r="K298" s="2">
        <v>31</v>
      </c>
      <c r="L298" s="2">
        <v>10</v>
      </c>
      <c r="M298" s="2">
        <v>0</v>
      </c>
      <c r="N298" s="2">
        <v>6</v>
      </c>
      <c r="O298" s="2">
        <v>10</v>
      </c>
      <c r="P298" s="2">
        <v>5</v>
      </c>
      <c r="Q298" s="2" t="s">
        <v>2527</v>
      </c>
      <c r="R298" s="2" t="s">
        <v>2528</v>
      </c>
      <c r="S298" s="4">
        <v>44837</v>
      </c>
    </row>
    <row r="299" spans="1:19" ht="12.5" x14ac:dyDescent="0.25">
      <c r="A299" s="14" t="str">
        <f>HYPERLINK("https://gerandofalcoes.my.salesforce.com/0014P00003YSp8YQAT", "0014P00003YSp8YQAT")</f>
        <v>0014P00003YSp8YQAT</v>
      </c>
      <c r="B299" s="2" t="s">
        <v>1921</v>
      </c>
      <c r="C299" s="2" t="s">
        <v>423</v>
      </c>
      <c r="D299" s="2" t="s">
        <v>2</v>
      </c>
      <c r="E299" s="2">
        <v>45</v>
      </c>
      <c r="F299" s="2">
        <v>9</v>
      </c>
      <c r="G299" s="2">
        <v>3</v>
      </c>
      <c r="H299" s="2">
        <v>97000</v>
      </c>
      <c r="I299" s="2">
        <v>90</v>
      </c>
      <c r="J299" s="2" t="s">
        <v>1671</v>
      </c>
      <c r="K299" s="2">
        <v>53</v>
      </c>
      <c r="L299" s="2">
        <v>15</v>
      </c>
      <c r="M299" s="2">
        <v>10</v>
      </c>
      <c r="N299" s="2">
        <v>8</v>
      </c>
      <c r="O299" s="2">
        <v>10</v>
      </c>
      <c r="P299" s="2">
        <v>10</v>
      </c>
      <c r="Q299" s="2" t="s">
        <v>1922</v>
      </c>
      <c r="R299" s="2" t="s">
        <v>1923</v>
      </c>
      <c r="S299" s="4">
        <v>44837</v>
      </c>
    </row>
    <row r="300" spans="1:19" ht="12.5" x14ac:dyDescent="0.25">
      <c r="A300" s="14" t="str">
        <f>HYPERLINK("https://gerandofalcoes.my.salesforce.com/0014P00003YSp8aQAD", "0014P00003YSp8aQAD")</f>
        <v>0014P00003YSp8aQAD</v>
      </c>
      <c r="B300" s="2" t="s">
        <v>2447</v>
      </c>
      <c r="C300" s="2" t="s">
        <v>423</v>
      </c>
      <c r="D300" s="2" t="s">
        <v>2</v>
      </c>
      <c r="E300" s="2">
        <v>24</v>
      </c>
      <c r="F300" s="2">
        <v>0</v>
      </c>
      <c r="G300" s="2">
        <v>2</v>
      </c>
      <c r="H300" s="2">
        <v>40000</v>
      </c>
      <c r="I300" s="2">
        <v>200</v>
      </c>
      <c r="J300" s="2" t="s">
        <v>1779</v>
      </c>
      <c r="K300" s="2">
        <v>38</v>
      </c>
      <c r="L300" s="2">
        <v>10</v>
      </c>
      <c r="M300" s="2">
        <v>0</v>
      </c>
      <c r="N300" s="2">
        <v>6</v>
      </c>
      <c r="O300" s="2">
        <v>10</v>
      </c>
      <c r="P300" s="2">
        <v>12</v>
      </c>
      <c r="Q300" s="2" t="s">
        <v>2448</v>
      </c>
      <c r="R300" s="2" t="s">
        <v>2449</v>
      </c>
      <c r="S300" s="4">
        <v>44837</v>
      </c>
    </row>
    <row r="301" spans="1:19" ht="12.5" x14ac:dyDescent="0.25">
      <c r="A301" s="14" t="str">
        <f>HYPERLINK("https://gerandofalcoes.my.salesforce.com/0014P00003YSp8bQAD", "0014P00003YSp8bQAD")</f>
        <v>0014P00003YSp8bQAD</v>
      </c>
      <c r="B301" s="2" t="s">
        <v>2481</v>
      </c>
      <c r="C301" s="2" t="s">
        <v>1800</v>
      </c>
      <c r="D301" s="2" t="s">
        <v>2</v>
      </c>
      <c r="E301" s="2">
        <v>22</v>
      </c>
      <c r="F301" s="2">
        <v>4</v>
      </c>
      <c r="G301" s="2">
        <v>2</v>
      </c>
      <c r="H301" s="2">
        <v>80000</v>
      </c>
      <c r="I301" s="2">
        <v>100</v>
      </c>
      <c r="J301" s="2" t="s">
        <v>1671</v>
      </c>
      <c r="K301" s="2">
        <v>41</v>
      </c>
      <c r="L301" s="2">
        <v>10</v>
      </c>
      <c r="M301" s="2">
        <v>5</v>
      </c>
      <c r="N301" s="2">
        <v>6</v>
      </c>
      <c r="O301" s="2">
        <v>10</v>
      </c>
      <c r="P301" s="2">
        <v>10</v>
      </c>
      <c r="Q301" s="2" t="s">
        <v>2483</v>
      </c>
      <c r="R301" s="2" t="s">
        <v>2483</v>
      </c>
      <c r="S301" s="4">
        <v>44837</v>
      </c>
    </row>
    <row r="302" spans="1:19" ht="12.5" x14ac:dyDescent="0.25">
      <c r="A302" s="14" t="str">
        <f>HYPERLINK("https://gerandofalcoes.my.salesforce.com/0014P00003YSp8cQAD", "0014P00003YSp8cQAD")</f>
        <v>0014P00003YSp8cQAD</v>
      </c>
      <c r="B302" s="2" t="s">
        <v>1768</v>
      </c>
      <c r="C302" s="2" t="s">
        <v>423</v>
      </c>
      <c r="D302" s="2" t="s">
        <v>2</v>
      </c>
      <c r="E302" s="2">
        <v>35</v>
      </c>
      <c r="F302" s="2">
        <v>8</v>
      </c>
      <c r="G302" s="2">
        <v>3</v>
      </c>
      <c r="H302" s="2">
        <v>100000</v>
      </c>
      <c r="I302" s="2">
        <v>4682</v>
      </c>
      <c r="J302" s="2" t="s">
        <v>1650</v>
      </c>
      <c r="K302" s="2">
        <v>68</v>
      </c>
      <c r="L302" s="2">
        <v>15</v>
      </c>
      <c r="M302" s="2">
        <v>10</v>
      </c>
      <c r="N302" s="2">
        <v>8</v>
      </c>
      <c r="O302" s="2">
        <v>15</v>
      </c>
      <c r="P302" s="2">
        <v>20</v>
      </c>
      <c r="Q302" s="2" t="s">
        <v>1769</v>
      </c>
      <c r="R302" s="2" t="s">
        <v>1769</v>
      </c>
      <c r="S302" s="4">
        <v>44837</v>
      </c>
    </row>
    <row r="303" spans="1:19" ht="12.5" x14ac:dyDescent="0.25">
      <c r="A303" s="14" t="str">
        <f>HYPERLINK("https://gerandofalcoes.my.salesforce.com/0014P00003YSp8dQAD", "0014P00003YSp8dQAD")</f>
        <v>0014P00003YSp8dQAD</v>
      </c>
      <c r="B303" s="2" t="s">
        <v>2925</v>
      </c>
      <c r="C303" s="2" t="s">
        <v>423</v>
      </c>
      <c r="D303" s="2" t="s">
        <v>2</v>
      </c>
      <c r="E303" s="2">
        <v>7</v>
      </c>
      <c r="F303" s="2">
        <v>3</v>
      </c>
      <c r="G303" s="2">
        <v>2</v>
      </c>
      <c r="H303" s="2">
        <v>0</v>
      </c>
      <c r="I303" s="2">
        <v>135</v>
      </c>
      <c r="J303" s="2" t="s">
        <v>1779</v>
      </c>
      <c r="K303" s="2">
        <v>31</v>
      </c>
      <c r="L303" s="2">
        <v>10</v>
      </c>
      <c r="M303" s="2">
        <v>5</v>
      </c>
      <c r="N303" s="2">
        <v>6</v>
      </c>
      <c r="O303" s="2">
        <v>0</v>
      </c>
      <c r="P303" s="2">
        <v>10</v>
      </c>
      <c r="Q303" s="2" t="s">
        <v>2926</v>
      </c>
      <c r="R303" s="2" t="s">
        <v>2926</v>
      </c>
      <c r="S303" s="4">
        <v>44837</v>
      </c>
    </row>
    <row r="304" spans="1:19" ht="12.5" x14ac:dyDescent="0.25">
      <c r="A304" s="14" t="str">
        <f>HYPERLINK("https://gerandofalcoes.my.salesforce.com/0014X00002VKCq1QAH", "0014X00002VKCq1QAH")</f>
        <v>0014X00002VKCq1QAH</v>
      </c>
      <c r="B304" s="2" t="s">
        <v>2164</v>
      </c>
      <c r="C304" s="2" t="s">
        <v>423</v>
      </c>
      <c r="D304" s="2" t="s">
        <v>2</v>
      </c>
      <c r="E304" s="2">
        <v>33</v>
      </c>
      <c r="F304" s="2">
        <v>0</v>
      </c>
      <c r="G304" s="2">
        <v>2</v>
      </c>
      <c r="H304" s="2">
        <v>5000</v>
      </c>
      <c r="I304" s="2">
        <v>50</v>
      </c>
      <c r="J304" s="2" t="s">
        <v>1779</v>
      </c>
      <c r="K304" s="2">
        <v>31</v>
      </c>
      <c r="L304" s="2">
        <v>15</v>
      </c>
      <c r="M304" s="2">
        <v>0</v>
      </c>
      <c r="N304" s="2">
        <v>6</v>
      </c>
      <c r="O304" s="2">
        <v>5</v>
      </c>
      <c r="P304" s="2">
        <v>5</v>
      </c>
      <c r="Q304" s="2" t="s">
        <v>2165</v>
      </c>
      <c r="R304" s="2" t="s">
        <v>2166</v>
      </c>
      <c r="S304" s="4">
        <v>44837</v>
      </c>
    </row>
    <row r="305" spans="1:19" ht="12.5" x14ac:dyDescent="0.25">
      <c r="A305" s="14" t="str">
        <f>HYPERLINK("https://gerandofalcoes.my.salesforce.com/0014X00002VKCoxQAH", "0014X00002VKCoxQAH")</f>
        <v>0014X00002VKCoxQAH</v>
      </c>
      <c r="B305" s="2" t="s">
        <v>2582</v>
      </c>
      <c r="C305" s="2" t="s">
        <v>423</v>
      </c>
      <c r="D305" s="2" t="s">
        <v>2</v>
      </c>
      <c r="E305" s="2">
        <v>38</v>
      </c>
      <c r="F305" s="2">
        <v>6</v>
      </c>
      <c r="G305" s="2">
        <v>3</v>
      </c>
      <c r="H305" s="2">
        <v>0</v>
      </c>
      <c r="I305" s="2">
        <v>20</v>
      </c>
      <c r="J305" s="2" t="s">
        <v>1779</v>
      </c>
      <c r="K305" s="2">
        <v>38</v>
      </c>
      <c r="L305" s="2">
        <v>15</v>
      </c>
      <c r="M305" s="2">
        <v>10</v>
      </c>
      <c r="N305" s="2">
        <v>8</v>
      </c>
      <c r="O305" s="2">
        <v>0</v>
      </c>
      <c r="P305" s="2">
        <v>5</v>
      </c>
      <c r="Q305" s="2" t="s">
        <v>2583</v>
      </c>
      <c r="R305" s="2" t="s">
        <v>2584</v>
      </c>
      <c r="S305" s="4">
        <v>44837</v>
      </c>
    </row>
    <row r="306" spans="1:19" ht="12.5" x14ac:dyDescent="0.25">
      <c r="A306" s="14" t="str">
        <f>HYPERLINK("https://gerandofalcoes.my.salesforce.com/0014X00002VKCsVQAX", "0014X00002VKCsVQAX")</f>
        <v>0014X00002VKCsVQAX</v>
      </c>
      <c r="B306" s="2" t="s">
        <v>1785</v>
      </c>
      <c r="C306" s="2" t="s">
        <v>423</v>
      </c>
      <c r="D306" s="2" t="s">
        <v>2</v>
      </c>
      <c r="E306" s="2">
        <v>56</v>
      </c>
      <c r="F306" s="2">
        <v>0</v>
      </c>
      <c r="G306" s="2">
        <v>3</v>
      </c>
      <c r="H306" s="2">
        <v>22800</v>
      </c>
      <c r="I306" s="2">
        <v>80</v>
      </c>
      <c r="J306" s="2" t="s">
        <v>1671</v>
      </c>
      <c r="K306" s="2">
        <v>43</v>
      </c>
      <c r="L306" s="2">
        <v>20</v>
      </c>
      <c r="M306" s="2">
        <v>0</v>
      </c>
      <c r="N306" s="2">
        <v>8</v>
      </c>
      <c r="O306" s="2">
        <v>5</v>
      </c>
      <c r="P306" s="2">
        <v>10</v>
      </c>
      <c r="Q306" s="2" t="s">
        <v>1786</v>
      </c>
      <c r="R306" s="2" t="s">
        <v>1787</v>
      </c>
      <c r="S306" s="4">
        <v>44837</v>
      </c>
    </row>
    <row r="307" spans="1:19" ht="12.5" x14ac:dyDescent="0.25">
      <c r="A307" s="14" t="str">
        <f>HYPERLINK("https://gerandofalcoes.my.salesforce.com/0014X00002VKCqXQAX", "0014X00002VKCqXQAX")</f>
        <v>0014X00002VKCqXQAX</v>
      </c>
      <c r="B307" s="2" t="s">
        <v>2301</v>
      </c>
      <c r="C307" s="2" t="s">
        <v>1800</v>
      </c>
      <c r="D307" s="2" t="s">
        <v>2</v>
      </c>
      <c r="E307" s="2">
        <v>29</v>
      </c>
      <c r="F307" s="2">
        <v>0</v>
      </c>
      <c r="G307" s="2">
        <v>5</v>
      </c>
      <c r="H307" s="2">
        <v>70000</v>
      </c>
      <c r="I307" s="2">
        <v>100</v>
      </c>
      <c r="J307" s="2" t="s">
        <v>1671</v>
      </c>
      <c r="K307" s="2">
        <v>45</v>
      </c>
      <c r="L307" s="2">
        <v>15</v>
      </c>
      <c r="M307" s="2">
        <v>0</v>
      </c>
      <c r="N307" s="2">
        <v>10</v>
      </c>
      <c r="O307" s="2">
        <v>10</v>
      </c>
      <c r="P307" s="2">
        <v>10</v>
      </c>
      <c r="Q307" s="2" t="s">
        <v>2302</v>
      </c>
      <c r="R307" s="2" t="s">
        <v>2303</v>
      </c>
      <c r="S307" s="4">
        <v>44837</v>
      </c>
    </row>
    <row r="308" spans="1:19" ht="12.5" x14ac:dyDescent="0.25">
      <c r="A308" s="14" t="str">
        <f>HYPERLINK("https://gerandofalcoes.my.salesforce.com/0014X00002VKCouQAH", "0014X00002VKCouQAH")</f>
        <v>0014X00002VKCouQAH</v>
      </c>
      <c r="B308" s="2" t="s">
        <v>2642</v>
      </c>
      <c r="C308" s="2" t="s">
        <v>1800</v>
      </c>
      <c r="D308" s="2" t="s">
        <v>2</v>
      </c>
      <c r="E308" s="2">
        <v>18</v>
      </c>
      <c r="F308" s="2">
        <v>0</v>
      </c>
      <c r="G308" s="2">
        <v>2</v>
      </c>
      <c r="H308" s="2">
        <v>11000</v>
      </c>
      <c r="I308" s="2">
        <v>0</v>
      </c>
      <c r="J308" s="2" t="s">
        <v>1779</v>
      </c>
      <c r="K308" s="2">
        <v>21</v>
      </c>
      <c r="L308" s="2">
        <v>10</v>
      </c>
      <c r="M308" s="2">
        <v>0</v>
      </c>
      <c r="N308" s="2">
        <v>6</v>
      </c>
      <c r="O308" s="2">
        <v>5</v>
      </c>
      <c r="P308" s="2">
        <v>0</v>
      </c>
      <c r="Q308" s="2" t="s">
        <v>2643</v>
      </c>
      <c r="R308" s="2" t="s">
        <v>2643</v>
      </c>
      <c r="S308" s="4">
        <v>44837</v>
      </c>
    </row>
    <row r="309" spans="1:19" ht="12.5" x14ac:dyDescent="0.25">
      <c r="A309" s="14" t="str">
        <f>HYPERLINK("https://gerandofalcoes.my.salesforce.com/0014X00002VKCpvQAH", "0014X00002VKCpvQAH")</f>
        <v>0014X00002VKCpvQAH</v>
      </c>
      <c r="B309" s="2" t="s">
        <v>2967</v>
      </c>
      <c r="C309" s="2" t="s">
        <v>423</v>
      </c>
      <c r="D309" s="2" t="s">
        <v>2</v>
      </c>
      <c r="E309" s="2">
        <v>10</v>
      </c>
      <c r="F309" s="2">
        <v>1</v>
      </c>
      <c r="G309" s="2">
        <v>2</v>
      </c>
      <c r="H309" s="2">
        <v>500</v>
      </c>
      <c r="I309" s="2">
        <v>15</v>
      </c>
      <c r="J309" s="2" t="s">
        <v>1779</v>
      </c>
      <c r="K309" s="2">
        <v>31</v>
      </c>
      <c r="L309" s="2">
        <v>10</v>
      </c>
      <c r="M309" s="2">
        <v>5</v>
      </c>
      <c r="N309" s="2">
        <v>6</v>
      </c>
      <c r="O309" s="2">
        <v>5</v>
      </c>
      <c r="P309" s="2">
        <v>5</v>
      </c>
      <c r="Q309" s="2" t="s">
        <v>2968</v>
      </c>
      <c r="R309" s="2" t="s">
        <v>2969</v>
      </c>
      <c r="S309" s="4">
        <v>44837</v>
      </c>
    </row>
    <row r="310" spans="1:19" ht="12.5" x14ac:dyDescent="0.25">
      <c r="A310" s="14" t="str">
        <f>HYPERLINK("https://gerandofalcoes.my.salesforce.com/0014X00002VKCrDQAX", "0014X00002VKCrDQAX")</f>
        <v>0014X00002VKCrDQAX</v>
      </c>
      <c r="B310" s="2" t="s">
        <v>2755</v>
      </c>
      <c r="C310" s="2" t="s">
        <v>423</v>
      </c>
      <c r="D310" s="2" t="s">
        <v>2</v>
      </c>
      <c r="E310" s="2">
        <v>14</v>
      </c>
      <c r="F310" s="2">
        <v>2</v>
      </c>
      <c r="G310" s="2">
        <v>2</v>
      </c>
      <c r="H310" s="2">
        <v>0</v>
      </c>
      <c r="I310" s="2">
        <v>60</v>
      </c>
      <c r="J310" s="2" t="s">
        <v>1779</v>
      </c>
      <c r="K310" s="2">
        <v>26</v>
      </c>
      <c r="L310" s="2">
        <v>10</v>
      </c>
      <c r="M310" s="2">
        <v>5</v>
      </c>
      <c r="N310" s="2">
        <v>6</v>
      </c>
      <c r="O310" s="2">
        <v>0</v>
      </c>
      <c r="P310" s="2">
        <v>5</v>
      </c>
      <c r="Q310" s="2" t="s">
        <v>2756</v>
      </c>
      <c r="R310" s="2" t="s">
        <v>2756</v>
      </c>
      <c r="S310" s="4">
        <v>44837</v>
      </c>
    </row>
    <row r="311" spans="1:19" ht="12.5" x14ac:dyDescent="0.25">
      <c r="A311" s="14" t="str">
        <f>HYPERLINK("https://gerandofalcoes.my.salesforce.com/0014X00002VKCqRQAX", "0014X00002VKCqRQAX")</f>
        <v>0014X00002VKCqRQAX</v>
      </c>
      <c r="B311" s="2" t="s">
        <v>1758</v>
      </c>
      <c r="C311" s="2" t="s">
        <v>423</v>
      </c>
      <c r="D311" s="2" t="s">
        <v>2</v>
      </c>
      <c r="E311" s="2">
        <v>56</v>
      </c>
      <c r="F311" s="2">
        <v>0</v>
      </c>
      <c r="G311" s="2">
        <v>2</v>
      </c>
      <c r="H311" s="2">
        <v>418318</v>
      </c>
      <c r="I311" s="2">
        <v>120</v>
      </c>
      <c r="J311" s="2" t="s">
        <v>1671</v>
      </c>
      <c r="K311" s="2">
        <v>56</v>
      </c>
      <c r="L311" s="2">
        <v>20</v>
      </c>
      <c r="M311" s="2">
        <v>0</v>
      </c>
      <c r="N311" s="2">
        <v>6</v>
      </c>
      <c r="O311" s="2">
        <v>20</v>
      </c>
      <c r="P311" s="2">
        <v>10</v>
      </c>
      <c r="Q311" s="2" t="s">
        <v>1759</v>
      </c>
      <c r="R311" s="2" t="s">
        <v>1760</v>
      </c>
      <c r="S311" s="4">
        <v>44837</v>
      </c>
    </row>
    <row r="312" spans="1:19" ht="12.5" x14ac:dyDescent="0.25">
      <c r="A312" s="14" t="str">
        <f>HYPERLINK("https://gerandofalcoes.my.salesforce.com/0014X00002VKCr1QAH", "0014X00002VKCr1QAH")</f>
        <v>0014X00002VKCr1QAH</v>
      </c>
      <c r="B312" s="2" t="s">
        <v>2494</v>
      </c>
      <c r="C312" s="2" t="s">
        <v>423</v>
      </c>
      <c r="D312" s="2" t="s">
        <v>2</v>
      </c>
      <c r="E312" s="2">
        <v>44</v>
      </c>
      <c r="F312" s="2">
        <v>5</v>
      </c>
      <c r="G312" s="2">
        <v>2</v>
      </c>
      <c r="H312" s="2">
        <v>65000</v>
      </c>
      <c r="I312" s="2">
        <v>50</v>
      </c>
      <c r="J312" s="2" t="s">
        <v>1671</v>
      </c>
      <c r="K312" s="2">
        <v>41</v>
      </c>
      <c r="L312" s="2">
        <v>15</v>
      </c>
      <c r="M312" s="2">
        <v>5</v>
      </c>
      <c r="N312" s="2">
        <v>6</v>
      </c>
      <c r="O312" s="2">
        <v>10</v>
      </c>
      <c r="P312" s="2">
        <v>5</v>
      </c>
      <c r="Q312" s="2" t="s">
        <v>2495</v>
      </c>
      <c r="R312" s="2" t="s">
        <v>2496</v>
      </c>
      <c r="S312" s="4">
        <v>44837</v>
      </c>
    </row>
    <row r="313" spans="1:19" ht="12.5" x14ac:dyDescent="0.25">
      <c r="A313" s="14" t="str">
        <f>HYPERLINK("https://gerandofalcoes.my.salesforce.com/0014X00002VKCuWQAX", "0014X00002VKCuWQAX")</f>
        <v>0014X00002VKCuWQAX</v>
      </c>
      <c r="B313" s="2" t="s">
        <v>1930</v>
      </c>
      <c r="C313" s="2" t="s">
        <v>423</v>
      </c>
      <c r="D313" s="2" t="s">
        <v>2</v>
      </c>
      <c r="E313" s="2">
        <v>42</v>
      </c>
      <c r="F313" s="2">
        <v>35</v>
      </c>
      <c r="G313" s="2">
        <v>4</v>
      </c>
      <c r="H313" s="2">
        <v>30000</v>
      </c>
      <c r="I313" s="2">
        <v>60</v>
      </c>
      <c r="J313" s="2" t="s">
        <v>1671</v>
      </c>
      <c r="K313" s="2">
        <v>55</v>
      </c>
      <c r="L313" s="2">
        <v>15</v>
      </c>
      <c r="M313" s="2">
        <v>15</v>
      </c>
      <c r="N313" s="2">
        <v>10</v>
      </c>
      <c r="O313" s="2">
        <v>10</v>
      </c>
      <c r="P313" s="2">
        <v>5</v>
      </c>
      <c r="Q313" s="2" t="s">
        <v>1931</v>
      </c>
      <c r="R313" s="2" t="s">
        <v>1931</v>
      </c>
      <c r="S313" s="4">
        <v>44837</v>
      </c>
    </row>
    <row r="314" spans="1:19" ht="12.5" x14ac:dyDescent="0.25">
      <c r="A314" s="14" t="str">
        <f>HYPERLINK("https://gerandofalcoes.my.salesforce.com/0014X00002VKCpsQAH", "0014X00002VKCpsQAH")</f>
        <v>0014X00002VKCpsQAH</v>
      </c>
      <c r="B314" s="2" t="s">
        <v>1764</v>
      </c>
      <c r="C314" s="2" t="s">
        <v>423</v>
      </c>
      <c r="D314" s="2" t="s">
        <v>2</v>
      </c>
      <c r="E314" s="2">
        <v>52</v>
      </c>
      <c r="F314" s="2">
        <v>36</v>
      </c>
      <c r="G314" s="2">
        <v>3</v>
      </c>
      <c r="H314" s="2">
        <v>0</v>
      </c>
      <c r="I314" s="2">
        <v>1400</v>
      </c>
      <c r="J314" s="2" t="s">
        <v>1671</v>
      </c>
      <c r="K314" s="2">
        <v>63</v>
      </c>
      <c r="L314" s="2">
        <v>20</v>
      </c>
      <c r="M314" s="2">
        <v>15</v>
      </c>
      <c r="N314" s="2">
        <v>8</v>
      </c>
      <c r="O314" s="2">
        <v>0</v>
      </c>
      <c r="P314" s="2">
        <v>20</v>
      </c>
      <c r="Q314" s="2" t="s">
        <v>1765</v>
      </c>
      <c r="R314" s="2" t="s">
        <v>1766</v>
      </c>
      <c r="S314" s="4">
        <v>44837</v>
      </c>
    </row>
    <row r="315" spans="1:19" ht="12.5" x14ac:dyDescent="0.25">
      <c r="A315" s="14" t="str">
        <f>HYPERLINK("https://gerandofalcoes.my.salesforce.com/0014X00002VKCuIQAX", "0014X00002VKCuIQAX")</f>
        <v>0014X00002VKCuIQAX</v>
      </c>
      <c r="B315" s="2" t="s">
        <v>2217</v>
      </c>
      <c r="C315" s="2" t="s">
        <v>423</v>
      </c>
      <c r="D315" s="2" t="s">
        <v>2</v>
      </c>
      <c r="E315" s="2">
        <v>32</v>
      </c>
      <c r="F315" s="2">
        <v>0</v>
      </c>
      <c r="G315" s="2">
        <v>2</v>
      </c>
      <c r="H315" s="2">
        <v>10000</v>
      </c>
      <c r="I315" s="2">
        <v>250</v>
      </c>
      <c r="J315" s="2" t="s">
        <v>1779</v>
      </c>
      <c r="K315" s="2">
        <v>38</v>
      </c>
      <c r="L315" s="2">
        <v>15</v>
      </c>
      <c r="M315" s="2">
        <v>0</v>
      </c>
      <c r="N315" s="2">
        <v>6</v>
      </c>
      <c r="O315" s="2">
        <v>5</v>
      </c>
      <c r="P315" s="2">
        <v>12</v>
      </c>
      <c r="Q315" s="2" t="s">
        <v>2218</v>
      </c>
      <c r="R315" s="2" t="s">
        <v>2219</v>
      </c>
      <c r="S315" s="4">
        <v>44837</v>
      </c>
    </row>
    <row r="316" spans="1:19" ht="12.5" x14ac:dyDescent="0.25">
      <c r="A316" s="14" t="str">
        <f>HYPERLINK("https://gerandofalcoes.my.salesforce.com/0014X00002VKCt4QAH", "0014X00002VKCt4QAH")</f>
        <v>0014X00002VKCt4QAH</v>
      </c>
      <c r="B316" s="2" t="s">
        <v>1841</v>
      </c>
      <c r="C316" s="2" t="s">
        <v>423</v>
      </c>
      <c r="D316" s="2" t="s">
        <v>2</v>
      </c>
      <c r="E316" s="2">
        <v>80</v>
      </c>
      <c r="F316" s="2">
        <v>0</v>
      </c>
      <c r="G316" s="2">
        <v>4</v>
      </c>
      <c r="H316" s="2">
        <v>140473</v>
      </c>
      <c r="I316" s="2">
        <v>87</v>
      </c>
      <c r="J316" s="2" t="s">
        <v>1671</v>
      </c>
      <c r="K316" s="2">
        <v>60</v>
      </c>
      <c r="L316" s="2">
        <v>25</v>
      </c>
      <c r="M316" s="2">
        <v>0</v>
      </c>
      <c r="N316" s="2">
        <v>10</v>
      </c>
      <c r="O316" s="2">
        <v>15</v>
      </c>
      <c r="P316" s="2">
        <v>10</v>
      </c>
      <c r="Q316" s="2" t="s">
        <v>1842</v>
      </c>
      <c r="R316" s="2" t="s">
        <v>1843</v>
      </c>
      <c r="S316" s="4">
        <v>44837</v>
      </c>
    </row>
    <row r="317" spans="1:19" ht="12.5" x14ac:dyDescent="0.25">
      <c r="A317" s="14" t="str">
        <f>HYPERLINK("https://gerandofalcoes.my.salesforce.com/0014X00002VKCuPQAX", "0014X00002VKCuPQAX")</f>
        <v>0014X00002VKCuPQAX</v>
      </c>
      <c r="B317" s="2" t="s">
        <v>2909</v>
      </c>
      <c r="C317" s="2" t="s">
        <v>423</v>
      </c>
      <c r="D317" s="2" t="s">
        <v>2</v>
      </c>
      <c r="E317" s="2">
        <v>24</v>
      </c>
      <c r="F317" s="2">
        <v>0</v>
      </c>
      <c r="G317" s="2">
        <v>2</v>
      </c>
      <c r="H317" s="2">
        <v>0</v>
      </c>
      <c r="I317" s="2">
        <v>0</v>
      </c>
      <c r="J317" s="2" t="s">
        <v>1779</v>
      </c>
      <c r="K317" s="2">
        <v>16</v>
      </c>
      <c r="L317" s="2">
        <v>10</v>
      </c>
      <c r="M317" s="2">
        <v>0</v>
      </c>
      <c r="N317" s="2">
        <v>6</v>
      </c>
      <c r="O317" s="2">
        <v>0</v>
      </c>
      <c r="P317" s="2">
        <v>0</v>
      </c>
      <c r="Q317" s="2" t="s">
        <v>2910</v>
      </c>
      <c r="R317" s="2" t="s">
        <v>2911</v>
      </c>
      <c r="S317" s="4">
        <v>44837</v>
      </c>
    </row>
    <row r="318" spans="1:19" ht="12.5" x14ac:dyDescent="0.25">
      <c r="A318" s="14" t="str">
        <f>HYPERLINK("https://gerandofalcoes.my.salesforce.com/0014X00002VKCpxQAH", "0014X00002VKCpxQAH")</f>
        <v>0014X00002VKCpxQAH</v>
      </c>
      <c r="B318" s="2" t="s">
        <v>2551</v>
      </c>
      <c r="C318" s="2" t="s">
        <v>1800</v>
      </c>
      <c r="D318" s="2" t="s">
        <v>2</v>
      </c>
      <c r="E318" s="2">
        <v>20</v>
      </c>
      <c r="F318" s="2">
        <v>5</v>
      </c>
      <c r="G318" s="2">
        <v>7</v>
      </c>
      <c r="H318" s="2">
        <v>21530</v>
      </c>
      <c r="I318" s="2">
        <v>387</v>
      </c>
      <c r="J318" s="2" t="s">
        <v>1671</v>
      </c>
      <c r="K318" s="2">
        <v>45</v>
      </c>
      <c r="L318" s="2">
        <v>10</v>
      </c>
      <c r="M318" s="2">
        <v>5</v>
      </c>
      <c r="N318" s="2">
        <v>10</v>
      </c>
      <c r="O318" s="2">
        <v>5</v>
      </c>
      <c r="P318" s="2">
        <v>15</v>
      </c>
      <c r="Q318" s="2" t="s">
        <v>2552</v>
      </c>
      <c r="R318" s="2" t="s">
        <v>2553</v>
      </c>
      <c r="S318" s="4">
        <v>44837</v>
      </c>
    </row>
    <row r="319" spans="1:19" ht="12.5" x14ac:dyDescent="0.25">
      <c r="A319" s="14" t="str">
        <f>HYPERLINK("https://gerandofalcoes.my.salesforce.com/0014X00002VKCqgQAH", "0014X00002VKCqgQAH")</f>
        <v>0014X00002VKCqgQAH</v>
      </c>
      <c r="B319" s="2" t="s">
        <v>1816</v>
      </c>
      <c r="C319" s="2" t="s">
        <v>423</v>
      </c>
      <c r="D319" s="2" t="s">
        <v>2</v>
      </c>
      <c r="E319" s="2">
        <v>43</v>
      </c>
      <c r="F319" s="2">
        <v>12</v>
      </c>
      <c r="G319" s="2">
        <v>6</v>
      </c>
      <c r="H319" s="2">
        <v>400000</v>
      </c>
      <c r="I319" s="2">
        <v>480</v>
      </c>
      <c r="J319" s="2" t="s">
        <v>1650</v>
      </c>
      <c r="K319" s="2">
        <v>77</v>
      </c>
      <c r="L319" s="2">
        <v>15</v>
      </c>
      <c r="M319" s="2">
        <v>12</v>
      </c>
      <c r="N319" s="2">
        <v>10</v>
      </c>
      <c r="O319" s="2">
        <v>20</v>
      </c>
      <c r="P319" s="2">
        <v>20</v>
      </c>
      <c r="Q319" s="2" t="s">
        <v>1818</v>
      </c>
      <c r="R319" s="2" t="s">
        <v>1818</v>
      </c>
      <c r="S319" s="4">
        <v>44837</v>
      </c>
    </row>
    <row r="320" spans="1:19" ht="12.5" x14ac:dyDescent="0.25">
      <c r="A320" s="14" t="str">
        <f>HYPERLINK("https://gerandofalcoes.my.salesforce.com/0014X00002VKCpmQAH", "0014X00002VKCpmQAH")</f>
        <v>0014X00002VKCpmQAH</v>
      </c>
      <c r="B320" s="2" t="s">
        <v>2555</v>
      </c>
      <c r="C320" s="2" t="s">
        <v>1800</v>
      </c>
      <c r="D320" s="2" t="s">
        <v>2</v>
      </c>
      <c r="E320" s="2">
        <v>20</v>
      </c>
      <c r="F320" s="2">
        <v>0</v>
      </c>
      <c r="G320" s="2">
        <v>3</v>
      </c>
      <c r="H320" s="2">
        <v>7000</v>
      </c>
      <c r="I320" s="2">
        <v>80</v>
      </c>
      <c r="J320" s="2" t="s">
        <v>1779</v>
      </c>
      <c r="K320" s="2">
        <v>33</v>
      </c>
      <c r="L320" s="2">
        <v>10</v>
      </c>
      <c r="M320" s="2">
        <v>0</v>
      </c>
      <c r="N320" s="2">
        <v>8</v>
      </c>
      <c r="O320" s="2">
        <v>5</v>
      </c>
      <c r="P320" s="2">
        <v>10</v>
      </c>
      <c r="Q320" s="2" t="s">
        <v>2556</v>
      </c>
      <c r="R320" s="2" t="s">
        <v>2556</v>
      </c>
      <c r="S320" s="4">
        <v>44837</v>
      </c>
    </row>
    <row r="321" spans="1:19" ht="12.5" x14ac:dyDescent="0.25">
      <c r="A321" s="14" t="str">
        <f>HYPERLINK("https://gerandofalcoes.my.salesforce.com/0014X00002VKCuzQAH", "0014X00002VKCuzQAH")</f>
        <v>0014X00002VKCuzQAH</v>
      </c>
      <c r="B321" s="2" t="s">
        <v>2117</v>
      </c>
      <c r="C321" s="2" t="s">
        <v>423</v>
      </c>
      <c r="D321" s="2" t="s">
        <v>2</v>
      </c>
      <c r="E321" s="2">
        <v>35</v>
      </c>
      <c r="F321" s="2">
        <v>0</v>
      </c>
      <c r="G321" s="2">
        <v>3</v>
      </c>
      <c r="H321" s="2">
        <v>34878</v>
      </c>
      <c r="I321" s="2">
        <v>6</v>
      </c>
      <c r="J321" s="2" t="s">
        <v>1779</v>
      </c>
      <c r="K321" s="2">
        <v>38</v>
      </c>
      <c r="L321" s="2">
        <v>15</v>
      </c>
      <c r="M321" s="2">
        <v>0</v>
      </c>
      <c r="N321" s="2">
        <v>8</v>
      </c>
      <c r="O321" s="2">
        <v>10</v>
      </c>
      <c r="P321" s="2">
        <v>5</v>
      </c>
      <c r="Q321" s="2" t="s">
        <v>2118</v>
      </c>
      <c r="R321" s="2" t="s">
        <v>2119</v>
      </c>
      <c r="S321" s="4">
        <v>44837</v>
      </c>
    </row>
    <row r="322" spans="1:19" ht="12.5" x14ac:dyDescent="0.25">
      <c r="A322" s="14" t="str">
        <f>HYPERLINK("https://gerandofalcoes.my.salesforce.com/0014X00002VKCq5QAH", "0014X00002VKCq5QAH")</f>
        <v>0014X00002VKCq5QAH</v>
      </c>
      <c r="B322" s="2" t="s">
        <v>2304</v>
      </c>
      <c r="C322" s="2" t="s">
        <v>1800</v>
      </c>
      <c r="D322" s="2" t="s">
        <v>2</v>
      </c>
      <c r="E322" s="2">
        <v>29</v>
      </c>
      <c r="F322" s="2">
        <v>3</v>
      </c>
      <c r="G322" s="2">
        <v>3</v>
      </c>
      <c r="H322" s="2">
        <v>30000</v>
      </c>
      <c r="I322" s="2">
        <v>50</v>
      </c>
      <c r="J322" s="2" t="s">
        <v>1671</v>
      </c>
      <c r="K322" s="2">
        <v>43</v>
      </c>
      <c r="L322" s="2">
        <v>15</v>
      </c>
      <c r="M322" s="2">
        <v>5</v>
      </c>
      <c r="N322" s="2">
        <v>8</v>
      </c>
      <c r="O322" s="2">
        <v>10</v>
      </c>
      <c r="P322" s="2">
        <v>5</v>
      </c>
      <c r="Q322" s="2" t="s">
        <v>2305</v>
      </c>
      <c r="R322" s="2" t="s">
        <v>2306</v>
      </c>
      <c r="S322" s="4">
        <v>44837</v>
      </c>
    </row>
    <row r="323" spans="1:19" ht="12.5" x14ac:dyDescent="0.25">
      <c r="A323" s="14" t="str">
        <f>HYPERLINK("https://gerandofalcoes.my.salesforce.com/0014X00002VKCtIQAX", "0014X00002VKCtIQAX")</f>
        <v>0014X00002VKCtIQAX</v>
      </c>
      <c r="B323" s="2" t="s">
        <v>1927</v>
      </c>
      <c r="C323" s="2" t="s">
        <v>423</v>
      </c>
      <c r="D323" s="2" t="s">
        <v>2</v>
      </c>
      <c r="E323" s="2">
        <v>42</v>
      </c>
      <c r="F323" s="2">
        <v>0</v>
      </c>
      <c r="G323" s="2">
        <v>6</v>
      </c>
      <c r="H323" s="2">
        <v>0</v>
      </c>
      <c r="I323" s="2">
        <v>180</v>
      </c>
      <c r="J323" s="2" t="s">
        <v>1779</v>
      </c>
      <c r="K323" s="2">
        <v>37</v>
      </c>
      <c r="L323" s="2">
        <v>15</v>
      </c>
      <c r="M323" s="2">
        <v>0</v>
      </c>
      <c r="N323" s="2">
        <v>10</v>
      </c>
      <c r="O323" s="2">
        <v>0</v>
      </c>
      <c r="P323" s="2">
        <v>12</v>
      </c>
      <c r="Q323" s="2" t="s">
        <v>1928</v>
      </c>
      <c r="R323" s="2" t="s">
        <v>1929</v>
      </c>
      <c r="S323" s="4">
        <v>44837</v>
      </c>
    </row>
    <row r="324" spans="1:19" ht="12.5" x14ac:dyDescent="0.25">
      <c r="A324" s="14" t="str">
        <f>HYPERLINK("https://gerandofalcoes.my.salesforce.com/0014X00002VKCufQAH", "0014X00002VKCufQAH")</f>
        <v>0014X00002VKCufQAH</v>
      </c>
      <c r="B324" s="2" t="s">
        <v>1895</v>
      </c>
      <c r="C324" s="2" t="s">
        <v>423</v>
      </c>
      <c r="D324" s="2" t="s">
        <v>2</v>
      </c>
      <c r="E324" s="2">
        <v>47</v>
      </c>
      <c r="F324" s="2">
        <v>5</v>
      </c>
      <c r="G324" s="2">
        <v>2</v>
      </c>
      <c r="H324" s="2">
        <v>11000</v>
      </c>
      <c r="I324" s="2">
        <v>50</v>
      </c>
      <c r="J324" s="2" t="s">
        <v>1779</v>
      </c>
      <c r="K324" s="2">
        <v>36</v>
      </c>
      <c r="L324" s="2">
        <v>15</v>
      </c>
      <c r="M324" s="2">
        <v>5</v>
      </c>
      <c r="N324" s="2">
        <v>6</v>
      </c>
      <c r="O324" s="2">
        <v>5</v>
      </c>
      <c r="P324" s="2">
        <v>5</v>
      </c>
      <c r="Q324" s="2" t="s">
        <v>1896</v>
      </c>
      <c r="R324" s="2" t="s">
        <v>1896</v>
      </c>
      <c r="S324" s="4">
        <v>44837</v>
      </c>
    </row>
    <row r="325" spans="1:19" ht="12.5" x14ac:dyDescent="0.25">
      <c r="A325" s="14" t="str">
        <f>HYPERLINK("https://gerandofalcoes.my.salesforce.com/0014X00002VKCuNQAX", "0014X00002VKCuNQAX")</f>
        <v>0014X00002VKCuNQAX</v>
      </c>
      <c r="B325" s="2" t="s">
        <v>1963</v>
      </c>
      <c r="C325" s="2" t="s">
        <v>1800</v>
      </c>
      <c r="D325" s="2" t="s">
        <v>2</v>
      </c>
      <c r="E325" s="2">
        <v>40</v>
      </c>
      <c r="F325" s="2">
        <v>0</v>
      </c>
      <c r="G325" s="2">
        <v>4</v>
      </c>
      <c r="H325" s="2">
        <v>52814</v>
      </c>
      <c r="I325" s="2">
        <v>96</v>
      </c>
      <c r="J325" s="2" t="s">
        <v>1671</v>
      </c>
      <c r="K325" s="2">
        <v>45</v>
      </c>
      <c r="L325" s="2">
        <v>15</v>
      </c>
      <c r="M325" s="2">
        <v>0</v>
      </c>
      <c r="N325" s="2">
        <v>10</v>
      </c>
      <c r="O325" s="2">
        <v>10</v>
      </c>
      <c r="P325" s="2">
        <v>10</v>
      </c>
      <c r="Q325" s="2" t="s">
        <v>1964</v>
      </c>
      <c r="R325" s="2" t="s">
        <v>1965</v>
      </c>
      <c r="S325" s="4">
        <v>44837</v>
      </c>
    </row>
    <row r="326" spans="1:19" ht="12.5" x14ac:dyDescent="0.25">
      <c r="A326" s="14" t="str">
        <f>HYPERLINK("https://gerandofalcoes.my.salesforce.com/0014X00002VKCuTQAX", "0014X00002VKCuTQAX")</f>
        <v>0014X00002VKCuTQAX</v>
      </c>
      <c r="B326" s="2" t="s">
        <v>1801</v>
      </c>
      <c r="C326" s="2" t="s">
        <v>423</v>
      </c>
      <c r="D326" s="2" t="s">
        <v>2</v>
      </c>
      <c r="E326" s="2">
        <v>53</v>
      </c>
      <c r="F326" s="2">
        <v>14</v>
      </c>
      <c r="G326" s="2">
        <v>2</v>
      </c>
      <c r="H326" s="2">
        <v>350000</v>
      </c>
      <c r="I326" s="2">
        <v>58</v>
      </c>
      <c r="J326" s="2" t="s">
        <v>1671</v>
      </c>
      <c r="K326" s="2">
        <v>63</v>
      </c>
      <c r="L326" s="2">
        <v>20</v>
      </c>
      <c r="M326" s="2">
        <v>12</v>
      </c>
      <c r="N326" s="2">
        <v>6</v>
      </c>
      <c r="O326" s="2">
        <v>20</v>
      </c>
      <c r="P326" s="2">
        <v>5</v>
      </c>
      <c r="Q326" s="2" t="s">
        <v>1802</v>
      </c>
      <c r="R326" s="2" t="s">
        <v>1803</v>
      </c>
      <c r="S326" s="4">
        <v>44837</v>
      </c>
    </row>
    <row r="327" spans="1:19" ht="12.5" x14ac:dyDescent="0.25">
      <c r="A327" s="14" t="str">
        <f>HYPERLINK("https://gerandofalcoes.my.salesforce.com/0014X00002VKCtOQAX", "0014X00002VKCtOQAX")</f>
        <v>0014X00002VKCtOQAX</v>
      </c>
      <c r="B327" s="2" t="s">
        <v>1986</v>
      </c>
      <c r="C327" s="2" t="s">
        <v>423</v>
      </c>
      <c r="D327" s="2" t="s">
        <v>2</v>
      </c>
      <c r="E327" s="2">
        <v>39</v>
      </c>
      <c r="F327" s="2">
        <v>0</v>
      </c>
      <c r="G327" s="2">
        <v>2</v>
      </c>
      <c r="H327" s="2">
        <v>4046</v>
      </c>
      <c r="I327" s="2">
        <v>75</v>
      </c>
      <c r="J327" s="2" t="s">
        <v>1779</v>
      </c>
      <c r="K327" s="2">
        <v>31</v>
      </c>
      <c r="L327" s="2">
        <v>15</v>
      </c>
      <c r="M327" s="2">
        <v>0</v>
      </c>
      <c r="N327" s="2">
        <v>6</v>
      </c>
      <c r="O327" s="2">
        <v>5</v>
      </c>
      <c r="P327" s="2">
        <v>5</v>
      </c>
      <c r="Q327" s="2" t="s">
        <v>1987</v>
      </c>
      <c r="R327" s="2" t="s">
        <v>1988</v>
      </c>
      <c r="S327" s="4">
        <v>44837</v>
      </c>
    </row>
    <row r="328" spans="1:19" ht="12.5" x14ac:dyDescent="0.25">
      <c r="A328" s="14" t="str">
        <f>HYPERLINK("https://gerandofalcoes.my.salesforce.com/0014X00002VKCqeQAH", "0014X00002VKCqeQAH")</f>
        <v>0014X00002VKCqeQAH</v>
      </c>
      <c r="B328" s="2" t="s">
        <v>2338</v>
      </c>
      <c r="C328" s="2" t="s">
        <v>423</v>
      </c>
      <c r="D328" s="2" t="s">
        <v>2</v>
      </c>
      <c r="E328" s="2">
        <v>13</v>
      </c>
      <c r="F328" s="2">
        <v>0</v>
      </c>
      <c r="G328" s="2">
        <v>3</v>
      </c>
      <c r="H328" s="2">
        <v>1000</v>
      </c>
      <c r="I328" s="2">
        <v>90</v>
      </c>
      <c r="J328" s="2" t="s">
        <v>1779</v>
      </c>
      <c r="K328" s="2">
        <v>33</v>
      </c>
      <c r="L328" s="2">
        <v>10</v>
      </c>
      <c r="M328" s="2">
        <v>0</v>
      </c>
      <c r="N328" s="2">
        <v>8</v>
      </c>
      <c r="O328" s="2">
        <v>5</v>
      </c>
      <c r="P328" s="2">
        <v>10</v>
      </c>
      <c r="Q328" s="2" t="s">
        <v>2339</v>
      </c>
      <c r="R328" s="2" t="s">
        <v>2339</v>
      </c>
      <c r="S328" s="4">
        <v>44837</v>
      </c>
    </row>
    <row r="329" spans="1:19" ht="12.5" x14ac:dyDescent="0.25">
      <c r="A329" s="14" t="str">
        <f>HYPERLINK("https://gerandofalcoes.my.salesforce.com/0014X00002VKCtWQAX", "0014X00002VKCtWQAX")</f>
        <v>0014X00002VKCtWQAX</v>
      </c>
      <c r="B329" s="2" t="s">
        <v>7164</v>
      </c>
      <c r="C329" s="2" t="s">
        <v>423</v>
      </c>
      <c r="D329" s="2" t="s">
        <v>2</v>
      </c>
      <c r="E329" s="2">
        <v>41</v>
      </c>
      <c r="F329" s="2">
        <v>0</v>
      </c>
      <c r="G329" s="2">
        <v>4</v>
      </c>
      <c r="H329" s="2">
        <v>1200</v>
      </c>
      <c r="I329" s="2">
        <v>250</v>
      </c>
      <c r="J329" s="2" t="s">
        <v>1671</v>
      </c>
      <c r="K329" s="2">
        <v>42</v>
      </c>
      <c r="L329" s="2">
        <v>15</v>
      </c>
      <c r="M329" s="2">
        <v>0</v>
      </c>
      <c r="N329" s="2">
        <v>10</v>
      </c>
      <c r="O329" s="2">
        <v>5</v>
      </c>
      <c r="P329" s="2">
        <v>12</v>
      </c>
      <c r="Q329" s="2" t="s">
        <v>2652</v>
      </c>
      <c r="R329" s="2" t="s">
        <v>2653</v>
      </c>
      <c r="S329" s="4">
        <v>44837</v>
      </c>
    </row>
    <row r="330" spans="1:19" ht="12.5" x14ac:dyDescent="0.25">
      <c r="A330" s="14" t="str">
        <f>HYPERLINK("https://gerandofalcoes.my.salesforce.com/0014X00002VKCqsQAH", "0014X00002VKCqsQAH")</f>
        <v>0014X00002VKCqsQAH</v>
      </c>
      <c r="B330" s="2" t="s">
        <v>2700</v>
      </c>
      <c r="C330" s="2" t="s">
        <v>423</v>
      </c>
      <c r="D330" s="2" t="s">
        <v>2</v>
      </c>
      <c r="E330" s="2">
        <v>33</v>
      </c>
      <c r="F330" s="2">
        <v>8</v>
      </c>
      <c r="G330" s="2">
        <v>2</v>
      </c>
      <c r="H330" s="2">
        <v>40000</v>
      </c>
      <c r="I330" s="2">
        <v>100</v>
      </c>
      <c r="J330" s="2" t="s">
        <v>1671</v>
      </c>
      <c r="K330" s="2">
        <v>51</v>
      </c>
      <c r="L330" s="2">
        <v>15</v>
      </c>
      <c r="M330" s="2">
        <v>10</v>
      </c>
      <c r="N330" s="2">
        <v>6</v>
      </c>
      <c r="O330" s="2">
        <v>10</v>
      </c>
      <c r="P330" s="2">
        <v>10</v>
      </c>
      <c r="Q330" s="2" t="s">
        <v>2701</v>
      </c>
      <c r="R330" s="2" t="s">
        <v>2702</v>
      </c>
      <c r="S330" s="4">
        <v>44837</v>
      </c>
    </row>
    <row r="331" spans="1:19" ht="12.5" x14ac:dyDescent="0.25">
      <c r="A331" s="14" t="str">
        <f>HYPERLINK("https://gerandofalcoes.my.salesforce.com/0014X00002VKCqLQAX", "0014X00002VKCqLQAX")</f>
        <v>0014X00002VKCqLQAX</v>
      </c>
      <c r="B331" s="2" t="s">
        <v>1871</v>
      </c>
      <c r="C331" s="2" t="s">
        <v>423</v>
      </c>
      <c r="D331" s="2" t="s">
        <v>2</v>
      </c>
      <c r="E331" s="2">
        <v>79</v>
      </c>
      <c r="F331" s="2">
        <v>462</v>
      </c>
      <c r="G331" s="2">
        <v>3</v>
      </c>
      <c r="H331" s="2">
        <v>1194973</v>
      </c>
      <c r="I331" s="2">
        <v>347</v>
      </c>
      <c r="J331" s="2" t="s">
        <v>1654</v>
      </c>
      <c r="K331" s="2">
        <v>88</v>
      </c>
      <c r="L331" s="2">
        <v>25</v>
      </c>
      <c r="M331" s="2">
        <v>15</v>
      </c>
      <c r="N331" s="2">
        <v>8</v>
      </c>
      <c r="O331" s="2">
        <v>25</v>
      </c>
      <c r="P331" s="2">
        <v>15</v>
      </c>
      <c r="Q331" s="2" t="s">
        <v>1872</v>
      </c>
      <c r="R331" s="2" t="s">
        <v>1873</v>
      </c>
      <c r="S331" s="4">
        <v>44837</v>
      </c>
    </row>
    <row r="332" spans="1:19" ht="12.5" x14ac:dyDescent="0.25">
      <c r="A332" s="14" t="str">
        <f>HYPERLINK("https://gerandofalcoes.my.salesforce.com/0014X00002VKCuDQAX", "0014X00002VKCuDQAX")</f>
        <v>0014X00002VKCuDQAX</v>
      </c>
      <c r="B332" s="2" t="s">
        <v>2900</v>
      </c>
      <c r="C332" s="2" t="s">
        <v>423</v>
      </c>
      <c r="D332" s="2" t="s">
        <v>2</v>
      </c>
      <c r="E332" s="2">
        <v>22</v>
      </c>
      <c r="F332" s="2">
        <v>0</v>
      </c>
      <c r="G332" s="2">
        <v>2</v>
      </c>
      <c r="H332" s="2">
        <v>0</v>
      </c>
      <c r="I332" s="2">
        <v>0</v>
      </c>
      <c r="J332" s="2" t="s">
        <v>1779</v>
      </c>
      <c r="K332" s="2">
        <v>16</v>
      </c>
      <c r="L332" s="2">
        <v>10</v>
      </c>
      <c r="M332" s="2">
        <v>0</v>
      </c>
      <c r="N332" s="2">
        <v>6</v>
      </c>
      <c r="O332" s="2">
        <v>0</v>
      </c>
      <c r="P332" s="2">
        <v>0</v>
      </c>
      <c r="Q332" s="2" t="s">
        <v>7196</v>
      </c>
      <c r="R332" s="2" t="s">
        <v>2901</v>
      </c>
      <c r="S332" s="4">
        <v>44837</v>
      </c>
    </row>
    <row r="333" spans="1:19" ht="12.5" x14ac:dyDescent="0.25">
      <c r="A333" s="14" t="str">
        <f>HYPERLINK("https://gerandofalcoes.my.salesforce.com/0014X00002VKCrpQAH", "0014X00002VKCrpQAH")</f>
        <v>0014X00002VKCrpQAH</v>
      </c>
      <c r="B333" s="2" t="s">
        <v>2887</v>
      </c>
      <c r="C333" s="2" t="s">
        <v>1800</v>
      </c>
      <c r="D333" s="2" t="s">
        <v>2</v>
      </c>
      <c r="E333" s="2">
        <v>9</v>
      </c>
      <c r="F333" s="2">
        <v>0</v>
      </c>
      <c r="G333" s="2">
        <v>4</v>
      </c>
      <c r="H333" s="2">
        <v>2700</v>
      </c>
      <c r="I333" s="2">
        <v>80</v>
      </c>
      <c r="J333" s="2" t="s">
        <v>1779</v>
      </c>
      <c r="K333" s="2">
        <v>35</v>
      </c>
      <c r="L333" s="2">
        <v>10</v>
      </c>
      <c r="M333" s="2">
        <v>0</v>
      </c>
      <c r="N333" s="2">
        <v>10</v>
      </c>
      <c r="O333" s="2">
        <v>5</v>
      </c>
      <c r="P333" s="2">
        <v>10</v>
      </c>
      <c r="Q333" s="2" t="s">
        <v>2888</v>
      </c>
      <c r="R333" s="2" t="s">
        <v>2889</v>
      </c>
      <c r="S333" s="4">
        <v>44837</v>
      </c>
    </row>
    <row r="334" spans="1:19" ht="12.5" x14ac:dyDescent="0.25">
      <c r="A334" s="14" t="str">
        <f>HYPERLINK("https://gerandofalcoes.my.salesforce.com/0014P00003AN2FzQAL", "0014P00003AN2FzQAL")</f>
        <v>0014P00003AN2FzQAL</v>
      </c>
      <c r="B334" s="2" t="s">
        <v>2127</v>
      </c>
      <c r="C334" s="2" t="s">
        <v>423</v>
      </c>
      <c r="D334" s="2" t="s">
        <v>2</v>
      </c>
      <c r="E334" s="2">
        <v>87</v>
      </c>
      <c r="F334" s="2">
        <v>5</v>
      </c>
      <c r="G334" s="2">
        <v>4</v>
      </c>
      <c r="H334" s="2">
        <v>540000</v>
      </c>
      <c r="I334" s="2">
        <v>90</v>
      </c>
      <c r="J334" s="2" t="s">
        <v>1650</v>
      </c>
      <c r="K334" s="2">
        <v>70</v>
      </c>
      <c r="L334" s="2">
        <v>25</v>
      </c>
      <c r="M334" s="2">
        <v>5</v>
      </c>
      <c r="N334" s="2">
        <v>10</v>
      </c>
      <c r="O334" s="2">
        <v>20</v>
      </c>
      <c r="P334" s="2">
        <v>10</v>
      </c>
      <c r="Q334" s="2" t="s">
        <v>652</v>
      </c>
      <c r="R334" s="2" t="s">
        <v>652</v>
      </c>
      <c r="S334" s="4">
        <v>44837</v>
      </c>
    </row>
    <row r="335" spans="1:19" ht="12.5" x14ac:dyDescent="0.25">
      <c r="A335" s="14" t="str">
        <f>HYPERLINK("https://gerandofalcoes.my.salesforce.com/0014P00003AN2G0QAL", "0014P00003AN2G0QAL")</f>
        <v>0014P00003AN2G0QAL</v>
      </c>
      <c r="B335" s="2" t="s">
        <v>146</v>
      </c>
      <c r="C335" s="2" t="s">
        <v>423</v>
      </c>
      <c r="D335" s="2" t="s">
        <v>27</v>
      </c>
      <c r="E335" s="2">
        <v>83</v>
      </c>
      <c r="F335" s="2">
        <v>7</v>
      </c>
      <c r="G335" s="2">
        <v>3</v>
      </c>
      <c r="H335" s="2">
        <v>31263.49</v>
      </c>
      <c r="I335" s="2">
        <v>71</v>
      </c>
      <c r="J335" s="2" t="s">
        <v>1671</v>
      </c>
      <c r="K335" s="2">
        <v>58</v>
      </c>
      <c r="L335" s="2">
        <v>25</v>
      </c>
      <c r="M335" s="2">
        <v>10</v>
      </c>
      <c r="N335" s="2">
        <v>8</v>
      </c>
      <c r="O335" s="2">
        <v>10</v>
      </c>
      <c r="P335" s="2">
        <v>5</v>
      </c>
      <c r="Q335" s="2" t="s">
        <v>1699</v>
      </c>
      <c r="R335" s="2" t="s">
        <v>1699</v>
      </c>
      <c r="S335" s="4">
        <v>44837</v>
      </c>
    </row>
    <row r="336" spans="1:19" ht="12.5" x14ac:dyDescent="0.25">
      <c r="A336" s="14" t="str">
        <f>HYPERLINK("https://gerandofalcoes.my.salesforce.com/0014P00003AN2G1QAL", "0014P00003AN2G1QAL")</f>
        <v>0014P00003AN2G1QAL</v>
      </c>
      <c r="B336" s="2" t="s">
        <v>1744</v>
      </c>
      <c r="C336" s="2" t="s">
        <v>423</v>
      </c>
      <c r="D336" s="2" t="s">
        <v>2</v>
      </c>
      <c r="E336" s="2">
        <v>86</v>
      </c>
      <c r="F336" s="2">
        <v>10</v>
      </c>
      <c r="G336" s="2">
        <v>3</v>
      </c>
      <c r="H336" s="2">
        <v>367281</v>
      </c>
      <c r="I336" s="2">
        <v>100</v>
      </c>
      <c r="J336" s="2" t="s">
        <v>1650</v>
      </c>
      <c r="K336" s="2">
        <v>73</v>
      </c>
      <c r="L336" s="2">
        <v>25</v>
      </c>
      <c r="M336" s="2">
        <v>10</v>
      </c>
      <c r="N336" s="2">
        <v>8</v>
      </c>
      <c r="O336" s="2">
        <v>20</v>
      </c>
      <c r="P336" s="2">
        <v>10</v>
      </c>
      <c r="Q336" s="2" t="s">
        <v>839</v>
      </c>
      <c r="R336" s="2" t="s">
        <v>839</v>
      </c>
      <c r="S336" s="4">
        <v>44837</v>
      </c>
    </row>
    <row r="337" spans="1:19" ht="12.5" x14ac:dyDescent="0.25">
      <c r="A337" s="14" t="str">
        <f>HYPERLINK("https://gerandofalcoes.my.salesforce.com/0014P00003AN2G2QAL", "0014P00003AN2G2QAL")</f>
        <v>0014P00003AN2G2QAL</v>
      </c>
      <c r="B337" s="2" t="s">
        <v>2150</v>
      </c>
      <c r="C337" s="2" t="s">
        <v>423</v>
      </c>
      <c r="D337" s="2" t="s">
        <v>2</v>
      </c>
      <c r="E337" s="2"/>
      <c r="F337" s="2">
        <v>10</v>
      </c>
      <c r="G337" s="2">
        <v>2</v>
      </c>
      <c r="H337" s="2">
        <v>97663</v>
      </c>
      <c r="I337" s="2">
        <v>200</v>
      </c>
      <c r="J337" s="2" t="s">
        <v>1779</v>
      </c>
      <c r="K337" s="2">
        <v>38</v>
      </c>
      <c r="L337" s="2">
        <v>0</v>
      </c>
      <c r="M337" s="2">
        <v>10</v>
      </c>
      <c r="N337" s="2">
        <v>6</v>
      </c>
      <c r="O337" s="2">
        <v>10</v>
      </c>
      <c r="P337" s="2">
        <v>12</v>
      </c>
      <c r="Q337" s="2" t="s">
        <v>2151</v>
      </c>
      <c r="R337" s="2" t="s">
        <v>2151</v>
      </c>
      <c r="S337" s="4">
        <v>44837</v>
      </c>
    </row>
    <row r="338" spans="1:19" ht="12.5" x14ac:dyDescent="0.25">
      <c r="A338" s="14" t="str">
        <f>HYPERLINK("https://gerandofalcoes.my.salesforce.com/0014P00003AN2G3QAL", "0014P00003AN2G3QAL")</f>
        <v>0014P00003AN2G3QAL</v>
      </c>
      <c r="B338" s="2" t="s">
        <v>1677</v>
      </c>
      <c r="C338" s="2" t="s">
        <v>423</v>
      </c>
      <c r="D338" s="2" t="s">
        <v>27</v>
      </c>
      <c r="E338" s="2">
        <v>89</v>
      </c>
      <c r="F338" s="2">
        <v>9</v>
      </c>
      <c r="G338" s="2">
        <v>3</v>
      </c>
      <c r="H338" s="2">
        <v>46396.77</v>
      </c>
      <c r="I338" s="2">
        <v>188</v>
      </c>
      <c r="J338" s="2" t="s">
        <v>1650</v>
      </c>
      <c r="K338" s="2">
        <v>65</v>
      </c>
      <c r="L338" s="2">
        <v>25</v>
      </c>
      <c r="M338" s="2">
        <v>10</v>
      </c>
      <c r="N338" s="2">
        <v>8</v>
      </c>
      <c r="O338" s="2">
        <v>10</v>
      </c>
      <c r="P338" s="2">
        <v>12</v>
      </c>
      <c r="Q338" s="2" t="s">
        <v>153</v>
      </c>
      <c r="R338" s="2" t="s">
        <v>153</v>
      </c>
      <c r="S338" s="4">
        <v>44837</v>
      </c>
    </row>
    <row r="339" spans="1:19" ht="12.5" x14ac:dyDescent="0.25">
      <c r="A339" s="14" t="str">
        <f>HYPERLINK("https://gerandofalcoes.my.salesforce.com/0014P00003AN2G4QAL", "0014P00003AN2G4QAL")</f>
        <v>0014P00003AN2G4QAL</v>
      </c>
      <c r="B339" s="2" t="s">
        <v>1747</v>
      </c>
      <c r="C339" s="2" t="s">
        <v>423</v>
      </c>
      <c r="D339" s="2" t="s">
        <v>27</v>
      </c>
      <c r="E339" s="2">
        <v>56</v>
      </c>
      <c r="F339" s="2">
        <v>0</v>
      </c>
      <c r="G339" s="2">
        <v>2</v>
      </c>
      <c r="H339" s="2">
        <v>37000</v>
      </c>
      <c r="I339" s="2">
        <v>180</v>
      </c>
      <c r="J339" s="2" t="s">
        <v>1671</v>
      </c>
      <c r="K339" s="2">
        <v>48</v>
      </c>
      <c r="L339" s="2">
        <v>20</v>
      </c>
      <c r="M339" s="2">
        <v>0</v>
      </c>
      <c r="N339" s="2">
        <v>6</v>
      </c>
      <c r="O339" s="2">
        <v>10</v>
      </c>
      <c r="P339" s="2">
        <v>12</v>
      </c>
      <c r="Q339" s="2" t="s">
        <v>925</v>
      </c>
      <c r="R339" s="2" t="s">
        <v>925</v>
      </c>
      <c r="S339" s="4">
        <v>44837</v>
      </c>
    </row>
    <row r="340" spans="1:19" ht="12.5" x14ac:dyDescent="0.25">
      <c r="A340" s="14" t="str">
        <f>HYPERLINK("https://gerandofalcoes.my.salesforce.com/0014P00003AN2G5QAL", "0014P00003AN2G5QAL")</f>
        <v>0014P00003AN2G5QAL</v>
      </c>
      <c r="B340" s="2" t="s">
        <v>1712</v>
      </c>
      <c r="C340" s="2" t="s">
        <v>423</v>
      </c>
      <c r="D340" s="2" t="s">
        <v>27</v>
      </c>
      <c r="E340" s="2">
        <v>78</v>
      </c>
      <c r="F340" s="2">
        <v>19</v>
      </c>
      <c r="G340" s="2">
        <v>3</v>
      </c>
      <c r="H340" s="2">
        <v>1912288.57</v>
      </c>
      <c r="I340" s="2">
        <v>193</v>
      </c>
      <c r="J340" s="2" t="s">
        <v>1654</v>
      </c>
      <c r="K340" s="2">
        <v>82</v>
      </c>
      <c r="L340" s="2">
        <v>25</v>
      </c>
      <c r="M340" s="2">
        <v>12</v>
      </c>
      <c r="N340" s="2">
        <v>8</v>
      </c>
      <c r="O340" s="2">
        <v>25</v>
      </c>
      <c r="P340" s="2">
        <v>12</v>
      </c>
      <c r="Q340" s="2" t="s">
        <v>156</v>
      </c>
      <c r="R340" s="2" t="s">
        <v>156</v>
      </c>
      <c r="S340" s="4">
        <v>44837</v>
      </c>
    </row>
    <row r="341" spans="1:19" ht="12.5" x14ac:dyDescent="0.25">
      <c r="A341" s="14" t="str">
        <f>HYPERLINK("https://gerandofalcoes.my.salesforce.com/0014P00003AN2G6QAL", "0014P00003AN2G6QAL")</f>
        <v>0014P00003AN2G6QAL</v>
      </c>
      <c r="B341" s="2" t="s">
        <v>1704</v>
      </c>
      <c r="C341" s="2" t="s">
        <v>423</v>
      </c>
      <c r="D341" s="2" t="s">
        <v>27</v>
      </c>
      <c r="E341" s="2">
        <v>82</v>
      </c>
      <c r="F341" s="2">
        <v>11</v>
      </c>
      <c r="G341" s="2">
        <v>3</v>
      </c>
      <c r="H341" s="2">
        <v>62859.59</v>
      </c>
      <c r="I341" s="2">
        <v>282</v>
      </c>
      <c r="J341" s="2" t="s">
        <v>1650</v>
      </c>
      <c r="K341" s="2">
        <v>67</v>
      </c>
      <c r="L341" s="2">
        <v>25</v>
      </c>
      <c r="M341" s="2">
        <v>12</v>
      </c>
      <c r="N341" s="2">
        <v>8</v>
      </c>
      <c r="O341" s="2">
        <v>10</v>
      </c>
      <c r="P341" s="2">
        <v>12</v>
      </c>
      <c r="Q341" s="2" t="s">
        <v>157</v>
      </c>
      <c r="R341" s="2" t="s">
        <v>157</v>
      </c>
      <c r="S341" s="4">
        <v>44837</v>
      </c>
    </row>
    <row r="342" spans="1:19" ht="12.5" x14ac:dyDescent="0.25">
      <c r="A342" s="14" t="str">
        <f>HYPERLINK("https://gerandofalcoes.my.salesforce.com/0014P00003AN2FyQAL", "0014P00003AN2FyQAL")</f>
        <v>0014P00003AN2FyQAL</v>
      </c>
      <c r="B342" s="2" t="s">
        <v>2876</v>
      </c>
      <c r="C342" s="2" t="s">
        <v>423</v>
      </c>
      <c r="D342" s="2" t="s">
        <v>2</v>
      </c>
      <c r="E342" s="2">
        <v>6</v>
      </c>
      <c r="F342" s="2">
        <v>0</v>
      </c>
      <c r="G342" s="2">
        <v>1</v>
      </c>
      <c r="H342" s="2">
        <v>5000000</v>
      </c>
      <c r="I342" s="2">
        <v>100</v>
      </c>
      <c r="J342" s="2" t="s">
        <v>1671</v>
      </c>
      <c r="K342" s="2">
        <v>49</v>
      </c>
      <c r="L342" s="2">
        <v>10</v>
      </c>
      <c r="M342" s="2">
        <v>0</v>
      </c>
      <c r="N342" s="2">
        <v>4</v>
      </c>
      <c r="O342" s="2">
        <v>25</v>
      </c>
      <c r="P342" s="2">
        <v>10</v>
      </c>
      <c r="Q342" s="2" t="s">
        <v>2877</v>
      </c>
      <c r="R342" s="2" t="s">
        <v>2877</v>
      </c>
      <c r="S342" s="4">
        <v>44837</v>
      </c>
    </row>
    <row r="343" spans="1:19" ht="12.5" x14ac:dyDescent="0.25">
      <c r="A343" s="14" t="str">
        <f>HYPERLINK("https://gerandofalcoes.my.salesforce.com/0014P00003AN2G7QAL", "0014P00003AN2G7QAL")</f>
        <v>0014P00003AN2G7QAL</v>
      </c>
      <c r="B343" s="2" t="s">
        <v>1740</v>
      </c>
      <c r="C343" s="2" t="s">
        <v>423</v>
      </c>
      <c r="D343" s="2" t="s">
        <v>2</v>
      </c>
      <c r="E343" s="2">
        <v>78</v>
      </c>
      <c r="F343" s="2">
        <v>3</v>
      </c>
      <c r="G343" s="2">
        <v>1</v>
      </c>
      <c r="H343" s="2">
        <v>48000</v>
      </c>
      <c r="I343" s="2">
        <v>122</v>
      </c>
      <c r="J343" s="2" t="s">
        <v>1671</v>
      </c>
      <c r="K343" s="2">
        <v>54</v>
      </c>
      <c r="L343" s="2">
        <v>25</v>
      </c>
      <c r="M343" s="2">
        <v>5</v>
      </c>
      <c r="N343" s="2">
        <v>4</v>
      </c>
      <c r="O343" s="2">
        <v>10</v>
      </c>
      <c r="P343" s="2">
        <v>10</v>
      </c>
      <c r="Q343" s="2" t="s">
        <v>945</v>
      </c>
      <c r="R343" s="2" t="s">
        <v>945</v>
      </c>
      <c r="S343" s="4">
        <v>44837</v>
      </c>
    </row>
    <row r="344" spans="1:19" ht="12.5" x14ac:dyDescent="0.25">
      <c r="A344" s="14" t="str">
        <f>HYPERLINK("https://gerandofalcoes.my.salesforce.com/0014P00003AN2G8QAL", "0014P00003AN2G8QAL")</f>
        <v>0014P00003AN2G8QAL</v>
      </c>
      <c r="B344" s="2" t="s">
        <v>1897</v>
      </c>
      <c r="C344" s="2" t="s">
        <v>423</v>
      </c>
      <c r="D344" s="2" t="s">
        <v>2</v>
      </c>
      <c r="E344" s="2">
        <v>68</v>
      </c>
      <c r="F344" s="2">
        <v>2</v>
      </c>
      <c r="G344" s="2">
        <v>5</v>
      </c>
      <c r="H344" s="2">
        <v>108000</v>
      </c>
      <c r="I344" s="2">
        <v>160</v>
      </c>
      <c r="J344" s="2" t="s">
        <v>1671</v>
      </c>
      <c r="K344" s="2">
        <v>62</v>
      </c>
      <c r="L344" s="2">
        <v>20</v>
      </c>
      <c r="M344" s="2">
        <v>5</v>
      </c>
      <c r="N344" s="2">
        <v>10</v>
      </c>
      <c r="O344" s="2">
        <v>15</v>
      </c>
      <c r="P344" s="2">
        <v>12</v>
      </c>
      <c r="Q344" s="2" t="s">
        <v>1898</v>
      </c>
      <c r="R344" s="2" t="s">
        <v>1898</v>
      </c>
      <c r="S344" s="4">
        <v>44837</v>
      </c>
    </row>
    <row r="345" spans="1:19" ht="12.5" x14ac:dyDescent="0.25">
      <c r="A345" s="14" t="str">
        <f>HYPERLINK("https://gerandofalcoes.my.salesforce.com/0014P00003AN2G9QAL", "0014P00003AN2G9QAL")</f>
        <v>0014P00003AN2G9QAL</v>
      </c>
      <c r="B345" s="2" t="s">
        <v>1670</v>
      </c>
      <c r="C345" s="2" t="s">
        <v>423</v>
      </c>
      <c r="D345" s="2" t="s">
        <v>27</v>
      </c>
      <c r="E345" s="2">
        <v>66</v>
      </c>
      <c r="F345" s="2">
        <v>7</v>
      </c>
      <c r="G345" s="2">
        <v>2</v>
      </c>
      <c r="H345" s="2">
        <v>5950</v>
      </c>
      <c r="I345" s="2">
        <v>210</v>
      </c>
      <c r="J345" s="2" t="s">
        <v>1671</v>
      </c>
      <c r="K345" s="2">
        <v>53</v>
      </c>
      <c r="L345" s="2">
        <v>20</v>
      </c>
      <c r="M345" s="2">
        <v>10</v>
      </c>
      <c r="N345" s="2">
        <v>6</v>
      </c>
      <c r="O345" s="2">
        <v>5</v>
      </c>
      <c r="P345" s="2">
        <v>12</v>
      </c>
      <c r="Q345" s="2" t="s">
        <v>961</v>
      </c>
      <c r="R345" s="2" t="s">
        <v>961</v>
      </c>
      <c r="S345" s="4">
        <v>44837</v>
      </c>
    </row>
    <row r="346" spans="1:19" ht="12.5" x14ac:dyDescent="0.25">
      <c r="A346" s="14" t="str">
        <f>HYPERLINK("https://gerandofalcoes.my.salesforce.com/0014P00003AN2GAQA1", "0014P00003AN2GAQA1")</f>
        <v>0014P00003AN2GAQA1</v>
      </c>
      <c r="B346" s="2" t="s">
        <v>2981</v>
      </c>
      <c r="C346" s="2" t="s">
        <v>1684</v>
      </c>
      <c r="D346" s="2" t="s">
        <v>2</v>
      </c>
      <c r="E346" s="2"/>
      <c r="F346" s="2">
        <v>1</v>
      </c>
      <c r="G346" s="2">
        <v>0</v>
      </c>
      <c r="H346" s="2">
        <v>0</v>
      </c>
      <c r="I346" s="2">
        <v>1200</v>
      </c>
      <c r="J346" s="2" t="s">
        <v>1779</v>
      </c>
      <c r="K346" s="2">
        <v>25</v>
      </c>
      <c r="L346" s="2">
        <v>0</v>
      </c>
      <c r="M346" s="2">
        <v>5</v>
      </c>
      <c r="N346" s="2">
        <v>0</v>
      </c>
      <c r="O346" s="2">
        <v>0</v>
      </c>
      <c r="P346" s="2">
        <v>20</v>
      </c>
      <c r="Q346" s="2" t="s">
        <v>7165</v>
      </c>
      <c r="R346" s="2" t="s">
        <v>7165</v>
      </c>
      <c r="S346" s="4">
        <v>44837</v>
      </c>
    </row>
    <row r="347" spans="1:19" ht="12.5" x14ac:dyDescent="0.25">
      <c r="A347" s="14" t="str">
        <f>HYPERLINK("https://gerandofalcoes.my.salesforce.com/0014P00003AN2GBQA1", "0014P00003AN2GBQA1")</f>
        <v>0014P00003AN2GBQA1</v>
      </c>
      <c r="B347" s="2" t="s">
        <v>2228</v>
      </c>
      <c r="C347" s="2" t="s">
        <v>423</v>
      </c>
      <c r="D347" s="2" t="s">
        <v>2</v>
      </c>
      <c r="E347" s="2">
        <v>48</v>
      </c>
      <c r="F347" s="2">
        <v>20</v>
      </c>
      <c r="G347" s="2">
        <v>5</v>
      </c>
      <c r="H347" s="2">
        <v>1200000</v>
      </c>
      <c r="I347" s="2">
        <v>80</v>
      </c>
      <c r="J347" s="2" t="s">
        <v>1650</v>
      </c>
      <c r="K347" s="2">
        <v>72</v>
      </c>
      <c r="L347" s="2">
        <v>15</v>
      </c>
      <c r="M347" s="2">
        <v>12</v>
      </c>
      <c r="N347" s="2">
        <v>10</v>
      </c>
      <c r="O347" s="2">
        <v>25</v>
      </c>
      <c r="P347" s="2">
        <v>10</v>
      </c>
      <c r="Q347" s="2" t="s">
        <v>2229</v>
      </c>
      <c r="R347" s="2" t="s">
        <v>2229</v>
      </c>
      <c r="S347" s="4">
        <v>44837</v>
      </c>
    </row>
    <row r="348" spans="1:19" ht="12.5" x14ac:dyDescent="0.25">
      <c r="A348" s="14" t="str">
        <f>HYPERLINK("https://gerandofalcoes.my.salesforce.com/0014P00003AN2GCQA1", "0014P00003AN2GCQA1")</f>
        <v>0014P00003AN2GCQA1</v>
      </c>
      <c r="B348" s="2" t="s">
        <v>1832</v>
      </c>
      <c r="C348" s="2" t="s">
        <v>423</v>
      </c>
      <c r="D348" s="2" t="s">
        <v>2</v>
      </c>
      <c r="E348" s="2">
        <v>65</v>
      </c>
      <c r="F348" s="2">
        <v>2</v>
      </c>
      <c r="G348" s="2">
        <v>5</v>
      </c>
      <c r="H348" s="2">
        <v>153260</v>
      </c>
      <c r="I348" s="2">
        <v>167</v>
      </c>
      <c r="J348" s="2" t="s">
        <v>1671</v>
      </c>
      <c r="K348" s="2">
        <v>62</v>
      </c>
      <c r="L348" s="2">
        <v>20</v>
      </c>
      <c r="M348" s="2">
        <v>5</v>
      </c>
      <c r="N348" s="2">
        <v>10</v>
      </c>
      <c r="O348" s="2">
        <v>15</v>
      </c>
      <c r="P348" s="2">
        <v>12</v>
      </c>
      <c r="Q348" s="2" t="s">
        <v>978</v>
      </c>
      <c r="R348" s="2" t="s">
        <v>978</v>
      </c>
      <c r="S348" s="4">
        <v>44837</v>
      </c>
    </row>
    <row r="349" spans="1:19" ht="12.5" x14ac:dyDescent="0.25">
      <c r="A349" s="14" t="str">
        <f>HYPERLINK("https://gerandofalcoes.my.salesforce.com/0014P00003AN2GDQA1", "0014P00003AN2GDQA1")</f>
        <v>0014P00003AN2GDQA1</v>
      </c>
      <c r="B349" s="2" t="s">
        <v>1707</v>
      </c>
      <c r="C349" s="2" t="s">
        <v>423</v>
      </c>
      <c r="D349" s="2" t="s">
        <v>27</v>
      </c>
      <c r="E349" s="2">
        <v>74</v>
      </c>
      <c r="F349" s="2">
        <v>5</v>
      </c>
      <c r="G349" s="2">
        <v>2</v>
      </c>
      <c r="H349" s="2">
        <v>77000</v>
      </c>
      <c r="I349" s="2">
        <v>157</v>
      </c>
      <c r="J349" s="2" t="s">
        <v>1671</v>
      </c>
      <c r="K349" s="2">
        <v>53</v>
      </c>
      <c r="L349" s="2">
        <v>20</v>
      </c>
      <c r="M349" s="2">
        <v>5</v>
      </c>
      <c r="N349" s="2">
        <v>6</v>
      </c>
      <c r="O349" s="2">
        <v>10</v>
      </c>
      <c r="P349" s="2">
        <v>12</v>
      </c>
      <c r="Q349" s="2" t="s">
        <v>987</v>
      </c>
      <c r="R349" s="2" t="s">
        <v>987</v>
      </c>
      <c r="S349" s="4">
        <v>44837</v>
      </c>
    </row>
    <row r="350" spans="1:19" ht="12.5" x14ac:dyDescent="0.25">
      <c r="A350" s="14" t="str">
        <f>HYPERLINK("https://gerandofalcoes.my.salesforce.com/0014P00003AN2GFQA1", "0014P00003AN2GFQA1")</f>
        <v>0014P00003AN2GFQA1</v>
      </c>
      <c r="B350" s="2" t="s">
        <v>2980</v>
      </c>
      <c r="C350" s="2" t="s">
        <v>1800</v>
      </c>
      <c r="D350" s="2" t="s">
        <v>2</v>
      </c>
      <c r="E350" s="2"/>
      <c r="F350" s="2">
        <v>23</v>
      </c>
      <c r="G350" s="2">
        <v>4</v>
      </c>
      <c r="H350" s="2">
        <v>531000</v>
      </c>
      <c r="I350" s="2">
        <v>15185</v>
      </c>
      <c r="J350" s="2" t="s">
        <v>1671</v>
      </c>
      <c r="K350" s="2">
        <v>62</v>
      </c>
      <c r="L350" s="2">
        <v>0</v>
      </c>
      <c r="M350" s="2">
        <v>12</v>
      </c>
      <c r="N350" s="2">
        <v>10</v>
      </c>
      <c r="O350" s="2">
        <v>20</v>
      </c>
      <c r="P350" s="2">
        <v>20</v>
      </c>
      <c r="Q350" s="2" t="s">
        <v>995</v>
      </c>
      <c r="R350" s="2" t="s">
        <v>995</v>
      </c>
      <c r="S350" s="4">
        <v>44837</v>
      </c>
    </row>
    <row r="351" spans="1:19" ht="12.5" x14ac:dyDescent="0.25">
      <c r="A351" s="14" t="str">
        <f>HYPERLINK("https://gerandofalcoes.my.salesforce.com/0014P00003AN2GGQA1", "0014P00003AN2GGQA1")</f>
        <v>0014P00003AN2GGQA1</v>
      </c>
      <c r="B351" s="2" t="s">
        <v>2711</v>
      </c>
      <c r="C351" s="2" t="s">
        <v>423</v>
      </c>
      <c r="D351" s="2" t="s">
        <v>2</v>
      </c>
      <c r="E351" s="2">
        <v>39</v>
      </c>
      <c r="F351" s="2">
        <v>5</v>
      </c>
      <c r="G351" s="2">
        <v>1</v>
      </c>
      <c r="H351" s="2">
        <v>50000</v>
      </c>
      <c r="I351" s="2">
        <v>60</v>
      </c>
      <c r="J351" s="2" t="s">
        <v>1779</v>
      </c>
      <c r="K351" s="2">
        <v>39</v>
      </c>
      <c r="L351" s="2">
        <v>15</v>
      </c>
      <c r="M351" s="2">
        <v>5</v>
      </c>
      <c r="N351" s="2">
        <v>4</v>
      </c>
      <c r="O351" s="2">
        <v>10</v>
      </c>
      <c r="P351" s="2">
        <v>5</v>
      </c>
      <c r="Q351" s="2" t="s">
        <v>2712</v>
      </c>
      <c r="R351" s="2" t="s">
        <v>2712</v>
      </c>
      <c r="S351" s="4">
        <v>44837</v>
      </c>
    </row>
    <row r="352" spans="1:19" ht="12.5" x14ac:dyDescent="0.25">
      <c r="A352" s="14" t="str">
        <f>HYPERLINK("https://gerandofalcoes.my.salesforce.com/0014P00003AN2GHQA1", "0014P00003AN2GHQA1")</f>
        <v>0014P00003AN2GHQA1</v>
      </c>
      <c r="B352" s="2" t="s">
        <v>2503</v>
      </c>
      <c r="C352" s="2" t="s">
        <v>423</v>
      </c>
      <c r="D352" s="2" t="s">
        <v>2</v>
      </c>
      <c r="E352" s="2">
        <v>63</v>
      </c>
      <c r="F352" s="2">
        <v>2</v>
      </c>
      <c r="G352" s="2">
        <v>2</v>
      </c>
      <c r="H352" s="2">
        <v>50000</v>
      </c>
      <c r="I352" s="2">
        <v>120</v>
      </c>
      <c r="J352" s="2" t="s">
        <v>1671</v>
      </c>
      <c r="K352" s="2">
        <v>51</v>
      </c>
      <c r="L352" s="2">
        <v>20</v>
      </c>
      <c r="M352" s="2">
        <v>5</v>
      </c>
      <c r="N352" s="2">
        <v>6</v>
      </c>
      <c r="O352" s="2">
        <v>10</v>
      </c>
      <c r="P352" s="2">
        <v>10</v>
      </c>
      <c r="Q352" s="2" t="s">
        <v>1010</v>
      </c>
      <c r="R352" s="2" t="s">
        <v>1010</v>
      </c>
      <c r="S352" s="4">
        <v>44837</v>
      </c>
    </row>
    <row r="353" spans="1:19" ht="12.5" x14ac:dyDescent="0.25">
      <c r="A353" s="14" t="str">
        <f>HYPERLINK("https://gerandofalcoes.my.salesforce.com/0014P00003SGWPWQA5", "0014P00003SGWPWQA5")</f>
        <v>0014P00003SGWPWQA5</v>
      </c>
      <c r="B353" s="2" t="s">
        <v>171</v>
      </c>
      <c r="C353" s="2" t="s">
        <v>423</v>
      </c>
      <c r="D353" s="2" t="s">
        <v>27</v>
      </c>
      <c r="E353" s="2">
        <v>89</v>
      </c>
      <c r="F353" s="2">
        <v>7</v>
      </c>
      <c r="G353" s="2">
        <v>4</v>
      </c>
      <c r="H353" s="2">
        <v>30000</v>
      </c>
      <c r="I353" s="2">
        <v>165</v>
      </c>
      <c r="J353" s="2" t="s">
        <v>1650</v>
      </c>
      <c r="K353" s="2">
        <v>67</v>
      </c>
      <c r="L353" s="2">
        <v>25</v>
      </c>
      <c r="M353" s="2">
        <v>10</v>
      </c>
      <c r="N353" s="2">
        <v>10</v>
      </c>
      <c r="O353" s="2">
        <v>10</v>
      </c>
      <c r="P353" s="2">
        <v>12</v>
      </c>
      <c r="Q353" s="2" t="s">
        <v>172</v>
      </c>
      <c r="R353" s="2" t="s">
        <v>172</v>
      </c>
      <c r="S353" s="4">
        <v>44837</v>
      </c>
    </row>
    <row r="354" spans="1:19" ht="12.5" x14ac:dyDescent="0.25">
      <c r="A354" s="14" t="str">
        <f>HYPERLINK("https://gerandofalcoes.my.salesforce.com/0014P00003SGWPYQA5", "0014P00003SGWPYQA5")</f>
        <v>0014P00003SGWPYQA5</v>
      </c>
      <c r="B354" s="2" t="s">
        <v>175</v>
      </c>
      <c r="C354" s="2" t="s">
        <v>423</v>
      </c>
      <c r="D354" s="2" t="s">
        <v>2</v>
      </c>
      <c r="E354" s="2">
        <v>40</v>
      </c>
      <c r="F354" s="2">
        <v>0</v>
      </c>
      <c r="G354" s="2">
        <v>6</v>
      </c>
      <c r="H354" s="2">
        <v>21600</v>
      </c>
      <c r="I354" s="2">
        <v>150</v>
      </c>
      <c r="J354" s="2" t="s">
        <v>1671</v>
      </c>
      <c r="K354" s="2">
        <v>42</v>
      </c>
      <c r="L354" s="2">
        <v>15</v>
      </c>
      <c r="M354" s="2">
        <v>0</v>
      </c>
      <c r="N354" s="2">
        <v>10</v>
      </c>
      <c r="O354" s="2">
        <v>5</v>
      </c>
      <c r="P354" s="2">
        <v>12</v>
      </c>
      <c r="Q354" s="2" t="s">
        <v>176</v>
      </c>
      <c r="R354" s="2" t="s">
        <v>176</v>
      </c>
      <c r="S354" s="4">
        <v>44837</v>
      </c>
    </row>
    <row r="355" spans="1:19" ht="12.5" x14ac:dyDescent="0.25">
      <c r="A355" s="14" t="str">
        <f>HYPERLINK("https://gerandofalcoes.my.salesforce.com/0014P00003SGWPZQA5", "0014P00003SGWPZQA5")</f>
        <v>0014P00003SGWPZQA5</v>
      </c>
      <c r="B355" s="2" t="s">
        <v>160</v>
      </c>
      <c r="C355" s="2" t="s">
        <v>423</v>
      </c>
      <c r="D355" s="2" t="s">
        <v>2</v>
      </c>
      <c r="E355" s="2">
        <v>44</v>
      </c>
      <c r="F355" s="2">
        <v>2</v>
      </c>
      <c r="G355" s="2">
        <v>1</v>
      </c>
      <c r="H355" s="2">
        <v>347000</v>
      </c>
      <c r="I355" s="2">
        <v>64</v>
      </c>
      <c r="J355" s="2" t="s">
        <v>1671</v>
      </c>
      <c r="K355" s="2">
        <v>49</v>
      </c>
      <c r="L355" s="2">
        <v>15</v>
      </c>
      <c r="M355" s="2">
        <v>5</v>
      </c>
      <c r="N355" s="2">
        <v>4</v>
      </c>
      <c r="O355" s="2">
        <v>20</v>
      </c>
      <c r="P355" s="2">
        <v>5</v>
      </c>
      <c r="Q355" s="2" t="s">
        <v>161</v>
      </c>
      <c r="R355" s="2" t="s">
        <v>1828</v>
      </c>
      <c r="S355" s="4">
        <v>44837</v>
      </c>
    </row>
    <row r="356" spans="1:19" ht="12.5" x14ac:dyDescent="0.25">
      <c r="A356" s="14" t="str">
        <f>HYPERLINK("https://gerandofalcoes.my.salesforce.com/0014P00003SGWPaQAP", "0014P00003SGWPaQAP")</f>
        <v>0014P00003SGWPaQAP</v>
      </c>
      <c r="B356" s="2" t="s">
        <v>179</v>
      </c>
      <c r="C356" s="2" t="s">
        <v>423</v>
      </c>
      <c r="D356" s="2" t="s">
        <v>2</v>
      </c>
      <c r="E356" s="2">
        <v>37</v>
      </c>
      <c r="F356" s="2">
        <v>4</v>
      </c>
      <c r="G356" s="2">
        <v>3</v>
      </c>
      <c r="H356" s="2">
        <v>50000</v>
      </c>
      <c r="I356" s="2">
        <v>110</v>
      </c>
      <c r="J356" s="2" t="s">
        <v>1671</v>
      </c>
      <c r="K356" s="2">
        <v>48</v>
      </c>
      <c r="L356" s="2">
        <v>15</v>
      </c>
      <c r="M356" s="2">
        <v>5</v>
      </c>
      <c r="N356" s="2">
        <v>8</v>
      </c>
      <c r="O356" s="2">
        <v>10</v>
      </c>
      <c r="P356" s="2">
        <v>10</v>
      </c>
      <c r="Q356" s="2" t="s">
        <v>180</v>
      </c>
      <c r="R356" s="2" t="s">
        <v>2031</v>
      </c>
      <c r="S356" s="4">
        <v>44837</v>
      </c>
    </row>
    <row r="357" spans="1:19" ht="12.5" x14ac:dyDescent="0.25">
      <c r="A357" s="14" t="str">
        <f>HYPERLINK("https://gerandofalcoes.my.salesforce.com/0014P00003SGWPuQAP", "0014P00003SGWPuQAP")</f>
        <v>0014P00003SGWPuQAP</v>
      </c>
      <c r="B357" s="2" t="s">
        <v>1672</v>
      </c>
      <c r="C357" s="2" t="s">
        <v>423</v>
      </c>
      <c r="D357" s="2" t="s">
        <v>27</v>
      </c>
      <c r="E357" s="2">
        <v>43</v>
      </c>
      <c r="F357" s="2">
        <v>0</v>
      </c>
      <c r="G357" s="2">
        <v>4</v>
      </c>
      <c r="H357" s="2">
        <v>3000</v>
      </c>
      <c r="I357" s="2">
        <v>268</v>
      </c>
      <c r="J357" s="2" t="s">
        <v>1671</v>
      </c>
      <c r="K357" s="2">
        <v>42</v>
      </c>
      <c r="L357" s="2">
        <v>15</v>
      </c>
      <c r="M357" s="2">
        <v>0</v>
      </c>
      <c r="N357" s="2">
        <v>10</v>
      </c>
      <c r="O357" s="2">
        <v>5</v>
      </c>
      <c r="P357" s="2">
        <v>12</v>
      </c>
      <c r="Q357" s="2" t="s">
        <v>186</v>
      </c>
      <c r="R357" s="2" t="s">
        <v>1673</v>
      </c>
      <c r="S357" s="4">
        <v>44837</v>
      </c>
    </row>
    <row r="358" spans="1:19" ht="12.5" x14ac:dyDescent="0.25">
      <c r="A358" s="14" t="str">
        <f>HYPERLINK("https://gerandofalcoes.my.salesforce.com/0014P00003SGWPTQA5", "0014P00003SGWPTQA5")</f>
        <v>0014P00003SGWPTQA5</v>
      </c>
      <c r="B358" s="2" t="s">
        <v>376</v>
      </c>
      <c r="C358" s="2" t="s">
        <v>423</v>
      </c>
      <c r="D358" s="2" t="s">
        <v>2</v>
      </c>
      <c r="E358" s="2">
        <v>12</v>
      </c>
      <c r="F358" s="2">
        <v>0</v>
      </c>
      <c r="G358" s="2">
        <v>1</v>
      </c>
      <c r="H358" s="2">
        <v>12000</v>
      </c>
      <c r="I358" s="2">
        <v>25</v>
      </c>
      <c r="J358" s="2" t="s">
        <v>1779</v>
      </c>
      <c r="K358" s="2">
        <v>24</v>
      </c>
      <c r="L358" s="2">
        <v>10</v>
      </c>
      <c r="M358" s="2">
        <v>0</v>
      </c>
      <c r="N358" s="2">
        <v>4</v>
      </c>
      <c r="O358" s="2">
        <v>5</v>
      </c>
      <c r="P358" s="2">
        <v>5</v>
      </c>
      <c r="Q358" s="2" t="s">
        <v>377</v>
      </c>
      <c r="R358" s="2" t="s">
        <v>1586</v>
      </c>
      <c r="S358" s="4">
        <v>44837</v>
      </c>
    </row>
    <row r="359" spans="1:19" ht="12.5" x14ac:dyDescent="0.25">
      <c r="A359" s="14" t="str">
        <f>HYPERLINK("https://gerandofalcoes.my.salesforce.com/0014P00003SGWPUQA5", "0014P00003SGWPUQA5")</f>
        <v>0014P00003SGWPUQA5</v>
      </c>
      <c r="B359" s="2" t="s">
        <v>379</v>
      </c>
      <c r="C359" s="2" t="s">
        <v>423</v>
      </c>
      <c r="D359" s="2" t="s">
        <v>2</v>
      </c>
      <c r="E359" s="2">
        <v>58</v>
      </c>
      <c r="F359" s="2">
        <v>0</v>
      </c>
      <c r="G359" s="2">
        <v>5</v>
      </c>
      <c r="H359" s="2">
        <v>78820</v>
      </c>
      <c r="I359" s="2">
        <v>520</v>
      </c>
      <c r="J359" s="2" t="s">
        <v>1671</v>
      </c>
      <c r="K359" s="2">
        <v>60</v>
      </c>
      <c r="L359" s="2">
        <v>20</v>
      </c>
      <c r="M359" s="2">
        <v>0</v>
      </c>
      <c r="N359" s="2">
        <v>10</v>
      </c>
      <c r="O359" s="2">
        <v>10</v>
      </c>
      <c r="P359" s="2">
        <v>20</v>
      </c>
      <c r="Q359" s="2" t="s">
        <v>380</v>
      </c>
      <c r="R359" s="2" t="s">
        <v>1595</v>
      </c>
      <c r="S359" s="4">
        <v>44837</v>
      </c>
    </row>
    <row r="360" spans="1:19" ht="12.5" x14ac:dyDescent="0.25">
      <c r="A360" s="14" t="str">
        <f>HYPERLINK("https://gerandofalcoes.my.salesforce.com/0014P00003SGWPVQA5", "0014P00003SGWPVQA5")</f>
        <v>0014P00003SGWPVQA5</v>
      </c>
      <c r="B360" s="2" t="s">
        <v>2352</v>
      </c>
      <c r="C360" s="2" t="s">
        <v>1800</v>
      </c>
      <c r="D360" s="2" t="s">
        <v>2</v>
      </c>
      <c r="E360" s="2">
        <v>27</v>
      </c>
      <c r="F360" s="2">
        <v>0</v>
      </c>
      <c r="G360" s="2">
        <v>1</v>
      </c>
      <c r="H360" s="2">
        <v>2000</v>
      </c>
      <c r="I360" s="2">
        <v>70</v>
      </c>
      <c r="J360" s="2" t="s">
        <v>1779</v>
      </c>
      <c r="K360" s="2">
        <v>29</v>
      </c>
      <c r="L360" s="2">
        <v>15</v>
      </c>
      <c r="M360" s="2">
        <v>0</v>
      </c>
      <c r="N360" s="2">
        <v>4</v>
      </c>
      <c r="O360" s="2">
        <v>5</v>
      </c>
      <c r="P360" s="2">
        <v>5</v>
      </c>
      <c r="Q360" s="2" t="s">
        <v>381</v>
      </c>
      <c r="R360" s="2" t="s">
        <v>2353</v>
      </c>
      <c r="S360" s="4">
        <v>44837</v>
      </c>
    </row>
    <row r="361" spans="1:19" ht="12.5" x14ac:dyDescent="0.25">
      <c r="A361" s="14" t="str">
        <f>HYPERLINK("https://gerandofalcoes.my.salesforce.com/0014X00002QTry4QAD", "0014X00002QTry4QAD")</f>
        <v>0014X00002QTry4QAD</v>
      </c>
      <c r="B361" s="2" t="s">
        <v>1701</v>
      </c>
      <c r="C361" s="2" t="s">
        <v>423</v>
      </c>
      <c r="D361" s="2" t="s">
        <v>27</v>
      </c>
      <c r="E361" s="2">
        <v>18</v>
      </c>
      <c r="F361" s="2">
        <v>0</v>
      </c>
      <c r="G361" s="2">
        <v>3</v>
      </c>
      <c r="H361" s="2">
        <v>350</v>
      </c>
      <c r="I361" s="2">
        <v>40</v>
      </c>
      <c r="J361" s="2" t="s">
        <v>1779</v>
      </c>
      <c r="K361" s="2">
        <v>28</v>
      </c>
      <c r="L361" s="2">
        <v>10</v>
      </c>
      <c r="M361" s="2">
        <v>0</v>
      </c>
      <c r="N361" s="2">
        <v>8</v>
      </c>
      <c r="O361" s="2">
        <v>5</v>
      </c>
      <c r="P361" s="2">
        <v>5</v>
      </c>
      <c r="Q361" s="2" t="s">
        <v>1702</v>
      </c>
      <c r="R361" s="2" t="s">
        <v>1703</v>
      </c>
      <c r="S361" s="4">
        <v>44837</v>
      </c>
    </row>
    <row r="362" spans="1:19" ht="12.5" x14ac:dyDescent="0.25">
      <c r="A362" s="14" t="str">
        <f>HYPERLINK("https://gerandofalcoes.my.salesforce.com/0014X00002PUOY7QAP", "0014X00002PUOY7QAP")</f>
        <v>0014X00002PUOY7QAP</v>
      </c>
      <c r="B362" s="2" t="s">
        <v>2317</v>
      </c>
      <c r="C362" s="2" t="s">
        <v>423</v>
      </c>
      <c r="D362" s="2" t="s">
        <v>2</v>
      </c>
      <c r="E362" s="2">
        <v>28</v>
      </c>
      <c r="F362" s="2">
        <v>28</v>
      </c>
      <c r="G362" s="2">
        <v>3</v>
      </c>
      <c r="H362" s="2">
        <v>200000</v>
      </c>
      <c r="I362" s="2">
        <v>300</v>
      </c>
      <c r="J362" s="2" t="s">
        <v>1650</v>
      </c>
      <c r="K362" s="2">
        <v>65</v>
      </c>
      <c r="L362" s="2">
        <v>15</v>
      </c>
      <c r="M362" s="2">
        <v>12</v>
      </c>
      <c r="N362" s="2">
        <v>8</v>
      </c>
      <c r="O362" s="2">
        <v>15</v>
      </c>
      <c r="P362" s="2">
        <v>15</v>
      </c>
      <c r="Q362" s="2" t="s">
        <v>448</v>
      </c>
      <c r="R362" s="2" t="s">
        <v>448</v>
      </c>
      <c r="S362" s="4">
        <v>44837</v>
      </c>
    </row>
    <row r="363" spans="1:19" ht="12.5" x14ac:dyDescent="0.25">
      <c r="A363" s="14" t="str">
        <f>HYPERLINK("https://gerandofalcoes.my.salesforce.com/0014X00002PUOZAQA5", "0014X00002PUOZAQA5")</f>
        <v>0014X00002PUOZAQA5</v>
      </c>
      <c r="B363" s="2" t="s">
        <v>1717</v>
      </c>
      <c r="C363" s="2" t="s">
        <v>423</v>
      </c>
      <c r="D363" s="2" t="s">
        <v>2</v>
      </c>
      <c r="E363" s="2">
        <v>99</v>
      </c>
      <c r="F363" s="2">
        <v>0</v>
      </c>
      <c r="G363" s="2">
        <v>3</v>
      </c>
      <c r="H363" s="2">
        <v>250000</v>
      </c>
      <c r="I363" s="2">
        <v>220</v>
      </c>
      <c r="J363" s="2" t="s">
        <v>1650</v>
      </c>
      <c r="K363" s="2">
        <v>65</v>
      </c>
      <c r="L363" s="2">
        <v>30</v>
      </c>
      <c r="M363" s="2">
        <v>0</v>
      </c>
      <c r="N363" s="2">
        <v>8</v>
      </c>
      <c r="O363" s="2">
        <v>15</v>
      </c>
      <c r="P363" s="2">
        <v>12</v>
      </c>
      <c r="Q363" s="2" t="s">
        <v>1718</v>
      </c>
      <c r="R363" s="2" t="s">
        <v>1718</v>
      </c>
      <c r="S363" s="4">
        <v>44837</v>
      </c>
    </row>
    <row r="364" spans="1:19" ht="12.5" x14ac:dyDescent="0.25">
      <c r="A364" s="14" t="str">
        <f>HYPERLINK("https://gerandofalcoes.my.salesforce.com/0014P00003ESKdlQAH", "0014P00003ESKdlQAH")</f>
        <v>0014P00003ESKdlQAH</v>
      </c>
      <c r="B364" s="2" t="s">
        <v>1719</v>
      </c>
      <c r="C364" s="2" t="s">
        <v>423</v>
      </c>
      <c r="D364" s="2" t="s">
        <v>2</v>
      </c>
      <c r="E364" s="2">
        <v>76</v>
      </c>
      <c r="F364" s="2">
        <v>0</v>
      </c>
      <c r="G364" s="2">
        <v>4</v>
      </c>
      <c r="H364" s="2">
        <v>780838</v>
      </c>
      <c r="I364" s="2">
        <v>949</v>
      </c>
      <c r="J364" s="2" t="s">
        <v>1650</v>
      </c>
      <c r="K364" s="2">
        <v>75</v>
      </c>
      <c r="L364" s="2">
        <v>25</v>
      </c>
      <c r="M364" s="2">
        <v>0</v>
      </c>
      <c r="N364" s="2">
        <v>10</v>
      </c>
      <c r="O364" s="2">
        <v>20</v>
      </c>
      <c r="P364" s="2">
        <v>20</v>
      </c>
      <c r="Q364" s="2" t="s">
        <v>898</v>
      </c>
      <c r="R364" s="2" t="s">
        <v>898</v>
      </c>
      <c r="S364" s="4">
        <v>44837</v>
      </c>
    </row>
    <row r="365" spans="1:19" ht="12.5" x14ac:dyDescent="0.25">
      <c r="A365" s="14" t="str">
        <f>HYPERLINK("https://gerandofalcoes.my.salesforce.com/0014P00003AN2FVQA1", "0014P00003AN2FVQA1")</f>
        <v>0014P00003AN2FVQA1</v>
      </c>
      <c r="B365" s="2" t="s">
        <v>1738</v>
      </c>
      <c r="C365" s="2" t="s">
        <v>423</v>
      </c>
      <c r="D365" s="2" t="s">
        <v>2</v>
      </c>
      <c r="E365" s="2">
        <v>70</v>
      </c>
      <c r="F365" s="2">
        <v>22</v>
      </c>
      <c r="G365" s="2">
        <v>3</v>
      </c>
      <c r="H365" s="2">
        <v>1385871</v>
      </c>
      <c r="I365" s="2">
        <v>600</v>
      </c>
      <c r="J365" s="2" t="s">
        <v>1654</v>
      </c>
      <c r="K365" s="2">
        <v>85</v>
      </c>
      <c r="L365" s="2">
        <v>20</v>
      </c>
      <c r="M365" s="2">
        <v>12</v>
      </c>
      <c r="N365" s="2">
        <v>8</v>
      </c>
      <c r="O365" s="2">
        <v>25</v>
      </c>
      <c r="P365" s="2">
        <v>20</v>
      </c>
      <c r="Q365" s="2" t="s">
        <v>632</v>
      </c>
      <c r="R365" s="2" t="s">
        <v>632</v>
      </c>
      <c r="S365" s="4">
        <v>44837</v>
      </c>
    </row>
    <row r="366" spans="1:19" ht="12.5" x14ac:dyDescent="0.25">
      <c r="A366" s="14" t="str">
        <f>HYPERLINK("https://gerandofalcoes.my.salesforce.com/0014P00003AN2FWQA1", "0014P00003AN2FWQA1")</f>
        <v>0014P00003AN2FWQA1</v>
      </c>
      <c r="B366" s="2" t="s">
        <v>2395</v>
      </c>
      <c r="C366" s="2" t="s">
        <v>423</v>
      </c>
      <c r="D366" s="2" t="s">
        <v>2</v>
      </c>
      <c r="E366" s="2">
        <v>43</v>
      </c>
      <c r="F366" s="2">
        <v>2</v>
      </c>
      <c r="G366" s="2">
        <v>2</v>
      </c>
      <c r="H366" s="2">
        <v>350000</v>
      </c>
      <c r="I366" s="2">
        <v>380</v>
      </c>
      <c r="J366" s="2" t="s">
        <v>1671</v>
      </c>
      <c r="K366" s="2">
        <v>61</v>
      </c>
      <c r="L366" s="2">
        <v>15</v>
      </c>
      <c r="M366" s="2">
        <v>5</v>
      </c>
      <c r="N366" s="2">
        <v>6</v>
      </c>
      <c r="O366" s="2">
        <v>20</v>
      </c>
      <c r="P366" s="2">
        <v>15</v>
      </c>
      <c r="Q366" s="2" t="s">
        <v>2396</v>
      </c>
      <c r="R366" s="2" t="s">
        <v>2396</v>
      </c>
      <c r="S366" s="4">
        <v>44837</v>
      </c>
    </row>
    <row r="367" spans="1:19" ht="12.5" x14ac:dyDescent="0.25">
      <c r="A367" s="14" t="str">
        <f>HYPERLINK("https://gerandofalcoes.my.salesforce.com/0014P00003AN2FXQA1", "0014P00003AN2FXQA1")</f>
        <v>0014P00003AN2FXQA1</v>
      </c>
      <c r="B367" s="2" t="s">
        <v>1799</v>
      </c>
      <c r="C367" s="2" t="s">
        <v>1800</v>
      </c>
      <c r="D367" s="2" t="s">
        <v>2</v>
      </c>
      <c r="E367" s="2">
        <v>53</v>
      </c>
      <c r="F367" s="2">
        <v>8</v>
      </c>
      <c r="G367" s="2">
        <v>3</v>
      </c>
      <c r="H367" s="2">
        <v>250000</v>
      </c>
      <c r="I367" s="2">
        <v>238</v>
      </c>
      <c r="J367" s="2" t="s">
        <v>1650</v>
      </c>
      <c r="K367" s="2">
        <v>65</v>
      </c>
      <c r="L367" s="2">
        <v>20</v>
      </c>
      <c r="M367" s="2">
        <v>10</v>
      </c>
      <c r="N367" s="2">
        <v>8</v>
      </c>
      <c r="O367" s="2">
        <v>15</v>
      </c>
      <c r="P367" s="2">
        <v>12</v>
      </c>
      <c r="Q367" s="2" t="s">
        <v>646</v>
      </c>
      <c r="R367" s="2" t="s">
        <v>646</v>
      </c>
      <c r="S367" s="4">
        <v>44837</v>
      </c>
    </row>
    <row r="368" spans="1:19" ht="12.5" x14ac:dyDescent="0.25">
      <c r="A368" s="14" t="str">
        <f>HYPERLINK("https://gerandofalcoes.my.salesforce.com/0014P00003AN2FYQA1", "0014P00003AN2FYQA1")</f>
        <v>0014P00003AN2FYQA1</v>
      </c>
      <c r="B368" s="2" t="s">
        <v>1874</v>
      </c>
      <c r="C368" s="2" t="s">
        <v>423</v>
      </c>
      <c r="D368" s="2" t="s">
        <v>2</v>
      </c>
      <c r="E368" s="2">
        <v>45</v>
      </c>
      <c r="F368" s="2">
        <v>4</v>
      </c>
      <c r="G368" s="2">
        <v>5</v>
      </c>
      <c r="H368" s="2">
        <v>100000</v>
      </c>
      <c r="I368" s="2">
        <v>500</v>
      </c>
      <c r="J368" s="2" t="s">
        <v>1650</v>
      </c>
      <c r="K368" s="2">
        <v>65</v>
      </c>
      <c r="L368" s="2">
        <v>15</v>
      </c>
      <c r="M368" s="2">
        <v>5</v>
      </c>
      <c r="N368" s="2">
        <v>10</v>
      </c>
      <c r="O368" s="2">
        <v>15</v>
      </c>
      <c r="P368" s="2">
        <v>20</v>
      </c>
      <c r="Q368" s="2" t="s">
        <v>611</v>
      </c>
      <c r="R368" s="2" t="s">
        <v>611</v>
      </c>
      <c r="S368" s="4">
        <v>44837</v>
      </c>
    </row>
    <row r="369" spans="1:19" ht="12.5" x14ac:dyDescent="0.25">
      <c r="A369" s="14" t="str">
        <f>HYPERLINK("https://gerandofalcoes.my.salesforce.com/0014P00003AN2FZQA1", "0014P00003AN2FZQA1")</f>
        <v>0014P00003AN2FZQA1</v>
      </c>
      <c r="B369" s="2" t="s">
        <v>1685</v>
      </c>
      <c r="C369" s="2" t="s">
        <v>423</v>
      </c>
      <c r="D369" s="2" t="s">
        <v>2</v>
      </c>
      <c r="E369" s="2">
        <v>94</v>
      </c>
      <c r="F369" s="2">
        <v>51</v>
      </c>
      <c r="G369" s="2">
        <v>5</v>
      </c>
      <c r="H369" s="2">
        <v>4439647</v>
      </c>
      <c r="I369" s="2">
        <v>397</v>
      </c>
      <c r="J369" s="2" t="s">
        <v>1654</v>
      </c>
      <c r="K369" s="2">
        <v>95</v>
      </c>
      <c r="L369" s="2">
        <v>30</v>
      </c>
      <c r="M369" s="2">
        <v>15</v>
      </c>
      <c r="N369" s="2">
        <v>10</v>
      </c>
      <c r="O369" s="2">
        <v>25</v>
      </c>
      <c r="P369" s="2">
        <v>15</v>
      </c>
      <c r="Q369" s="2" t="s">
        <v>1686</v>
      </c>
      <c r="R369" s="2" t="s">
        <v>1686</v>
      </c>
      <c r="S369" s="4">
        <v>44837</v>
      </c>
    </row>
    <row r="370" spans="1:19" ht="12.5" x14ac:dyDescent="0.25">
      <c r="A370" s="14" t="str">
        <f>HYPERLINK("https://gerandofalcoes.my.salesforce.com/0014P00003AN2FaQAL", "0014P00003AN2FaQAL")</f>
        <v>0014P00003AN2FaQAL</v>
      </c>
      <c r="B370" s="2" t="s">
        <v>81</v>
      </c>
      <c r="C370" s="2" t="s">
        <v>423</v>
      </c>
      <c r="D370" s="2" t="s">
        <v>2</v>
      </c>
      <c r="E370" s="2">
        <v>47</v>
      </c>
      <c r="F370" s="2">
        <v>7</v>
      </c>
      <c r="G370" s="2">
        <v>2</v>
      </c>
      <c r="H370" s="2">
        <v>30000</v>
      </c>
      <c r="I370" s="2">
        <v>40</v>
      </c>
      <c r="J370" s="2" t="s">
        <v>1671</v>
      </c>
      <c r="K370" s="2">
        <v>46</v>
      </c>
      <c r="L370" s="2">
        <v>15</v>
      </c>
      <c r="M370" s="2">
        <v>10</v>
      </c>
      <c r="N370" s="2">
        <v>6</v>
      </c>
      <c r="O370" s="2">
        <v>10</v>
      </c>
      <c r="P370" s="2">
        <v>5</v>
      </c>
      <c r="Q370" s="2" t="s">
        <v>82</v>
      </c>
      <c r="R370" s="2" t="s">
        <v>660</v>
      </c>
      <c r="S370" s="4">
        <v>44837</v>
      </c>
    </row>
    <row r="371" spans="1:19" ht="12.5" x14ac:dyDescent="0.25">
      <c r="A371" s="14" t="str">
        <f>HYPERLINK("https://gerandofalcoes.my.salesforce.com/0014P00003AN2FbQAL", "0014P00003AN2FbQAL")</f>
        <v>0014P00003AN2FbQAL</v>
      </c>
      <c r="B371" s="2" t="s">
        <v>2318</v>
      </c>
      <c r="C371" s="2" t="s">
        <v>423</v>
      </c>
      <c r="D371" s="2" t="s">
        <v>2</v>
      </c>
      <c r="E371" s="2">
        <v>28</v>
      </c>
      <c r="F371" s="2">
        <v>0</v>
      </c>
      <c r="G371" s="2">
        <v>0</v>
      </c>
      <c r="H371" s="2">
        <v>20000</v>
      </c>
      <c r="I371" s="2">
        <v>80</v>
      </c>
      <c r="J371" s="2" t="s">
        <v>1779</v>
      </c>
      <c r="K371" s="2">
        <v>30</v>
      </c>
      <c r="L371" s="2">
        <v>15</v>
      </c>
      <c r="M371" s="2">
        <v>0</v>
      </c>
      <c r="N371" s="2">
        <v>0</v>
      </c>
      <c r="O371" s="2">
        <v>5</v>
      </c>
      <c r="P371" s="2">
        <v>10</v>
      </c>
      <c r="Q371" s="2" t="s">
        <v>88</v>
      </c>
      <c r="R371" s="2" t="s">
        <v>88</v>
      </c>
      <c r="S371" s="4">
        <v>44837</v>
      </c>
    </row>
    <row r="372" spans="1:19" ht="12.5" x14ac:dyDescent="0.25">
      <c r="A372" s="14" t="str">
        <f>HYPERLINK("https://gerandofalcoes.my.salesforce.com/0014P00003AN2FcQAL", "0014P00003AN2FcQAL")</f>
        <v>0014P00003AN2FcQAL</v>
      </c>
      <c r="B372" s="2" t="s">
        <v>1681</v>
      </c>
      <c r="C372" s="2" t="s">
        <v>423</v>
      </c>
      <c r="D372" s="2" t="s">
        <v>27</v>
      </c>
      <c r="E372" s="2">
        <v>87</v>
      </c>
      <c r="F372" s="2">
        <v>10</v>
      </c>
      <c r="G372" s="2">
        <v>3</v>
      </c>
      <c r="H372" s="2">
        <v>501150</v>
      </c>
      <c r="I372" s="2">
        <v>171</v>
      </c>
      <c r="J372" s="2" t="s">
        <v>1650</v>
      </c>
      <c r="K372" s="2">
        <v>75</v>
      </c>
      <c r="L372" s="2">
        <v>25</v>
      </c>
      <c r="M372" s="2">
        <v>10</v>
      </c>
      <c r="N372" s="2">
        <v>8</v>
      </c>
      <c r="O372" s="2">
        <v>20</v>
      </c>
      <c r="P372" s="2">
        <v>12</v>
      </c>
      <c r="Q372" s="2" t="s">
        <v>91</v>
      </c>
      <c r="R372" s="2" t="s">
        <v>91</v>
      </c>
      <c r="S372" s="4">
        <v>44837</v>
      </c>
    </row>
    <row r="373" spans="1:19" ht="12.5" x14ac:dyDescent="0.25">
      <c r="A373" s="14" t="str">
        <f>HYPERLINK("https://gerandofalcoes.my.salesforce.com/0014P00003AN2FdQAL", "0014P00003AN2FdQAL")</f>
        <v>0014P00003AN2FdQAL</v>
      </c>
      <c r="B373" s="2" t="s">
        <v>95</v>
      </c>
      <c r="C373" s="2" t="s">
        <v>1800</v>
      </c>
      <c r="D373" s="2" t="s">
        <v>2</v>
      </c>
      <c r="E373" s="2">
        <v>7</v>
      </c>
      <c r="F373" s="2">
        <v>0</v>
      </c>
      <c r="G373" s="2">
        <v>0</v>
      </c>
      <c r="H373" s="2">
        <v>0</v>
      </c>
      <c r="I373" s="2">
        <v>300</v>
      </c>
      <c r="J373" s="2" t="s">
        <v>1779</v>
      </c>
      <c r="K373" s="2">
        <v>25</v>
      </c>
      <c r="L373" s="2">
        <v>10</v>
      </c>
      <c r="M373" s="2">
        <v>0</v>
      </c>
      <c r="N373" s="2">
        <v>0</v>
      </c>
      <c r="O373" s="2">
        <v>0</v>
      </c>
      <c r="P373" s="2">
        <v>15</v>
      </c>
      <c r="Q373" s="2" t="s">
        <v>96</v>
      </c>
      <c r="R373" s="2" t="s">
        <v>685</v>
      </c>
      <c r="S373" s="4">
        <v>44837</v>
      </c>
    </row>
    <row r="374" spans="1:19" ht="12.5" x14ac:dyDescent="0.25">
      <c r="A374" s="14" t="str">
        <f>HYPERLINK("https://gerandofalcoes.my.salesforce.com/0014P00003AN2FeQAL", "0014P00003AN2FeQAL")</f>
        <v>0014P00003AN2FeQAL</v>
      </c>
      <c r="B374" s="2" t="s">
        <v>100</v>
      </c>
      <c r="C374" s="2" t="s">
        <v>423</v>
      </c>
      <c r="D374" s="2" t="s">
        <v>2</v>
      </c>
      <c r="E374" s="2">
        <v>25</v>
      </c>
      <c r="F374" s="2">
        <v>10</v>
      </c>
      <c r="G374" s="2">
        <v>3</v>
      </c>
      <c r="H374" s="2">
        <v>17500000</v>
      </c>
      <c r="I374" s="2">
        <v>50</v>
      </c>
      <c r="J374" s="2" t="s">
        <v>1671</v>
      </c>
      <c r="K374" s="2">
        <v>63</v>
      </c>
      <c r="L374" s="2">
        <v>15</v>
      </c>
      <c r="M374" s="2">
        <v>10</v>
      </c>
      <c r="N374" s="2">
        <v>8</v>
      </c>
      <c r="O374" s="2">
        <v>25</v>
      </c>
      <c r="P374" s="2">
        <v>5</v>
      </c>
      <c r="Q374" s="2" t="s">
        <v>101</v>
      </c>
      <c r="R374" s="2" t="s">
        <v>2472</v>
      </c>
      <c r="S374" s="4">
        <v>44837</v>
      </c>
    </row>
    <row r="375" spans="1:19" ht="12.5" x14ac:dyDescent="0.25">
      <c r="A375" s="14" t="str">
        <f>HYPERLINK("https://gerandofalcoes.my.salesforce.com/0014X00002VKCteQAH", "0014X00002VKCteQAH")</f>
        <v>0014X00002VKCteQAH</v>
      </c>
      <c r="B375" s="2" t="s">
        <v>2368</v>
      </c>
      <c r="C375" s="2" t="s">
        <v>423</v>
      </c>
      <c r="D375" s="2" t="s">
        <v>2</v>
      </c>
      <c r="E375" s="2">
        <v>26</v>
      </c>
      <c r="F375" s="2">
        <v>0</v>
      </c>
      <c r="G375" s="2">
        <v>4</v>
      </c>
      <c r="H375" s="2">
        <v>120000</v>
      </c>
      <c r="I375" s="2">
        <v>80</v>
      </c>
      <c r="J375" s="2" t="s">
        <v>1671</v>
      </c>
      <c r="K375" s="2">
        <v>50</v>
      </c>
      <c r="L375" s="2">
        <v>15</v>
      </c>
      <c r="M375" s="2">
        <v>0</v>
      </c>
      <c r="N375" s="2">
        <v>10</v>
      </c>
      <c r="O375" s="2">
        <v>15</v>
      </c>
      <c r="P375" s="2">
        <v>10</v>
      </c>
      <c r="Q375" s="2" t="s">
        <v>2369</v>
      </c>
      <c r="R375" s="2" t="s">
        <v>2369</v>
      </c>
      <c r="S375" s="4">
        <v>44837</v>
      </c>
    </row>
    <row r="376" spans="1:19" ht="12.5" x14ac:dyDescent="0.25">
      <c r="A376" s="14" t="str">
        <f>HYPERLINK("https://gerandofalcoes.my.salesforce.com/0014X00002VKCunQAH", "0014X00002VKCunQAH")</f>
        <v>0014X00002VKCunQAH</v>
      </c>
      <c r="B376" s="2" t="s">
        <v>2054</v>
      </c>
      <c r="C376" s="2" t="s">
        <v>423</v>
      </c>
      <c r="D376" s="2" t="s">
        <v>2</v>
      </c>
      <c r="E376" s="2">
        <v>37</v>
      </c>
      <c r="F376" s="2">
        <v>4</v>
      </c>
      <c r="G376" s="2">
        <v>6</v>
      </c>
      <c r="H376" s="2">
        <v>240</v>
      </c>
      <c r="I376" s="2">
        <v>30</v>
      </c>
      <c r="J376" s="2" t="s">
        <v>1671</v>
      </c>
      <c r="K376" s="2">
        <v>40</v>
      </c>
      <c r="L376" s="2">
        <v>15</v>
      </c>
      <c r="M376" s="2">
        <v>5</v>
      </c>
      <c r="N376" s="2">
        <v>10</v>
      </c>
      <c r="O376" s="2">
        <v>5</v>
      </c>
      <c r="P376" s="2">
        <v>5</v>
      </c>
      <c r="Q376" s="2" t="s">
        <v>2055</v>
      </c>
      <c r="R376" s="2" t="s">
        <v>2056</v>
      </c>
      <c r="S376" s="4">
        <v>44837</v>
      </c>
    </row>
    <row r="377" spans="1:19" ht="12.5" x14ac:dyDescent="0.25">
      <c r="A377" s="14" t="str">
        <f>HYPERLINK("https://gerandofalcoes.my.salesforce.com/0014X00002VKCpOQAX", "0014X00002VKCpOQAX")</f>
        <v>0014X00002VKCpOQAX</v>
      </c>
      <c r="B377" s="2" t="s">
        <v>7187</v>
      </c>
      <c r="C377" s="2" t="s">
        <v>1800</v>
      </c>
      <c r="D377" s="2" t="s">
        <v>2</v>
      </c>
      <c r="E377" s="2">
        <v>8</v>
      </c>
      <c r="F377" s="2">
        <v>4</v>
      </c>
      <c r="G377" s="2">
        <v>10</v>
      </c>
      <c r="H377" s="2">
        <v>0</v>
      </c>
      <c r="I377" s="2">
        <v>100</v>
      </c>
      <c r="J377" s="2" t="s">
        <v>1779</v>
      </c>
      <c r="K377" s="2">
        <v>35</v>
      </c>
      <c r="L377" s="2">
        <v>10</v>
      </c>
      <c r="M377" s="2">
        <v>5</v>
      </c>
      <c r="N377" s="2">
        <v>10</v>
      </c>
      <c r="O377" s="2">
        <v>0</v>
      </c>
      <c r="P377" s="2">
        <v>10</v>
      </c>
      <c r="Q377" s="2" t="s">
        <v>2906</v>
      </c>
      <c r="R377" s="2" t="s">
        <v>2906</v>
      </c>
      <c r="S377" s="4">
        <v>44837</v>
      </c>
    </row>
    <row r="378" spans="1:19" ht="12.5" x14ac:dyDescent="0.25">
      <c r="A378" s="14" t="str">
        <f>HYPERLINK("https://gerandofalcoes.my.salesforce.com/0014X00002VKCv1QAH", "0014X00002VKCv1QAH")</f>
        <v>0014X00002VKCv1QAH</v>
      </c>
      <c r="B378" s="2" t="s">
        <v>2307</v>
      </c>
      <c r="C378" s="2" t="s">
        <v>1800</v>
      </c>
      <c r="D378" s="2" t="s">
        <v>2</v>
      </c>
      <c r="E378" s="2">
        <v>29</v>
      </c>
      <c r="F378" s="2">
        <v>0</v>
      </c>
      <c r="G378" s="2">
        <v>2</v>
      </c>
      <c r="H378" s="2">
        <v>10000</v>
      </c>
      <c r="I378" s="2">
        <v>20</v>
      </c>
      <c r="J378" s="2" t="s">
        <v>1779</v>
      </c>
      <c r="K378" s="2">
        <v>31</v>
      </c>
      <c r="L378" s="2">
        <v>15</v>
      </c>
      <c r="M378" s="2">
        <v>0</v>
      </c>
      <c r="N378" s="2">
        <v>6</v>
      </c>
      <c r="O378" s="2">
        <v>5</v>
      </c>
      <c r="P378" s="2">
        <v>5</v>
      </c>
      <c r="Q378" s="2" t="s">
        <v>2308</v>
      </c>
      <c r="R378" s="2" t="s">
        <v>2308</v>
      </c>
      <c r="S378" s="4">
        <v>44837</v>
      </c>
    </row>
    <row r="379" spans="1:19" ht="12.5" x14ac:dyDescent="0.25">
      <c r="A379" s="14" t="str">
        <f>HYPERLINK("https://gerandofalcoes.my.salesforce.com/0014X00002VKCrtQAH", "0014X00002VKCrtQAH")</f>
        <v>0014X00002VKCrtQAH</v>
      </c>
      <c r="B379" s="2" t="s">
        <v>2579</v>
      </c>
      <c r="C379" s="2" t="s">
        <v>423</v>
      </c>
      <c r="D379" s="2" t="s">
        <v>2</v>
      </c>
      <c r="E379" s="2">
        <v>34</v>
      </c>
      <c r="F379" s="2">
        <v>0</v>
      </c>
      <c r="G379" s="2">
        <v>6</v>
      </c>
      <c r="H379" s="2">
        <v>37500</v>
      </c>
      <c r="I379" s="2">
        <v>50</v>
      </c>
      <c r="J379" s="2" t="s">
        <v>1671</v>
      </c>
      <c r="K379" s="2">
        <v>40</v>
      </c>
      <c r="L379" s="2">
        <v>15</v>
      </c>
      <c r="M379" s="2">
        <v>0</v>
      </c>
      <c r="N379" s="2">
        <v>10</v>
      </c>
      <c r="O379" s="2">
        <v>10</v>
      </c>
      <c r="P379" s="2">
        <v>5</v>
      </c>
      <c r="Q379" s="2" t="s">
        <v>2580</v>
      </c>
      <c r="R379" s="2" t="s">
        <v>2581</v>
      </c>
      <c r="S379" s="4">
        <v>44837</v>
      </c>
    </row>
    <row r="380" spans="1:19" ht="12.5" x14ac:dyDescent="0.25">
      <c r="A380" s="14" t="str">
        <f>HYPERLINK("https://gerandofalcoes.my.salesforce.com/0014X00002VKCrxQAH", "0014X00002VKCrxQAH")</f>
        <v>0014X00002VKCrxQAH</v>
      </c>
      <c r="B380" s="2" t="s">
        <v>2970</v>
      </c>
      <c r="C380" s="2" t="s">
        <v>423</v>
      </c>
      <c r="D380" s="2" t="s">
        <v>2</v>
      </c>
      <c r="E380" s="2">
        <v>18</v>
      </c>
      <c r="F380" s="2">
        <v>0</v>
      </c>
      <c r="G380" s="2">
        <v>3</v>
      </c>
      <c r="H380" s="2">
        <v>2000</v>
      </c>
      <c r="I380" s="2">
        <v>110</v>
      </c>
      <c r="J380" s="2" t="s">
        <v>1779</v>
      </c>
      <c r="K380" s="2">
        <v>33</v>
      </c>
      <c r="L380" s="2">
        <v>10</v>
      </c>
      <c r="M380" s="2">
        <v>0</v>
      </c>
      <c r="N380" s="2">
        <v>8</v>
      </c>
      <c r="O380" s="2">
        <v>5</v>
      </c>
      <c r="P380" s="2">
        <v>10</v>
      </c>
      <c r="Q380" s="2" t="s">
        <v>2971</v>
      </c>
      <c r="R380" s="2" t="s">
        <v>2972</v>
      </c>
      <c r="S380" s="4">
        <v>44837</v>
      </c>
    </row>
    <row r="381" spans="1:19" ht="12.5" x14ac:dyDescent="0.25">
      <c r="A381" s="14" t="str">
        <f>HYPERLINK("https://gerandofalcoes.my.salesforce.com/0014X00002VKCv3QAH", "0014X00002VKCv3QAH")</f>
        <v>0014X00002VKCv3QAH</v>
      </c>
      <c r="B381" s="2" t="s">
        <v>2141</v>
      </c>
      <c r="C381" s="2" t="s">
        <v>1800</v>
      </c>
      <c r="D381" s="2" t="s">
        <v>2</v>
      </c>
      <c r="E381" s="2">
        <v>34</v>
      </c>
      <c r="F381" s="2">
        <v>0</v>
      </c>
      <c r="G381" s="2">
        <v>3</v>
      </c>
      <c r="H381" s="2">
        <v>12000</v>
      </c>
      <c r="I381" s="2">
        <v>20</v>
      </c>
      <c r="J381" s="2" t="s">
        <v>1779</v>
      </c>
      <c r="K381" s="2">
        <v>33</v>
      </c>
      <c r="L381" s="2">
        <v>15</v>
      </c>
      <c r="M381" s="2">
        <v>0</v>
      </c>
      <c r="N381" s="2">
        <v>8</v>
      </c>
      <c r="O381" s="2">
        <v>5</v>
      </c>
      <c r="P381" s="2">
        <v>5</v>
      </c>
      <c r="Q381" s="2" t="s">
        <v>2142</v>
      </c>
      <c r="R381" s="2" t="s">
        <v>2143</v>
      </c>
      <c r="S381" s="4">
        <v>44837</v>
      </c>
    </row>
    <row r="382" spans="1:19" ht="12.5" x14ac:dyDescent="0.25">
      <c r="A382" s="14" t="str">
        <f>HYPERLINK("https://gerandofalcoes.my.salesforce.com/0014P00003Ck8NjQAJ", "0014P00003Ck8NjQAJ")</f>
        <v>0014P00003Ck8NjQAJ</v>
      </c>
      <c r="B382" s="2" t="s">
        <v>1734</v>
      </c>
      <c r="C382" s="2" t="s">
        <v>423</v>
      </c>
      <c r="D382" s="2" t="s">
        <v>2</v>
      </c>
      <c r="E382" s="2">
        <v>32</v>
      </c>
      <c r="F382" s="2">
        <v>30</v>
      </c>
      <c r="G382" s="2">
        <v>8</v>
      </c>
      <c r="H382" s="2">
        <v>0</v>
      </c>
      <c r="I382" s="2">
        <v>200</v>
      </c>
      <c r="J382" s="2" t="s">
        <v>1671</v>
      </c>
      <c r="K382" s="2">
        <v>49</v>
      </c>
      <c r="L382" s="2">
        <v>15</v>
      </c>
      <c r="M382" s="2">
        <v>12</v>
      </c>
      <c r="N382" s="2">
        <v>10</v>
      </c>
      <c r="O382" s="2">
        <v>0</v>
      </c>
      <c r="P382" s="2">
        <v>12</v>
      </c>
      <c r="Q382" s="2" t="s">
        <v>1735</v>
      </c>
      <c r="R382" s="2" t="s">
        <v>1735</v>
      </c>
      <c r="S382" s="4">
        <v>44837</v>
      </c>
    </row>
    <row r="383" spans="1:19" ht="12.5" x14ac:dyDescent="0.25">
      <c r="A383" s="14" t="str">
        <f>HYPERLINK("https://gerandofalcoes.my.salesforce.com/0014P00003I7WH2QAN", "0014P00003I7WH2QAN")</f>
        <v>0014P00003I7WH2QAN</v>
      </c>
      <c r="B383" s="2" t="s">
        <v>1748</v>
      </c>
      <c r="C383" s="2" t="s">
        <v>423</v>
      </c>
      <c r="D383" s="2" t="s">
        <v>2</v>
      </c>
      <c r="E383" s="2">
        <v>75</v>
      </c>
      <c r="F383" s="2">
        <v>5</v>
      </c>
      <c r="G383" s="2">
        <v>3</v>
      </c>
      <c r="H383" s="2">
        <v>300000</v>
      </c>
      <c r="I383" s="2">
        <v>85</v>
      </c>
      <c r="J383" s="2" t="s">
        <v>1650</v>
      </c>
      <c r="K383" s="2">
        <v>68</v>
      </c>
      <c r="L383" s="2">
        <v>25</v>
      </c>
      <c r="M383" s="2">
        <v>5</v>
      </c>
      <c r="N383" s="2">
        <v>8</v>
      </c>
      <c r="O383" s="2">
        <v>20</v>
      </c>
      <c r="P383" s="2">
        <v>10</v>
      </c>
      <c r="Q383" s="2" t="s">
        <v>1749</v>
      </c>
      <c r="R383" s="2" t="s">
        <v>906</v>
      </c>
      <c r="S383" s="4">
        <v>44837</v>
      </c>
    </row>
    <row r="384" spans="1:19" ht="12.5" x14ac:dyDescent="0.25">
      <c r="A384" s="14" t="str">
        <f>HYPERLINK("https://gerandofalcoes.my.salesforce.com/0014P00003AN2FfQAL", "0014P00003AN2FfQAL")</f>
        <v>0014P00003AN2FfQAL</v>
      </c>
      <c r="B384" s="2" t="s">
        <v>105</v>
      </c>
      <c r="C384" s="2" t="s">
        <v>423</v>
      </c>
      <c r="D384" s="2" t="s">
        <v>2</v>
      </c>
      <c r="E384" s="2">
        <v>20</v>
      </c>
      <c r="F384" s="2">
        <v>0</v>
      </c>
      <c r="G384" s="2">
        <v>1</v>
      </c>
      <c r="H384" s="2">
        <v>10000</v>
      </c>
      <c r="I384" s="2">
        <v>190</v>
      </c>
      <c r="J384" s="2" t="s">
        <v>1779</v>
      </c>
      <c r="K384" s="2">
        <v>31</v>
      </c>
      <c r="L384" s="2">
        <v>10</v>
      </c>
      <c r="M384" s="2">
        <v>0</v>
      </c>
      <c r="N384" s="2">
        <v>4</v>
      </c>
      <c r="O384" s="2">
        <v>5</v>
      </c>
      <c r="P384" s="2">
        <v>12</v>
      </c>
      <c r="Q384" s="2" t="s">
        <v>106</v>
      </c>
      <c r="R384" s="2" t="s">
        <v>7161</v>
      </c>
      <c r="S384" s="4">
        <v>44837</v>
      </c>
    </row>
    <row r="385" spans="1:19" ht="12.5" x14ac:dyDescent="0.25">
      <c r="A385" s="14" t="str">
        <f>HYPERLINK("https://gerandofalcoes.my.salesforce.com/0014P00003AN2FgQAL", "0014P00003AN2FgQAL")</f>
        <v>0014P00003AN2FgQAL</v>
      </c>
      <c r="B385" s="2" t="s">
        <v>109</v>
      </c>
      <c r="C385" s="2" t="s">
        <v>1800</v>
      </c>
      <c r="D385" s="2" t="s">
        <v>2</v>
      </c>
      <c r="E385" s="2">
        <v>36</v>
      </c>
      <c r="F385" s="2">
        <v>2</v>
      </c>
      <c r="G385" s="2">
        <v>4</v>
      </c>
      <c r="H385" s="2">
        <v>200000</v>
      </c>
      <c r="I385" s="2">
        <v>328</v>
      </c>
      <c r="J385" s="2" t="s">
        <v>1671</v>
      </c>
      <c r="K385" s="2">
        <v>60</v>
      </c>
      <c r="L385" s="2">
        <v>15</v>
      </c>
      <c r="M385" s="2">
        <v>5</v>
      </c>
      <c r="N385" s="2">
        <v>10</v>
      </c>
      <c r="O385" s="2">
        <v>15</v>
      </c>
      <c r="P385" s="2">
        <v>15</v>
      </c>
      <c r="Q385" s="2" t="s">
        <v>110</v>
      </c>
      <c r="R385" s="2" t="s">
        <v>110</v>
      </c>
      <c r="S385" s="4">
        <v>44837</v>
      </c>
    </row>
    <row r="386" spans="1:19" ht="12.5" x14ac:dyDescent="0.25">
      <c r="A386" s="14" t="str">
        <f>HYPERLINK("https://gerandofalcoes.my.salesforce.com/0014P00003AN2FhQAL", "0014P00003AN2FhQAL")</f>
        <v>0014P00003AN2FhQAL</v>
      </c>
      <c r="B386" s="2" t="s">
        <v>1889</v>
      </c>
      <c r="C386" s="2" t="s">
        <v>423</v>
      </c>
      <c r="D386" s="2" t="s">
        <v>2</v>
      </c>
      <c r="E386" s="2">
        <v>55</v>
      </c>
      <c r="F386" s="2">
        <v>3</v>
      </c>
      <c r="G386" s="2">
        <v>3</v>
      </c>
      <c r="H386" s="2">
        <v>22000</v>
      </c>
      <c r="I386" s="2">
        <v>200</v>
      </c>
      <c r="J386" s="2" t="s">
        <v>1671</v>
      </c>
      <c r="K386" s="2">
        <v>50</v>
      </c>
      <c r="L386" s="2">
        <v>20</v>
      </c>
      <c r="M386" s="2">
        <v>5</v>
      </c>
      <c r="N386" s="2">
        <v>8</v>
      </c>
      <c r="O386" s="2">
        <v>5</v>
      </c>
      <c r="P386" s="2">
        <v>12</v>
      </c>
      <c r="Q386" s="2" t="s">
        <v>715</v>
      </c>
      <c r="R386" s="2" t="s">
        <v>715</v>
      </c>
      <c r="S386" s="4">
        <v>44837</v>
      </c>
    </row>
    <row r="387" spans="1:19" ht="12.5" x14ac:dyDescent="0.25">
      <c r="A387" s="14" t="str">
        <f>HYPERLINK("https://gerandofalcoes.my.salesforce.com/0014P00003AN2FiQAL", "0014P00003AN2FiQAL")</f>
        <v>0014P00003AN2FiQAL</v>
      </c>
      <c r="B387" s="2" t="s">
        <v>2541</v>
      </c>
      <c r="C387" s="2" t="s">
        <v>423</v>
      </c>
      <c r="D387" s="2" t="s">
        <v>2</v>
      </c>
      <c r="E387" s="2">
        <v>40</v>
      </c>
      <c r="F387" s="2">
        <v>2</v>
      </c>
      <c r="G387" s="2">
        <v>2</v>
      </c>
      <c r="H387" s="2">
        <v>270000</v>
      </c>
      <c r="I387" s="2">
        <v>230</v>
      </c>
      <c r="J387" s="2" t="s">
        <v>1671</v>
      </c>
      <c r="K387" s="2">
        <v>53</v>
      </c>
      <c r="L387" s="2">
        <v>15</v>
      </c>
      <c r="M387" s="2">
        <v>5</v>
      </c>
      <c r="N387" s="2">
        <v>6</v>
      </c>
      <c r="O387" s="2">
        <v>15</v>
      </c>
      <c r="P387" s="2">
        <v>12</v>
      </c>
      <c r="Q387" s="2" t="s">
        <v>2542</v>
      </c>
      <c r="R387" s="2" t="s">
        <v>2542</v>
      </c>
      <c r="S387" s="4">
        <v>44837</v>
      </c>
    </row>
    <row r="388" spans="1:19" ht="12.5" x14ac:dyDescent="0.25">
      <c r="A388" s="14" t="str">
        <f>HYPERLINK("https://gerandofalcoes.my.salesforce.com/0014P00003AN2FjQAL", "0014P00003AN2FjQAL")</f>
        <v>0014P00003AN2FjQAL</v>
      </c>
      <c r="B388" s="2" t="s">
        <v>1679</v>
      </c>
      <c r="C388" s="2" t="s">
        <v>423</v>
      </c>
      <c r="D388" s="2" t="s">
        <v>27</v>
      </c>
      <c r="E388" s="2">
        <v>89</v>
      </c>
      <c r="F388" s="2">
        <v>5</v>
      </c>
      <c r="G388" s="2">
        <v>4</v>
      </c>
      <c r="H388" s="2">
        <v>49628.39</v>
      </c>
      <c r="I388" s="2">
        <v>79</v>
      </c>
      <c r="J388" s="2" t="s">
        <v>1671</v>
      </c>
      <c r="K388" s="2">
        <v>55</v>
      </c>
      <c r="L388" s="2">
        <v>25</v>
      </c>
      <c r="M388" s="2">
        <v>5</v>
      </c>
      <c r="N388" s="2">
        <v>10</v>
      </c>
      <c r="O388" s="2">
        <v>10</v>
      </c>
      <c r="P388" s="2">
        <v>5</v>
      </c>
      <c r="Q388" s="2" t="s">
        <v>63</v>
      </c>
      <c r="R388" s="2" t="s">
        <v>1680</v>
      </c>
      <c r="S388" s="4">
        <v>44837</v>
      </c>
    </row>
    <row r="389" spans="1:19" ht="12.5" x14ac:dyDescent="0.25">
      <c r="A389" s="14" t="str">
        <f>HYPERLINK("https://gerandofalcoes.my.salesforce.com/0014P00003AN2FkQAL", "0014P00003AN2FkQAL")</f>
        <v>0014P00003AN2FkQAL</v>
      </c>
      <c r="B389" s="2" t="s">
        <v>1753</v>
      </c>
      <c r="C389" s="2" t="s">
        <v>423</v>
      </c>
      <c r="D389" s="2" t="s">
        <v>27</v>
      </c>
      <c r="E389" s="2">
        <v>51</v>
      </c>
      <c r="F389" s="2">
        <v>0</v>
      </c>
      <c r="G389" s="2">
        <v>4</v>
      </c>
      <c r="H389" s="2">
        <v>45000</v>
      </c>
      <c r="I389" s="2">
        <v>700</v>
      </c>
      <c r="J389" s="2" t="s">
        <v>1671</v>
      </c>
      <c r="K389" s="2">
        <v>60</v>
      </c>
      <c r="L389" s="2">
        <v>20</v>
      </c>
      <c r="M389" s="2">
        <v>0</v>
      </c>
      <c r="N389" s="2">
        <v>10</v>
      </c>
      <c r="O389" s="2">
        <v>10</v>
      </c>
      <c r="P389" s="2">
        <v>20</v>
      </c>
      <c r="Q389" s="2" t="s">
        <v>1754</v>
      </c>
      <c r="R389" s="2" t="s">
        <v>738</v>
      </c>
      <c r="S389" s="4">
        <v>44837</v>
      </c>
    </row>
    <row r="390" spans="1:19" ht="12.5" x14ac:dyDescent="0.25">
      <c r="A390" s="14" t="str">
        <f>HYPERLINK("https://gerandofalcoes.my.salesforce.com/0014P00003AN2FlQAL", "0014P00003AN2FlQAL")</f>
        <v>0014P00003AN2FlQAL</v>
      </c>
      <c r="B390" s="2" t="s">
        <v>1689</v>
      </c>
      <c r="C390" s="2" t="s">
        <v>423</v>
      </c>
      <c r="D390" s="2" t="s">
        <v>27</v>
      </c>
      <c r="E390" s="2">
        <v>85</v>
      </c>
      <c r="F390" s="2">
        <v>9</v>
      </c>
      <c r="G390" s="2">
        <v>5</v>
      </c>
      <c r="H390" s="2">
        <v>128126.51</v>
      </c>
      <c r="I390" s="2">
        <v>196</v>
      </c>
      <c r="J390" s="2" t="s">
        <v>1650</v>
      </c>
      <c r="K390" s="2">
        <v>72</v>
      </c>
      <c r="L390" s="2">
        <v>25</v>
      </c>
      <c r="M390" s="2">
        <v>10</v>
      </c>
      <c r="N390" s="2">
        <v>10</v>
      </c>
      <c r="O390" s="2">
        <v>15</v>
      </c>
      <c r="P390" s="2">
        <v>12</v>
      </c>
      <c r="Q390" s="2" t="s">
        <v>126</v>
      </c>
      <c r="R390" s="2" t="s">
        <v>1690</v>
      </c>
      <c r="S390" s="4">
        <v>44837</v>
      </c>
    </row>
    <row r="391" spans="1:19" ht="12.5" x14ac:dyDescent="0.25">
      <c r="A391" s="14" t="str">
        <f>HYPERLINK("https://gerandofalcoes.my.salesforce.com/0014P00003AN2FmQAL", "0014P00003AN2FmQAL")</f>
        <v>0014P00003AN2FmQAL</v>
      </c>
      <c r="B391" s="2" t="s">
        <v>1683</v>
      </c>
      <c r="C391" s="2" t="s">
        <v>1684</v>
      </c>
      <c r="D391" s="2" t="s">
        <v>27</v>
      </c>
      <c r="E391" s="2">
        <v>86</v>
      </c>
      <c r="F391" s="2">
        <v>30</v>
      </c>
      <c r="G391" s="2">
        <v>5</v>
      </c>
      <c r="H391" s="2">
        <v>969799.69</v>
      </c>
      <c r="I391" s="2">
        <v>111</v>
      </c>
      <c r="J391" s="2" t="s">
        <v>1654</v>
      </c>
      <c r="K391" s="2">
        <v>82</v>
      </c>
      <c r="L391" s="2">
        <v>25</v>
      </c>
      <c r="M391" s="2">
        <v>12</v>
      </c>
      <c r="N391" s="2">
        <v>10</v>
      </c>
      <c r="O391" s="2">
        <v>25</v>
      </c>
      <c r="P391" s="2">
        <v>10</v>
      </c>
      <c r="Q391" s="2" t="s">
        <v>127</v>
      </c>
      <c r="R391" s="2" t="s">
        <v>127</v>
      </c>
      <c r="S391" s="4">
        <v>44837</v>
      </c>
    </row>
    <row r="392" spans="1:19" ht="12.5" x14ac:dyDescent="0.25">
      <c r="A392" s="14" t="str">
        <f>HYPERLINK("https://gerandofalcoes.my.salesforce.com/0014P00003AN2FnQAL", "0014P00003AN2FnQAL")</f>
        <v>0014P00003AN2FnQAL</v>
      </c>
      <c r="B392" s="2" t="s">
        <v>128</v>
      </c>
      <c r="C392" s="2" t="s">
        <v>423</v>
      </c>
      <c r="D392" s="2" t="s">
        <v>27</v>
      </c>
      <c r="E392" s="2">
        <v>90</v>
      </c>
      <c r="F392" s="2">
        <v>22</v>
      </c>
      <c r="G392" s="2">
        <v>3</v>
      </c>
      <c r="H392" s="2">
        <v>850231.83</v>
      </c>
      <c r="I392" s="2">
        <v>323</v>
      </c>
      <c r="J392" s="2" t="s">
        <v>1654</v>
      </c>
      <c r="K392" s="2">
        <v>90</v>
      </c>
      <c r="L392" s="2">
        <v>30</v>
      </c>
      <c r="M392" s="2">
        <v>12</v>
      </c>
      <c r="N392" s="2">
        <v>8</v>
      </c>
      <c r="O392" s="2">
        <v>25</v>
      </c>
      <c r="P392" s="2">
        <v>15</v>
      </c>
      <c r="Q392" s="2" t="s">
        <v>129</v>
      </c>
      <c r="R392" s="2" t="s">
        <v>129</v>
      </c>
      <c r="S392" s="4">
        <v>44837</v>
      </c>
    </row>
    <row r="393" spans="1:19" ht="12.5" x14ac:dyDescent="0.25">
      <c r="A393" s="14" t="str">
        <f>HYPERLINK("https://gerandofalcoes.my.salesforce.com/0014P00003SGWPvQAP", "0014P00003SGWPvQAP")</f>
        <v>0014P00003SGWPvQAP</v>
      </c>
      <c r="B393" s="2" t="s">
        <v>2499</v>
      </c>
      <c r="C393" s="2" t="s">
        <v>423</v>
      </c>
      <c r="D393" s="2" t="s">
        <v>2</v>
      </c>
      <c r="E393" s="2">
        <v>25</v>
      </c>
      <c r="F393" s="2">
        <v>0</v>
      </c>
      <c r="G393" s="2">
        <v>2</v>
      </c>
      <c r="H393" s="2">
        <v>10000</v>
      </c>
      <c r="I393" s="2">
        <v>300</v>
      </c>
      <c r="J393" s="2" t="s">
        <v>1671</v>
      </c>
      <c r="K393" s="2">
        <v>41</v>
      </c>
      <c r="L393" s="2">
        <v>15</v>
      </c>
      <c r="M393" s="2">
        <v>0</v>
      </c>
      <c r="N393" s="2">
        <v>6</v>
      </c>
      <c r="O393" s="2">
        <v>5</v>
      </c>
      <c r="P393" s="2">
        <v>15</v>
      </c>
      <c r="Q393" s="2" t="s">
        <v>189</v>
      </c>
      <c r="R393" s="2" t="s">
        <v>189</v>
      </c>
      <c r="S393" s="4">
        <v>44837</v>
      </c>
    </row>
    <row r="394" spans="1:19" ht="12.5" x14ac:dyDescent="0.25">
      <c r="A394" s="14" t="str">
        <f>HYPERLINK("https://gerandofalcoes.my.salesforce.com/0014P00003SGWPwQAP", "0014P00003SGWPwQAP")</f>
        <v>0014P00003SGWPwQAP</v>
      </c>
      <c r="B394" s="2" t="s">
        <v>2999</v>
      </c>
      <c r="C394" s="2" t="s">
        <v>1684</v>
      </c>
      <c r="D394" s="2" t="s">
        <v>2</v>
      </c>
      <c r="E394" s="2"/>
      <c r="F394" s="2">
        <v>0</v>
      </c>
      <c r="G394" s="2">
        <v>1</v>
      </c>
      <c r="H394" s="2">
        <v>0</v>
      </c>
      <c r="I394" s="2">
        <v>0</v>
      </c>
      <c r="J394" s="2" t="s">
        <v>1779</v>
      </c>
      <c r="K394" s="2">
        <v>4</v>
      </c>
      <c r="L394" s="2">
        <v>0</v>
      </c>
      <c r="M394" s="2">
        <v>0</v>
      </c>
      <c r="N394" s="2">
        <v>4</v>
      </c>
      <c r="O394" s="2">
        <v>0</v>
      </c>
      <c r="P394" s="2">
        <v>0</v>
      </c>
      <c r="Q394" s="2" t="s">
        <v>193</v>
      </c>
      <c r="R394" s="2" t="s">
        <v>1095</v>
      </c>
      <c r="S394" s="4">
        <v>44837</v>
      </c>
    </row>
    <row r="395" spans="1:19" ht="12.5" x14ac:dyDescent="0.25">
      <c r="A395" s="14" t="str">
        <f>HYPERLINK("https://gerandofalcoes.my.salesforce.com/0014P00003SGWPxQAP", "0014P00003SGWPxQAP")</f>
        <v>0014P00003SGWPxQAP</v>
      </c>
      <c r="B395" s="2" t="s">
        <v>1739</v>
      </c>
      <c r="C395" s="2" t="s">
        <v>423</v>
      </c>
      <c r="D395" s="2" t="s">
        <v>2</v>
      </c>
      <c r="E395" s="2">
        <v>41</v>
      </c>
      <c r="F395" s="2">
        <v>4</v>
      </c>
      <c r="G395" s="2">
        <v>4</v>
      </c>
      <c r="H395" s="2">
        <v>120000</v>
      </c>
      <c r="I395" s="2">
        <v>74</v>
      </c>
      <c r="J395" s="2" t="s">
        <v>1671</v>
      </c>
      <c r="K395" s="2">
        <v>50</v>
      </c>
      <c r="L395" s="2">
        <v>15</v>
      </c>
      <c r="M395" s="2">
        <v>5</v>
      </c>
      <c r="N395" s="2">
        <v>10</v>
      </c>
      <c r="O395" s="2">
        <v>15</v>
      </c>
      <c r="P395" s="2">
        <v>5</v>
      </c>
      <c r="Q395" s="2" t="s">
        <v>1106</v>
      </c>
      <c r="R395" s="2" t="s">
        <v>1106</v>
      </c>
      <c r="S395" s="4">
        <v>44837</v>
      </c>
    </row>
    <row r="396" spans="1:19" ht="12.5" x14ac:dyDescent="0.25">
      <c r="A396" s="14" t="str">
        <f>HYPERLINK("https://gerandofalcoes.my.salesforce.com/0014P00003SGWPzQAP", "0014P00003SGWPzQAP")</f>
        <v>0014P00003SGWPzQAP</v>
      </c>
      <c r="B396" s="2" t="s">
        <v>1708</v>
      </c>
      <c r="C396" s="2" t="s">
        <v>423</v>
      </c>
      <c r="D396" s="2" t="s">
        <v>2</v>
      </c>
      <c r="E396" s="2">
        <v>94</v>
      </c>
      <c r="F396" s="2">
        <v>10</v>
      </c>
      <c r="G396" s="2">
        <v>3</v>
      </c>
      <c r="H396" s="2">
        <v>627195</v>
      </c>
      <c r="I396" s="2">
        <v>726</v>
      </c>
      <c r="J396" s="2" t="s">
        <v>1654</v>
      </c>
      <c r="K396" s="2">
        <v>88</v>
      </c>
      <c r="L396" s="2">
        <v>30</v>
      </c>
      <c r="M396" s="2">
        <v>10</v>
      </c>
      <c r="N396" s="2">
        <v>8</v>
      </c>
      <c r="O396" s="2">
        <v>20</v>
      </c>
      <c r="P396" s="2">
        <v>20</v>
      </c>
      <c r="Q396" s="2" t="s">
        <v>1709</v>
      </c>
      <c r="R396" s="2" t="s">
        <v>199</v>
      </c>
      <c r="S396" s="4">
        <v>44837</v>
      </c>
    </row>
    <row r="397" spans="1:19" ht="12.5" x14ac:dyDescent="0.25">
      <c r="A397" s="14" t="str">
        <f>HYPERLINK("https://gerandofalcoes.my.salesforce.com/0014P00003SGWQ0QAP", "0014P00003SGWQ0QAP")</f>
        <v>0014P00003SGWQ0QAP</v>
      </c>
      <c r="B397" s="2" t="s">
        <v>201</v>
      </c>
      <c r="C397" s="2" t="s">
        <v>423</v>
      </c>
      <c r="D397" s="2" t="s">
        <v>2</v>
      </c>
      <c r="E397" s="2">
        <v>39</v>
      </c>
      <c r="F397" s="2">
        <v>6</v>
      </c>
      <c r="G397" s="2">
        <v>2</v>
      </c>
      <c r="H397" s="2">
        <v>79000</v>
      </c>
      <c r="I397" s="2">
        <v>100</v>
      </c>
      <c r="J397" s="2" t="s">
        <v>1671</v>
      </c>
      <c r="K397" s="2">
        <v>51</v>
      </c>
      <c r="L397" s="2">
        <v>15</v>
      </c>
      <c r="M397" s="2">
        <v>10</v>
      </c>
      <c r="N397" s="2">
        <v>6</v>
      </c>
      <c r="O397" s="2">
        <v>10</v>
      </c>
      <c r="P397" s="2">
        <v>10</v>
      </c>
      <c r="Q397" s="2" t="s">
        <v>202</v>
      </c>
      <c r="R397" s="2" t="s">
        <v>1077</v>
      </c>
      <c r="S397" s="4">
        <v>44837</v>
      </c>
    </row>
    <row r="398" spans="1:19" ht="12.5" x14ac:dyDescent="0.25">
      <c r="A398" s="14" t="str">
        <f>HYPERLINK("https://gerandofalcoes.my.salesforce.com/0014P00003SGWQ1QAP", "0014P00003SGWQ1QAP")</f>
        <v>0014P00003SGWQ1QAP</v>
      </c>
      <c r="B398" s="2" t="s">
        <v>205</v>
      </c>
      <c r="C398" s="2" t="s">
        <v>423</v>
      </c>
      <c r="D398" s="2" t="s">
        <v>2</v>
      </c>
      <c r="E398" s="2">
        <v>30</v>
      </c>
      <c r="F398" s="2">
        <v>6</v>
      </c>
      <c r="G398" s="2">
        <v>2</v>
      </c>
      <c r="H398" s="2">
        <v>270000</v>
      </c>
      <c r="I398" s="2">
        <v>145</v>
      </c>
      <c r="J398" s="2" t="s">
        <v>1671</v>
      </c>
      <c r="K398" s="2">
        <v>56</v>
      </c>
      <c r="L398" s="2">
        <v>15</v>
      </c>
      <c r="M398" s="2">
        <v>10</v>
      </c>
      <c r="N398" s="2">
        <v>6</v>
      </c>
      <c r="O398" s="2">
        <v>15</v>
      </c>
      <c r="P398" s="2">
        <v>10</v>
      </c>
      <c r="Q398" s="2" t="s">
        <v>206</v>
      </c>
      <c r="R398" s="2" t="s">
        <v>2090</v>
      </c>
      <c r="S398" s="4">
        <v>44837</v>
      </c>
    </row>
    <row r="399" spans="1:19" ht="12.5" x14ac:dyDescent="0.25">
      <c r="A399" s="14" t="str">
        <f>HYPERLINK("https://gerandofalcoes.my.salesforce.com/0014P00003SGWQ2QAP", "0014P00003SGWQ2QAP")</f>
        <v>0014P00003SGWQ2QAP</v>
      </c>
      <c r="B399" s="2" t="s">
        <v>194</v>
      </c>
      <c r="C399" s="2" t="s">
        <v>423</v>
      </c>
      <c r="D399" s="2" t="s">
        <v>2</v>
      </c>
      <c r="E399" s="2"/>
      <c r="F399" s="2">
        <v>0</v>
      </c>
      <c r="G399" s="2">
        <v>3</v>
      </c>
      <c r="H399" s="2">
        <v>500</v>
      </c>
      <c r="I399" s="2">
        <v>45</v>
      </c>
      <c r="J399" s="2" t="s">
        <v>1779</v>
      </c>
      <c r="K399" s="2">
        <v>18</v>
      </c>
      <c r="L399" s="2">
        <v>0</v>
      </c>
      <c r="M399" s="2">
        <v>0</v>
      </c>
      <c r="N399" s="2">
        <v>8</v>
      </c>
      <c r="O399" s="2">
        <v>5</v>
      </c>
      <c r="P399" s="2">
        <v>5</v>
      </c>
      <c r="Q399" s="2" t="s">
        <v>195</v>
      </c>
      <c r="R399" s="2" t="s">
        <v>1128</v>
      </c>
      <c r="S399" s="4">
        <v>44837</v>
      </c>
    </row>
    <row r="400" spans="1:19" ht="12.5" x14ac:dyDescent="0.25">
      <c r="A400" s="14" t="str">
        <f>HYPERLINK("https://gerandofalcoes.my.salesforce.com/0014P00003SGWQ3QAP", "0014P00003SGWQ3QAP")</f>
        <v>0014P00003SGWQ3QAP</v>
      </c>
      <c r="B400" s="2" t="s">
        <v>210</v>
      </c>
      <c r="C400" s="2" t="s">
        <v>423</v>
      </c>
      <c r="D400" s="2" t="s">
        <v>2</v>
      </c>
      <c r="E400" s="2">
        <v>51</v>
      </c>
      <c r="F400" s="2">
        <v>34</v>
      </c>
      <c r="G400" s="2">
        <v>4</v>
      </c>
      <c r="H400" s="2">
        <v>140000</v>
      </c>
      <c r="I400" s="2">
        <v>0</v>
      </c>
      <c r="J400" s="2" t="s">
        <v>1671</v>
      </c>
      <c r="K400" s="2">
        <v>60</v>
      </c>
      <c r="L400" s="2">
        <v>20</v>
      </c>
      <c r="M400" s="2">
        <v>15</v>
      </c>
      <c r="N400" s="2">
        <v>10</v>
      </c>
      <c r="O400" s="2">
        <v>15</v>
      </c>
      <c r="P400" s="2">
        <v>0</v>
      </c>
      <c r="Q400" s="2" t="s">
        <v>211</v>
      </c>
      <c r="R400" s="2" t="s">
        <v>1459</v>
      </c>
      <c r="S400" s="4">
        <v>44837</v>
      </c>
    </row>
    <row r="401" spans="1:19" ht="12.5" x14ac:dyDescent="0.25">
      <c r="A401" s="14" t="str">
        <f>HYPERLINK("https://gerandofalcoes.my.salesforce.com/0014P00003SGWQ4QAP", "0014P00003SGWQ4QAP")</f>
        <v>0014P00003SGWQ4QAP</v>
      </c>
      <c r="B401" s="2" t="s">
        <v>217</v>
      </c>
      <c r="C401" s="2" t="s">
        <v>423</v>
      </c>
      <c r="D401" s="2" t="s">
        <v>2</v>
      </c>
      <c r="E401" s="2">
        <v>33</v>
      </c>
      <c r="F401" s="2">
        <v>0</v>
      </c>
      <c r="G401" s="2">
        <v>4</v>
      </c>
      <c r="H401" s="2">
        <v>16786</v>
      </c>
      <c r="I401" s="2">
        <v>75</v>
      </c>
      <c r="J401" s="2" t="s">
        <v>1779</v>
      </c>
      <c r="K401" s="2">
        <v>35</v>
      </c>
      <c r="L401" s="2">
        <v>15</v>
      </c>
      <c r="M401" s="2">
        <v>0</v>
      </c>
      <c r="N401" s="2">
        <v>10</v>
      </c>
      <c r="O401" s="2">
        <v>5</v>
      </c>
      <c r="P401" s="2">
        <v>5</v>
      </c>
      <c r="Q401" s="2" t="s">
        <v>218</v>
      </c>
      <c r="R401" s="2" t="s">
        <v>1140</v>
      </c>
      <c r="S401" s="4">
        <v>44837</v>
      </c>
    </row>
    <row r="402" spans="1:19" ht="12.5" x14ac:dyDescent="0.25">
      <c r="A402" s="14" t="str">
        <f>HYPERLINK("https://gerandofalcoes.my.salesforce.com/0014P00003SGWQ6QAP", "0014P00003SGWQ6QAP")</f>
        <v>0014P00003SGWQ6QAP</v>
      </c>
      <c r="B402" s="2" t="s">
        <v>221</v>
      </c>
      <c r="C402" s="2" t="s">
        <v>423</v>
      </c>
      <c r="D402" s="2" t="s">
        <v>2</v>
      </c>
      <c r="E402" s="2"/>
      <c r="F402" s="2">
        <v>20</v>
      </c>
      <c r="G402" s="2">
        <v>5</v>
      </c>
      <c r="H402" s="2">
        <v>60000</v>
      </c>
      <c r="I402" s="2">
        <v>0</v>
      </c>
      <c r="J402" s="2" t="s">
        <v>1779</v>
      </c>
      <c r="K402" s="2">
        <v>32</v>
      </c>
      <c r="L402" s="2">
        <v>0</v>
      </c>
      <c r="M402" s="2">
        <v>12</v>
      </c>
      <c r="N402" s="2">
        <v>10</v>
      </c>
      <c r="O402" s="2">
        <v>10</v>
      </c>
      <c r="P402" s="2">
        <v>0</v>
      </c>
      <c r="Q402" s="2" t="s">
        <v>222</v>
      </c>
      <c r="R402" s="2" t="s">
        <v>2985</v>
      </c>
      <c r="S402" s="4">
        <v>44837</v>
      </c>
    </row>
    <row r="403" spans="1:19" ht="12.5" x14ac:dyDescent="0.25">
      <c r="A403" s="14" t="str">
        <f>HYPERLINK("https://gerandofalcoes.my.salesforce.com/0014P00003SGWQ7QAP", "0014P00003SGWQ7QAP")</f>
        <v>0014P00003SGWQ7QAP</v>
      </c>
      <c r="B403" s="2" t="s">
        <v>226</v>
      </c>
      <c r="C403" s="2" t="s">
        <v>423</v>
      </c>
      <c r="D403" s="2" t="s">
        <v>27</v>
      </c>
      <c r="E403" s="2">
        <v>39</v>
      </c>
      <c r="F403" s="2">
        <v>6</v>
      </c>
      <c r="G403" s="2">
        <v>2</v>
      </c>
      <c r="H403" s="2">
        <v>9291.52</v>
      </c>
      <c r="I403" s="2">
        <v>65</v>
      </c>
      <c r="J403" s="2" t="s">
        <v>1671</v>
      </c>
      <c r="K403" s="2">
        <v>41</v>
      </c>
      <c r="L403" s="2">
        <v>15</v>
      </c>
      <c r="M403" s="2">
        <v>10</v>
      </c>
      <c r="N403" s="2">
        <v>6</v>
      </c>
      <c r="O403" s="2">
        <v>5</v>
      </c>
      <c r="P403" s="2">
        <v>5</v>
      </c>
      <c r="Q403" s="2" t="s">
        <v>227</v>
      </c>
      <c r="R403" s="2" t="s">
        <v>1159</v>
      </c>
      <c r="S403" s="4">
        <v>44837</v>
      </c>
    </row>
    <row r="404" spans="1:19" ht="12.5" x14ac:dyDescent="0.25">
      <c r="A404" s="14" t="str">
        <f>HYPERLINK("https://gerandofalcoes.my.salesforce.com/0014P00003SGWQ8QAP", "0014P00003SGWQ8QAP")</f>
        <v>0014P00003SGWQ8QAP</v>
      </c>
      <c r="B404" s="2" t="s">
        <v>213</v>
      </c>
      <c r="C404" s="2" t="s">
        <v>423</v>
      </c>
      <c r="D404" s="2" t="s">
        <v>2</v>
      </c>
      <c r="E404" s="2">
        <v>14</v>
      </c>
      <c r="F404" s="2">
        <v>0</v>
      </c>
      <c r="G404" s="2">
        <v>2</v>
      </c>
      <c r="H404" s="2">
        <v>138400</v>
      </c>
      <c r="I404" s="2">
        <v>10</v>
      </c>
      <c r="J404" s="2" t="s">
        <v>1779</v>
      </c>
      <c r="K404" s="2">
        <v>36</v>
      </c>
      <c r="L404" s="2">
        <v>10</v>
      </c>
      <c r="M404" s="2">
        <v>0</v>
      </c>
      <c r="N404" s="2">
        <v>6</v>
      </c>
      <c r="O404" s="2">
        <v>15</v>
      </c>
      <c r="P404" s="2">
        <v>5</v>
      </c>
      <c r="Q404" s="2" t="s">
        <v>214</v>
      </c>
      <c r="R404" s="2" t="s">
        <v>1170</v>
      </c>
      <c r="S404" s="4">
        <v>44837</v>
      </c>
    </row>
    <row r="405" spans="1:19" ht="12.5" x14ac:dyDescent="0.25">
      <c r="A405" s="14" t="str">
        <f>HYPERLINK("https://gerandofalcoes.my.salesforce.com/0014P00003SGWQ9QAP", "0014P00003SGWQ9QAP")</f>
        <v>0014P00003SGWQ9QAP</v>
      </c>
      <c r="B405" s="2" t="s">
        <v>232</v>
      </c>
      <c r="C405" s="2" t="s">
        <v>423</v>
      </c>
      <c r="D405" s="2" t="s">
        <v>2</v>
      </c>
      <c r="E405" s="2">
        <v>51</v>
      </c>
      <c r="F405" s="2">
        <v>5</v>
      </c>
      <c r="G405" s="2">
        <v>3</v>
      </c>
      <c r="H405" s="2">
        <v>15035192</v>
      </c>
      <c r="I405" s="2">
        <v>160</v>
      </c>
      <c r="J405" s="2" t="s">
        <v>1650</v>
      </c>
      <c r="K405" s="2">
        <v>70</v>
      </c>
      <c r="L405" s="2">
        <v>20</v>
      </c>
      <c r="M405" s="2">
        <v>5</v>
      </c>
      <c r="N405" s="2">
        <v>8</v>
      </c>
      <c r="O405" s="2">
        <v>25</v>
      </c>
      <c r="P405" s="2">
        <v>12</v>
      </c>
      <c r="Q405" s="2" t="s">
        <v>233</v>
      </c>
      <c r="R405" s="2" t="s">
        <v>2285</v>
      </c>
      <c r="S405" s="4">
        <v>44837</v>
      </c>
    </row>
    <row r="406" spans="1:19" ht="12.5" x14ac:dyDescent="0.25">
      <c r="A406" s="14" t="str">
        <f>HYPERLINK("https://gerandofalcoes.my.salesforce.com/0014P00003SGWQAQA5", "0014P00003SGWQAQA5")</f>
        <v>0014P00003SGWQAQA5</v>
      </c>
      <c r="B406" s="2" t="s">
        <v>2958</v>
      </c>
      <c r="C406" s="2" t="s">
        <v>423</v>
      </c>
      <c r="D406" s="2" t="s">
        <v>2</v>
      </c>
      <c r="E406" s="2">
        <v>4</v>
      </c>
      <c r="F406" s="2">
        <v>0</v>
      </c>
      <c r="G406" s="2">
        <v>1</v>
      </c>
      <c r="H406" s="2">
        <v>16000</v>
      </c>
      <c r="I406" s="2">
        <v>200</v>
      </c>
      <c r="J406" s="2" t="s">
        <v>1779</v>
      </c>
      <c r="K406" s="2">
        <v>31</v>
      </c>
      <c r="L406" s="2">
        <v>10</v>
      </c>
      <c r="M406" s="2">
        <v>0</v>
      </c>
      <c r="N406" s="2">
        <v>4</v>
      </c>
      <c r="O406" s="2">
        <v>5</v>
      </c>
      <c r="P406" s="2">
        <v>12</v>
      </c>
      <c r="Q406" s="2" t="s">
        <v>238</v>
      </c>
      <c r="R406" s="2" t="s">
        <v>1191</v>
      </c>
      <c r="S406" s="4">
        <v>44837</v>
      </c>
    </row>
    <row r="407" spans="1:19" ht="12.5" x14ac:dyDescent="0.25">
      <c r="A407" s="14" t="str">
        <f>HYPERLINK("https://gerandofalcoes.my.salesforce.com/0014P00003SGWQBQA5", "0014P00003SGWQBQA5")</f>
        <v>0014P00003SGWQBQA5</v>
      </c>
      <c r="B407" s="2" t="s">
        <v>242</v>
      </c>
      <c r="C407" s="2" t="s">
        <v>423</v>
      </c>
      <c r="D407" s="2" t="s">
        <v>2</v>
      </c>
      <c r="E407" s="2">
        <v>50</v>
      </c>
      <c r="F407" s="2">
        <v>12</v>
      </c>
      <c r="G407" s="2">
        <v>0</v>
      </c>
      <c r="H407" s="2">
        <v>0</v>
      </c>
      <c r="I407" s="2">
        <v>12</v>
      </c>
      <c r="J407" s="2" t="s">
        <v>1779</v>
      </c>
      <c r="K407" s="2">
        <v>37</v>
      </c>
      <c r="L407" s="2">
        <v>20</v>
      </c>
      <c r="M407" s="2">
        <v>12</v>
      </c>
      <c r="N407" s="2">
        <v>0</v>
      </c>
      <c r="O407" s="2">
        <v>0</v>
      </c>
      <c r="P407" s="2">
        <v>5</v>
      </c>
      <c r="Q407" s="2" t="s">
        <v>243</v>
      </c>
      <c r="R407" s="2" t="s">
        <v>1201</v>
      </c>
      <c r="S407" s="4">
        <v>44837</v>
      </c>
    </row>
    <row r="408" spans="1:19" ht="12.5" x14ac:dyDescent="0.25">
      <c r="A408" s="14" t="str">
        <f>HYPERLINK("https://gerandofalcoes.my.salesforce.com/0014P00003SGWQCQA5", "0014P00003SGWQCQA5")</f>
        <v>0014P00003SGWQCQA5</v>
      </c>
      <c r="B408" s="2" t="s">
        <v>248</v>
      </c>
      <c r="C408" s="2" t="s">
        <v>423</v>
      </c>
      <c r="D408" s="2" t="s">
        <v>2</v>
      </c>
      <c r="E408" s="2">
        <v>47</v>
      </c>
      <c r="F408" s="2">
        <v>5</v>
      </c>
      <c r="G408" s="2">
        <v>3</v>
      </c>
      <c r="H408" s="2">
        <v>181000</v>
      </c>
      <c r="I408" s="2">
        <v>72</v>
      </c>
      <c r="J408" s="2" t="s">
        <v>1671</v>
      </c>
      <c r="K408" s="2">
        <v>48</v>
      </c>
      <c r="L408" s="2">
        <v>15</v>
      </c>
      <c r="M408" s="2">
        <v>5</v>
      </c>
      <c r="N408" s="2">
        <v>8</v>
      </c>
      <c r="O408" s="2">
        <v>15</v>
      </c>
      <c r="P408" s="2">
        <v>5</v>
      </c>
      <c r="Q408" s="2" t="s">
        <v>249</v>
      </c>
      <c r="R408" s="2" t="s">
        <v>2025</v>
      </c>
      <c r="S408" s="4">
        <v>44837</v>
      </c>
    </row>
    <row r="409" spans="1:19" ht="12.5" x14ac:dyDescent="0.25">
      <c r="A409" s="14" t="str">
        <f>HYPERLINK("https://gerandofalcoes.my.salesforce.com/0014P00003SGWQDQA5", "0014P00003SGWQDQA5")</f>
        <v>0014P00003SGWQDQA5</v>
      </c>
      <c r="B409" s="2" t="s">
        <v>1669</v>
      </c>
      <c r="C409" s="2" t="s">
        <v>423</v>
      </c>
      <c r="D409" s="2" t="s">
        <v>27</v>
      </c>
      <c r="E409" s="2">
        <v>91</v>
      </c>
      <c r="F409" s="2">
        <v>10</v>
      </c>
      <c r="G409" s="2">
        <v>3</v>
      </c>
      <c r="H409" s="2">
        <v>707090.8</v>
      </c>
      <c r="I409" s="2">
        <v>175</v>
      </c>
      <c r="J409" s="2" t="s">
        <v>1654</v>
      </c>
      <c r="K409" s="2">
        <v>80</v>
      </c>
      <c r="L409" s="2">
        <v>30</v>
      </c>
      <c r="M409" s="2">
        <v>10</v>
      </c>
      <c r="N409" s="2">
        <v>8</v>
      </c>
      <c r="O409" s="2">
        <v>20</v>
      </c>
      <c r="P409" s="2">
        <v>12</v>
      </c>
      <c r="Q409" s="2" t="s">
        <v>251</v>
      </c>
      <c r="R409" s="2" t="s">
        <v>251</v>
      </c>
      <c r="S409" s="4">
        <v>44837</v>
      </c>
    </row>
    <row r="410" spans="1:19" ht="12.5" x14ac:dyDescent="0.25">
      <c r="A410" s="14" t="str">
        <f>HYPERLINK("https://gerandofalcoes.my.salesforce.com/0014P00003SGWQFQA5", "0014P00003SGWQFQA5")</f>
        <v>0014P00003SGWQFQA5</v>
      </c>
      <c r="B410" s="2" t="s">
        <v>2856</v>
      </c>
      <c r="C410" s="2" t="s">
        <v>423</v>
      </c>
      <c r="D410" s="2" t="s">
        <v>2</v>
      </c>
      <c r="E410" s="2">
        <v>10</v>
      </c>
      <c r="F410" s="2">
        <v>2</v>
      </c>
      <c r="G410" s="2">
        <v>2</v>
      </c>
      <c r="H410" s="2">
        <v>0</v>
      </c>
      <c r="I410" s="2">
        <v>100</v>
      </c>
      <c r="J410" s="2" t="s">
        <v>1779</v>
      </c>
      <c r="K410" s="2">
        <v>31</v>
      </c>
      <c r="L410" s="2">
        <v>10</v>
      </c>
      <c r="M410" s="2">
        <v>5</v>
      </c>
      <c r="N410" s="2">
        <v>6</v>
      </c>
      <c r="O410" s="2">
        <v>0</v>
      </c>
      <c r="P410" s="2">
        <v>10</v>
      </c>
      <c r="Q410" s="2" t="s">
        <v>256</v>
      </c>
      <c r="R410" s="2" t="s">
        <v>1221</v>
      </c>
      <c r="S410" s="4">
        <v>44837</v>
      </c>
    </row>
    <row r="411" spans="1:19" ht="12.5" x14ac:dyDescent="0.25">
      <c r="A411" s="14" t="str">
        <f>HYPERLINK("https://gerandofalcoes.my.salesforce.com/0014P00003SGWQGQA5", "0014P00003SGWQGQA5")</f>
        <v>0014P00003SGWQGQA5</v>
      </c>
      <c r="B411" s="2" t="s">
        <v>259</v>
      </c>
      <c r="C411" s="2" t="s">
        <v>423</v>
      </c>
      <c r="D411" s="2" t="s">
        <v>2</v>
      </c>
      <c r="E411" s="2">
        <v>11</v>
      </c>
      <c r="F411" s="2">
        <v>7</v>
      </c>
      <c r="G411" s="2">
        <v>2</v>
      </c>
      <c r="H411" s="2">
        <v>500</v>
      </c>
      <c r="I411" s="2">
        <v>420</v>
      </c>
      <c r="J411" s="2" t="s">
        <v>1671</v>
      </c>
      <c r="K411" s="2">
        <v>46</v>
      </c>
      <c r="L411" s="2">
        <v>10</v>
      </c>
      <c r="M411" s="2">
        <v>10</v>
      </c>
      <c r="N411" s="2">
        <v>6</v>
      </c>
      <c r="O411" s="2">
        <v>5</v>
      </c>
      <c r="P411" s="2">
        <v>15</v>
      </c>
      <c r="Q411" s="2" t="s">
        <v>260</v>
      </c>
      <c r="R411" s="2" t="s">
        <v>1232</v>
      </c>
      <c r="S411" s="4">
        <v>44837</v>
      </c>
    </row>
    <row r="412" spans="1:19" ht="12.5" x14ac:dyDescent="0.25">
      <c r="A412" s="14" t="str">
        <f>HYPERLINK("https://gerandofalcoes.my.salesforce.com/0014P00003SGWQHQA5", "0014P00003SGWQHQA5")</f>
        <v>0014P00003SGWQHQA5</v>
      </c>
      <c r="B412" s="2" t="s">
        <v>265</v>
      </c>
      <c r="C412" s="2" t="s">
        <v>423</v>
      </c>
      <c r="D412" s="2" t="s">
        <v>2</v>
      </c>
      <c r="E412" s="2">
        <v>5</v>
      </c>
      <c r="F412" s="2">
        <v>0</v>
      </c>
      <c r="G412" s="2">
        <v>0</v>
      </c>
      <c r="H412" s="2">
        <v>800000</v>
      </c>
      <c r="I412" s="2">
        <v>144</v>
      </c>
      <c r="J412" s="2" t="s">
        <v>1671</v>
      </c>
      <c r="K412" s="2">
        <v>45</v>
      </c>
      <c r="L412" s="2">
        <v>10</v>
      </c>
      <c r="M412" s="2">
        <v>0</v>
      </c>
      <c r="N412" s="2">
        <v>0</v>
      </c>
      <c r="O412" s="2">
        <v>25</v>
      </c>
      <c r="P412" s="2">
        <v>10</v>
      </c>
      <c r="Q412" s="2" t="s">
        <v>266</v>
      </c>
      <c r="R412" s="2" t="s">
        <v>266</v>
      </c>
      <c r="S412" s="4">
        <v>44837</v>
      </c>
    </row>
    <row r="413" spans="1:19" ht="12.5" x14ac:dyDescent="0.25">
      <c r="A413" s="14" t="str">
        <f>HYPERLINK("https://gerandofalcoes.my.salesforce.com/0014P00003SGWQIQA5", "0014P00003SGWQIQA5")</f>
        <v>0014P00003SGWQIQA5</v>
      </c>
      <c r="B413" s="2" t="s">
        <v>2992</v>
      </c>
      <c r="C413" s="2" t="s">
        <v>1684</v>
      </c>
      <c r="D413" s="2" t="s">
        <v>2</v>
      </c>
      <c r="E413" s="2"/>
      <c r="F413" s="2">
        <v>0</v>
      </c>
      <c r="G413" s="2">
        <v>2</v>
      </c>
      <c r="H413" s="2">
        <v>20000</v>
      </c>
      <c r="I413" s="2">
        <v>0</v>
      </c>
      <c r="J413" s="2" t="s">
        <v>1779</v>
      </c>
      <c r="K413" s="2">
        <v>11</v>
      </c>
      <c r="L413" s="2">
        <v>0</v>
      </c>
      <c r="M413" s="2">
        <v>0</v>
      </c>
      <c r="N413" s="2">
        <v>6</v>
      </c>
      <c r="O413" s="2">
        <v>5</v>
      </c>
      <c r="P413" s="2">
        <v>0</v>
      </c>
      <c r="Q413" s="2" t="s">
        <v>2993</v>
      </c>
      <c r="R413" s="2" t="s">
        <v>2994</v>
      </c>
      <c r="S413" s="4">
        <v>44837</v>
      </c>
    </row>
    <row r="414" spans="1:19" ht="12.5" x14ac:dyDescent="0.25">
      <c r="A414" s="14" t="str">
        <f>HYPERLINK("https://gerandofalcoes.my.salesforce.com/0014P00003SGWQJQA5", "0014P00003SGWQJQA5")</f>
        <v>0014P00003SGWQJQA5</v>
      </c>
      <c r="B414" s="2" t="s">
        <v>2480</v>
      </c>
      <c r="C414" s="2" t="s">
        <v>423</v>
      </c>
      <c r="D414" s="2" t="s">
        <v>2</v>
      </c>
      <c r="E414" s="2">
        <v>22</v>
      </c>
      <c r="F414" s="2">
        <v>2</v>
      </c>
      <c r="G414" s="2">
        <v>2</v>
      </c>
      <c r="H414" s="2">
        <v>11000</v>
      </c>
      <c r="I414" s="2">
        <v>44</v>
      </c>
      <c r="J414" s="2" t="s">
        <v>1779</v>
      </c>
      <c r="K414" s="2">
        <v>31</v>
      </c>
      <c r="L414" s="2">
        <v>10</v>
      </c>
      <c r="M414" s="2">
        <v>5</v>
      </c>
      <c r="N414" s="2">
        <v>6</v>
      </c>
      <c r="O414" s="2">
        <v>5</v>
      </c>
      <c r="P414" s="2">
        <v>5</v>
      </c>
      <c r="Q414" s="2" t="s">
        <v>269</v>
      </c>
      <c r="R414" s="2" t="s">
        <v>1248</v>
      </c>
      <c r="S414" s="4">
        <v>44837</v>
      </c>
    </row>
    <row r="415" spans="1:19" ht="12.5" x14ac:dyDescent="0.25">
      <c r="A415" s="14" t="str">
        <f>HYPERLINK("https://gerandofalcoes.my.salesforce.com/0014P00003YSm8CQAT", "0014P00003YSm8CQAT")</f>
        <v>0014P00003YSm8CQAT</v>
      </c>
      <c r="B415" s="2" t="s">
        <v>272</v>
      </c>
      <c r="C415" s="2" t="s">
        <v>423</v>
      </c>
      <c r="D415" s="2" t="s">
        <v>2</v>
      </c>
      <c r="E415" s="2">
        <v>33</v>
      </c>
      <c r="F415" s="2">
        <v>8</v>
      </c>
      <c r="G415" s="2">
        <v>2</v>
      </c>
      <c r="H415" s="2">
        <v>15000</v>
      </c>
      <c r="I415" s="2">
        <v>67</v>
      </c>
      <c r="J415" s="2" t="s">
        <v>1671</v>
      </c>
      <c r="K415" s="2">
        <v>41</v>
      </c>
      <c r="L415" s="2">
        <v>15</v>
      </c>
      <c r="M415" s="2">
        <v>10</v>
      </c>
      <c r="N415" s="2">
        <v>6</v>
      </c>
      <c r="O415" s="2">
        <v>5</v>
      </c>
      <c r="P415" s="2">
        <v>5</v>
      </c>
      <c r="Q415" s="2" t="s">
        <v>273</v>
      </c>
      <c r="R415" s="2" t="s">
        <v>1518</v>
      </c>
      <c r="S415" s="4">
        <v>44837</v>
      </c>
    </row>
    <row r="416" spans="1:19" ht="12.5" x14ac:dyDescent="0.25">
      <c r="A416" s="14" t="str">
        <f>HYPERLINK("https://gerandofalcoes.my.salesforce.com/0014P00003SGWPbQAP", "0014P00003SGWPbQAP")</f>
        <v>0014P00003SGWPbQAP</v>
      </c>
      <c r="B416" s="2" t="s">
        <v>276</v>
      </c>
      <c r="C416" s="2" t="s">
        <v>423</v>
      </c>
      <c r="D416" s="2" t="s">
        <v>2</v>
      </c>
      <c r="E416" s="2">
        <v>25</v>
      </c>
      <c r="F416" s="2">
        <v>21</v>
      </c>
      <c r="G416" s="2">
        <v>5</v>
      </c>
      <c r="H416" s="2">
        <v>374211</v>
      </c>
      <c r="I416" s="2">
        <v>76</v>
      </c>
      <c r="J416" s="2" t="s">
        <v>1671</v>
      </c>
      <c r="K416" s="2">
        <v>62</v>
      </c>
      <c r="L416" s="2">
        <v>15</v>
      </c>
      <c r="M416" s="2">
        <v>12</v>
      </c>
      <c r="N416" s="2">
        <v>10</v>
      </c>
      <c r="O416" s="2">
        <v>20</v>
      </c>
      <c r="P416" s="2">
        <v>5</v>
      </c>
      <c r="Q416" s="2" t="s">
        <v>277</v>
      </c>
      <c r="R416" s="2" t="s">
        <v>1257</v>
      </c>
      <c r="S416" s="4">
        <v>44837</v>
      </c>
    </row>
    <row r="417" spans="1:19" ht="12.5" x14ac:dyDescent="0.25">
      <c r="A417" s="14" t="str">
        <f>HYPERLINK("https://gerandofalcoes.my.salesforce.com/0014P00003SGWPcQAP", "0014P00003SGWPcQAP")</f>
        <v>0014P00003SGWPcQAP</v>
      </c>
      <c r="B417" s="2" t="s">
        <v>2896</v>
      </c>
      <c r="C417" s="2" t="s">
        <v>423</v>
      </c>
      <c r="D417" s="2" t="s">
        <v>2</v>
      </c>
      <c r="E417" s="2">
        <v>25</v>
      </c>
      <c r="F417" s="2">
        <v>0</v>
      </c>
      <c r="G417" s="2">
        <v>0</v>
      </c>
      <c r="H417" s="2">
        <v>1</v>
      </c>
      <c r="I417" s="2">
        <v>63</v>
      </c>
      <c r="J417" s="2" t="s">
        <v>1779</v>
      </c>
      <c r="K417" s="2">
        <v>25</v>
      </c>
      <c r="L417" s="2">
        <v>15</v>
      </c>
      <c r="M417" s="2">
        <v>0</v>
      </c>
      <c r="N417" s="2">
        <v>0</v>
      </c>
      <c r="O417" s="2">
        <v>5</v>
      </c>
      <c r="P417" s="2">
        <v>5</v>
      </c>
      <c r="Q417" s="2" t="s">
        <v>282</v>
      </c>
      <c r="R417" s="2" t="s">
        <v>2897</v>
      </c>
      <c r="S417" s="4">
        <v>44837</v>
      </c>
    </row>
    <row r="418" spans="1:19" ht="12.5" x14ac:dyDescent="0.25">
      <c r="A418" s="14" t="str">
        <f>HYPERLINK("https://gerandofalcoes.my.salesforce.com/0014P00003SGWPdQAP", "0014P00003SGWPdQAP")</f>
        <v>0014P00003SGWPdQAP</v>
      </c>
      <c r="B418" s="2" t="s">
        <v>2397</v>
      </c>
      <c r="C418" s="2" t="s">
        <v>423</v>
      </c>
      <c r="D418" s="2" t="s">
        <v>2</v>
      </c>
      <c r="E418" s="2">
        <v>25</v>
      </c>
      <c r="F418" s="2">
        <v>1</v>
      </c>
      <c r="G418" s="2">
        <v>2</v>
      </c>
      <c r="H418" s="2">
        <v>200000</v>
      </c>
      <c r="I418" s="2">
        <v>500</v>
      </c>
      <c r="J418" s="2" t="s">
        <v>1671</v>
      </c>
      <c r="K418" s="2">
        <v>61</v>
      </c>
      <c r="L418" s="2">
        <v>15</v>
      </c>
      <c r="M418" s="2">
        <v>5</v>
      </c>
      <c r="N418" s="2">
        <v>6</v>
      </c>
      <c r="O418" s="2">
        <v>15</v>
      </c>
      <c r="P418" s="2">
        <v>20</v>
      </c>
      <c r="Q418" s="2" t="s">
        <v>283</v>
      </c>
      <c r="R418" s="2" t="s">
        <v>2398</v>
      </c>
      <c r="S418" s="4">
        <v>44837</v>
      </c>
    </row>
    <row r="419" spans="1:19" ht="12.5" x14ac:dyDescent="0.25">
      <c r="A419" s="14" t="str">
        <f>HYPERLINK("https://gerandofalcoes.my.salesforce.com/0014P00003SGWPeQAP", "0014P00003SGWPeQAP")</f>
        <v>0014P00003SGWPeQAP</v>
      </c>
      <c r="B419" s="2" t="s">
        <v>2720</v>
      </c>
      <c r="C419" s="2" t="s">
        <v>423</v>
      </c>
      <c r="D419" s="2" t="s">
        <v>2</v>
      </c>
      <c r="E419" s="2">
        <v>15</v>
      </c>
      <c r="F419" s="2">
        <v>0</v>
      </c>
      <c r="G419" s="2">
        <v>1</v>
      </c>
      <c r="H419" s="2">
        <v>12000</v>
      </c>
      <c r="I419" s="2">
        <v>120</v>
      </c>
      <c r="J419" s="2" t="s">
        <v>1779</v>
      </c>
      <c r="K419" s="2">
        <v>29</v>
      </c>
      <c r="L419" s="2">
        <v>10</v>
      </c>
      <c r="M419" s="2">
        <v>0</v>
      </c>
      <c r="N419" s="2">
        <v>4</v>
      </c>
      <c r="O419" s="2">
        <v>5</v>
      </c>
      <c r="P419" s="2">
        <v>10</v>
      </c>
      <c r="Q419" s="2" t="s">
        <v>291</v>
      </c>
      <c r="R419" s="2" t="s">
        <v>1288</v>
      </c>
      <c r="S419" s="4">
        <v>44837</v>
      </c>
    </row>
    <row r="420" spans="1:19" ht="12.5" x14ac:dyDescent="0.25">
      <c r="A420" s="14" t="str">
        <f>HYPERLINK("https://gerandofalcoes.my.salesforce.com/0014P00003SGWPfQAP", "0014P00003SGWPfQAP")</f>
        <v>0014P00003SGWPfQAP</v>
      </c>
      <c r="B420" s="2" t="s">
        <v>294</v>
      </c>
      <c r="C420" s="2" t="s">
        <v>1800</v>
      </c>
      <c r="D420" s="2" t="s">
        <v>2</v>
      </c>
      <c r="E420" s="2">
        <v>46</v>
      </c>
      <c r="F420" s="2">
        <v>0</v>
      </c>
      <c r="G420" s="2">
        <v>3</v>
      </c>
      <c r="H420" s="2">
        <v>6605</v>
      </c>
      <c r="I420" s="2">
        <v>100</v>
      </c>
      <c r="J420" s="2" t="s">
        <v>1779</v>
      </c>
      <c r="K420" s="2">
        <v>38</v>
      </c>
      <c r="L420" s="2">
        <v>15</v>
      </c>
      <c r="M420" s="2">
        <v>0</v>
      </c>
      <c r="N420" s="2">
        <v>8</v>
      </c>
      <c r="O420" s="2">
        <v>5</v>
      </c>
      <c r="P420" s="2">
        <v>10</v>
      </c>
      <c r="Q420" s="2" t="s">
        <v>295</v>
      </c>
      <c r="R420" s="2" t="s">
        <v>1298</v>
      </c>
      <c r="S420" s="4">
        <v>44837</v>
      </c>
    </row>
    <row r="421" spans="1:19" ht="12.5" x14ac:dyDescent="0.25">
      <c r="A421" s="14" t="str">
        <f>HYPERLINK("https://gerandofalcoes.my.salesforce.com/0014P00003SGWPgQAP", "0014P00003SGWPgQAP")</f>
        <v>0014P00003SGWPgQAP</v>
      </c>
      <c r="B421" s="2" t="s">
        <v>298</v>
      </c>
      <c r="C421" s="2" t="s">
        <v>1800</v>
      </c>
      <c r="D421" s="2" t="s">
        <v>2</v>
      </c>
      <c r="E421" s="2">
        <v>20</v>
      </c>
      <c r="F421" s="2">
        <v>4</v>
      </c>
      <c r="G421" s="2">
        <v>0</v>
      </c>
      <c r="H421" s="2">
        <v>11000</v>
      </c>
      <c r="I421" s="2">
        <v>20</v>
      </c>
      <c r="J421" s="2" t="s">
        <v>1779</v>
      </c>
      <c r="K421" s="2">
        <v>25</v>
      </c>
      <c r="L421" s="2">
        <v>10</v>
      </c>
      <c r="M421" s="2">
        <v>5</v>
      </c>
      <c r="N421" s="2">
        <v>0</v>
      </c>
      <c r="O421" s="2">
        <v>5</v>
      </c>
      <c r="P421" s="2">
        <v>5</v>
      </c>
      <c r="Q421" s="2" t="s">
        <v>299</v>
      </c>
      <c r="R421" s="2" t="s">
        <v>1310</v>
      </c>
      <c r="S421" s="4">
        <v>44837</v>
      </c>
    </row>
    <row r="422" spans="1:19" ht="12.5" x14ac:dyDescent="0.25">
      <c r="A422" s="14" t="str">
        <f>HYPERLINK("https://gerandofalcoes.my.salesforce.com/0014P00003SGWPhQAP", "0014P00003SGWPhQAP")</f>
        <v>0014P00003SGWPhQAP</v>
      </c>
      <c r="B422" s="2" t="s">
        <v>1693</v>
      </c>
      <c r="C422" s="2" t="s">
        <v>423</v>
      </c>
      <c r="D422" s="2" t="s">
        <v>27</v>
      </c>
      <c r="E422" s="2">
        <v>29</v>
      </c>
      <c r="F422" s="2">
        <v>14</v>
      </c>
      <c r="G422" s="2">
        <v>3</v>
      </c>
      <c r="H422" s="2">
        <v>173994</v>
      </c>
      <c r="I422" s="2">
        <v>310</v>
      </c>
      <c r="J422" s="2" t="s">
        <v>1650</v>
      </c>
      <c r="K422" s="2">
        <v>65</v>
      </c>
      <c r="L422" s="2">
        <v>15</v>
      </c>
      <c r="M422" s="2">
        <v>12</v>
      </c>
      <c r="N422" s="2">
        <v>8</v>
      </c>
      <c r="O422" s="2">
        <v>15</v>
      </c>
      <c r="P422" s="2">
        <v>15</v>
      </c>
      <c r="Q422" s="2" t="s">
        <v>286</v>
      </c>
      <c r="R422" s="2" t="s">
        <v>1321</v>
      </c>
      <c r="S422" s="4">
        <v>44837</v>
      </c>
    </row>
    <row r="423" spans="1:19" ht="12.5" x14ac:dyDescent="0.25">
      <c r="A423" s="14" t="str">
        <f>HYPERLINK("https://gerandofalcoes.my.salesforce.com/0014P00003SGWPiQAP", "0014P00003SGWPiQAP")</f>
        <v>0014P00003SGWPiQAP</v>
      </c>
      <c r="B423" s="2" t="s">
        <v>300</v>
      </c>
      <c r="C423" s="2" t="s">
        <v>423</v>
      </c>
      <c r="D423" s="2" t="s">
        <v>27</v>
      </c>
      <c r="E423" s="2">
        <v>96</v>
      </c>
      <c r="F423" s="2">
        <v>8</v>
      </c>
      <c r="G423" s="2">
        <v>4</v>
      </c>
      <c r="H423" s="2">
        <v>587278.81999999995</v>
      </c>
      <c r="I423" s="2">
        <v>115</v>
      </c>
      <c r="J423" s="2" t="s">
        <v>1654</v>
      </c>
      <c r="K423" s="2">
        <v>80</v>
      </c>
      <c r="L423" s="2">
        <v>30</v>
      </c>
      <c r="M423" s="2">
        <v>10</v>
      </c>
      <c r="N423" s="2">
        <v>10</v>
      </c>
      <c r="O423" s="2">
        <v>20</v>
      </c>
      <c r="P423" s="2">
        <v>10</v>
      </c>
      <c r="Q423" s="2" t="s">
        <v>301</v>
      </c>
      <c r="R423" s="2" t="s">
        <v>1657</v>
      </c>
      <c r="S423" s="4">
        <v>44837</v>
      </c>
    </row>
    <row r="424" spans="1:19" ht="12.5" x14ac:dyDescent="0.25">
      <c r="A424" s="14" t="str">
        <f>HYPERLINK("https://gerandofalcoes.my.salesforce.com/0014P00003SGWPjQAP", "0014P00003SGWPjQAP")</f>
        <v>0014P00003SGWPjQAP</v>
      </c>
      <c r="B424" s="2" t="s">
        <v>2986</v>
      </c>
      <c r="C424" s="2" t="s">
        <v>423</v>
      </c>
      <c r="D424" s="2" t="s">
        <v>2</v>
      </c>
      <c r="E424" s="2"/>
      <c r="F424" s="2">
        <v>0</v>
      </c>
      <c r="G424" s="2">
        <v>0</v>
      </c>
      <c r="H424" s="2">
        <v>0</v>
      </c>
      <c r="I424" s="2">
        <v>180</v>
      </c>
      <c r="J424" s="2" t="s">
        <v>1779</v>
      </c>
      <c r="K424" s="2">
        <v>12</v>
      </c>
      <c r="L424" s="2">
        <v>0</v>
      </c>
      <c r="M424" s="2">
        <v>0</v>
      </c>
      <c r="N424" s="2">
        <v>0</v>
      </c>
      <c r="O424" s="2">
        <v>0</v>
      </c>
      <c r="P424" s="2">
        <v>12</v>
      </c>
      <c r="Q424" s="2" t="s">
        <v>303</v>
      </c>
      <c r="R424" s="2" t="s">
        <v>2987</v>
      </c>
      <c r="S424" s="4">
        <v>44837</v>
      </c>
    </row>
    <row r="425" spans="1:19" ht="12.5" x14ac:dyDescent="0.25">
      <c r="A425" s="14" t="str">
        <f>HYPERLINK("https://gerandofalcoes.my.salesforce.com/0014P00003SGWPkQAP", "0014P00003SGWPkQAP")</f>
        <v>0014P00003SGWPkQAP</v>
      </c>
      <c r="B425" s="2" t="s">
        <v>306</v>
      </c>
      <c r="C425" s="2" t="s">
        <v>423</v>
      </c>
      <c r="D425" s="2" t="s">
        <v>2</v>
      </c>
      <c r="E425" s="2">
        <v>49</v>
      </c>
      <c r="F425" s="2">
        <v>7</v>
      </c>
      <c r="G425" s="2">
        <v>5</v>
      </c>
      <c r="H425" s="2">
        <v>42828210</v>
      </c>
      <c r="I425" s="2">
        <v>150</v>
      </c>
      <c r="J425" s="2" t="s">
        <v>1671</v>
      </c>
      <c r="K425" s="2">
        <v>57</v>
      </c>
      <c r="L425" s="2">
        <v>0</v>
      </c>
      <c r="M425" s="2">
        <v>10</v>
      </c>
      <c r="N425" s="2">
        <v>10</v>
      </c>
      <c r="O425" s="2">
        <v>25</v>
      </c>
      <c r="P425" s="2">
        <v>12</v>
      </c>
      <c r="Q425" s="2" t="s">
        <v>307</v>
      </c>
      <c r="R425" s="2" t="s">
        <v>1867</v>
      </c>
      <c r="S425" s="4">
        <v>44837</v>
      </c>
    </row>
    <row r="426" spans="1:19" ht="12.5" x14ac:dyDescent="0.25">
      <c r="A426" s="14" t="str">
        <f>HYPERLINK("https://gerandofalcoes.my.salesforce.com/0014X00002YggoKQAR", "0014X00002YggoKQAR")</f>
        <v>0014X00002YggoKQAR</v>
      </c>
      <c r="B426" s="2" t="s">
        <v>3019</v>
      </c>
      <c r="C426" s="2" t="s">
        <v>423</v>
      </c>
      <c r="D426" s="2" t="s">
        <v>2</v>
      </c>
      <c r="E426" s="2"/>
      <c r="F426" s="2">
        <v>1</v>
      </c>
      <c r="G426" s="2">
        <v>2</v>
      </c>
      <c r="H426" s="2">
        <v>7000</v>
      </c>
      <c r="I426" s="2">
        <v>0</v>
      </c>
      <c r="J426" s="2"/>
      <c r="K426" s="2">
        <v>16</v>
      </c>
      <c r="L426" s="2">
        <v>0</v>
      </c>
      <c r="M426" s="2">
        <v>5</v>
      </c>
      <c r="N426" s="2">
        <v>6</v>
      </c>
      <c r="O426" s="2">
        <v>5</v>
      </c>
      <c r="P426" s="2">
        <v>0</v>
      </c>
      <c r="Q426" s="2" t="s">
        <v>3020</v>
      </c>
      <c r="R426" s="2" t="s">
        <v>3020</v>
      </c>
      <c r="S426" s="4">
        <v>44945</v>
      </c>
    </row>
    <row r="427" spans="1:19" ht="12.5" x14ac:dyDescent="0.25">
      <c r="A427" s="14" t="str">
        <f>HYPERLINK("https://gerandofalcoes.my.salesforce.com/0014X00002YggqSQAR", "0014X00002YggqSQAR")</f>
        <v>0014X00002YggqSQAR</v>
      </c>
      <c r="B427" s="2" t="s">
        <v>3021</v>
      </c>
      <c r="C427" s="2" t="s">
        <v>423</v>
      </c>
      <c r="D427" s="2" t="s">
        <v>2</v>
      </c>
      <c r="E427" s="2"/>
      <c r="F427" s="2">
        <v>0</v>
      </c>
      <c r="G427" s="2">
        <v>3</v>
      </c>
      <c r="H427" s="2">
        <v>7000</v>
      </c>
      <c r="I427" s="2">
        <v>100</v>
      </c>
      <c r="J427" s="2"/>
      <c r="K427" s="2">
        <v>23</v>
      </c>
      <c r="L427" s="2">
        <v>0</v>
      </c>
      <c r="M427" s="2">
        <v>0</v>
      </c>
      <c r="N427" s="2">
        <v>8</v>
      </c>
      <c r="O427" s="2">
        <v>5</v>
      </c>
      <c r="P427" s="2">
        <v>10</v>
      </c>
      <c r="Q427" s="2" t="s">
        <v>3022</v>
      </c>
      <c r="R427" s="2" t="s">
        <v>3022</v>
      </c>
      <c r="S427" s="4">
        <v>44945</v>
      </c>
    </row>
    <row r="428" spans="1:19" ht="12.5" x14ac:dyDescent="0.25">
      <c r="A428" s="14" t="str">
        <f>HYPERLINK("https://gerandofalcoes.my.salesforce.com/0014X00002YggpbQAB", "0014X00002YggpbQAB")</f>
        <v>0014X00002YggpbQAB</v>
      </c>
      <c r="B428" s="2" t="s">
        <v>3038</v>
      </c>
      <c r="C428" s="2" t="s">
        <v>423</v>
      </c>
      <c r="D428" s="2" t="s">
        <v>2</v>
      </c>
      <c r="E428" s="2"/>
      <c r="F428" s="2">
        <v>10</v>
      </c>
      <c r="G428" s="2">
        <v>2</v>
      </c>
      <c r="H428" s="2">
        <v>15000</v>
      </c>
      <c r="I428" s="2">
        <v>240</v>
      </c>
      <c r="J428" s="2"/>
      <c r="K428" s="2">
        <v>33</v>
      </c>
      <c r="L428" s="2">
        <v>0</v>
      </c>
      <c r="M428" s="2">
        <v>10</v>
      </c>
      <c r="N428" s="2">
        <v>6</v>
      </c>
      <c r="O428" s="2">
        <v>5</v>
      </c>
      <c r="P428" s="2">
        <v>12</v>
      </c>
      <c r="Q428" s="2" t="s">
        <v>3039</v>
      </c>
      <c r="R428" s="2" t="s">
        <v>3039</v>
      </c>
      <c r="S428" s="4">
        <v>44945</v>
      </c>
    </row>
    <row r="429" spans="1:19" ht="12.5" x14ac:dyDescent="0.25">
      <c r="A429" s="14" t="str">
        <f>HYPERLINK("https://gerandofalcoes.my.salesforce.com/0014X00002YggjrQAB", "0014X00002YggjrQAB")</f>
        <v>0014X00002YggjrQAB</v>
      </c>
      <c r="B429" s="2" t="s">
        <v>3040</v>
      </c>
      <c r="C429" s="2" t="s">
        <v>423</v>
      </c>
      <c r="D429" s="2" t="s">
        <v>2</v>
      </c>
      <c r="E429" s="2"/>
      <c r="F429" s="2">
        <v>0</v>
      </c>
      <c r="G429" s="2">
        <v>2</v>
      </c>
      <c r="H429" s="2">
        <v>86000</v>
      </c>
      <c r="I429" s="2">
        <v>170</v>
      </c>
      <c r="J429" s="2"/>
      <c r="K429" s="2">
        <v>28</v>
      </c>
      <c r="L429" s="2">
        <v>0</v>
      </c>
      <c r="M429" s="2">
        <v>0</v>
      </c>
      <c r="N429" s="2">
        <v>6</v>
      </c>
      <c r="O429" s="2">
        <v>10</v>
      </c>
      <c r="P429" s="2">
        <v>12</v>
      </c>
      <c r="Q429" s="2" t="s">
        <v>3041</v>
      </c>
      <c r="R429" s="2" t="s">
        <v>3042</v>
      </c>
      <c r="S429" s="4">
        <v>44945</v>
      </c>
    </row>
    <row r="430" spans="1:19" ht="12.5" x14ac:dyDescent="0.25">
      <c r="A430" s="14" t="str">
        <f>HYPERLINK("https://gerandofalcoes.my.salesforce.com/0014X00002YggoGQAR", "0014X00002YggoGQAR")</f>
        <v>0014X00002YggoGQAR</v>
      </c>
      <c r="B430" s="2" t="s">
        <v>3028</v>
      </c>
      <c r="C430" s="2" t="s">
        <v>423</v>
      </c>
      <c r="D430" s="2" t="s">
        <v>2</v>
      </c>
      <c r="E430" s="2"/>
      <c r="F430" s="2">
        <v>12</v>
      </c>
      <c r="G430" s="2">
        <v>3</v>
      </c>
      <c r="H430" s="2">
        <v>3000</v>
      </c>
      <c r="I430" s="2">
        <v>40</v>
      </c>
      <c r="J430" s="2"/>
      <c r="K430" s="2">
        <v>30</v>
      </c>
      <c r="L430" s="2">
        <v>0</v>
      </c>
      <c r="M430" s="2">
        <v>12</v>
      </c>
      <c r="N430" s="2">
        <v>8</v>
      </c>
      <c r="O430" s="2">
        <v>5</v>
      </c>
      <c r="P430" s="2">
        <v>5</v>
      </c>
      <c r="Q430" s="2" t="s">
        <v>3029</v>
      </c>
      <c r="R430" s="2" t="s">
        <v>3030</v>
      </c>
      <c r="S430" s="4">
        <v>44945</v>
      </c>
    </row>
    <row r="431" spans="1:19" ht="12.5" x14ac:dyDescent="0.25">
      <c r="A431" s="14" t="str">
        <f>HYPERLINK("https://gerandofalcoes.my.salesforce.com/0014X00002YggkDQAR", "0014X00002YggkDQAR")</f>
        <v>0014X00002YggkDQAR</v>
      </c>
      <c r="B431" s="2" t="s">
        <v>3023</v>
      </c>
      <c r="C431" s="2" t="s">
        <v>423</v>
      </c>
      <c r="D431" s="2" t="s">
        <v>2</v>
      </c>
      <c r="E431" s="2"/>
      <c r="F431" s="2">
        <v>0</v>
      </c>
      <c r="G431" s="2">
        <v>4</v>
      </c>
      <c r="H431" s="2">
        <v>78654</v>
      </c>
      <c r="I431" s="2">
        <v>0</v>
      </c>
      <c r="J431" s="2"/>
      <c r="K431" s="2">
        <v>20</v>
      </c>
      <c r="L431" s="2">
        <v>0</v>
      </c>
      <c r="M431" s="2">
        <v>0</v>
      </c>
      <c r="N431" s="2">
        <v>10</v>
      </c>
      <c r="O431" s="2">
        <v>10</v>
      </c>
      <c r="P431" s="2">
        <v>0</v>
      </c>
      <c r="Q431" s="2" t="s">
        <v>3024</v>
      </c>
      <c r="R431" s="2" t="s">
        <v>3025</v>
      </c>
      <c r="S431" s="4">
        <v>44945</v>
      </c>
    </row>
    <row r="432" spans="1:19" ht="12.5" x14ac:dyDescent="0.25">
      <c r="A432" s="14" t="str">
        <f>HYPERLINK("https://gerandofalcoes.my.salesforce.com/0014X00002YggiPQAR", "0014X00002YggiPQAR")</f>
        <v>0014X00002YggiPQAR</v>
      </c>
      <c r="B432" s="2" t="s">
        <v>3033</v>
      </c>
      <c r="C432" s="2" t="s">
        <v>423</v>
      </c>
      <c r="D432" s="2" t="s">
        <v>2</v>
      </c>
      <c r="E432" s="2"/>
      <c r="F432" s="2">
        <v>1</v>
      </c>
      <c r="G432" s="2">
        <v>2</v>
      </c>
      <c r="H432" s="2">
        <v>600</v>
      </c>
      <c r="I432" s="2">
        <v>0</v>
      </c>
      <c r="J432" s="2"/>
      <c r="K432" s="2">
        <v>16</v>
      </c>
      <c r="L432" s="2">
        <v>0</v>
      </c>
      <c r="M432" s="2">
        <v>5</v>
      </c>
      <c r="N432" s="2">
        <v>6</v>
      </c>
      <c r="O432" s="2">
        <v>5</v>
      </c>
      <c r="P432" s="2">
        <v>0</v>
      </c>
      <c r="Q432" s="2" t="s">
        <v>3034</v>
      </c>
      <c r="R432" s="2" t="s">
        <v>3034</v>
      </c>
      <c r="S432" s="4">
        <v>44945</v>
      </c>
    </row>
    <row r="433" spans="1:19" ht="12.5" x14ac:dyDescent="0.25">
      <c r="A433" s="14" t="str">
        <f>HYPERLINK("https://gerandofalcoes.my.salesforce.com/0014X00002YgghNQAR", "0014X00002YgghNQAR")</f>
        <v>0014X00002YgghNQAR</v>
      </c>
      <c r="B433" s="2" t="s">
        <v>3268</v>
      </c>
      <c r="C433" s="2" t="s">
        <v>423</v>
      </c>
      <c r="D433" s="2" t="s">
        <v>2</v>
      </c>
      <c r="E433" s="2"/>
      <c r="F433" s="2">
        <v>0</v>
      </c>
      <c r="G433" s="2">
        <v>5</v>
      </c>
      <c r="H433" s="2">
        <v>150</v>
      </c>
      <c r="I433" s="2">
        <v>350</v>
      </c>
      <c r="J433" s="2"/>
      <c r="K433" s="2">
        <v>30</v>
      </c>
      <c r="L433" s="2">
        <v>0</v>
      </c>
      <c r="M433" s="2">
        <v>0</v>
      </c>
      <c r="N433" s="2">
        <v>10</v>
      </c>
      <c r="O433" s="2">
        <v>5</v>
      </c>
      <c r="P433" s="2">
        <v>15</v>
      </c>
      <c r="Q433" s="2" t="s">
        <v>3269</v>
      </c>
      <c r="R433" s="2" t="s">
        <v>3269</v>
      </c>
      <c r="S433" s="4">
        <v>44952</v>
      </c>
    </row>
    <row r="434" spans="1:19" ht="12.5" x14ac:dyDescent="0.25">
      <c r="A434" s="14" t="str">
        <f>HYPERLINK("https://gerandofalcoes.my.salesforce.com/0014X00002YggpmQAB", "0014X00002YggpmQAB")</f>
        <v>0014X00002YggpmQAB</v>
      </c>
      <c r="B434" s="2" t="s">
        <v>3244</v>
      </c>
      <c r="C434" s="2" t="s">
        <v>423</v>
      </c>
      <c r="D434" s="2" t="s">
        <v>2</v>
      </c>
      <c r="E434" s="2"/>
      <c r="F434" s="2">
        <v>0</v>
      </c>
      <c r="G434" s="2">
        <v>3</v>
      </c>
      <c r="H434" s="2">
        <v>20000</v>
      </c>
      <c r="I434" s="2">
        <v>190</v>
      </c>
      <c r="J434" s="2"/>
      <c r="K434" s="2">
        <v>25</v>
      </c>
      <c r="L434" s="2">
        <v>0</v>
      </c>
      <c r="M434" s="2">
        <v>0</v>
      </c>
      <c r="N434" s="2">
        <v>8</v>
      </c>
      <c r="O434" s="2">
        <v>5</v>
      </c>
      <c r="P434" s="2">
        <v>12</v>
      </c>
      <c r="Q434" s="2" t="s">
        <v>3245</v>
      </c>
      <c r="R434" s="2" t="s">
        <v>3246</v>
      </c>
      <c r="S434" s="4">
        <v>44952</v>
      </c>
    </row>
    <row r="435" spans="1:19" ht="12.5" x14ac:dyDescent="0.25">
      <c r="A435" s="14" t="str">
        <f>HYPERLINK("https://gerandofalcoes.my.salesforce.com/0014X00002Yggo7QAB", "0014X00002Yggo7QAB")</f>
        <v>0014X00002Yggo7QAB</v>
      </c>
      <c r="B435" s="2" t="s">
        <v>3270</v>
      </c>
      <c r="C435" s="2" t="s">
        <v>423</v>
      </c>
      <c r="D435" s="2" t="s">
        <v>2</v>
      </c>
      <c r="E435" s="2"/>
      <c r="F435" s="2">
        <v>0</v>
      </c>
      <c r="G435" s="2">
        <v>2</v>
      </c>
      <c r="H435" s="2">
        <v>9000</v>
      </c>
      <c r="I435" s="2">
        <v>300</v>
      </c>
      <c r="J435" s="2"/>
      <c r="K435" s="2">
        <v>26</v>
      </c>
      <c r="L435" s="2">
        <v>0</v>
      </c>
      <c r="M435" s="2">
        <v>0</v>
      </c>
      <c r="N435" s="2">
        <v>6</v>
      </c>
      <c r="O435" s="2">
        <v>5</v>
      </c>
      <c r="P435" s="2">
        <v>15</v>
      </c>
      <c r="Q435" s="2" t="s">
        <v>3271</v>
      </c>
      <c r="R435" s="2" t="s">
        <v>3271</v>
      </c>
      <c r="S435" s="4">
        <v>44952</v>
      </c>
    </row>
    <row r="436" spans="1:19" ht="12.5" x14ac:dyDescent="0.25">
      <c r="A436" s="14" t="str">
        <f>HYPERLINK("https://gerandofalcoes.my.salesforce.com/0014X00002YgglFQAR", "0014X00002YgglFQAR")</f>
        <v>0014X00002YgglFQAR</v>
      </c>
      <c r="B436" s="2" t="s">
        <v>3087</v>
      </c>
      <c r="C436" s="2" t="s">
        <v>423</v>
      </c>
      <c r="D436" s="2" t="s">
        <v>2</v>
      </c>
      <c r="E436" s="2"/>
      <c r="F436" s="2">
        <v>0</v>
      </c>
      <c r="G436" s="2">
        <v>5</v>
      </c>
      <c r="H436" s="2">
        <v>0</v>
      </c>
      <c r="I436" s="2">
        <v>0</v>
      </c>
      <c r="J436" s="2"/>
      <c r="K436" s="2">
        <v>10</v>
      </c>
      <c r="L436" s="2">
        <v>0</v>
      </c>
      <c r="M436" s="2">
        <v>0</v>
      </c>
      <c r="N436" s="2">
        <v>10</v>
      </c>
      <c r="O436" s="2">
        <v>0</v>
      </c>
      <c r="P436" s="2">
        <v>0</v>
      </c>
      <c r="Q436" s="2" t="s">
        <v>3088</v>
      </c>
      <c r="R436" s="2" t="s">
        <v>3089</v>
      </c>
      <c r="S436" s="4">
        <v>44946</v>
      </c>
    </row>
    <row r="437" spans="1:19" ht="12.5" x14ac:dyDescent="0.25">
      <c r="A437" s="14" t="str">
        <f>HYPERLINK("https://gerandofalcoes.my.salesforce.com/0014X00002YggkiQAB", "0014X00002YggkiQAB")</f>
        <v>0014X00002YggkiQAB</v>
      </c>
      <c r="B437" s="2" t="s">
        <v>3067</v>
      </c>
      <c r="C437" s="2" t="s">
        <v>423</v>
      </c>
      <c r="D437" s="2" t="s">
        <v>2</v>
      </c>
      <c r="E437" s="2"/>
      <c r="F437" s="2">
        <v>0</v>
      </c>
      <c r="G437" s="2">
        <v>2</v>
      </c>
      <c r="H437" s="2">
        <v>0</v>
      </c>
      <c r="I437" s="2">
        <v>80</v>
      </c>
      <c r="J437" s="2"/>
      <c r="K437" s="2">
        <v>16</v>
      </c>
      <c r="L437" s="2">
        <v>0</v>
      </c>
      <c r="M437" s="2">
        <v>0</v>
      </c>
      <c r="N437" s="2">
        <v>6</v>
      </c>
      <c r="O437" s="2">
        <v>0</v>
      </c>
      <c r="P437" s="2">
        <v>10</v>
      </c>
      <c r="Q437" s="2" t="s">
        <v>3068</v>
      </c>
      <c r="R437" s="2" t="s">
        <v>3068</v>
      </c>
      <c r="S437" s="4">
        <v>44946</v>
      </c>
    </row>
    <row r="438" spans="1:19" ht="12.5" x14ac:dyDescent="0.25">
      <c r="A438" s="14" t="str">
        <f>HYPERLINK("https://gerandofalcoes.my.salesforce.com/0014X00002VKCp3QAH", "0014X00002VKCp3QAH")</f>
        <v>0014X00002VKCp3QAH</v>
      </c>
      <c r="B438" s="2" t="s">
        <v>2247</v>
      </c>
      <c r="C438" s="2" t="s">
        <v>1800</v>
      </c>
      <c r="D438" s="2" t="s">
        <v>2</v>
      </c>
      <c r="E438" s="2">
        <v>31</v>
      </c>
      <c r="F438" s="2">
        <v>0</v>
      </c>
      <c r="G438" s="2">
        <v>3</v>
      </c>
      <c r="H438" s="2">
        <v>0</v>
      </c>
      <c r="I438" s="2">
        <v>0</v>
      </c>
      <c r="J438" s="2" t="s">
        <v>1779</v>
      </c>
      <c r="K438" s="2">
        <v>23</v>
      </c>
      <c r="L438" s="2">
        <v>15</v>
      </c>
      <c r="M438" s="2">
        <v>0</v>
      </c>
      <c r="N438" s="2">
        <v>8</v>
      </c>
      <c r="O438" s="2">
        <v>0</v>
      </c>
      <c r="P438" s="2">
        <v>0</v>
      </c>
      <c r="Q438" s="2" t="s">
        <v>2248</v>
      </c>
      <c r="R438" s="2" t="s">
        <v>2248</v>
      </c>
      <c r="S438" s="4">
        <v>44837</v>
      </c>
    </row>
    <row r="439" spans="1:19" ht="12.5" x14ac:dyDescent="0.25">
      <c r="A439" s="14" t="str">
        <f>HYPERLINK("https://gerandofalcoes.my.salesforce.com/0014X00002VKCsIQAX", "0014X00002VKCsIQAX")</f>
        <v>0014X00002VKCsIQAX</v>
      </c>
      <c r="B439" s="2" t="s">
        <v>2585</v>
      </c>
      <c r="C439" s="2" t="s">
        <v>423</v>
      </c>
      <c r="D439" s="2" t="s">
        <v>2</v>
      </c>
      <c r="E439" s="2">
        <v>28</v>
      </c>
      <c r="F439" s="2">
        <v>0</v>
      </c>
      <c r="G439" s="2">
        <v>1</v>
      </c>
      <c r="H439" s="2">
        <v>102000</v>
      </c>
      <c r="I439" s="2">
        <v>90</v>
      </c>
      <c r="J439" s="2" t="s">
        <v>1671</v>
      </c>
      <c r="K439" s="2">
        <v>44</v>
      </c>
      <c r="L439" s="2">
        <v>15</v>
      </c>
      <c r="M439" s="2">
        <v>0</v>
      </c>
      <c r="N439" s="2">
        <v>4</v>
      </c>
      <c r="O439" s="2">
        <v>15</v>
      </c>
      <c r="P439" s="2">
        <v>10</v>
      </c>
      <c r="Q439" s="2" t="s">
        <v>2586</v>
      </c>
      <c r="R439" s="2" t="s">
        <v>2587</v>
      </c>
      <c r="S439" s="4">
        <v>44837</v>
      </c>
    </row>
    <row r="440" spans="1:19" ht="12.5" x14ac:dyDescent="0.25">
      <c r="A440" s="14" t="str">
        <f>HYPERLINK("https://gerandofalcoes.my.salesforce.com/0014X00002VKCshQAH", "0014X00002VKCshQAH")</f>
        <v>0014X00002VKCshQAH</v>
      </c>
      <c r="B440" s="2" t="s">
        <v>2893</v>
      </c>
      <c r="C440" s="2" t="s">
        <v>423</v>
      </c>
      <c r="D440" s="2" t="s">
        <v>2</v>
      </c>
      <c r="E440" s="2">
        <v>25</v>
      </c>
      <c r="F440" s="2">
        <v>0</v>
      </c>
      <c r="G440" s="2">
        <v>4</v>
      </c>
      <c r="H440" s="2">
        <v>65000</v>
      </c>
      <c r="I440" s="2">
        <v>65</v>
      </c>
      <c r="J440" s="2" t="s">
        <v>1671</v>
      </c>
      <c r="K440" s="2">
        <v>40</v>
      </c>
      <c r="L440" s="2">
        <v>15</v>
      </c>
      <c r="M440" s="2">
        <v>0</v>
      </c>
      <c r="N440" s="2">
        <v>10</v>
      </c>
      <c r="O440" s="2">
        <v>10</v>
      </c>
      <c r="P440" s="2">
        <v>5</v>
      </c>
      <c r="Q440" s="2" t="s">
        <v>2894</v>
      </c>
      <c r="R440" s="2" t="s">
        <v>2895</v>
      </c>
      <c r="S440" s="4">
        <v>44837</v>
      </c>
    </row>
    <row r="441" spans="1:19" ht="12.5" x14ac:dyDescent="0.25">
      <c r="A441" s="14" t="str">
        <f>HYPERLINK("https://gerandofalcoes.my.salesforce.com/0014X00002VKCuEQAX", "0014X00002VKCuEQAX")</f>
        <v>0014X00002VKCuEQAX</v>
      </c>
      <c r="B441" s="2" t="s">
        <v>1977</v>
      </c>
      <c r="C441" s="2" t="s">
        <v>423</v>
      </c>
      <c r="D441" s="2" t="s">
        <v>2</v>
      </c>
      <c r="E441" s="2">
        <v>53</v>
      </c>
      <c r="F441" s="2">
        <v>5</v>
      </c>
      <c r="G441" s="2">
        <v>2</v>
      </c>
      <c r="H441" s="2">
        <v>90000</v>
      </c>
      <c r="I441" s="2">
        <v>0</v>
      </c>
      <c r="J441" s="2" t="s">
        <v>1671</v>
      </c>
      <c r="K441" s="2">
        <v>41</v>
      </c>
      <c r="L441" s="2">
        <v>20</v>
      </c>
      <c r="M441" s="2">
        <v>5</v>
      </c>
      <c r="N441" s="2">
        <v>6</v>
      </c>
      <c r="O441" s="2">
        <v>10</v>
      </c>
      <c r="P441" s="2">
        <v>0</v>
      </c>
      <c r="Q441" s="2" t="s">
        <v>1978</v>
      </c>
      <c r="R441" s="2" t="s">
        <v>1979</v>
      </c>
      <c r="S441" s="4">
        <v>44837</v>
      </c>
    </row>
    <row r="442" spans="1:19" ht="12.5" x14ac:dyDescent="0.25">
      <c r="A442" s="14" t="str">
        <f>HYPERLINK("https://gerandofalcoes.my.salesforce.com/0014X00002VKCsjQAH", "0014X00002VKCsjQAH")</f>
        <v>0014X00002VKCsjQAH</v>
      </c>
      <c r="B442" s="2" t="s">
        <v>2576</v>
      </c>
      <c r="C442" s="2" t="s">
        <v>423</v>
      </c>
      <c r="D442" s="2" t="s">
        <v>2</v>
      </c>
      <c r="E442" s="2">
        <v>49</v>
      </c>
      <c r="F442" s="2">
        <v>0</v>
      </c>
      <c r="G442" s="2">
        <v>4</v>
      </c>
      <c r="H442" s="2">
        <v>10000</v>
      </c>
      <c r="I442" s="2">
        <v>154</v>
      </c>
      <c r="J442" s="2" t="s">
        <v>1779</v>
      </c>
      <c r="K442" s="2">
        <v>27</v>
      </c>
      <c r="L442" s="2">
        <v>0</v>
      </c>
      <c r="M442" s="2">
        <v>0</v>
      </c>
      <c r="N442" s="2">
        <v>10</v>
      </c>
      <c r="O442" s="2">
        <v>5</v>
      </c>
      <c r="P442" s="2">
        <v>12</v>
      </c>
      <c r="Q442" s="2" t="s">
        <v>2577</v>
      </c>
      <c r="R442" s="2" t="s">
        <v>2578</v>
      </c>
      <c r="S442" s="4">
        <v>44837</v>
      </c>
    </row>
    <row r="443" spans="1:19" ht="12.5" x14ac:dyDescent="0.25">
      <c r="A443" s="14" t="str">
        <f>HYPERLINK("https://gerandofalcoes.my.salesforce.com/0014X00002VKCsyQAH", "0014X00002VKCsyQAH")</f>
        <v>0014X00002VKCsyQAH</v>
      </c>
      <c r="B443" s="2" t="s">
        <v>1877</v>
      </c>
      <c r="C443" s="2" t="s">
        <v>423</v>
      </c>
      <c r="D443" s="2" t="s">
        <v>2</v>
      </c>
      <c r="E443" s="2">
        <v>40</v>
      </c>
      <c r="F443" s="2">
        <v>0</v>
      </c>
      <c r="G443" s="2">
        <v>3</v>
      </c>
      <c r="H443" s="2">
        <v>250</v>
      </c>
      <c r="I443" s="2">
        <v>135</v>
      </c>
      <c r="J443" s="2" t="s">
        <v>1779</v>
      </c>
      <c r="K443" s="2">
        <v>38</v>
      </c>
      <c r="L443" s="2">
        <v>15</v>
      </c>
      <c r="M443" s="2">
        <v>0</v>
      </c>
      <c r="N443" s="2">
        <v>8</v>
      </c>
      <c r="O443" s="2">
        <v>5</v>
      </c>
      <c r="P443" s="2">
        <v>10</v>
      </c>
      <c r="Q443" s="2" t="s">
        <v>1878</v>
      </c>
      <c r="R443" s="2" t="s">
        <v>1878</v>
      </c>
      <c r="S443" s="4">
        <v>44837</v>
      </c>
    </row>
    <row r="444" spans="1:19" ht="12.5" x14ac:dyDescent="0.25">
      <c r="A444" s="14" t="str">
        <f>HYPERLINK("https://gerandofalcoes.my.salesforce.com/0014X00002VKCt7QAH", "0014X00002VKCt7QAH")</f>
        <v>0014X00002VKCt7QAH</v>
      </c>
      <c r="B444" s="2" t="s">
        <v>2410</v>
      </c>
      <c r="C444" s="2" t="s">
        <v>1800</v>
      </c>
      <c r="D444" s="2" t="s">
        <v>2</v>
      </c>
      <c r="E444" s="2">
        <v>25</v>
      </c>
      <c r="F444" s="2">
        <v>0</v>
      </c>
      <c r="G444" s="2">
        <v>3</v>
      </c>
      <c r="H444" s="2">
        <v>11000</v>
      </c>
      <c r="I444" s="2">
        <v>100</v>
      </c>
      <c r="J444" s="2" t="s">
        <v>1779</v>
      </c>
      <c r="K444" s="2">
        <v>38</v>
      </c>
      <c r="L444" s="2">
        <v>15</v>
      </c>
      <c r="M444" s="2">
        <v>0</v>
      </c>
      <c r="N444" s="2">
        <v>8</v>
      </c>
      <c r="O444" s="2">
        <v>5</v>
      </c>
      <c r="P444" s="2">
        <v>10</v>
      </c>
      <c r="Q444" s="2" t="s">
        <v>2411</v>
      </c>
      <c r="R444" s="2" t="s">
        <v>2412</v>
      </c>
      <c r="S444" s="4">
        <v>44837</v>
      </c>
    </row>
    <row r="445" spans="1:19" ht="12.5" x14ac:dyDescent="0.25">
      <c r="A445" s="14" t="str">
        <f>HYPERLINK("https://gerandofalcoes.my.salesforce.com/0014X00002VKCtYQAX", "0014X00002VKCtYQAX")</f>
        <v>0014X00002VKCtYQAX</v>
      </c>
      <c r="B445" s="2" t="s">
        <v>2125</v>
      </c>
      <c r="C445" s="2" t="s">
        <v>423</v>
      </c>
      <c r="D445" s="2" t="s">
        <v>2</v>
      </c>
      <c r="E445" s="2">
        <v>46</v>
      </c>
      <c r="F445" s="2">
        <v>3</v>
      </c>
      <c r="G445" s="2">
        <v>2</v>
      </c>
      <c r="H445" s="2">
        <v>2000</v>
      </c>
      <c r="I445" s="2">
        <v>196</v>
      </c>
      <c r="J445" s="2" t="s">
        <v>1671</v>
      </c>
      <c r="K445" s="2">
        <v>43</v>
      </c>
      <c r="L445" s="2">
        <v>15</v>
      </c>
      <c r="M445" s="2">
        <v>5</v>
      </c>
      <c r="N445" s="2">
        <v>6</v>
      </c>
      <c r="O445" s="2">
        <v>5</v>
      </c>
      <c r="P445" s="2">
        <v>12</v>
      </c>
      <c r="Q445" s="2" t="s">
        <v>2126</v>
      </c>
      <c r="R445" s="2" t="s">
        <v>2126</v>
      </c>
      <c r="S445" s="4">
        <v>44837</v>
      </c>
    </row>
    <row r="446" spans="1:19" ht="12.5" x14ac:dyDescent="0.25">
      <c r="A446" s="14" t="str">
        <f>HYPERLINK("https://gerandofalcoes.my.salesforce.com/0014X00002VKCp9QAH", "0014X00002VKCp9QAH")</f>
        <v>0014X00002VKCp9QAH</v>
      </c>
      <c r="B446" s="2" t="s">
        <v>2384</v>
      </c>
      <c r="C446" s="2" t="s">
        <v>1800</v>
      </c>
      <c r="D446" s="2" t="s">
        <v>2</v>
      </c>
      <c r="E446" s="2">
        <v>26</v>
      </c>
      <c r="F446" s="2">
        <v>17</v>
      </c>
      <c r="G446" s="2">
        <v>5</v>
      </c>
      <c r="H446" s="2">
        <v>0</v>
      </c>
      <c r="I446" s="2">
        <v>0</v>
      </c>
      <c r="J446" s="2" t="s">
        <v>1779</v>
      </c>
      <c r="K446" s="2">
        <v>37</v>
      </c>
      <c r="L446" s="2">
        <v>15</v>
      </c>
      <c r="M446" s="2">
        <v>12</v>
      </c>
      <c r="N446" s="2">
        <v>10</v>
      </c>
      <c r="O446" s="2">
        <v>0</v>
      </c>
      <c r="P446" s="2">
        <v>0</v>
      </c>
      <c r="Q446" s="2" t="s">
        <v>2385</v>
      </c>
      <c r="R446" s="2" t="s">
        <v>2386</v>
      </c>
      <c r="S446" s="4">
        <v>44837</v>
      </c>
    </row>
    <row r="447" spans="1:19" ht="12.5" x14ac:dyDescent="0.25">
      <c r="A447" s="14" t="str">
        <f>HYPERLINK("https://gerandofalcoes.my.salesforce.com/0014X00002VKCqCQAX", "0014X00002VKCqCQAX")</f>
        <v>0014X00002VKCqCQAX</v>
      </c>
      <c r="B447" s="2" t="s">
        <v>2853</v>
      </c>
      <c r="C447" s="2" t="s">
        <v>423</v>
      </c>
      <c r="D447" s="2" t="s">
        <v>2</v>
      </c>
      <c r="E447" s="2">
        <v>18</v>
      </c>
      <c r="F447" s="2">
        <v>0</v>
      </c>
      <c r="G447" s="2">
        <v>3</v>
      </c>
      <c r="H447" s="2">
        <v>38640</v>
      </c>
      <c r="I447" s="2">
        <v>0</v>
      </c>
      <c r="J447" s="2" t="s">
        <v>1779</v>
      </c>
      <c r="K447" s="2">
        <v>28</v>
      </c>
      <c r="L447" s="2">
        <v>10</v>
      </c>
      <c r="M447" s="2">
        <v>0</v>
      </c>
      <c r="N447" s="2">
        <v>8</v>
      </c>
      <c r="O447" s="2">
        <v>10</v>
      </c>
      <c r="P447" s="2">
        <v>0</v>
      </c>
      <c r="Q447" s="2" t="s">
        <v>7197</v>
      </c>
      <c r="R447" s="2" t="s">
        <v>2855</v>
      </c>
      <c r="S447" s="4">
        <v>44837</v>
      </c>
    </row>
    <row r="448" spans="1:19" ht="12.5" x14ac:dyDescent="0.25">
      <c r="A448" s="14" t="str">
        <f>HYPERLINK("https://gerandofalcoes.my.salesforce.com/0014X00002VKCqAQAX", "0014X00002VKCqAQAX")</f>
        <v>0014X00002VKCqAQAX</v>
      </c>
      <c r="B448" s="2" t="s">
        <v>2912</v>
      </c>
      <c r="C448" s="2" t="s">
        <v>423</v>
      </c>
      <c r="D448" s="2" t="s">
        <v>2</v>
      </c>
      <c r="E448" s="2">
        <v>30</v>
      </c>
      <c r="F448" s="2">
        <v>7</v>
      </c>
      <c r="G448" s="2">
        <v>4</v>
      </c>
      <c r="H448" s="2">
        <v>36000</v>
      </c>
      <c r="I448" s="2">
        <v>100</v>
      </c>
      <c r="J448" s="2" t="s">
        <v>1671</v>
      </c>
      <c r="K448" s="2">
        <v>55</v>
      </c>
      <c r="L448" s="2">
        <v>15</v>
      </c>
      <c r="M448" s="2">
        <v>10</v>
      </c>
      <c r="N448" s="2">
        <v>10</v>
      </c>
      <c r="O448" s="2">
        <v>10</v>
      </c>
      <c r="P448" s="2">
        <v>10</v>
      </c>
      <c r="Q448" s="2" t="s">
        <v>2913</v>
      </c>
      <c r="R448" s="2" t="s">
        <v>2913</v>
      </c>
      <c r="S448" s="4">
        <v>44837</v>
      </c>
    </row>
    <row r="449" spans="1:19" ht="12.5" x14ac:dyDescent="0.25">
      <c r="A449" s="14" t="str">
        <f>HYPERLINK("https://gerandofalcoes.my.salesforce.com/0014X00002VKCsEQAX", "0014X00002VKCsEQAX")</f>
        <v>0014X00002VKCsEQAX</v>
      </c>
      <c r="B449" s="2" t="s">
        <v>2051</v>
      </c>
      <c r="C449" s="2" t="s">
        <v>1800</v>
      </c>
      <c r="D449" s="2" t="s">
        <v>2</v>
      </c>
      <c r="E449" s="2">
        <v>37</v>
      </c>
      <c r="F449" s="2">
        <v>2</v>
      </c>
      <c r="G449" s="2">
        <v>3</v>
      </c>
      <c r="H449" s="2">
        <v>1000</v>
      </c>
      <c r="I449" s="2">
        <v>30</v>
      </c>
      <c r="J449" s="2" t="s">
        <v>1779</v>
      </c>
      <c r="K449" s="2">
        <v>38</v>
      </c>
      <c r="L449" s="2">
        <v>15</v>
      </c>
      <c r="M449" s="2">
        <v>5</v>
      </c>
      <c r="N449" s="2">
        <v>8</v>
      </c>
      <c r="O449" s="2">
        <v>5</v>
      </c>
      <c r="P449" s="2">
        <v>5</v>
      </c>
      <c r="Q449" s="2" t="s">
        <v>2052</v>
      </c>
      <c r="R449" s="2" t="s">
        <v>2053</v>
      </c>
      <c r="S449" s="4">
        <v>44837</v>
      </c>
    </row>
    <row r="450" spans="1:19" ht="12.5" x14ac:dyDescent="0.25">
      <c r="A450" s="14" t="str">
        <f>HYPERLINK("https://gerandofalcoes.my.salesforce.com/0014X00002VKCr6QAH", "0014X00002VKCr6QAH")</f>
        <v>0014X00002VKCr6QAH</v>
      </c>
      <c r="B450" s="2" t="s">
        <v>1932</v>
      </c>
      <c r="C450" s="2" t="s">
        <v>423</v>
      </c>
      <c r="D450" s="2" t="s">
        <v>2</v>
      </c>
      <c r="E450" s="2">
        <v>37</v>
      </c>
      <c r="F450" s="2">
        <v>7</v>
      </c>
      <c r="G450" s="2">
        <v>5</v>
      </c>
      <c r="H450" s="2">
        <v>620000</v>
      </c>
      <c r="I450" s="2">
        <v>250</v>
      </c>
      <c r="J450" s="2" t="s">
        <v>1650</v>
      </c>
      <c r="K450" s="2">
        <v>67</v>
      </c>
      <c r="L450" s="2">
        <v>15</v>
      </c>
      <c r="M450" s="2">
        <v>10</v>
      </c>
      <c r="N450" s="2">
        <v>10</v>
      </c>
      <c r="O450" s="2">
        <v>20</v>
      </c>
      <c r="P450" s="2">
        <v>12</v>
      </c>
      <c r="Q450" s="2" t="s">
        <v>1933</v>
      </c>
      <c r="R450" s="2" t="s">
        <v>1934</v>
      </c>
      <c r="S450" s="4">
        <v>44837</v>
      </c>
    </row>
    <row r="451" spans="1:19" ht="12.5" x14ac:dyDescent="0.25">
      <c r="A451" s="14" t="str">
        <f>HYPERLINK("https://gerandofalcoes.my.salesforce.com/0014X00002VKCphQAH", "0014X00002VKCphQAH")</f>
        <v>0014X00002VKCphQAH</v>
      </c>
      <c r="B451" s="2" t="s">
        <v>2298</v>
      </c>
      <c r="C451" s="2" t="s">
        <v>1800</v>
      </c>
      <c r="D451" s="2" t="s">
        <v>2</v>
      </c>
      <c r="E451" s="2">
        <v>29</v>
      </c>
      <c r="F451" s="2">
        <v>0</v>
      </c>
      <c r="G451" s="2">
        <v>3</v>
      </c>
      <c r="H451" s="2">
        <v>30000</v>
      </c>
      <c r="I451" s="2">
        <v>150</v>
      </c>
      <c r="J451" s="2" t="s">
        <v>1671</v>
      </c>
      <c r="K451" s="2">
        <v>45</v>
      </c>
      <c r="L451" s="2">
        <v>15</v>
      </c>
      <c r="M451" s="2">
        <v>0</v>
      </c>
      <c r="N451" s="2">
        <v>8</v>
      </c>
      <c r="O451" s="2">
        <v>10</v>
      </c>
      <c r="P451" s="2">
        <v>12</v>
      </c>
      <c r="Q451" s="2" t="s">
        <v>2299</v>
      </c>
      <c r="R451" s="2" t="s">
        <v>2300</v>
      </c>
      <c r="S451" s="4">
        <v>44837</v>
      </c>
    </row>
    <row r="452" spans="1:19" ht="12.5" x14ac:dyDescent="0.25">
      <c r="A452" s="14" t="str">
        <f>HYPERLINK("https://gerandofalcoes.my.salesforce.com/0014X00002VKCp8QAH", "0014X00002VKCp8QAH")</f>
        <v>0014X00002VKCp8QAH</v>
      </c>
      <c r="B452" s="2" t="s">
        <v>1819</v>
      </c>
      <c r="C452" s="2" t="s">
        <v>423</v>
      </c>
      <c r="D452" s="2" t="s">
        <v>2</v>
      </c>
      <c r="E452" s="2">
        <v>55</v>
      </c>
      <c r="F452" s="2">
        <v>2</v>
      </c>
      <c r="G452" s="2">
        <v>2</v>
      </c>
      <c r="H452" s="2">
        <v>62000</v>
      </c>
      <c r="I452" s="2">
        <v>100</v>
      </c>
      <c r="J452" s="2" t="s">
        <v>1671</v>
      </c>
      <c r="K452" s="2">
        <v>51</v>
      </c>
      <c r="L452" s="2">
        <v>20</v>
      </c>
      <c r="M452" s="2">
        <v>5</v>
      </c>
      <c r="N452" s="2">
        <v>6</v>
      </c>
      <c r="O452" s="2">
        <v>10</v>
      </c>
      <c r="P452" s="2">
        <v>10</v>
      </c>
      <c r="Q452" s="2" t="s">
        <v>1820</v>
      </c>
      <c r="R452" s="2" t="s">
        <v>1821</v>
      </c>
      <c r="S452" s="4">
        <v>44837</v>
      </c>
    </row>
    <row r="453" spans="1:19" ht="12.5" x14ac:dyDescent="0.25">
      <c r="A453" s="14" t="str">
        <f>HYPERLINK("https://gerandofalcoes.my.salesforce.com/0014X00002VKCszQAH", "0014X00002VKCszQAH")</f>
        <v>0014X00002VKCszQAH</v>
      </c>
      <c r="B453" s="2" t="s">
        <v>2473</v>
      </c>
      <c r="C453" s="2" t="s">
        <v>423</v>
      </c>
      <c r="D453" s="2" t="s">
        <v>2</v>
      </c>
      <c r="E453" s="2">
        <v>29</v>
      </c>
      <c r="F453" s="2">
        <v>0</v>
      </c>
      <c r="G453" s="2">
        <v>6</v>
      </c>
      <c r="H453" s="2">
        <v>30000</v>
      </c>
      <c r="I453" s="2">
        <v>30</v>
      </c>
      <c r="J453" s="2" t="s">
        <v>1671</v>
      </c>
      <c r="K453" s="2">
        <v>40</v>
      </c>
      <c r="L453" s="2">
        <v>15</v>
      </c>
      <c r="M453" s="2">
        <v>0</v>
      </c>
      <c r="N453" s="2">
        <v>10</v>
      </c>
      <c r="O453" s="2">
        <v>10</v>
      </c>
      <c r="P453" s="2">
        <v>5</v>
      </c>
      <c r="Q453" s="2" t="s">
        <v>2474</v>
      </c>
      <c r="R453" s="2" t="s">
        <v>2475</v>
      </c>
      <c r="S453" s="4">
        <v>44837</v>
      </c>
    </row>
    <row r="454" spans="1:19" ht="12.5" x14ac:dyDescent="0.25">
      <c r="A454" s="14" t="str">
        <f>HYPERLINK("https://gerandofalcoes.my.salesforce.com/0014X00002VKCpBQAX", "0014X00002VKCpBQAX")</f>
        <v>0014X00002VKCpBQAX</v>
      </c>
      <c r="B454" s="2" t="s">
        <v>2504</v>
      </c>
      <c r="C454" s="2" t="s">
        <v>423</v>
      </c>
      <c r="D454" s="2" t="s">
        <v>2</v>
      </c>
      <c r="E454" s="2">
        <v>24</v>
      </c>
      <c r="F454" s="2">
        <v>0</v>
      </c>
      <c r="G454" s="2">
        <v>3</v>
      </c>
      <c r="H454" s="2">
        <v>96000</v>
      </c>
      <c r="I454" s="2">
        <v>80</v>
      </c>
      <c r="J454" s="2" t="s">
        <v>1779</v>
      </c>
      <c r="K454" s="2">
        <v>38</v>
      </c>
      <c r="L454" s="2">
        <v>10</v>
      </c>
      <c r="M454" s="2">
        <v>0</v>
      </c>
      <c r="N454" s="2">
        <v>8</v>
      </c>
      <c r="O454" s="2">
        <v>10</v>
      </c>
      <c r="P454" s="2">
        <v>10</v>
      </c>
      <c r="Q454" s="2" t="s">
        <v>2505</v>
      </c>
      <c r="R454" s="2" t="s">
        <v>2505</v>
      </c>
      <c r="S454" s="4">
        <v>44837</v>
      </c>
    </row>
    <row r="455" spans="1:19" ht="12.5" x14ac:dyDescent="0.25">
      <c r="A455" s="14" t="str">
        <f>HYPERLINK("https://gerandofalcoes.my.salesforce.com/0014X00002VKCtrQAH", "0014X00002VKCtrQAH")</f>
        <v>0014X00002VKCtrQAH</v>
      </c>
      <c r="B455" s="2" t="s">
        <v>1969</v>
      </c>
      <c r="C455" s="2" t="s">
        <v>1800</v>
      </c>
      <c r="D455" s="2" t="s">
        <v>2</v>
      </c>
      <c r="E455" s="2">
        <v>40</v>
      </c>
      <c r="F455" s="2">
        <v>0</v>
      </c>
      <c r="G455" s="2">
        <v>2</v>
      </c>
      <c r="H455" s="2">
        <v>0</v>
      </c>
      <c r="I455" s="2">
        <v>0</v>
      </c>
      <c r="J455" s="2" t="s">
        <v>1779</v>
      </c>
      <c r="K455" s="2">
        <v>21</v>
      </c>
      <c r="L455" s="2">
        <v>15</v>
      </c>
      <c r="M455" s="2">
        <v>0</v>
      </c>
      <c r="N455" s="2">
        <v>6</v>
      </c>
      <c r="O455" s="2">
        <v>0</v>
      </c>
      <c r="P455" s="2">
        <v>0</v>
      </c>
      <c r="Q455" s="2" t="s">
        <v>1970</v>
      </c>
      <c r="R455" s="2" t="s">
        <v>1971</v>
      </c>
      <c r="S455" s="4">
        <v>44837</v>
      </c>
    </row>
    <row r="456" spans="1:19" ht="12.5" x14ac:dyDescent="0.25">
      <c r="A456" s="14" t="str">
        <f>HYPERLINK("https://gerandofalcoes.my.salesforce.com/0014X00002VKCuHQAX", "0014X00002VKCuHQAX")</f>
        <v>0014X00002VKCuHQAX</v>
      </c>
      <c r="B456" s="2" t="s">
        <v>2606</v>
      </c>
      <c r="C456" s="2" t="s">
        <v>423</v>
      </c>
      <c r="D456" s="2" t="s">
        <v>2</v>
      </c>
      <c r="E456" s="2">
        <v>19</v>
      </c>
      <c r="F456" s="2">
        <v>0</v>
      </c>
      <c r="G456" s="2">
        <v>3</v>
      </c>
      <c r="H456" s="2">
        <v>25000</v>
      </c>
      <c r="I456" s="2">
        <v>0</v>
      </c>
      <c r="J456" s="2" t="s">
        <v>1779</v>
      </c>
      <c r="K456" s="2">
        <v>28</v>
      </c>
      <c r="L456" s="2">
        <v>10</v>
      </c>
      <c r="M456" s="2">
        <v>0</v>
      </c>
      <c r="N456" s="2">
        <v>8</v>
      </c>
      <c r="O456" s="2">
        <v>10</v>
      </c>
      <c r="P456" s="2">
        <v>0</v>
      </c>
      <c r="Q456" s="2" t="s">
        <v>7198</v>
      </c>
      <c r="R456" s="2" t="s">
        <v>2608</v>
      </c>
      <c r="S456" s="4">
        <v>44837</v>
      </c>
    </row>
    <row r="457" spans="1:19" ht="12.5" x14ac:dyDescent="0.25">
      <c r="A457" s="14" t="str">
        <f>HYPERLINK("https://gerandofalcoes.my.salesforce.com/0014X00002VKCqbQAH", "0014X00002VKCqbQAH")</f>
        <v>0014X00002VKCqbQAH</v>
      </c>
      <c r="B457" s="2" t="s">
        <v>2040</v>
      </c>
      <c r="C457" s="2" t="s">
        <v>423</v>
      </c>
      <c r="D457" s="2" t="s">
        <v>2</v>
      </c>
      <c r="E457" s="2">
        <v>37</v>
      </c>
      <c r="F457" s="2">
        <v>0</v>
      </c>
      <c r="G457" s="2">
        <v>3</v>
      </c>
      <c r="H457" s="2">
        <v>70000</v>
      </c>
      <c r="I457" s="2">
        <v>50</v>
      </c>
      <c r="J457" s="2" t="s">
        <v>1779</v>
      </c>
      <c r="K457" s="2">
        <v>38</v>
      </c>
      <c r="L457" s="2">
        <v>15</v>
      </c>
      <c r="M457" s="2">
        <v>0</v>
      </c>
      <c r="N457" s="2">
        <v>8</v>
      </c>
      <c r="O457" s="2">
        <v>10</v>
      </c>
      <c r="P457" s="2">
        <v>5</v>
      </c>
      <c r="Q457" s="2" t="s">
        <v>2041</v>
      </c>
      <c r="R457" s="2" t="s">
        <v>2042</v>
      </c>
      <c r="S457" s="4">
        <v>44837</v>
      </c>
    </row>
    <row r="458" spans="1:19" ht="12.5" x14ac:dyDescent="0.25">
      <c r="A458" s="14" t="str">
        <f>HYPERLINK("https://gerandofalcoes.my.salesforce.com/0014X00002VKCsnQAH", "0014X00002VKCsnQAH")</f>
        <v>0014X00002VKCsnQAH</v>
      </c>
      <c r="B458" s="2" t="s">
        <v>1899</v>
      </c>
      <c r="C458" s="2" t="s">
        <v>423</v>
      </c>
      <c r="D458" s="2" t="s">
        <v>2</v>
      </c>
      <c r="E458" s="2">
        <v>55</v>
      </c>
      <c r="F458" s="2">
        <v>7</v>
      </c>
      <c r="G458" s="2">
        <v>3</v>
      </c>
      <c r="H458" s="2">
        <v>26180</v>
      </c>
      <c r="I458" s="2">
        <v>72</v>
      </c>
      <c r="J458" s="2" t="s">
        <v>1671</v>
      </c>
      <c r="K458" s="2">
        <v>53</v>
      </c>
      <c r="L458" s="2">
        <v>20</v>
      </c>
      <c r="M458" s="2">
        <v>10</v>
      </c>
      <c r="N458" s="2">
        <v>8</v>
      </c>
      <c r="O458" s="2">
        <v>10</v>
      </c>
      <c r="P458" s="2">
        <v>5</v>
      </c>
      <c r="Q458" s="2" t="s">
        <v>1900</v>
      </c>
      <c r="R458" s="2" t="s">
        <v>1901</v>
      </c>
      <c r="S458" s="4">
        <v>44837</v>
      </c>
    </row>
    <row r="459" spans="1:19" ht="12.5" x14ac:dyDescent="0.25">
      <c r="A459" s="14" t="str">
        <f>HYPERLINK("https://gerandofalcoes.my.salesforce.com/0014X00002VKCqSQAX", "0014X00002VKCqSQAX")</f>
        <v>0014X00002VKCqSQAX</v>
      </c>
      <c r="B459" s="2" t="s">
        <v>2197</v>
      </c>
      <c r="C459" s="2" t="s">
        <v>1800</v>
      </c>
      <c r="D459" s="2" t="s">
        <v>2</v>
      </c>
      <c r="E459" s="2">
        <v>33</v>
      </c>
      <c r="F459" s="2">
        <v>0</v>
      </c>
      <c r="G459" s="2">
        <v>3</v>
      </c>
      <c r="H459" s="2">
        <v>2160</v>
      </c>
      <c r="I459" s="2">
        <v>0</v>
      </c>
      <c r="J459" s="2" t="s">
        <v>1779</v>
      </c>
      <c r="K459" s="2">
        <v>28</v>
      </c>
      <c r="L459" s="2">
        <v>15</v>
      </c>
      <c r="M459" s="2">
        <v>0</v>
      </c>
      <c r="N459" s="2">
        <v>8</v>
      </c>
      <c r="O459" s="2">
        <v>5</v>
      </c>
      <c r="P459" s="2">
        <v>0</v>
      </c>
      <c r="Q459" s="2" t="s">
        <v>2198</v>
      </c>
      <c r="R459" s="2" t="s">
        <v>2199</v>
      </c>
      <c r="S459" s="4">
        <v>44837</v>
      </c>
    </row>
    <row r="460" spans="1:19" ht="12.5" x14ac:dyDescent="0.25">
      <c r="A460" s="14" t="str">
        <f>HYPERLINK("https://gerandofalcoes.my.salesforce.com/0014X00002VKCubQAH", "0014X00002VKCubQAH")</f>
        <v>0014X00002VKCubQAH</v>
      </c>
      <c r="B460" s="2" t="s">
        <v>2062</v>
      </c>
      <c r="C460" s="2" t="s">
        <v>423</v>
      </c>
      <c r="D460" s="2" t="s">
        <v>2</v>
      </c>
      <c r="E460" s="2">
        <v>37</v>
      </c>
      <c r="F460" s="2">
        <v>3</v>
      </c>
      <c r="G460" s="2">
        <v>3</v>
      </c>
      <c r="H460" s="2">
        <v>3000</v>
      </c>
      <c r="I460" s="2">
        <v>15</v>
      </c>
      <c r="J460" s="2" t="s">
        <v>1779</v>
      </c>
      <c r="K460" s="2">
        <v>38</v>
      </c>
      <c r="L460" s="2">
        <v>15</v>
      </c>
      <c r="M460" s="2">
        <v>5</v>
      </c>
      <c r="N460" s="2">
        <v>8</v>
      </c>
      <c r="O460" s="2">
        <v>5</v>
      </c>
      <c r="P460" s="2">
        <v>5</v>
      </c>
      <c r="Q460" s="2" t="s">
        <v>2063</v>
      </c>
      <c r="R460" s="2" t="s">
        <v>2064</v>
      </c>
      <c r="S460" s="4">
        <v>44837</v>
      </c>
    </row>
    <row r="461" spans="1:19" ht="12.5" x14ac:dyDescent="0.25">
      <c r="A461" s="14" t="str">
        <f>HYPERLINK("https://gerandofalcoes.my.salesforce.com/0014X00002VKCsOQAX", "0014X00002VKCsOQAX")</f>
        <v>0014X00002VKCsOQAX</v>
      </c>
      <c r="B461" s="2" t="s">
        <v>1858</v>
      </c>
      <c r="C461" s="2" t="s">
        <v>423</v>
      </c>
      <c r="D461" s="2" t="s">
        <v>2</v>
      </c>
      <c r="E461" s="2">
        <v>46</v>
      </c>
      <c r="F461" s="2">
        <v>0</v>
      </c>
      <c r="G461" s="2">
        <v>3</v>
      </c>
      <c r="H461" s="2">
        <v>10000</v>
      </c>
      <c r="I461" s="2">
        <v>110</v>
      </c>
      <c r="J461" s="2" t="s">
        <v>1779</v>
      </c>
      <c r="K461" s="2">
        <v>38</v>
      </c>
      <c r="L461" s="2">
        <v>15</v>
      </c>
      <c r="M461" s="2">
        <v>0</v>
      </c>
      <c r="N461" s="2">
        <v>8</v>
      </c>
      <c r="O461" s="2">
        <v>5</v>
      </c>
      <c r="P461" s="2">
        <v>10</v>
      </c>
      <c r="Q461" s="2" t="s">
        <v>1859</v>
      </c>
      <c r="R461" s="2" t="s">
        <v>1860</v>
      </c>
      <c r="S461" s="4">
        <v>44837</v>
      </c>
    </row>
    <row r="462" spans="1:19" ht="12.5" x14ac:dyDescent="0.25">
      <c r="A462" s="14" t="str">
        <f>HYPERLINK("https://gerandofalcoes.my.salesforce.com/0014X00002VKCuuQAH", "0014X00002VKCuuQAH")</f>
        <v>0014X00002VKCuuQAH</v>
      </c>
      <c r="B462" s="2" t="s">
        <v>2933</v>
      </c>
      <c r="C462" s="2" t="s">
        <v>423</v>
      </c>
      <c r="D462" s="2" t="s">
        <v>2</v>
      </c>
      <c r="E462" s="2">
        <v>6</v>
      </c>
      <c r="F462" s="2">
        <v>5</v>
      </c>
      <c r="G462" s="2">
        <v>5</v>
      </c>
      <c r="H462" s="2">
        <v>0</v>
      </c>
      <c r="I462" s="2">
        <v>80</v>
      </c>
      <c r="J462" s="2" t="s">
        <v>1779</v>
      </c>
      <c r="K462" s="2">
        <v>35</v>
      </c>
      <c r="L462" s="2">
        <v>10</v>
      </c>
      <c r="M462" s="2">
        <v>5</v>
      </c>
      <c r="N462" s="2">
        <v>10</v>
      </c>
      <c r="O462" s="2">
        <v>0</v>
      </c>
      <c r="P462" s="2">
        <v>10</v>
      </c>
      <c r="Q462" s="2" t="s">
        <v>2934</v>
      </c>
      <c r="R462" s="2" t="s">
        <v>2934</v>
      </c>
      <c r="S462" s="4">
        <v>44837</v>
      </c>
    </row>
    <row r="463" spans="1:19" ht="12.5" x14ac:dyDescent="0.25">
      <c r="A463" s="14" t="str">
        <f>HYPERLINK("https://gerandofalcoes.my.salesforce.com/0014X00002VKCv6QAH", "0014X00002VKCv6QAH")</f>
        <v>0014X00002VKCv6QAH</v>
      </c>
      <c r="B463" s="2" t="s">
        <v>2941</v>
      </c>
      <c r="C463" s="2" t="s">
        <v>423</v>
      </c>
      <c r="D463" s="2" t="s">
        <v>2</v>
      </c>
      <c r="E463" s="2">
        <v>29</v>
      </c>
      <c r="F463" s="2">
        <v>0</v>
      </c>
      <c r="G463" s="2">
        <v>3</v>
      </c>
      <c r="H463" s="2">
        <v>9800</v>
      </c>
      <c r="I463" s="2">
        <v>54</v>
      </c>
      <c r="J463" s="2" t="s">
        <v>1779</v>
      </c>
      <c r="K463" s="2">
        <v>33</v>
      </c>
      <c r="L463" s="2">
        <v>15</v>
      </c>
      <c r="M463" s="2">
        <v>0</v>
      </c>
      <c r="N463" s="2">
        <v>8</v>
      </c>
      <c r="O463" s="2">
        <v>5</v>
      </c>
      <c r="P463" s="2">
        <v>5</v>
      </c>
      <c r="Q463" s="2" t="s">
        <v>2942</v>
      </c>
      <c r="R463" s="2" t="s">
        <v>2943</v>
      </c>
      <c r="S463" s="4">
        <v>44837</v>
      </c>
    </row>
    <row r="464" spans="1:19" ht="12.5" x14ac:dyDescent="0.25">
      <c r="A464" s="14" t="str">
        <f>HYPERLINK("https://gerandofalcoes.my.salesforce.com/0014X00002VKCtkQAH", "0014X00002VKCtkQAH")</f>
        <v>0014X00002VKCtkQAH</v>
      </c>
      <c r="B464" s="2" t="s">
        <v>2200</v>
      </c>
      <c r="C464" s="2" t="s">
        <v>423</v>
      </c>
      <c r="D464" s="2" t="s">
        <v>2</v>
      </c>
      <c r="E464" s="2">
        <v>31</v>
      </c>
      <c r="F464" s="2">
        <v>14</v>
      </c>
      <c r="G464" s="2">
        <v>5</v>
      </c>
      <c r="H464" s="2">
        <v>22000</v>
      </c>
      <c r="I464" s="2">
        <v>250</v>
      </c>
      <c r="J464" s="2" t="s">
        <v>1671</v>
      </c>
      <c r="K464" s="2">
        <v>54</v>
      </c>
      <c r="L464" s="2">
        <v>15</v>
      </c>
      <c r="M464" s="2">
        <v>12</v>
      </c>
      <c r="N464" s="2">
        <v>10</v>
      </c>
      <c r="O464" s="2">
        <v>5</v>
      </c>
      <c r="P464" s="2">
        <v>12</v>
      </c>
      <c r="Q464" s="2" t="s">
        <v>2201</v>
      </c>
      <c r="R464" s="2" t="s">
        <v>2202</v>
      </c>
      <c r="S464" s="4">
        <v>44837</v>
      </c>
    </row>
    <row r="465" spans="1:19" ht="12.5" x14ac:dyDescent="0.25">
      <c r="A465" s="14" t="str">
        <f>HYPERLINK("https://gerandofalcoes.my.salesforce.com/0014X00002VKCpdQAH", "0014X00002VKCpdQAH")</f>
        <v>0014X00002VKCpdQAH</v>
      </c>
      <c r="B465" s="2" t="s">
        <v>1731</v>
      </c>
      <c r="C465" s="2" t="s">
        <v>423</v>
      </c>
      <c r="D465" s="2" t="s">
        <v>2</v>
      </c>
      <c r="E465" s="2">
        <v>71</v>
      </c>
      <c r="F465" s="2">
        <v>22</v>
      </c>
      <c r="G465" s="2">
        <v>3</v>
      </c>
      <c r="H465" s="2">
        <v>1171000</v>
      </c>
      <c r="I465" s="2">
        <v>120</v>
      </c>
      <c r="J465" s="2" t="s">
        <v>1650</v>
      </c>
      <c r="K465" s="2">
        <v>75</v>
      </c>
      <c r="L465" s="2">
        <v>20</v>
      </c>
      <c r="M465" s="2">
        <v>12</v>
      </c>
      <c r="N465" s="2">
        <v>8</v>
      </c>
      <c r="O465" s="2">
        <v>25</v>
      </c>
      <c r="P465" s="2">
        <v>10</v>
      </c>
      <c r="Q465" s="2" t="s">
        <v>1732</v>
      </c>
      <c r="R465" s="2" t="s">
        <v>1733</v>
      </c>
      <c r="S465" s="4">
        <v>44837</v>
      </c>
    </row>
    <row r="466" spans="1:19" ht="12.5" x14ac:dyDescent="0.25">
      <c r="A466" s="14" t="str">
        <f>HYPERLINK("https://gerandofalcoes.my.salesforce.com/0014X00002VKCtyQAH", "0014X00002VKCtyQAH")</f>
        <v>0014X00002VKCtyQAH</v>
      </c>
      <c r="B466" s="2" t="s">
        <v>1750</v>
      </c>
      <c r="C466" s="2" t="s">
        <v>423</v>
      </c>
      <c r="D466" s="2" t="s">
        <v>2</v>
      </c>
      <c r="E466" s="2">
        <v>63</v>
      </c>
      <c r="F466" s="2">
        <v>0</v>
      </c>
      <c r="G466" s="2">
        <v>4</v>
      </c>
      <c r="H466" s="2">
        <v>50000</v>
      </c>
      <c r="I466" s="2">
        <v>65</v>
      </c>
      <c r="J466" s="2" t="s">
        <v>1671</v>
      </c>
      <c r="K466" s="2">
        <v>45</v>
      </c>
      <c r="L466" s="2">
        <v>20</v>
      </c>
      <c r="M466" s="2">
        <v>0</v>
      </c>
      <c r="N466" s="2">
        <v>10</v>
      </c>
      <c r="O466" s="2">
        <v>10</v>
      </c>
      <c r="P466" s="2">
        <v>5</v>
      </c>
      <c r="Q466" s="2" t="s">
        <v>1751</v>
      </c>
      <c r="R466" s="2" t="s">
        <v>1752</v>
      </c>
      <c r="S466" s="4">
        <v>44837</v>
      </c>
    </row>
    <row r="467" spans="1:19" ht="12.5" x14ac:dyDescent="0.25">
      <c r="A467" s="14" t="str">
        <f>HYPERLINK("https://gerandofalcoes.my.salesforce.com/0014X00002VKCrWQAX", "0014X00002VKCrWQAX")</f>
        <v>0014X00002VKCrWQAX</v>
      </c>
      <c r="B467" s="2" t="s">
        <v>2235</v>
      </c>
      <c r="C467" s="2" t="s">
        <v>1800</v>
      </c>
      <c r="D467" s="2" t="s">
        <v>2</v>
      </c>
      <c r="E467" s="2">
        <v>31</v>
      </c>
      <c r="F467" s="2">
        <v>700</v>
      </c>
      <c r="G467" s="2">
        <v>3</v>
      </c>
      <c r="H467" s="2">
        <v>100000</v>
      </c>
      <c r="I467" s="2">
        <v>850</v>
      </c>
      <c r="J467" s="2" t="s">
        <v>1650</v>
      </c>
      <c r="K467" s="2">
        <v>73</v>
      </c>
      <c r="L467" s="2">
        <v>15</v>
      </c>
      <c r="M467" s="2">
        <v>15</v>
      </c>
      <c r="N467" s="2">
        <v>8</v>
      </c>
      <c r="O467" s="2">
        <v>15</v>
      </c>
      <c r="P467" s="2">
        <v>20</v>
      </c>
      <c r="Q467" s="2" t="s">
        <v>2236</v>
      </c>
      <c r="R467" s="2" t="s">
        <v>2237</v>
      </c>
      <c r="S467" s="4">
        <v>44837</v>
      </c>
    </row>
    <row r="468" spans="1:19" ht="12.5" x14ac:dyDescent="0.25">
      <c r="A468" s="14" t="str">
        <f>HYPERLINK("https://gerandofalcoes.my.salesforce.com/0014X00002VKCrkQAH", "0014X00002VKCrkQAH")</f>
        <v>0014X00002VKCrkQAH</v>
      </c>
      <c r="B468" s="2" t="s">
        <v>2093</v>
      </c>
      <c r="C468" s="2" t="s">
        <v>423</v>
      </c>
      <c r="D468" s="2" t="s">
        <v>2</v>
      </c>
      <c r="E468" s="2">
        <v>50</v>
      </c>
      <c r="F468" s="2">
        <v>10</v>
      </c>
      <c r="G468" s="2">
        <v>4</v>
      </c>
      <c r="H468" s="2">
        <v>120000</v>
      </c>
      <c r="I468" s="2">
        <v>50</v>
      </c>
      <c r="J468" s="2" t="s">
        <v>1671</v>
      </c>
      <c r="K468" s="2">
        <v>60</v>
      </c>
      <c r="L468" s="2">
        <v>20</v>
      </c>
      <c r="M468" s="2">
        <v>10</v>
      </c>
      <c r="N468" s="2">
        <v>10</v>
      </c>
      <c r="O468" s="2">
        <v>15</v>
      </c>
      <c r="P468" s="2">
        <v>5</v>
      </c>
      <c r="Q468" s="2" t="s">
        <v>2094</v>
      </c>
      <c r="R468" s="2" t="s">
        <v>2095</v>
      </c>
      <c r="S468" s="4">
        <v>44837</v>
      </c>
    </row>
    <row r="469" spans="1:19" ht="12.5" x14ac:dyDescent="0.25">
      <c r="A469" s="14" t="str">
        <f>HYPERLINK("https://gerandofalcoes.my.salesforce.com/0014P00003YSp8eQAD", "0014P00003YSp8eQAD")</f>
        <v>0014P00003YSp8eQAD</v>
      </c>
      <c r="B469" s="2" t="s">
        <v>2309</v>
      </c>
      <c r="C469" s="2" t="s">
        <v>1800</v>
      </c>
      <c r="D469" s="2" t="s">
        <v>2</v>
      </c>
      <c r="E469" s="2">
        <v>29</v>
      </c>
      <c r="F469" s="2">
        <v>0</v>
      </c>
      <c r="G469" s="2">
        <v>3</v>
      </c>
      <c r="H469" s="2">
        <v>350000</v>
      </c>
      <c r="I469" s="2">
        <v>0</v>
      </c>
      <c r="J469" s="2" t="s">
        <v>1671</v>
      </c>
      <c r="K469" s="2">
        <v>43</v>
      </c>
      <c r="L469" s="2">
        <v>15</v>
      </c>
      <c r="M469" s="2">
        <v>0</v>
      </c>
      <c r="N469" s="2">
        <v>8</v>
      </c>
      <c r="O469" s="2">
        <v>20</v>
      </c>
      <c r="P469" s="2">
        <v>0</v>
      </c>
      <c r="Q469" s="2" t="s">
        <v>2310</v>
      </c>
      <c r="R469" s="2" t="s">
        <v>2311</v>
      </c>
      <c r="S469" s="4">
        <v>44837</v>
      </c>
    </row>
    <row r="470" spans="1:19" ht="12.5" x14ac:dyDescent="0.25">
      <c r="A470" s="14" t="str">
        <f>HYPERLINK("https://gerandofalcoes.my.salesforce.com/0014P00003YSp8fQAD", "0014P00003YSp8fQAD")</f>
        <v>0014P00003YSp8fQAD</v>
      </c>
      <c r="B470" s="2" t="s">
        <v>1713</v>
      </c>
      <c r="C470" s="2" t="s">
        <v>423</v>
      </c>
      <c r="D470" s="2" t="s">
        <v>2</v>
      </c>
      <c r="E470" s="2">
        <v>38</v>
      </c>
      <c r="F470" s="2">
        <v>7</v>
      </c>
      <c r="G470" s="2">
        <v>2</v>
      </c>
      <c r="H470" s="2">
        <v>120000</v>
      </c>
      <c r="I470" s="2">
        <v>90</v>
      </c>
      <c r="J470" s="2" t="s">
        <v>1671</v>
      </c>
      <c r="K470" s="2">
        <v>56</v>
      </c>
      <c r="L470" s="2">
        <v>15</v>
      </c>
      <c r="M470" s="2">
        <v>10</v>
      </c>
      <c r="N470" s="2">
        <v>6</v>
      </c>
      <c r="O470" s="2">
        <v>15</v>
      </c>
      <c r="P470" s="2">
        <v>10</v>
      </c>
      <c r="Q470" s="2" t="s">
        <v>1714</v>
      </c>
      <c r="R470" s="2" t="s">
        <v>1715</v>
      </c>
      <c r="S470" s="4">
        <v>44837</v>
      </c>
    </row>
    <row r="471" spans="1:19" ht="12.5" x14ac:dyDescent="0.25">
      <c r="A471" s="14" t="str">
        <f>HYPERLINK("https://gerandofalcoes.my.salesforce.com/0014P00003YSp8gQAD", "0014P00003YSp8gQAD")</f>
        <v>0014P00003YSp8gQAD</v>
      </c>
      <c r="B471" s="2" t="s">
        <v>2635</v>
      </c>
      <c r="C471" s="2" t="s">
        <v>1800</v>
      </c>
      <c r="D471" s="2" t="s">
        <v>2</v>
      </c>
      <c r="E471" s="2">
        <v>18</v>
      </c>
      <c r="F471" s="2">
        <v>4</v>
      </c>
      <c r="G471" s="2">
        <v>2</v>
      </c>
      <c r="H471" s="2">
        <v>2000</v>
      </c>
      <c r="I471" s="2">
        <v>70</v>
      </c>
      <c r="J471" s="2" t="s">
        <v>1779</v>
      </c>
      <c r="K471" s="2">
        <v>31</v>
      </c>
      <c r="L471" s="2">
        <v>10</v>
      </c>
      <c r="M471" s="2">
        <v>5</v>
      </c>
      <c r="N471" s="2">
        <v>6</v>
      </c>
      <c r="O471" s="2">
        <v>5</v>
      </c>
      <c r="P471" s="2">
        <v>5</v>
      </c>
      <c r="Q471" s="2" t="s">
        <v>2636</v>
      </c>
      <c r="R471" s="2" t="s">
        <v>2636</v>
      </c>
      <c r="S471" s="4">
        <v>44837</v>
      </c>
    </row>
    <row r="472" spans="1:19" ht="12.5" x14ac:dyDescent="0.25">
      <c r="A472" s="14" t="str">
        <f>HYPERLINK("https://gerandofalcoes.my.salesforce.com/0014P00003YSp8hQAD", "0014P00003YSp8hQAD")</f>
        <v>0014P00003YSp8hQAD</v>
      </c>
      <c r="B472" s="2" t="s">
        <v>7179</v>
      </c>
      <c r="C472" s="2" t="s">
        <v>1800</v>
      </c>
      <c r="D472" s="2" t="s">
        <v>2</v>
      </c>
      <c r="E472" s="2">
        <v>11</v>
      </c>
      <c r="F472" s="2">
        <v>10</v>
      </c>
      <c r="G472" s="2">
        <v>2</v>
      </c>
      <c r="H472" s="2">
        <v>90000</v>
      </c>
      <c r="I472" s="2">
        <v>0</v>
      </c>
      <c r="J472" s="2" t="s">
        <v>1779</v>
      </c>
      <c r="K472" s="2">
        <v>36</v>
      </c>
      <c r="L472" s="2">
        <v>10</v>
      </c>
      <c r="M472" s="2">
        <v>10</v>
      </c>
      <c r="N472" s="2">
        <v>6</v>
      </c>
      <c r="O472" s="2">
        <v>10</v>
      </c>
      <c r="P472" s="2">
        <v>0</v>
      </c>
      <c r="Q472" s="2" t="s">
        <v>2843</v>
      </c>
      <c r="R472" s="2" t="s">
        <v>2843</v>
      </c>
      <c r="S472" s="4">
        <v>44837</v>
      </c>
    </row>
    <row r="473" spans="1:19" ht="12.5" x14ac:dyDescent="0.25">
      <c r="A473" s="14" t="str">
        <f>HYPERLINK("https://gerandofalcoes.my.salesforce.com/0014P00003YSp8iQAD", "0014P00003YSp8iQAD")</f>
        <v>0014P00003YSp8iQAD</v>
      </c>
      <c r="B473" s="2" t="s">
        <v>1770</v>
      </c>
      <c r="C473" s="2" t="s">
        <v>423</v>
      </c>
      <c r="D473" s="2" t="s">
        <v>2</v>
      </c>
      <c r="E473" s="2">
        <v>41</v>
      </c>
      <c r="F473" s="2">
        <v>5</v>
      </c>
      <c r="G473" s="2">
        <v>8</v>
      </c>
      <c r="H473" s="2">
        <v>78878</v>
      </c>
      <c r="I473" s="2">
        <v>40</v>
      </c>
      <c r="J473" s="2" t="s">
        <v>1671</v>
      </c>
      <c r="K473" s="2">
        <v>45</v>
      </c>
      <c r="L473" s="2">
        <v>15</v>
      </c>
      <c r="M473" s="2">
        <v>5</v>
      </c>
      <c r="N473" s="2">
        <v>10</v>
      </c>
      <c r="O473" s="2">
        <v>10</v>
      </c>
      <c r="P473" s="2">
        <v>5</v>
      </c>
      <c r="Q473" s="2" t="s">
        <v>1771</v>
      </c>
      <c r="R473" s="2" t="s">
        <v>1772</v>
      </c>
      <c r="S473" s="4">
        <v>44837</v>
      </c>
    </row>
    <row r="474" spans="1:19" ht="12.5" x14ac:dyDescent="0.25">
      <c r="A474" s="14" t="str">
        <f>HYPERLINK("https://gerandofalcoes.my.salesforce.com/0014P00003YSp8kQAD", "0014P00003YSp8kQAD")</f>
        <v>0014P00003YSp8kQAD</v>
      </c>
      <c r="B474" s="2" t="s">
        <v>2295</v>
      </c>
      <c r="C474" s="2" t="s">
        <v>1800</v>
      </c>
      <c r="D474" s="2" t="s">
        <v>2</v>
      </c>
      <c r="E474" s="2">
        <v>29</v>
      </c>
      <c r="F474" s="2">
        <v>2</v>
      </c>
      <c r="G474" s="2">
        <v>2</v>
      </c>
      <c r="H474" s="2">
        <v>12000</v>
      </c>
      <c r="I474" s="2">
        <v>300</v>
      </c>
      <c r="J474" s="2" t="s">
        <v>1671</v>
      </c>
      <c r="K474" s="2">
        <v>46</v>
      </c>
      <c r="L474" s="2">
        <v>15</v>
      </c>
      <c r="M474" s="2">
        <v>5</v>
      </c>
      <c r="N474" s="2">
        <v>6</v>
      </c>
      <c r="O474" s="2">
        <v>5</v>
      </c>
      <c r="P474" s="2">
        <v>15</v>
      </c>
      <c r="Q474" s="2" t="s">
        <v>2296</v>
      </c>
      <c r="R474" s="2" t="s">
        <v>2297</v>
      </c>
      <c r="S474" s="4">
        <v>44837</v>
      </c>
    </row>
    <row r="475" spans="1:19" ht="12.5" x14ac:dyDescent="0.25">
      <c r="A475" s="14" t="str">
        <f>HYPERLINK("https://gerandofalcoes.my.salesforce.com/0014P00003YSp8lQAD", "0014P00003YSp8lQAD")</f>
        <v>0014P00003YSp8lQAD</v>
      </c>
      <c r="B475" s="2" t="s">
        <v>2775</v>
      </c>
      <c r="C475" s="2" t="s">
        <v>423</v>
      </c>
      <c r="D475" s="2" t="s">
        <v>2</v>
      </c>
      <c r="E475" s="2">
        <v>33</v>
      </c>
      <c r="F475" s="2">
        <v>0</v>
      </c>
      <c r="G475" s="2">
        <v>2</v>
      </c>
      <c r="H475" s="2">
        <v>8000</v>
      </c>
      <c r="I475" s="2">
        <v>45</v>
      </c>
      <c r="J475" s="2" t="s">
        <v>1779</v>
      </c>
      <c r="K475" s="2">
        <v>31</v>
      </c>
      <c r="L475" s="2">
        <v>15</v>
      </c>
      <c r="M475" s="2">
        <v>0</v>
      </c>
      <c r="N475" s="2">
        <v>6</v>
      </c>
      <c r="O475" s="2">
        <v>5</v>
      </c>
      <c r="P475" s="2">
        <v>5</v>
      </c>
      <c r="Q475" s="2" t="s">
        <v>2776</v>
      </c>
      <c r="R475" s="2" t="s">
        <v>2776</v>
      </c>
      <c r="S475" s="4">
        <v>44837</v>
      </c>
    </row>
    <row r="476" spans="1:19" ht="12.5" x14ac:dyDescent="0.25">
      <c r="A476" s="14" t="str">
        <f>HYPERLINK("https://gerandofalcoes.my.salesforce.com/0014P00003YSp8mQAD", "0014P00003YSp8mQAD")</f>
        <v>0014P00003YSp8mQAD</v>
      </c>
      <c r="B476" s="2" t="s">
        <v>2599</v>
      </c>
      <c r="C476" s="2" t="s">
        <v>1800</v>
      </c>
      <c r="D476" s="2" t="s">
        <v>2</v>
      </c>
      <c r="E476" s="2">
        <v>19</v>
      </c>
      <c r="F476" s="2">
        <v>11</v>
      </c>
      <c r="G476" s="2">
        <v>4</v>
      </c>
      <c r="H476" s="2">
        <v>700</v>
      </c>
      <c r="I476" s="2">
        <v>160</v>
      </c>
      <c r="J476" s="2" t="s">
        <v>1671</v>
      </c>
      <c r="K476" s="2">
        <v>49</v>
      </c>
      <c r="L476" s="2">
        <v>10</v>
      </c>
      <c r="M476" s="2">
        <v>12</v>
      </c>
      <c r="N476" s="2">
        <v>10</v>
      </c>
      <c r="O476" s="2">
        <v>5</v>
      </c>
      <c r="P476" s="2">
        <v>12</v>
      </c>
      <c r="Q476" s="2" t="s">
        <v>2600</v>
      </c>
      <c r="R476" s="2" t="s">
        <v>2600</v>
      </c>
      <c r="S476" s="4">
        <v>44837</v>
      </c>
    </row>
    <row r="477" spans="1:19" ht="12.5" x14ac:dyDescent="0.25">
      <c r="A477" s="14" t="str">
        <f>HYPERLINK("https://gerandofalcoes.my.salesforce.com/0014P00003YSp8nQAD", "0014P00003YSp8nQAD")</f>
        <v>0014P00003YSp8nQAD</v>
      </c>
      <c r="B477" s="2" t="s">
        <v>2028</v>
      </c>
      <c r="C477" s="2" t="s">
        <v>423</v>
      </c>
      <c r="D477" s="2" t="s">
        <v>2</v>
      </c>
      <c r="E477" s="2">
        <v>23</v>
      </c>
      <c r="F477" s="2">
        <v>6</v>
      </c>
      <c r="G477" s="2">
        <v>5</v>
      </c>
      <c r="H477" s="2">
        <v>3000</v>
      </c>
      <c r="I477" s="2">
        <v>85</v>
      </c>
      <c r="J477" s="2" t="s">
        <v>1671</v>
      </c>
      <c r="K477" s="2">
        <v>45</v>
      </c>
      <c r="L477" s="2">
        <v>10</v>
      </c>
      <c r="M477" s="2">
        <v>10</v>
      </c>
      <c r="N477" s="2">
        <v>10</v>
      </c>
      <c r="O477" s="2">
        <v>5</v>
      </c>
      <c r="P477" s="2">
        <v>10</v>
      </c>
      <c r="Q477" s="2" t="s">
        <v>2029</v>
      </c>
      <c r="R477" s="2" t="s">
        <v>2030</v>
      </c>
      <c r="S477" s="4">
        <v>44837</v>
      </c>
    </row>
    <row r="478" spans="1:19" ht="12.5" x14ac:dyDescent="0.25">
      <c r="A478" s="14" t="str">
        <f>HYPERLINK("https://gerandofalcoes.my.salesforce.com/0014P00003YSp8pQAD", "0014P00003YSp8pQAD")</f>
        <v>0014P00003YSp8pQAD</v>
      </c>
      <c r="B478" s="2" t="s">
        <v>2644</v>
      </c>
      <c r="C478" s="2" t="s">
        <v>1800</v>
      </c>
      <c r="D478" s="2" t="s">
        <v>2</v>
      </c>
      <c r="E478" s="2">
        <v>18</v>
      </c>
      <c r="F478" s="2">
        <v>0</v>
      </c>
      <c r="G478" s="2">
        <v>2</v>
      </c>
      <c r="H478" s="2">
        <v>3000</v>
      </c>
      <c r="I478" s="2">
        <v>0</v>
      </c>
      <c r="J478" s="2" t="s">
        <v>1779</v>
      </c>
      <c r="K478" s="2">
        <v>21</v>
      </c>
      <c r="L478" s="2">
        <v>10</v>
      </c>
      <c r="M478" s="2">
        <v>0</v>
      </c>
      <c r="N478" s="2">
        <v>6</v>
      </c>
      <c r="O478" s="2">
        <v>5</v>
      </c>
      <c r="P478" s="2">
        <v>0</v>
      </c>
      <c r="Q478" s="2" t="s">
        <v>2645</v>
      </c>
      <c r="R478" s="2" t="s">
        <v>2646</v>
      </c>
      <c r="S478" s="4">
        <v>44837</v>
      </c>
    </row>
    <row r="479" spans="1:19" ht="12.5" x14ac:dyDescent="0.25">
      <c r="A479" s="14" t="str">
        <f>HYPERLINK("https://gerandofalcoes.my.salesforce.com/0014P00003YSp8qQAD", "0014P00003YSp8qQAD")</f>
        <v>0014P00003YSp8qQAD</v>
      </c>
      <c r="B479" s="2" t="s">
        <v>2890</v>
      </c>
      <c r="C479" s="2" t="s">
        <v>423</v>
      </c>
      <c r="D479" s="2" t="s">
        <v>2</v>
      </c>
      <c r="E479" s="2">
        <v>33</v>
      </c>
      <c r="F479" s="2">
        <v>0</v>
      </c>
      <c r="G479" s="2">
        <v>2</v>
      </c>
      <c r="H479" s="2">
        <v>3000</v>
      </c>
      <c r="I479" s="2">
        <v>300</v>
      </c>
      <c r="J479" s="2" t="s">
        <v>1671</v>
      </c>
      <c r="K479" s="2">
        <v>41</v>
      </c>
      <c r="L479" s="2">
        <v>15</v>
      </c>
      <c r="M479" s="2">
        <v>0</v>
      </c>
      <c r="N479" s="2">
        <v>6</v>
      </c>
      <c r="O479" s="2">
        <v>5</v>
      </c>
      <c r="P479" s="2">
        <v>15</v>
      </c>
      <c r="Q479" s="2" t="s">
        <v>2891</v>
      </c>
      <c r="R479" s="2" t="s">
        <v>2892</v>
      </c>
      <c r="S479" s="4">
        <v>44837</v>
      </c>
    </row>
    <row r="480" spans="1:19" ht="12.5" x14ac:dyDescent="0.25">
      <c r="A480" s="14" t="str">
        <f>HYPERLINK("https://gerandofalcoes.my.salesforce.com/0014P00003YSp8rQAD", "0014P00003YSp8rQAD")</f>
        <v>0014P00003YSp8rQAD</v>
      </c>
      <c r="B480" s="2" t="s">
        <v>2365</v>
      </c>
      <c r="C480" s="2" t="s">
        <v>423</v>
      </c>
      <c r="D480" s="2" t="s">
        <v>2</v>
      </c>
      <c r="E480" s="2">
        <v>36</v>
      </c>
      <c r="F480" s="2">
        <v>2</v>
      </c>
      <c r="G480" s="2">
        <v>4</v>
      </c>
      <c r="H480" s="2">
        <v>65000</v>
      </c>
      <c r="I480" s="2">
        <v>150</v>
      </c>
      <c r="J480" s="2" t="s">
        <v>1671</v>
      </c>
      <c r="K480" s="2">
        <v>52</v>
      </c>
      <c r="L480" s="2">
        <v>15</v>
      </c>
      <c r="M480" s="2">
        <v>5</v>
      </c>
      <c r="N480" s="2">
        <v>10</v>
      </c>
      <c r="O480" s="2">
        <v>10</v>
      </c>
      <c r="P480" s="2">
        <v>12</v>
      </c>
      <c r="Q480" s="2" t="s">
        <v>2366</v>
      </c>
      <c r="R480" s="2" t="s">
        <v>2367</v>
      </c>
      <c r="S480" s="4">
        <v>44837</v>
      </c>
    </row>
    <row r="481" spans="1:19" ht="12.5" x14ac:dyDescent="0.25">
      <c r="A481" s="14" t="str">
        <f>HYPERLINK("https://gerandofalcoes.my.salesforce.com/0014P00003YSp8tQAD", "0014P00003YSp8tQAD")</f>
        <v>0014P00003YSp8tQAD</v>
      </c>
      <c r="B481" s="2" t="s">
        <v>2622</v>
      </c>
      <c r="C481" s="2" t="s">
        <v>423</v>
      </c>
      <c r="D481" s="2" t="s">
        <v>2</v>
      </c>
      <c r="E481" s="2">
        <v>22</v>
      </c>
      <c r="F481" s="2">
        <v>0</v>
      </c>
      <c r="G481" s="2">
        <v>2</v>
      </c>
      <c r="H481" s="2">
        <v>280000</v>
      </c>
      <c r="I481" s="2">
        <v>188</v>
      </c>
      <c r="J481" s="2" t="s">
        <v>1671</v>
      </c>
      <c r="K481" s="2">
        <v>43</v>
      </c>
      <c r="L481" s="2">
        <v>10</v>
      </c>
      <c r="M481" s="2">
        <v>0</v>
      </c>
      <c r="N481" s="2">
        <v>6</v>
      </c>
      <c r="O481" s="2">
        <v>15</v>
      </c>
      <c r="P481" s="2">
        <v>12</v>
      </c>
      <c r="Q481" s="2" t="s">
        <v>2623</v>
      </c>
      <c r="R481" s="2" t="s">
        <v>2624</v>
      </c>
      <c r="S481" s="4">
        <v>44837</v>
      </c>
    </row>
    <row r="482" spans="1:19" ht="12.5" x14ac:dyDescent="0.25">
      <c r="A482" s="14" t="str">
        <f>HYPERLINK("https://gerandofalcoes.my.salesforce.com/0014P00003YSp8uQAD", "0014P00003YSp8uQAD")</f>
        <v>0014P00003YSp8uQAD</v>
      </c>
      <c r="B482" s="2" t="s">
        <v>2161</v>
      </c>
      <c r="C482" s="2" t="s">
        <v>1800</v>
      </c>
      <c r="D482" s="2" t="s">
        <v>2</v>
      </c>
      <c r="E482" s="2">
        <v>33</v>
      </c>
      <c r="F482" s="2">
        <v>38</v>
      </c>
      <c r="G482" s="2">
        <v>3</v>
      </c>
      <c r="H482" s="2">
        <v>1726721</v>
      </c>
      <c r="I482" s="2">
        <v>1200</v>
      </c>
      <c r="J482" s="2" t="s">
        <v>1654</v>
      </c>
      <c r="K482" s="2">
        <v>83</v>
      </c>
      <c r="L482" s="2">
        <v>15</v>
      </c>
      <c r="M482" s="2">
        <v>15</v>
      </c>
      <c r="N482" s="2">
        <v>8</v>
      </c>
      <c r="O482" s="2">
        <v>25</v>
      </c>
      <c r="P482" s="2">
        <v>20</v>
      </c>
      <c r="Q482" s="2" t="s">
        <v>2162</v>
      </c>
      <c r="R482" s="2" t="s">
        <v>2163</v>
      </c>
      <c r="S482" s="4">
        <v>44837</v>
      </c>
    </row>
    <row r="483" spans="1:19" ht="12.5" x14ac:dyDescent="0.25">
      <c r="A483" s="14" t="str">
        <f>HYPERLINK("https://gerandofalcoes.my.salesforce.com/0014X00002VKCsBQAX", "0014X00002VKCsBQAX")</f>
        <v>0014X00002VKCsBQAX</v>
      </c>
      <c r="B483" s="2" t="s">
        <v>2740</v>
      </c>
      <c r="C483" s="2" t="s">
        <v>423</v>
      </c>
      <c r="D483" s="2" t="s">
        <v>2</v>
      </c>
      <c r="E483" s="2">
        <v>33</v>
      </c>
      <c r="F483" s="2">
        <v>1</v>
      </c>
      <c r="G483" s="2">
        <v>3</v>
      </c>
      <c r="H483" s="2">
        <v>36000</v>
      </c>
      <c r="I483" s="2">
        <v>140</v>
      </c>
      <c r="J483" s="2" t="s">
        <v>1671</v>
      </c>
      <c r="K483" s="2">
        <v>48</v>
      </c>
      <c r="L483" s="2">
        <v>15</v>
      </c>
      <c r="M483" s="2">
        <v>5</v>
      </c>
      <c r="N483" s="2">
        <v>8</v>
      </c>
      <c r="O483" s="2">
        <v>10</v>
      </c>
      <c r="P483" s="2">
        <v>10</v>
      </c>
      <c r="Q483" s="2" t="s">
        <v>2741</v>
      </c>
      <c r="R483" s="2" t="s">
        <v>2742</v>
      </c>
      <c r="S483" s="4">
        <v>44837</v>
      </c>
    </row>
    <row r="484" spans="1:19" ht="12.5" x14ac:dyDescent="0.25">
      <c r="A484" s="14" t="str">
        <f>HYPERLINK("https://gerandofalcoes.my.salesforce.com/0014X00002VKCslQAH", "0014X00002VKCslQAH")</f>
        <v>0014X00002VKCslQAH</v>
      </c>
      <c r="B484" s="2" t="s">
        <v>2667</v>
      </c>
      <c r="C484" s="2" t="s">
        <v>1800</v>
      </c>
      <c r="D484" s="2" t="s">
        <v>2</v>
      </c>
      <c r="E484" s="2">
        <v>17</v>
      </c>
      <c r="F484" s="2">
        <v>0</v>
      </c>
      <c r="G484" s="2">
        <v>2</v>
      </c>
      <c r="H484" s="2">
        <v>18000</v>
      </c>
      <c r="I484" s="2">
        <v>10</v>
      </c>
      <c r="J484" s="2" t="s">
        <v>1779</v>
      </c>
      <c r="K484" s="2">
        <v>26</v>
      </c>
      <c r="L484" s="2">
        <v>10</v>
      </c>
      <c r="M484" s="2">
        <v>0</v>
      </c>
      <c r="N484" s="2">
        <v>6</v>
      </c>
      <c r="O484" s="2">
        <v>5</v>
      </c>
      <c r="P484" s="2">
        <v>5</v>
      </c>
      <c r="Q484" s="2" t="s">
        <v>2668</v>
      </c>
      <c r="R484" s="2" t="s">
        <v>2669</v>
      </c>
      <c r="S484" s="4">
        <v>44837</v>
      </c>
    </row>
    <row r="485" spans="1:19" ht="12.5" x14ac:dyDescent="0.25">
      <c r="A485" s="14" t="str">
        <f>HYPERLINK("https://gerandofalcoes.my.salesforce.com/0014X00002VKCv8QAH", "0014X00002VKCv8QAH")</f>
        <v>0014X00002VKCv8QAH</v>
      </c>
      <c r="B485" s="2" t="s">
        <v>2343</v>
      </c>
      <c r="C485" s="2" t="s">
        <v>423</v>
      </c>
      <c r="D485" s="2" t="s">
        <v>2</v>
      </c>
      <c r="E485" s="2">
        <v>19</v>
      </c>
      <c r="F485" s="2">
        <v>0</v>
      </c>
      <c r="G485" s="2">
        <v>6</v>
      </c>
      <c r="H485" s="2">
        <v>4000</v>
      </c>
      <c r="I485" s="2">
        <v>0</v>
      </c>
      <c r="J485" s="2" t="s">
        <v>1779</v>
      </c>
      <c r="K485" s="2">
        <v>25</v>
      </c>
      <c r="L485" s="2">
        <v>10</v>
      </c>
      <c r="M485" s="2">
        <v>0</v>
      </c>
      <c r="N485" s="2">
        <v>10</v>
      </c>
      <c r="O485" s="2">
        <v>5</v>
      </c>
      <c r="P485" s="2">
        <v>0</v>
      </c>
      <c r="Q485" s="2" t="s">
        <v>2344</v>
      </c>
      <c r="R485" s="2" t="s">
        <v>2345</v>
      </c>
      <c r="S485" s="4">
        <v>44837</v>
      </c>
    </row>
    <row r="486" spans="1:19" ht="12.5" x14ac:dyDescent="0.25">
      <c r="A486" s="14" t="str">
        <f>HYPERLINK("https://gerandofalcoes.my.salesforce.com/0014X00002VKCp4QAH", "0014X00002VKCp4QAH")</f>
        <v>0014X00002VKCp4QAH</v>
      </c>
      <c r="B486" s="2" t="s">
        <v>2518</v>
      </c>
      <c r="C486" s="2" t="s">
        <v>1800</v>
      </c>
      <c r="D486" s="2" t="s">
        <v>2</v>
      </c>
      <c r="E486" s="2">
        <v>21</v>
      </c>
      <c r="F486" s="2">
        <v>0</v>
      </c>
      <c r="G486" s="2">
        <v>2</v>
      </c>
      <c r="H486" s="2">
        <v>0</v>
      </c>
      <c r="I486" s="2">
        <v>70</v>
      </c>
      <c r="J486" s="2" t="s">
        <v>1779</v>
      </c>
      <c r="K486" s="2">
        <v>21</v>
      </c>
      <c r="L486" s="2">
        <v>10</v>
      </c>
      <c r="M486" s="2">
        <v>0</v>
      </c>
      <c r="N486" s="2">
        <v>6</v>
      </c>
      <c r="O486" s="2">
        <v>0</v>
      </c>
      <c r="P486" s="2">
        <v>5</v>
      </c>
      <c r="Q486" s="2" t="s">
        <v>2519</v>
      </c>
      <c r="R486" s="2" t="s">
        <v>2520</v>
      </c>
      <c r="S486" s="4">
        <v>44837</v>
      </c>
    </row>
    <row r="487" spans="1:19" ht="12.5" x14ac:dyDescent="0.25">
      <c r="A487" s="14" t="str">
        <f>HYPERLINK("https://gerandofalcoes.my.salesforce.com/0014X00002VKCucQAH", "0014X00002VKCucQAH")</f>
        <v>0014X00002VKCucQAH</v>
      </c>
      <c r="B487" s="2" t="s">
        <v>2944</v>
      </c>
      <c r="C487" s="2" t="s">
        <v>423</v>
      </c>
      <c r="D487" s="2" t="s">
        <v>2</v>
      </c>
      <c r="E487" s="2">
        <v>30</v>
      </c>
      <c r="F487" s="2">
        <v>0</v>
      </c>
      <c r="G487" s="2">
        <v>2</v>
      </c>
      <c r="H487" s="2">
        <v>300</v>
      </c>
      <c r="I487" s="2">
        <v>60</v>
      </c>
      <c r="J487" s="2" t="s">
        <v>1779</v>
      </c>
      <c r="K487" s="2">
        <v>31</v>
      </c>
      <c r="L487" s="2">
        <v>15</v>
      </c>
      <c r="M487" s="2">
        <v>0</v>
      </c>
      <c r="N487" s="2">
        <v>6</v>
      </c>
      <c r="O487" s="2">
        <v>5</v>
      </c>
      <c r="P487" s="2">
        <v>5</v>
      </c>
      <c r="Q487" s="2" t="s">
        <v>2945</v>
      </c>
      <c r="R487" s="2" t="s">
        <v>2946</v>
      </c>
      <c r="S487" s="4">
        <v>44837</v>
      </c>
    </row>
    <row r="488" spans="1:19" ht="12.5" x14ac:dyDescent="0.25">
      <c r="A488" s="14" t="str">
        <f>HYPERLINK("https://gerandofalcoes.my.salesforce.com/0014X00002VKCpQQAX", "0014X00002VKCpQQAX")</f>
        <v>0014X00002VKCpQQAX</v>
      </c>
      <c r="B488" s="2" t="s">
        <v>2004</v>
      </c>
      <c r="C488" s="2" t="s">
        <v>423</v>
      </c>
      <c r="D488" s="2" t="s">
        <v>2</v>
      </c>
      <c r="E488" s="2">
        <v>54</v>
      </c>
      <c r="F488" s="2">
        <v>0</v>
      </c>
      <c r="G488" s="2">
        <v>6</v>
      </c>
      <c r="H488" s="2">
        <v>14000</v>
      </c>
      <c r="I488" s="2">
        <v>125</v>
      </c>
      <c r="J488" s="2" t="s">
        <v>1671</v>
      </c>
      <c r="K488" s="2">
        <v>45</v>
      </c>
      <c r="L488" s="2">
        <v>20</v>
      </c>
      <c r="M488" s="2">
        <v>0</v>
      </c>
      <c r="N488" s="2">
        <v>10</v>
      </c>
      <c r="O488" s="2">
        <v>5</v>
      </c>
      <c r="P488" s="2">
        <v>10</v>
      </c>
      <c r="Q488" s="2" t="s">
        <v>2005</v>
      </c>
      <c r="R488" s="2" t="s">
        <v>2006</v>
      </c>
      <c r="S488" s="4">
        <v>44837</v>
      </c>
    </row>
    <row r="489" spans="1:19" ht="12.5" x14ac:dyDescent="0.25">
      <c r="A489" s="14" t="str">
        <f>HYPERLINK("https://gerandofalcoes.my.salesforce.com/0014X00002VKCqEQAX", "0014X00002VKCqEQAX")</f>
        <v>0014X00002VKCqEQAX</v>
      </c>
      <c r="B489" s="2" t="s">
        <v>2349</v>
      </c>
      <c r="C489" s="2" t="s">
        <v>1800</v>
      </c>
      <c r="D489" s="2" t="s">
        <v>2</v>
      </c>
      <c r="E489" s="2">
        <v>27</v>
      </c>
      <c r="F489" s="2">
        <v>0</v>
      </c>
      <c r="G489" s="2">
        <v>6</v>
      </c>
      <c r="H489" s="2">
        <v>18500</v>
      </c>
      <c r="I489" s="2">
        <v>116</v>
      </c>
      <c r="J489" s="2" t="s">
        <v>1671</v>
      </c>
      <c r="K489" s="2">
        <v>40</v>
      </c>
      <c r="L489" s="2">
        <v>15</v>
      </c>
      <c r="M489" s="2">
        <v>0</v>
      </c>
      <c r="N489" s="2">
        <v>10</v>
      </c>
      <c r="O489" s="2">
        <v>5</v>
      </c>
      <c r="P489" s="2">
        <v>10</v>
      </c>
      <c r="Q489" s="2" t="s">
        <v>2350</v>
      </c>
      <c r="R489" s="2" t="s">
        <v>2351</v>
      </c>
      <c r="S489" s="4">
        <v>44837</v>
      </c>
    </row>
    <row r="490" spans="1:19" ht="12.5" x14ac:dyDescent="0.25">
      <c r="A490" s="14" t="str">
        <f>HYPERLINK("https://gerandofalcoes.my.salesforce.com/0014X00002VKCuMQAX", "0014X00002VKCuMQAX")</f>
        <v>0014X00002VKCuMQAX</v>
      </c>
      <c r="B490" s="2" t="s">
        <v>2947</v>
      </c>
      <c r="C490" s="2" t="s">
        <v>423</v>
      </c>
      <c r="D490" s="2" t="s">
        <v>2</v>
      </c>
      <c r="E490" s="2">
        <v>43</v>
      </c>
      <c r="F490" s="2">
        <v>0</v>
      </c>
      <c r="G490" s="2">
        <v>7</v>
      </c>
      <c r="H490" s="2">
        <v>75</v>
      </c>
      <c r="I490" s="2">
        <v>358</v>
      </c>
      <c r="J490" s="2" t="s">
        <v>1671</v>
      </c>
      <c r="K490" s="2">
        <v>45</v>
      </c>
      <c r="L490" s="2">
        <v>15</v>
      </c>
      <c r="M490" s="2">
        <v>0</v>
      </c>
      <c r="N490" s="2">
        <v>10</v>
      </c>
      <c r="O490" s="2">
        <v>5</v>
      </c>
      <c r="P490" s="2">
        <v>15</v>
      </c>
      <c r="Q490" s="2" t="s">
        <v>2948</v>
      </c>
      <c r="R490" s="2" t="s">
        <v>2949</v>
      </c>
      <c r="S490" s="4">
        <v>44837</v>
      </c>
    </row>
    <row r="491" spans="1:19" ht="12.5" x14ac:dyDescent="0.25">
      <c r="A491" s="14" t="str">
        <f>HYPERLINK("https://gerandofalcoes.my.salesforce.com/0014X00002VKCqhQAH", "0014X00002VKCqhQAH")</f>
        <v>0014X00002VKCqhQAH</v>
      </c>
      <c r="B491" s="2" t="s">
        <v>2786</v>
      </c>
      <c r="C491" s="2" t="s">
        <v>423</v>
      </c>
      <c r="D491" s="2" t="s">
        <v>2</v>
      </c>
      <c r="E491" s="2">
        <v>48</v>
      </c>
      <c r="F491" s="2">
        <v>0</v>
      </c>
      <c r="G491" s="2">
        <v>4</v>
      </c>
      <c r="H491" s="2">
        <v>150</v>
      </c>
      <c r="I491" s="2">
        <v>255</v>
      </c>
      <c r="J491" s="2" t="s">
        <v>1671</v>
      </c>
      <c r="K491" s="2">
        <v>42</v>
      </c>
      <c r="L491" s="2">
        <v>15</v>
      </c>
      <c r="M491" s="2">
        <v>0</v>
      </c>
      <c r="N491" s="2">
        <v>10</v>
      </c>
      <c r="O491" s="2">
        <v>5</v>
      </c>
      <c r="P491" s="2">
        <v>12</v>
      </c>
      <c r="Q491" s="2" t="s">
        <v>2787</v>
      </c>
      <c r="R491" s="2" t="s">
        <v>2788</v>
      </c>
      <c r="S491" s="4">
        <v>44837</v>
      </c>
    </row>
    <row r="492" spans="1:19" ht="12.5" x14ac:dyDescent="0.25">
      <c r="A492" s="14" t="str">
        <f>HYPERLINK("https://gerandofalcoes.my.salesforce.com/0014X00002VKCqDQAX", "0014X00002VKCqDQAX")</f>
        <v>0014X00002VKCqDQAX</v>
      </c>
      <c r="B492" s="2" t="s">
        <v>2078</v>
      </c>
      <c r="C492" s="2" t="s">
        <v>423</v>
      </c>
      <c r="D492" s="2" t="s">
        <v>2</v>
      </c>
      <c r="E492" s="2">
        <v>36</v>
      </c>
      <c r="F492" s="2">
        <v>0</v>
      </c>
      <c r="G492" s="2">
        <v>3</v>
      </c>
      <c r="H492" s="2">
        <v>60000</v>
      </c>
      <c r="I492" s="2">
        <v>75</v>
      </c>
      <c r="J492" s="2" t="s">
        <v>1779</v>
      </c>
      <c r="K492" s="2">
        <v>38</v>
      </c>
      <c r="L492" s="2">
        <v>15</v>
      </c>
      <c r="M492" s="2">
        <v>0</v>
      </c>
      <c r="N492" s="2">
        <v>8</v>
      </c>
      <c r="O492" s="2">
        <v>10</v>
      </c>
      <c r="P492" s="2">
        <v>5</v>
      </c>
      <c r="Q492" s="2" t="s">
        <v>2079</v>
      </c>
      <c r="R492" s="2" t="s">
        <v>2080</v>
      </c>
      <c r="S492" s="4">
        <v>44837</v>
      </c>
    </row>
    <row r="493" spans="1:19" ht="12.5" x14ac:dyDescent="0.25">
      <c r="A493" s="14" t="str">
        <f>HYPERLINK("https://gerandofalcoes.my.salesforce.com/0014X00002VKCplQAH", "0014X00002VKCplQAH")</f>
        <v>0014X00002VKCplQAH</v>
      </c>
      <c r="B493" s="2" t="s">
        <v>2081</v>
      </c>
      <c r="C493" s="2" t="s">
        <v>1800</v>
      </c>
      <c r="D493" s="2" t="s">
        <v>2</v>
      </c>
      <c r="E493" s="2">
        <v>36</v>
      </c>
      <c r="F493" s="2">
        <v>20</v>
      </c>
      <c r="G493" s="2">
        <v>2</v>
      </c>
      <c r="H493" s="2">
        <v>300000</v>
      </c>
      <c r="I493" s="2">
        <v>50</v>
      </c>
      <c r="J493" s="2" t="s">
        <v>1671</v>
      </c>
      <c r="K493" s="2">
        <v>58</v>
      </c>
      <c r="L493" s="2">
        <v>15</v>
      </c>
      <c r="M493" s="2">
        <v>12</v>
      </c>
      <c r="N493" s="2">
        <v>6</v>
      </c>
      <c r="O493" s="2">
        <v>20</v>
      </c>
      <c r="P493" s="2">
        <v>5</v>
      </c>
      <c r="Q493" s="2" t="s">
        <v>2082</v>
      </c>
      <c r="R493" s="2" t="s">
        <v>2083</v>
      </c>
      <c r="S493" s="4">
        <v>44837</v>
      </c>
    </row>
    <row r="494" spans="1:19" ht="12.5" x14ac:dyDescent="0.25">
      <c r="A494" s="14" t="str">
        <f>HYPERLINK("https://gerandofalcoes.my.salesforce.com/0014X00002VKCqKQAX", "0014X00002VKCqKQAX")</f>
        <v>0014X00002VKCqKQAX</v>
      </c>
      <c r="B494" s="2" t="s">
        <v>2919</v>
      </c>
      <c r="C494" s="2" t="s">
        <v>423</v>
      </c>
      <c r="D494" s="2" t="s">
        <v>2</v>
      </c>
      <c r="E494" s="2">
        <v>21</v>
      </c>
      <c r="F494" s="2">
        <v>0</v>
      </c>
      <c r="G494" s="2">
        <v>3</v>
      </c>
      <c r="H494" s="2">
        <v>70000</v>
      </c>
      <c r="I494" s="2">
        <v>0</v>
      </c>
      <c r="J494" s="2" t="s">
        <v>1779</v>
      </c>
      <c r="K494" s="2">
        <v>28</v>
      </c>
      <c r="L494" s="2">
        <v>10</v>
      </c>
      <c r="M494" s="2">
        <v>0</v>
      </c>
      <c r="N494" s="2">
        <v>8</v>
      </c>
      <c r="O494" s="2">
        <v>10</v>
      </c>
      <c r="P494" s="2">
        <v>0</v>
      </c>
      <c r="Q494" s="2" t="s">
        <v>2920</v>
      </c>
      <c r="R494" s="2" t="s">
        <v>2921</v>
      </c>
      <c r="S494" s="4">
        <v>44837</v>
      </c>
    </row>
    <row r="495" spans="1:19" ht="12.5" x14ac:dyDescent="0.25">
      <c r="A495" s="14" t="str">
        <f>HYPERLINK("https://gerandofalcoes.my.salesforce.com/0014X00002VKCq4QAH", "0014X00002VKCq4QAH")</f>
        <v>0014X00002VKCq4QAH</v>
      </c>
      <c r="B495" s="2" t="s">
        <v>1980</v>
      </c>
      <c r="C495" s="2" t="s">
        <v>423</v>
      </c>
      <c r="D495" s="2" t="s">
        <v>2</v>
      </c>
      <c r="E495" s="2">
        <v>39</v>
      </c>
      <c r="F495" s="2">
        <v>0</v>
      </c>
      <c r="G495" s="2">
        <v>3</v>
      </c>
      <c r="H495" s="2">
        <v>30000</v>
      </c>
      <c r="I495" s="2">
        <v>560</v>
      </c>
      <c r="J495" s="2" t="s">
        <v>1671</v>
      </c>
      <c r="K495" s="2">
        <v>53</v>
      </c>
      <c r="L495" s="2">
        <v>15</v>
      </c>
      <c r="M495" s="2">
        <v>0</v>
      </c>
      <c r="N495" s="2">
        <v>8</v>
      </c>
      <c r="O495" s="2">
        <v>10</v>
      </c>
      <c r="P495" s="2">
        <v>20</v>
      </c>
      <c r="Q495" s="2" t="s">
        <v>1981</v>
      </c>
      <c r="R495" s="2" t="s">
        <v>1982</v>
      </c>
      <c r="S495" s="4">
        <v>44837</v>
      </c>
    </row>
    <row r="496" spans="1:19" ht="12.5" x14ac:dyDescent="0.25">
      <c r="A496" s="14" t="str">
        <f>HYPERLINK("https://gerandofalcoes.my.salesforce.com/0014X00002VKCpfQAH", "0014X00002VKCpfQAH")</f>
        <v>0014X00002VKCpfQAH</v>
      </c>
      <c r="B496" s="2" t="s">
        <v>1868</v>
      </c>
      <c r="C496" s="2" t="s">
        <v>423</v>
      </c>
      <c r="D496" s="2" t="s">
        <v>2</v>
      </c>
      <c r="E496" s="2">
        <v>40</v>
      </c>
      <c r="F496" s="2">
        <v>0</v>
      </c>
      <c r="G496" s="2">
        <v>2</v>
      </c>
      <c r="H496" s="2">
        <v>100</v>
      </c>
      <c r="I496" s="2">
        <v>77</v>
      </c>
      <c r="J496" s="2" t="s">
        <v>1779</v>
      </c>
      <c r="K496" s="2">
        <v>31</v>
      </c>
      <c r="L496" s="2">
        <v>15</v>
      </c>
      <c r="M496" s="2">
        <v>0</v>
      </c>
      <c r="N496" s="2">
        <v>6</v>
      </c>
      <c r="O496" s="2">
        <v>5</v>
      </c>
      <c r="P496" s="2">
        <v>5</v>
      </c>
      <c r="Q496" s="2" t="s">
        <v>1869</v>
      </c>
      <c r="R496" s="2" t="s">
        <v>1870</v>
      </c>
      <c r="S496" s="4">
        <v>44837</v>
      </c>
    </row>
    <row r="497" spans="1:19" ht="12.5" x14ac:dyDescent="0.25">
      <c r="A497" s="14" t="str">
        <f>HYPERLINK("https://gerandofalcoes.my.salesforce.com/0014X00002VKCtKQAX", "0014X00002VKCtKQAX")</f>
        <v>0014X00002VKCtKQAX</v>
      </c>
      <c r="B497" s="2" t="s">
        <v>2828</v>
      </c>
      <c r="C497" s="2" t="s">
        <v>423</v>
      </c>
      <c r="D497" s="2" t="s">
        <v>2</v>
      </c>
      <c r="E497" s="2">
        <v>25</v>
      </c>
      <c r="F497" s="2">
        <v>8</v>
      </c>
      <c r="G497" s="2">
        <v>2</v>
      </c>
      <c r="H497" s="2">
        <v>3000</v>
      </c>
      <c r="I497" s="2">
        <v>12</v>
      </c>
      <c r="J497" s="2" t="s">
        <v>1671</v>
      </c>
      <c r="K497" s="2">
        <v>41</v>
      </c>
      <c r="L497" s="2">
        <v>15</v>
      </c>
      <c r="M497" s="2">
        <v>10</v>
      </c>
      <c r="N497" s="2">
        <v>6</v>
      </c>
      <c r="O497" s="2">
        <v>5</v>
      </c>
      <c r="P497" s="2">
        <v>5</v>
      </c>
      <c r="Q497" s="2" t="s">
        <v>2829</v>
      </c>
      <c r="R497" s="2" t="s">
        <v>2829</v>
      </c>
      <c r="S497" s="4">
        <v>44837</v>
      </c>
    </row>
    <row r="498" spans="1:19" ht="12.5" x14ac:dyDescent="0.25">
      <c r="A498" s="14" t="str">
        <f>HYPERLINK("https://gerandofalcoes.my.salesforce.com/0014X00002VKCtmQAH", "0014X00002VKCtmQAH")</f>
        <v>0014X00002VKCtmQAH</v>
      </c>
      <c r="B498" s="2" t="s">
        <v>2571</v>
      </c>
      <c r="C498" s="2" t="s">
        <v>1800</v>
      </c>
      <c r="D498" s="2" t="s">
        <v>2</v>
      </c>
      <c r="E498" s="2">
        <v>20</v>
      </c>
      <c r="F498" s="2">
        <v>0</v>
      </c>
      <c r="G498" s="2">
        <v>2</v>
      </c>
      <c r="H498" s="2">
        <v>30000</v>
      </c>
      <c r="I498" s="2">
        <v>0</v>
      </c>
      <c r="J498" s="2" t="s">
        <v>1779</v>
      </c>
      <c r="K498" s="2">
        <v>26</v>
      </c>
      <c r="L498" s="2">
        <v>10</v>
      </c>
      <c r="M498" s="2">
        <v>0</v>
      </c>
      <c r="N498" s="2">
        <v>6</v>
      </c>
      <c r="O498" s="2">
        <v>10</v>
      </c>
      <c r="P498" s="2">
        <v>0</v>
      </c>
      <c r="Q498" s="2" t="s">
        <v>2572</v>
      </c>
      <c r="R498" s="2" t="s">
        <v>2572</v>
      </c>
      <c r="S498" s="4">
        <v>44837</v>
      </c>
    </row>
    <row r="499" spans="1:19" ht="12.5" x14ac:dyDescent="0.25">
      <c r="A499" s="14" t="str">
        <f>HYPERLINK("https://gerandofalcoes.my.salesforce.com/0014X00002VKCq0QAH", "0014X00002VKCq0QAH")</f>
        <v>0014X00002VKCq0QAH</v>
      </c>
      <c r="B499" s="2" t="s">
        <v>2930</v>
      </c>
      <c r="C499" s="2" t="s">
        <v>1800</v>
      </c>
      <c r="D499" s="2" t="s">
        <v>2</v>
      </c>
      <c r="E499" s="2">
        <v>6</v>
      </c>
      <c r="F499" s="2">
        <v>2</v>
      </c>
      <c r="G499" s="2">
        <v>3</v>
      </c>
      <c r="H499" s="2">
        <v>929000</v>
      </c>
      <c r="I499" s="2">
        <v>300</v>
      </c>
      <c r="J499" s="2" t="s">
        <v>1671</v>
      </c>
      <c r="K499" s="2">
        <v>63</v>
      </c>
      <c r="L499" s="2">
        <v>10</v>
      </c>
      <c r="M499" s="2">
        <v>5</v>
      </c>
      <c r="N499" s="2">
        <v>8</v>
      </c>
      <c r="O499" s="2">
        <v>25</v>
      </c>
      <c r="P499" s="2">
        <v>15</v>
      </c>
      <c r="Q499" s="2" t="s">
        <v>2931</v>
      </c>
      <c r="R499" s="2" t="s">
        <v>2932</v>
      </c>
      <c r="S499" s="4">
        <v>44837</v>
      </c>
    </row>
    <row r="500" spans="1:19" ht="12.5" x14ac:dyDescent="0.25">
      <c r="A500" s="14" t="str">
        <f>HYPERLINK("https://gerandofalcoes.my.salesforce.com/0014X00002VKCrRQAX", "0014X00002VKCrRQAX")</f>
        <v>0014X00002VKCrRQAX</v>
      </c>
      <c r="B500" s="2" t="s">
        <v>1864</v>
      </c>
      <c r="C500" s="2" t="s">
        <v>423</v>
      </c>
      <c r="D500" s="2" t="s">
        <v>2</v>
      </c>
      <c r="E500" s="2">
        <v>43</v>
      </c>
      <c r="F500" s="2">
        <v>0</v>
      </c>
      <c r="G500" s="2">
        <v>2</v>
      </c>
      <c r="H500" s="2">
        <v>5000</v>
      </c>
      <c r="I500" s="2">
        <v>598</v>
      </c>
      <c r="J500" s="2" t="s">
        <v>1671</v>
      </c>
      <c r="K500" s="2">
        <v>46</v>
      </c>
      <c r="L500" s="2">
        <v>15</v>
      </c>
      <c r="M500" s="2">
        <v>0</v>
      </c>
      <c r="N500" s="2">
        <v>6</v>
      </c>
      <c r="O500" s="2">
        <v>5</v>
      </c>
      <c r="P500" s="2">
        <v>20</v>
      </c>
      <c r="Q500" s="2" t="s">
        <v>1865</v>
      </c>
      <c r="R500" s="2" t="s">
        <v>1866</v>
      </c>
      <c r="S500" s="4">
        <v>44837</v>
      </c>
    </row>
    <row r="501" spans="1:19" ht="12.5" x14ac:dyDescent="0.25">
      <c r="A501" s="14" t="str">
        <f>HYPERLINK("https://gerandofalcoes.my.salesforce.com/0014X00002VKCutQAH", "0014X00002VKCutQAH")</f>
        <v>0014X00002VKCutQAH</v>
      </c>
      <c r="B501" s="2" t="s">
        <v>2205</v>
      </c>
      <c r="C501" s="2" t="s">
        <v>423</v>
      </c>
      <c r="D501" s="2" t="s">
        <v>2</v>
      </c>
      <c r="E501" s="2">
        <v>45</v>
      </c>
      <c r="F501" s="2">
        <v>8</v>
      </c>
      <c r="G501" s="2">
        <v>6</v>
      </c>
      <c r="H501" s="2">
        <v>145143</v>
      </c>
      <c r="I501" s="2">
        <v>65</v>
      </c>
      <c r="J501" s="2" t="s">
        <v>1671</v>
      </c>
      <c r="K501" s="2">
        <v>55</v>
      </c>
      <c r="L501" s="2">
        <v>15</v>
      </c>
      <c r="M501" s="2">
        <v>10</v>
      </c>
      <c r="N501" s="2">
        <v>10</v>
      </c>
      <c r="O501" s="2">
        <v>15</v>
      </c>
      <c r="P501" s="2">
        <v>5</v>
      </c>
      <c r="Q501" s="2" t="s">
        <v>2206</v>
      </c>
      <c r="R501" s="2" t="s">
        <v>2207</v>
      </c>
      <c r="S501" s="4">
        <v>44837</v>
      </c>
    </row>
    <row r="502" spans="1:19" ht="12.5" x14ac:dyDescent="0.25">
      <c r="A502" s="14" t="str">
        <f>HYPERLINK("https://gerandofalcoes.my.salesforce.com/0014X00002VKCpgQAH", "0014X00002VKCpgQAH")</f>
        <v>0014X00002VKCpgQAH</v>
      </c>
      <c r="B502" s="2" t="s">
        <v>2898</v>
      </c>
      <c r="C502" s="2" t="s">
        <v>423</v>
      </c>
      <c r="D502" s="2" t="s">
        <v>2</v>
      </c>
      <c r="E502" s="2">
        <v>29</v>
      </c>
      <c r="F502" s="2">
        <v>1</v>
      </c>
      <c r="G502" s="2">
        <v>2</v>
      </c>
      <c r="H502" s="2">
        <v>3000</v>
      </c>
      <c r="I502" s="2">
        <v>50</v>
      </c>
      <c r="J502" s="2" t="s">
        <v>1779</v>
      </c>
      <c r="K502" s="2">
        <v>36</v>
      </c>
      <c r="L502" s="2">
        <v>15</v>
      </c>
      <c r="M502" s="2">
        <v>5</v>
      </c>
      <c r="N502" s="2">
        <v>6</v>
      </c>
      <c r="O502" s="2">
        <v>5</v>
      </c>
      <c r="P502" s="2">
        <v>5</v>
      </c>
      <c r="Q502" s="2" t="s">
        <v>2899</v>
      </c>
      <c r="R502" s="2" t="s">
        <v>2899</v>
      </c>
      <c r="S502" s="4">
        <v>44837</v>
      </c>
    </row>
    <row r="503" spans="1:19" ht="12.5" x14ac:dyDescent="0.25">
      <c r="A503" s="14" t="str">
        <f>HYPERLINK("https://gerandofalcoes.my.salesforce.com/0014X00002VKCtGQAX", "0014X00002VKCtGQAX")</f>
        <v>0014X00002VKCtGQAX</v>
      </c>
      <c r="B503" s="2" t="s">
        <v>2459</v>
      </c>
      <c r="C503" s="2" t="s">
        <v>1800</v>
      </c>
      <c r="D503" s="2" t="s">
        <v>2</v>
      </c>
      <c r="E503" s="2">
        <v>23</v>
      </c>
      <c r="F503" s="2">
        <v>0</v>
      </c>
      <c r="G503" s="2">
        <v>4</v>
      </c>
      <c r="H503" s="2">
        <v>2000</v>
      </c>
      <c r="I503" s="2">
        <v>90</v>
      </c>
      <c r="J503" s="2" t="s">
        <v>1779</v>
      </c>
      <c r="K503" s="2">
        <v>35</v>
      </c>
      <c r="L503" s="2">
        <v>10</v>
      </c>
      <c r="M503" s="2">
        <v>0</v>
      </c>
      <c r="N503" s="2">
        <v>10</v>
      </c>
      <c r="O503" s="2">
        <v>5</v>
      </c>
      <c r="P503" s="2">
        <v>10</v>
      </c>
      <c r="Q503" s="2" t="s">
        <v>2460</v>
      </c>
      <c r="R503" s="2" t="s">
        <v>2461</v>
      </c>
      <c r="S503" s="4">
        <v>44837</v>
      </c>
    </row>
    <row r="504" spans="1:19" ht="12.5" x14ac:dyDescent="0.25">
      <c r="A504" s="14" t="str">
        <f>HYPERLINK("https://gerandofalcoes.my.salesforce.com/0014P00003YSp8vQAD", "0014P00003YSp8vQAD")</f>
        <v>0014P00003YSp8vQAD</v>
      </c>
      <c r="B504" s="2" t="s">
        <v>2019</v>
      </c>
      <c r="C504" s="2" t="s">
        <v>1800</v>
      </c>
      <c r="D504" s="2" t="s">
        <v>2</v>
      </c>
      <c r="E504" s="2">
        <v>38</v>
      </c>
      <c r="F504" s="2">
        <v>2</v>
      </c>
      <c r="G504" s="2">
        <v>2</v>
      </c>
      <c r="H504" s="2">
        <v>5000</v>
      </c>
      <c r="I504" s="2">
        <v>0</v>
      </c>
      <c r="J504" s="2" t="s">
        <v>1779</v>
      </c>
      <c r="K504" s="2">
        <v>31</v>
      </c>
      <c r="L504" s="2">
        <v>15</v>
      </c>
      <c r="M504" s="2">
        <v>5</v>
      </c>
      <c r="N504" s="2">
        <v>6</v>
      </c>
      <c r="O504" s="2">
        <v>5</v>
      </c>
      <c r="P504" s="2">
        <v>0</v>
      </c>
      <c r="Q504" s="2" t="s">
        <v>2020</v>
      </c>
      <c r="R504" s="2" t="s">
        <v>2021</v>
      </c>
      <c r="S504" s="4">
        <v>44837</v>
      </c>
    </row>
    <row r="505" spans="1:19" ht="12.5" x14ac:dyDescent="0.25">
      <c r="A505" s="14" t="str">
        <f>HYPERLINK("https://gerandofalcoes.my.salesforce.com/0014P00003YSp8wQAD", "0014P00003YSp8wQAD")</f>
        <v>0014P00003YSp8wQAD</v>
      </c>
      <c r="B505" s="2" t="s">
        <v>2686</v>
      </c>
      <c r="C505" s="2" t="s">
        <v>1800</v>
      </c>
      <c r="D505" s="2" t="s">
        <v>2</v>
      </c>
      <c r="E505" s="2">
        <v>16</v>
      </c>
      <c r="F505" s="2">
        <v>8</v>
      </c>
      <c r="G505" s="2">
        <v>2</v>
      </c>
      <c r="H505" s="2">
        <v>55000</v>
      </c>
      <c r="I505" s="2">
        <v>3000</v>
      </c>
      <c r="J505" s="2" t="s">
        <v>1671</v>
      </c>
      <c r="K505" s="2">
        <v>56</v>
      </c>
      <c r="L505" s="2">
        <v>10</v>
      </c>
      <c r="M505" s="2">
        <v>10</v>
      </c>
      <c r="N505" s="2">
        <v>6</v>
      </c>
      <c r="O505" s="2">
        <v>10</v>
      </c>
      <c r="P505" s="2">
        <v>20</v>
      </c>
      <c r="Q505" s="2" t="s">
        <v>2687</v>
      </c>
      <c r="R505" s="2" t="s">
        <v>2688</v>
      </c>
      <c r="S505" s="4">
        <v>44837</v>
      </c>
    </row>
    <row r="506" spans="1:19" ht="12.5" x14ac:dyDescent="0.25">
      <c r="A506" s="14" t="str">
        <f>HYPERLINK("https://gerandofalcoes.my.salesforce.com/0014P00003YSp8yQAD", "0014P00003YSp8yQAD")</f>
        <v>0014P00003YSp8yQAD</v>
      </c>
      <c r="B506" s="2" t="s">
        <v>2536</v>
      </c>
      <c r="C506" s="2" t="s">
        <v>1800</v>
      </c>
      <c r="D506" s="2" t="s">
        <v>2</v>
      </c>
      <c r="E506" s="2">
        <v>21</v>
      </c>
      <c r="F506" s="2">
        <v>2</v>
      </c>
      <c r="G506" s="2">
        <v>2</v>
      </c>
      <c r="H506" s="2">
        <v>0</v>
      </c>
      <c r="I506" s="2">
        <v>0</v>
      </c>
      <c r="J506" s="2" t="s">
        <v>1779</v>
      </c>
      <c r="K506" s="2">
        <v>21</v>
      </c>
      <c r="L506" s="2">
        <v>10</v>
      </c>
      <c r="M506" s="2">
        <v>5</v>
      </c>
      <c r="N506" s="2">
        <v>6</v>
      </c>
      <c r="O506" s="2">
        <v>0</v>
      </c>
      <c r="P506" s="2">
        <v>0</v>
      </c>
      <c r="Q506" s="2" t="s">
        <v>2537</v>
      </c>
      <c r="R506" s="2" t="s">
        <v>2538</v>
      </c>
      <c r="S506" s="4">
        <v>44837</v>
      </c>
    </row>
    <row r="507" spans="1:19" ht="12.5" x14ac:dyDescent="0.25">
      <c r="A507" s="14" t="str">
        <f>HYPERLINK("https://gerandofalcoes.my.salesforce.com/0014P00003YSp8zQAD", "0014P00003YSp8zQAD")</f>
        <v>0014P00003YSp8zQAD</v>
      </c>
      <c r="B507" s="2" t="s">
        <v>2087</v>
      </c>
      <c r="C507" s="2" t="s">
        <v>423</v>
      </c>
      <c r="D507" s="2" t="s">
        <v>2</v>
      </c>
      <c r="E507" s="2">
        <v>29</v>
      </c>
      <c r="F507" s="2">
        <v>10</v>
      </c>
      <c r="G507" s="2">
        <v>2</v>
      </c>
      <c r="H507" s="2">
        <v>11000</v>
      </c>
      <c r="I507" s="2">
        <v>120</v>
      </c>
      <c r="J507" s="2" t="s">
        <v>1671</v>
      </c>
      <c r="K507" s="2">
        <v>46</v>
      </c>
      <c r="L507" s="2">
        <v>15</v>
      </c>
      <c r="M507" s="2">
        <v>10</v>
      </c>
      <c r="N507" s="2">
        <v>6</v>
      </c>
      <c r="O507" s="2">
        <v>5</v>
      </c>
      <c r="P507" s="2">
        <v>10</v>
      </c>
      <c r="Q507" s="2" t="s">
        <v>2088</v>
      </c>
      <c r="R507" s="2" t="s">
        <v>2089</v>
      </c>
      <c r="S507" s="4">
        <v>44837</v>
      </c>
    </row>
    <row r="508" spans="1:19" ht="12.5" x14ac:dyDescent="0.25">
      <c r="A508" s="14" t="str">
        <f>HYPERLINK("https://gerandofalcoes.my.salesforce.com/0014P00003YSp90QAD", "0014P00003YSp90QAD")</f>
        <v>0014P00003YSp90QAD</v>
      </c>
      <c r="B508" s="2" t="s">
        <v>2175</v>
      </c>
      <c r="C508" s="2" t="s">
        <v>1800</v>
      </c>
      <c r="D508" s="2" t="s">
        <v>2</v>
      </c>
      <c r="E508" s="2">
        <v>33</v>
      </c>
      <c r="F508" s="2">
        <v>41</v>
      </c>
      <c r="G508" s="2">
        <v>4</v>
      </c>
      <c r="H508" s="2">
        <v>0</v>
      </c>
      <c r="I508" s="2">
        <v>98</v>
      </c>
      <c r="J508" s="2" t="s">
        <v>1671</v>
      </c>
      <c r="K508" s="2">
        <v>50</v>
      </c>
      <c r="L508" s="2">
        <v>15</v>
      </c>
      <c r="M508" s="2">
        <v>15</v>
      </c>
      <c r="N508" s="2">
        <v>10</v>
      </c>
      <c r="O508" s="2">
        <v>0</v>
      </c>
      <c r="P508" s="2">
        <v>10</v>
      </c>
      <c r="Q508" s="2" t="s">
        <v>2176</v>
      </c>
      <c r="R508" s="2" t="s">
        <v>2177</v>
      </c>
      <c r="S508" s="4">
        <v>44837</v>
      </c>
    </row>
    <row r="509" spans="1:19" ht="12.5" x14ac:dyDescent="0.25">
      <c r="A509" s="14" t="str">
        <f>HYPERLINK("https://gerandofalcoes.my.salesforce.com/0014P00003YSp91QAD", "0014P00003YSp91QAD")</f>
        <v>0014P00003YSp91QAD</v>
      </c>
      <c r="B509" s="2" t="s">
        <v>2697</v>
      </c>
      <c r="C509" s="2" t="s">
        <v>423</v>
      </c>
      <c r="D509" s="2" t="s">
        <v>2</v>
      </c>
      <c r="E509" s="2">
        <v>19</v>
      </c>
      <c r="F509" s="2">
        <v>8</v>
      </c>
      <c r="G509" s="2">
        <v>2</v>
      </c>
      <c r="H509" s="2">
        <v>15000</v>
      </c>
      <c r="I509" s="2">
        <v>150</v>
      </c>
      <c r="J509" s="2" t="s">
        <v>1671</v>
      </c>
      <c r="K509" s="2">
        <v>43</v>
      </c>
      <c r="L509" s="2">
        <v>10</v>
      </c>
      <c r="M509" s="2">
        <v>10</v>
      </c>
      <c r="N509" s="2">
        <v>6</v>
      </c>
      <c r="O509" s="2">
        <v>5</v>
      </c>
      <c r="P509" s="2">
        <v>12</v>
      </c>
      <c r="Q509" s="2" t="s">
        <v>2698</v>
      </c>
      <c r="R509" s="2" t="s">
        <v>2699</v>
      </c>
      <c r="S509" s="4">
        <v>44837</v>
      </c>
    </row>
    <row r="510" spans="1:19" ht="12.5" x14ac:dyDescent="0.25">
      <c r="A510" s="14" t="str">
        <f>HYPERLINK("https://gerandofalcoes.my.salesforce.com/0014P00003YSp92QAD", "0014P00003YSp92QAD")</f>
        <v>0014P00003YSp92QAD</v>
      </c>
      <c r="B510" s="2" t="s">
        <v>1892</v>
      </c>
      <c r="C510" s="2" t="s">
        <v>423</v>
      </c>
      <c r="D510" s="2" t="s">
        <v>2</v>
      </c>
      <c r="E510" s="2">
        <v>37</v>
      </c>
      <c r="F510" s="2">
        <v>2</v>
      </c>
      <c r="G510" s="2">
        <v>2</v>
      </c>
      <c r="H510" s="2">
        <v>1000</v>
      </c>
      <c r="I510" s="2">
        <v>195</v>
      </c>
      <c r="J510" s="2" t="s">
        <v>1671</v>
      </c>
      <c r="K510" s="2">
        <v>43</v>
      </c>
      <c r="L510" s="2">
        <v>15</v>
      </c>
      <c r="M510" s="2">
        <v>5</v>
      </c>
      <c r="N510" s="2">
        <v>6</v>
      </c>
      <c r="O510" s="2">
        <v>5</v>
      </c>
      <c r="P510" s="2">
        <v>12</v>
      </c>
      <c r="Q510" s="2" t="s">
        <v>1893</v>
      </c>
      <c r="R510" s="2" t="s">
        <v>1894</v>
      </c>
      <c r="S510" s="4">
        <v>44837</v>
      </c>
    </row>
    <row r="511" spans="1:19" ht="12.5" x14ac:dyDescent="0.25">
      <c r="A511" s="14" t="str">
        <f>HYPERLINK("https://gerandofalcoes.my.salesforce.com/0014P00003YSp94QAD", "0014P00003YSp94QAD")</f>
        <v>0014P00003YSp94QAD</v>
      </c>
      <c r="B511" s="2" t="s">
        <v>2131</v>
      </c>
      <c r="C511" s="2" t="s">
        <v>1800</v>
      </c>
      <c r="D511" s="2" t="s">
        <v>2</v>
      </c>
      <c r="E511" s="2">
        <v>34</v>
      </c>
      <c r="F511" s="2">
        <v>0</v>
      </c>
      <c r="G511" s="2">
        <v>2</v>
      </c>
      <c r="H511" s="2">
        <v>25000</v>
      </c>
      <c r="I511" s="2">
        <v>600</v>
      </c>
      <c r="J511" s="2" t="s">
        <v>1671</v>
      </c>
      <c r="K511" s="2">
        <v>51</v>
      </c>
      <c r="L511" s="2">
        <v>15</v>
      </c>
      <c r="M511" s="2">
        <v>0</v>
      </c>
      <c r="N511" s="2">
        <v>6</v>
      </c>
      <c r="O511" s="2">
        <v>10</v>
      </c>
      <c r="P511" s="2">
        <v>20</v>
      </c>
      <c r="Q511" s="2" t="s">
        <v>2132</v>
      </c>
      <c r="R511" s="2" t="s">
        <v>2132</v>
      </c>
      <c r="S511" s="4">
        <v>44837</v>
      </c>
    </row>
    <row r="512" spans="1:19" ht="12.5" x14ac:dyDescent="0.25">
      <c r="A512" s="14" t="str">
        <f>HYPERLINK("https://gerandofalcoes.my.salesforce.com/0014P00003YSp95QAD", "0014P00003YSp95QAD")</f>
        <v>0014P00003YSp95QAD</v>
      </c>
      <c r="B512" s="2" t="s">
        <v>1861</v>
      </c>
      <c r="C512" s="2" t="s">
        <v>423</v>
      </c>
      <c r="D512" s="2" t="s">
        <v>2</v>
      </c>
      <c r="E512" s="2">
        <v>36</v>
      </c>
      <c r="F512" s="2">
        <v>8</v>
      </c>
      <c r="G512" s="2">
        <v>2</v>
      </c>
      <c r="H512" s="2">
        <v>12000</v>
      </c>
      <c r="I512" s="2">
        <v>19</v>
      </c>
      <c r="J512" s="2" t="s">
        <v>1671</v>
      </c>
      <c r="K512" s="2">
        <v>41</v>
      </c>
      <c r="L512" s="2">
        <v>15</v>
      </c>
      <c r="M512" s="2">
        <v>10</v>
      </c>
      <c r="N512" s="2">
        <v>6</v>
      </c>
      <c r="O512" s="2">
        <v>5</v>
      </c>
      <c r="P512" s="2">
        <v>5</v>
      </c>
      <c r="Q512" s="2" t="s">
        <v>1862</v>
      </c>
      <c r="R512" s="2" t="s">
        <v>1863</v>
      </c>
      <c r="S512" s="4">
        <v>44837</v>
      </c>
    </row>
    <row r="513" spans="1:19" ht="12.5" x14ac:dyDescent="0.25">
      <c r="A513" s="14" t="str">
        <f>HYPERLINK("https://gerandofalcoes.my.salesforce.com/0014P00003YSp97QAD", "0014P00003YSp97QAD")</f>
        <v>0014P00003YSp97QAD</v>
      </c>
      <c r="B513" s="2" t="s">
        <v>2013</v>
      </c>
      <c r="C513" s="2" t="s">
        <v>1800</v>
      </c>
      <c r="D513" s="2" t="s">
        <v>2</v>
      </c>
      <c r="E513" s="2">
        <v>38</v>
      </c>
      <c r="F513" s="2">
        <v>5</v>
      </c>
      <c r="G513" s="2">
        <v>3</v>
      </c>
      <c r="H513" s="2">
        <v>900000</v>
      </c>
      <c r="I513" s="2">
        <v>450</v>
      </c>
      <c r="J513" s="2" t="s">
        <v>1650</v>
      </c>
      <c r="K513" s="2">
        <v>73</v>
      </c>
      <c r="L513" s="2">
        <v>15</v>
      </c>
      <c r="M513" s="2">
        <v>5</v>
      </c>
      <c r="N513" s="2">
        <v>8</v>
      </c>
      <c r="O513" s="2">
        <v>25</v>
      </c>
      <c r="P513" s="2">
        <v>20</v>
      </c>
      <c r="Q513" s="2" t="s">
        <v>2014</v>
      </c>
      <c r="R513" s="2" t="s">
        <v>2015</v>
      </c>
      <c r="S513" s="4">
        <v>44837</v>
      </c>
    </row>
    <row r="514" spans="1:19" ht="12.5" x14ac:dyDescent="0.25">
      <c r="A514" s="14" t="str">
        <f>HYPERLINK("https://gerandofalcoes.my.salesforce.com/0014P00003YSp98QAD", "0014P00003YSp98QAD")</f>
        <v>0014P00003YSp98QAD</v>
      </c>
      <c r="B514" s="2" t="s">
        <v>2010</v>
      </c>
      <c r="C514" s="2" t="s">
        <v>423</v>
      </c>
      <c r="D514" s="2" t="s">
        <v>2</v>
      </c>
      <c r="E514" s="2">
        <v>38</v>
      </c>
      <c r="F514" s="2">
        <v>5</v>
      </c>
      <c r="G514" s="2">
        <v>2</v>
      </c>
      <c r="H514" s="2">
        <v>15000</v>
      </c>
      <c r="I514" s="2">
        <v>0</v>
      </c>
      <c r="J514" s="2" t="s">
        <v>1779</v>
      </c>
      <c r="K514" s="2">
        <v>31</v>
      </c>
      <c r="L514" s="2">
        <v>15</v>
      </c>
      <c r="M514" s="2">
        <v>5</v>
      </c>
      <c r="N514" s="2">
        <v>6</v>
      </c>
      <c r="O514" s="2">
        <v>5</v>
      </c>
      <c r="P514" s="2">
        <v>0</v>
      </c>
      <c r="Q514" s="2" t="s">
        <v>2011</v>
      </c>
      <c r="R514" s="2" t="s">
        <v>2012</v>
      </c>
      <c r="S514" s="4">
        <v>44837</v>
      </c>
    </row>
    <row r="515" spans="1:19" ht="12.5" x14ac:dyDescent="0.25">
      <c r="A515" s="14" t="str">
        <f>HYPERLINK("https://gerandofalcoes.my.salesforce.com/0014P00003YSp99QAD", "0014P00003YSp99QAD")</f>
        <v>0014P00003YSp99QAD</v>
      </c>
      <c r="B515" s="2" t="s">
        <v>1695</v>
      </c>
      <c r="C515" s="2" t="s">
        <v>423</v>
      </c>
      <c r="D515" s="2" t="s">
        <v>2</v>
      </c>
      <c r="E515" s="2">
        <v>41</v>
      </c>
      <c r="F515" s="2">
        <v>0</v>
      </c>
      <c r="G515" s="2">
        <v>3</v>
      </c>
      <c r="H515" s="2">
        <v>63964</v>
      </c>
      <c r="I515" s="2">
        <v>260</v>
      </c>
      <c r="J515" s="2" t="s">
        <v>1671</v>
      </c>
      <c r="K515" s="2">
        <v>45</v>
      </c>
      <c r="L515" s="2">
        <v>15</v>
      </c>
      <c r="M515" s="2">
        <v>0</v>
      </c>
      <c r="N515" s="2">
        <v>8</v>
      </c>
      <c r="O515" s="2">
        <v>10</v>
      </c>
      <c r="P515" s="2">
        <v>12</v>
      </c>
      <c r="Q515" s="2" t="s">
        <v>1696</v>
      </c>
      <c r="R515" s="2" t="s">
        <v>1697</v>
      </c>
      <c r="S515" s="4">
        <v>44837</v>
      </c>
    </row>
    <row r="516" spans="1:19" ht="12.5" x14ac:dyDescent="0.25">
      <c r="A516" s="14" t="str">
        <f>HYPERLINK("https://gerandofalcoes.my.salesforce.com/0014P00003YSp9AQAT", "0014P00003YSp9AQAT")</f>
        <v>0014P00003YSp9AQAT</v>
      </c>
      <c r="B516" s="2" t="s">
        <v>1957</v>
      </c>
      <c r="C516" s="2" t="s">
        <v>423</v>
      </c>
      <c r="D516" s="2" t="s">
        <v>2</v>
      </c>
      <c r="E516" s="2">
        <v>37</v>
      </c>
      <c r="F516" s="2">
        <v>0</v>
      </c>
      <c r="G516" s="2">
        <v>2</v>
      </c>
      <c r="H516" s="2">
        <v>1000</v>
      </c>
      <c r="I516" s="2">
        <v>40</v>
      </c>
      <c r="J516" s="2" t="s">
        <v>1779</v>
      </c>
      <c r="K516" s="2">
        <v>31</v>
      </c>
      <c r="L516" s="2">
        <v>15</v>
      </c>
      <c r="M516" s="2">
        <v>0</v>
      </c>
      <c r="N516" s="2">
        <v>6</v>
      </c>
      <c r="O516" s="2">
        <v>5</v>
      </c>
      <c r="P516" s="2">
        <v>5</v>
      </c>
      <c r="Q516" s="2" t="s">
        <v>1958</v>
      </c>
      <c r="R516" s="2" t="s">
        <v>1958</v>
      </c>
      <c r="S516" s="4">
        <v>44837</v>
      </c>
    </row>
    <row r="517" spans="1:19" ht="12.5" x14ac:dyDescent="0.25">
      <c r="A517" s="14" t="str">
        <f>HYPERLINK("https://gerandofalcoes.my.salesforce.com/0014P00003YSp9BQAT", "0014P00003YSp9BQAT")</f>
        <v>0014P00003YSp9BQAT</v>
      </c>
      <c r="B517" s="2" t="s">
        <v>2839</v>
      </c>
      <c r="C517" s="2" t="s">
        <v>1800</v>
      </c>
      <c r="D517" s="2" t="s">
        <v>2</v>
      </c>
      <c r="E517" s="2">
        <v>11</v>
      </c>
      <c r="F517" s="2">
        <v>24</v>
      </c>
      <c r="G517" s="2">
        <v>4</v>
      </c>
      <c r="H517" s="2">
        <v>200</v>
      </c>
      <c r="I517" s="2">
        <v>112</v>
      </c>
      <c r="J517" s="2" t="s">
        <v>1671</v>
      </c>
      <c r="K517" s="2">
        <v>47</v>
      </c>
      <c r="L517" s="2">
        <v>10</v>
      </c>
      <c r="M517" s="2">
        <v>12</v>
      </c>
      <c r="N517" s="2">
        <v>10</v>
      </c>
      <c r="O517" s="2">
        <v>5</v>
      </c>
      <c r="P517" s="2">
        <v>10</v>
      </c>
      <c r="Q517" s="2" t="s">
        <v>2840</v>
      </c>
      <c r="R517" s="2" t="s">
        <v>2841</v>
      </c>
      <c r="S517" s="4">
        <v>44837</v>
      </c>
    </row>
    <row r="518" spans="1:19" ht="12.5" x14ac:dyDescent="0.25">
      <c r="A518" s="14" t="str">
        <f>HYPERLINK("https://gerandofalcoes.my.salesforce.com/0014P00003YSp9CQAT", "0014P00003YSp9CQAT")</f>
        <v>0014P00003YSp9CQAT</v>
      </c>
      <c r="B518" s="2" t="s">
        <v>2103</v>
      </c>
      <c r="C518" s="2" t="s">
        <v>1800</v>
      </c>
      <c r="D518" s="2" t="s">
        <v>2</v>
      </c>
      <c r="E518" s="2">
        <v>35</v>
      </c>
      <c r="F518" s="2">
        <v>1</v>
      </c>
      <c r="G518" s="2">
        <v>2</v>
      </c>
      <c r="H518" s="2">
        <v>120000</v>
      </c>
      <c r="I518" s="2">
        <v>100</v>
      </c>
      <c r="J518" s="2" t="s">
        <v>1671</v>
      </c>
      <c r="K518" s="2">
        <v>51</v>
      </c>
      <c r="L518" s="2">
        <v>15</v>
      </c>
      <c r="M518" s="2">
        <v>5</v>
      </c>
      <c r="N518" s="2">
        <v>6</v>
      </c>
      <c r="O518" s="2">
        <v>15</v>
      </c>
      <c r="P518" s="2">
        <v>10</v>
      </c>
      <c r="Q518" s="2" t="s">
        <v>2104</v>
      </c>
      <c r="R518" s="2" t="s">
        <v>2105</v>
      </c>
      <c r="S518" s="4">
        <v>44837</v>
      </c>
    </row>
    <row r="519" spans="1:19" ht="12.5" x14ac:dyDescent="0.25">
      <c r="A519" s="14" t="str">
        <f>HYPERLINK("https://gerandofalcoes.my.salesforce.com/0014P00003YSp9DQAT", "0014P00003YSp9DQAT")</f>
        <v>0014P00003YSp9DQAT</v>
      </c>
      <c r="B519" s="2" t="s">
        <v>2539</v>
      </c>
      <c r="C519" s="2" t="s">
        <v>1684</v>
      </c>
      <c r="D519" s="2" t="s">
        <v>2</v>
      </c>
      <c r="E519" s="2">
        <v>21</v>
      </c>
      <c r="F519" s="2">
        <v>1</v>
      </c>
      <c r="G519" s="2">
        <v>0</v>
      </c>
      <c r="H519" s="2">
        <v>0</v>
      </c>
      <c r="I519" s="2">
        <v>0</v>
      </c>
      <c r="J519" s="2" t="s">
        <v>1779</v>
      </c>
      <c r="K519" s="2">
        <v>15</v>
      </c>
      <c r="L519" s="2">
        <v>10</v>
      </c>
      <c r="M519" s="2">
        <v>5</v>
      </c>
      <c r="N519" s="2">
        <v>0</v>
      </c>
      <c r="O519" s="2">
        <v>0</v>
      </c>
      <c r="P519" s="2">
        <v>0</v>
      </c>
      <c r="Q519" s="2" t="s">
        <v>2540</v>
      </c>
      <c r="R519" s="2" t="s">
        <v>2540</v>
      </c>
      <c r="S519" s="4">
        <v>44837</v>
      </c>
    </row>
    <row r="520" spans="1:19" ht="12.5" x14ac:dyDescent="0.25">
      <c r="A520" s="14" t="str">
        <f>HYPERLINK("https://gerandofalcoes.my.salesforce.com/0014P00003YSp9EQAT", "0014P00003YSp9EQAT")</f>
        <v>0014P00003YSp9EQAT</v>
      </c>
      <c r="B520" s="2" t="s">
        <v>2279</v>
      </c>
      <c r="C520" s="2" t="s">
        <v>423</v>
      </c>
      <c r="D520" s="2" t="s">
        <v>2</v>
      </c>
      <c r="E520" s="2">
        <v>38</v>
      </c>
      <c r="F520" s="2">
        <v>2</v>
      </c>
      <c r="G520" s="2">
        <v>2</v>
      </c>
      <c r="H520" s="2">
        <v>30000</v>
      </c>
      <c r="I520" s="2">
        <v>150</v>
      </c>
      <c r="J520" s="2" t="s">
        <v>1671</v>
      </c>
      <c r="K520" s="2">
        <v>48</v>
      </c>
      <c r="L520" s="2">
        <v>15</v>
      </c>
      <c r="M520" s="2">
        <v>5</v>
      </c>
      <c r="N520" s="2">
        <v>6</v>
      </c>
      <c r="O520" s="2">
        <v>10</v>
      </c>
      <c r="P520" s="2">
        <v>12</v>
      </c>
      <c r="Q520" s="2" t="s">
        <v>2280</v>
      </c>
      <c r="R520" s="2" t="s">
        <v>2281</v>
      </c>
      <c r="S520" s="4">
        <v>44837</v>
      </c>
    </row>
    <row r="521" spans="1:19" ht="12.5" x14ac:dyDescent="0.25">
      <c r="A521" s="14" t="str">
        <f>HYPERLINK("https://gerandofalcoes.my.salesforce.com/0014P00003YSp9FQAT", "0014P00003YSp9FQAT")</f>
        <v>0014P00003YSp9FQAT</v>
      </c>
      <c r="B521" s="2" t="s">
        <v>1972</v>
      </c>
      <c r="C521" s="2" t="s">
        <v>423</v>
      </c>
      <c r="D521" s="2" t="s">
        <v>2</v>
      </c>
      <c r="E521" s="2">
        <v>43</v>
      </c>
      <c r="F521" s="2">
        <v>7</v>
      </c>
      <c r="G521" s="2">
        <v>4</v>
      </c>
      <c r="H521" s="2">
        <v>200000</v>
      </c>
      <c r="I521" s="2">
        <v>100</v>
      </c>
      <c r="J521" s="2" t="s">
        <v>1671</v>
      </c>
      <c r="K521" s="2">
        <v>60</v>
      </c>
      <c r="L521" s="2">
        <v>15</v>
      </c>
      <c r="M521" s="2">
        <v>10</v>
      </c>
      <c r="N521" s="2">
        <v>10</v>
      </c>
      <c r="O521" s="2">
        <v>15</v>
      </c>
      <c r="P521" s="2">
        <v>10</v>
      </c>
      <c r="Q521" s="2" t="s">
        <v>1973</v>
      </c>
      <c r="R521" s="2" t="s">
        <v>1974</v>
      </c>
      <c r="S521" s="4">
        <v>44837</v>
      </c>
    </row>
    <row r="522" spans="1:19" ht="12.5" x14ac:dyDescent="0.25">
      <c r="A522" s="14" t="str">
        <f>HYPERLINK("https://gerandofalcoes.my.salesforce.com/0014P00003YSp9HQAT", "0014P00003YSp9HQAT")</f>
        <v>0014P00003YSp9HQAT</v>
      </c>
      <c r="B522" s="2" t="s">
        <v>2147</v>
      </c>
      <c r="C522" s="2" t="s">
        <v>423</v>
      </c>
      <c r="D522" s="2" t="s">
        <v>2</v>
      </c>
      <c r="E522" s="2">
        <v>20</v>
      </c>
      <c r="F522" s="2">
        <v>0</v>
      </c>
      <c r="G522" s="2">
        <v>2</v>
      </c>
      <c r="H522" s="2">
        <v>2500</v>
      </c>
      <c r="I522" s="2">
        <v>77</v>
      </c>
      <c r="J522" s="2" t="s">
        <v>1779</v>
      </c>
      <c r="K522" s="2">
        <v>26</v>
      </c>
      <c r="L522" s="2">
        <v>10</v>
      </c>
      <c r="M522" s="2">
        <v>0</v>
      </c>
      <c r="N522" s="2">
        <v>6</v>
      </c>
      <c r="O522" s="2">
        <v>5</v>
      </c>
      <c r="P522" s="2">
        <v>5</v>
      </c>
      <c r="Q522" s="2" t="s">
        <v>2148</v>
      </c>
      <c r="R522" s="2" t="s">
        <v>2149</v>
      </c>
      <c r="S522" s="4">
        <v>44837</v>
      </c>
    </row>
    <row r="523" spans="1:19" ht="12.5" x14ac:dyDescent="0.25">
      <c r="A523" s="14" t="str">
        <f>HYPERLINK("https://gerandofalcoes.my.salesforce.com/0014P00003YSp9IQAT", "0014P00003YSp9IQAT")</f>
        <v>0014P00003YSp9IQAT</v>
      </c>
      <c r="B523" s="2" t="s">
        <v>2425</v>
      </c>
      <c r="C523" s="2" t="s">
        <v>1684</v>
      </c>
      <c r="D523" s="2" t="s">
        <v>2</v>
      </c>
      <c r="E523" s="2">
        <v>25</v>
      </c>
      <c r="F523" s="2">
        <v>0</v>
      </c>
      <c r="G523" s="2">
        <v>0</v>
      </c>
      <c r="H523" s="2">
        <v>0</v>
      </c>
      <c r="I523" s="2">
        <v>0</v>
      </c>
      <c r="J523" s="2" t="s">
        <v>1779</v>
      </c>
      <c r="K523" s="2">
        <v>15</v>
      </c>
      <c r="L523" s="2">
        <v>15</v>
      </c>
      <c r="M523" s="2">
        <v>0</v>
      </c>
      <c r="N523" s="2">
        <v>0</v>
      </c>
      <c r="O523" s="2">
        <v>0</v>
      </c>
      <c r="P523" s="2">
        <v>0</v>
      </c>
      <c r="Q523" s="2" t="s">
        <v>2426</v>
      </c>
      <c r="R523" s="2" t="s">
        <v>2427</v>
      </c>
      <c r="S523" s="4">
        <v>44837</v>
      </c>
    </row>
    <row r="524" spans="1:19" ht="12.5" x14ac:dyDescent="0.25">
      <c r="A524" s="14" t="str">
        <f>HYPERLINK("https://gerandofalcoes.my.salesforce.com/0014P00003YSp9JQAT", "0014P00003YSp9JQAT")</f>
        <v>0014P00003YSp9JQAT</v>
      </c>
      <c r="B524" s="2" t="s">
        <v>2046</v>
      </c>
      <c r="C524" s="2" t="s">
        <v>423</v>
      </c>
      <c r="D524" s="2" t="s">
        <v>2</v>
      </c>
      <c r="E524" s="2">
        <v>37</v>
      </c>
      <c r="F524" s="2">
        <v>4</v>
      </c>
      <c r="G524" s="2">
        <v>4</v>
      </c>
      <c r="H524" s="2">
        <v>125000</v>
      </c>
      <c r="I524" s="2">
        <v>150</v>
      </c>
      <c r="J524" s="2" t="s">
        <v>1671</v>
      </c>
      <c r="K524" s="2">
        <v>57</v>
      </c>
      <c r="L524" s="2">
        <v>15</v>
      </c>
      <c r="M524" s="2">
        <v>5</v>
      </c>
      <c r="N524" s="2">
        <v>10</v>
      </c>
      <c r="O524" s="2">
        <v>15</v>
      </c>
      <c r="P524" s="2">
        <v>12</v>
      </c>
      <c r="Q524" s="2" t="s">
        <v>2047</v>
      </c>
      <c r="R524" s="2" t="s">
        <v>2048</v>
      </c>
      <c r="S524" s="4">
        <v>44837</v>
      </c>
    </row>
    <row r="525" spans="1:19" ht="12.5" x14ac:dyDescent="0.25">
      <c r="A525" s="14" t="str">
        <f>HYPERLINK("https://gerandofalcoes.my.salesforce.com/0014P00003YSp9LQAT", "0014P00003YSp9LQAT")</f>
        <v>0014P00003YSp9LQAT</v>
      </c>
      <c r="B525" s="2" t="s">
        <v>1908</v>
      </c>
      <c r="C525" s="2" t="s">
        <v>423</v>
      </c>
      <c r="D525" s="2" t="s">
        <v>2</v>
      </c>
      <c r="E525" s="2">
        <v>43</v>
      </c>
      <c r="F525" s="2">
        <v>16</v>
      </c>
      <c r="G525" s="2">
        <v>6</v>
      </c>
      <c r="H525" s="2">
        <v>153000</v>
      </c>
      <c r="I525" s="2">
        <v>487</v>
      </c>
      <c r="J525" s="2" t="s">
        <v>1650</v>
      </c>
      <c r="K525" s="2">
        <v>72</v>
      </c>
      <c r="L525" s="2">
        <v>15</v>
      </c>
      <c r="M525" s="2">
        <v>12</v>
      </c>
      <c r="N525" s="2">
        <v>10</v>
      </c>
      <c r="O525" s="2">
        <v>15</v>
      </c>
      <c r="P525" s="2">
        <v>20</v>
      </c>
      <c r="Q525" s="2" t="s">
        <v>1909</v>
      </c>
      <c r="R525" s="2" t="s">
        <v>1909</v>
      </c>
      <c r="S525" s="4">
        <v>44837</v>
      </c>
    </row>
    <row r="526" spans="1:19" ht="12.5" x14ac:dyDescent="0.25">
      <c r="A526" s="14" t="str">
        <f>HYPERLINK("https://gerandofalcoes.my.salesforce.com/0014P00003YSp9MQAT", "0014P00003YSp9MQAT")</f>
        <v>0014P00003YSp9MQAT</v>
      </c>
      <c r="B526" s="2" t="s">
        <v>1887</v>
      </c>
      <c r="C526" s="2" t="s">
        <v>1800</v>
      </c>
      <c r="D526" s="2" t="s">
        <v>2</v>
      </c>
      <c r="E526" s="2">
        <v>44</v>
      </c>
      <c r="F526" s="2">
        <v>2</v>
      </c>
      <c r="G526" s="2">
        <v>2</v>
      </c>
      <c r="H526" s="2">
        <v>9000</v>
      </c>
      <c r="I526" s="2">
        <v>30</v>
      </c>
      <c r="J526" s="2" t="s">
        <v>1779</v>
      </c>
      <c r="K526" s="2">
        <v>36</v>
      </c>
      <c r="L526" s="2">
        <v>15</v>
      </c>
      <c r="M526" s="2">
        <v>5</v>
      </c>
      <c r="N526" s="2">
        <v>6</v>
      </c>
      <c r="O526" s="2">
        <v>5</v>
      </c>
      <c r="P526" s="2">
        <v>5</v>
      </c>
      <c r="Q526" s="2" t="s">
        <v>1888</v>
      </c>
      <c r="R526" s="2" t="s">
        <v>1888</v>
      </c>
      <c r="S526" s="4">
        <v>44837</v>
      </c>
    </row>
    <row r="527" spans="1:19" ht="12.5" x14ac:dyDescent="0.25">
      <c r="A527" s="14" t="str">
        <f>HYPERLINK("https://gerandofalcoes.my.salesforce.com/0014P00003YSp9NQAT", "0014P00003YSp9NQAT")</f>
        <v>0014P00003YSp9NQAT</v>
      </c>
      <c r="B527" s="2" t="s">
        <v>2275</v>
      </c>
      <c r="C527" s="2" t="s">
        <v>423</v>
      </c>
      <c r="D527" s="2" t="s">
        <v>2</v>
      </c>
      <c r="E527" s="2">
        <v>30</v>
      </c>
      <c r="F527" s="2">
        <v>0</v>
      </c>
      <c r="G527" s="2">
        <v>2</v>
      </c>
      <c r="H527" s="2">
        <v>11000</v>
      </c>
      <c r="I527" s="2">
        <v>600</v>
      </c>
      <c r="J527" s="2" t="s">
        <v>1671</v>
      </c>
      <c r="K527" s="2">
        <v>46</v>
      </c>
      <c r="L527" s="2">
        <v>15</v>
      </c>
      <c r="M527" s="2">
        <v>0</v>
      </c>
      <c r="N527" s="2">
        <v>6</v>
      </c>
      <c r="O527" s="2">
        <v>5</v>
      </c>
      <c r="P527" s="2">
        <v>20</v>
      </c>
      <c r="Q527" s="2" t="s">
        <v>7188</v>
      </c>
      <c r="R527" s="2" t="s">
        <v>2276</v>
      </c>
      <c r="S527" s="4">
        <v>44837</v>
      </c>
    </row>
    <row r="528" spans="1:19" ht="12.5" x14ac:dyDescent="0.25">
      <c r="A528" s="14" t="str">
        <f>HYPERLINK("https://gerandofalcoes.my.salesforce.com/0014P00003YSp9OQAT", "0014P00003YSp9OQAT")</f>
        <v>0014P00003YSp9OQAT</v>
      </c>
      <c r="B528" s="2" t="s">
        <v>2593</v>
      </c>
      <c r="C528" s="2" t="s">
        <v>1800</v>
      </c>
      <c r="D528" s="2" t="s">
        <v>2</v>
      </c>
      <c r="E528" s="2">
        <v>19</v>
      </c>
      <c r="F528" s="2">
        <v>0</v>
      </c>
      <c r="G528" s="2">
        <v>8</v>
      </c>
      <c r="H528" s="2">
        <v>15000</v>
      </c>
      <c r="I528" s="2">
        <v>958</v>
      </c>
      <c r="J528" s="2" t="s">
        <v>1671</v>
      </c>
      <c r="K528" s="2">
        <v>45</v>
      </c>
      <c r="L528" s="2">
        <v>10</v>
      </c>
      <c r="M528" s="2">
        <v>0</v>
      </c>
      <c r="N528" s="2">
        <v>10</v>
      </c>
      <c r="O528" s="2">
        <v>5</v>
      </c>
      <c r="P528" s="2">
        <v>20</v>
      </c>
      <c r="Q528" s="2" t="s">
        <v>2594</v>
      </c>
      <c r="R528" s="2" t="s">
        <v>2595</v>
      </c>
      <c r="S528" s="4">
        <v>44837</v>
      </c>
    </row>
    <row r="529" spans="1:19" ht="12.5" x14ac:dyDescent="0.25">
      <c r="A529" s="14" t="str">
        <f>HYPERLINK("https://gerandofalcoes.my.salesforce.com/0014P00003YSp9PQAT", "0014P00003YSp9PQAT")</f>
        <v>0014P00003YSp9PQAT</v>
      </c>
      <c r="B529" s="2" t="s">
        <v>2312</v>
      </c>
      <c r="C529" s="2" t="s">
        <v>423</v>
      </c>
      <c r="D529" s="2" t="s">
        <v>2</v>
      </c>
      <c r="E529" s="2">
        <v>29</v>
      </c>
      <c r="F529" s="2">
        <v>1</v>
      </c>
      <c r="G529" s="2">
        <v>2</v>
      </c>
      <c r="H529" s="2">
        <v>161520</v>
      </c>
      <c r="I529" s="2">
        <v>3085</v>
      </c>
      <c r="J529" s="2" t="s">
        <v>1671</v>
      </c>
      <c r="K529" s="2">
        <v>61</v>
      </c>
      <c r="L529" s="2">
        <v>15</v>
      </c>
      <c r="M529" s="2">
        <v>5</v>
      </c>
      <c r="N529" s="2">
        <v>6</v>
      </c>
      <c r="O529" s="2">
        <v>15</v>
      </c>
      <c r="P529" s="2">
        <v>20</v>
      </c>
      <c r="Q529" s="2" t="s">
        <v>2313</v>
      </c>
      <c r="R529" s="2" t="s">
        <v>2313</v>
      </c>
      <c r="S529" s="4">
        <v>44837</v>
      </c>
    </row>
    <row r="530" spans="1:19" ht="12.5" x14ac:dyDescent="0.25">
      <c r="A530" s="14" t="str">
        <f>HYPERLINK("https://gerandofalcoes.my.salesforce.com/0014P00003YSp9TQAT", "0014P00003YSp9TQAT")</f>
        <v>0014P00003YSp9TQAT</v>
      </c>
      <c r="B530" s="2" t="s">
        <v>2194</v>
      </c>
      <c r="C530" s="2" t="s">
        <v>423</v>
      </c>
      <c r="D530" s="2" t="s">
        <v>2</v>
      </c>
      <c r="E530" s="2">
        <v>33</v>
      </c>
      <c r="F530" s="2">
        <v>0</v>
      </c>
      <c r="G530" s="2">
        <v>5</v>
      </c>
      <c r="H530" s="2">
        <v>25650</v>
      </c>
      <c r="I530" s="2">
        <v>200</v>
      </c>
      <c r="J530" s="2" t="s">
        <v>1671</v>
      </c>
      <c r="K530" s="2">
        <v>47</v>
      </c>
      <c r="L530" s="2">
        <v>15</v>
      </c>
      <c r="M530" s="2">
        <v>0</v>
      </c>
      <c r="N530" s="2">
        <v>10</v>
      </c>
      <c r="O530" s="2">
        <v>10</v>
      </c>
      <c r="P530" s="2">
        <v>12</v>
      </c>
      <c r="Q530" s="2" t="s">
        <v>2195</v>
      </c>
      <c r="R530" s="2" t="s">
        <v>2196</v>
      </c>
      <c r="S530" s="4">
        <v>44837</v>
      </c>
    </row>
    <row r="531" spans="1:19" ht="12.5" x14ac:dyDescent="0.25">
      <c r="A531" s="14" t="str">
        <f>HYPERLINK("https://gerandofalcoes.my.salesforce.com/0014P00003YSp9UQAT", "0014P00003YSp9UQAT")</f>
        <v>0014P00003YSp9UQAT</v>
      </c>
      <c r="B531" s="2" t="s">
        <v>2133</v>
      </c>
      <c r="C531" s="2" t="s">
        <v>1800</v>
      </c>
      <c r="D531" s="2" t="s">
        <v>2</v>
      </c>
      <c r="E531" s="2">
        <v>34</v>
      </c>
      <c r="F531" s="2">
        <v>39</v>
      </c>
      <c r="G531" s="2">
        <v>2</v>
      </c>
      <c r="H531" s="2">
        <v>2000</v>
      </c>
      <c r="I531" s="2">
        <v>280</v>
      </c>
      <c r="J531" s="2" t="s">
        <v>1671</v>
      </c>
      <c r="K531" s="2">
        <v>53</v>
      </c>
      <c r="L531" s="2">
        <v>15</v>
      </c>
      <c r="M531" s="2">
        <v>15</v>
      </c>
      <c r="N531" s="2">
        <v>6</v>
      </c>
      <c r="O531" s="2">
        <v>5</v>
      </c>
      <c r="P531" s="2">
        <v>12</v>
      </c>
      <c r="Q531" s="2" t="s">
        <v>2134</v>
      </c>
      <c r="R531" s="2" t="s">
        <v>2135</v>
      </c>
      <c r="S531" s="4">
        <v>44837</v>
      </c>
    </row>
    <row r="532" spans="1:19" ht="12.5" x14ac:dyDescent="0.25">
      <c r="A532" s="14" t="str">
        <f>HYPERLINK("https://gerandofalcoes.my.salesforce.com/0014P00003YSp9WQAT", "0014P00003YSp9WQAT")</f>
        <v>0014P00003YSp9WQAT</v>
      </c>
      <c r="B532" s="2" t="s">
        <v>2286</v>
      </c>
      <c r="C532" s="2" t="s">
        <v>423</v>
      </c>
      <c r="D532" s="2" t="s">
        <v>2</v>
      </c>
      <c r="E532" s="2">
        <v>35</v>
      </c>
      <c r="F532" s="2">
        <v>0</v>
      </c>
      <c r="G532" s="2">
        <v>4</v>
      </c>
      <c r="H532" s="2">
        <v>0</v>
      </c>
      <c r="I532" s="2">
        <v>450</v>
      </c>
      <c r="J532" s="2" t="s">
        <v>1671</v>
      </c>
      <c r="K532" s="2">
        <v>45</v>
      </c>
      <c r="L532" s="2">
        <v>15</v>
      </c>
      <c r="M532" s="2">
        <v>0</v>
      </c>
      <c r="N532" s="2">
        <v>10</v>
      </c>
      <c r="O532" s="2">
        <v>0</v>
      </c>
      <c r="P532" s="2">
        <v>20</v>
      </c>
      <c r="Q532" s="2" t="s">
        <v>2287</v>
      </c>
      <c r="R532" s="2" t="s">
        <v>2287</v>
      </c>
      <c r="S532" s="4">
        <v>44837</v>
      </c>
    </row>
    <row r="533" spans="1:19" ht="12.5" x14ac:dyDescent="0.25">
      <c r="A533" s="14" t="str">
        <f>HYPERLINK("https://gerandofalcoes.my.salesforce.com/0014P00003YSp9XQAT", "0014P00003YSp9XQAT")</f>
        <v>0014P00003YSp9XQAT</v>
      </c>
      <c r="B533" s="2" t="s">
        <v>1833</v>
      </c>
      <c r="C533" s="2" t="s">
        <v>423</v>
      </c>
      <c r="D533" s="2" t="s">
        <v>2</v>
      </c>
      <c r="E533" s="2">
        <v>46</v>
      </c>
      <c r="F533" s="2">
        <v>53</v>
      </c>
      <c r="G533" s="2">
        <v>13</v>
      </c>
      <c r="H533" s="2">
        <v>3643229</v>
      </c>
      <c r="I533" s="2">
        <v>500</v>
      </c>
      <c r="J533" s="2" t="s">
        <v>1654</v>
      </c>
      <c r="K533" s="2">
        <v>85</v>
      </c>
      <c r="L533" s="2">
        <v>15</v>
      </c>
      <c r="M533" s="2">
        <v>15</v>
      </c>
      <c r="N533" s="2">
        <v>10</v>
      </c>
      <c r="O533" s="2">
        <v>25</v>
      </c>
      <c r="P533" s="2">
        <v>20</v>
      </c>
      <c r="Q533" s="2" t="s">
        <v>1834</v>
      </c>
      <c r="R533" s="2"/>
      <c r="S533" s="4">
        <v>44837</v>
      </c>
    </row>
    <row r="534" spans="1:19" ht="12.5" x14ac:dyDescent="0.25">
      <c r="A534" s="14" t="str">
        <f>HYPERLINK("https://gerandofalcoes.my.salesforce.com/0014P00003YSp9YQAT", "0014P00003YSp9YQAT")</f>
        <v>0014P00003YSp9YQAT</v>
      </c>
      <c r="B534" s="2" t="s">
        <v>2203</v>
      </c>
      <c r="C534" s="2" t="s">
        <v>423</v>
      </c>
      <c r="D534" s="2" t="s">
        <v>2</v>
      </c>
      <c r="E534" s="2">
        <v>32</v>
      </c>
      <c r="F534" s="2">
        <v>0</v>
      </c>
      <c r="G534" s="2">
        <v>2</v>
      </c>
      <c r="H534" s="2">
        <v>7000</v>
      </c>
      <c r="I534" s="2">
        <v>518</v>
      </c>
      <c r="J534" s="2" t="s">
        <v>1671</v>
      </c>
      <c r="K534" s="2">
        <v>46</v>
      </c>
      <c r="L534" s="2">
        <v>15</v>
      </c>
      <c r="M534" s="2">
        <v>0</v>
      </c>
      <c r="N534" s="2">
        <v>6</v>
      </c>
      <c r="O534" s="2">
        <v>5</v>
      </c>
      <c r="P534" s="2">
        <v>20</v>
      </c>
      <c r="Q534" s="2" t="s">
        <v>2204</v>
      </c>
      <c r="R534" s="2" t="s">
        <v>2204</v>
      </c>
      <c r="S534" s="4">
        <v>44837</v>
      </c>
    </row>
    <row r="535" spans="1:19" ht="12.5" x14ac:dyDescent="0.25">
      <c r="A535" s="14" t="str">
        <f>HYPERLINK("https://gerandofalcoes.my.salesforce.com/0014P00003YSp9ZQAT", "0014P00003YSp9ZQAT")</f>
        <v>0014P00003YSp9ZQAT</v>
      </c>
      <c r="B535" s="2" t="s">
        <v>2381</v>
      </c>
      <c r="C535" s="2" t="s">
        <v>1800</v>
      </c>
      <c r="D535" s="2" t="s">
        <v>2</v>
      </c>
      <c r="E535" s="2">
        <v>26</v>
      </c>
      <c r="F535" s="2">
        <v>2</v>
      </c>
      <c r="G535" s="2">
        <v>0</v>
      </c>
      <c r="H535" s="2">
        <v>0</v>
      </c>
      <c r="I535" s="2">
        <v>0</v>
      </c>
      <c r="J535" s="2" t="s">
        <v>1779</v>
      </c>
      <c r="K535" s="2">
        <v>20</v>
      </c>
      <c r="L535" s="2">
        <v>15</v>
      </c>
      <c r="M535" s="2">
        <v>5</v>
      </c>
      <c r="N535" s="2">
        <v>0</v>
      </c>
      <c r="O535" s="2">
        <v>0</v>
      </c>
      <c r="P535" s="2">
        <v>0</v>
      </c>
      <c r="Q535" s="2" t="s">
        <v>2382</v>
      </c>
      <c r="R535" s="2" t="s">
        <v>2383</v>
      </c>
      <c r="S535" s="4">
        <v>44837</v>
      </c>
    </row>
    <row r="536" spans="1:19" ht="12.5" x14ac:dyDescent="0.25">
      <c r="A536" s="14" t="str">
        <f>HYPERLINK("https://gerandofalcoes.my.salesforce.com/0014P00003YSp9aQAD", "0014P00003YSp9aQAD")</f>
        <v>0014P00003YSp9aQAD</v>
      </c>
      <c r="B536" s="2" t="s">
        <v>2249</v>
      </c>
      <c r="C536" s="2" t="s">
        <v>423</v>
      </c>
      <c r="D536" s="2" t="s">
        <v>2</v>
      </c>
      <c r="E536" s="2">
        <v>33</v>
      </c>
      <c r="F536" s="2">
        <v>0</v>
      </c>
      <c r="G536" s="2">
        <v>2</v>
      </c>
      <c r="H536" s="2">
        <v>2000</v>
      </c>
      <c r="I536" s="2">
        <v>200</v>
      </c>
      <c r="J536" s="2" t="s">
        <v>1779</v>
      </c>
      <c r="K536" s="2">
        <v>38</v>
      </c>
      <c r="L536" s="2">
        <v>15</v>
      </c>
      <c r="M536" s="2">
        <v>0</v>
      </c>
      <c r="N536" s="2">
        <v>6</v>
      </c>
      <c r="O536" s="2">
        <v>5</v>
      </c>
      <c r="P536" s="2">
        <v>12</v>
      </c>
      <c r="Q536" s="2" t="s">
        <v>2250</v>
      </c>
      <c r="R536" s="2" t="s">
        <v>2251</v>
      </c>
      <c r="S536" s="4">
        <v>44837</v>
      </c>
    </row>
    <row r="537" spans="1:19" ht="12.5" x14ac:dyDescent="0.25">
      <c r="A537" s="14" t="str">
        <f>HYPERLINK("https://gerandofalcoes.my.salesforce.com/0014P00003YSp9bQAD", "0014P00003YSp9bQAD")</f>
        <v>0014P00003YSp9bQAD</v>
      </c>
      <c r="B537" s="2" t="s">
        <v>2016</v>
      </c>
      <c r="C537" s="2" t="s">
        <v>1800</v>
      </c>
      <c r="D537" s="2" t="s">
        <v>2</v>
      </c>
      <c r="E537" s="2">
        <v>38</v>
      </c>
      <c r="F537" s="2">
        <v>8</v>
      </c>
      <c r="G537" s="2">
        <v>3</v>
      </c>
      <c r="H537" s="2">
        <v>400216</v>
      </c>
      <c r="I537" s="2">
        <v>340</v>
      </c>
      <c r="J537" s="2" t="s">
        <v>1650</v>
      </c>
      <c r="K537" s="2">
        <v>68</v>
      </c>
      <c r="L537" s="2">
        <v>15</v>
      </c>
      <c r="M537" s="2">
        <v>10</v>
      </c>
      <c r="N537" s="2">
        <v>8</v>
      </c>
      <c r="O537" s="2">
        <v>20</v>
      </c>
      <c r="P537" s="2">
        <v>15</v>
      </c>
      <c r="Q537" s="2" t="s">
        <v>2017</v>
      </c>
      <c r="R537" s="2" t="s">
        <v>2018</v>
      </c>
      <c r="S537" s="4">
        <v>44837</v>
      </c>
    </row>
    <row r="538" spans="1:19" ht="12.5" x14ac:dyDescent="0.25">
      <c r="A538" s="14" t="str">
        <f>HYPERLINK("https://gerandofalcoes.my.salesforce.com/0014P00003YSp9cQAD", "0014P00003YSp9cQAD")</f>
        <v>0014P00003YSp9cQAD</v>
      </c>
      <c r="B538" s="2" t="s">
        <v>2603</v>
      </c>
      <c r="C538" s="2" t="s">
        <v>1800</v>
      </c>
      <c r="D538" s="2" t="s">
        <v>2</v>
      </c>
      <c r="E538" s="2">
        <v>19</v>
      </c>
      <c r="F538" s="2">
        <v>2</v>
      </c>
      <c r="G538" s="2">
        <v>4</v>
      </c>
      <c r="H538" s="2">
        <v>2000</v>
      </c>
      <c r="I538" s="2">
        <v>60</v>
      </c>
      <c r="J538" s="2" t="s">
        <v>1779</v>
      </c>
      <c r="K538" s="2">
        <v>35</v>
      </c>
      <c r="L538" s="2">
        <v>10</v>
      </c>
      <c r="M538" s="2">
        <v>5</v>
      </c>
      <c r="N538" s="2">
        <v>10</v>
      </c>
      <c r="O538" s="2">
        <v>5</v>
      </c>
      <c r="P538" s="2">
        <v>5</v>
      </c>
      <c r="Q538" s="2" t="s">
        <v>2604</v>
      </c>
      <c r="R538" s="2" t="s">
        <v>2605</v>
      </c>
      <c r="S538" s="4">
        <v>44837</v>
      </c>
    </row>
    <row r="539" spans="1:19" ht="12.5" x14ac:dyDescent="0.25">
      <c r="A539" s="14" t="str">
        <f>HYPERLINK("https://gerandofalcoes.my.salesforce.com/0014P00003YSp9dQAD", "0014P00003YSp9dQAD")</f>
        <v>0014P00003YSp9dQAD</v>
      </c>
      <c r="B539" s="2" t="s">
        <v>2691</v>
      </c>
      <c r="C539" s="2" t="s">
        <v>1800</v>
      </c>
      <c r="D539" s="2" t="s">
        <v>2</v>
      </c>
      <c r="E539" s="2">
        <v>16</v>
      </c>
      <c r="F539" s="2">
        <v>0</v>
      </c>
      <c r="G539" s="2">
        <v>2</v>
      </c>
      <c r="H539" s="2">
        <v>10000</v>
      </c>
      <c r="I539" s="2">
        <v>0</v>
      </c>
      <c r="J539" s="2" t="s">
        <v>1779</v>
      </c>
      <c r="K539" s="2">
        <v>21</v>
      </c>
      <c r="L539" s="2">
        <v>10</v>
      </c>
      <c r="M539" s="2">
        <v>0</v>
      </c>
      <c r="N539" s="2">
        <v>6</v>
      </c>
      <c r="O539" s="2">
        <v>5</v>
      </c>
      <c r="P539" s="2">
        <v>0</v>
      </c>
      <c r="Q539" s="2" t="s">
        <v>2692</v>
      </c>
      <c r="R539" s="2" t="s">
        <v>2693</v>
      </c>
      <c r="S539" s="4">
        <v>44837</v>
      </c>
    </row>
    <row r="540" spans="1:19" ht="12.5" x14ac:dyDescent="0.25">
      <c r="A540" s="14" t="str">
        <f>HYPERLINK("https://gerandofalcoes.my.salesforce.com/0014P00003YSp9eQAD", "0014P00003YSp9eQAD")</f>
        <v>0014P00003YSp9eQAD</v>
      </c>
      <c r="B540" s="2" t="s">
        <v>2084</v>
      </c>
      <c r="C540" s="2" t="s">
        <v>1800</v>
      </c>
      <c r="D540" s="2" t="s">
        <v>2</v>
      </c>
      <c r="E540" s="2">
        <v>36</v>
      </c>
      <c r="F540" s="2">
        <v>4</v>
      </c>
      <c r="G540" s="2">
        <v>4</v>
      </c>
      <c r="H540" s="2">
        <v>270000</v>
      </c>
      <c r="I540" s="2">
        <v>0</v>
      </c>
      <c r="J540" s="2" t="s">
        <v>1671</v>
      </c>
      <c r="K540" s="2">
        <v>45</v>
      </c>
      <c r="L540" s="2">
        <v>15</v>
      </c>
      <c r="M540" s="2">
        <v>5</v>
      </c>
      <c r="N540" s="2">
        <v>10</v>
      </c>
      <c r="O540" s="2">
        <v>15</v>
      </c>
      <c r="P540" s="2">
        <v>0</v>
      </c>
      <c r="Q540" s="2" t="s">
        <v>2085</v>
      </c>
      <c r="R540" s="2" t="s">
        <v>2086</v>
      </c>
      <c r="S540" s="4">
        <v>44837</v>
      </c>
    </row>
    <row r="541" spans="1:19" ht="12.5" x14ac:dyDescent="0.25">
      <c r="A541" s="14" t="str">
        <f>HYPERLINK("https://gerandofalcoes.my.salesforce.com/0014P00003YSp9RQAT", "0014P00003YSp9RQAT")</f>
        <v>0014P00003YSp9RQAT</v>
      </c>
      <c r="B541" s="2" t="s">
        <v>2208</v>
      </c>
      <c r="C541" s="2" t="s">
        <v>1800</v>
      </c>
      <c r="D541" s="2" t="s">
        <v>2</v>
      </c>
      <c r="E541" s="2">
        <v>32</v>
      </c>
      <c r="F541" s="2">
        <v>0</v>
      </c>
      <c r="G541" s="2">
        <v>4</v>
      </c>
      <c r="H541" s="2">
        <v>45000</v>
      </c>
      <c r="I541" s="2">
        <v>1700</v>
      </c>
      <c r="J541" s="2" t="s">
        <v>1671</v>
      </c>
      <c r="K541" s="2">
        <v>55</v>
      </c>
      <c r="L541" s="2">
        <v>15</v>
      </c>
      <c r="M541" s="2">
        <v>0</v>
      </c>
      <c r="N541" s="2">
        <v>10</v>
      </c>
      <c r="O541" s="2">
        <v>10</v>
      </c>
      <c r="P541" s="2">
        <v>20</v>
      </c>
      <c r="Q541" s="2" t="s">
        <v>2209</v>
      </c>
      <c r="R541" s="2" t="s">
        <v>2210</v>
      </c>
      <c r="S541" s="4">
        <v>44837</v>
      </c>
    </row>
    <row r="542" spans="1:19" ht="12.5" x14ac:dyDescent="0.25">
      <c r="A542" s="14" t="str">
        <f>HYPERLINK("https://gerandofalcoes.my.salesforce.com/0014P00003YSp9SQAT", "0014P00003YSp9SQAT")</f>
        <v>0014P00003YSp9SQAT</v>
      </c>
      <c r="B542" s="2" t="s">
        <v>1844</v>
      </c>
      <c r="C542" s="2" t="s">
        <v>423</v>
      </c>
      <c r="D542" s="2" t="s">
        <v>2</v>
      </c>
      <c r="E542" s="2">
        <v>20</v>
      </c>
      <c r="F542" s="2">
        <v>3</v>
      </c>
      <c r="G542" s="2">
        <v>4</v>
      </c>
      <c r="H542" s="2">
        <v>21200</v>
      </c>
      <c r="I542" s="2">
        <v>240</v>
      </c>
      <c r="J542" s="2" t="s">
        <v>1671</v>
      </c>
      <c r="K542" s="2">
        <v>42</v>
      </c>
      <c r="L542" s="2">
        <v>10</v>
      </c>
      <c r="M542" s="2">
        <v>5</v>
      </c>
      <c r="N542" s="2">
        <v>10</v>
      </c>
      <c r="O542" s="2">
        <v>5</v>
      </c>
      <c r="P542" s="2">
        <v>12</v>
      </c>
      <c r="Q542" s="2" t="s">
        <v>1845</v>
      </c>
      <c r="R542" s="2" t="s">
        <v>1846</v>
      </c>
      <c r="S542" s="4">
        <v>44837</v>
      </c>
    </row>
    <row r="543" spans="1:19" ht="12.5" x14ac:dyDescent="0.25">
      <c r="A543" s="14" t="str">
        <f>HYPERLINK("https://gerandofalcoes.my.salesforce.com/0014P00003YSp9fQAD", "0014P00003YSp9fQAD")</f>
        <v>0014P00003YSp9fQAD</v>
      </c>
      <c r="B543" s="2" t="s">
        <v>2436</v>
      </c>
      <c r="C543" s="2" t="s">
        <v>423</v>
      </c>
      <c r="D543" s="2" t="s">
        <v>2</v>
      </c>
      <c r="E543" s="2">
        <v>36</v>
      </c>
      <c r="F543" s="2">
        <v>0</v>
      </c>
      <c r="G543" s="2">
        <v>2</v>
      </c>
      <c r="H543" s="2">
        <v>20</v>
      </c>
      <c r="I543" s="2">
        <v>0</v>
      </c>
      <c r="J543" s="2" t="s">
        <v>1779</v>
      </c>
      <c r="K543" s="2">
        <v>26</v>
      </c>
      <c r="L543" s="2">
        <v>15</v>
      </c>
      <c r="M543" s="2">
        <v>0</v>
      </c>
      <c r="N543" s="2">
        <v>6</v>
      </c>
      <c r="O543" s="2">
        <v>5</v>
      </c>
      <c r="P543" s="2">
        <v>0</v>
      </c>
      <c r="Q543" s="2" t="s">
        <v>2437</v>
      </c>
      <c r="R543" s="2" t="s">
        <v>2437</v>
      </c>
      <c r="S543" s="4">
        <v>44837</v>
      </c>
    </row>
    <row r="544" spans="1:19" ht="12.5" x14ac:dyDescent="0.25">
      <c r="A544" s="14" t="str">
        <f>HYPERLINK("https://gerandofalcoes.my.salesforce.com/0014P00003YSp9gQAD", "0014P00003YSp9gQAD")</f>
        <v>0014P00003YSp9gQAD</v>
      </c>
      <c r="B544" s="2" t="s">
        <v>2559</v>
      </c>
      <c r="C544" s="2" t="s">
        <v>1800</v>
      </c>
      <c r="D544" s="2" t="s">
        <v>2</v>
      </c>
      <c r="E544" s="2">
        <v>20</v>
      </c>
      <c r="F544" s="2">
        <v>5</v>
      </c>
      <c r="G544" s="2">
        <v>2</v>
      </c>
      <c r="H544" s="2">
        <v>2000</v>
      </c>
      <c r="I544" s="2">
        <v>50</v>
      </c>
      <c r="J544" s="2" t="s">
        <v>1779</v>
      </c>
      <c r="K544" s="2">
        <v>31</v>
      </c>
      <c r="L544" s="2">
        <v>10</v>
      </c>
      <c r="M544" s="2">
        <v>5</v>
      </c>
      <c r="N544" s="2">
        <v>6</v>
      </c>
      <c r="O544" s="2">
        <v>5</v>
      </c>
      <c r="P544" s="2">
        <v>5</v>
      </c>
      <c r="Q544" s="2" t="s">
        <v>2560</v>
      </c>
      <c r="R544" s="2" t="s">
        <v>2561</v>
      </c>
      <c r="S544" s="4">
        <v>44837</v>
      </c>
    </row>
    <row r="545" spans="1:19" ht="12.5" x14ac:dyDescent="0.25">
      <c r="A545" s="14" t="str">
        <f>HYPERLINK("https://gerandofalcoes.my.salesforce.com/0014P00003YSp9hQAD", "0014P00003YSp9hQAD")</f>
        <v>0014P00003YSp9hQAD</v>
      </c>
      <c r="B545" s="2" t="s">
        <v>2433</v>
      </c>
      <c r="C545" s="2" t="s">
        <v>423</v>
      </c>
      <c r="D545" s="2" t="s">
        <v>2</v>
      </c>
      <c r="E545" s="2">
        <v>15</v>
      </c>
      <c r="F545" s="2">
        <v>15</v>
      </c>
      <c r="G545" s="2">
        <v>2</v>
      </c>
      <c r="H545" s="2">
        <v>11874</v>
      </c>
      <c r="I545" s="2">
        <v>130</v>
      </c>
      <c r="J545" s="2" t="s">
        <v>1671</v>
      </c>
      <c r="K545" s="2">
        <v>43</v>
      </c>
      <c r="L545" s="2">
        <v>10</v>
      </c>
      <c r="M545" s="2">
        <v>12</v>
      </c>
      <c r="N545" s="2">
        <v>6</v>
      </c>
      <c r="O545" s="2">
        <v>5</v>
      </c>
      <c r="P545" s="2">
        <v>10</v>
      </c>
      <c r="Q545" s="2" t="s">
        <v>2434</v>
      </c>
      <c r="R545" s="2" t="s">
        <v>2435</v>
      </c>
      <c r="S545" s="4">
        <v>44837</v>
      </c>
    </row>
    <row r="546" spans="1:19" ht="12.5" x14ac:dyDescent="0.25">
      <c r="A546" s="14" t="str">
        <f>HYPERLINK("https://gerandofalcoes.my.salesforce.com/0014P00003YSp9iQAD", "0014P00003YSp9iQAD")</f>
        <v>0014P00003YSp9iQAD</v>
      </c>
      <c r="B546" s="2" t="s">
        <v>2253</v>
      </c>
      <c r="C546" s="2" t="s">
        <v>423</v>
      </c>
      <c r="D546" s="2" t="s">
        <v>2</v>
      </c>
      <c r="E546" s="2">
        <v>36</v>
      </c>
      <c r="F546" s="2">
        <v>0</v>
      </c>
      <c r="G546" s="2">
        <v>2</v>
      </c>
      <c r="H546" s="2">
        <v>15155</v>
      </c>
      <c r="I546" s="2">
        <v>200</v>
      </c>
      <c r="J546" s="2" t="s">
        <v>1779</v>
      </c>
      <c r="K546" s="2">
        <v>38</v>
      </c>
      <c r="L546" s="2">
        <v>15</v>
      </c>
      <c r="M546" s="2">
        <v>0</v>
      </c>
      <c r="N546" s="2">
        <v>6</v>
      </c>
      <c r="O546" s="2">
        <v>5</v>
      </c>
      <c r="P546" s="2">
        <v>12</v>
      </c>
      <c r="Q546" s="2" t="s">
        <v>2254</v>
      </c>
      <c r="R546" s="2" t="s">
        <v>2255</v>
      </c>
      <c r="S546" s="4">
        <v>44837</v>
      </c>
    </row>
    <row r="547" spans="1:19" ht="12.5" x14ac:dyDescent="0.25">
      <c r="A547" s="14" t="str">
        <f>HYPERLINK("https://gerandofalcoes.my.salesforce.com/0014P00003YSp9jQAD", "0014P00003YSp9jQAD")</f>
        <v>0014P00003YSp9jQAD</v>
      </c>
      <c r="B547" s="2" t="s">
        <v>2270</v>
      </c>
      <c r="C547" s="2" t="s">
        <v>423</v>
      </c>
      <c r="D547" s="2" t="s">
        <v>2</v>
      </c>
      <c r="E547" s="2">
        <v>30</v>
      </c>
      <c r="F547" s="2">
        <v>1</v>
      </c>
      <c r="G547" s="2">
        <v>2</v>
      </c>
      <c r="H547" s="2">
        <v>15000</v>
      </c>
      <c r="I547" s="2">
        <v>400</v>
      </c>
      <c r="J547" s="2" t="s">
        <v>1671</v>
      </c>
      <c r="K547" s="2">
        <v>46</v>
      </c>
      <c r="L547" s="2">
        <v>15</v>
      </c>
      <c r="M547" s="2">
        <v>5</v>
      </c>
      <c r="N547" s="2">
        <v>6</v>
      </c>
      <c r="O547" s="2">
        <v>5</v>
      </c>
      <c r="P547" s="2">
        <v>15</v>
      </c>
      <c r="Q547" s="2" t="s">
        <v>2271</v>
      </c>
      <c r="R547" s="2" t="s">
        <v>2271</v>
      </c>
      <c r="S547" s="4">
        <v>44837</v>
      </c>
    </row>
    <row r="548" spans="1:19" ht="12.5" x14ac:dyDescent="0.25">
      <c r="A548" s="14" t="str">
        <f>HYPERLINK("https://gerandofalcoes.my.salesforce.com/0014P00003YSp9kQAD", "0014P00003YSp9kQAD")</f>
        <v>0014P00003YSp9kQAD</v>
      </c>
      <c r="B548" s="2" t="s">
        <v>1852</v>
      </c>
      <c r="C548" s="2" t="s">
        <v>423</v>
      </c>
      <c r="D548" s="2" t="s">
        <v>2</v>
      </c>
      <c r="E548" s="2">
        <v>29</v>
      </c>
      <c r="F548" s="2">
        <v>8</v>
      </c>
      <c r="G548" s="2">
        <v>3</v>
      </c>
      <c r="H548" s="2">
        <v>160000</v>
      </c>
      <c r="I548" s="2">
        <v>9</v>
      </c>
      <c r="J548" s="2" t="s">
        <v>1671</v>
      </c>
      <c r="K548" s="2">
        <v>53</v>
      </c>
      <c r="L548" s="2">
        <v>15</v>
      </c>
      <c r="M548" s="2">
        <v>10</v>
      </c>
      <c r="N548" s="2">
        <v>8</v>
      </c>
      <c r="O548" s="2">
        <v>15</v>
      </c>
      <c r="P548" s="2">
        <v>5</v>
      </c>
      <c r="Q548" s="2" t="s">
        <v>1853</v>
      </c>
      <c r="R548" s="2" t="s">
        <v>1854</v>
      </c>
      <c r="S548" s="4">
        <v>44837</v>
      </c>
    </row>
    <row r="549" spans="1:19" ht="12.5" x14ac:dyDescent="0.25">
      <c r="A549" s="14" t="str">
        <f>HYPERLINK("https://gerandofalcoes.my.salesforce.com/0014P00003YSp9lQAD", "0014P00003YSp9lQAD")</f>
        <v>0014P00003YSp9lQAD</v>
      </c>
      <c r="B549" s="2" t="s">
        <v>2573</v>
      </c>
      <c r="C549" s="2" t="s">
        <v>423</v>
      </c>
      <c r="D549" s="2" t="s">
        <v>2</v>
      </c>
      <c r="E549" s="2">
        <v>20</v>
      </c>
      <c r="F549" s="2">
        <v>8</v>
      </c>
      <c r="G549" s="2">
        <v>2</v>
      </c>
      <c r="H549" s="2">
        <v>12000</v>
      </c>
      <c r="I549" s="2">
        <v>242</v>
      </c>
      <c r="J549" s="2" t="s">
        <v>1671</v>
      </c>
      <c r="K549" s="2">
        <v>43</v>
      </c>
      <c r="L549" s="2">
        <v>10</v>
      </c>
      <c r="M549" s="2">
        <v>10</v>
      </c>
      <c r="N549" s="2">
        <v>6</v>
      </c>
      <c r="O549" s="2">
        <v>5</v>
      </c>
      <c r="P549" s="2">
        <v>12</v>
      </c>
      <c r="Q549" s="2" t="s">
        <v>2574</v>
      </c>
      <c r="R549" s="2" t="s">
        <v>2575</v>
      </c>
      <c r="S549" s="4">
        <v>44837</v>
      </c>
    </row>
    <row r="550" spans="1:19" ht="12.5" x14ac:dyDescent="0.25">
      <c r="A550" s="14" t="str">
        <f>HYPERLINK("https://gerandofalcoes.my.salesforce.com/0014P00003YSp9mQAD", "0014P00003YSp9mQAD")</f>
        <v>0014P00003YSp9mQAD</v>
      </c>
      <c r="B550" s="2" t="s">
        <v>1665</v>
      </c>
      <c r="C550" s="2" t="s">
        <v>423</v>
      </c>
      <c r="D550" s="2" t="s">
        <v>27</v>
      </c>
      <c r="E550" s="2">
        <v>38</v>
      </c>
      <c r="F550" s="2">
        <v>15</v>
      </c>
      <c r="G550" s="2">
        <v>6</v>
      </c>
      <c r="H550" s="2">
        <v>1000000</v>
      </c>
      <c r="I550" s="2">
        <v>767</v>
      </c>
      <c r="J550" s="2" t="s">
        <v>1654</v>
      </c>
      <c r="K550" s="2">
        <v>82</v>
      </c>
      <c r="L550" s="2">
        <v>15</v>
      </c>
      <c r="M550" s="2">
        <v>12</v>
      </c>
      <c r="N550" s="2">
        <v>10</v>
      </c>
      <c r="O550" s="2">
        <v>25</v>
      </c>
      <c r="P550" s="2">
        <v>20</v>
      </c>
      <c r="Q550" s="2" t="s">
        <v>1666</v>
      </c>
      <c r="R550" s="2" t="s">
        <v>1667</v>
      </c>
      <c r="S550" s="4">
        <v>44837</v>
      </c>
    </row>
    <row r="551" spans="1:19" ht="12.5" x14ac:dyDescent="0.25">
      <c r="A551" s="14" t="str">
        <f>HYPERLINK("https://gerandofalcoes.my.salesforce.com/0014P00003YSp9qQAD", "0014P00003YSp9qQAD")</f>
        <v>0014P00003YSp9qQAD</v>
      </c>
      <c r="B551" s="2" t="s">
        <v>2792</v>
      </c>
      <c r="C551" s="2" t="s">
        <v>1800</v>
      </c>
      <c r="D551" s="2" t="s">
        <v>2</v>
      </c>
      <c r="E551" s="2">
        <v>13</v>
      </c>
      <c r="F551" s="2">
        <v>0</v>
      </c>
      <c r="G551" s="2">
        <v>4</v>
      </c>
      <c r="H551" s="2">
        <v>3000</v>
      </c>
      <c r="I551" s="2">
        <v>60</v>
      </c>
      <c r="J551" s="2" t="s">
        <v>1779</v>
      </c>
      <c r="K551" s="2">
        <v>30</v>
      </c>
      <c r="L551" s="2">
        <v>10</v>
      </c>
      <c r="M551" s="2">
        <v>0</v>
      </c>
      <c r="N551" s="2">
        <v>10</v>
      </c>
      <c r="O551" s="2">
        <v>5</v>
      </c>
      <c r="P551" s="2">
        <v>5</v>
      </c>
      <c r="Q551" s="2" t="s">
        <v>2793</v>
      </c>
      <c r="R551" s="2" t="s">
        <v>2794</v>
      </c>
      <c r="S551" s="4">
        <v>44837</v>
      </c>
    </row>
    <row r="552" spans="1:19" ht="12.5" x14ac:dyDescent="0.25">
      <c r="A552" s="14" t="str">
        <f>HYPERLINK("https://gerandofalcoes.my.salesforce.com/0014P00003YSp9rQAD", "0014P00003YSp9rQAD")</f>
        <v>0014P00003YSp9rQAD</v>
      </c>
      <c r="B552" s="2" t="s">
        <v>2070</v>
      </c>
      <c r="C552" s="2" t="s">
        <v>1800</v>
      </c>
      <c r="D552" s="2" t="s">
        <v>2</v>
      </c>
      <c r="E552" s="2">
        <v>36</v>
      </c>
      <c r="F552" s="2">
        <v>7</v>
      </c>
      <c r="G552" s="2">
        <v>3</v>
      </c>
      <c r="H552" s="2">
        <v>0</v>
      </c>
      <c r="I552" s="2">
        <v>120</v>
      </c>
      <c r="J552" s="2" t="s">
        <v>1671</v>
      </c>
      <c r="K552" s="2">
        <v>43</v>
      </c>
      <c r="L552" s="2">
        <v>15</v>
      </c>
      <c r="M552" s="2">
        <v>10</v>
      </c>
      <c r="N552" s="2">
        <v>8</v>
      </c>
      <c r="O552" s="2">
        <v>0</v>
      </c>
      <c r="P552" s="2">
        <v>10</v>
      </c>
      <c r="Q552" s="2" t="s">
        <v>2071</v>
      </c>
      <c r="R552" s="2" t="s">
        <v>2072</v>
      </c>
      <c r="S552" s="4">
        <v>44837</v>
      </c>
    </row>
    <row r="553" spans="1:19" ht="12.5" x14ac:dyDescent="0.25">
      <c r="A553" s="14" t="str">
        <f>HYPERLINK("https://gerandofalcoes.my.salesforce.com/0014P00003YSp9tQAD", "0014P00003YSp9tQAD")</f>
        <v>0014P00003YSp9tQAD</v>
      </c>
      <c r="B553" s="2" t="s">
        <v>2022</v>
      </c>
      <c r="C553" s="2" t="s">
        <v>1684</v>
      </c>
      <c r="D553" s="2" t="s">
        <v>2</v>
      </c>
      <c r="E553" s="2">
        <v>38</v>
      </c>
      <c r="F553" s="2">
        <v>0</v>
      </c>
      <c r="G553" s="2">
        <v>0</v>
      </c>
      <c r="H553" s="2">
        <v>0</v>
      </c>
      <c r="I553" s="2">
        <v>0</v>
      </c>
      <c r="J553" s="2" t="s">
        <v>1779</v>
      </c>
      <c r="K553" s="2">
        <v>15</v>
      </c>
      <c r="L553" s="2">
        <v>15</v>
      </c>
      <c r="M553" s="2">
        <v>0</v>
      </c>
      <c r="N553" s="2">
        <v>0</v>
      </c>
      <c r="O553" s="2">
        <v>0</v>
      </c>
      <c r="P553" s="2">
        <v>0</v>
      </c>
      <c r="Q553" s="2" t="s">
        <v>2023</v>
      </c>
      <c r="R553" s="2" t="s">
        <v>2024</v>
      </c>
      <c r="S553" s="4">
        <v>44837</v>
      </c>
    </row>
    <row r="554" spans="1:19" ht="12.5" x14ac:dyDescent="0.25">
      <c r="A554" s="14" t="str">
        <f>HYPERLINK("https://gerandofalcoes.my.salesforce.com/0014P00003YSp9vQAD", "0014P00003YSp9vQAD")</f>
        <v>0014P00003YSp9vQAD</v>
      </c>
      <c r="B554" s="2" t="s">
        <v>2884</v>
      </c>
      <c r="C554" s="2" t="s">
        <v>423</v>
      </c>
      <c r="D554" s="2" t="s">
        <v>2</v>
      </c>
      <c r="E554" s="2">
        <v>9</v>
      </c>
      <c r="F554" s="2">
        <v>0</v>
      </c>
      <c r="G554" s="2">
        <v>2</v>
      </c>
      <c r="H554" s="2">
        <v>11000</v>
      </c>
      <c r="I554" s="2">
        <v>400</v>
      </c>
      <c r="J554" s="2" t="s">
        <v>1779</v>
      </c>
      <c r="K554" s="2">
        <v>36</v>
      </c>
      <c r="L554" s="2">
        <v>10</v>
      </c>
      <c r="M554" s="2">
        <v>0</v>
      </c>
      <c r="N554" s="2">
        <v>6</v>
      </c>
      <c r="O554" s="2">
        <v>5</v>
      </c>
      <c r="P554" s="2">
        <v>15</v>
      </c>
      <c r="Q554" s="2" t="s">
        <v>2885</v>
      </c>
      <c r="R554" s="2" t="s">
        <v>2886</v>
      </c>
      <c r="S554" s="4">
        <v>44837</v>
      </c>
    </row>
    <row r="555" spans="1:19" ht="12.5" x14ac:dyDescent="0.25">
      <c r="A555" s="14" t="str">
        <f>HYPERLINK("https://gerandofalcoes.my.salesforce.com/0014P00003YSp9wQAD", "0014P00003YSp9wQAD")</f>
        <v>0014P00003YSp9wQAD</v>
      </c>
      <c r="B555" s="2" t="s">
        <v>2497</v>
      </c>
      <c r="C555" s="2" t="s">
        <v>423</v>
      </c>
      <c r="D555" s="2" t="s">
        <v>2</v>
      </c>
      <c r="E555" s="2">
        <v>25</v>
      </c>
      <c r="F555" s="2">
        <v>6</v>
      </c>
      <c r="G555" s="2">
        <v>2</v>
      </c>
      <c r="H555" s="2">
        <v>15000</v>
      </c>
      <c r="I555" s="2">
        <v>19</v>
      </c>
      <c r="J555" s="2" t="s">
        <v>1671</v>
      </c>
      <c r="K555" s="2">
        <v>41</v>
      </c>
      <c r="L555" s="2">
        <v>15</v>
      </c>
      <c r="M555" s="2">
        <v>10</v>
      </c>
      <c r="N555" s="2">
        <v>6</v>
      </c>
      <c r="O555" s="2">
        <v>5</v>
      </c>
      <c r="P555" s="2">
        <v>5</v>
      </c>
      <c r="Q555" s="2" t="s">
        <v>2498</v>
      </c>
      <c r="R555" s="2" t="s">
        <v>2498</v>
      </c>
      <c r="S555" s="4">
        <v>44837</v>
      </c>
    </row>
    <row r="556" spans="1:19" ht="12.5" x14ac:dyDescent="0.25">
      <c r="A556" s="14" t="str">
        <f>HYPERLINK("https://gerandofalcoes.my.salesforce.com/0014P00003YSpA0QAL", "0014P00003YSpA0QAL")</f>
        <v>0014P00003YSpA0QAL</v>
      </c>
      <c r="B556" s="2" t="s">
        <v>2734</v>
      </c>
      <c r="C556" s="2" t="s">
        <v>423</v>
      </c>
      <c r="D556" s="2" t="s">
        <v>2</v>
      </c>
      <c r="E556" s="2">
        <v>8</v>
      </c>
      <c r="F556" s="2">
        <v>10</v>
      </c>
      <c r="G556" s="2">
        <v>2</v>
      </c>
      <c r="H556" s="2">
        <v>20000</v>
      </c>
      <c r="I556" s="2">
        <v>163</v>
      </c>
      <c r="J556" s="2" t="s">
        <v>1671</v>
      </c>
      <c r="K556" s="2">
        <v>43</v>
      </c>
      <c r="L556" s="2">
        <v>10</v>
      </c>
      <c r="M556" s="2">
        <v>10</v>
      </c>
      <c r="N556" s="2">
        <v>6</v>
      </c>
      <c r="O556" s="2">
        <v>5</v>
      </c>
      <c r="P556" s="2">
        <v>12</v>
      </c>
      <c r="Q556" s="2" t="s">
        <v>2735</v>
      </c>
      <c r="R556" s="2" t="s">
        <v>2736</v>
      </c>
      <c r="S556" s="4">
        <v>44837</v>
      </c>
    </row>
    <row r="557" spans="1:19" ht="12.5" x14ac:dyDescent="0.25">
      <c r="A557" s="14" t="str">
        <f>HYPERLINK("https://gerandofalcoes.my.salesforce.com/0014P00003YSpA1QAL", "0014P00003YSpA1QAL")</f>
        <v>0014P00003YSpA1QAL</v>
      </c>
      <c r="B557" s="2" t="s">
        <v>2238</v>
      </c>
      <c r="C557" s="2" t="s">
        <v>1800</v>
      </c>
      <c r="D557" s="2" t="s">
        <v>2</v>
      </c>
      <c r="E557" s="2">
        <v>31</v>
      </c>
      <c r="F557" s="2">
        <v>0</v>
      </c>
      <c r="G557" s="2">
        <v>2</v>
      </c>
      <c r="H557" s="2">
        <v>50000</v>
      </c>
      <c r="I557" s="2">
        <v>41</v>
      </c>
      <c r="J557" s="2" t="s">
        <v>1779</v>
      </c>
      <c r="K557" s="2">
        <v>36</v>
      </c>
      <c r="L557" s="2">
        <v>15</v>
      </c>
      <c r="M557" s="2">
        <v>0</v>
      </c>
      <c r="N557" s="2">
        <v>6</v>
      </c>
      <c r="O557" s="2">
        <v>10</v>
      </c>
      <c r="P557" s="2">
        <v>5</v>
      </c>
      <c r="Q557" s="2" t="s">
        <v>2239</v>
      </c>
      <c r="R557" s="2" t="s">
        <v>2239</v>
      </c>
      <c r="S557" s="4">
        <v>44837</v>
      </c>
    </row>
    <row r="558" spans="1:19" ht="12.5" x14ac:dyDescent="0.25">
      <c r="A558" s="14" t="str">
        <f>HYPERLINK("https://gerandofalcoes.my.salesforce.com/0014P00003YSpA2QAL", "0014P00003YSpA2QAL")</f>
        <v>0014P00003YSpA2QAL</v>
      </c>
      <c r="B558" s="2" t="s">
        <v>2469</v>
      </c>
      <c r="C558" s="2" t="s">
        <v>423</v>
      </c>
      <c r="D558" s="2" t="s">
        <v>2</v>
      </c>
      <c r="E558" s="2">
        <v>23</v>
      </c>
      <c r="F558" s="2">
        <v>0</v>
      </c>
      <c r="G558" s="2">
        <v>2</v>
      </c>
      <c r="H558" s="2">
        <v>12000</v>
      </c>
      <c r="I558" s="2">
        <v>306</v>
      </c>
      <c r="J558" s="2" t="s">
        <v>1779</v>
      </c>
      <c r="K558" s="2">
        <v>36</v>
      </c>
      <c r="L558" s="2">
        <v>10</v>
      </c>
      <c r="M558" s="2">
        <v>0</v>
      </c>
      <c r="N558" s="2">
        <v>6</v>
      </c>
      <c r="O558" s="2">
        <v>5</v>
      </c>
      <c r="P558" s="2">
        <v>15</v>
      </c>
      <c r="Q558" s="2" t="s">
        <v>2470</v>
      </c>
      <c r="R558" s="2" t="s">
        <v>2471</v>
      </c>
      <c r="S558" s="4">
        <v>44837</v>
      </c>
    </row>
    <row r="559" spans="1:19" ht="12.5" x14ac:dyDescent="0.25">
      <c r="A559" s="14" t="str">
        <f>HYPERLINK("https://gerandofalcoes.my.salesforce.com/0014P00003YSpA3QAL", "0014P00003YSpA3QAL")</f>
        <v>0014P00003YSpA3QAL</v>
      </c>
      <c r="B559" s="2" t="s">
        <v>1910</v>
      </c>
      <c r="C559" s="2" t="s">
        <v>1800</v>
      </c>
      <c r="D559" s="2" t="s">
        <v>2</v>
      </c>
      <c r="E559" s="2">
        <v>43</v>
      </c>
      <c r="F559" s="2">
        <v>10</v>
      </c>
      <c r="G559" s="2">
        <v>2</v>
      </c>
      <c r="H559" s="2">
        <v>15000</v>
      </c>
      <c r="I559" s="2">
        <v>100</v>
      </c>
      <c r="J559" s="2" t="s">
        <v>1671</v>
      </c>
      <c r="K559" s="2">
        <v>46</v>
      </c>
      <c r="L559" s="2">
        <v>15</v>
      </c>
      <c r="M559" s="2">
        <v>10</v>
      </c>
      <c r="N559" s="2">
        <v>6</v>
      </c>
      <c r="O559" s="2">
        <v>5</v>
      </c>
      <c r="P559" s="2">
        <v>10</v>
      </c>
      <c r="Q559" s="2" t="s">
        <v>1911</v>
      </c>
      <c r="R559" s="2" t="s">
        <v>1912</v>
      </c>
      <c r="S559" s="4">
        <v>44837</v>
      </c>
    </row>
    <row r="560" spans="1:19" ht="12.5" x14ac:dyDescent="0.25">
      <c r="A560" s="14" t="str">
        <f>HYPERLINK("https://gerandofalcoes.my.salesforce.com/0014P00003YSpA5QAL", "0014P00003YSpA5QAL")</f>
        <v>0014P00003YSpA5QAL</v>
      </c>
      <c r="B560" s="2" t="s">
        <v>1983</v>
      </c>
      <c r="C560" s="2" t="s">
        <v>1800</v>
      </c>
      <c r="D560" s="2" t="s">
        <v>2</v>
      </c>
      <c r="E560" s="2">
        <v>39</v>
      </c>
      <c r="F560" s="2">
        <v>2</v>
      </c>
      <c r="G560" s="2">
        <v>5</v>
      </c>
      <c r="H560" s="2">
        <v>90000</v>
      </c>
      <c r="I560" s="2">
        <v>350</v>
      </c>
      <c r="J560" s="2" t="s">
        <v>1671</v>
      </c>
      <c r="K560" s="2">
        <v>55</v>
      </c>
      <c r="L560" s="2">
        <v>15</v>
      </c>
      <c r="M560" s="2">
        <v>5</v>
      </c>
      <c r="N560" s="2">
        <v>10</v>
      </c>
      <c r="O560" s="2">
        <v>10</v>
      </c>
      <c r="P560" s="2">
        <v>15</v>
      </c>
      <c r="Q560" s="2" t="s">
        <v>1984</v>
      </c>
      <c r="R560" s="2" t="s">
        <v>1985</v>
      </c>
      <c r="S560" s="4">
        <v>44837</v>
      </c>
    </row>
    <row r="561" spans="1:19" ht="12.5" x14ac:dyDescent="0.25">
      <c r="A561" s="14" t="str">
        <f>HYPERLINK("https://gerandofalcoes.my.salesforce.com/0014P00003YSpA7QAL", "0014P00003YSpA7QAL")</f>
        <v>0014P00003YSpA7QAL</v>
      </c>
      <c r="B561" s="2" t="s">
        <v>2818</v>
      </c>
      <c r="C561" s="2" t="s">
        <v>423</v>
      </c>
      <c r="D561" s="2" t="s">
        <v>2</v>
      </c>
      <c r="E561" s="2">
        <v>36</v>
      </c>
      <c r="F561" s="2">
        <v>1</v>
      </c>
      <c r="G561" s="2">
        <v>2</v>
      </c>
      <c r="H561" s="2">
        <v>30000</v>
      </c>
      <c r="I561" s="2">
        <v>0</v>
      </c>
      <c r="J561" s="2" t="s">
        <v>1779</v>
      </c>
      <c r="K561" s="2">
        <v>36</v>
      </c>
      <c r="L561" s="2">
        <v>15</v>
      </c>
      <c r="M561" s="2">
        <v>5</v>
      </c>
      <c r="N561" s="2">
        <v>6</v>
      </c>
      <c r="O561" s="2">
        <v>10</v>
      </c>
      <c r="P561" s="2">
        <v>0</v>
      </c>
      <c r="Q561" s="2" t="s">
        <v>2819</v>
      </c>
      <c r="R561" s="2" t="s">
        <v>2819</v>
      </c>
      <c r="S561" s="4">
        <v>44837</v>
      </c>
    </row>
    <row r="562" spans="1:19" ht="12.5" x14ac:dyDescent="0.25">
      <c r="A562" s="14" t="str">
        <f>HYPERLINK("https://gerandofalcoes.my.salesforce.com/0014P00003YSpA8QAL", "0014P00003YSpA8QAL")</f>
        <v>0014P00003YSpA8QAL</v>
      </c>
      <c r="B562" s="2" t="s">
        <v>2647</v>
      </c>
      <c r="C562" s="2" t="s">
        <v>1800</v>
      </c>
      <c r="D562" s="2" t="s">
        <v>2</v>
      </c>
      <c r="E562" s="2">
        <v>18</v>
      </c>
      <c r="F562" s="2">
        <v>0</v>
      </c>
      <c r="G562" s="2">
        <v>2</v>
      </c>
      <c r="H562" s="2">
        <v>0</v>
      </c>
      <c r="I562" s="2">
        <v>0</v>
      </c>
      <c r="J562" s="2" t="s">
        <v>1779</v>
      </c>
      <c r="K562" s="2">
        <v>16</v>
      </c>
      <c r="L562" s="2">
        <v>10</v>
      </c>
      <c r="M562" s="2">
        <v>0</v>
      </c>
      <c r="N562" s="2">
        <v>6</v>
      </c>
      <c r="O562" s="2">
        <v>0</v>
      </c>
      <c r="P562" s="2">
        <v>0</v>
      </c>
      <c r="Q562" s="2" t="s">
        <v>2648</v>
      </c>
      <c r="R562" s="2" t="s">
        <v>2648</v>
      </c>
      <c r="S562" s="4">
        <v>44837</v>
      </c>
    </row>
    <row r="563" spans="1:19" ht="12.5" x14ac:dyDescent="0.25">
      <c r="A563" s="14" t="str">
        <f>HYPERLINK("https://gerandofalcoes.my.salesforce.com/0014P00003YSp9xQAD", "0014P00003YSp9xQAD")</f>
        <v>0014P00003YSp9xQAD</v>
      </c>
      <c r="B563" s="2" t="s">
        <v>2330</v>
      </c>
      <c r="C563" s="2" t="s">
        <v>1800</v>
      </c>
      <c r="D563" s="2" t="s">
        <v>2</v>
      </c>
      <c r="E563" s="2">
        <v>28</v>
      </c>
      <c r="F563" s="2">
        <v>0</v>
      </c>
      <c r="G563" s="2">
        <v>2</v>
      </c>
      <c r="H563" s="2">
        <v>120000</v>
      </c>
      <c r="I563" s="2">
        <v>29</v>
      </c>
      <c r="J563" s="2" t="s">
        <v>1671</v>
      </c>
      <c r="K563" s="2">
        <v>41</v>
      </c>
      <c r="L563" s="2">
        <v>15</v>
      </c>
      <c r="M563" s="2">
        <v>0</v>
      </c>
      <c r="N563" s="2">
        <v>6</v>
      </c>
      <c r="O563" s="2">
        <v>15</v>
      </c>
      <c r="P563" s="2">
        <v>5</v>
      </c>
      <c r="Q563" s="2" t="s">
        <v>2331</v>
      </c>
      <c r="R563" s="2" t="s">
        <v>2331</v>
      </c>
      <c r="S563" s="4">
        <v>44837</v>
      </c>
    </row>
    <row r="564" spans="1:19" ht="12.5" x14ac:dyDescent="0.25">
      <c r="A564" s="14" t="str">
        <f>HYPERLINK("https://gerandofalcoes.my.salesforce.com/0014P00003YSpA9QAL", "0014P00003YSpA9QAL")</f>
        <v>0014P00003YSpA9QAL</v>
      </c>
      <c r="B564" s="2" t="s">
        <v>1835</v>
      </c>
      <c r="C564" s="2" t="s">
        <v>423</v>
      </c>
      <c r="D564" s="2" t="s">
        <v>2</v>
      </c>
      <c r="E564" s="2">
        <v>31</v>
      </c>
      <c r="F564" s="2">
        <v>0</v>
      </c>
      <c r="G564" s="2">
        <v>7</v>
      </c>
      <c r="H564" s="2">
        <v>29668</v>
      </c>
      <c r="I564" s="2">
        <v>175</v>
      </c>
      <c r="J564" s="2" t="s">
        <v>1671</v>
      </c>
      <c r="K564" s="2">
        <v>47</v>
      </c>
      <c r="L564" s="2">
        <v>15</v>
      </c>
      <c r="M564" s="2">
        <v>0</v>
      </c>
      <c r="N564" s="2">
        <v>10</v>
      </c>
      <c r="O564" s="2">
        <v>10</v>
      </c>
      <c r="P564" s="2">
        <v>12</v>
      </c>
      <c r="Q564" s="2" t="s">
        <v>1836</v>
      </c>
      <c r="R564" s="2" t="s">
        <v>7152</v>
      </c>
      <c r="S564" s="4">
        <v>44837</v>
      </c>
    </row>
    <row r="565" spans="1:19" ht="12.5" x14ac:dyDescent="0.25">
      <c r="A565" s="14" t="str">
        <f>HYPERLINK("https://gerandofalcoes.my.salesforce.com/0014P00003YSpAAQA1", "0014P00003YSpAAQA1")</f>
        <v>0014P00003YSpAAQA1</v>
      </c>
      <c r="B565" s="2" t="s">
        <v>2428</v>
      </c>
      <c r="C565" s="2" t="s">
        <v>1684</v>
      </c>
      <c r="D565" s="2" t="s">
        <v>2</v>
      </c>
      <c r="E565" s="2">
        <v>25</v>
      </c>
      <c r="F565" s="2">
        <v>0</v>
      </c>
      <c r="G565" s="2">
        <v>0</v>
      </c>
      <c r="H565" s="2">
        <v>0</v>
      </c>
      <c r="I565" s="2">
        <v>0</v>
      </c>
      <c r="J565" s="2" t="s">
        <v>1779</v>
      </c>
      <c r="K565" s="2">
        <v>15</v>
      </c>
      <c r="L565" s="2">
        <v>15</v>
      </c>
      <c r="M565" s="2">
        <v>0</v>
      </c>
      <c r="N565" s="2">
        <v>0</v>
      </c>
      <c r="O565" s="2">
        <v>0</v>
      </c>
      <c r="P565" s="2">
        <v>0</v>
      </c>
      <c r="Q565" s="2" t="s">
        <v>2429</v>
      </c>
      <c r="R565" s="2" t="s">
        <v>2430</v>
      </c>
      <c r="S565" s="4">
        <v>44837</v>
      </c>
    </row>
    <row r="566" spans="1:19" ht="12.5" x14ac:dyDescent="0.25">
      <c r="A566" s="14" t="str">
        <f>HYPERLINK("https://gerandofalcoes.my.salesforce.com/0014P00003YSp9yQAD", "0014P00003YSp9yQAD")</f>
        <v>0014P00003YSp9yQAD</v>
      </c>
      <c r="B566" s="2" t="s">
        <v>2007</v>
      </c>
      <c r="C566" s="2" t="s">
        <v>1800</v>
      </c>
      <c r="D566" s="2" t="s">
        <v>2</v>
      </c>
      <c r="E566" s="2">
        <v>38</v>
      </c>
      <c r="F566" s="2">
        <v>63</v>
      </c>
      <c r="G566" s="2">
        <v>3</v>
      </c>
      <c r="H566" s="2">
        <v>750106</v>
      </c>
      <c r="I566" s="2">
        <v>900</v>
      </c>
      <c r="J566" s="2" t="s">
        <v>1650</v>
      </c>
      <c r="K566" s="2">
        <v>78</v>
      </c>
      <c r="L566" s="2">
        <v>15</v>
      </c>
      <c r="M566" s="2">
        <v>15</v>
      </c>
      <c r="N566" s="2">
        <v>8</v>
      </c>
      <c r="O566" s="2">
        <v>20</v>
      </c>
      <c r="P566" s="2">
        <v>20</v>
      </c>
      <c r="Q566" s="2" t="s">
        <v>2008</v>
      </c>
      <c r="R566" s="2" t="s">
        <v>2009</v>
      </c>
      <c r="S566" s="4">
        <v>44837</v>
      </c>
    </row>
    <row r="567" spans="1:19" ht="12.5" x14ac:dyDescent="0.25">
      <c r="A567" s="14" t="str">
        <f>HYPERLINK("https://gerandofalcoes.my.salesforce.com/0014P00003YSp9zQAD", "0014P00003YSp9zQAD")</f>
        <v>0014P00003YSp9zQAD</v>
      </c>
      <c r="B567" s="2" t="s">
        <v>1776</v>
      </c>
      <c r="C567" s="2" t="s">
        <v>423</v>
      </c>
      <c r="D567" s="2" t="s">
        <v>2</v>
      </c>
      <c r="E567" s="2">
        <v>34</v>
      </c>
      <c r="F567" s="2">
        <v>0</v>
      </c>
      <c r="G567" s="2">
        <v>2</v>
      </c>
      <c r="H567" s="2">
        <v>120000</v>
      </c>
      <c r="I567" s="2">
        <v>450</v>
      </c>
      <c r="J567" s="2" t="s">
        <v>1671</v>
      </c>
      <c r="K567" s="2">
        <v>56</v>
      </c>
      <c r="L567" s="2">
        <v>15</v>
      </c>
      <c r="M567" s="2">
        <v>0</v>
      </c>
      <c r="N567" s="2">
        <v>6</v>
      </c>
      <c r="O567" s="2">
        <v>15</v>
      </c>
      <c r="P567" s="2">
        <v>20</v>
      </c>
      <c r="Q567" s="2" t="s">
        <v>1777</v>
      </c>
      <c r="R567" s="2" t="s">
        <v>1777</v>
      </c>
      <c r="S567" s="4">
        <v>44837</v>
      </c>
    </row>
    <row r="568" spans="1:19" ht="12.5" x14ac:dyDescent="0.25">
      <c r="A568" s="14" t="str">
        <f>HYPERLINK("https://gerandofalcoes.my.salesforce.com/0014P00003YSpACQA1", "0014P00003YSpACQA1")</f>
        <v>0014P00003YSpACQA1</v>
      </c>
      <c r="B568" s="2" t="s">
        <v>2601</v>
      </c>
      <c r="C568" s="2" t="s">
        <v>1800</v>
      </c>
      <c r="D568" s="2" t="s">
        <v>2</v>
      </c>
      <c r="E568" s="2">
        <v>19</v>
      </c>
      <c r="F568" s="2">
        <v>2</v>
      </c>
      <c r="G568" s="2">
        <v>2</v>
      </c>
      <c r="H568" s="2">
        <v>0</v>
      </c>
      <c r="I568" s="2">
        <v>120</v>
      </c>
      <c r="J568" s="2" t="s">
        <v>1779</v>
      </c>
      <c r="K568" s="2">
        <v>31</v>
      </c>
      <c r="L568" s="2">
        <v>10</v>
      </c>
      <c r="M568" s="2">
        <v>5</v>
      </c>
      <c r="N568" s="2">
        <v>6</v>
      </c>
      <c r="O568" s="2">
        <v>0</v>
      </c>
      <c r="P568" s="2">
        <v>10</v>
      </c>
      <c r="Q568" s="2" t="s">
        <v>2602</v>
      </c>
      <c r="R568" s="2" t="s">
        <v>2602</v>
      </c>
      <c r="S568" s="4">
        <v>44837</v>
      </c>
    </row>
    <row r="569" spans="1:19" ht="12.5" x14ac:dyDescent="0.25">
      <c r="A569" s="14" t="str">
        <f>HYPERLINK("https://gerandofalcoes.my.salesforce.com/0014P00003YSpADQA1", "0014P00003YSpADQA1")</f>
        <v>0014P00003YSpADQA1</v>
      </c>
      <c r="B569" s="2" t="s">
        <v>1736</v>
      </c>
      <c r="C569" s="2" t="s">
        <v>423</v>
      </c>
      <c r="D569" s="2" t="s">
        <v>2</v>
      </c>
      <c r="E569" s="2">
        <v>41</v>
      </c>
      <c r="F569" s="2">
        <v>10</v>
      </c>
      <c r="G569" s="2">
        <v>4</v>
      </c>
      <c r="H569" s="2">
        <v>296560</v>
      </c>
      <c r="I569" s="2">
        <v>71</v>
      </c>
      <c r="J569" s="2" t="s">
        <v>1671</v>
      </c>
      <c r="K569" s="2">
        <v>55</v>
      </c>
      <c r="L569" s="2">
        <v>15</v>
      </c>
      <c r="M569" s="2">
        <v>10</v>
      </c>
      <c r="N569" s="2">
        <v>10</v>
      </c>
      <c r="O569" s="2">
        <v>15</v>
      </c>
      <c r="P569" s="2">
        <v>5</v>
      </c>
      <c r="Q569" s="2" t="s">
        <v>1737</v>
      </c>
      <c r="R569" s="2" t="s">
        <v>1737</v>
      </c>
      <c r="S569" s="4">
        <v>44837</v>
      </c>
    </row>
    <row r="570" spans="1:19" ht="12.5" x14ac:dyDescent="0.25">
      <c r="A570" s="14" t="str">
        <f>HYPERLINK("https://gerandofalcoes.my.salesforce.com/0014P00003YSpAEQA1", "0014P00003YSpAEQA1")</f>
        <v>0014P00003YSpAEQA1</v>
      </c>
      <c r="B570" s="2" t="s">
        <v>2962</v>
      </c>
      <c r="C570" s="2" t="s">
        <v>423</v>
      </c>
      <c r="D570" s="2" t="s">
        <v>2</v>
      </c>
      <c r="E570" s="2">
        <v>17</v>
      </c>
      <c r="F570" s="2">
        <v>0</v>
      </c>
      <c r="G570" s="2">
        <v>5</v>
      </c>
      <c r="H570" s="2">
        <v>13000</v>
      </c>
      <c r="I570" s="2">
        <v>302</v>
      </c>
      <c r="J570" s="2" t="s">
        <v>1671</v>
      </c>
      <c r="K570" s="2">
        <v>40</v>
      </c>
      <c r="L570" s="2">
        <v>10</v>
      </c>
      <c r="M570" s="2">
        <v>0</v>
      </c>
      <c r="N570" s="2">
        <v>10</v>
      </c>
      <c r="O570" s="2">
        <v>5</v>
      </c>
      <c r="P570" s="2">
        <v>15</v>
      </c>
      <c r="Q570" s="2" t="s">
        <v>2963</v>
      </c>
      <c r="R570" s="2" t="s">
        <v>2964</v>
      </c>
      <c r="S570" s="4">
        <v>44837</v>
      </c>
    </row>
    <row r="571" spans="1:19" ht="12.5" x14ac:dyDescent="0.25">
      <c r="A571" s="14" t="str">
        <f>HYPERLINK("https://gerandofalcoes.my.salesforce.com/0014P00003YSpAFQA1", "0014P00003YSpAFQA1")</f>
        <v>0014P00003YSpAFQA1</v>
      </c>
      <c r="B571" s="2" t="s">
        <v>2191</v>
      </c>
      <c r="C571" s="2" t="s">
        <v>1684</v>
      </c>
      <c r="D571" s="2" t="s">
        <v>2</v>
      </c>
      <c r="E571" s="2">
        <v>33</v>
      </c>
      <c r="F571" s="2">
        <v>3</v>
      </c>
      <c r="G571" s="2">
        <v>0</v>
      </c>
      <c r="H571" s="2">
        <v>0</v>
      </c>
      <c r="I571" s="2">
        <v>0</v>
      </c>
      <c r="J571" s="2" t="s">
        <v>1779</v>
      </c>
      <c r="K571" s="2">
        <v>20</v>
      </c>
      <c r="L571" s="2">
        <v>15</v>
      </c>
      <c r="M571" s="2">
        <v>5</v>
      </c>
      <c r="N571" s="2">
        <v>0</v>
      </c>
      <c r="O571" s="2">
        <v>0</v>
      </c>
      <c r="P571" s="2">
        <v>0</v>
      </c>
      <c r="Q571" s="2" t="s">
        <v>2192</v>
      </c>
      <c r="R571" s="2" t="s">
        <v>2193</v>
      </c>
      <c r="S571" s="4">
        <v>44837</v>
      </c>
    </row>
    <row r="572" spans="1:19" ht="12.5" x14ac:dyDescent="0.25">
      <c r="A572" s="14" t="str">
        <f>HYPERLINK("https://gerandofalcoes.my.salesforce.com/0014P00003YSpAGQA1", "0014P00003YSpAGQA1")</f>
        <v>0014P00003YSpAGQA1</v>
      </c>
      <c r="B572" s="2" t="s">
        <v>2850</v>
      </c>
      <c r="C572" s="2" t="s">
        <v>423</v>
      </c>
      <c r="D572" s="2" t="s">
        <v>2</v>
      </c>
      <c r="E572" s="2">
        <v>20</v>
      </c>
      <c r="F572" s="2">
        <v>0</v>
      </c>
      <c r="G572" s="2">
        <v>3</v>
      </c>
      <c r="H572" s="2">
        <v>47469</v>
      </c>
      <c r="I572" s="2">
        <v>500</v>
      </c>
      <c r="J572" s="2" t="s">
        <v>1671</v>
      </c>
      <c r="K572" s="2">
        <v>48</v>
      </c>
      <c r="L572" s="2">
        <v>10</v>
      </c>
      <c r="M572" s="2">
        <v>0</v>
      </c>
      <c r="N572" s="2">
        <v>8</v>
      </c>
      <c r="O572" s="2">
        <v>10</v>
      </c>
      <c r="P572" s="2">
        <v>20</v>
      </c>
      <c r="Q572" s="2" t="s">
        <v>2851</v>
      </c>
      <c r="R572" s="2" t="s">
        <v>2852</v>
      </c>
      <c r="S572" s="4">
        <v>44837</v>
      </c>
    </row>
    <row r="573" spans="1:19" ht="12.5" x14ac:dyDescent="0.25">
      <c r="A573" s="14" t="str">
        <f>HYPERLINK("https://gerandofalcoes.my.salesforce.com/0014P00003YSpAHQA1", "0014P00003YSpAHQA1")</f>
        <v>0014P00003YSpAHQA1</v>
      </c>
      <c r="B573" s="2" t="s">
        <v>1881</v>
      </c>
      <c r="C573" s="2" t="s">
        <v>423</v>
      </c>
      <c r="D573" s="2" t="s">
        <v>2</v>
      </c>
      <c r="E573" s="2">
        <v>28</v>
      </c>
      <c r="F573" s="2">
        <v>34</v>
      </c>
      <c r="G573" s="2">
        <v>3</v>
      </c>
      <c r="H573" s="2">
        <v>250000</v>
      </c>
      <c r="I573" s="2">
        <v>42</v>
      </c>
      <c r="J573" s="2" t="s">
        <v>1671</v>
      </c>
      <c r="K573" s="2">
        <v>58</v>
      </c>
      <c r="L573" s="2">
        <v>15</v>
      </c>
      <c r="M573" s="2">
        <v>15</v>
      </c>
      <c r="N573" s="2">
        <v>8</v>
      </c>
      <c r="O573" s="2">
        <v>15</v>
      </c>
      <c r="P573" s="2">
        <v>5</v>
      </c>
      <c r="Q573" s="2" t="s">
        <v>1882</v>
      </c>
      <c r="R573" s="2" t="s">
        <v>1882</v>
      </c>
      <c r="S573" s="4">
        <v>44837</v>
      </c>
    </row>
    <row r="574" spans="1:19" ht="12.5" x14ac:dyDescent="0.25">
      <c r="A574" s="14" t="str">
        <f>HYPERLINK("https://gerandofalcoes.my.salesforce.com/0014P00003YSpAIQA1", "0014P00003YSpAIQA1")</f>
        <v>0014P00003YSpAIQA1</v>
      </c>
      <c r="B574" s="2" t="s">
        <v>1810</v>
      </c>
      <c r="C574" s="2" t="s">
        <v>423</v>
      </c>
      <c r="D574" s="2" t="s">
        <v>2</v>
      </c>
      <c r="E574" s="2">
        <v>41</v>
      </c>
      <c r="F574" s="2">
        <v>0</v>
      </c>
      <c r="G574" s="2">
        <v>4</v>
      </c>
      <c r="H574" s="2">
        <v>32000</v>
      </c>
      <c r="I574" s="2">
        <v>150</v>
      </c>
      <c r="J574" s="2" t="s">
        <v>1671</v>
      </c>
      <c r="K574" s="2">
        <v>47</v>
      </c>
      <c r="L574" s="2">
        <v>15</v>
      </c>
      <c r="M574" s="2">
        <v>0</v>
      </c>
      <c r="N574" s="2">
        <v>10</v>
      </c>
      <c r="O574" s="2">
        <v>10</v>
      </c>
      <c r="P574" s="2">
        <v>12</v>
      </c>
      <c r="Q574" s="2" t="s">
        <v>1811</v>
      </c>
      <c r="R574" s="2" t="s">
        <v>1812</v>
      </c>
      <c r="S574" s="4">
        <v>44837</v>
      </c>
    </row>
    <row r="575" spans="1:19" ht="12.5" x14ac:dyDescent="0.25">
      <c r="A575" s="14" t="str">
        <f>HYPERLINK("https://gerandofalcoes.my.salesforce.com/0014P00003YSpAJQA1", "0014P00003YSpAJQA1")</f>
        <v>0014P00003YSpAJQA1</v>
      </c>
      <c r="B575" s="2" t="s">
        <v>1822</v>
      </c>
      <c r="C575" s="2" t="s">
        <v>423</v>
      </c>
      <c r="D575" s="2" t="s">
        <v>2</v>
      </c>
      <c r="E575" s="2">
        <v>39</v>
      </c>
      <c r="F575" s="2">
        <v>3</v>
      </c>
      <c r="G575" s="2">
        <v>5</v>
      </c>
      <c r="H575" s="2">
        <v>44000</v>
      </c>
      <c r="I575" s="2">
        <v>200</v>
      </c>
      <c r="J575" s="2" t="s">
        <v>1671</v>
      </c>
      <c r="K575" s="2">
        <v>52</v>
      </c>
      <c r="L575" s="2">
        <v>15</v>
      </c>
      <c r="M575" s="2">
        <v>5</v>
      </c>
      <c r="N575" s="2">
        <v>10</v>
      </c>
      <c r="O575" s="2">
        <v>10</v>
      </c>
      <c r="P575" s="2">
        <v>12</v>
      </c>
      <c r="Q575" s="2" t="s">
        <v>1823</v>
      </c>
      <c r="R575" s="2" t="s">
        <v>1823</v>
      </c>
      <c r="S575" s="4">
        <v>44837</v>
      </c>
    </row>
    <row r="576" spans="1:19" ht="12.5" x14ac:dyDescent="0.25">
      <c r="A576" s="14" t="str">
        <f>HYPERLINK("https://gerandofalcoes.my.salesforce.com/0014P00003YSpAKQA1", "0014P00003YSpAKQA1")</f>
        <v>0014P00003YSpAKQA1</v>
      </c>
      <c r="B576" s="2" t="s">
        <v>2245</v>
      </c>
      <c r="C576" s="2" t="s">
        <v>1800</v>
      </c>
      <c r="D576" s="2" t="s">
        <v>2</v>
      </c>
      <c r="E576" s="2">
        <v>31</v>
      </c>
      <c r="F576" s="2">
        <v>0</v>
      </c>
      <c r="G576" s="2">
        <v>2</v>
      </c>
      <c r="H576" s="2">
        <v>15000</v>
      </c>
      <c r="I576" s="2">
        <v>0</v>
      </c>
      <c r="J576" s="2" t="s">
        <v>1779</v>
      </c>
      <c r="K576" s="2">
        <v>26</v>
      </c>
      <c r="L576" s="2">
        <v>15</v>
      </c>
      <c r="M576" s="2">
        <v>0</v>
      </c>
      <c r="N576" s="2">
        <v>6</v>
      </c>
      <c r="O576" s="2">
        <v>5</v>
      </c>
      <c r="P576" s="2">
        <v>0</v>
      </c>
      <c r="Q576" s="2" t="s">
        <v>2246</v>
      </c>
      <c r="R576" s="2" t="s">
        <v>2246</v>
      </c>
      <c r="S576" s="4">
        <v>44837</v>
      </c>
    </row>
    <row r="577" spans="1:19" ht="12.5" x14ac:dyDescent="0.25">
      <c r="A577" s="14" t="str">
        <f>HYPERLINK("https://gerandofalcoes.my.salesforce.com/0014P00003YSpALQA1", "0014P00003YSpALQA1")</f>
        <v>0014P00003YSpALQA1</v>
      </c>
      <c r="B577" s="2" t="s">
        <v>2106</v>
      </c>
      <c r="C577" s="2" t="s">
        <v>1800</v>
      </c>
      <c r="D577" s="2" t="s">
        <v>2</v>
      </c>
      <c r="E577" s="2">
        <v>35</v>
      </c>
      <c r="F577" s="2">
        <v>7</v>
      </c>
      <c r="G577" s="2">
        <v>6</v>
      </c>
      <c r="H577" s="2">
        <v>83455</v>
      </c>
      <c r="I577" s="2">
        <v>81</v>
      </c>
      <c r="J577" s="2" t="s">
        <v>1671</v>
      </c>
      <c r="K577" s="2">
        <v>55</v>
      </c>
      <c r="L577" s="2">
        <v>15</v>
      </c>
      <c r="M577" s="2">
        <v>10</v>
      </c>
      <c r="N577" s="2">
        <v>10</v>
      </c>
      <c r="O577" s="2">
        <v>10</v>
      </c>
      <c r="P577" s="2">
        <v>10</v>
      </c>
      <c r="Q577" s="2" t="s">
        <v>2107</v>
      </c>
      <c r="R577" s="2" t="s">
        <v>2108</v>
      </c>
      <c r="S577" s="4">
        <v>44837</v>
      </c>
    </row>
    <row r="578" spans="1:19" ht="12.5" x14ac:dyDescent="0.25">
      <c r="A578" s="14" t="str">
        <f>HYPERLINK("https://gerandofalcoes.my.salesforce.com/0014P00003YSpAMQA1", "0014P00003YSpAMQA1")</f>
        <v>0014P00003YSpAMQA1</v>
      </c>
      <c r="B578" s="2" t="s">
        <v>2240</v>
      </c>
      <c r="C578" s="2" t="s">
        <v>1800</v>
      </c>
      <c r="D578" s="2" t="s">
        <v>2</v>
      </c>
      <c r="E578" s="2">
        <v>31</v>
      </c>
      <c r="F578" s="2">
        <v>0</v>
      </c>
      <c r="G578" s="2">
        <v>2</v>
      </c>
      <c r="H578" s="2">
        <v>8000</v>
      </c>
      <c r="I578" s="2">
        <v>21</v>
      </c>
      <c r="J578" s="2" t="s">
        <v>1779</v>
      </c>
      <c r="K578" s="2">
        <v>31</v>
      </c>
      <c r="L578" s="2">
        <v>15</v>
      </c>
      <c r="M578" s="2">
        <v>0</v>
      </c>
      <c r="N578" s="2">
        <v>6</v>
      </c>
      <c r="O578" s="2">
        <v>5</v>
      </c>
      <c r="P578" s="2">
        <v>5</v>
      </c>
      <c r="Q578" s="2" t="s">
        <v>2241</v>
      </c>
      <c r="R578" s="2" t="s">
        <v>2242</v>
      </c>
      <c r="S578" s="4">
        <v>44837</v>
      </c>
    </row>
    <row r="579" spans="1:19" ht="12.5" x14ac:dyDescent="0.25">
      <c r="A579" s="14" t="str">
        <f>HYPERLINK("https://gerandofalcoes.my.salesforce.com/0014P00003YSpA6QAL", "0014P00003YSpA6QAL")</f>
        <v>0014P00003YSpA6QAL</v>
      </c>
      <c r="B579" s="2" t="s">
        <v>2060</v>
      </c>
      <c r="C579" s="2" t="s">
        <v>1800</v>
      </c>
      <c r="D579" s="2" t="s">
        <v>2</v>
      </c>
      <c r="E579" s="2">
        <v>37</v>
      </c>
      <c r="F579" s="2">
        <v>27</v>
      </c>
      <c r="G579" s="2">
        <v>3</v>
      </c>
      <c r="H579" s="2">
        <v>132000</v>
      </c>
      <c r="I579" s="2">
        <v>0</v>
      </c>
      <c r="J579" s="2" t="s">
        <v>1671</v>
      </c>
      <c r="K579" s="2">
        <v>50</v>
      </c>
      <c r="L579" s="2">
        <v>15</v>
      </c>
      <c r="M579" s="2">
        <v>12</v>
      </c>
      <c r="N579" s="2">
        <v>8</v>
      </c>
      <c r="O579" s="2">
        <v>15</v>
      </c>
      <c r="P579" s="2">
        <v>0</v>
      </c>
      <c r="Q579" s="2" t="s">
        <v>2061</v>
      </c>
      <c r="R579" s="2" t="s">
        <v>2061</v>
      </c>
      <c r="S579" s="4">
        <v>44837</v>
      </c>
    </row>
    <row r="580" spans="1:19" ht="12.5" x14ac:dyDescent="0.25">
      <c r="A580" s="14" t="str">
        <f>HYPERLINK("https://gerandofalcoes.my.salesforce.com/0014P00003YSpP9QAL", "0014P00003YSpP9QAL")</f>
        <v>0014P00003YSpP9QAL</v>
      </c>
      <c r="B580" s="2" t="s">
        <v>2752</v>
      </c>
      <c r="C580" s="2" t="s">
        <v>423</v>
      </c>
      <c r="D580" s="2" t="s">
        <v>2</v>
      </c>
      <c r="E580" s="2">
        <v>14</v>
      </c>
      <c r="F580" s="2">
        <v>0</v>
      </c>
      <c r="G580" s="2">
        <v>2</v>
      </c>
      <c r="H580" s="2">
        <v>24000</v>
      </c>
      <c r="I580" s="2">
        <v>489</v>
      </c>
      <c r="J580" s="2" t="s">
        <v>1671</v>
      </c>
      <c r="K580" s="2">
        <v>41</v>
      </c>
      <c r="L580" s="2">
        <v>10</v>
      </c>
      <c r="M580" s="2">
        <v>0</v>
      </c>
      <c r="N580" s="2">
        <v>6</v>
      </c>
      <c r="O580" s="2">
        <v>5</v>
      </c>
      <c r="P580" s="2">
        <v>20</v>
      </c>
      <c r="Q580" s="2" t="s">
        <v>2753</v>
      </c>
      <c r="R580" s="2" t="s">
        <v>2754</v>
      </c>
      <c r="S580" s="4">
        <v>44837</v>
      </c>
    </row>
    <row r="581" spans="1:19" ht="12.5" x14ac:dyDescent="0.25">
      <c r="A581" s="14" t="str">
        <f>HYPERLINK("https://gerandofalcoes.my.salesforce.com/0014P00003AN2GIQA1", "0014P00003AN2GIQA1")</f>
        <v>0014P00003AN2GIQA1</v>
      </c>
      <c r="B581" s="2" t="s">
        <v>1661</v>
      </c>
      <c r="C581" s="2" t="s">
        <v>423</v>
      </c>
      <c r="D581" s="2" t="s">
        <v>27</v>
      </c>
      <c r="E581" s="2">
        <v>95</v>
      </c>
      <c r="F581" s="2">
        <v>5</v>
      </c>
      <c r="G581" s="2">
        <v>3</v>
      </c>
      <c r="H581" s="2">
        <v>133580.48000000001</v>
      </c>
      <c r="I581" s="2">
        <v>82</v>
      </c>
      <c r="J581" s="2" t="s">
        <v>1650</v>
      </c>
      <c r="K581" s="2">
        <v>68</v>
      </c>
      <c r="L581" s="2">
        <v>30</v>
      </c>
      <c r="M581" s="2">
        <v>5</v>
      </c>
      <c r="N581" s="2">
        <v>8</v>
      </c>
      <c r="O581" s="2">
        <v>15</v>
      </c>
      <c r="P581" s="2">
        <v>10</v>
      </c>
      <c r="Q581" s="2" t="s">
        <v>31</v>
      </c>
      <c r="R581" s="2" t="s">
        <v>1662</v>
      </c>
      <c r="S581" s="4">
        <v>44837</v>
      </c>
    </row>
    <row r="582" spans="1:19" ht="12.5" x14ac:dyDescent="0.25">
      <c r="A582" s="14" t="str">
        <f>HYPERLINK("https://gerandofalcoes.my.salesforce.com/0014P00003AN2GJQA1", "0014P00003AN2GJQA1")</f>
        <v>0014P00003AN2GJQA1</v>
      </c>
      <c r="B582" s="2" t="s">
        <v>1720</v>
      </c>
      <c r="C582" s="2" t="s">
        <v>423</v>
      </c>
      <c r="D582" s="2" t="s">
        <v>27</v>
      </c>
      <c r="E582" s="2">
        <v>76</v>
      </c>
      <c r="F582" s="2">
        <v>10</v>
      </c>
      <c r="G582" s="2">
        <v>2</v>
      </c>
      <c r="H582" s="2">
        <v>786451.23</v>
      </c>
      <c r="I582" s="2">
        <v>99</v>
      </c>
      <c r="J582" s="2" t="s">
        <v>1650</v>
      </c>
      <c r="K582" s="2">
        <v>71</v>
      </c>
      <c r="L582" s="2">
        <v>25</v>
      </c>
      <c r="M582" s="2">
        <v>10</v>
      </c>
      <c r="N582" s="2">
        <v>6</v>
      </c>
      <c r="O582" s="2">
        <v>20</v>
      </c>
      <c r="P582" s="2">
        <v>10</v>
      </c>
      <c r="Q582" s="2" t="s">
        <v>35</v>
      </c>
      <c r="R582" s="2" t="s">
        <v>1721</v>
      </c>
      <c r="S582" s="4">
        <v>44837</v>
      </c>
    </row>
    <row r="583" spans="1:19" ht="12.5" x14ac:dyDescent="0.25">
      <c r="A583" s="14" t="str">
        <f>HYPERLINK("https://gerandofalcoes.my.salesforce.com/0014P00003AN2GKQA1", "0014P00003AN2GKQA1")</f>
        <v>0014P00003AN2GKQA1</v>
      </c>
      <c r="B583" s="2" t="s">
        <v>1687</v>
      </c>
      <c r="C583" s="2" t="s">
        <v>423</v>
      </c>
      <c r="D583" s="2" t="s">
        <v>27</v>
      </c>
      <c r="E583" s="2">
        <v>85</v>
      </c>
      <c r="F583" s="2">
        <v>22</v>
      </c>
      <c r="G583" s="2">
        <v>5</v>
      </c>
      <c r="H583" s="2">
        <v>1314918.45</v>
      </c>
      <c r="I583" s="2">
        <v>358</v>
      </c>
      <c r="J583" s="2" t="s">
        <v>1654</v>
      </c>
      <c r="K583" s="2">
        <v>87</v>
      </c>
      <c r="L583" s="2">
        <v>25</v>
      </c>
      <c r="M583" s="2">
        <v>12</v>
      </c>
      <c r="N583" s="2">
        <v>10</v>
      </c>
      <c r="O583" s="2">
        <v>25</v>
      </c>
      <c r="P583" s="2">
        <v>15</v>
      </c>
      <c r="Q583" s="2" t="s">
        <v>28</v>
      </c>
      <c r="R583" s="2" t="s">
        <v>28</v>
      </c>
      <c r="S583" s="4">
        <v>44837</v>
      </c>
    </row>
    <row r="584" spans="1:19" ht="12.5" x14ac:dyDescent="0.25">
      <c r="A584" s="14" t="str">
        <f>HYPERLINK("https://gerandofalcoes.my.salesforce.com/0014P00003AN2GLQA1", "0014P00003AN2GLQA1")</f>
        <v>0014P00003AN2GLQA1</v>
      </c>
      <c r="B584" s="2" t="s">
        <v>1691</v>
      </c>
      <c r="C584" s="2" t="s">
        <v>423</v>
      </c>
      <c r="D584" s="2" t="s">
        <v>27</v>
      </c>
      <c r="E584" s="2">
        <v>85</v>
      </c>
      <c r="F584" s="2">
        <v>13</v>
      </c>
      <c r="G584" s="2">
        <v>4</v>
      </c>
      <c r="H584" s="2">
        <v>154904.04</v>
      </c>
      <c r="I584" s="2">
        <v>172</v>
      </c>
      <c r="J584" s="2" t="s">
        <v>1650</v>
      </c>
      <c r="K584" s="2">
        <v>74</v>
      </c>
      <c r="L584" s="2">
        <v>25</v>
      </c>
      <c r="M584" s="2">
        <v>12</v>
      </c>
      <c r="N584" s="2">
        <v>10</v>
      </c>
      <c r="O584" s="2">
        <v>15</v>
      </c>
      <c r="P584" s="2">
        <v>12</v>
      </c>
      <c r="Q584" s="2" t="s">
        <v>29</v>
      </c>
      <c r="R584" s="2" t="s">
        <v>29</v>
      </c>
      <c r="S584" s="4">
        <v>44837</v>
      </c>
    </row>
    <row r="585" spans="1:19" ht="12.5" x14ac:dyDescent="0.25">
      <c r="A585" s="14" t="str">
        <f>HYPERLINK("https://gerandofalcoes.my.salesforce.com/0014P00003AN2GMQA1", "0014P00003AN2GMQA1")</f>
        <v>0014P00003AN2GMQA1</v>
      </c>
      <c r="B585" s="2" t="s">
        <v>1730</v>
      </c>
      <c r="C585" s="2" t="s">
        <v>423</v>
      </c>
      <c r="D585" s="2" t="s">
        <v>27</v>
      </c>
      <c r="E585" s="2">
        <v>71</v>
      </c>
      <c r="F585" s="2">
        <v>7</v>
      </c>
      <c r="G585" s="2">
        <v>2</v>
      </c>
      <c r="H585" s="2">
        <v>225804.57</v>
      </c>
      <c r="I585" s="2">
        <v>93</v>
      </c>
      <c r="J585" s="2" t="s">
        <v>1671</v>
      </c>
      <c r="K585" s="2">
        <v>61</v>
      </c>
      <c r="L585" s="2">
        <v>20</v>
      </c>
      <c r="M585" s="2">
        <v>10</v>
      </c>
      <c r="N585" s="2">
        <v>6</v>
      </c>
      <c r="O585" s="2">
        <v>15</v>
      </c>
      <c r="P585" s="2">
        <v>10</v>
      </c>
      <c r="Q585" s="2" t="s">
        <v>39</v>
      </c>
      <c r="R585" s="2" t="s">
        <v>39</v>
      </c>
      <c r="S585" s="4">
        <v>44837</v>
      </c>
    </row>
    <row r="586" spans="1:19" ht="12.5" x14ac:dyDescent="0.25">
      <c r="A586" s="14" t="str">
        <f>HYPERLINK("https://gerandofalcoes.my.salesforce.com/0014P00003AN2GNQA1", "0014P00003AN2GNQA1")</f>
        <v>0014P00003AN2GNQA1</v>
      </c>
      <c r="B586" s="2" t="s">
        <v>1655</v>
      </c>
      <c r="C586" s="2" t="s">
        <v>423</v>
      </c>
      <c r="D586" s="2" t="s">
        <v>27</v>
      </c>
      <c r="E586" s="2">
        <v>96</v>
      </c>
      <c r="F586" s="2">
        <v>22</v>
      </c>
      <c r="G586" s="2">
        <v>4</v>
      </c>
      <c r="H586" s="2">
        <v>392688.36</v>
      </c>
      <c r="I586" s="2">
        <v>341</v>
      </c>
      <c r="J586" s="2" t="s">
        <v>1654</v>
      </c>
      <c r="K586" s="2">
        <v>87</v>
      </c>
      <c r="L586" s="2">
        <v>30</v>
      </c>
      <c r="M586" s="2">
        <v>12</v>
      </c>
      <c r="N586" s="2">
        <v>10</v>
      </c>
      <c r="O586" s="2">
        <v>20</v>
      </c>
      <c r="P586" s="2">
        <v>15</v>
      </c>
      <c r="Q586" s="2" t="s">
        <v>43</v>
      </c>
      <c r="R586" s="2" t="s">
        <v>43</v>
      </c>
      <c r="S586" s="4">
        <v>44837</v>
      </c>
    </row>
    <row r="587" spans="1:19" ht="12.5" x14ac:dyDescent="0.25">
      <c r="A587" s="14" t="str">
        <f>HYPERLINK("https://gerandofalcoes.my.salesforce.com/0014P00003AN2GOQA1", "0014P00003AN2GOQA1")</f>
        <v>0014P00003AN2GOQA1</v>
      </c>
      <c r="B587" s="2" t="s">
        <v>1710</v>
      </c>
      <c r="C587" s="2" t="s">
        <v>423</v>
      </c>
      <c r="D587" s="2" t="s">
        <v>27</v>
      </c>
      <c r="E587" s="2">
        <v>79</v>
      </c>
      <c r="F587" s="2">
        <v>10</v>
      </c>
      <c r="G587" s="2">
        <v>3</v>
      </c>
      <c r="H587" s="2">
        <v>230836.02</v>
      </c>
      <c r="I587" s="2">
        <v>124</v>
      </c>
      <c r="J587" s="2" t="s">
        <v>1650</v>
      </c>
      <c r="K587" s="2">
        <v>68</v>
      </c>
      <c r="L587" s="2">
        <v>25</v>
      </c>
      <c r="M587" s="2">
        <v>10</v>
      </c>
      <c r="N587" s="2">
        <v>8</v>
      </c>
      <c r="O587" s="2">
        <v>15</v>
      </c>
      <c r="P587" s="2">
        <v>10</v>
      </c>
      <c r="Q587" s="2" t="s">
        <v>46</v>
      </c>
      <c r="R587" s="2" t="s">
        <v>1711</v>
      </c>
      <c r="S587" s="4">
        <v>44837</v>
      </c>
    </row>
    <row r="588" spans="1:19" ht="12.5" x14ac:dyDescent="0.25">
      <c r="A588" s="14" t="str">
        <f>HYPERLINK("https://gerandofalcoes.my.salesforce.com/0014P00003AN2GPQA1", "0014P00003AN2GPQA1")</f>
        <v>0014P00003AN2GPQA1</v>
      </c>
      <c r="B588" s="2" t="s">
        <v>1653</v>
      </c>
      <c r="C588" s="2" t="s">
        <v>423</v>
      </c>
      <c r="D588" s="2" t="s">
        <v>27</v>
      </c>
      <c r="E588" s="2">
        <v>97</v>
      </c>
      <c r="F588" s="2">
        <v>33</v>
      </c>
      <c r="G588" s="2">
        <v>4</v>
      </c>
      <c r="H588" s="2">
        <v>1500734.93</v>
      </c>
      <c r="I588" s="2">
        <v>378</v>
      </c>
      <c r="J588" s="2" t="s">
        <v>1654</v>
      </c>
      <c r="K588" s="2">
        <v>95</v>
      </c>
      <c r="L588" s="2">
        <v>30</v>
      </c>
      <c r="M588" s="2">
        <v>15</v>
      </c>
      <c r="N588" s="2">
        <v>10</v>
      </c>
      <c r="O588" s="2">
        <v>25</v>
      </c>
      <c r="P588" s="2">
        <v>15</v>
      </c>
      <c r="Q588" s="2" t="s">
        <v>36</v>
      </c>
      <c r="R588" s="2" t="s">
        <v>553</v>
      </c>
      <c r="S588" s="4">
        <v>44837</v>
      </c>
    </row>
    <row r="589" spans="1:19" ht="12.5" x14ac:dyDescent="0.25">
      <c r="A589" s="14" t="str">
        <f>HYPERLINK("https://gerandofalcoes.my.salesforce.com/0014P00003AN2etQAD", "0014P00003AN2etQAD")</f>
        <v>0014P00003AN2etQAD</v>
      </c>
      <c r="B589" s="2" t="s">
        <v>2288</v>
      </c>
      <c r="C589" s="2" t="s">
        <v>423</v>
      </c>
      <c r="D589" s="2" t="s">
        <v>2</v>
      </c>
      <c r="E589" s="2">
        <v>85</v>
      </c>
      <c r="F589" s="2">
        <v>10</v>
      </c>
      <c r="G589" s="2">
        <v>5</v>
      </c>
      <c r="H589" s="2">
        <v>880000</v>
      </c>
      <c r="I589" s="2">
        <v>245</v>
      </c>
      <c r="J589" s="2" t="s">
        <v>1654</v>
      </c>
      <c r="K589" s="2">
        <v>82</v>
      </c>
      <c r="L589" s="2">
        <v>25</v>
      </c>
      <c r="M589" s="2">
        <v>10</v>
      </c>
      <c r="N589" s="2">
        <v>10</v>
      </c>
      <c r="O589" s="2">
        <v>25</v>
      </c>
      <c r="P589" s="2">
        <v>12</v>
      </c>
      <c r="Q589" s="2" t="s">
        <v>572</v>
      </c>
      <c r="R589" s="2" t="s">
        <v>572</v>
      </c>
      <c r="S589" s="4">
        <v>44837</v>
      </c>
    </row>
    <row r="590" spans="1:19" ht="12.5" x14ac:dyDescent="0.25">
      <c r="A590" s="14" t="str">
        <f>HYPERLINK("https://gerandofalcoes.my.salesforce.com/0014P00003AN2h4QAD", "0014P00003AN2h4QAD")</f>
        <v>0014P00003AN2h4QAD</v>
      </c>
      <c r="B590" s="2" t="s">
        <v>1698</v>
      </c>
      <c r="C590" s="2" t="s">
        <v>423</v>
      </c>
      <c r="D590" s="2" t="s">
        <v>2</v>
      </c>
      <c r="E590" s="2">
        <v>78</v>
      </c>
      <c r="F590" s="2">
        <v>10</v>
      </c>
      <c r="G590" s="2">
        <v>6</v>
      </c>
      <c r="H590" s="2">
        <v>305700</v>
      </c>
      <c r="I590" s="2">
        <v>75</v>
      </c>
      <c r="J590" s="2" t="s">
        <v>1650</v>
      </c>
      <c r="K590" s="2">
        <v>70</v>
      </c>
      <c r="L590" s="2">
        <v>25</v>
      </c>
      <c r="M590" s="2">
        <v>10</v>
      </c>
      <c r="N590" s="2">
        <v>10</v>
      </c>
      <c r="O590" s="2">
        <v>20</v>
      </c>
      <c r="P590" s="2">
        <v>5</v>
      </c>
      <c r="Q590" s="2" t="s">
        <v>595</v>
      </c>
      <c r="R590" s="2" t="s">
        <v>595</v>
      </c>
      <c r="S590" s="4">
        <v>44837</v>
      </c>
    </row>
    <row r="591" spans="1:19" ht="12.5" x14ac:dyDescent="0.25">
      <c r="A591" s="14" t="str">
        <f>HYPERLINK("https://gerandofalcoes.my.salesforce.com/0014P00003AN2h5QAD", "0014P00003AN2h5QAD")</f>
        <v>0014P00003AN2h5QAD</v>
      </c>
      <c r="B591" s="2" t="s">
        <v>1660</v>
      </c>
      <c r="C591" s="2" t="s">
        <v>423</v>
      </c>
      <c r="D591" s="2" t="s">
        <v>27</v>
      </c>
      <c r="E591" s="2">
        <v>95</v>
      </c>
      <c r="F591" s="2">
        <v>25</v>
      </c>
      <c r="G591" s="2">
        <v>3</v>
      </c>
      <c r="H591" s="2">
        <v>1106859.57</v>
      </c>
      <c r="I591" s="2">
        <v>164</v>
      </c>
      <c r="J591" s="2" t="s">
        <v>1654</v>
      </c>
      <c r="K591" s="2">
        <v>87</v>
      </c>
      <c r="L591" s="2">
        <v>30</v>
      </c>
      <c r="M591" s="2">
        <v>12</v>
      </c>
      <c r="N591" s="2">
        <v>8</v>
      </c>
      <c r="O591" s="2">
        <v>25</v>
      </c>
      <c r="P591" s="2">
        <v>12</v>
      </c>
      <c r="Q591" s="2" t="s">
        <v>54</v>
      </c>
      <c r="R591" s="2" t="s">
        <v>54</v>
      </c>
      <c r="S591" s="4">
        <v>44837</v>
      </c>
    </row>
    <row r="592" spans="1:19" ht="12.5" x14ac:dyDescent="0.25">
      <c r="A592" s="14" t="str">
        <f>HYPERLINK("https://gerandofalcoes.my.salesforce.com/0014P00003AN2h6QAD", "0014P00003AN2h6QAD")</f>
        <v>0014P00003AN2h6QAD</v>
      </c>
      <c r="B592" s="2" t="s">
        <v>1649</v>
      </c>
      <c r="C592" s="2" t="s">
        <v>423</v>
      </c>
      <c r="D592" s="2" t="s">
        <v>27</v>
      </c>
      <c r="E592" s="2">
        <v>98</v>
      </c>
      <c r="F592" s="2">
        <v>13</v>
      </c>
      <c r="G592" s="2">
        <v>3</v>
      </c>
      <c r="H592" s="2">
        <v>245092.99</v>
      </c>
      <c r="I592" s="2">
        <v>182</v>
      </c>
      <c r="J592" s="2" t="s">
        <v>1650</v>
      </c>
      <c r="K592" s="2">
        <v>77</v>
      </c>
      <c r="L592" s="2">
        <v>30</v>
      </c>
      <c r="M592" s="2">
        <v>12</v>
      </c>
      <c r="N592" s="2">
        <v>8</v>
      </c>
      <c r="O592" s="2">
        <v>15</v>
      </c>
      <c r="P592" s="2">
        <v>12</v>
      </c>
      <c r="Q592" s="2" t="s">
        <v>1651</v>
      </c>
      <c r="R592" s="2" t="s">
        <v>1652</v>
      </c>
      <c r="S592" s="4">
        <v>44837</v>
      </c>
    </row>
    <row r="593" spans="1:19" ht="12.5" x14ac:dyDescent="0.25">
      <c r="A593" s="14" t="str">
        <f>HYPERLINK("https://gerandofalcoes.my.salesforce.com/0014P00003AN2h7QAD", "0014P00003AN2h7QAD")</f>
        <v>0014P00003AN2h7QAD</v>
      </c>
      <c r="B593" s="2" t="s">
        <v>2988</v>
      </c>
      <c r="C593" s="2" t="s">
        <v>1684</v>
      </c>
      <c r="D593" s="2" t="s">
        <v>2</v>
      </c>
      <c r="E593" s="2"/>
      <c r="F593" s="2">
        <v>0</v>
      </c>
      <c r="G593" s="2">
        <v>0</v>
      </c>
      <c r="H593" s="2">
        <v>0</v>
      </c>
      <c r="I593" s="2">
        <v>130</v>
      </c>
      <c r="J593" s="2" t="s">
        <v>1779</v>
      </c>
      <c r="K593" s="2">
        <v>10</v>
      </c>
      <c r="L593" s="2">
        <v>0</v>
      </c>
      <c r="M593" s="2">
        <v>0</v>
      </c>
      <c r="N593" s="2">
        <v>0</v>
      </c>
      <c r="O593" s="2">
        <v>0</v>
      </c>
      <c r="P593" s="2">
        <v>10</v>
      </c>
      <c r="Q593" s="2" t="s">
        <v>2989</v>
      </c>
      <c r="R593" s="2" t="s">
        <v>602</v>
      </c>
      <c r="S593" s="4">
        <v>44837</v>
      </c>
    </row>
    <row r="594" spans="1:19" ht="12.5" x14ac:dyDescent="0.25">
      <c r="A594" s="14" t="str">
        <f>HYPERLINK("https://gerandofalcoes.my.salesforce.com/0014P00003AN6yVQAT", "0014P00003AN6yVQAT")</f>
        <v>0014P00003AN6yVQAT</v>
      </c>
      <c r="B594" s="2" t="s">
        <v>1798</v>
      </c>
      <c r="C594" s="2" t="s">
        <v>423</v>
      </c>
      <c r="D594" s="2" t="s">
        <v>2</v>
      </c>
      <c r="E594" s="2">
        <v>68</v>
      </c>
      <c r="F594" s="2">
        <v>0</v>
      </c>
      <c r="G594" s="2">
        <v>3</v>
      </c>
      <c r="H594" s="2">
        <v>25000</v>
      </c>
      <c r="I594" s="2">
        <v>120</v>
      </c>
      <c r="J594" s="2" t="s">
        <v>1671</v>
      </c>
      <c r="K594" s="2">
        <v>48</v>
      </c>
      <c r="L594" s="2">
        <v>20</v>
      </c>
      <c r="M594" s="2">
        <v>0</v>
      </c>
      <c r="N594" s="2">
        <v>8</v>
      </c>
      <c r="O594" s="2">
        <v>10</v>
      </c>
      <c r="P594" s="2">
        <v>10</v>
      </c>
      <c r="Q594" s="2" t="s">
        <v>560</v>
      </c>
      <c r="R594" s="2" t="s">
        <v>560</v>
      </c>
      <c r="S594" s="4">
        <v>44837</v>
      </c>
    </row>
    <row r="595" spans="1:19" ht="12.5" x14ac:dyDescent="0.25">
      <c r="A595" s="14" t="str">
        <f>HYPERLINK("https://gerandofalcoes.my.salesforce.com/0014P00003AN72DQAT", "0014P00003AN72DQAT")</f>
        <v>0014P00003AN72DQAT</v>
      </c>
      <c r="B595" s="2" t="s">
        <v>1722</v>
      </c>
      <c r="C595" s="2" t="s">
        <v>1800</v>
      </c>
      <c r="D595" s="2" t="s">
        <v>2</v>
      </c>
      <c r="E595" s="2">
        <v>74</v>
      </c>
      <c r="F595" s="2">
        <v>35</v>
      </c>
      <c r="G595" s="2">
        <v>5</v>
      </c>
      <c r="H595" s="2">
        <v>1000000</v>
      </c>
      <c r="I595" s="2">
        <v>506</v>
      </c>
      <c r="J595" s="2" t="s">
        <v>1654</v>
      </c>
      <c r="K595" s="2">
        <v>90</v>
      </c>
      <c r="L595" s="2">
        <v>20</v>
      </c>
      <c r="M595" s="2">
        <v>15</v>
      </c>
      <c r="N595" s="2">
        <v>10</v>
      </c>
      <c r="O595" s="2">
        <v>25</v>
      </c>
      <c r="P595" s="2">
        <v>20</v>
      </c>
      <c r="Q595" s="2" t="s">
        <v>565</v>
      </c>
      <c r="R595" s="2" t="s">
        <v>565</v>
      </c>
      <c r="S595" s="4">
        <v>44837</v>
      </c>
    </row>
    <row r="596" spans="1:19" ht="12.5" x14ac:dyDescent="0.25">
      <c r="A596" s="14" t="str">
        <f>HYPERLINK("https://gerandofalcoes.my.salesforce.com/0014P00003AN76yQAD", "0014P00003AN76yQAD")</f>
        <v>0014P00003AN76yQAD</v>
      </c>
      <c r="B596" s="2" t="s">
        <v>49</v>
      </c>
      <c r="C596" s="2" t="s">
        <v>423</v>
      </c>
      <c r="D596" s="2" t="s">
        <v>27</v>
      </c>
      <c r="E596" s="2">
        <v>43</v>
      </c>
      <c r="F596" s="2">
        <v>6</v>
      </c>
      <c r="G596" s="2">
        <v>2</v>
      </c>
      <c r="H596" s="2">
        <v>80000</v>
      </c>
      <c r="I596" s="2">
        <v>80</v>
      </c>
      <c r="J596" s="2" t="s">
        <v>1671</v>
      </c>
      <c r="K596" s="2">
        <v>51</v>
      </c>
      <c r="L596" s="2">
        <v>15</v>
      </c>
      <c r="M596" s="2">
        <v>10</v>
      </c>
      <c r="N596" s="2">
        <v>6</v>
      </c>
      <c r="O596" s="2">
        <v>10</v>
      </c>
      <c r="P596" s="2">
        <v>10</v>
      </c>
      <c r="Q596" s="2" t="s">
        <v>537</v>
      </c>
      <c r="R596" s="2" t="s">
        <v>537</v>
      </c>
      <c r="S596" s="4">
        <v>44837</v>
      </c>
    </row>
    <row r="597" spans="1:19" ht="12.5" x14ac:dyDescent="0.25">
      <c r="A597" s="14" t="str">
        <f>HYPERLINK("https://gerandofalcoes.my.salesforce.com/0014P00003ERUfsQAH", "0014P00003ERUfsQAH")</f>
        <v>0014P00003ERUfsQAH</v>
      </c>
      <c r="B597" s="2" t="s">
        <v>1668</v>
      </c>
      <c r="C597" s="2" t="s">
        <v>423</v>
      </c>
      <c r="D597" s="2" t="s">
        <v>27</v>
      </c>
      <c r="E597" s="2">
        <v>91</v>
      </c>
      <c r="F597" s="2">
        <v>30</v>
      </c>
      <c r="G597" s="2">
        <v>4</v>
      </c>
      <c r="H597" s="2">
        <v>155230.70000000001</v>
      </c>
      <c r="I597" s="2">
        <v>782</v>
      </c>
      <c r="J597" s="2" t="s">
        <v>1654</v>
      </c>
      <c r="K597" s="2">
        <v>87</v>
      </c>
      <c r="L597" s="2">
        <v>30</v>
      </c>
      <c r="M597" s="2">
        <v>12</v>
      </c>
      <c r="N597" s="2">
        <v>10</v>
      </c>
      <c r="O597" s="2">
        <v>15</v>
      </c>
      <c r="P597" s="2">
        <v>20</v>
      </c>
      <c r="Q597" s="2" t="s">
        <v>73</v>
      </c>
      <c r="R597" s="2" t="s">
        <v>73</v>
      </c>
      <c r="S597" s="4">
        <v>44837</v>
      </c>
    </row>
    <row r="598" spans="1:19" ht="12.5" x14ac:dyDescent="0.25">
      <c r="A598" s="14" t="str">
        <f>HYPERLINK("https://gerandofalcoes.my.salesforce.com/0014P00003ERakHQAT", "0014P00003ERakHQAT")</f>
        <v>0014P00003ERakHQAT</v>
      </c>
      <c r="B598" s="2" t="s">
        <v>2983</v>
      </c>
      <c r="C598" s="2" t="s">
        <v>1684</v>
      </c>
      <c r="D598" s="2" t="s">
        <v>2</v>
      </c>
      <c r="E598" s="2"/>
      <c r="F598" s="2">
        <v>0</v>
      </c>
      <c r="G598" s="2">
        <v>0</v>
      </c>
      <c r="H598" s="2">
        <v>0</v>
      </c>
      <c r="I598" s="2">
        <v>300</v>
      </c>
      <c r="J598" s="2" t="s">
        <v>1779</v>
      </c>
      <c r="K598" s="2">
        <v>15</v>
      </c>
      <c r="L598" s="2">
        <v>0</v>
      </c>
      <c r="M598" s="2">
        <v>0</v>
      </c>
      <c r="N598" s="2">
        <v>0</v>
      </c>
      <c r="O598" s="2">
        <v>0</v>
      </c>
      <c r="P598" s="2">
        <v>15</v>
      </c>
      <c r="Q598" s="2" t="s">
        <v>2984</v>
      </c>
      <c r="R598" s="2" t="s">
        <v>2984</v>
      </c>
      <c r="S598" s="4">
        <v>44837</v>
      </c>
    </row>
    <row r="599" spans="1:19" ht="12.5" x14ac:dyDescent="0.25">
      <c r="A599" s="14" t="str">
        <f>HYPERLINK("https://gerandofalcoes.my.salesforce.com/0014P00003ERavoQAD", "0014P00003ERavoQAD")</f>
        <v>0014P00003ERavoQAD</v>
      </c>
      <c r="B599" s="2" t="s">
        <v>77</v>
      </c>
      <c r="C599" s="2" t="s">
        <v>423</v>
      </c>
      <c r="D599" s="2" t="s">
        <v>27</v>
      </c>
      <c r="E599" s="2">
        <v>86</v>
      </c>
      <c r="F599" s="2">
        <v>5</v>
      </c>
      <c r="G599" s="2">
        <v>4</v>
      </c>
      <c r="H599" s="2">
        <v>275378.40000000002</v>
      </c>
      <c r="I599" s="2">
        <v>184</v>
      </c>
      <c r="J599" s="2" t="s">
        <v>1650</v>
      </c>
      <c r="K599" s="2">
        <v>67</v>
      </c>
      <c r="L599" s="2">
        <v>25</v>
      </c>
      <c r="M599" s="2">
        <v>5</v>
      </c>
      <c r="N599" s="2">
        <v>10</v>
      </c>
      <c r="O599" s="2">
        <v>15</v>
      </c>
      <c r="P599" s="2">
        <v>12</v>
      </c>
      <c r="Q599" s="2" t="s">
        <v>78</v>
      </c>
      <c r="R599" s="2" t="s">
        <v>78</v>
      </c>
      <c r="S599" s="4">
        <v>44837</v>
      </c>
    </row>
    <row r="600" spans="1:19" ht="12.5" x14ac:dyDescent="0.25">
      <c r="A600" s="14" t="str">
        <f>HYPERLINK("https://gerandofalcoes.my.salesforce.com/0014P00003MjNTIQA3", "0014P00003MjNTIQA3")</f>
        <v>0014P00003MjNTIQA3</v>
      </c>
      <c r="B600" s="2" t="s">
        <v>2976</v>
      </c>
      <c r="C600" s="2" t="s">
        <v>423</v>
      </c>
      <c r="D600" s="2" t="s">
        <v>66</v>
      </c>
      <c r="E600" s="2">
        <v>0</v>
      </c>
      <c r="F600" s="2">
        <v>10</v>
      </c>
      <c r="G600" s="2">
        <v>0</v>
      </c>
      <c r="H600" s="2">
        <v>0</v>
      </c>
      <c r="I600" s="2">
        <v>0</v>
      </c>
      <c r="J600" s="2" t="s">
        <v>1779</v>
      </c>
      <c r="K600" s="2">
        <v>10</v>
      </c>
      <c r="L600" s="2">
        <v>0</v>
      </c>
      <c r="M600" s="2">
        <v>10</v>
      </c>
      <c r="N600" s="2">
        <v>0</v>
      </c>
      <c r="O600" s="2">
        <v>0</v>
      </c>
      <c r="P600" s="2">
        <v>0</v>
      </c>
      <c r="Q600" s="2" t="s">
        <v>862</v>
      </c>
      <c r="R600" s="2" t="s">
        <v>862</v>
      </c>
      <c r="S600" s="4">
        <v>44837</v>
      </c>
    </row>
    <row r="601" spans="1:19" ht="12.5" x14ac:dyDescent="0.25">
      <c r="A601" s="14" t="str">
        <f>HYPERLINK("https://gerandofalcoes.my.salesforce.com/0014P00003MjOsqQAF", "0014P00003MjOsqQAF")</f>
        <v>0014P00003MjOsqQAF</v>
      </c>
      <c r="B601" s="2" t="s">
        <v>2977</v>
      </c>
      <c r="C601" s="2" t="s">
        <v>1684</v>
      </c>
      <c r="D601" s="2" t="s">
        <v>66</v>
      </c>
      <c r="E601" s="2">
        <v>0</v>
      </c>
      <c r="F601" s="2">
        <v>6</v>
      </c>
      <c r="G601" s="2">
        <v>1</v>
      </c>
      <c r="H601" s="2">
        <v>0</v>
      </c>
      <c r="I601" s="2">
        <v>0</v>
      </c>
      <c r="J601" s="2" t="s">
        <v>1779</v>
      </c>
      <c r="K601" s="2">
        <v>14</v>
      </c>
      <c r="L601" s="2">
        <v>0</v>
      </c>
      <c r="M601" s="2">
        <v>10</v>
      </c>
      <c r="N601" s="2">
        <v>4</v>
      </c>
      <c r="O601" s="2">
        <v>0</v>
      </c>
      <c r="P601" s="2">
        <v>0</v>
      </c>
      <c r="Q601" s="2" t="s">
        <v>71</v>
      </c>
      <c r="R601" s="2" t="s">
        <v>870</v>
      </c>
      <c r="S601" s="4">
        <v>44837</v>
      </c>
    </row>
    <row r="602" spans="1:19" ht="12.5" x14ac:dyDescent="0.25">
      <c r="A602" s="14" t="str">
        <f>HYPERLINK("https://gerandofalcoes.my.salesforce.com/0014P00003MjR9oQAF", "0014P00003MjR9oQAF")</f>
        <v>0014P00003MjR9oQAF</v>
      </c>
      <c r="B602" s="2" t="s">
        <v>2978</v>
      </c>
      <c r="C602" s="2" t="s">
        <v>423</v>
      </c>
      <c r="D602" s="2" t="s">
        <v>66</v>
      </c>
      <c r="E602" s="2">
        <v>0</v>
      </c>
      <c r="F602" s="2">
        <v>23</v>
      </c>
      <c r="G602" s="2">
        <v>1</v>
      </c>
      <c r="H602" s="2">
        <v>0</v>
      </c>
      <c r="I602" s="2">
        <v>0</v>
      </c>
      <c r="J602" s="2" t="s">
        <v>1779</v>
      </c>
      <c r="K602" s="2">
        <v>16</v>
      </c>
      <c r="L602" s="2">
        <v>0</v>
      </c>
      <c r="M602" s="2">
        <v>12</v>
      </c>
      <c r="N602" s="2">
        <v>4</v>
      </c>
      <c r="O602" s="2">
        <v>0</v>
      </c>
      <c r="P602" s="2">
        <v>0</v>
      </c>
      <c r="Q602" s="2" t="s">
        <v>67</v>
      </c>
      <c r="R602" s="2" t="s">
        <v>2979</v>
      </c>
      <c r="S602" s="4">
        <v>44837</v>
      </c>
    </row>
    <row r="603" spans="1:19" ht="12.5" x14ac:dyDescent="0.25">
      <c r="A603" s="14" t="str">
        <f>HYPERLINK("https://gerandofalcoes.my.salesforce.com/0014X00002VKCp5QAH", "0014X00002VKCp5QAH")</f>
        <v>0014X00002VKCp5QAH</v>
      </c>
      <c r="B603" s="2" t="s">
        <v>2289</v>
      </c>
      <c r="C603" s="2" t="s">
        <v>423</v>
      </c>
      <c r="D603" s="2" t="s">
        <v>2</v>
      </c>
      <c r="E603" s="2">
        <v>29</v>
      </c>
      <c r="F603" s="2">
        <v>0</v>
      </c>
      <c r="G603" s="2">
        <v>8</v>
      </c>
      <c r="H603" s="2">
        <v>52000</v>
      </c>
      <c r="I603" s="2">
        <v>250</v>
      </c>
      <c r="J603" s="2" t="s">
        <v>1671</v>
      </c>
      <c r="K603" s="2">
        <v>47</v>
      </c>
      <c r="L603" s="2">
        <v>15</v>
      </c>
      <c r="M603" s="2">
        <v>0</v>
      </c>
      <c r="N603" s="2">
        <v>10</v>
      </c>
      <c r="O603" s="2">
        <v>10</v>
      </c>
      <c r="P603" s="2">
        <v>12</v>
      </c>
      <c r="Q603" s="2" t="s">
        <v>2290</v>
      </c>
      <c r="R603" s="2" t="s">
        <v>2291</v>
      </c>
      <c r="S603" s="4">
        <v>44837</v>
      </c>
    </row>
    <row r="604" spans="1:19" ht="12.5" x14ac:dyDescent="0.25">
      <c r="A604" s="14" t="str">
        <f>HYPERLINK("https://gerandofalcoes.my.salesforce.com/0014X00002VKCqlQAH", "0014X00002VKCqlQAH")</f>
        <v>0014X00002VKCqlQAH</v>
      </c>
      <c r="B604" s="2" t="s">
        <v>1741</v>
      </c>
      <c r="C604" s="2" t="s">
        <v>423</v>
      </c>
      <c r="D604" s="2" t="s">
        <v>2</v>
      </c>
      <c r="E604" s="2">
        <v>71</v>
      </c>
      <c r="F604" s="2">
        <v>5</v>
      </c>
      <c r="G604" s="2">
        <v>5</v>
      </c>
      <c r="H604" s="2">
        <v>38000</v>
      </c>
      <c r="I604" s="2">
        <v>100</v>
      </c>
      <c r="J604" s="2" t="s">
        <v>1671</v>
      </c>
      <c r="K604" s="2">
        <v>55</v>
      </c>
      <c r="L604" s="2">
        <v>20</v>
      </c>
      <c r="M604" s="2">
        <v>5</v>
      </c>
      <c r="N604" s="2">
        <v>10</v>
      </c>
      <c r="O604" s="2">
        <v>10</v>
      </c>
      <c r="P604" s="2">
        <v>10</v>
      </c>
      <c r="Q604" s="2" t="s">
        <v>1742</v>
      </c>
      <c r="R604" s="2" t="s">
        <v>1743</v>
      </c>
      <c r="S604" s="4">
        <v>44837</v>
      </c>
    </row>
    <row r="605" spans="1:19" ht="12.5" x14ac:dyDescent="0.25">
      <c r="A605" s="14" t="str">
        <f>HYPERLINK("https://gerandofalcoes.my.salesforce.com/0014X00002VKCqaQAH", "0014X00002VKCqaQAH")</f>
        <v>0014X00002VKCqaQAH</v>
      </c>
      <c r="B605" s="2" t="s">
        <v>2277</v>
      </c>
      <c r="C605" s="2" t="s">
        <v>1800</v>
      </c>
      <c r="D605" s="2" t="s">
        <v>2</v>
      </c>
      <c r="E605" s="2">
        <v>30</v>
      </c>
      <c r="F605" s="2">
        <v>0</v>
      </c>
      <c r="G605" s="2">
        <v>2</v>
      </c>
      <c r="H605" s="2">
        <v>0</v>
      </c>
      <c r="I605" s="2">
        <v>10</v>
      </c>
      <c r="J605" s="2" t="s">
        <v>1779</v>
      </c>
      <c r="K605" s="2">
        <v>26</v>
      </c>
      <c r="L605" s="2">
        <v>15</v>
      </c>
      <c r="M605" s="2">
        <v>0</v>
      </c>
      <c r="N605" s="2">
        <v>6</v>
      </c>
      <c r="O605" s="2">
        <v>0</v>
      </c>
      <c r="P605" s="2">
        <v>5</v>
      </c>
      <c r="Q605" s="2" t="s">
        <v>2278</v>
      </c>
      <c r="R605" s="2" t="s">
        <v>2278</v>
      </c>
      <c r="S605" s="4">
        <v>44837</v>
      </c>
    </row>
    <row r="606" spans="1:19" ht="12.5" x14ac:dyDescent="0.25">
      <c r="A606" s="14" t="str">
        <f>HYPERLINK("https://gerandofalcoes.my.salesforce.com/0014X00002VKCqvQAH", "0014X00002VKCqvQAH")</f>
        <v>0014X00002VKCqvQAH</v>
      </c>
      <c r="B606" s="2" t="s">
        <v>2261</v>
      </c>
      <c r="C606" s="2" t="s">
        <v>1800</v>
      </c>
      <c r="D606" s="2" t="s">
        <v>2</v>
      </c>
      <c r="E606" s="2">
        <v>30</v>
      </c>
      <c r="F606" s="2">
        <v>0</v>
      </c>
      <c r="G606" s="2">
        <v>3</v>
      </c>
      <c r="H606" s="2">
        <v>10000</v>
      </c>
      <c r="I606" s="2">
        <v>300</v>
      </c>
      <c r="J606" s="2" t="s">
        <v>1671</v>
      </c>
      <c r="K606" s="2">
        <v>43</v>
      </c>
      <c r="L606" s="2">
        <v>15</v>
      </c>
      <c r="M606" s="2">
        <v>0</v>
      </c>
      <c r="N606" s="2">
        <v>8</v>
      </c>
      <c r="O606" s="2">
        <v>5</v>
      </c>
      <c r="P606" s="2">
        <v>15</v>
      </c>
      <c r="Q606" s="2" t="s">
        <v>2262</v>
      </c>
      <c r="R606" s="2" t="s">
        <v>2263</v>
      </c>
      <c r="S606" s="4">
        <v>44837</v>
      </c>
    </row>
    <row r="607" spans="1:19" ht="12.5" x14ac:dyDescent="0.25">
      <c r="A607" s="14" t="str">
        <f>HYPERLINK("https://gerandofalcoes.my.salesforce.com/0014X00002VKCtpQAH", "0014X00002VKCtpQAH")</f>
        <v>0014X00002VKCtpQAH</v>
      </c>
      <c r="B607" s="2" t="s">
        <v>2616</v>
      </c>
      <c r="C607" s="2" t="s">
        <v>423</v>
      </c>
      <c r="D607" s="2" t="s">
        <v>2</v>
      </c>
      <c r="E607" s="2">
        <v>19</v>
      </c>
      <c r="F607" s="2">
        <v>0</v>
      </c>
      <c r="G607" s="2">
        <v>2</v>
      </c>
      <c r="H607" s="2">
        <v>0</v>
      </c>
      <c r="I607" s="2">
        <v>0</v>
      </c>
      <c r="J607" s="2" t="s">
        <v>1779</v>
      </c>
      <c r="K607" s="2">
        <v>16</v>
      </c>
      <c r="L607" s="2">
        <v>10</v>
      </c>
      <c r="M607" s="2">
        <v>0</v>
      </c>
      <c r="N607" s="2">
        <v>6</v>
      </c>
      <c r="O607" s="2">
        <v>0</v>
      </c>
      <c r="P607" s="2">
        <v>0</v>
      </c>
      <c r="Q607" s="2" t="s">
        <v>2617</v>
      </c>
      <c r="R607" s="2" t="s">
        <v>2618</v>
      </c>
      <c r="S607" s="4">
        <v>44837</v>
      </c>
    </row>
    <row r="608" spans="1:19" ht="12.5" x14ac:dyDescent="0.25">
      <c r="A608" s="14" t="str">
        <f>HYPERLINK("https://gerandofalcoes.my.salesforce.com/0014X00002VKCpkQAH", "0014X00002VKCpkQAH")</f>
        <v>0014X00002VKCpkQAH</v>
      </c>
      <c r="B608" s="2" t="s">
        <v>2096</v>
      </c>
      <c r="C608" s="2" t="s">
        <v>1800</v>
      </c>
      <c r="D608" s="2" t="s">
        <v>2</v>
      </c>
      <c r="E608" s="2">
        <v>35</v>
      </c>
      <c r="F608" s="2">
        <v>15</v>
      </c>
      <c r="G608" s="2">
        <v>4</v>
      </c>
      <c r="H608" s="2">
        <v>78000</v>
      </c>
      <c r="I608" s="2">
        <v>240</v>
      </c>
      <c r="J608" s="2" t="s">
        <v>1671</v>
      </c>
      <c r="K608" s="2">
        <v>59</v>
      </c>
      <c r="L608" s="2">
        <v>15</v>
      </c>
      <c r="M608" s="2">
        <v>12</v>
      </c>
      <c r="N608" s="2">
        <v>10</v>
      </c>
      <c r="O608" s="2">
        <v>10</v>
      </c>
      <c r="P608" s="2">
        <v>12</v>
      </c>
      <c r="Q608" s="2" t="s">
        <v>2097</v>
      </c>
      <c r="R608" s="2" t="s">
        <v>2097</v>
      </c>
      <c r="S608" s="4">
        <v>44837</v>
      </c>
    </row>
    <row r="609" spans="1:19" ht="12.5" x14ac:dyDescent="0.25">
      <c r="A609" s="14" t="str">
        <f>HYPERLINK("https://gerandofalcoes.my.salesforce.com/0014X00002VKCs5QAH", "0014X00002VKCs5QAH")</f>
        <v>0014X00002VKCs5QAH</v>
      </c>
      <c r="B609" s="2" t="s">
        <v>2588</v>
      </c>
      <c r="C609" s="2" t="s">
        <v>423</v>
      </c>
      <c r="D609" s="2" t="s">
        <v>2</v>
      </c>
      <c r="E609" s="2">
        <v>42</v>
      </c>
      <c r="F609" s="2">
        <v>0</v>
      </c>
      <c r="G609" s="2">
        <v>2</v>
      </c>
      <c r="H609" s="2">
        <v>49600</v>
      </c>
      <c r="I609" s="2">
        <v>350</v>
      </c>
      <c r="J609" s="2" t="s">
        <v>1671</v>
      </c>
      <c r="K609" s="2">
        <v>46</v>
      </c>
      <c r="L609" s="2">
        <v>15</v>
      </c>
      <c r="M609" s="2">
        <v>0</v>
      </c>
      <c r="N609" s="2">
        <v>6</v>
      </c>
      <c r="O609" s="2">
        <v>10</v>
      </c>
      <c r="P609" s="2">
        <v>15</v>
      </c>
      <c r="Q609" s="2" t="s">
        <v>2589</v>
      </c>
      <c r="R609" s="2" t="s">
        <v>2590</v>
      </c>
      <c r="S609" s="4">
        <v>44837</v>
      </c>
    </row>
    <row r="610" spans="1:19" ht="12.5" x14ac:dyDescent="0.25">
      <c r="A610" s="14" t="str">
        <f>HYPERLINK("https://gerandofalcoes.my.salesforce.com/0014X00002VKCqjQAH", "0014X00002VKCqjQAH")</f>
        <v>0014X00002VKCqjQAH</v>
      </c>
      <c r="B610" s="2" t="s">
        <v>2683</v>
      </c>
      <c r="C610" s="2" t="s">
        <v>423</v>
      </c>
      <c r="D610" s="2" t="s">
        <v>2</v>
      </c>
      <c r="E610" s="2">
        <v>23</v>
      </c>
      <c r="F610" s="2">
        <v>0</v>
      </c>
      <c r="G610" s="2">
        <v>5</v>
      </c>
      <c r="H610" s="2">
        <v>9632</v>
      </c>
      <c r="I610" s="2">
        <v>200</v>
      </c>
      <c r="J610" s="2" t="s">
        <v>1779</v>
      </c>
      <c r="K610" s="2">
        <v>37</v>
      </c>
      <c r="L610" s="2">
        <v>10</v>
      </c>
      <c r="M610" s="2">
        <v>0</v>
      </c>
      <c r="N610" s="2">
        <v>10</v>
      </c>
      <c r="O610" s="2">
        <v>5</v>
      </c>
      <c r="P610" s="2">
        <v>12</v>
      </c>
      <c r="Q610" s="2" t="s">
        <v>2684</v>
      </c>
      <c r="R610" s="2" t="s">
        <v>2685</v>
      </c>
      <c r="S610" s="4">
        <v>44837</v>
      </c>
    </row>
    <row r="611" spans="1:19" ht="12.5" x14ac:dyDescent="0.25">
      <c r="A611" s="14" t="str">
        <f>HYPERLINK("https://gerandofalcoes.my.salesforce.com/0014X00002VKCqoQAH", "0014X00002VKCqoQAH")</f>
        <v>0014X00002VKCqoQAH</v>
      </c>
      <c r="B611" s="2" t="s">
        <v>2076</v>
      </c>
      <c r="C611" s="2" t="s">
        <v>1800</v>
      </c>
      <c r="D611" s="2" t="s">
        <v>2</v>
      </c>
      <c r="E611" s="2">
        <v>36</v>
      </c>
      <c r="F611" s="2">
        <v>1</v>
      </c>
      <c r="G611" s="2">
        <v>7</v>
      </c>
      <c r="H611" s="2">
        <v>13800</v>
      </c>
      <c r="I611" s="2">
        <v>100</v>
      </c>
      <c r="J611" s="2" t="s">
        <v>1671</v>
      </c>
      <c r="K611" s="2">
        <v>45</v>
      </c>
      <c r="L611" s="2">
        <v>15</v>
      </c>
      <c r="M611" s="2">
        <v>5</v>
      </c>
      <c r="N611" s="2">
        <v>10</v>
      </c>
      <c r="O611" s="2">
        <v>5</v>
      </c>
      <c r="P611" s="2">
        <v>10</v>
      </c>
      <c r="Q611" s="2" t="s">
        <v>2077</v>
      </c>
      <c r="R611" s="2" t="s">
        <v>2077</v>
      </c>
      <c r="S611" s="4">
        <v>44837</v>
      </c>
    </row>
    <row r="612" spans="1:19" ht="12.5" x14ac:dyDescent="0.25">
      <c r="A612" s="14" t="str">
        <f>HYPERLINK("https://gerandofalcoes.my.salesforce.com/0014X00002VKCujQAH", "0014X00002VKCujQAH")</f>
        <v>0014X00002VKCujQAH</v>
      </c>
      <c r="B612" s="2" t="s">
        <v>1838</v>
      </c>
      <c r="C612" s="2" t="s">
        <v>423</v>
      </c>
      <c r="D612" s="2" t="s">
        <v>2</v>
      </c>
      <c r="E612" s="2">
        <v>74</v>
      </c>
      <c r="F612" s="2">
        <v>4</v>
      </c>
      <c r="G612" s="2">
        <v>4</v>
      </c>
      <c r="H612" s="2">
        <v>500000</v>
      </c>
      <c r="I612" s="2">
        <v>80</v>
      </c>
      <c r="J612" s="2" t="s">
        <v>1650</v>
      </c>
      <c r="K612" s="2">
        <v>65</v>
      </c>
      <c r="L612" s="2">
        <v>20</v>
      </c>
      <c r="M612" s="2">
        <v>5</v>
      </c>
      <c r="N612" s="2">
        <v>10</v>
      </c>
      <c r="O612" s="2">
        <v>20</v>
      </c>
      <c r="P612" s="2">
        <v>10</v>
      </c>
      <c r="Q612" s="2" t="s">
        <v>1839</v>
      </c>
      <c r="R612" s="2" t="s">
        <v>1840</v>
      </c>
      <c r="S612" s="4">
        <v>44837</v>
      </c>
    </row>
    <row r="613" spans="1:19" ht="12.5" x14ac:dyDescent="0.25">
      <c r="A613" s="14" t="str">
        <f>HYPERLINK("https://gerandofalcoes.my.salesforce.com/0014X00002VKCqOQAX", "0014X00002VKCqOQAX")</f>
        <v>0014X00002VKCqOQAX</v>
      </c>
      <c r="B613" s="2" t="s">
        <v>2521</v>
      </c>
      <c r="C613" s="2" t="s">
        <v>1800</v>
      </c>
      <c r="D613" s="2" t="s">
        <v>2</v>
      </c>
      <c r="E613" s="2">
        <v>21</v>
      </c>
      <c r="F613" s="2">
        <v>2</v>
      </c>
      <c r="G613" s="2">
        <v>2</v>
      </c>
      <c r="H613" s="2">
        <v>0</v>
      </c>
      <c r="I613" s="2">
        <v>70</v>
      </c>
      <c r="J613" s="2" t="s">
        <v>1779</v>
      </c>
      <c r="K613" s="2">
        <v>26</v>
      </c>
      <c r="L613" s="2">
        <v>10</v>
      </c>
      <c r="M613" s="2">
        <v>5</v>
      </c>
      <c r="N613" s="2">
        <v>6</v>
      </c>
      <c r="O613" s="2">
        <v>0</v>
      </c>
      <c r="P613" s="2">
        <v>5</v>
      </c>
      <c r="Q613" s="2" t="s">
        <v>2522</v>
      </c>
      <c r="R613" s="2" t="s">
        <v>2522</v>
      </c>
      <c r="S613" s="4">
        <v>44837</v>
      </c>
    </row>
    <row r="614" spans="1:19" ht="12.5" x14ac:dyDescent="0.25">
      <c r="A614" s="14" t="str">
        <f>HYPERLINK("https://gerandofalcoes.my.salesforce.com/0014P00003Ck7X8QAJ", "0014P00003Ck7X8QAJ")</f>
        <v>0014P00003Ck7X8QAJ</v>
      </c>
      <c r="B614" s="2" t="s">
        <v>2809</v>
      </c>
      <c r="C614" s="2" t="s">
        <v>423</v>
      </c>
      <c r="D614" s="2" t="s">
        <v>2</v>
      </c>
      <c r="E614" s="2">
        <v>11</v>
      </c>
      <c r="F614" s="2">
        <v>0</v>
      </c>
      <c r="G614" s="2">
        <v>1</v>
      </c>
      <c r="H614" s="2">
        <v>300000</v>
      </c>
      <c r="I614" s="2">
        <v>50</v>
      </c>
      <c r="J614" s="2" t="s">
        <v>1779</v>
      </c>
      <c r="K614" s="2">
        <v>39</v>
      </c>
      <c r="L614" s="2">
        <v>10</v>
      </c>
      <c r="M614" s="2">
        <v>0</v>
      </c>
      <c r="N614" s="2">
        <v>4</v>
      </c>
      <c r="O614" s="2">
        <v>20</v>
      </c>
      <c r="P614" s="2">
        <v>5</v>
      </c>
      <c r="Q614" s="2" t="s">
        <v>891</v>
      </c>
      <c r="R614" s="2" t="s">
        <v>891</v>
      </c>
      <c r="S614" s="4">
        <v>44837</v>
      </c>
    </row>
    <row r="615" spans="1:19" ht="12.5" x14ac:dyDescent="0.25">
      <c r="A615" s="14" t="str">
        <f>HYPERLINK("https://gerandofalcoes.my.salesforce.com/0014X00002VKCuiQAH", "0014X00002VKCuiQAH")</f>
        <v>0014X00002VKCuiQAH</v>
      </c>
      <c r="B615" s="2" t="s">
        <v>1902</v>
      </c>
      <c r="C615" s="2" t="s">
        <v>423</v>
      </c>
      <c r="D615" s="2" t="s">
        <v>2</v>
      </c>
      <c r="E615" s="2">
        <v>51</v>
      </c>
      <c r="F615" s="2">
        <v>17</v>
      </c>
      <c r="G615" s="2">
        <v>4</v>
      </c>
      <c r="H615" s="2">
        <v>545789</v>
      </c>
      <c r="I615" s="2">
        <v>0</v>
      </c>
      <c r="J615" s="2" t="s">
        <v>1671</v>
      </c>
      <c r="K615" s="2">
        <v>62</v>
      </c>
      <c r="L615" s="2">
        <v>20</v>
      </c>
      <c r="M615" s="2">
        <v>12</v>
      </c>
      <c r="N615" s="2">
        <v>10</v>
      </c>
      <c r="O615" s="2">
        <v>20</v>
      </c>
      <c r="P615" s="2">
        <v>0</v>
      </c>
      <c r="Q615" s="2" t="s">
        <v>1903</v>
      </c>
      <c r="R615" s="2" t="s">
        <v>1904</v>
      </c>
      <c r="S615" s="4">
        <v>44837</v>
      </c>
    </row>
    <row r="616" spans="1:19" ht="12.5" x14ac:dyDescent="0.25">
      <c r="A616" s="14" t="str">
        <f>HYPERLINK("https://gerandofalcoes.my.salesforce.com/0014X00002VKCqJQAX", "0014X00002VKCqJQAX")</f>
        <v>0014X00002VKCqJQAX</v>
      </c>
      <c r="B616" s="2" t="s">
        <v>7178</v>
      </c>
      <c r="C616" s="2" t="s">
        <v>423</v>
      </c>
      <c r="D616" s="2" t="s">
        <v>2</v>
      </c>
      <c r="E616" s="2">
        <v>27</v>
      </c>
      <c r="F616" s="2">
        <v>0</v>
      </c>
      <c r="G616" s="2">
        <v>3</v>
      </c>
      <c r="H616" s="2">
        <v>1350</v>
      </c>
      <c r="I616" s="2">
        <v>120</v>
      </c>
      <c r="J616" s="2" t="s">
        <v>1779</v>
      </c>
      <c r="K616" s="2">
        <v>38</v>
      </c>
      <c r="L616" s="2">
        <v>15</v>
      </c>
      <c r="M616" s="2">
        <v>0</v>
      </c>
      <c r="N616" s="2">
        <v>8</v>
      </c>
      <c r="O616" s="2">
        <v>5</v>
      </c>
      <c r="P616" s="2">
        <v>10</v>
      </c>
      <c r="Q616" s="2" t="s">
        <v>2869</v>
      </c>
      <c r="R616" s="2" t="s">
        <v>2870</v>
      </c>
      <c r="S616" s="4">
        <v>44837</v>
      </c>
    </row>
    <row r="617" spans="1:19" ht="12.5" x14ac:dyDescent="0.25">
      <c r="A617" s="14" t="str">
        <f>HYPERLINK("https://gerandofalcoes.my.salesforce.com/0014X00002VKCu7QAH", "0014X00002VKCu7QAH")</f>
        <v>0014X00002VKCu7QAH</v>
      </c>
      <c r="B617" s="2" t="s">
        <v>2777</v>
      </c>
      <c r="C617" s="2" t="s">
        <v>423</v>
      </c>
      <c r="D617" s="2" t="s">
        <v>2</v>
      </c>
      <c r="E617" s="2">
        <v>20</v>
      </c>
      <c r="F617" s="2">
        <v>4</v>
      </c>
      <c r="G617" s="2">
        <v>5</v>
      </c>
      <c r="H617" s="2">
        <v>515000</v>
      </c>
      <c r="I617" s="2">
        <v>0</v>
      </c>
      <c r="J617" s="2" t="s">
        <v>1671</v>
      </c>
      <c r="K617" s="2">
        <v>45</v>
      </c>
      <c r="L617" s="2">
        <v>10</v>
      </c>
      <c r="M617" s="2">
        <v>5</v>
      </c>
      <c r="N617" s="2">
        <v>10</v>
      </c>
      <c r="O617" s="2">
        <v>20</v>
      </c>
      <c r="P617" s="2">
        <v>0</v>
      </c>
      <c r="Q617" s="2" t="s">
        <v>2778</v>
      </c>
      <c r="R617" s="2" t="s">
        <v>2779</v>
      </c>
      <c r="S617" s="4">
        <v>44837</v>
      </c>
    </row>
    <row r="618" spans="1:19" ht="12.5" x14ac:dyDescent="0.25">
      <c r="A618" s="14" t="str">
        <f>HYPERLINK("https://gerandofalcoes.my.salesforce.com/0014X00002VKCs0QAH", "0014X00002VKCs0QAH")</f>
        <v>0014X00002VKCs0QAH</v>
      </c>
      <c r="B618" s="2" t="s">
        <v>1918</v>
      </c>
      <c r="C618" s="2" t="s">
        <v>423</v>
      </c>
      <c r="D618" s="2" t="s">
        <v>2</v>
      </c>
      <c r="E618" s="2">
        <v>24</v>
      </c>
      <c r="F618" s="2">
        <v>0</v>
      </c>
      <c r="G618" s="2">
        <v>2</v>
      </c>
      <c r="H618" s="2">
        <v>10000</v>
      </c>
      <c r="I618" s="2">
        <v>220</v>
      </c>
      <c r="J618" s="2" t="s">
        <v>1779</v>
      </c>
      <c r="K618" s="2">
        <v>33</v>
      </c>
      <c r="L618" s="2">
        <v>10</v>
      </c>
      <c r="M618" s="2">
        <v>0</v>
      </c>
      <c r="N618" s="2">
        <v>6</v>
      </c>
      <c r="O618" s="2">
        <v>5</v>
      </c>
      <c r="P618" s="2">
        <v>12</v>
      </c>
      <c r="Q618" s="2" t="s">
        <v>1919</v>
      </c>
      <c r="R618" s="2" t="s">
        <v>1920</v>
      </c>
      <c r="S618" s="4">
        <v>44837</v>
      </c>
    </row>
    <row r="619" spans="1:19" ht="12.5" x14ac:dyDescent="0.25">
      <c r="A619" s="14" t="str">
        <f>HYPERLINK("https://gerandofalcoes.my.salesforce.com/0014X00002VKCq8QAH", "0014X00002VKCq8QAH")</f>
        <v>0014X00002VKCq8QAH</v>
      </c>
      <c r="B619" s="2" t="s">
        <v>7179</v>
      </c>
      <c r="C619" s="2" t="s">
        <v>1800</v>
      </c>
      <c r="D619" s="2" t="s">
        <v>2</v>
      </c>
      <c r="E619" s="2">
        <v>15</v>
      </c>
      <c r="F619" s="2">
        <v>0</v>
      </c>
      <c r="G619" s="2">
        <v>3</v>
      </c>
      <c r="H619" s="2">
        <v>7000</v>
      </c>
      <c r="I619" s="2">
        <v>70</v>
      </c>
      <c r="J619" s="2" t="s">
        <v>1779</v>
      </c>
      <c r="K619" s="2">
        <v>28</v>
      </c>
      <c r="L619" s="2">
        <v>10</v>
      </c>
      <c r="M619" s="2">
        <v>0</v>
      </c>
      <c r="N619" s="2">
        <v>8</v>
      </c>
      <c r="O619" s="2">
        <v>5</v>
      </c>
      <c r="P619" s="2">
        <v>5</v>
      </c>
      <c r="Q619" s="2" t="s">
        <v>2722</v>
      </c>
      <c r="R619" s="2" t="s">
        <v>2723</v>
      </c>
      <c r="S619" s="4">
        <v>44837</v>
      </c>
    </row>
    <row r="620" spans="1:19" ht="12.5" x14ac:dyDescent="0.25">
      <c r="A620" s="14" t="str">
        <f>HYPERLINK("https://gerandofalcoes.my.salesforce.com/0014X00002VKCpuQAH", "0014X00002VKCpuQAH")</f>
        <v>0014X00002VKCpuQAH</v>
      </c>
      <c r="B620" s="2" t="s">
        <v>2387</v>
      </c>
      <c r="C620" s="2" t="s">
        <v>423</v>
      </c>
      <c r="D620" s="2" t="s">
        <v>2</v>
      </c>
      <c r="E620" s="2">
        <v>36</v>
      </c>
      <c r="F620" s="2">
        <v>0</v>
      </c>
      <c r="G620" s="2">
        <v>2</v>
      </c>
      <c r="H620" s="2">
        <v>0</v>
      </c>
      <c r="I620" s="2">
        <v>50</v>
      </c>
      <c r="J620" s="2" t="s">
        <v>1779</v>
      </c>
      <c r="K620" s="2">
        <v>26</v>
      </c>
      <c r="L620" s="2">
        <v>15</v>
      </c>
      <c r="M620" s="2">
        <v>0</v>
      </c>
      <c r="N620" s="2">
        <v>6</v>
      </c>
      <c r="O620" s="2">
        <v>0</v>
      </c>
      <c r="P620" s="2">
        <v>5</v>
      </c>
      <c r="Q620" s="2" t="s">
        <v>2388</v>
      </c>
      <c r="R620" s="2" t="s">
        <v>2389</v>
      </c>
      <c r="S620" s="4">
        <v>44837</v>
      </c>
    </row>
    <row r="621" spans="1:19" ht="12.5" x14ac:dyDescent="0.25">
      <c r="A621" s="14" t="str">
        <f>HYPERLINK("https://gerandofalcoes.my.salesforce.com/0014X00002VKCp1QAH", "0014X00002VKCp1QAH")</f>
        <v>0014X00002VKCp1QAH</v>
      </c>
      <c r="B621" s="2" t="s">
        <v>2223</v>
      </c>
      <c r="C621" s="2" t="s">
        <v>1800</v>
      </c>
      <c r="D621" s="2" t="s">
        <v>2</v>
      </c>
      <c r="E621" s="2">
        <v>32</v>
      </c>
      <c r="F621" s="2">
        <v>5</v>
      </c>
      <c r="G621" s="2">
        <v>9</v>
      </c>
      <c r="H621" s="2">
        <v>12000</v>
      </c>
      <c r="I621" s="2">
        <v>60</v>
      </c>
      <c r="J621" s="2" t="s">
        <v>1671</v>
      </c>
      <c r="K621" s="2">
        <v>40</v>
      </c>
      <c r="L621" s="2">
        <v>15</v>
      </c>
      <c r="M621" s="2">
        <v>5</v>
      </c>
      <c r="N621" s="2">
        <v>10</v>
      </c>
      <c r="O621" s="2">
        <v>5</v>
      </c>
      <c r="P621" s="2">
        <v>5</v>
      </c>
      <c r="Q621" s="2" t="s">
        <v>2224</v>
      </c>
      <c r="R621" s="2" t="s">
        <v>2224</v>
      </c>
      <c r="S621" s="4">
        <v>44837</v>
      </c>
    </row>
    <row r="622" spans="1:19" ht="12.5" x14ac:dyDescent="0.25">
      <c r="A622" s="14" t="str">
        <f>HYPERLINK("https://gerandofalcoes.my.salesforce.com/0014X00002VKCtzQAH", "0014X00002VKCtzQAH")</f>
        <v>0014X00002VKCtzQAH</v>
      </c>
      <c r="B622" s="2" t="s">
        <v>2557</v>
      </c>
      <c r="C622" s="2" t="s">
        <v>423</v>
      </c>
      <c r="D622" s="2" t="s">
        <v>2</v>
      </c>
      <c r="E622" s="2">
        <v>20</v>
      </c>
      <c r="F622" s="2">
        <v>0</v>
      </c>
      <c r="G622" s="2">
        <v>2</v>
      </c>
      <c r="H622" s="2">
        <v>1200</v>
      </c>
      <c r="I622" s="2">
        <v>50</v>
      </c>
      <c r="J622" s="2" t="s">
        <v>1779</v>
      </c>
      <c r="K622" s="2">
        <v>26</v>
      </c>
      <c r="L622" s="2">
        <v>10</v>
      </c>
      <c r="M622" s="2">
        <v>0</v>
      </c>
      <c r="N622" s="2">
        <v>6</v>
      </c>
      <c r="O622" s="2">
        <v>5</v>
      </c>
      <c r="P622" s="2">
        <v>5</v>
      </c>
      <c r="Q622" s="2" t="s">
        <v>2558</v>
      </c>
      <c r="R622" s="2" t="s">
        <v>2558</v>
      </c>
      <c r="S622" s="4">
        <v>44837</v>
      </c>
    </row>
    <row r="623" spans="1:19" ht="12.5" x14ac:dyDescent="0.25">
      <c r="A623" s="14" t="str">
        <f>HYPERLINK("https://gerandofalcoes.my.salesforce.com/0014X00002VKCoyQAH", "0014X00002VKCoyQAH")</f>
        <v>0014X00002VKCoyQAH</v>
      </c>
      <c r="B623" s="2" t="s">
        <v>1935</v>
      </c>
      <c r="C623" s="2" t="s">
        <v>423</v>
      </c>
      <c r="D623" s="2" t="s">
        <v>2</v>
      </c>
      <c r="E623" s="2">
        <v>45</v>
      </c>
      <c r="F623" s="2">
        <v>1</v>
      </c>
      <c r="G623" s="2">
        <v>3</v>
      </c>
      <c r="H623" s="2">
        <v>36000</v>
      </c>
      <c r="I623" s="2">
        <v>198</v>
      </c>
      <c r="J623" s="2" t="s">
        <v>1671</v>
      </c>
      <c r="K623" s="2">
        <v>50</v>
      </c>
      <c r="L623" s="2">
        <v>15</v>
      </c>
      <c r="M623" s="2">
        <v>5</v>
      </c>
      <c r="N623" s="2">
        <v>8</v>
      </c>
      <c r="O623" s="2">
        <v>10</v>
      </c>
      <c r="P623" s="2">
        <v>12</v>
      </c>
      <c r="Q623" s="2" t="s">
        <v>1936</v>
      </c>
      <c r="R623" s="2" t="s">
        <v>1937</v>
      </c>
      <c r="S623" s="4">
        <v>44837</v>
      </c>
    </row>
    <row r="624" spans="1:19" ht="12.5" x14ac:dyDescent="0.25">
      <c r="A624" s="14" t="str">
        <f>HYPERLINK("https://gerandofalcoes.my.salesforce.com/0014X00002VKCs4QAH", "0014X00002VKCs4QAH")</f>
        <v>0014X00002VKCs4QAH</v>
      </c>
      <c r="B624" s="2" t="s">
        <v>2487</v>
      </c>
      <c r="C624" s="2" t="s">
        <v>1800</v>
      </c>
      <c r="D624" s="2" t="s">
        <v>2</v>
      </c>
      <c r="E624" s="2">
        <v>22</v>
      </c>
      <c r="F624" s="2">
        <v>0</v>
      </c>
      <c r="G624" s="2">
        <v>2</v>
      </c>
      <c r="H624" s="2">
        <v>0</v>
      </c>
      <c r="I624" s="2">
        <v>10</v>
      </c>
      <c r="J624" s="2" t="s">
        <v>1779</v>
      </c>
      <c r="K624" s="2">
        <v>21</v>
      </c>
      <c r="L624" s="2">
        <v>10</v>
      </c>
      <c r="M624" s="2">
        <v>0</v>
      </c>
      <c r="N624" s="2">
        <v>6</v>
      </c>
      <c r="O624" s="2">
        <v>0</v>
      </c>
      <c r="P624" s="2">
        <v>5</v>
      </c>
      <c r="Q624" s="2" t="s">
        <v>2488</v>
      </c>
      <c r="R624" s="2" t="s">
        <v>2489</v>
      </c>
      <c r="S624" s="4">
        <v>44837</v>
      </c>
    </row>
    <row r="625" spans="1:19" ht="12.5" x14ac:dyDescent="0.25">
      <c r="A625" s="14" t="str">
        <f>HYPERLINK("https://gerandofalcoes.my.salesforce.com/0014X00002VKCpEQAX", "0014X00002VKCpEQAX")</f>
        <v>0014X00002VKCpEQAX</v>
      </c>
      <c r="B625" s="2" t="s">
        <v>2404</v>
      </c>
      <c r="C625" s="2" t="s">
        <v>423</v>
      </c>
      <c r="D625" s="2" t="s">
        <v>2</v>
      </c>
      <c r="E625" s="2">
        <v>25</v>
      </c>
      <c r="F625" s="2">
        <v>11</v>
      </c>
      <c r="G625" s="2">
        <v>5</v>
      </c>
      <c r="H625" s="2">
        <v>12000</v>
      </c>
      <c r="I625" s="2">
        <v>80</v>
      </c>
      <c r="J625" s="2" t="s">
        <v>1671</v>
      </c>
      <c r="K625" s="2">
        <v>52</v>
      </c>
      <c r="L625" s="2">
        <v>15</v>
      </c>
      <c r="M625" s="2">
        <v>12</v>
      </c>
      <c r="N625" s="2">
        <v>10</v>
      </c>
      <c r="O625" s="2">
        <v>5</v>
      </c>
      <c r="P625" s="2">
        <v>10</v>
      </c>
      <c r="Q625" s="2" t="s">
        <v>2405</v>
      </c>
      <c r="R625" s="2" t="s">
        <v>2406</v>
      </c>
      <c r="S625" s="4">
        <v>44837</v>
      </c>
    </row>
    <row r="626" spans="1:19" ht="12.5" x14ac:dyDescent="0.25">
      <c r="A626" s="14" t="str">
        <f>HYPERLINK("https://gerandofalcoes.my.salesforce.com/0014X00002VKCrKQAX", "0014X00002VKCrKQAX")</f>
        <v>0014X00002VKCrKQAX</v>
      </c>
      <c r="B626" s="2" t="s">
        <v>2562</v>
      </c>
      <c r="C626" s="2" t="s">
        <v>1800</v>
      </c>
      <c r="D626" s="2" t="s">
        <v>2</v>
      </c>
      <c r="E626" s="2">
        <v>20</v>
      </c>
      <c r="F626" s="2">
        <v>7</v>
      </c>
      <c r="G626" s="2">
        <v>5</v>
      </c>
      <c r="H626" s="2">
        <v>2000</v>
      </c>
      <c r="I626" s="2">
        <v>20</v>
      </c>
      <c r="J626" s="2" t="s">
        <v>1671</v>
      </c>
      <c r="K626" s="2">
        <v>40</v>
      </c>
      <c r="L626" s="2">
        <v>10</v>
      </c>
      <c r="M626" s="2">
        <v>10</v>
      </c>
      <c r="N626" s="2">
        <v>10</v>
      </c>
      <c r="O626" s="2">
        <v>5</v>
      </c>
      <c r="P626" s="2">
        <v>5</v>
      </c>
      <c r="Q626" s="2" t="s">
        <v>2563</v>
      </c>
      <c r="R626" s="2" t="s">
        <v>2564</v>
      </c>
      <c r="S626" s="4">
        <v>44837</v>
      </c>
    </row>
    <row r="627" spans="1:19" ht="12.5" x14ac:dyDescent="0.25">
      <c r="A627" s="14" t="str">
        <f>HYPERLINK("https://gerandofalcoes.my.salesforce.com/0014X00002VKCt6QAH", "0014X00002VKCt6QAH")</f>
        <v>0014X00002VKCt6QAH</v>
      </c>
      <c r="B627" s="2" t="s">
        <v>2531</v>
      </c>
      <c r="C627" s="2" t="s">
        <v>1800</v>
      </c>
      <c r="D627" s="2" t="s">
        <v>2</v>
      </c>
      <c r="E627" s="2">
        <v>21</v>
      </c>
      <c r="F627" s="2">
        <v>15</v>
      </c>
      <c r="G627" s="2">
        <v>3</v>
      </c>
      <c r="H627" s="2">
        <v>4500</v>
      </c>
      <c r="I627" s="2">
        <v>10</v>
      </c>
      <c r="J627" s="2" t="s">
        <v>1671</v>
      </c>
      <c r="K627" s="2">
        <v>40</v>
      </c>
      <c r="L627" s="2">
        <v>10</v>
      </c>
      <c r="M627" s="2">
        <v>12</v>
      </c>
      <c r="N627" s="2">
        <v>8</v>
      </c>
      <c r="O627" s="2">
        <v>5</v>
      </c>
      <c r="P627" s="2">
        <v>5</v>
      </c>
      <c r="Q627" s="2" t="s">
        <v>2532</v>
      </c>
      <c r="R627" s="2" t="s">
        <v>2533</v>
      </c>
      <c r="S627" s="4">
        <v>44837</v>
      </c>
    </row>
    <row r="628" spans="1:19" ht="12.5" x14ac:dyDescent="0.25">
      <c r="A628" s="14" t="str">
        <f>HYPERLINK("https://gerandofalcoes.my.salesforce.com/0014X00002VKCq6QAH", "0014X00002VKCq6QAH")</f>
        <v>0014X00002VKCq6QAH</v>
      </c>
      <c r="B628" s="2" t="s">
        <v>1773</v>
      </c>
      <c r="C628" s="2" t="s">
        <v>423</v>
      </c>
      <c r="D628" s="2" t="s">
        <v>2</v>
      </c>
      <c r="E628" s="2">
        <v>54</v>
      </c>
      <c r="F628" s="2">
        <v>0</v>
      </c>
      <c r="G628" s="2">
        <v>2</v>
      </c>
      <c r="H628" s="2">
        <v>102605</v>
      </c>
      <c r="I628" s="2">
        <v>115</v>
      </c>
      <c r="J628" s="2" t="s">
        <v>1671</v>
      </c>
      <c r="K628" s="2">
        <v>51</v>
      </c>
      <c r="L628" s="2">
        <v>20</v>
      </c>
      <c r="M628" s="2">
        <v>0</v>
      </c>
      <c r="N628" s="2">
        <v>6</v>
      </c>
      <c r="O628" s="2">
        <v>15</v>
      </c>
      <c r="P628" s="2">
        <v>10</v>
      </c>
      <c r="Q628" s="2" t="s">
        <v>1774</v>
      </c>
      <c r="R628" s="2" t="s">
        <v>1775</v>
      </c>
      <c r="S628" s="4">
        <v>44837</v>
      </c>
    </row>
    <row r="629" spans="1:19" ht="12.5" x14ac:dyDescent="0.25">
      <c r="A629" s="14" t="str">
        <f>HYPERLINK("https://gerandofalcoes.my.salesforce.com/0014X00002VKCqBQAX", "0014X00002VKCqBQAX")</f>
        <v>0014X00002VKCqBQAX</v>
      </c>
      <c r="B629" s="2" t="s">
        <v>1949</v>
      </c>
      <c r="C629" s="2" t="s">
        <v>423</v>
      </c>
      <c r="D629" s="2" t="s">
        <v>2</v>
      </c>
      <c r="E629" s="2">
        <v>41</v>
      </c>
      <c r="F629" s="2">
        <v>6</v>
      </c>
      <c r="G629" s="2">
        <v>3</v>
      </c>
      <c r="H629" s="2">
        <v>48000</v>
      </c>
      <c r="I629" s="2">
        <v>345</v>
      </c>
      <c r="J629" s="2" t="s">
        <v>1671</v>
      </c>
      <c r="K629" s="2">
        <v>58</v>
      </c>
      <c r="L629" s="2">
        <v>15</v>
      </c>
      <c r="M629" s="2">
        <v>10</v>
      </c>
      <c r="N629" s="2">
        <v>8</v>
      </c>
      <c r="O629" s="2">
        <v>10</v>
      </c>
      <c r="P629" s="2">
        <v>15</v>
      </c>
      <c r="Q629" s="2" t="s">
        <v>1950</v>
      </c>
      <c r="R629" s="2" t="s">
        <v>1951</v>
      </c>
      <c r="S629" s="4">
        <v>44837</v>
      </c>
    </row>
    <row r="630" spans="1:19" ht="12.5" x14ac:dyDescent="0.25">
      <c r="A630" s="14" t="str">
        <f>HYPERLINK("https://gerandofalcoes.my.salesforce.com/0014X00002VKCu2QAH", "0014X00002VKCu2QAH")</f>
        <v>0014X00002VKCu2QAH</v>
      </c>
      <c r="B630" s="2" t="s">
        <v>2810</v>
      </c>
      <c r="C630" s="2" t="s">
        <v>423</v>
      </c>
      <c r="D630" s="2" t="s">
        <v>2</v>
      </c>
      <c r="E630" s="2">
        <v>41</v>
      </c>
      <c r="F630" s="2">
        <v>0</v>
      </c>
      <c r="G630" s="2">
        <v>2</v>
      </c>
      <c r="H630" s="2">
        <v>3</v>
      </c>
      <c r="I630" s="2">
        <v>600</v>
      </c>
      <c r="J630" s="2" t="s">
        <v>1671</v>
      </c>
      <c r="K630" s="2">
        <v>46</v>
      </c>
      <c r="L630" s="2">
        <v>15</v>
      </c>
      <c r="M630" s="2">
        <v>0</v>
      </c>
      <c r="N630" s="2">
        <v>6</v>
      </c>
      <c r="O630" s="2">
        <v>5</v>
      </c>
      <c r="P630" s="2">
        <v>20</v>
      </c>
      <c r="Q630" s="2" t="s">
        <v>2811</v>
      </c>
      <c r="R630" s="2" t="s">
        <v>2812</v>
      </c>
      <c r="S630" s="4">
        <v>44837</v>
      </c>
    </row>
    <row r="631" spans="1:19" ht="12.5" x14ac:dyDescent="0.25">
      <c r="A631" s="14" t="str">
        <f>HYPERLINK("https://gerandofalcoes.my.salesforce.com/0014X00002VKCsCQAX", "0014X00002VKCsCQAX")</f>
        <v>0014X00002VKCsCQAX</v>
      </c>
      <c r="B631" s="2" t="s">
        <v>2826</v>
      </c>
      <c r="C631" s="2" t="s">
        <v>423</v>
      </c>
      <c r="D631" s="2" t="s">
        <v>2</v>
      </c>
      <c r="E631" s="2">
        <v>41</v>
      </c>
      <c r="F631" s="2">
        <v>0</v>
      </c>
      <c r="G631" s="2">
        <v>2</v>
      </c>
      <c r="H631" s="2">
        <v>250</v>
      </c>
      <c r="I631" s="2">
        <v>100</v>
      </c>
      <c r="J631" s="2" t="s">
        <v>1779</v>
      </c>
      <c r="K631" s="2">
        <v>36</v>
      </c>
      <c r="L631" s="2">
        <v>15</v>
      </c>
      <c r="M631" s="2">
        <v>0</v>
      </c>
      <c r="N631" s="2">
        <v>6</v>
      </c>
      <c r="O631" s="2">
        <v>5</v>
      </c>
      <c r="P631" s="2">
        <v>10</v>
      </c>
      <c r="Q631" s="2" t="s">
        <v>2827</v>
      </c>
      <c r="R631" s="2" t="s">
        <v>2827</v>
      </c>
      <c r="S631" s="4">
        <v>44837</v>
      </c>
    </row>
    <row r="632" spans="1:19" ht="12.5" x14ac:dyDescent="0.25">
      <c r="A632" s="14" t="str">
        <f>HYPERLINK("https://gerandofalcoes.my.salesforce.com/0014X00002VKCseQAH", "0014X00002VKCseQAH")</f>
        <v>0014X00002VKCseQAH</v>
      </c>
      <c r="B632" s="2" t="s">
        <v>2516</v>
      </c>
      <c r="C632" s="2" t="s">
        <v>1800</v>
      </c>
      <c r="D632" s="2" t="s">
        <v>2</v>
      </c>
      <c r="E632" s="2">
        <v>21</v>
      </c>
      <c r="F632" s="2">
        <v>0</v>
      </c>
      <c r="G632" s="2">
        <v>4</v>
      </c>
      <c r="H632" s="2">
        <v>6000</v>
      </c>
      <c r="I632" s="2">
        <v>100</v>
      </c>
      <c r="J632" s="2" t="s">
        <v>1779</v>
      </c>
      <c r="K632" s="2">
        <v>35</v>
      </c>
      <c r="L632" s="2">
        <v>10</v>
      </c>
      <c r="M632" s="2">
        <v>0</v>
      </c>
      <c r="N632" s="2">
        <v>10</v>
      </c>
      <c r="O632" s="2">
        <v>5</v>
      </c>
      <c r="P632" s="2">
        <v>10</v>
      </c>
      <c r="Q632" s="2" t="s">
        <v>2517</v>
      </c>
      <c r="R632" s="2" t="s">
        <v>2517</v>
      </c>
      <c r="S632" s="4">
        <v>44837</v>
      </c>
    </row>
    <row r="633" spans="1:19" ht="12.5" x14ac:dyDescent="0.25">
      <c r="A633" s="14" t="str">
        <f>HYPERLINK("https://gerandofalcoes.my.salesforce.com/0014X00002VKCscQAH", "0014X00002VKCscQAH")</f>
        <v>0014X00002VKCscQAH</v>
      </c>
      <c r="B633" s="2" t="s">
        <v>2771</v>
      </c>
      <c r="C633" s="2" t="s">
        <v>423</v>
      </c>
      <c r="D633" s="2" t="s">
        <v>2</v>
      </c>
      <c r="E633" s="2">
        <v>38</v>
      </c>
      <c r="F633" s="2">
        <v>6</v>
      </c>
      <c r="G633" s="2">
        <v>2</v>
      </c>
      <c r="H633" s="2">
        <v>12</v>
      </c>
      <c r="I633" s="2">
        <v>238</v>
      </c>
      <c r="J633" s="2" t="s">
        <v>1671</v>
      </c>
      <c r="K633" s="2">
        <v>48</v>
      </c>
      <c r="L633" s="2">
        <v>15</v>
      </c>
      <c r="M633" s="2">
        <v>10</v>
      </c>
      <c r="N633" s="2">
        <v>6</v>
      </c>
      <c r="O633" s="2">
        <v>5</v>
      </c>
      <c r="P633" s="2">
        <v>12</v>
      </c>
      <c r="Q633" s="2" t="s">
        <v>2772</v>
      </c>
      <c r="R633" s="2" t="s">
        <v>2773</v>
      </c>
      <c r="S633" s="4">
        <v>44837</v>
      </c>
    </row>
    <row r="634" spans="1:19" ht="12.5" x14ac:dyDescent="0.25">
      <c r="A634" s="14" t="str">
        <f>HYPERLINK("https://gerandofalcoes.my.salesforce.com/0014X00002VKCt1QAH", "0014X00002VKCt1QAH")</f>
        <v>0014X00002VKCt1QAH</v>
      </c>
      <c r="B634" s="2" t="s">
        <v>2452</v>
      </c>
      <c r="C634" s="2" t="s">
        <v>423</v>
      </c>
      <c r="D634" s="2" t="s">
        <v>2</v>
      </c>
      <c r="E634" s="2">
        <v>57</v>
      </c>
      <c r="F634" s="2">
        <v>0</v>
      </c>
      <c r="G634" s="2">
        <v>4</v>
      </c>
      <c r="H634" s="2">
        <v>2000</v>
      </c>
      <c r="I634" s="2">
        <v>40</v>
      </c>
      <c r="J634" s="2" t="s">
        <v>1671</v>
      </c>
      <c r="K634" s="2">
        <v>40</v>
      </c>
      <c r="L634" s="2">
        <v>20</v>
      </c>
      <c r="M634" s="2">
        <v>0</v>
      </c>
      <c r="N634" s="2">
        <v>10</v>
      </c>
      <c r="O634" s="2">
        <v>5</v>
      </c>
      <c r="P634" s="2">
        <v>5</v>
      </c>
      <c r="Q634" s="2" t="s">
        <v>2453</v>
      </c>
      <c r="R634" s="2" t="s">
        <v>2453</v>
      </c>
      <c r="S634" s="4">
        <v>44837</v>
      </c>
    </row>
    <row r="635" spans="1:19" ht="12.5" x14ac:dyDescent="0.25">
      <c r="A635" s="14" t="str">
        <f>HYPERLINK("https://gerandofalcoes.my.salesforce.com/0014X00002VKCpyQAH", "0014X00002VKCpyQAH")</f>
        <v>0014X00002VKCpyQAH</v>
      </c>
      <c r="B635" s="2" t="s">
        <v>2340</v>
      </c>
      <c r="C635" s="2" t="s">
        <v>423</v>
      </c>
      <c r="D635" s="2" t="s">
        <v>2</v>
      </c>
      <c r="E635" s="2">
        <v>22</v>
      </c>
      <c r="F635" s="2">
        <v>0</v>
      </c>
      <c r="G635" s="2">
        <v>3</v>
      </c>
      <c r="H635" s="2">
        <v>12700</v>
      </c>
      <c r="I635" s="2">
        <v>156</v>
      </c>
      <c r="J635" s="2" t="s">
        <v>1779</v>
      </c>
      <c r="K635" s="2">
        <v>35</v>
      </c>
      <c r="L635" s="2">
        <v>10</v>
      </c>
      <c r="M635" s="2">
        <v>0</v>
      </c>
      <c r="N635" s="2">
        <v>8</v>
      </c>
      <c r="O635" s="2">
        <v>5</v>
      </c>
      <c r="P635" s="2">
        <v>12</v>
      </c>
      <c r="Q635" s="2" t="s">
        <v>2341</v>
      </c>
      <c r="R635" s="2" t="s">
        <v>2342</v>
      </c>
      <c r="S635" s="4">
        <v>44837</v>
      </c>
    </row>
    <row r="636" spans="1:19" ht="12.5" x14ac:dyDescent="0.25">
      <c r="A636" s="14" t="str">
        <f>HYPERLINK("https://gerandofalcoes.my.salesforce.com/0014X00002VKCstQAH", "0014X00002VKCstQAH")</f>
        <v>0014X00002VKCstQAH</v>
      </c>
      <c r="B636" s="2" t="s">
        <v>2259</v>
      </c>
      <c r="C636" s="2" t="s">
        <v>423</v>
      </c>
      <c r="D636" s="2" t="s">
        <v>2</v>
      </c>
      <c r="E636" s="2">
        <v>27</v>
      </c>
      <c r="F636" s="2">
        <v>2</v>
      </c>
      <c r="G636" s="2">
        <v>3</v>
      </c>
      <c r="H636" s="2">
        <v>3000</v>
      </c>
      <c r="I636" s="2">
        <v>162</v>
      </c>
      <c r="J636" s="2" t="s">
        <v>1671</v>
      </c>
      <c r="K636" s="2">
        <v>45</v>
      </c>
      <c r="L636" s="2">
        <v>15</v>
      </c>
      <c r="M636" s="2">
        <v>5</v>
      </c>
      <c r="N636" s="2">
        <v>8</v>
      </c>
      <c r="O636" s="2">
        <v>5</v>
      </c>
      <c r="P636" s="2">
        <v>12</v>
      </c>
      <c r="Q636" s="2" t="s">
        <v>2260</v>
      </c>
      <c r="R636" s="2" t="s">
        <v>2260</v>
      </c>
      <c r="S636" s="4">
        <v>44837</v>
      </c>
    </row>
    <row r="637" spans="1:19" ht="12.5" x14ac:dyDescent="0.25">
      <c r="A637" s="14" t="str">
        <f>HYPERLINK("https://gerandofalcoes.my.salesforce.com/0014X00002VKCqyQAH", "0014X00002VKCqyQAH")</f>
        <v>0014X00002VKCqyQAH</v>
      </c>
      <c r="B637" s="2" t="s">
        <v>7189</v>
      </c>
      <c r="C637" s="2" t="s">
        <v>423</v>
      </c>
      <c r="D637" s="2" t="s">
        <v>2</v>
      </c>
      <c r="E637" s="2">
        <v>40</v>
      </c>
      <c r="F637" s="2">
        <v>20</v>
      </c>
      <c r="G637" s="2">
        <v>3</v>
      </c>
      <c r="H637" s="2">
        <v>5000</v>
      </c>
      <c r="I637" s="2">
        <v>130</v>
      </c>
      <c r="J637" s="2" t="s">
        <v>1671</v>
      </c>
      <c r="K637" s="2">
        <v>50</v>
      </c>
      <c r="L637" s="2">
        <v>15</v>
      </c>
      <c r="M637" s="2">
        <v>12</v>
      </c>
      <c r="N637" s="2">
        <v>8</v>
      </c>
      <c r="O637" s="2">
        <v>5</v>
      </c>
      <c r="P637" s="2">
        <v>10</v>
      </c>
      <c r="Q637" s="2" t="s">
        <v>3808</v>
      </c>
      <c r="R637" s="2" t="s">
        <v>3809</v>
      </c>
      <c r="S637" s="4">
        <v>44837</v>
      </c>
    </row>
    <row r="638" spans="1:19" ht="12.5" x14ac:dyDescent="0.25">
      <c r="A638" s="14" t="str">
        <f>HYPERLINK("https://gerandofalcoes.my.salesforce.com/0014X00002Yggp5QAB", "0014X00002Yggp5QAB")</f>
        <v>0014X00002Yggp5QAB</v>
      </c>
      <c r="B638" s="2" t="s">
        <v>3050</v>
      </c>
      <c r="C638" s="2" t="s">
        <v>423</v>
      </c>
      <c r="D638" s="2" t="s">
        <v>2</v>
      </c>
      <c r="F638" s="2">
        <v>0</v>
      </c>
      <c r="G638" s="2">
        <v>2</v>
      </c>
      <c r="H638" s="2">
        <v>0</v>
      </c>
      <c r="I638" s="2">
        <v>0</v>
      </c>
      <c r="K638" s="2">
        <v>6</v>
      </c>
      <c r="L638" s="2">
        <v>0</v>
      </c>
      <c r="M638" s="2">
        <v>0</v>
      </c>
      <c r="N638" s="2">
        <v>6</v>
      </c>
      <c r="O638" s="2">
        <v>0</v>
      </c>
      <c r="P638" s="2">
        <v>0</v>
      </c>
      <c r="Q638" s="2" t="s">
        <v>3051</v>
      </c>
      <c r="R638" s="2" t="s">
        <v>3052</v>
      </c>
      <c r="S638" s="4">
        <v>44946</v>
      </c>
    </row>
    <row r="639" spans="1:19" ht="12.5" x14ac:dyDescent="0.25">
      <c r="A639" s="14" t="str">
        <f>HYPERLINK("https://gerandofalcoes.my.salesforce.com/0014X00002YgghXQAR", "0014X00002YgghXQAR")</f>
        <v>0014X00002YgghXQAR</v>
      </c>
      <c r="B639" s="2" t="s">
        <v>3258</v>
      </c>
      <c r="C639" s="2" t="s">
        <v>423</v>
      </c>
      <c r="D639" s="2" t="s">
        <v>2</v>
      </c>
      <c r="E639" s="2"/>
      <c r="F639" s="2">
        <v>20</v>
      </c>
      <c r="G639" s="2">
        <v>4</v>
      </c>
      <c r="H639" s="2">
        <v>5000</v>
      </c>
      <c r="I639" s="2">
        <v>75</v>
      </c>
      <c r="J639" s="2"/>
      <c r="K639" s="2">
        <v>32</v>
      </c>
      <c r="L639" s="2">
        <v>0</v>
      </c>
      <c r="M639" s="2">
        <v>12</v>
      </c>
      <c r="N639" s="2">
        <v>10</v>
      </c>
      <c r="O639" s="2">
        <v>5</v>
      </c>
      <c r="P639" s="2">
        <v>5</v>
      </c>
      <c r="Q639" s="2" t="s">
        <v>3259</v>
      </c>
      <c r="R639" s="2" t="s">
        <v>3260</v>
      </c>
      <c r="S639" s="4">
        <v>44952</v>
      </c>
    </row>
    <row r="640" spans="1:19" ht="12.5" x14ac:dyDescent="0.25">
      <c r="A640" s="14" t="str">
        <f>HYPERLINK("https://gerandofalcoes.my.salesforce.com/0014X00002YggjoQAB", "0014X00002YggjoQAB")</f>
        <v>0014X00002YggjoQAB</v>
      </c>
      <c r="B640" s="2" t="s">
        <v>3283</v>
      </c>
      <c r="C640" s="2" t="s">
        <v>423</v>
      </c>
      <c r="D640" s="2" t="s">
        <v>2</v>
      </c>
      <c r="E640" s="2"/>
      <c r="F640" s="2">
        <v>3</v>
      </c>
      <c r="G640" s="2">
        <v>2</v>
      </c>
      <c r="H640" s="2">
        <v>280000</v>
      </c>
      <c r="I640" s="2">
        <v>50</v>
      </c>
      <c r="J640" s="2"/>
      <c r="K640" s="2">
        <v>31</v>
      </c>
      <c r="L640" s="2">
        <v>0</v>
      </c>
      <c r="M640" s="2">
        <v>5</v>
      </c>
      <c r="N640" s="2">
        <v>6</v>
      </c>
      <c r="O640" s="2">
        <v>15</v>
      </c>
      <c r="P640" s="2">
        <v>5</v>
      </c>
      <c r="Q640" s="2" t="s">
        <v>3284</v>
      </c>
      <c r="R640" s="2" t="s">
        <v>3285</v>
      </c>
      <c r="S640" s="4">
        <v>44952</v>
      </c>
    </row>
    <row r="641" spans="1:19" ht="12.5" x14ac:dyDescent="0.25">
      <c r="A641" s="14" t="str">
        <f>HYPERLINK("https://gerandofalcoes.my.salesforce.com/0014X00002YgbkdQAB", "0014X00002YgbkdQAB")</f>
        <v>0014X00002YgbkdQAB</v>
      </c>
      <c r="B641" s="2" t="s">
        <v>3157</v>
      </c>
      <c r="C641" s="2" t="s">
        <v>423</v>
      </c>
      <c r="D641" s="2" t="s">
        <v>2</v>
      </c>
      <c r="E641" s="2"/>
      <c r="F641" s="2">
        <v>0</v>
      </c>
      <c r="G641" s="2">
        <v>0</v>
      </c>
      <c r="H641" s="2">
        <v>0</v>
      </c>
      <c r="I641" s="2">
        <v>0</v>
      </c>
      <c r="J641" s="2"/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 t="s">
        <v>3158</v>
      </c>
      <c r="R641" s="2" t="s">
        <v>3159</v>
      </c>
      <c r="S641" s="4">
        <v>44950</v>
      </c>
    </row>
    <row r="642" spans="1:19" ht="12.5" x14ac:dyDescent="0.25">
      <c r="A642" s="14" t="str">
        <f>HYPERLINK("https://gerandofalcoes.my.salesforce.com/0014X00002YggjKQAR", "0014X00002YggjKQAR")</f>
        <v>0014X00002YggjKQAR</v>
      </c>
      <c r="B642" s="2" t="s">
        <v>3133</v>
      </c>
      <c r="C642" s="2" t="s">
        <v>423</v>
      </c>
      <c r="D642" s="2" t="s">
        <v>2</v>
      </c>
      <c r="E642" s="2"/>
      <c r="F642" s="2">
        <v>4</v>
      </c>
      <c r="G642" s="2">
        <v>3</v>
      </c>
      <c r="H642" s="2">
        <v>18000</v>
      </c>
      <c r="I642" s="2">
        <v>50</v>
      </c>
      <c r="J642" s="2"/>
      <c r="K642" s="2">
        <v>23</v>
      </c>
      <c r="L642" s="2">
        <v>0</v>
      </c>
      <c r="M642" s="2">
        <v>5</v>
      </c>
      <c r="N642" s="2">
        <v>8</v>
      </c>
      <c r="O642" s="2">
        <v>5</v>
      </c>
      <c r="P642" s="2">
        <v>5</v>
      </c>
      <c r="Q642" s="2" t="s">
        <v>3134</v>
      </c>
      <c r="R642" s="2" t="s">
        <v>3135</v>
      </c>
      <c r="S642" s="4">
        <v>44949</v>
      </c>
    </row>
    <row r="643" spans="1:19" ht="12.5" x14ac:dyDescent="0.25">
      <c r="A643" s="14" t="str">
        <f>HYPERLINK("https://gerandofalcoes.my.salesforce.com/0014X00002YggjdQAB", "0014X00002YggjdQAB")</f>
        <v>0014X00002YggjdQAB</v>
      </c>
      <c r="B643" s="2" t="s">
        <v>3085</v>
      </c>
      <c r="C643" s="2" t="s">
        <v>423</v>
      </c>
      <c r="D643" s="2" t="s">
        <v>2</v>
      </c>
      <c r="E643" s="2"/>
      <c r="F643" s="2">
        <v>3</v>
      </c>
      <c r="G643" s="2">
        <v>2</v>
      </c>
      <c r="H643" s="2">
        <v>1000</v>
      </c>
      <c r="I643" s="2">
        <v>30</v>
      </c>
      <c r="J643" s="2"/>
      <c r="K643" s="2">
        <v>21</v>
      </c>
      <c r="L643" s="2">
        <v>0</v>
      </c>
      <c r="M643" s="2">
        <v>5</v>
      </c>
      <c r="N643" s="2">
        <v>6</v>
      </c>
      <c r="O643" s="2">
        <v>5</v>
      </c>
      <c r="P643" s="2">
        <v>5</v>
      </c>
      <c r="Q643" s="2" t="s">
        <v>3086</v>
      </c>
      <c r="R643" s="2" t="s">
        <v>3086</v>
      </c>
      <c r="S643" s="4">
        <v>44946</v>
      </c>
    </row>
    <row r="644" spans="1:19" ht="12.5" x14ac:dyDescent="0.25">
      <c r="A644" s="14" t="str">
        <f>HYPERLINK("https://gerandofalcoes.my.salesforce.com/0014X00002YgggQQAR", "0014X00002YgggQQAR")</f>
        <v>0014X00002YgggQQAR</v>
      </c>
      <c r="B644" s="2" t="s">
        <v>3111</v>
      </c>
      <c r="C644" s="2" t="s">
        <v>423</v>
      </c>
      <c r="D644" s="2" t="s">
        <v>2</v>
      </c>
      <c r="F644" s="2">
        <v>2</v>
      </c>
      <c r="G644" s="2">
        <v>2</v>
      </c>
      <c r="H644" s="2">
        <v>55000</v>
      </c>
      <c r="I644" s="2">
        <v>20</v>
      </c>
      <c r="K644" s="2">
        <v>26</v>
      </c>
      <c r="L644" s="2">
        <v>0</v>
      </c>
      <c r="M644" s="2">
        <v>5</v>
      </c>
      <c r="N644" s="2">
        <v>6</v>
      </c>
      <c r="O644" s="2">
        <v>10</v>
      </c>
      <c r="P644" s="2">
        <v>5</v>
      </c>
      <c r="Q644" s="2" t="s">
        <v>3112</v>
      </c>
      <c r="R644" s="2" t="s">
        <v>3113</v>
      </c>
      <c r="S644" s="4">
        <v>44949</v>
      </c>
    </row>
    <row r="645" spans="1:19" ht="12.5" x14ac:dyDescent="0.25">
      <c r="A645" s="14" t="str">
        <f>HYPERLINK("https://gerandofalcoes.my.salesforce.com/0014X00002YggpnQAB", "0014X00002YggpnQAB")</f>
        <v>0014X00002YggpnQAB</v>
      </c>
      <c r="B645" s="2" t="s">
        <v>3128</v>
      </c>
      <c r="C645" s="2" t="s">
        <v>423</v>
      </c>
      <c r="D645" s="2" t="s">
        <v>2</v>
      </c>
      <c r="E645" s="2"/>
      <c r="F645" s="2">
        <v>0</v>
      </c>
      <c r="G645" s="2">
        <v>2</v>
      </c>
      <c r="H645" s="2">
        <v>2000</v>
      </c>
      <c r="I645" s="2">
        <v>90</v>
      </c>
      <c r="J645" s="2"/>
      <c r="K645" s="2">
        <v>21</v>
      </c>
      <c r="L645" s="2">
        <v>0</v>
      </c>
      <c r="M645" s="2">
        <v>0</v>
      </c>
      <c r="N645" s="2">
        <v>6</v>
      </c>
      <c r="O645" s="2">
        <v>5</v>
      </c>
      <c r="P645" s="2">
        <v>10</v>
      </c>
      <c r="Q645" s="2" t="s">
        <v>3129</v>
      </c>
      <c r="R645" s="2" t="s">
        <v>3129</v>
      </c>
      <c r="S645" s="4">
        <v>44949</v>
      </c>
    </row>
    <row r="646" spans="1:19" ht="12.5" x14ac:dyDescent="0.25">
      <c r="A646" s="14" t="str">
        <f>HYPERLINK("https://gerandofalcoes.my.salesforce.com/0014X00002YggmlQAB", "0014X00002YggmlQAB")</f>
        <v>0014X00002YggmlQAB</v>
      </c>
      <c r="B646" s="2" t="s">
        <v>3078</v>
      </c>
      <c r="C646" s="2" t="s">
        <v>423</v>
      </c>
      <c r="D646" s="2" t="s">
        <v>2</v>
      </c>
      <c r="E646" s="2"/>
      <c r="F646" s="2">
        <v>1</v>
      </c>
      <c r="G646" s="2">
        <v>2</v>
      </c>
      <c r="H646" s="2">
        <v>30000</v>
      </c>
      <c r="I646" s="2">
        <v>90</v>
      </c>
      <c r="J646" s="2"/>
      <c r="K646" s="2">
        <v>31</v>
      </c>
      <c r="L646" s="2">
        <v>0</v>
      </c>
      <c r="M646" s="2">
        <v>5</v>
      </c>
      <c r="N646" s="2">
        <v>6</v>
      </c>
      <c r="O646" s="2">
        <v>10</v>
      </c>
      <c r="P646" s="2">
        <v>10</v>
      </c>
      <c r="Q646" s="2" t="s">
        <v>3079</v>
      </c>
      <c r="R646" s="2" t="s">
        <v>3080</v>
      </c>
      <c r="S646" s="4">
        <v>44946</v>
      </c>
    </row>
    <row r="647" spans="1:19" ht="12.5" x14ac:dyDescent="0.25">
      <c r="A647" s="14" t="str">
        <f>HYPERLINK("https://gerandofalcoes.my.salesforce.com/0014X00002YggolQAB", "0014X00002YggolQAB")</f>
        <v>0014X00002YggolQAB</v>
      </c>
      <c r="B647" s="2" t="s">
        <v>3215</v>
      </c>
      <c r="C647" s="2" t="s">
        <v>423</v>
      </c>
      <c r="D647" s="2" t="s">
        <v>2</v>
      </c>
      <c r="F647" s="2">
        <v>0</v>
      </c>
      <c r="G647" s="2">
        <v>2</v>
      </c>
      <c r="H647" s="2">
        <v>0</v>
      </c>
      <c r="I647" s="2">
        <v>100</v>
      </c>
      <c r="K647" s="2">
        <v>16</v>
      </c>
      <c r="L647" s="2">
        <v>0</v>
      </c>
      <c r="M647" s="2">
        <v>0</v>
      </c>
      <c r="N647" s="2">
        <v>6</v>
      </c>
      <c r="O647" s="2">
        <v>0</v>
      </c>
      <c r="P647" s="2">
        <v>10</v>
      </c>
      <c r="Q647" s="2" t="s">
        <v>3216</v>
      </c>
      <c r="R647" s="2" t="s">
        <v>3217</v>
      </c>
      <c r="S647" s="4">
        <v>44951</v>
      </c>
    </row>
    <row r="648" spans="1:19" ht="12.5" x14ac:dyDescent="0.25">
      <c r="A648" s="14" t="str">
        <f>HYPERLINK("https://gerandofalcoes.my.salesforce.com/0014X00002YgglxQAB", "0014X00002YgglxQAB")</f>
        <v>0014X00002YgglxQAB</v>
      </c>
      <c r="B648" s="2" t="s">
        <v>3222</v>
      </c>
      <c r="C648" s="2" t="s">
        <v>423</v>
      </c>
      <c r="D648" s="2" t="s">
        <v>2</v>
      </c>
      <c r="E648" s="2"/>
      <c r="F648" s="2">
        <v>0</v>
      </c>
      <c r="G648" s="2">
        <v>2</v>
      </c>
      <c r="H648" s="2">
        <v>2500</v>
      </c>
      <c r="I648" s="2">
        <v>40</v>
      </c>
      <c r="J648" s="2"/>
      <c r="K648" s="2">
        <v>16</v>
      </c>
      <c r="L648" s="2">
        <v>0</v>
      </c>
      <c r="M648" s="2">
        <v>0</v>
      </c>
      <c r="N648" s="2">
        <v>6</v>
      </c>
      <c r="O648" s="2">
        <v>5</v>
      </c>
      <c r="P648" s="2">
        <v>5</v>
      </c>
      <c r="Q648" s="2" t="s">
        <v>3223</v>
      </c>
      <c r="R648" s="2" t="s">
        <v>3224</v>
      </c>
      <c r="S648" s="4">
        <v>44951</v>
      </c>
    </row>
    <row r="649" spans="1:19" ht="12.5" x14ac:dyDescent="0.25">
      <c r="A649" s="14" t="str">
        <f>HYPERLINK("https://gerandofalcoes.my.salesforce.com/0014X00002YggoXQAR", "0014X00002YggoXQAR")</f>
        <v>0014X00002YggoXQAR</v>
      </c>
      <c r="B649" s="2" t="s">
        <v>3195</v>
      </c>
      <c r="C649" s="2" t="s">
        <v>423</v>
      </c>
      <c r="D649" s="2" t="s">
        <v>2</v>
      </c>
      <c r="F649" s="2">
        <v>10</v>
      </c>
      <c r="G649" s="2">
        <v>2</v>
      </c>
      <c r="H649" s="2">
        <v>8000</v>
      </c>
      <c r="I649" s="2">
        <v>60</v>
      </c>
      <c r="K649" s="2">
        <v>26</v>
      </c>
      <c r="L649" s="2">
        <v>0</v>
      </c>
      <c r="M649" s="2">
        <v>10</v>
      </c>
      <c r="N649" s="2">
        <v>6</v>
      </c>
      <c r="O649" s="2">
        <v>5</v>
      </c>
      <c r="P649" s="2">
        <v>5</v>
      </c>
      <c r="Q649" s="2" t="s">
        <v>3196</v>
      </c>
      <c r="R649" s="2" t="s">
        <v>3197</v>
      </c>
      <c r="S649" s="4">
        <v>44951</v>
      </c>
    </row>
    <row r="650" spans="1:19" ht="12.5" x14ac:dyDescent="0.25">
      <c r="A650" s="14" t="str">
        <f>HYPERLINK("https://gerandofalcoes.my.salesforce.com/0014X00002YggjIQAR", "0014X00002YggjIQAR")</f>
        <v>0014X00002YggjIQAR</v>
      </c>
      <c r="B650" s="2" t="s">
        <v>3272</v>
      </c>
      <c r="C650" s="2" t="s">
        <v>423</v>
      </c>
      <c r="D650" s="2" t="s">
        <v>2</v>
      </c>
      <c r="E650" s="2"/>
      <c r="F650" s="2">
        <v>3</v>
      </c>
      <c r="G650" s="2">
        <v>2</v>
      </c>
      <c r="H650" s="2">
        <v>2000</v>
      </c>
      <c r="I650" s="2">
        <v>125</v>
      </c>
      <c r="J650" s="2"/>
      <c r="K650" s="2">
        <v>26</v>
      </c>
      <c r="L650" s="2">
        <v>0</v>
      </c>
      <c r="M650" s="2">
        <v>5</v>
      </c>
      <c r="N650" s="2">
        <v>6</v>
      </c>
      <c r="O650" s="2">
        <v>5</v>
      </c>
      <c r="P650" s="2">
        <v>10</v>
      </c>
      <c r="Q650" s="2" t="s">
        <v>3273</v>
      </c>
      <c r="R650" s="2" t="s">
        <v>3274</v>
      </c>
      <c r="S650" s="4">
        <v>44952</v>
      </c>
    </row>
    <row r="651" spans="1:19" ht="12.5" x14ac:dyDescent="0.25">
      <c r="A651" s="14" t="str">
        <f>HYPERLINK("https://gerandofalcoes.my.salesforce.com/0014X00002YggooQAB", "0014X00002YggooQAB")</f>
        <v>0014X00002YggooQAB</v>
      </c>
      <c r="B651" s="2" t="s">
        <v>3047</v>
      </c>
      <c r="C651" s="2" t="s">
        <v>423</v>
      </c>
      <c r="D651" s="2" t="s">
        <v>2</v>
      </c>
      <c r="E651" s="2"/>
      <c r="F651" s="2">
        <v>1</v>
      </c>
      <c r="G651" s="2">
        <v>3</v>
      </c>
      <c r="H651" s="2">
        <v>19000</v>
      </c>
      <c r="I651" s="2">
        <v>30</v>
      </c>
      <c r="J651" s="2"/>
      <c r="K651" s="2">
        <v>23</v>
      </c>
      <c r="L651" s="2">
        <v>0</v>
      </c>
      <c r="M651" s="2">
        <v>5</v>
      </c>
      <c r="N651" s="2">
        <v>8</v>
      </c>
      <c r="O651" s="2">
        <v>5</v>
      </c>
      <c r="P651" s="2">
        <v>5</v>
      </c>
      <c r="Q651" s="2" t="s">
        <v>3048</v>
      </c>
      <c r="R651" s="2" t="s">
        <v>3049</v>
      </c>
      <c r="S651" s="4">
        <v>44946</v>
      </c>
    </row>
    <row r="652" spans="1:19" ht="12.5" x14ac:dyDescent="0.25">
      <c r="A652" s="14" t="str">
        <f>HYPERLINK("https://gerandofalcoes.my.salesforce.com/0014X00002YggiEQAR", "0014X00002YggiEQAR")</f>
        <v>0014X00002YggiEQAR</v>
      </c>
      <c r="B652" s="2" t="s">
        <v>3241</v>
      </c>
      <c r="C652" s="2" t="s">
        <v>423</v>
      </c>
      <c r="D652" s="2" t="s">
        <v>2</v>
      </c>
      <c r="F652" s="2">
        <v>23</v>
      </c>
      <c r="G652" s="2">
        <v>4</v>
      </c>
      <c r="H652" s="2">
        <v>750000</v>
      </c>
      <c r="I652" s="2">
        <v>0</v>
      </c>
      <c r="K652" s="2">
        <v>42</v>
      </c>
      <c r="L652" s="2">
        <v>0</v>
      </c>
      <c r="M652" s="2">
        <v>12</v>
      </c>
      <c r="N652" s="2">
        <v>10</v>
      </c>
      <c r="O652" s="2">
        <v>20</v>
      </c>
      <c r="P652" s="2">
        <v>0</v>
      </c>
      <c r="Q652" s="2" t="s">
        <v>3242</v>
      </c>
      <c r="R652" s="2" t="s">
        <v>3243</v>
      </c>
      <c r="S652" s="4">
        <v>44952</v>
      </c>
    </row>
    <row r="653" spans="1:19" ht="12.5" x14ac:dyDescent="0.25">
      <c r="A653" s="14" t="str">
        <f>HYPERLINK("https://gerandofalcoes.my.salesforce.com/0014X00002YggirQAB", "0014X00002YggirQAB")</f>
        <v>0014X00002YggirQAB</v>
      </c>
      <c r="B653" s="2" t="s">
        <v>3213</v>
      </c>
      <c r="C653" s="2" t="s">
        <v>423</v>
      </c>
      <c r="D653" s="2" t="s">
        <v>2</v>
      </c>
      <c r="E653" s="2"/>
      <c r="F653" s="2">
        <v>0</v>
      </c>
      <c r="G653" s="2">
        <v>2</v>
      </c>
      <c r="H653" s="2">
        <v>5000</v>
      </c>
      <c r="I653" s="2">
        <v>100</v>
      </c>
      <c r="J653" s="2"/>
      <c r="K653" s="2">
        <v>21</v>
      </c>
      <c r="L653" s="2">
        <v>0</v>
      </c>
      <c r="M653" s="2">
        <v>0</v>
      </c>
      <c r="N653" s="2">
        <v>6</v>
      </c>
      <c r="O653" s="2">
        <v>5</v>
      </c>
      <c r="P653" s="2">
        <v>10</v>
      </c>
      <c r="Q653" s="2" t="s">
        <v>3214</v>
      </c>
      <c r="R653" s="2" t="s">
        <v>3214</v>
      </c>
      <c r="S653" s="4">
        <v>44951</v>
      </c>
    </row>
    <row r="654" spans="1:19" ht="12.5" x14ac:dyDescent="0.25">
      <c r="A654" s="14" t="str">
        <f>HYPERLINK("https://gerandofalcoes.my.salesforce.com/0014X00002YggjOQAR", "0014X00002YggjOQAR")</f>
        <v>0014X00002YggjOQAR</v>
      </c>
      <c r="B654" s="2" t="s">
        <v>2649</v>
      </c>
      <c r="C654" s="2" t="s">
        <v>423</v>
      </c>
      <c r="D654" s="2" t="s">
        <v>2</v>
      </c>
      <c r="F654" s="2">
        <v>0</v>
      </c>
      <c r="G654" s="2">
        <v>6</v>
      </c>
      <c r="H654" s="2">
        <v>0</v>
      </c>
      <c r="I654" s="2">
        <v>0</v>
      </c>
      <c r="K654" s="2">
        <v>10</v>
      </c>
      <c r="L654" s="2">
        <v>0</v>
      </c>
      <c r="M654" s="2">
        <v>0</v>
      </c>
      <c r="N654" s="2">
        <v>10</v>
      </c>
      <c r="O654" s="2">
        <v>0</v>
      </c>
      <c r="P654" s="2">
        <v>0</v>
      </c>
      <c r="Q654" s="2" t="s">
        <v>3194</v>
      </c>
      <c r="R654" s="2" t="s">
        <v>3194</v>
      </c>
      <c r="S654" s="4">
        <v>44951</v>
      </c>
    </row>
    <row r="655" spans="1:19" ht="12.5" x14ac:dyDescent="0.25">
      <c r="A655" s="14" t="str">
        <f>HYPERLINK("https://gerandofalcoes.my.salesforce.com/0014X00002YgbknQAB", "0014X00002YgbknQAB")</f>
        <v>0014X00002YgbknQAB</v>
      </c>
      <c r="B655" s="2" t="s">
        <v>3096</v>
      </c>
      <c r="C655" s="2" t="s">
        <v>423</v>
      </c>
      <c r="D655" s="2" t="s">
        <v>2</v>
      </c>
      <c r="F655" s="2">
        <v>0</v>
      </c>
      <c r="G655" s="2">
        <v>0</v>
      </c>
      <c r="H655" s="2">
        <v>0</v>
      </c>
      <c r="I655" s="2">
        <v>0</v>
      </c>
      <c r="K655" s="2">
        <v>0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 t="s">
        <v>3097</v>
      </c>
      <c r="R655" s="2" t="s">
        <v>3097</v>
      </c>
      <c r="S655" s="4">
        <v>44947</v>
      </c>
    </row>
    <row r="656" spans="1:19" ht="12.5" x14ac:dyDescent="0.25">
      <c r="A656" s="14" t="str">
        <f>HYPERLINK("https://gerandofalcoes.my.salesforce.com/0014X00002Yggl7QAB", "0014X00002Yggl7QAB")</f>
        <v>0014X00002Yggl7QAB</v>
      </c>
      <c r="B656" s="2" t="s">
        <v>3204</v>
      </c>
      <c r="C656" s="2" t="s">
        <v>423</v>
      </c>
      <c r="D656" s="2" t="s">
        <v>2</v>
      </c>
      <c r="F656" s="2">
        <v>0</v>
      </c>
      <c r="G656" s="2">
        <v>4</v>
      </c>
      <c r="H656" s="2">
        <v>20000</v>
      </c>
      <c r="I656" s="2">
        <v>2000</v>
      </c>
      <c r="K656" s="2">
        <v>35</v>
      </c>
      <c r="L656" s="2">
        <v>0</v>
      </c>
      <c r="M656" s="2">
        <v>0</v>
      </c>
      <c r="N656" s="2">
        <v>10</v>
      </c>
      <c r="O656" s="2">
        <v>5</v>
      </c>
      <c r="P656" s="2">
        <v>20</v>
      </c>
      <c r="Q656" s="2" t="s">
        <v>3205</v>
      </c>
      <c r="R656" s="2" t="s">
        <v>3206</v>
      </c>
      <c r="S656" s="4">
        <v>44951</v>
      </c>
    </row>
    <row r="657" spans="1:19" ht="12.5" x14ac:dyDescent="0.25">
      <c r="A657" s="14" t="str">
        <f>HYPERLINK("https://gerandofalcoes.my.salesforce.com/0014X00002YggquQAB", "0014X00002YggquQAB")</f>
        <v>0014X00002YggquQAB</v>
      </c>
      <c r="B657" s="2" t="s">
        <v>3171</v>
      </c>
      <c r="C657" s="2" t="s">
        <v>423</v>
      </c>
      <c r="D657" s="2" t="s">
        <v>2</v>
      </c>
      <c r="E657" s="2"/>
      <c r="F657" s="2">
        <v>4</v>
      </c>
      <c r="G657" s="2">
        <v>11</v>
      </c>
      <c r="H657" s="2">
        <v>0</v>
      </c>
      <c r="I657" s="2">
        <v>0</v>
      </c>
      <c r="J657" s="2"/>
      <c r="K657" s="2">
        <v>15</v>
      </c>
      <c r="L657" s="2">
        <v>0</v>
      </c>
      <c r="M657" s="2">
        <v>5</v>
      </c>
      <c r="N657" s="2">
        <v>10</v>
      </c>
      <c r="O657" s="2">
        <v>0</v>
      </c>
      <c r="P657" s="2">
        <v>0</v>
      </c>
      <c r="Q657" s="2" t="s">
        <v>3172</v>
      </c>
      <c r="R657" s="2" t="s">
        <v>3172</v>
      </c>
      <c r="S657" s="4">
        <v>44950</v>
      </c>
    </row>
    <row r="658" spans="1:19" ht="12.5" x14ac:dyDescent="0.25">
      <c r="A658" s="14" t="str">
        <f>HYPERLINK("https://gerandofalcoes.my.salesforce.com/0014X00002YgghKQAR", "0014X00002YgghKQAR")</f>
        <v>0014X00002YgghKQAR</v>
      </c>
      <c r="B658" s="2" t="s">
        <v>3065</v>
      </c>
      <c r="C658" s="2" t="s">
        <v>423</v>
      </c>
      <c r="D658" s="2" t="s">
        <v>2</v>
      </c>
      <c r="F658" s="2">
        <v>0</v>
      </c>
      <c r="G658" s="2">
        <v>5</v>
      </c>
      <c r="H658" s="2">
        <v>500</v>
      </c>
      <c r="I658" s="2">
        <v>0</v>
      </c>
      <c r="K658" s="2">
        <v>15</v>
      </c>
      <c r="L658" s="2">
        <v>0</v>
      </c>
      <c r="M658" s="2">
        <v>0</v>
      </c>
      <c r="N658" s="2">
        <v>10</v>
      </c>
      <c r="O658" s="2">
        <v>5</v>
      </c>
      <c r="P658" s="2">
        <v>0</v>
      </c>
      <c r="Q658" s="2" t="s">
        <v>3066</v>
      </c>
      <c r="R658" s="2" t="s">
        <v>3066</v>
      </c>
      <c r="S658" s="4">
        <v>44946</v>
      </c>
    </row>
    <row r="659" spans="1:19" ht="12.5" x14ac:dyDescent="0.25">
      <c r="A659" s="14" t="str">
        <f>HYPERLINK("https://gerandofalcoes.my.salesforce.com/0014X00002Yggj9QAB", "0014X00002Yggj9QAB")</f>
        <v>0014X00002Yggj9QAB</v>
      </c>
      <c r="B659" s="2" t="s">
        <v>3090</v>
      </c>
      <c r="C659" s="2" t="s">
        <v>423</v>
      </c>
      <c r="D659" s="2" t="s">
        <v>2</v>
      </c>
      <c r="E659" s="2"/>
      <c r="F659" s="2">
        <v>30</v>
      </c>
      <c r="G659" s="2">
        <v>3</v>
      </c>
      <c r="H659" s="2">
        <v>1200000</v>
      </c>
      <c r="I659" s="2">
        <v>0</v>
      </c>
      <c r="J659" s="2"/>
      <c r="K659" s="2">
        <v>45</v>
      </c>
      <c r="L659" s="2">
        <v>0</v>
      </c>
      <c r="M659" s="2">
        <v>12</v>
      </c>
      <c r="N659" s="2">
        <v>8</v>
      </c>
      <c r="O659" s="2">
        <v>25</v>
      </c>
      <c r="P659" s="2">
        <v>0</v>
      </c>
      <c r="Q659" s="2" t="s">
        <v>3091</v>
      </c>
      <c r="R659" s="2" t="s">
        <v>3092</v>
      </c>
      <c r="S659" s="4">
        <v>44946</v>
      </c>
    </row>
    <row r="660" spans="1:19" ht="12.5" x14ac:dyDescent="0.25">
      <c r="A660" s="14" t="str">
        <f>HYPERLINK("https://gerandofalcoes.my.salesforce.com/0014X00002YggiQQAR", "0014X00002YggiQQAR")</f>
        <v>0014X00002YggiQQAR</v>
      </c>
      <c r="B660" s="2" t="s">
        <v>3149</v>
      </c>
      <c r="C660" s="2" t="s">
        <v>423</v>
      </c>
      <c r="D660" s="2" t="s">
        <v>2</v>
      </c>
      <c r="E660" s="2"/>
      <c r="F660" s="2">
        <v>30</v>
      </c>
      <c r="G660" s="2">
        <v>5</v>
      </c>
      <c r="H660" s="2">
        <v>190000</v>
      </c>
      <c r="I660" s="2">
        <v>178</v>
      </c>
      <c r="J660" s="2"/>
      <c r="K660" s="2">
        <v>49</v>
      </c>
      <c r="L660" s="2">
        <v>0</v>
      </c>
      <c r="M660" s="2">
        <v>12</v>
      </c>
      <c r="N660" s="2">
        <v>10</v>
      </c>
      <c r="O660" s="2">
        <v>15</v>
      </c>
      <c r="P660" s="2">
        <v>12</v>
      </c>
      <c r="Q660" s="2" t="s">
        <v>3150</v>
      </c>
      <c r="R660" s="2" t="s">
        <v>3151</v>
      </c>
      <c r="S660" s="4">
        <v>44950</v>
      </c>
    </row>
    <row r="661" spans="1:19" ht="12.5" x14ac:dyDescent="0.25">
      <c r="A661" s="14" t="str">
        <f>HYPERLINK("https://gerandofalcoes.my.salesforce.com/0014X00002YggprQAB", "0014X00002YggprQAB")</f>
        <v>0014X00002YggprQAB</v>
      </c>
      <c r="B661" s="2" t="s">
        <v>3168</v>
      </c>
      <c r="C661" s="2" t="s">
        <v>423</v>
      </c>
      <c r="D661" s="2" t="s">
        <v>2</v>
      </c>
      <c r="F661" s="2">
        <v>0</v>
      </c>
      <c r="G661" s="2">
        <v>2</v>
      </c>
      <c r="H661" s="2">
        <v>300</v>
      </c>
      <c r="I661" s="2">
        <v>60</v>
      </c>
      <c r="K661" s="2">
        <v>16</v>
      </c>
      <c r="L661" s="2">
        <v>0</v>
      </c>
      <c r="M661" s="2">
        <v>0</v>
      </c>
      <c r="N661" s="2">
        <v>6</v>
      </c>
      <c r="O661" s="2">
        <v>5</v>
      </c>
      <c r="P661" s="2">
        <v>5</v>
      </c>
      <c r="Q661" s="2" t="s">
        <v>3169</v>
      </c>
      <c r="R661" s="2" t="s">
        <v>3170</v>
      </c>
      <c r="S661" s="4">
        <v>44950</v>
      </c>
    </row>
    <row r="662" spans="1:19" ht="12.5" x14ac:dyDescent="0.25">
      <c r="A662" s="14" t="str">
        <f>HYPERLINK("https://gerandofalcoes.my.salesforce.com/0014X00002YggqDQAR", "0014X00002YggqDQAR")</f>
        <v>0014X00002YggqDQAR</v>
      </c>
      <c r="B662" s="2" t="s">
        <v>3381</v>
      </c>
      <c r="C662" s="2" t="s">
        <v>423</v>
      </c>
      <c r="D662" s="2" t="s">
        <v>2</v>
      </c>
      <c r="E662" s="2"/>
      <c r="F662" s="2">
        <v>0</v>
      </c>
      <c r="G662" s="2">
        <v>3</v>
      </c>
      <c r="H662" s="2">
        <v>50000</v>
      </c>
      <c r="I662" s="2">
        <v>0</v>
      </c>
      <c r="J662" s="2"/>
      <c r="K662" s="2">
        <v>18</v>
      </c>
      <c r="L662" s="2">
        <v>0</v>
      </c>
      <c r="M662" s="2">
        <v>0</v>
      </c>
      <c r="N662" s="2">
        <v>8</v>
      </c>
      <c r="O662" s="2">
        <v>10</v>
      </c>
      <c r="P662" s="2">
        <v>0</v>
      </c>
      <c r="Q662" s="2" t="s">
        <v>3382</v>
      </c>
      <c r="R662" s="2" t="s">
        <v>3383</v>
      </c>
      <c r="S662" s="4">
        <v>44953</v>
      </c>
    </row>
    <row r="663" spans="1:19" ht="12.5" x14ac:dyDescent="0.25">
      <c r="A663" s="14" t="str">
        <f>HYPERLINK("https://gerandofalcoes.my.salesforce.com/0014X00002YggiXQAR", "0014X00002YggiXQAR")</f>
        <v>0014X00002YggiXQAR</v>
      </c>
      <c r="B663" s="2" t="s">
        <v>3114</v>
      </c>
      <c r="C663" s="2" t="s">
        <v>423</v>
      </c>
      <c r="D663" s="2" t="s">
        <v>2</v>
      </c>
      <c r="F663" s="2">
        <v>1</v>
      </c>
      <c r="G663" s="2">
        <v>3</v>
      </c>
      <c r="H663" s="2">
        <v>24000</v>
      </c>
      <c r="I663" s="2">
        <v>64</v>
      </c>
      <c r="K663" s="2">
        <v>23</v>
      </c>
      <c r="L663" s="2">
        <v>0</v>
      </c>
      <c r="M663" s="2">
        <v>5</v>
      </c>
      <c r="N663" s="2">
        <v>8</v>
      </c>
      <c r="O663" s="2">
        <v>5</v>
      </c>
      <c r="P663" s="2">
        <v>5</v>
      </c>
      <c r="Q663" s="2" t="s">
        <v>3115</v>
      </c>
      <c r="R663" s="2" t="s">
        <v>3116</v>
      </c>
      <c r="S663" s="4">
        <v>44949</v>
      </c>
    </row>
    <row r="664" spans="1:19" ht="12.5" x14ac:dyDescent="0.25">
      <c r="A664" s="14" t="str">
        <f>HYPERLINK("https://gerandofalcoes.my.salesforce.com/0014X00002YggleQAB", "0014X00002YggleQAB")</f>
        <v>0014X00002YggleQAB</v>
      </c>
      <c r="B664" s="2" t="s">
        <v>3083</v>
      </c>
      <c r="C664" s="2" t="s">
        <v>423</v>
      </c>
      <c r="D664" s="2" t="s">
        <v>2</v>
      </c>
      <c r="E664" s="2"/>
      <c r="F664" s="2">
        <v>0</v>
      </c>
      <c r="G664" s="2">
        <v>2</v>
      </c>
      <c r="H664" s="2">
        <v>50000</v>
      </c>
      <c r="I664" s="2">
        <v>50</v>
      </c>
      <c r="J664" s="2"/>
      <c r="K664" s="2">
        <v>21</v>
      </c>
      <c r="L664" s="2">
        <v>0</v>
      </c>
      <c r="M664" s="2">
        <v>0</v>
      </c>
      <c r="N664" s="2">
        <v>6</v>
      </c>
      <c r="O664" s="2">
        <v>10</v>
      </c>
      <c r="P664" s="2">
        <v>5</v>
      </c>
      <c r="Q664" s="2" t="s">
        <v>3084</v>
      </c>
      <c r="R664" s="2" t="s">
        <v>3084</v>
      </c>
      <c r="S664" s="4">
        <v>44946</v>
      </c>
    </row>
    <row r="665" spans="1:19" ht="12.5" x14ac:dyDescent="0.25">
      <c r="A665" s="14" t="str">
        <f>HYPERLINK("https://gerandofalcoes.my.salesforce.com/0014X00002YggojQAB", "0014X00002YggojQAB")</f>
        <v>0014X00002YggojQAB</v>
      </c>
      <c r="B665" s="2" t="s">
        <v>3136</v>
      </c>
      <c r="C665" s="2" t="s">
        <v>423</v>
      </c>
      <c r="D665" s="2" t="s">
        <v>2</v>
      </c>
      <c r="E665" s="2"/>
      <c r="F665" s="2">
        <v>0</v>
      </c>
      <c r="G665" s="2">
        <v>4</v>
      </c>
      <c r="H665" s="2">
        <v>0</v>
      </c>
      <c r="I665" s="2">
        <v>44</v>
      </c>
      <c r="J665" s="2"/>
      <c r="K665" s="2">
        <v>15</v>
      </c>
      <c r="L665" s="2">
        <v>0</v>
      </c>
      <c r="M665" s="2">
        <v>0</v>
      </c>
      <c r="N665" s="2">
        <v>10</v>
      </c>
      <c r="O665" s="2">
        <v>0</v>
      </c>
      <c r="P665" s="2">
        <v>5</v>
      </c>
      <c r="Q665" s="2" t="s">
        <v>3137</v>
      </c>
      <c r="R665" s="2" t="s">
        <v>3138</v>
      </c>
      <c r="S665" s="4">
        <v>44949</v>
      </c>
    </row>
    <row r="666" spans="1:19" ht="12.5" x14ac:dyDescent="0.25">
      <c r="A666" s="14" t="str">
        <f>HYPERLINK("https://gerandofalcoes.my.salesforce.com/0014X00002YggqdQAB", "0014X00002YggqdQAB")</f>
        <v>0014X00002YggqdQAB</v>
      </c>
      <c r="B666" s="2" t="s">
        <v>3117</v>
      </c>
      <c r="C666" s="2" t="s">
        <v>423</v>
      </c>
      <c r="D666" s="2" t="s">
        <v>2</v>
      </c>
      <c r="E666" s="2"/>
      <c r="F666" s="2">
        <v>1</v>
      </c>
      <c r="G666" s="2">
        <v>3</v>
      </c>
      <c r="H666" s="2">
        <v>1000</v>
      </c>
      <c r="I666" s="2">
        <v>0</v>
      </c>
      <c r="J666" s="2"/>
      <c r="K666" s="2">
        <v>18</v>
      </c>
      <c r="L666" s="2">
        <v>0</v>
      </c>
      <c r="M666" s="2">
        <v>5</v>
      </c>
      <c r="N666" s="2">
        <v>8</v>
      </c>
      <c r="O666" s="2">
        <v>5</v>
      </c>
      <c r="P666" s="2">
        <v>0</v>
      </c>
      <c r="Q666" s="2" t="s">
        <v>3118</v>
      </c>
      <c r="R666" s="2" t="s">
        <v>3119</v>
      </c>
      <c r="S666" s="4">
        <v>44949</v>
      </c>
    </row>
    <row r="667" spans="1:19" ht="12.5" x14ac:dyDescent="0.25">
      <c r="A667" s="14" t="str">
        <f>HYPERLINK("https://gerandofalcoes.my.salesforce.com/0014X00002YgggtQAB", "0014X00002YgggtQAB")</f>
        <v>0014X00002YgggtQAB</v>
      </c>
      <c r="B667" s="2" t="s">
        <v>3275</v>
      </c>
      <c r="C667" s="2" t="s">
        <v>423</v>
      </c>
      <c r="D667" s="2" t="s">
        <v>2</v>
      </c>
      <c r="F667" s="2">
        <v>6</v>
      </c>
      <c r="G667" s="2">
        <v>4</v>
      </c>
      <c r="H667" s="2">
        <v>142000</v>
      </c>
      <c r="I667" s="2">
        <v>120</v>
      </c>
      <c r="K667" s="2">
        <v>45</v>
      </c>
      <c r="L667" s="2">
        <v>0</v>
      </c>
      <c r="M667" s="2">
        <v>10</v>
      </c>
      <c r="N667" s="2">
        <v>10</v>
      </c>
      <c r="O667" s="2">
        <v>15</v>
      </c>
      <c r="P667" s="2">
        <v>10</v>
      </c>
      <c r="Q667" s="2" t="s">
        <v>3276</v>
      </c>
      <c r="R667" s="2" t="s">
        <v>3277</v>
      </c>
      <c r="S667" s="4">
        <v>44952</v>
      </c>
    </row>
    <row r="668" spans="1:19" ht="12.5" x14ac:dyDescent="0.25">
      <c r="A668" s="14" t="str">
        <f>HYPERLINK("https://gerandofalcoes.my.salesforce.com/0014X00002YggpOQAR", "0014X00002YggpOQAR")</f>
        <v>0014X00002YggpOQAR</v>
      </c>
      <c r="B668" s="2" t="s">
        <v>3053</v>
      </c>
      <c r="C668" s="2" t="s">
        <v>423</v>
      </c>
      <c r="D668" s="2" t="s">
        <v>2</v>
      </c>
      <c r="E668" s="2"/>
      <c r="F668" s="2">
        <v>34</v>
      </c>
      <c r="G668" s="2">
        <v>2</v>
      </c>
      <c r="H668" s="2">
        <v>343</v>
      </c>
      <c r="I668" s="2">
        <v>64</v>
      </c>
      <c r="J668" s="2"/>
      <c r="K668" s="2">
        <v>31</v>
      </c>
      <c r="L668" s="2">
        <v>0</v>
      </c>
      <c r="M668" s="2">
        <v>15</v>
      </c>
      <c r="N668" s="2">
        <v>6</v>
      </c>
      <c r="O668" s="2">
        <v>5</v>
      </c>
      <c r="P668" s="2">
        <v>5</v>
      </c>
      <c r="Q668" s="2" t="s">
        <v>3054</v>
      </c>
      <c r="R668" s="2" t="s">
        <v>3055</v>
      </c>
      <c r="S668" s="4">
        <v>44946</v>
      </c>
    </row>
    <row r="669" spans="1:19" ht="12.5" x14ac:dyDescent="0.25">
      <c r="A669" s="14" t="str">
        <f>HYPERLINK("https://gerandofalcoes.my.salesforce.com/0014X00002YgghvQAB", "0014X00002YgghvQAB")</f>
        <v>0014X00002YgghvQAB</v>
      </c>
      <c r="B669" s="2" t="s">
        <v>3179</v>
      </c>
      <c r="C669" s="2" t="s">
        <v>423</v>
      </c>
      <c r="D669" s="2" t="s">
        <v>2</v>
      </c>
      <c r="E669" s="2"/>
      <c r="F669" s="2">
        <v>18</v>
      </c>
      <c r="G669" s="2">
        <v>3</v>
      </c>
      <c r="H669" s="2">
        <v>100000</v>
      </c>
      <c r="I669" s="2">
        <v>850</v>
      </c>
      <c r="J669" s="2"/>
      <c r="K669" s="2">
        <v>55</v>
      </c>
      <c r="L669" s="2">
        <v>0</v>
      </c>
      <c r="M669" s="2">
        <v>12</v>
      </c>
      <c r="N669" s="2">
        <v>8</v>
      </c>
      <c r="O669" s="2">
        <v>15</v>
      </c>
      <c r="P669" s="2">
        <v>20</v>
      </c>
      <c r="Q669" s="2" t="s">
        <v>3180</v>
      </c>
      <c r="R669" s="2" t="s">
        <v>3181</v>
      </c>
      <c r="S669" s="4">
        <v>44951</v>
      </c>
    </row>
    <row r="670" spans="1:19" ht="12.5" x14ac:dyDescent="0.25">
      <c r="A670" s="14" t="str">
        <f>HYPERLINK("https://gerandofalcoes.my.salesforce.com/0014X00002YgglbQAB", "0014X00002YgglbQAB")</f>
        <v>0014X00002YgglbQAB</v>
      </c>
      <c r="B670" s="2" t="s">
        <v>3218</v>
      </c>
      <c r="C670" s="2" t="s">
        <v>423</v>
      </c>
      <c r="D670" s="2" t="s">
        <v>2</v>
      </c>
      <c r="F670" s="2">
        <v>0</v>
      </c>
      <c r="G670" s="2">
        <v>3</v>
      </c>
      <c r="H670" s="2">
        <v>100000</v>
      </c>
      <c r="I670" s="2">
        <v>75</v>
      </c>
      <c r="K670" s="2">
        <v>28</v>
      </c>
      <c r="L670" s="2">
        <v>0</v>
      </c>
      <c r="M670" s="2">
        <v>0</v>
      </c>
      <c r="N670" s="2">
        <v>8</v>
      </c>
      <c r="O670" s="2">
        <v>15</v>
      </c>
      <c r="P670" s="2">
        <v>5</v>
      </c>
      <c r="Q670" s="2" t="s">
        <v>3219</v>
      </c>
      <c r="R670" s="2" t="s">
        <v>3219</v>
      </c>
      <c r="S670" s="4">
        <v>44951</v>
      </c>
    </row>
    <row r="671" spans="1:19" ht="12.5" x14ac:dyDescent="0.25">
      <c r="A671" s="14" t="str">
        <f>HYPERLINK("https://gerandofalcoes.my.salesforce.com/0014X00002Yggi6QAB", "0014X00002Yggi6QAB")</f>
        <v>0014X00002Yggi6QAB</v>
      </c>
      <c r="B671" s="2" t="s">
        <v>3185</v>
      </c>
      <c r="C671" s="2" t="s">
        <v>423</v>
      </c>
      <c r="D671" s="2" t="s">
        <v>2</v>
      </c>
      <c r="E671" s="2"/>
      <c r="F671" s="2">
        <v>0</v>
      </c>
      <c r="G671" s="2">
        <v>2</v>
      </c>
      <c r="H671" s="2">
        <v>5000</v>
      </c>
      <c r="I671" s="2">
        <v>10</v>
      </c>
      <c r="J671" s="2"/>
      <c r="K671" s="2">
        <v>16</v>
      </c>
      <c r="L671" s="2">
        <v>0</v>
      </c>
      <c r="M671" s="2">
        <v>0</v>
      </c>
      <c r="N671" s="2">
        <v>6</v>
      </c>
      <c r="O671" s="2">
        <v>5</v>
      </c>
      <c r="P671" s="2">
        <v>5</v>
      </c>
      <c r="Q671" s="2" t="s">
        <v>3186</v>
      </c>
      <c r="R671" s="2" t="s">
        <v>3187</v>
      </c>
      <c r="S671" s="4">
        <v>44951</v>
      </c>
    </row>
    <row r="672" spans="1:19" ht="12.5" x14ac:dyDescent="0.25">
      <c r="A672" s="14" t="str">
        <f>HYPERLINK("https://gerandofalcoes.my.salesforce.com/0014X00002YgglNQAR", "0014X00002YgglNQAR")</f>
        <v>0014X00002YgglNQAR</v>
      </c>
      <c r="B672" s="2" t="s">
        <v>3225</v>
      </c>
      <c r="C672" s="2" t="s">
        <v>423</v>
      </c>
      <c r="D672" s="2" t="s">
        <v>2</v>
      </c>
      <c r="F672" s="2">
        <v>0</v>
      </c>
      <c r="G672" s="2">
        <v>2</v>
      </c>
      <c r="H672" s="2">
        <v>8000</v>
      </c>
      <c r="I672" s="2">
        <v>30</v>
      </c>
      <c r="K672" s="2">
        <v>16</v>
      </c>
      <c r="L672" s="2">
        <v>0</v>
      </c>
      <c r="M672" s="2">
        <v>0</v>
      </c>
      <c r="N672" s="2">
        <v>6</v>
      </c>
      <c r="O672" s="2">
        <v>5</v>
      </c>
      <c r="P672" s="2">
        <v>5</v>
      </c>
      <c r="Q672" s="2" t="s">
        <v>3227</v>
      </c>
      <c r="R672" s="2" t="s">
        <v>3227</v>
      </c>
      <c r="S672" s="4">
        <v>44951</v>
      </c>
    </row>
    <row r="673" spans="1:19" ht="12.5" x14ac:dyDescent="0.25">
      <c r="A673" s="14" t="str">
        <f>HYPERLINK("https://gerandofalcoes.my.salesforce.com/0014X00002YgbkpQAB", "0014X00002YgbkpQAB")</f>
        <v>0014X00002YgbkpQAB</v>
      </c>
      <c r="B673" s="2" t="s">
        <v>3200</v>
      </c>
      <c r="C673" s="2" t="s">
        <v>423</v>
      </c>
      <c r="D673" s="2" t="s">
        <v>2</v>
      </c>
      <c r="E673" s="2"/>
      <c r="F673" s="2">
        <v>0</v>
      </c>
      <c r="G673" s="2">
        <v>0</v>
      </c>
      <c r="H673" s="2">
        <v>0</v>
      </c>
      <c r="I673" s="2">
        <v>0</v>
      </c>
      <c r="J673" s="2"/>
      <c r="K673" s="2">
        <v>0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 t="s">
        <v>3201</v>
      </c>
      <c r="R673" s="2" t="s">
        <v>3201</v>
      </c>
      <c r="S673" s="4">
        <v>44951</v>
      </c>
    </row>
    <row r="674" spans="1:19" ht="12.5" x14ac:dyDescent="0.25">
      <c r="A674" s="14" t="str">
        <f>HYPERLINK("https://gerandofalcoes.my.salesforce.com/0014X00002YggpNQAR", "0014X00002YggpNQAR")</f>
        <v>0014X00002YggpNQAR</v>
      </c>
      <c r="B674" s="2" t="s">
        <v>3191</v>
      </c>
      <c r="C674" s="2" t="s">
        <v>423</v>
      </c>
      <c r="D674" s="2" t="s">
        <v>2</v>
      </c>
      <c r="F674" s="2">
        <v>0</v>
      </c>
      <c r="G674" s="2">
        <v>2</v>
      </c>
      <c r="H674" s="2">
        <v>3500</v>
      </c>
      <c r="I674" s="2">
        <v>25</v>
      </c>
      <c r="K674" s="2">
        <v>16</v>
      </c>
      <c r="L674" s="2">
        <v>0</v>
      </c>
      <c r="M674" s="2">
        <v>0</v>
      </c>
      <c r="N674" s="2">
        <v>6</v>
      </c>
      <c r="O674" s="2">
        <v>5</v>
      </c>
      <c r="P674" s="2">
        <v>5</v>
      </c>
      <c r="Q674" s="2" t="s">
        <v>3192</v>
      </c>
      <c r="R674" s="2" t="s">
        <v>3193</v>
      </c>
      <c r="S674" s="4">
        <v>44951</v>
      </c>
    </row>
    <row r="675" spans="1:19" ht="12.5" x14ac:dyDescent="0.25">
      <c r="A675" s="14" t="str">
        <f>HYPERLINK("https://gerandofalcoes.my.salesforce.com/0014X00002Yggi8QAB", "0014X00002Yggi8QAB")</f>
        <v>0014X00002Yggi8QAB</v>
      </c>
      <c r="B675" s="2" t="s">
        <v>3081</v>
      </c>
      <c r="C675" s="2" t="s">
        <v>423</v>
      </c>
      <c r="D675" s="2" t="s">
        <v>2</v>
      </c>
      <c r="E675" s="2"/>
      <c r="F675" s="2">
        <v>0</v>
      </c>
      <c r="G675" s="2">
        <v>2</v>
      </c>
      <c r="H675" s="2">
        <v>50</v>
      </c>
      <c r="I675" s="2">
        <v>50</v>
      </c>
      <c r="J675" s="2"/>
      <c r="K675" s="2">
        <v>16</v>
      </c>
      <c r="L675" s="2">
        <v>0</v>
      </c>
      <c r="M675" s="2">
        <v>0</v>
      </c>
      <c r="N675" s="2">
        <v>6</v>
      </c>
      <c r="O675" s="2">
        <v>5</v>
      </c>
      <c r="P675" s="2">
        <v>5</v>
      </c>
      <c r="Q675" s="2" t="s">
        <v>3082</v>
      </c>
      <c r="R675" s="2" t="s">
        <v>3082</v>
      </c>
      <c r="S675" s="4">
        <v>44946</v>
      </c>
    </row>
    <row r="676" spans="1:19" ht="12.5" x14ac:dyDescent="0.25">
      <c r="A676" s="14" t="str">
        <f>HYPERLINK("https://gerandofalcoes.my.salesforce.com/0014X00002YggouQAB", "0014X00002YggouQAB")</f>
        <v>0014X00002YggouQAB</v>
      </c>
      <c r="B676" s="2" t="s">
        <v>5909</v>
      </c>
      <c r="C676" s="2" t="s">
        <v>423</v>
      </c>
      <c r="D676" s="2" t="s">
        <v>2</v>
      </c>
      <c r="E676" s="2"/>
      <c r="F676" s="2">
        <v>0</v>
      </c>
      <c r="G676" s="2">
        <v>2</v>
      </c>
      <c r="H676" s="2">
        <v>15000</v>
      </c>
      <c r="I676" s="2">
        <v>100</v>
      </c>
      <c r="J676" s="2"/>
      <c r="K676" s="2">
        <v>21</v>
      </c>
      <c r="L676" s="2">
        <v>0</v>
      </c>
      <c r="M676" s="2">
        <v>0</v>
      </c>
      <c r="N676" s="2">
        <v>6</v>
      </c>
      <c r="O676" s="2">
        <v>5</v>
      </c>
      <c r="P676" s="2">
        <v>10</v>
      </c>
      <c r="Q676" s="2" t="s">
        <v>3177</v>
      </c>
      <c r="R676" s="2" t="s">
        <v>3178</v>
      </c>
      <c r="S676" s="4">
        <v>44951</v>
      </c>
    </row>
    <row r="677" spans="1:19" ht="12.5" x14ac:dyDescent="0.25">
      <c r="A677" s="14" t="str">
        <f>HYPERLINK("https://gerandofalcoes.my.salesforce.com/0014X00002YggiUQAR", "0014X00002YggiUQAR")</f>
        <v>0014X00002YggiUQAR</v>
      </c>
      <c r="B677" s="2" t="s">
        <v>3230</v>
      </c>
      <c r="C677" s="2" t="s">
        <v>423</v>
      </c>
      <c r="D677" s="2" t="s">
        <v>2</v>
      </c>
      <c r="E677" s="2"/>
      <c r="F677" s="2">
        <v>0</v>
      </c>
      <c r="G677" s="2">
        <v>3</v>
      </c>
      <c r="H677" s="2">
        <v>15000</v>
      </c>
      <c r="I677" s="2">
        <v>0</v>
      </c>
      <c r="J677" s="2"/>
      <c r="K677" s="2">
        <v>13</v>
      </c>
      <c r="L677" s="2">
        <v>0</v>
      </c>
      <c r="M677" s="2">
        <v>0</v>
      </c>
      <c r="N677" s="2">
        <v>8</v>
      </c>
      <c r="O677" s="2">
        <v>5</v>
      </c>
      <c r="P677" s="2">
        <v>0</v>
      </c>
      <c r="Q677" s="2" t="s">
        <v>3231</v>
      </c>
      <c r="R677" s="2" t="s">
        <v>3231</v>
      </c>
      <c r="S677" s="4">
        <v>44951</v>
      </c>
    </row>
    <row r="678" spans="1:19" ht="12.5" x14ac:dyDescent="0.25">
      <c r="A678" s="14" t="str">
        <f>HYPERLINK("https://gerandofalcoes.my.salesforce.com/0014X00002YggoMQAR", "0014X00002YggoMQAR")</f>
        <v>0014X00002YggoMQAR</v>
      </c>
      <c r="B678" s="2" t="s">
        <v>3299</v>
      </c>
      <c r="C678" s="2" t="s">
        <v>423</v>
      </c>
      <c r="D678" s="2" t="s">
        <v>2</v>
      </c>
      <c r="E678" s="2"/>
      <c r="F678" s="2">
        <v>6</v>
      </c>
      <c r="G678" s="2">
        <v>3</v>
      </c>
      <c r="H678" s="2">
        <v>250000</v>
      </c>
      <c r="I678" s="2">
        <v>550</v>
      </c>
      <c r="J678" s="2"/>
      <c r="K678" s="2">
        <v>53</v>
      </c>
      <c r="L678" s="2">
        <v>0</v>
      </c>
      <c r="M678" s="2">
        <v>10</v>
      </c>
      <c r="N678" s="2">
        <v>8</v>
      </c>
      <c r="O678" s="2">
        <v>15</v>
      </c>
      <c r="P678" s="2">
        <v>20</v>
      </c>
      <c r="Q678" s="2" t="s">
        <v>3300</v>
      </c>
      <c r="R678" s="2" t="s">
        <v>3301</v>
      </c>
      <c r="S678" s="4">
        <v>44953</v>
      </c>
    </row>
    <row r="679" spans="1:19" ht="12.5" x14ac:dyDescent="0.25">
      <c r="A679" s="14" t="str">
        <f>HYPERLINK("https://gerandofalcoes.my.salesforce.com/0014X00002YggiSQAR", "0014X00002YggiSQAR")</f>
        <v>0014X00002YggiSQAR</v>
      </c>
      <c r="B679" s="2" t="s">
        <v>3075</v>
      </c>
      <c r="C679" s="2" t="s">
        <v>423</v>
      </c>
      <c r="D679" s="2" t="s">
        <v>2</v>
      </c>
      <c r="E679" s="2"/>
      <c r="F679" s="2">
        <v>0</v>
      </c>
      <c r="G679" s="2">
        <v>3</v>
      </c>
      <c r="H679" s="2">
        <v>10000</v>
      </c>
      <c r="I679" s="2">
        <v>100</v>
      </c>
      <c r="J679" s="2"/>
      <c r="K679" s="2">
        <v>23</v>
      </c>
      <c r="L679" s="2">
        <v>0</v>
      </c>
      <c r="M679" s="2">
        <v>0</v>
      </c>
      <c r="N679" s="2">
        <v>8</v>
      </c>
      <c r="O679" s="2">
        <v>5</v>
      </c>
      <c r="P679" s="2">
        <v>10</v>
      </c>
      <c r="Q679" s="2" t="s">
        <v>3076</v>
      </c>
      <c r="R679" s="2" t="s">
        <v>3077</v>
      </c>
      <c r="S679" s="4">
        <v>44946</v>
      </c>
    </row>
    <row r="680" spans="1:19" ht="12.5" x14ac:dyDescent="0.25">
      <c r="A680" s="14" t="str">
        <f>HYPERLINK("https://gerandofalcoes.my.salesforce.com/0014X00002Yggh0QAB", "0014X00002Yggh0QAB")</f>
        <v>0014X00002Yggh0QAB</v>
      </c>
      <c r="B680" s="2" t="s">
        <v>3220</v>
      </c>
      <c r="C680" s="2" t="s">
        <v>423</v>
      </c>
      <c r="D680" s="2" t="s">
        <v>2</v>
      </c>
      <c r="F680" s="2">
        <v>10</v>
      </c>
      <c r="G680" s="2">
        <v>2</v>
      </c>
      <c r="H680" s="2">
        <v>10000</v>
      </c>
      <c r="I680" s="2">
        <v>65</v>
      </c>
      <c r="K680" s="2">
        <v>26</v>
      </c>
      <c r="L680" s="2">
        <v>0</v>
      </c>
      <c r="M680" s="2">
        <v>10</v>
      </c>
      <c r="N680" s="2">
        <v>6</v>
      </c>
      <c r="O680" s="2">
        <v>5</v>
      </c>
      <c r="P680" s="2">
        <v>5</v>
      </c>
      <c r="Q680" s="2" t="s">
        <v>3221</v>
      </c>
      <c r="R680" s="2" t="s">
        <v>3221</v>
      </c>
      <c r="S680" s="4">
        <v>44951</v>
      </c>
    </row>
    <row r="681" spans="1:19" ht="12.5" x14ac:dyDescent="0.25">
      <c r="A681" s="14" t="str">
        <f>HYPERLINK("https://gerandofalcoes.my.salesforce.com/0014X00002YggjZQAR", "0014X00002YggjZQAR")</f>
        <v>0014X00002YggjZQAR</v>
      </c>
      <c r="B681" s="2" t="s">
        <v>3281</v>
      </c>
      <c r="C681" s="2" t="s">
        <v>423</v>
      </c>
      <c r="D681" s="2" t="s">
        <v>2</v>
      </c>
      <c r="F681" s="2">
        <v>0</v>
      </c>
      <c r="G681" s="2">
        <v>3</v>
      </c>
      <c r="H681" s="2">
        <v>9000</v>
      </c>
      <c r="I681" s="2">
        <v>75</v>
      </c>
      <c r="K681" s="2">
        <v>18</v>
      </c>
      <c r="L681" s="2">
        <v>0</v>
      </c>
      <c r="M681" s="2">
        <v>0</v>
      </c>
      <c r="N681" s="2">
        <v>8</v>
      </c>
      <c r="O681" s="2">
        <v>5</v>
      </c>
      <c r="P681" s="2">
        <v>5</v>
      </c>
      <c r="Q681" s="2" t="s">
        <v>3282</v>
      </c>
      <c r="R681" s="2" t="s">
        <v>3282</v>
      </c>
      <c r="S681" s="4">
        <v>44952</v>
      </c>
    </row>
    <row r="682" spans="1:19" ht="12.5" x14ac:dyDescent="0.25">
      <c r="A682" s="14" t="str">
        <f>HYPERLINK("https://gerandofalcoes.my.salesforce.com/0014X00002YggmSQAR", "0014X00002YggmSQAR")</f>
        <v>0014X00002YggmSQAR</v>
      </c>
      <c r="B682" s="2" t="s">
        <v>4626</v>
      </c>
      <c r="C682" s="2" t="s">
        <v>423</v>
      </c>
      <c r="D682" s="2" t="s">
        <v>2</v>
      </c>
      <c r="E682" s="2"/>
      <c r="F682" s="2">
        <v>4</v>
      </c>
      <c r="G682" s="2">
        <v>5</v>
      </c>
      <c r="H682" s="2">
        <v>12000</v>
      </c>
      <c r="I682" s="2">
        <v>0</v>
      </c>
      <c r="J682" s="2"/>
      <c r="K682" s="2">
        <v>20</v>
      </c>
      <c r="L682" s="2">
        <v>0</v>
      </c>
      <c r="M682" s="2">
        <v>5</v>
      </c>
      <c r="N682" s="2">
        <v>10</v>
      </c>
      <c r="O682" s="2">
        <v>5</v>
      </c>
      <c r="P682" s="2">
        <v>0</v>
      </c>
      <c r="Q682" s="2" t="s">
        <v>3060</v>
      </c>
      <c r="R682" s="2" t="s">
        <v>3061</v>
      </c>
      <c r="S682" s="4">
        <v>44946</v>
      </c>
    </row>
    <row r="683" spans="1:19" ht="12.5" x14ac:dyDescent="0.25">
      <c r="A683" s="14" t="str">
        <f>HYPERLINK("https://gerandofalcoes.my.salesforce.com/0014X00002YggmaQAB", "0014X00002YggmaQAB")</f>
        <v>0014X00002YggmaQAB</v>
      </c>
      <c r="B683" s="2" t="s">
        <v>3379</v>
      </c>
      <c r="C683" s="2" t="s">
        <v>423</v>
      </c>
      <c r="D683" s="2" t="s">
        <v>2</v>
      </c>
      <c r="F683" s="2">
        <v>0</v>
      </c>
      <c r="G683" s="2">
        <v>2</v>
      </c>
      <c r="H683" s="2">
        <v>1000</v>
      </c>
      <c r="I683" s="2">
        <v>0</v>
      </c>
      <c r="K683" s="2">
        <v>11</v>
      </c>
      <c r="L683" s="2">
        <v>0</v>
      </c>
      <c r="M683" s="2">
        <v>0</v>
      </c>
      <c r="N683" s="2">
        <v>6</v>
      </c>
      <c r="O683" s="2">
        <v>5</v>
      </c>
      <c r="P683" s="2">
        <v>0</v>
      </c>
      <c r="Q683" s="2" t="s">
        <v>3380</v>
      </c>
      <c r="R683" s="2" t="s">
        <v>3380</v>
      </c>
      <c r="S683" s="4">
        <v>44953</v>
      </c>
    </row>
    <row r="684" spans="1:19" ht="12.5" x14ac:dyDescent="0.25">
      <c r="A684" s="14" t="str">
        <f>HYPERLINK("https://gerandofalcoes.my.salesforce.com/0014X00002YggnBQAR", "0014X00002YggnBQAR")</f>
        <v>0014X00002YggnBQAR</v>
      </c>
      <c r="B684" s="2" t="s">
        <v>3349</v>
      </c>
      <c r="C684" s="2" t="s">
        <v>423</v>
      </c>
      <c r="D684" s="2" t="s">
        <v>2</v>
      </c>
      <c r="F684" s="2">
        <v>0</v>
      </c>
      <c r="G684" s="2">
        <v>3</v>
      </c>
      <c r="H684" s="2">
        <v>1000</v>
      </c>
      <c r="I684" s="2">
        <v>120</v>
      </c>
      <c r="K684" s="2">
        <v>23</v>
      </c>
      <c r="L684" s="2">
        <v>0</v>
      </c>
      <c r="M684" s="2">
        <v>0</v>
      </c>
      <c r="N684" s="2">
        <v>8</v>
      </c>
      <c r="O684" s="2">
        <v>5</v>
      </c>
      <c r="P684" s="2">
        <v>10</v>
      </c>
      <c r="Q684" s="2" t="s">
        <v>3350</v>
      </c>
      <c r="R684" s="2" t="s">
        <v>3351</v>
      </c>
      <c r="S684" s="4">
        <v>44953</v>
      </c>
    </row>
    <row r="685" spans="1:19" ht="12.5" x14ac:dyDescent="0.25">
      <c r="A685" s="14" t="str">
        <f>HYPERLINK("https://gerandofalcoes.my.salesforce.com/0014X00002YggiJQAR", "0014X00002YggiJQAR")</f>
        <v>0014X00002YggiJQAR</v>
      </c>
      <c r="B685" s="2" t="s">
        <v>3069</v>
      </c>
      <c r="C685" s="2" t="s">
        <v>423</v>
      </c>
      <c r="D685" s="2" t="s">
        <v>2</v>
      </c>
      <c r="E685" s="2"/>
      <c r="F685" s="2">
        <v>1</v>
      </c>
      <c r="G685" s="2">
        <v>2</v>
      </c>
      <c r="H685" s="2">
        <v>0</v>
      </c>
      <c r="I685" s="2">
        <v>1200</v>
      </c>
      <c r="J685" s="2"/>
      <c r="K685" s="2">
        <v>31</v>
      </c>
      <c r="L685" s="2">
        <v>0</v>
      </c>
      <c r="M685" s="2">
        <v>5</v>
      </c>
      <c r="N685" s="2">
        <v>6</v>
      </c>
      <c r="O685" s="2">
        <v>0</v>
      </c>
      <c r="P685" s="2">
        <v>20</v>
      </c>
      <c r="Q685" s="2" t="s">
        <v>3070</v>
      </c>
      <c r="R685" s="2" t="s">
        <v>3071</v>
      </c>
      <c r="S685" s="4">
        <v>44946</v>
      </c>
    </row>
    <row r="686" spans="1:19" ht="12.5" x14ac:dyDescent="0.25">
      <c r="A686" s="14" t="str">
        <f>HYPERLINK("https://gerandofalcoes.my.salesforce.com/0014X00002YggnKQAR", "0014X00002YggnKQAR")</f>
        <v>0014X00002YggnKQAR</v>
      </c>
      <c r="B686" s="2" t="s">
        <v>3207</v>
      </c>
      <c r="C686" s="2" t="s">
        <v>423</v>
      </c>
      <c r="D686" s="2" t="s">
        <v>2</v>
      </c>
      <c r="E686" s="2"/>
      <c r="F686" s="2">
        <v>0</v>
      </c>
      <c r="G686" s="2">
        <v>4</v>
      </c>
      <c r="H686" s="2">
        <v>83242522</v>
      </c>
      <c r="I686" s="2">
        <v>1117</v>
      </c>
      <c r="J686" s="2"/>
      <c r="K686" s="2">
        <v>55</v>
      </c>
      <c r="L686" s="2">
        <v>0</v>
      </c>
      <c r="M686" s="2">
        <v>0</v>
      </c>
      <c r="N686" s="2">
        <v>10</v>
      </c>
      <c r="O686" s="2">
        <v>25</v>
      </c>
      <c r="P686" s="2">
        <v>20</v>
      </c>
      <c r="Q686" s="2" t="s">
        <v>3208</v>
      </c>
      <c r="R686" s="2" t="s">
        <v>3209</v>
      </c>
      <c r="S686" s="4">
        <v>44951</v>
      </c>
    </row>
    <row r="687" spans="1:19" ht="12.5" x14ac:dyDescent="0.25">
      <c r="A687" s="14" t="str">
        <f>HYPERLINK("https://gerandofalcoes.my.salesforce.com/0014X00002YggnkQAB", "0014X00002YggnkQAB")</f>
        <v>0014X00002YggnkQAB</v>
      </c>
      <c r="B687" s="2" t="s">
        <v>3263</v>
      </c>
      <c r="C687" s="2" t="s">
        <v>423</v>
      </c>
      <c r="D687" s="2" t="s">
        <v>2</v>
      </c>
      <c r="E687" s="2"/>
      <c r="F687" s="2">
        <v>0</v>
      </c>
      <c r="G687" s="2">
        <v>2</v>
      </c>
      <c r="H687" s="2">
        <v>0</v>
      </c>
      <c r="I687" s="2">
        <v>120</v>
      </c>
      <c r="J687" s="2"/>
      <c r="K687" s="2">
        <v>16</v>
      </c>
      <c r="L687" s="2">
        <v>0</v>
      </c>
      <c r="M687" s="2">
        <v>0</v>
      </c>
      <c r="N687" s="2">
        <v>6</v>
      </c>
      <c r="O687" s="2">
        <v>0</v>
      </c>
      <c r="P687" s="2">
        <v>10</v>
      </c>
      <c r="Q687" s="2" t="s">
        <v>3264</v>
      </c>
      <c r="R687" s="2" t="s">
        <v>3264</v>
      </c>
      <c r="S687" s="4">
        <v>44952</v>
      </c>
    </row>
    <row r="688" spans="1:19" ht="12.5" x14ac:dyDescent="0.25">
      <c r="A688" s="14" t="str">
        <f>HYPERLINK("https://gerandofalcoes.my.salesforce.com/0014X00002YgghFQAR", "0014X00002YgghFQAR")</f>
        <v>0014X00002YgghFQAR</v>
      </c>
      <c r="B688" s="2" t="s">
        <v>3247</v>
      </c>
      <c r="C688" s="2" t="s">
        <v>423</v>
      </c>
      <c r="D688" s="2" t="s">
        <v>2</v>
      </c>
      <c r="F688" s="2">
        <v>0</v>
      </c>
      <c r="G688" s="2">
        <v>2</v>
      </c>
      <c r="H688" s="2">
        <v>5000</v>
      </c>
      <c r="I688" s="2">
        <v>27</v>
      </c>
      <c r="K688" s="2">
        <v>16</v>
      </c>
      <c r="L688" s="2">
        <v>0</v>
      </c>
      <c r="M688" s="2">
        <v>0</v>
      </c>
      <c r="N688" s="2">
        <v>6</v>
      </c>
      <c r="O688" s="2">
        <v>5</v>
      </c>
      <c r="P688" s="2">
        <v>5</v>
      </c>
      <c r="Q688" s="2" t="s">
        <v>3248</v>
      </c>
      <c r="R688" s="2" t="s">
        <v>3249</v>
      </c>
      <c r="S688" s="4">
        <v>44952</v>
      </c>
    </row>
    <row r="689" spans="1:19" ht="12.5" x14ac:dyDescent="0.25">
      <c r="A689" s="14" t="str">
        <f>HYPERLINK("https://gerandofalcoes.my.salesforce.com/0014P00003YSp7jQAD", "0014P00003YSp7jQAD")</f>
        <v>0014P00003YSp7jQAD</v>
      </c>
      <c r="B689" s="2" t="s">
        <v>3000</v>
      </c>
      <c r="C689" s="2" t="s">
        <v>1684</v>
      </c>
      <c r="D689" s="2" t="s">
        <v>2</v>
      </c>
      <c r="E689" s="2">
        <v>41</v>
      </c>
      <c r="F689" s="2">
        <v>12</v>
      </c>
      <c r="G689" s="2">
        <v>3</v>
      </c>
      <c r="H689" s="2">
        <v>200000</v>
      </c>
      <c r="I689" s="2">
        <v>0</v>
      </c>
      <c r="J689" s="2" t="s">
        <v>1671</v>
      </c>
      <c r="K689" s="2">
        <v>50</v>
      </c>
      <c r="L689" s="2">
        <v>15</v>
      </c>
      <c r="M689" s="2">
        <v>12</v>
      </c>
      <c r="N689" s="2">
        <v>8</v>
      </c>
      <c r="O689" s="2">
        <v>15</v>
      </c>
      <c r="P689" s="2">
        <v>0</v>
      </c>
      <c r="Q689" s="2" t="s">
        <v>3001</v>
      </c>
      <c r="R689" s="2"/>
      <c r="S689" s="4">
        <v>44911</v>
      </c>
    </row>
    <row r="690" spans="1:19" ht="12.5" x14ac:dyDescent="0.25">
      <c r="A690" s="14" t="str">
        <f>HYPERLINK("https://gerandofalcoes.my.salesforce.com/0014X00002YggoAQAR", "0014X00002YggoAQAR")</f>
        <v>0014X00002YggoAQAR</v>
      </c>
      <c r="B690" s="2" t="s">
        <v>3377</v>
      </c>
      <c r="C690" s="2" t="s">
        <v>423</v>
      </c>
      <c r="D690" s="2" t="s">
        <v>2</v>
      </c>
      <c r="F690" s="2">
        <v>0</v>
      </c>
      <c r="G690" s="2">
        <v>310</v>
      </c>
      <c r="H690" s="2">
        <v>3000</v>
      </c>
      <c r="I690" s="2">
        <v>0</v>
      </c>
      <c r="K690" s="2">
        <v>15</v>
      </c>
      <c r="L690" s="2">
        <v>0</v>
      </c>
      <c r="M690" s="2">
        <v>0</v>
      </c>
      <c r="N690" s="2">
        <v>10</v>
      </c>
      <c r="O690" s="2">
        <v>5</v>
      </c>
      <c r="P690" s="2">
        <v>0</v>
      </c>
      <c r="Q690" s="2" t="s">
        <v>3378</v>
      </c>
      <c r="R690" s="2" t="s">
        <v>3378</v>
      </c>
      <c r="S690" s="4">
        <v>44953</v>
      </c>
    </row>
    <row r="691" spans="1:19" ht="12.5" x14ac:dyDescent="0.25">
      <c r="A691" s="14" t="str">
        <f>HYPERLINK("https://gerandofalcoes.my.salesforce.com/0014X00002YggnDQAR", "0014X00002YggnDQAR")</f>
        <v>0014X00002YggnDQAR</v>
      </c>
      <c r="B691" s="2" t="s">
        <v>3334</v>
      </c>
      <c r="C691" s="2" t="s">
        <v>423</v>
      </c>
      <c r="D691" s="2" t="s">
        <v>2</v>
      </c>
      <c r="F691" s="2">
        <v>0</v>
      </c>
      <c r="G691" s="2">
        <v>3</v>
      </c>
      <c r="H691" s="2">
        <v>5000</v>
      </c>
      <c r="I691" s="2">
        <v>2000</v>
      </c>
      <c r="K691" s="2">
        <v>33</v>
      </c>
      <c r="L691" s="2">
        <v>0</v>
      </c>
      <c r="M691" s="2">
        <v>0</v>
      </c>
      <c r="N691" s="2">
        <v>8</v>
      </c>
      <c r="O691" s="2">
        <v>5</v>
      </c>
      <c r="P691" s="2">
        <v>20</v>
      </c>
      <c r="Q691" s="2" t="s">
        <v>3335</v>
      </c>
      <c r="R691" s="2" t="s">
        <v>3336</v>
      </c>
      <c r="S691" s="4">
        <v>44953</v>
      </c>
    </row>
    <row r="692" spans="1:19" ht="12.5" x14ac:dyDescent="0.25">
      <c r="A692" s="14" t="str">
        <f>HYPERLINK("https://gerandofalcoes.my.salesforce.com/0014X00002YgghEQAR", "0014X00002YgghEQAR")</f>
        <v>0014X00002YgghEQAR</v>
      </c>
      <c r="B692" s="2" t="s">
        <v>3314</v>
      </c>
      <c r="C692" s="2" t="s">
        <v>423</v>
      </c>
      <c r="D692" s="2" t="s">
        <v>2</v>
      </c>
      <c r="F692" s="2">
        <v>22</v>
      </c>
      <c r="G692" s="2">
        <v>5</v>
      </c>
      <c r="H692" s="2">
        <v>100000</v>
      </c>
      <c r="I692" s="2">
        <v>150</v>
      </c>
      <c r="K692" s="2">
        <v>49</v>
      </c>
      <c r="L692" s="2">
        <v>0</v>
      </c>
      <c r="M692" s="2">
        <v>12</v>
      </c>
      <c r="N692" s="2">
        <v>10</v>
      </c>
      <c r="O692" s="2">
        <v>15</v>
      </c>
      <c r="P692" s="2">
        <v>12</v>
      </c>
      <c r="Q692" s="2" t="s">
        <v>3315</v>
      </c>
      <c r="R692" s="2" t="s">
        <v>3315</v>
      </c>
      <c r="S692" s="4">
        <v>44953</v>
      </c>
    </row>
    <row r="693" spans="1:19" ht="12.5" x14ac:dyDescent="0.25">
      <c r="A693" s="14" t="str">
        <f>HYPERLINK("https://gerandofalcoes.my.salesforce.com/0014X00002YggqxQAB", "0014X00002YggqxQAB")</f>
        <v>0014X00002YggqxQAB</v>
      </c>
      <c r="B693" s="2" t="s">
        <v>3375</v>
      </c>
      <c r="C693" s="2" t="s">
        <v>423</v>
      </c>
      <c r="D693" s="2" t="s">
        <v>2</v>
      </c>
      <c r="F693" s="2">
        <v>3</v>
      </c>
      <c r="G693" s="2">
        <v>3</v>
      </c>
      <c r="H693" s="2">
        <v>1000</v>
      </c>
      <c r="I693" s="2">
        <v>6</v>
      </c>
      <c r="K693" s="2">
        <v>23</v>
      </c>
      <c r="L693" s="2">
        <v>0</v>
      </c>
      <c r="M693" s="2">
        <v>5</v>
      </c>
      <c r="N693" s="2">
        <v>8</v>
      </c>
      <c r="O693" s="2">
        <v>5</v>
      </c>
      <c r="P693" s="2">
        <v>5</v>
      </c>
      <c r="Q693" s="2" t="s">
        <v>3376</v>
      </c>
      <c r="R693" s="2" t="s">
        <v>3376</v>
      </c>
      <c r="S693" s="4">
        <v>44953</v>
      </c>
    </row>
    <row r="694" spans="1:19" ht="12.5" x14ac:dyDescent="0.25">
      <c r="A694" s="14" t="str">
        <f>HYPERLINK("https://gerandofalcoes.my.salesforce.com/0014X00002YggiVQAR", "0014X00002YggiVQAR")</f>
        <v>0014X00002YggiVQAR</v>
      </c>
      <c r="B694" s="2" t="s">
        <v>3182</v>
      </c>
      <c r="C694" s="2" t="s">
        <v>423</v>
      </c>
      <c r="D694" s="2" t="s">
        <v>2</v>
      </c>
      <c r="F694" s="2">
        <v>10</v>
      </c>
      <c r="G694" s="2">
        <v>2</v>
      </c>
      <c r="H694" s="2">
        <v>8000</v>
      </c>
      <c r="I694" s="2">
        <v>40</v>
      </c>
      <c r="K694" s="2">
        <v>26</v>
      </c>
      <c r="L694" s="2">
        <v>0</v>
      </c>
      <c r="M694" s="2">
        <v>10</v>
      </c>
      <c r="N694" s="2">
        <v>6</v>
      </c>
      <c r="O694" s="2">
        <v>5</v>
      </c>
      <c r="P694" s="2">
        <v>5</v>
      </c>
      <c r="Q694" s="2" t="s">
        <v>3183</v>
      </c>
      <c r="R694" s="2" t="s">
        <v>3184</v>
      </c>
      <c r="S694" s="4">
        <v>44951</v>
      </c>
    </row>
    <row r="695" spans="1:19" ht="12.5" x14ac:dyDescent="0.25">
      <c r="A695" s="14" t="str">
        <f>HYPERLINK("https://gerandofalcoes.my.salesforce.com/0014X00002YggmRQAR", "0014X00002YggmRQAR")</f>
        <v>0014X00002YggmRQAR</v>
      </c>
      <c r="B695" s="2" t="s">
        <v>3198</v>
      </c>
      <c r="C695" s="2" t="s">
        <v>423</v>
      </c>
      <c r="D695" s="2" t="s">
        <v>2</v>
      </c>
      <c r="F695" s="2">
        <v>0</v>
      </c>
      <c r="G695" s="2">
        <v>2</v>
      </c>
      <c r="H695" s="2">
        <v>5000</v>
      </c>
      <c r="I695" s="2">
        <v>20</v>
      </c>
      <c r="K695" s="2">
        <v>16</v>
      </c>
      <c r="L695" s="2">
        <v>0</v>
      </c>
      <c r="M695" s="2">
        <v>0</v>
      </c>
      <c r="N695" s="2">
        <v>6</v>
      </c>
      <c r="O695" s="2">
        <v>5</v>
      </c>
      <c r="P695" s="2">
        <v>5</v>
      </c>
      <c r="Q695" s="2" t="s">
        <v>3199</v>
      </c>
      <c r="R695" s="2" t="s">
        <v>3199</v>
      </c>
      <c r="S695" s="4">
        <v>44951</v>
      </c>
    </row>
    <row r="696" spans="1:19" ht="12.5" x14ac:dyDescent="0.25">
      <c r="A696" s="14" t="str">
        <f>HYPERLINK("https://gerandofalcoes.my.salesforce.com/0014X00002YggmXQAR", "0014X00002YggmXQAR")</f>
        <v>0014X00002YggmXQAR</v>
      </c>
      <c r="B696" s="2" t="s">
        <v>3056</v>
      </c>
      <c r="C696" s="2" t="s">
        <v>423</v>
      </c>
      <c r="D696" s="2" t="s">
        <v>2</v>
      </c>
      <c r="F696" s="2">
        <v>0</v>
      </c>
      <c r="G696" s="2">
        <v>2</v>
      </c>
      <c r="H696" s="2">
        <v>1000</v>
      </c>
      <c r="I696" s="2">
        <v>73</v>
      </c>
      <c r="K696" s="2">
        <v>16</v>
      </c>
      <c r="L696" s="2">
        <v>0</v>
      </c>
      <c r="M696" s="2">
        <v>0</v>
      </c>
      <c r="N696" s="2">
        <v>6</v>
      </c>
      <c r="O696" s="2">
        <v>5</v>
      </c>
      <c r="P696" s="2">
        <v>5</v>
      </c>
      <c r="Q696" s="2" t="s">
        <v>3057</v>
      </c>
      <c r="R696" s="2" t="s">
        <v>3058</v>
      </c>
      <c r="S696" s="4">
        <v>44946</v>
      </c>
    </row>
    <row r="697" spans="1:19" ht="12.5" x14ac:dyDescent="0.25">
      <c r="A697" s="14" t="str">
        <f>HYPERLINK("https://gerandofalcoes.my.salesforce.com/0014X00002YgghgQAB", "0014X00002YgghgQAB")</f>
        <v>0014X00002YgghgQAB</v>
      </c>
      <c r="B697" s="2" t="s">
        <v>3093</v>
      </c>
      <c r="C697" s="2" t="s">
        <v>423</v>
      </c>
      <c r="D697" s="2" t="s">
        <v>2</v>
      </c>
      <c r="F697" s="2">
        <v>0</v>
      </c>
      <c r="G697" s="2">
        <v>10</v>
      </c>
      <c r="H697" s="2">
        <v>5000</v>
      </c>
      <c r="I697" s="2">
        <v>132</v>
      </c>
      <c r="K697" s="2">
        <v>25</v>
      </c>
      <c r="L697" s="2">
        <v>0</v>
      </c>
      <c r="M697" s="2">
        <v>0</v>
      </c>
      <c r="N697" s="2">
        <v>10</v>
      </c>
      <c r="O697" s="2">
        <v>5</v>
      </c>
      <c r="P697" s="2">
        <v>10</v>
      </c>
      <c r="Q697" s="2" t="s">
        <v>3094</v>
      </c>
      <c r="R697" s="2" t="s">
        <v>3095</v>
      </c>
      <c r="S697" s="4">
        <v>44947</v>
      </c>
    </row>
    <row r="698" spans="1:19" ht="12.5" x14ac:dyDescent="0.25">
      <c r="A698" s="14" t="str">
        <f>HYPERLINK("https://gerandofalcoes.my.salesforce.com/0014X00002Yggj3QAB", "0014X00002Yggj3QAB")</f>
        <v>0014X00002Yggj3QAB</v>
      </c>
      <c r="B698" s="2" t="s">
        <v>3357</v>
      </c>
      <c r="C698" s="2" t="s">
        <v>423</v>
      </c>
      <c r="D698" s="2" t="s">
        <v>2</v>
      </c>
      <c r="F698" s="2">
        <v>0</v>
      </c>
      <c r="G698" s="2">
        <v>5</v>
      </c>
      <c r="H698" s="2">
        <v>1000</v>
      </c>
      <c r="I698" s="2">
        <v>80</v>
      </c>
      <c r="K698" s="2">
        <v>25</v>
      </c>
      <c r="L698" s="2">
        <v>0</v>
      </c>
      <c r="M698" s="2">
        <v>0</v>
      </c>
      <c r="N698" s="2">
        <v>10</v>
      </c>
      <c r="O698" s="2">
        <v>5</v>
      </c>
      <c r="P698" s="2">
        <v>10</v>
      </c>
      <c r="Q698" s="2" t="s">
        <v>3358</v>
      </c>
      <c r="R698" s="2" t="s">
        <v>3359</v>
      </c>
      <c r="S698" s="4">
        <v>44953</v>
      </c>
    </row>
    <row r="699" spans="1:19" ht="12.5" x14ac:dyDescent="0.25">
      <c r="A699" s="14" t="str">
        <f>HYPERLINK("https://gerandofalcoes.my.salesforce.com/0014X00002YggoSQAR", "0014X00002YggoSQAR")</f>
        <v>0014X00002YggoSQAR</v>
      </c>
      <c r="B699" s="2" t="s">
        <v>3238</v>
      </c>
      <c r="C699" s="2" t="s">
        <v>423</v>
      </c>
      <c r="D699" s="2" t="s">
        <v>2</v>
      </c>
      <c r="F699" s="2">
        <v>15</v>
      </c>
      <c r="G699" s="2">
        <v>7</v>
      </c>
      <c r="H699" s="2">
        <v>3101114</v>
      </c>
      <c r="I699" s="2">
        <v>145</v>
      </c>
      <c r="K699" s="2">
        <v>57</v>
      </c>
      <c r="L699" s="2">
        <v>0</v>
      </c>
      <c r="M699" s="2">
        <v>12</v>
      </c>
      <c r="N699" s="2">
        <v>10</v>
      </c>
      <c r="O699" s="2">
        <v>25</v>
      </c>
      <c r="P699" s="2">
        <v>10</v>
      </c>
      <c r="Q699" s="2" t="s">
        <v>3239</v>
      </c>
      <c r="R699" s="2" t="s">
        <v>3240</v>
      </c>
      <c r="S699" s="4">
        <v>44952</v>
      </c>
    </row>
    <row r="700" spans="1:19" ht="12.5" x14ac:dyDescent="0.25">
      <c r="A700" s="14" t="str">
        <f>HYPERLINK("https://gerandofalcoes.my.salesforce.com/0014X00002YgggZQAR", "0014X00002YgggZQAR")</f>
        <v>0014X00002YgggZQAR</v>
      </c>
      <c r="B700" s="2" t="s">
        <v>3278</v>
      </c>
      <c r="C700" s="2" t="s">
        <v>423</v>
      </c>
      <c r="D700" s="2" t="s">
        <v>2</v>
      </c>
      <c r="F700" s="2">
        <v>7</v>
      </c>
      <c r="G700" s="2">
        <v>3</v>
      </c>
      <c r="H700" s="2">
        <v>116906</v>
      </c>
      <c r="I700" s="2">
        <v>110</v>
      </c>
      <c r="K700" s="2">
        <v>43</v>
      </c>
      <c r="L700" s="2">
        <v>0</v>
      </c>
      <c r="M700" s="2">
        <v>10</v>
      </c>
      <c r="N700" s="2">
        <v>8</v>
      </c>
      <c r="O700" s="2">
        <v>15</v>
      </c>
      <c r="P700" s="2">
        <v>10</v>
      </c>
      <c r="Q700" s="2" t="s">
        <v>3279</v>
      </c>
      <c r="R700" s="2" t="s">
        <v>3280</v>
      </c>
      <c r="S700" s="4">
        <v>44952</v>
      </c>
    </row>
    <row r="701" spans="1:19" ht="12.5" x14ac:dyDescent="0.25">
      <c r="A701" s="14" t="str">
        <f>HYPERLINK("https://gerandofalcoes.my.salesforce.com/0014X00002bCkJzQAK", "0014X00002bCkJzQAK")</f>
        <v>0014X00002bCkJzQAK</v>
      </c>
      <c r="B701" s="2" t="s">
        <v>3296</v>
      </c>
      <c r="C701" s="2" t="s">
        <v>423</v>
      </c>
      <c r="D701" s="2" t="s">
        <v>2</v>
      </c>
      <c r="F701" s="2">
        <v>25</v>
      </c>
      <c r="G701" s="2">
        <v>2</v>
      </c>
      <c r="H701" s="2">
        <v>1000000</v>
      </c>
      <c r="I701" s="2">
        <v>0</v>
      </c>
      <c r="K701" s="2">
        <v>43</v>
      </c>
      <c r="L701" s="2">
        <v>0</v>
      </c>
      <c r="M701" s="2">
        <v>12</v>
      </c>
      <c r="N701" s="2">
        <v>6</v>
      </c>
      <c r="O701" s="2">
        <v>25</v>
      </c>
      <c r="P701" s="2">
        <v>0</v>
      </c>
      <c r="Q701" s="2" t="s">
        <v>3297</v>
      </c>
      <c r="R701" s="2" t="s">
        <v>3298</v>
      </c>
      <c r="S701" s="4">
        <v>44952</v>
      </c>
    </row>
    <row r="702" spans="1:19" ht="12.5" x14ac:dyDescent="0.25">
      <c r="A702" s="14" t="str">
        <f>HYPERLINK("https://gerandofalcoes.my.salesforce.com/0014X00002YggjeQAB", "0014X00002YggjeQAB")</f>
        <v>0014X00002YggjeQAB</v>
      </c>
      <c r="B702" s="2" t="s">
        <v>3098</v>
      </c>
      <c r="C702" s="2" t="s">
        <v>423</v>
      </c>
      <c r="D702" s="2" t="s">
        <v>2</v>
      </c>
      <c r="F702" s="2">
        <v>5</v>
      </c>
      <c r="G702" s="2">
        <v>3</v>
      </c>
      <c r="H702" s="2">
        <v>26000</v>
      </c>
      <c r="I702" s="2">
        <v>150</v>
      </c>
      <c r="K702" s="2">
        <v>35</v>
      </c>
      <c r="L702" s="2">
        <v>0</v>
      </c>
      <c r="M702" s="2">
        <v>5</v>
      </c>
      <c r="N702" s="2">
        <v>8</v>
      </c>
      <c r="O702" s="2">
        <v>10</v>
      </c>
      <c r="P702" s="2">
        <v>12</v>
      </c>
      <c r="Q702" s="2" t="s">
        <v>3099</v>
      </c>
      <c r="R702" s="2" t="s">
        <v>3100</v>
      </c>
      <c r="S702" s="4">
        <v>44948</v>
      </c>
    </row>
    <row r="703" spans="1:19" ht="12.5" x14ac:dyDescent="0.25">
      <c r="A703" s="14" t="str">
        <f>HYPERLINK("https://gerandofalcoes.my.salesforce.com/0014X00002Yggp7QAB", "0014X00002Yggp7QAB")</f>
        <v>0014X00002Yggp7QAB</v>
      </c>
      <c r="B703" s="2" t="s">
        <v>3250</v>
      </c>
      <c r="C703" s="2" t="s">
        <v>423</v>
      </c>
      <c r="D703" s="2" t="s">
        <v>2</v>
      </c>
      <c r="F703" s="2">
        <v>0</v>
      </c>
      <c r="G703" s="2">
        <v>3</v>
      </c>
      <c r="H703" s="2">
        <v>45500</v>
      </c>
      <c r="I703" s="2">
        <v>500</v>
      </c>
      <c r="K703" s="2">
        <v>38</v>
      </c>
      <c r="L703" s="2">
        <v>0</v>
      </c>
      <c r="M703" s="2">
        <v>0</v>
      </c>
      <c r="N703" s="2">
        <v>8</v>
      </c>
      <c r="O703" s="2">
        <v>10</v>
      </c>
      <c r="P703" s="2">
        <v>20</v>
      </c>
      <c r="Q703" s="2" t="s">
        <v>3251</v>
      </c>
      <c r="R703" s="2" t="s">
        <v>3252</v>
      </c>
      <c r="S703" s="4">
        <v>44952</v>
      </c>
    </row>
    <row r="704" spans="1:19" ht="12.5" x14ac:dyDescent="0.25">
      <c r="A704" s="14" t="str">
        <f>HYPERLINK("https://gerandofalcoes.my.salesforce.com/0014X00002YggpRQAR", "0014X00002YggpRQAR")</f>
        <v>0014X00002YggpRQAR</v>
      </c>
      <c r="B704" s="2" t="s">
        <v>3294</v>
      </c>
      <c r="C704" s="2" t="s">
        <v>423</v>
      </c>
      <c r="D704" s="2" t="s">
        <v>2</v>
      </c>
      <c r="F704" s="2">
        <v>1</v>
      </c>
      <c r="G704" s="2">
        <v>3</v>
      </c>
      <c r="H704" s="2">
        <v>200000</v>
      </c>
      <c r="I704" s="2">
        <v>0</v>
      </c>
      <c r="K704" s="2">
        <v>28</v>
      </c>
      <c r="L704" s="2">
        <v>0</v>
      </c>
      <c r="M704" s="2">
        <v>5</v>
      </c>
      <c r="N704" s="2">
        <v>8</v>
      </c>
      <c r="O704" s="2">
        <v>15</v>
      </c>
      <c r="P704" s="2">
        <v>0</v>
      </c>
      <c r="Q704" s="2" t="s">
        <v>3295</v>
      </c>
      <c r="R704" s="2" t="s">
        <v>3295</v>
      </c>
      <c r="S704" s="4">
        <v>44952</v>
      </c>
    </row>
    <row r="705" spans="1:19" ht="12.5" x14ac:dyDescent="0.25">
      <c r="A705" s="14" t="str">
        <f>HYPERLINK("https://gerandofalcoes.my.salesforce.com/0014X00002YggpsQAB", "0014X00002YggpsQAB")</f>
        <v>0014X00002YggpsQAB</v>
      </c>
      <c r="B705" s="2" t="s">
        <v>3291</v>
      </c>
      <c r="C705" s="2" t="s">
        <v>423</v>
      </c>
      <c r="D705" s="2" t="s">
        <v>2</v>
      </c>
      <c r="F705" s="2">
        <v>3</v>
      </c>
      <c r="G705" s="2">
        <v>2</v>
      </c>
      <c r="H705" s="2">
        <v>1000</v>
      </c>
      <c r="I705" s="2">
        <v>1</v>
      </c>
      <c r="K705" s="2">
        <v>21</v>
      </c>
      <c r="L705" s="2">
        <v>0</v>
      </c>
      <c r="M705" s="2">
        <v>5</v>
      </c>
      <c r="N705" s="2">
        <v>6</v>
      </c>
      <c r="O705" s="2">
        <v>5</v>
      </c>
      <c r="P705" s="2">
        <v>5</v>
      </c>
      <c r="Q705" s="2" t="s">
        <v>3292</v>
      </c>
      <c r="R705" s="2" t="s">
        <v>3293</v>
      </c>
      <c r="S705" s="4">
        <v>44952</v>
      </c>
    </row>
    <row r="706" spans="1:19" ht="12.5" x14ac:dyDescent="0.25">
      <c r="A706" s="14" t="str">
        <f>HYPERLINK("https://gerandofalcoes.my.salesforce.com/0014X00002YggpVQAR", "0014X00002YggpVQAR")</f>
        <v>0014X00002YggpVQAR</v>
      </c>
      <c r="B706" s="2" t="s">
        <v>3072</v>
      </c>
      <c r="C706" s="2" t="s">
        <v>423</v>
      </c>
      <c r="D706" s="2" t="s">
        <v>2</v>
      </c>
      <c r="F706" s="2">
        <v>0</v>
      </c>
      <c r="G706" s="2">
        <v>2</v>
      </c>
      <c r="H706" s="2">
        <v>13000</v>
      </c>
      <c r="I706" s="2">
        <v>190</v>
      </c>
      <c r="K706" s="2">
        <v>23</v>
      </c>
      <c r="L706" s="2">
        <v>0</v>
      </c>
      <c r="M706" s="2">
        <v>0</v>
      </c>
      <c r="N706" s="2">
        <v>6</v>
      </c>
      <c r="O706" s="2">
        <v>5</v>
      </c>
      <c r="P706" s="2">
        <v>12</v>
      </c>
      <c r="Q706" s="2" t="s">
        <v>3073</v>
      </c>
      <c r="R706" s="2" t="s">
        <v>3074</v>
      </c>
      <c r="S706" s="4">
        <v>44946</v>
      </c>
    </row>
    <row r="707" spans="1:19" ht="12.5" x14ac:dyDescent="0.25">
      <c r="A707" s="14" t="str">
        <f>HYPERLINK("https://gerandofalcoes.my.salesforce.com/0014X00002YgggrQAB", "0014X00002YgggrQAB")</f>
        <v>0014X00002YgggrQAB</v>
      </c>
      <c r="B707" s="2" t="s">
        <v>3232</v>
      </c>
      <c r="C707" s="2" t="s">
        <v>423</v>
      </c>
      <c r="D707" s="2" t="s">
        <v>2</v>
      </c>
      <c r="F707" s="2">
        <v>0</v>
      </c>
      <c r="G707" s="2">
        <v>6</v>
      </c>
      <c r="H707" s="2">
        <v>50000</v>
      </c>
      <c r="I707" s="2">
        <v>84</v>
      </c>
      <c r="K707" s="2">
        <v>30</v>
      </c>
      <c r="L707" s="2">
        <v>0</v>
      </c>
      <c r="M707" s="2">
        <v>0</v>
      </c>
      <c r="N707" s="2">
        <v>10</v>
      </c>
      <c r="O707" s="2">
        <v>10</v>
      </c>
      <c r="P707" s="2">
        <v>10</v>
      </c>
      <c r="Q707" s="2" t="s">
        <v>3233</v>
      </c>
      <c r="R707" s="2" t="s">
        <v>3234</v>
      </c>
      <c r="S707" s="4">
        <v>44952</v>
      </c>
    </row>
    <row r="708" spans="1:19" ht="12.5" x14ac:dyDescent="0.25">
      <c r="A708" s="14" t="str">
        <f>HYPERLINK("https://gerandofalcoes.my.salesforce.com/0014X00002YggjEQAR", "0014X00002YggjEQAR")</f>
        <v>0014X00002YggjEQAR</v>
      </c>
      <c r="B708" s="2" t="s">
        <v>3235</v>
      </c>
      <c r="C708" s="2" t="s">
        <v>423</v>
      </c>
      <c r="D708" s="2" t="s">
        <v>2</v>
      </c>
      <c r="F708" s="2">
        <v>5</v>
      </c>
      <c r="G708" s="2">
        <v>3</v>
      </c>
      <c r="H708" s="2">
        <v>238000</v>
      </c>
      <c r="I708" s="2">
        <v>340</v>
      </c>
      <c r="K708" s="2">
        <v>43</v>
      </c>
      <c r="L708" s="2">
        <v>0</v>
      </c>
      <c r="M708" s="2">
        <v>5</v>
      </c>
      <c r="N708" s="2">
        <v>8</v>
      </c>
      <c r="O708" s="2">
        <v>15</v>
      </c>
      <c r="P708" s="2">
        <v>15</v>
      </c>
      <c r="Q708" s="2" t="s">
        <v>3236</v>
      </c>
      <c r="R708" s="2" t="s">
        <v>3237</v>
      </c>
      <c r="S708" s="4">
        <v>44952</v>
      </c>
    </row>
    <row r="709" spans="1:19" ht="12.5" x14ac:dyDescent="0.25">
      <c r="A709" s="14" t="str">
        <f>HYPERLINK("https://gerandofalcoes.my.salesforce.com/0014X00002YgglqQAB", "0014X00002YgglqQAB")</f>
        <v>0014X00002YgglqQAB</v>
      </c>
      <c r="B709" s="2" t="s">
        <v>3062</v>
      </c>
      <c r="C709" s="2" t="s">
        <v>423</v>
      </c>
      <c r="D709" s="2" t="s">
        <v>2</v>
      </c>
      <c r="F709" s="2">
        <v>0</v>
      </c>
      <c r="G709" s="2">
        <v>3</v>
      </c>
      <c r="H709" s="2">
        <v>200</v>
      </c>
      <c r="I709" s="2">
        <v>0</v>
      </c>
      <c r="K709" s="2">
        <v>13</v>
      </c>
      <c r="L709" s="2">
        <v>0</v>
      </c>
      <c r="M709" s="2">
        <v>0</v>
      </c>
      <c r="N709" s="2">
        <v>8</v>
      </c>
      <c r="O709" s="2">
        <v>5</v>
      </c>
      <c r="P709" s="2">
        <v>0</v>
      </c>
      <c r="Q709" s="2" t="s">
        <v>3063</v>
      </c>
      <c r="R709" s="2" t="s">
        <v>3064</v>
      </c>
      <c r="S709" s="4">
        <v>44946</v>
      </c>
    </row>
    <row r="710" spans="1:19" ht="12.5" x14ac:dyDescent="0.25">
      <c r="A710" s="14" t="str">
        <f>HYPERLINK("https://gerandofalcoes.my.salesforce.com/0014X00002Yggh6QAB", "0014X00002Yggh6QAB")</f>
        <v>0014X00002Yggh6QAB</v>
      </c>
      <c r="B710" s="2" t="s">
        <v>3122</v>
      </c>
      <c r="C710" s="2" t="s">
        <v>423</v>
      </c>
      <c r="D710" s="2" t="s">
        <v>2</v>
      </c>
      <c r="F710" s="2">
        <v>6</v>
      </c>
      <c r="G710" s="2">
        <v>2</v>
      </c>
      <c r="H710" s="2">
        <v>481000</v>
      </c>
      <c r="I710" s="2">
        <v>200</v>
      </c>
      <c r="K710" s="2">
        <v>48</v>
      </c>
      <c r="L710" s="2">
        <v>0</v>
      </c>
      <c r="M710" s="2">
        <v>10</v>
      </c>
      <c r="N710" s="2">
        <v>6</v>
      </c>
      <c r="O710" s="2">
        <v>20</v>
      </c>
      <c r="P710" s="2">
        <v>12</v>
      </c>
      <c r="Q710" s="2" t="s">
        <v>3123</v>
      </c>
      <c r="R710" s="2" t="s">
        <v>3124</v>
      </c>
      <c r="S710" s="4">
        <v>44949</v>
      </c>
    </row>
    <row r="711" spans="1:19" ht="12.5" x14ac:dyDescent="0.25">
      <c r="A711" s="14" t="str">
        <f>HYPERLINK("https://gerandofalcoes.my.salesforce.com/0014X00002YggiiQAB", "0014X00002YggiiQAB")</f>
        <v>0014X00002YggiiQAB</v>
      </c>
      <c r="B711" s="2" t="s">
        <v>3265</v>
      </c>
      <c r="C711" s="2" t="s">
        <v>423</v>
      </c>
      <c r="D711" s="2" t="s">
        <v>2</v>
      </c>
      <c r="F711" s="2">
        <v>0</v>
      </c>
      <c r="G711" s="2">
        <v>2</v>
      </c>
      <c r="H711" s="2">
        <v>1500</v>
      </c>
      <c r="I711" s="2">
        <v>30</v>
      </c>
      <c r="K711" s="2">
        <v>16</v>
      </c>
      <c r="L711" s="2">
        <v>0</v>
      </c>
      <c r="M711" s="2">
        <v>0</v>
      </c>
      <c r="N711" s="2">
        <v>6</v>
      </c>
      <c r="O711" s="2">
        <v>5</v>
      </c>
      <c r="P711" s="2">
        <v>5</v>
      </c>
      <c r="Q711" s="2" t="s">
        <v>3267</v>
      </c>
      <c r="R711" s="2" t="s">
        <v>3267</v>
      </c>
      <c r="S711" s="4">
        <v>44952</v>
      </c>
    </row>
    <row r="712" spans="1:19" ht="12.5" x14ac:dyDescent="0.25">
      <c r="A712" s="14" t="str">
        <f>HYPERLINK("https://gerandofalcoes.my.salesforce.com/0014X00002YggmGQAR", "0014X00002YggmGQAR")</f>
        <v>0014X00002YggmGQAR</v>
      </c>
      <c r="B712" s="2" t="s">
        <v>3130</v>
      </c>
      <c r="C712" s="2" t="s">
        <v>423</v>
      </c>
      <c r="D712" s="2" t="s">
        <v>2</v>
      </c>
      <c r="F712" s="2">
        <v>10</v>
      </c>
      <c r="G712" s="2">
        <v>2</v>
      </c>
      <c r="H712" s="2">
        <v>3000</v>
      </c>
      <c r="I712" s="2">
        <v>60</v>
      </c>
      <c r="K712" s="2">
        <v>26</v>
      </c>
      <c r="L712" s="2">
        <v>0</v>
      </c>
      <c r="M712" s="2">
        <v>10</v>
      </c>
      <c r="N712" s="2">
        <v>6</v>
      </c>
      <c r="O712" s="2">
        <v>5</v>
      </c>
      <c r="P712" s="2">
        <v>5</v>
      </c>
      <c r="Q712" s="2" t="s">
        <v>3131</v>
      </c>
      <c r="R712" s="2" t="s">
        <v>3132</v>
      </c>
      <c r="S712" s="4">
        <v>44949</v>
      </c>
    </row>
    <row r="713" spans="1:19" ht="12.5" x14ac:dyDescent="0.25">
      <c r="A713" s="14" t="str">
        <f>HYPERLINK("https://gerandofalcoes.my.salesforce.com/0014X00002YggnQQAR", "0014X00002YggnQQAR")</f>
        <v>0014X00002YggnQQAR</v>
      </c>
      <c r="B713" s="2" t="s">
        <v>3210</v>
      </c>
      <c r="C713" s="2" t="s">
        <v>423</v>
      </c>
      <c r="D713" s="2" t="s">
        <v>2</v>
      </c>
      <c r="F713" s="2">
        <v>12</v>
      </c>
      <c r="G713" s="2">
        <v>5</v>
      </c>
      <c r="H713" s="2">
        <v>226000</v>
      </c>
      <c r="I713" s="2">
        <v>323</v>
      </c>
      <c r="K713" s="2">
        <v>52</v>
      </c>
      <c r="L713" s="2">
        <v>0</v>
      </c>
      <c r="M713" s="2">
        <v>12</v>
      </c>
      <c r="N713" s="2">
        <v>10</v>
      </c>
      <c r="O713" s="2">
        <v>15</v>
      </c>
      <c r="P713" s="2">
        <v>15</v>
      </c>
      <c r="Q713" s="2" t="s">
        <v>3211</v>
      </c>
      <c r="R713" s="2" t="s">
        <v>3212</v>
      </c>
      <c r="S713" s="4">
        <v>44951</v>
      </c>
    </row>
    <row r="714" spans="1:19" ht="12.5" x14ac:dyDescent="0.25">
      <c r="A714" s="14" t="str">
        <f>HYPERLINK("https://gerandofalcoes.my.salesforce.com/0014X00002YggkaQAB", "0014X00002YggkaQAB")</f>
        <v>0014X00002YggkaQAB</v>
      </c>
      <c r="B714" s="2" t="s">
        <v>3253</v>
      </c>
      <c r="C714" s="2" t="s">
        <v>423</v>
      </c>
      <c r="D714" s="2" t="s">
        <v>2</v>
      </c>
      <c r="F714" s="2">
        <v>0</v>
      </c>
      <c r="G714" s="2">
        <v>2</v>
      </c>
      <c r="H714" s="2">
        <v>0</v>
      </c>
      <c r="I714" s="2">
        <v>40</v>
      </c>
      <c r="K714" s="2">
        <v>11</v>
      </c>
      <c r="L714" s="2">
        <v>0</v>
      </c>
      <c r="M714" s="2">
        <v>0</v>
      </c>
      <c r="N714" s="2">
        <v>6</v>
      </c>
      <c r="O714" s="2">
        <v>0</v>
      </c>
      <c r="P714" s="2">
        <v>5</v>
      </c>
      <c r="Q714" s="2" t="s">
        <v>3254</v>
      </c>
      <c r="R714" s="2" t="s">
        <v>3254</v>
      </c>
      <c r="S714" s="4">
        <v>44952</v>
      </c>
    </row>
    <row r="715" spans="1:19" ht="12.5" x14ac:dyDescent="0.25">
      <c r="A715" s="14" t="str">
        <f>HYPERLINK("https://gerandofalcoes.my.salesforce.com/0014X00002YggqwQAB", "0014X00002YggqwQAB")</f>
        <v>0014X00002YggqwQAB</v>
      </c>
      <c r="B715" s="2" t="s">
        <v>3319</v>
      </c>
      <c r="C715" s="2" t="s">
        <v>423</v>
      </c>
      <c r="D715" s="2" t="s">
        <v>2</v>
      </c>
      <c r="F715" s="2">
        <v>4</v>
      </c>
      <c r="G715" s="2">
        <v>2</v>
      </c>
      <c r="H715" s="2">
        <v>6082</v>
      </c>
      <c r="I715" s="2">
        <v>50</v>
      </c>
      <c r="K715" s="2">
        <v>21</v>
      </c>
      <c r="L715" s="2">
        <v>0</v>
      </c>
      <c r="M715" s="2">
        <v>5</v>
      </c>
      <c r="N715" s="2">
        <v>6</v>
      </c>
      <c r="O715" s="2">
        <v>5</v>
      </c>
      <c r="P715" s="2">
        <v>5</v>
      </c>
      <c r="Q715" s="2" t="s">
        <v>3320</v>
      </c>
      <c r="R715" s="2" t="s">
        <v>3321</v>
      </c>
      <c r="S715" s="4">
        <v>44953</v>
      </c>
    </row>
    <row r="716" spans="1:19" ht="12.5" x14ac:dyDescent="0.25">
      <c r="A716" s="14" t="str">
        <f>HYPERLINK("https://gerandofalcoes.my.salesforce.com/0014X00002YggoaQAB", "0014X00002YggoaQAB")</f>
        <v>0014X00002YggoaQAB</v>
      </c>
      <c r="B716" s="2" t="s">
        <v>3340</v>
      </c>
      <c r="C716" s="2" t="s">
        <v>423</v>
      </c>
      <c r="D716" s="2" t="s">
        <v>2</v>
      </c>
      <c r="F716" s="2">
        <v>10</v>
      </c>
      <c r="G716" s="2">
        <v>4</v>
      </c>
      <c r="H716" s="2">
        <v>581000</v>
      </c>
      <c r="I716" s="2">
        <v>323</v>
      </c>
      <c r="K716" s="2">
        <v>55</v>
      </c>
      <c r="L716" s="2">
        <v>0</v>
      </c>
      <c r="M716" s="2">
        <v>10</v>
      </c>
      <c r="N716" s="2">
        <v>10</v>
      </c>
      <c r="O716" s="2">
        <v>20</v>
      </c>
      <c r="P716" s="2">
        <v>15</v>
      </c>
      <c r="Q716" s="2" t="s">
        <v>3341</v>
      </c>
      <c r="R716" s="2" t="s">
        <v>3342</v>
      </c>
      <c r="S716" s="4">
        <v>44953</v>
      </c>
    </row>
    <row r="717" spans="1:19" ht="12.5" x14ac:dyDescent="0.25">
      <c r="A717" s="14" t="str">
        <f>HYPERLINK("https://gerandofalcoes.my.salesforce.com/0014X00002YggqKQAR", "0014X00002YggqKQAR")</f>
        <v>0014X00002YggqKQAR</v>
      </c>
      <c r="B717" s="2" t="s">
        <v>3372</v>
      </c>
      <c r="C717" s="2" t="s">
        <v>423</v>
      </c>
      <c r="D717" s="2" t="s">
        <v>2</v>
      </c>
      <c r="F717" s="2">
        <v>0</v>
      </c>
      <c r="G717" s="2">
        <v>4</v>
      </c>
      <c r="H717" s="2">
        <v>11000</v>
      </c>
      <c r="I717" s="2">
        <v>10</v>
      </c>
      <c r="K717" s="2">
        <v>20</v>
      </c>
      <c r="L717" s="2">
        <v>0</v>
      </c>
      <c r="M717" s="2">
        <v>0</v>
      </c>
      <c r="N717" s="2">
        <v>10</v>
      </c>
      <c r="O717" s="2">
        <v>5</v>
      </c>
      <c r="P717" s="2">
        <v>5</v>
      </c>
      <c r="Q717" s="2" t="s">
        <v>3373</v>
      </c>
      <c r="R717" s="2" t="s">
        <v>3374</v>
      </c>
      <c r="S717" s="4">
        <v>44953</v>
      </c>
    </row>
    <row r="718" spans="1:19" ht="12.5" x14ac:dyDescent="0.25">
      <c r="A718" s="14" t="str">
        <f>HYPERLINK("https://gerandofalcoes.my.salesforce.com/0014X00002YggnXQAR", "0014X00002YggnXQAR")</f>
        <v>0014X00002YggnXQAR</v>
      </c>
      <c r="B718" s="2" t="s">
        <v>3387</v>
      </c>
      <c r="C718" s="2" t="s">
        <v>423</v>
      </c>
      <c r="D718" s="2" t="s">
        <v>2</v>
      </c>
      <c r="F718" s="2">
        <v>4</v>
      </c>
      <c r="G718" s="2">
        <v>3</v>
      </c>
      <c r="H718" s="2">
        <v>120</v>
      </c>
      <c r="I718" s="2">
        <v>0</v>
      </c>
      <c r="K718" s="2">
        <v>18</v>
      </c>
      <c r="L718" s="2">
        <v>0</v>
      </c>
      <c r="M718" s="2">
        <v>5</v>
      </c>
      <c r="N718" s="2">
        <v>8</v>
      </c>
      <c r="O718" s="2">
        <v>5</v>
      </c>
      <c r="P718" s="2">
        <v>0</v>
      </c>
      <c r="Q718" s="2" t="s">
        <v>7163</v>
      </c>
      <c r="R718" s="2" t="s">
        <v>7163</v>
      </c>
      <c r="S718" s="4">
        <v>44953</v>
      </c>
    </row>
    <row r="719" spans="1:19" ht="12.5" x14ac:dyDescent="0.25">
      <c r="A719" s="14" t="str">
        <f>HYPERLINK("https://gerandofalcoes.my.salesforce.com/0014X00002YggkuQAB", "0014X00002YggkuQAB")</f>
        <v>0014X00002YggkuQAB</v>
      </c>
      <c r="B719" s="2" t="s">
        <v>3302</v>
      </c>
      <c r="C719" s="2" t="s">
        <v>423</v>
      </c>
      <c r="D719" s="2" t="s">
        <v>2</v>
      </c>
      <c r="F719" s="2">
        <v>9</v>
      </c>
      <c r="G719" s="2">
        <v>4</v>
      </c>
      <c r="H719" s="2">
        <v>200000</v>
      </c>
      <c r="I719" s="2">
        <v>60</v>
      </c>
      <c r="K719" s="2">
        <v>40</v>
      </c>
      <c r="L719" s="2">
        <v>0</v>
      </c>
      <c r="M719" s="2">
        <v>10</v>
      </c>
      <c r="N719" s="2">
        <v>10</v>
      </c>
      <c r="O719" s="2">
        <v>15</v>
      </c>
      <c r="P719" s="2">
        <v>5</v>
      </c>
      <c r="Q719" s="2" t="s">
        <v>3303</v>
      </c>
      <c r="R719" s="2" t="s">
        <v>3304</v>
      </c>
      <c r="S719" s="4">
        <v>44953</v>
      </c>
    </row>
    <row r="720" spans="1:19" ht="12.5" x14ac:dyDescent="0.25">
      <c r="A720" s="14" t="str">
        <f>HYPERLINK("https://gerandofalcoes.my.salesforce.com/0014X00002YggmUQAR", "0014X00002YggmUQAR")</f>
        <v>0014X00002YggmUQAR</v>
      </c>
      <c r="B720" s="2" t="s">
        <v>3160</v>
      </c>
      <c r="C720" s="2" t="s">
        <v>423</v>
      </c>
      <c r="D720" s="2" t="s">
        <v>2</v>
      </c>
      <c r="F720" s="2">
        <v>2</v>
      </c>
      <c r="G720" s="2">
        <v>2</v>
      </c>
      <c r="H720" s="2">
        <v>24750</v>
      </c>
      <c r="I720" s="2">
        <v>190</v>
      </c>
      <c r="K720" s="2">
        <v>28</v>
      </c>
      <c r="L720" s="2">
        <v>0</v>
      </c>
      <c r="M720" s="2">
        <v>5</v>
      </c>
      <c r="N720" s="2">
        <v>6</v>
      </c>
      <c r="O720" s="2">
        <v>5</v>
      </c>
      <c r="P720" s="2">
        <v>12</v>
      </c>
      <c r="Q720" s="2" t="s">
        <v>3161</v>
      </c>
      <c r="R720" s="2" t="s">
        <v>3162</v>
      </c>
      <c r="S720" s="4">
        <v>44950</v>
      </c>
    </row>
    <row r="721" spans="1:19" ht="12.5" x14ac:dyDescent="0.25">
      <c r="A721" s="14" t="str">
        <f>HYPERLINK("https://gerandofalcoes.my.salesforce.com/0014X00002YgbkTQAR", "0014X00002YgbkTQAR")</f>
        <v>0014X00002YgbkTQAR</v>
      </c>
      <c r="B721" s="2" t="s">
        <v>3337</v>
      </c>
      <c r="C721" s="2" t="s">
        <v>423</v>
      </c>
      <c r="D721" s="2" t="s">
        <v>2</v>
      </c>
      <c r="F721" s="2">
        <v>0</v>
      </c>
      <c r="G721" s="2">
        <v>0</v>
      </c>
      <c r="H721" s="2">
        <v>0</v>
      </c>
      <c r="I721" s="2">
        <v>0</v>
      </c>
      <c r="K721" s="2">
        <v>0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2" t="s">
        <v>3338</v>
      </c>
      <c r="R721" s="2" t="s">
        <v>3339</v>
      </c>
      <c r="S721" s="4">
        <v>44953</v>
      </c>
    </row>
    <row r="722" spans="1:19" ht="12.5" x14ac:dyDescent="0.25">
      <c r="A722" s="14" t="str">
        <f>HYPERLINK("https://gerandofalcoes.my.salesforce.com/0014X00002YgglYQAR", "0014X00002YgglYQAR")</f>
        <v>0014X00002YgglYQAR</v>
      </c>
      <c r="B722" s="2" t="s">
        <v>3154</v>
      </c>
      <c r="C722" s="2" t="s">
        <v>423</v>
      </c>
      <c r="D722" s="2" t="s">
        <v>2</v>
      </c>
      <c r="F722" s="2">
        <v>0</v>
      </c>
      <c r="G722" s="2">
        <v>2</v>
      </c>
      <c r="H722" s="2">
        <v>5000</v>
      </c>
      <c r="I722" s="2">
        <v>30</v>
      </c>
      <c r="K722" s="2">
        <v>16</v>
      </c>
      <c r="L722" s="2">
        <v>0</v>
      </c>
      <c r="M722" s="2">
        <v>0</v>
      </c>
      <c r="N722" s="2">
        <v>6</v>
      </c>
      <c r="O722" s="2">
        <v>5</v>
      </c>
      <c r="P722" s="2">
        <v>5</v>
      </c>
      <c r="Q722" s="2" t="s">
        <v>3155</v>
      </c>
      <c r="R722" s="2" t="s">
        <v>3156</v>
      </c>
      <c r="S722" s="4">
        <v>44950</v>
      </c>
    </row>
    <row r="723" spans="1:19" ht="12.5" x14ac:dyDescent="0.25">
      <c r="A723" s="14" t="str">
        <f>HYPERLINK("https://gerandofalcoes.my.salesforce.com/0014X00002YggjvQAB", "0014X00002YggjvQAB")</f>
        <v>0014X00002YggjvQAB</v>
      </c>
      <c r="B723" s="2" t="s">
        <v>3365</v>
      </c>
      <c r="C723" s="2" t="s">
        <v>423</v>
      </c>
      <c r="D723" s="2" t="s">
        <v>2</v>
      </c>
      <c r="F723" s="2">
        <v>6</v>
      </c>
      <c r="G723" s="2">
        <v>2</v>
      </c>
      <c r="H723" s="2">
        <v>13000</v>
      </c>
      <c r="I723" s="2">
        <v>60</v>
      </c>
      <c r="K723" s="2">
        <v>26</v>
      </c>
      <c r="L723" s="2">
        <v>0</v>
      </c>
      <c r="M723" s="2">
        <v>10</v>
      </c>
      <c r="N723" s="2">
        <v>6</v>
      </c>
      <c r="O723" s="2">
        <v>5</v>
      </c>
      <c r="P723" s="2">
        <v>5</v>
      </c>
      <c r="Q723" s="2" t="s">
        <v>3366</v>
      </c>
      <c r="R723" s="2" t="s">
        <v>3366</v>
      </c>
      <c r="S723" s="4">
        <v>44953</v>
      </c>
    </row>
    <row r="724" spans="1:19" ht="12.5" x14ac:dyDescent="0.25">
      <c r="A724" s="14" t="str">
        <f>HYPERLINK("https://gerandofalcoes.my.salesforce.com/0014X00002YggnfQAB", "0014X00002YggnfQAB")</f>
        <v>0014X00002YggnfQAB</v>
      </c>
      <c r="B724" s="2" t="s">
        <v>3166</v>
      </c>
      <c r="C724" s="2" t="s">
        <v>423</v>
      </c>
      <c r="D724" s="2" t="s">
        <v>2</v>
      </c>
      <c r="F724" s="2">
        <v>1</v>
      </c>
      <c r="G724" s="2">
        <v>4</v>
      </c>
      <c r="H724" s="2">
        <v>4000</v>
      </c>
      <c r="I724" s="2">
        <v>90</v>
      </c>
      <c r="K724" s="2">
        <v>30</v>
      </c>
      <c r="L724" s="2">
        <v>0</v>
      </c>
      <c r="M724" s="2">
        <v>5</v>
      </c>
      <c r="N724" s="2">
        <v>10</v>
      </c>
      <c r="O724" s="2">
        <v>5</v>
      </c>
      <c r="P724" s="2">
        <v>10</v>
      </c>
      <c r="Q724" s="2" t="s">
        <v>3167</v>
      </c>
      <c r="R724" s="2" t="s">
        <v>3167</v>
      </c>
      <c r="S724" s="4">
        <v>44950</v>
      </c>
    </row>
    <row r="725" spans="1:19" ht="12.5" x14ac:dyDescent="0.25">
      <c r="A725" s="14" t="str">
        <f>HYPERLINK("https://gerandofalcoes.my.salesforce.com/0014X00002YggkfQAB", "0014X00002YggkfQAB")</f>
        <v>0014X00002YggkfQAB</v>
      </c>
      <c r="B725" s="2" t="s">
        <v>3006</v>
      </c>
      <c r="C725" s="2" t="s">
        <v>423</v>
      </c>
      <c r="D725" s="2" t="s">
        <v>2</v>
      </c>
      <c r="F725" s="2">
        <v>8</v>
      </c>
      <c r="G725" s="2">
        <v>2</v>
      </c>
      <c r="H725" s="2">
        <v>700</v>
      </c>
      <c r="I725" s="2">
        <v>400</v>
      </c>
      <c r="K725" s="2">
        <v>36</v>
      </c>
      <c r="L725" s="2">
        <v>0</v>
      </c>
      <c r="M725" s="2">
        <v>10</v>
      </c>
      <c r="N725" s="2">
        <v>6</v>
      </c>
      <c r="O725" s="2">
        <v>5</v>
      </c>
      <c r="P725" s="2">
        <v>15</v>
      </c>
      <c r="Q725" s="2" t="s">
        <v>3007</v>
      </c>
      <c r="R725" s="2" t="s">
        <v>3007</v>
      </c>
      <c r="S725" s="4">
        <v>44944</v>
      </c>
    </row>
    <row r="726" spans="1:19" ht="12.5" x14ac:dyDescent="0.25">
      <c r="A726" s="14" t="str">
        <f>HYPERLINK("https://gerandofalcoes.my.salesforce.com/0014X00002bFKFnQAO", "0014X00002bFKFnQAO")</f>
        <v>0014X00002bFKFnQAO</v>
      </c>
      <c r="B726" s="2" t="s">
        <v>3605</v>
      </c>
      <c r="C726" s="2" t="s">
        <v>423</v>
      </c>
      <c r="D726" s="2" t="s">
        <v>2</v>
      </c>
      <c r="F726" s="2">
        <v>0</v>
      </c>
      <c r="G726" s="2">
        <v>0</v>
      </c>
      <c r="H726" s="2">
        <v>0</v>
      </c>
      <c r="I726" s="2">
        <v>0</v>
      </c>
      <c r="K726" s="2">
        <v>0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 t="s">
        <v>7199</v>
      </c>
      <c r="R726" s="2"/>
      <c r="S726" s="4">
        <v>44944</v>
      </c>
    </row>
    <row r="727" spans="1:19" ht="12.5" x14ac:dyDescent="0.25">
      <c r="A727" s="14" t="str">
        <f>HYPERLINK("https://gerandofalcoes.my.salesforce.com/0014X00002YgggEQAR", "0014X00002YgggEQAR")</f>
        <v>0014X00002YgggEQAR</v>
      </c>
      <c r="B727" s="2" t="s">
        <v>3008</v>
      </c>
      <c r="C727" s="2" t="s">
        <v>423</v>
      </c>
      <c r="D727" s="2" t="s">
        <v>2</v>
      </c>
      <c r="F727" s="2">
        <v>112</v>
      </c>
      <c r="G727" s="2">
        <v>3</v>
      </c>
      <c r="H727" s="2">
        <v>6</v>
      </c>
      <c r="I727" s="2">
        <v>50</v>
      </c>
      <c r="K727" s="2">
        <v>33</v>
      </c>
      <c r="L727" s="2">
        <v>0</v>
      </c>
      <c r="M727" s="2">
        <v>15</v>
      </c>
      <c r="N727" s="2">
        <v>8</v>
      </c>
      <c r="O727" s="2">
        <v>5</v>
      </c>
      <c r="P727" s="2">
        <v>5</v>
      </c>
      <c r="Q727" s="2" t="s">
        <v>3009</v>
      </c>
      <c r="R727" s="2" t="s">
        <v>3010</v>
      </c>
      <c r="S727" s="4">
        <v>44944</v>
      </c>
    </row>
    <row r="728" spans="1:19" ht="12.5" x14ac:dyDescent="0.25">
      <c r="A728" s="14" t="str">
        <f>HYPERLINK("https://gerandofalcoes.my.salesforce.com/0014X00002YggmgQAB", "0014X00002YggmgQAB")</f>
        <v>0014X00002YggmgQAB</v>
      </c>
      <c r="B728" s="2" t="s">
        <v>3005</v>
      </c>
      <c r="C728" s="2" t="s">
        <v>423</v>
      </c>
      <c r="D728" s="2" t="s">
        <v>2</v>
      </c>
      <c r="F728" s="2">
        <v>0</v>
      </c>
      <c r="G728" s="2">
        <v>4</v>
      </c>
      <c r="H728" s="2">
        <v>600</v>
      </c>
      <c r="I728" s="2">
        <v>150</v>
      </c>
      <c r="K728" s="2">
        <v>27</v>
      </c>
      <c r="L728" s="2">
        <v>0</v>
      </c>
      <c r="M728" s="2">
        <v>0</v>
      </c>
      <c r="N728" s="2">
        <v>10</v>
      </c>
      <c r="O728" s="2">
        <v>5</v>
      </c>
      <c r="P728" s="2">
        <v>12</v>
      </c>
      <c r="Q728" s="2" t="s">
        <v>2987</v>
      </c>
      <c r="R728" s="2" t="s">
        <v>2987</v>
      </c>
      <c r="S728" s="4">
        <v>44944</v>
      </c>
    </row>
    <row r="729" spans="1:19" ht="12.5" x14ac:dyDescent="0.25">
      <c r="A729" s="14" t="str">
        <f>HYPERLINK("https://gerandofalcoes.my.salesforce.com/0014X00002Yggr1QAB", "0014X00002Yggr1QAB")</f>
        <v>0014X00002Yggr1QAB</v>
      </c>
      <c r="B729" s="2" t="s">
        <v>3002</v>
      </c>
      <c r="C729" s="2" t="s">
        <v>423</v>
      </c>
      <c r="D729" s="2" t="s">
        <v>2</v>
      </c>
      <c r="F729" s="2">
        <v>24</v>
      </c>
      <c r="G729" s="2">
        <v>5</v>
      </c>
      <c r="H729" s="2">
        <v>35000</v>
      </c>
      <c r="I729" s="2">
        <v>85</v>
      </c>
      <c r="K729" s="2">
        <v>42</v>
      </c>
      <c r="L729" s="2">
        <v>0</v>
      </c>
      <c r="M729" s="2">
        <v>12</v>
      </c>
      <c r="N729" s="2">
        <v>10</v>
      </c>
      <c r="O729" s="2">
        <v>10</v>
      </c>
      <c r="P729" s="2">
        <v>10</v>
      </c>
      <c r="Q729" s="2" t="s">
        <v>3003</v>
      </c>
      <c r="R729" s="2" t="s">
        <v>3004</v>
      </c>
      <c r="S729" s="4">
        <v>44944</v>
      </c>
    </row>
    <row r="730" spans="1:19" ht="12.5" x14ac:dyDescent="0.25">
      <c r="A730" s="14" t="str">
        <f>HYPERLINK("https://gerandofalcoes.my.salesforce.com/0014X00002bFZFcQAO", "0014X00002bFZFcQAO")</f>
        <v>0014X00002bFZFcQAO</v>
      </c>
      <c r="B730" s="2" t="s">
        <v>7200</v>
      </c>
      <c r="C730" s="2" t="s">
        <v>1684</v>
      </c>
      <c r="D730" s="2" t="s">
        <v>2</v>
      </c>
      <c r="F730" s="2">
        <v>0</v>
      </c>
      <c r="G730" s="2">
        <v>0</v>
      </c>
      <c r="H730" s="2">
        <v>0</v>
      </c>
      <c r="I730" s="2">
        <v>0</v>
      </c>
      <c r="K730" s="2">
        <v>0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 t="s">
        <v>3589</v>
      </c>
      <c r="R730" s="2" t="s">
        <v>7199</v>
      </c>
      <c r="S730" s="4">
        <v>44944</v>
      </c>
    </row>
    <row r="731" spans="1:19" ht="12.5" x14ac:dyDescent="0.25">
      <c r="A731" s="14" t="str">
        <f>HYPERLINK("https://gerandofalcoes.my.salesforce.com/0014X00002bFZFcQAO", "0014X00002bFZFcQAO")</f>
        <v>0014X00002bFZFcQAO</v>
      </c>
      <c r="B731" s="2" t="s">
        <v>7200</v>
      </c>
      <c r="C731" s="2" t="s">
        <v>1684</v>
      </c>
      <c r="D731" s="2" t="s">
        <v>2</v>
      </c>
      <c r="F731" s="2">
        <v>0</v>
      </c>
      <c r="G731" s="2">
        <v>0</v>
      </c>
      <c r="H731" s="2">
        <v>0</v>
      </c>
      <c r="I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 t="s">
        <v>3589</v>
      </c>
      <c r="R731" s="2" t="s">
        <v>7199</v>
      </c>
      <c r="S731" s="4">
        <v>44944</v>
      </c>
    </row>
    <row r="732" spans="1:19" ht="12.5" x14ac:dyDescent="0.25">
      <c r="A732" s="14" t="str">
        <f>HYPERLINK("https://gerandofalcoes.my.salesforce.com/0014X00002YggmKQAR", "0014X00002YggmKQAR")</f>
        <v>0014X00002YggmKQAR</v>
      </c>
      <c r="B732" s="2" t="s">
        <v>3043</v>
      </c>
      <c r="C732" s="2" t="s">
        <v>423</v>
      </c>
      <c r="D732" s="2" t="s">
        <v>2</v>
      </c>
      <c r="F732" s="2">
        <v>0</v>
      </c>
      <c r="G732" s="2">
        <v>2</v>
      </c>
      <c r="H732" s="2">
        <v>10000</v>
      </c>
      <c r="I732" s="2">
        <v>0</v>
      </c>
      <c r="K732" s="2">
        <v>11</v>
      </c>
      <c r="L732" s="2">
        <v>0</v>
      </c>
      <c r="M732" s="2">
        <v>0</v>
      </c>
      <c r="N732" s="2">
        <v>6</v>
      </c>
      <c r="O732" s="2">
        <v>5</v>
      </c>
      <c r="P732" s="2">
        <v>0</v>
      </c>
      <c r="Q732" s="2" t="s">
        <v>3044</v>
      </c>
      <c r="R732" s="2" t="s">
        <v>3044</v>
      </c>
      <c r="S732" s="4">
        <v>44945</v>
      </c>
    </row>
    <row r="733" spans="1:19" ht="12.5" x14ac:dyDescent="0.25">
      <c r="A733" s="14" t="str">
        <f>HYPERLINK("https://gerandofalcoes.my.salesforce.com/0014X00002YgghdQAB", "0014X00002YgghdQAB")</f>
        <v>0014X00002YgghdQAB</v>
      </c>
      <c r="B733" s="2" t="s">
        <v>3163</v>
      </c>
      <c r="C733" s="2" t="s">
        <v>423</v>
      </c>
      <c r="D733" s="2" t="s">
        <v>2</v>
      </c>
      <c r="F733" s="2">
        <v>0</v>
      </c>
      <c r="G733" s="2">
        <v>4</v>
      </c>
      <c r="H733" s="2">
        <v>2000</v>
      </c>
      <c r="I733" s="2">
        <v>300</v>
      </c>
      <c r="K733" s="2">
        <v>30</v>
      </c>
      <c r="L733" s="2">
        <v>0</v>
      </c>
      <c r="M733" s="2">
        <v>0</v>
      </c>
      <c r="N733" s="2">
        <v>10</v>
      </c>
      <c r="O733" s="2">
        <v>5</v>
      </c>
      <c r="P733" s="2">
        <v>15</v>
      </c>
      <c r="Q733" s="2" t="s">
        <v>3164</v>
      </c>
      <c r="R733" s="2" t="s">
        <v>3165</v>
      </c>
      <c r="S733" s="4">
        <v>44950</v>
      </c>
    </row>
    <row r="734" spans="1:19" ht="12.5" x14ac:dyDescent="0.25">
      <c r="A734" s="14" t="str">
        <f>HYPERLINK("https://gerandofalcoes.my.salesforce.com/0014X00002YgglRQAR", "0014X00002YgglRQAR")</f>
        <v>0014X00002YgglRQAR</v>
      </c>
      <c r="B734" s="2" t="s">
        <v>3305</v>
      </c>
      <c r="C734" s="2" t="s">
        <v>423</v>
      </c>
      <c r="D734" s="2" t="s">
        <v>2</v>
      </c>
      <c r="F734" s="2">
        <v>8</v>
      </c>
      <c r="G734" s="2">
        <v>2</v>
      </c>
      <c r="H734" s="2">
        <v>20000</v>
      </c>
      <c r="I734" s="2">
        <v>120</v>
      </c>
      <c r="K734" s="2">
        <v>31</v>
      </c>
      <c r="L734" s="2">
        <v>0</v>
      </c>
      <c r="M734" s="2">
        <v>10</v>
      </c>
      <c r="N734" s="2">
        <v>6</v>
      </c>
      <c r="O734" s="2">
        <v>5</v>
      </c>
      <c r="P734" s="2">
        <v>10</v>
      </c>
      <c r="Q734" s="2" t="s">
        <v>3306</v>
      </c>
      <c r="R734" s="2" t="s">
        <v>3307</v>
      </c>
      <c r="S734" s="4">
        <v>44953</v>
      </c>
    </row>
    <row r="735" spans="1:19" ht="12.5" x14ac:dyDescent="0.25">
      <c r="A735" s="14" t="str">
        <f>HYPERLINK("https://gerandofalcoes.my.salesforce.com/0014X00002YggqlQAB", "0014X00002YggqlQAB")</f>
        <v>0014X00002YggqlQAB</v>
      </c>
      <c r="B735" s="2" t="s">
        <v>3308</v>
      </c>
      <c r="C735" s="2" t="s">
        <v>423</v>
      </c>
      <c r="D735" s="2" t="s">
        <v>2</v>
      </c>
      <c r="F735" s="2">
        <v>15</v>
      </c>
      <c r="G735" s="2">
        <v>2</v>
      </c>
      <c r="H735" s="2">
        <v>20000</v>
      </c>
      <c r="I735" s="2">
        <v>120</v>
      </c>
      <c r="K735" s="2">
        <v>33</v>
      </c>
      <c r="L735" s="2">
        <v>0</v>
      </c>
      <c r="M735" s="2">
        <v>12</v>
      </c>
      <c r="N735" s="2">
        <v>6</v>
      </c>
      <c r="O735" s="2">
        <v>5</v>
      </c>
      <c r="P735" s="2">
        <v>10</v>
      </c>
      <c r="Q735" s="2" t="s">
        <v>3309</v>
      </c>
      <c r="R735" s="2" t="s">
        <v>3310</v>
      </c>
      <c r="S735" s="4">
        <v>44953</v>
      </c>
    </row>
    <row r="736" spans="1:19" ht="12.5" x14ac:dyDescent="0.25">
      <c r="A736" s="14" t="str">
        <f>HYPERLINK("https://gerandofalcoes.my.salesforce.com/0014X00002Yggq6QAB", "0014X00002Yggq6QAB")</f>
        <v>0014X00002Yggq6QAB</v>
      </c>
      <c r="B736" s="2" t="s">
        <v>3328</v>
      </c>
      <c r="C736" s="2" t="s">
        <v>423</v>
      </c>
      <c r="D736" s="2" t="s">
        <v>2</v>
      </c>
      <c r="F736" s="2">
        <v>0</v>
      </c>
      <c r="G736" s="2">
        <v>3</v>
      </c>
      <c r="H736" s="2">
        <v>3500</v>
      </c>
      <c r="I736" s="2">
        <v>30</v>
      </c>
      <c r="K736" s="2">
        <v>18</v>
      </c>
      <c r="L736" s="2">
        <v>0</v>
      </c>
      <c r="M736" s="2">
        <v>0</v>
      </c>
      <c r="N736" s="2">
        <v>8</v>
      </c>
      <c r="O736" s="2">
        <v>5</v>
      </c>
      <c r="P736" s="2">
        <v>5</v>
      </c>
      <c r="Q736" s="2" t="s">
        <v>3329</v>
      </c>
      <c r="R736" s="2" t="s">
        <v>3330</v>
      </c>
      <c r="S736" s="4">
        <v>44953</v>
      </c>
    </row>
    <row r="737" spans="1:19" ht="12.5" x14ac:dyDescent="0.25">
      <c r="A737" s="14" t="str">
        <f>HYPERLINK("https://gerandofalcoes.my.salesforce.com/0014X00002YggmJQAR", "0014X00002YggmJQAR")</f>
        <v>0014X00002YggmJQAR</v>
      </c>
      <c r="B737" s="2" t="s">
        <v>3343</v>
      </c>
      <c r="C737" s="2" t="s">
        <v>423</v>
      </c>
      <c r="D737" s="2" t="s">
        <v>2</v>
      </c>
      <c r="F737" s="2">
        <v>0</v>
      </c>
      <c r="G737" s="2">
        <v>2</v>
      </c>
      <c r="H737" s="2">
        <v>15000</v>
      </c>
      <c r="I737" s="2">
        <v>130</v>
      </c>
      <c r="K737" s="2">
        <v>21</v>
      </c>
      <c r="L737" s="2">
        <v>0</v>
      </c>
      <c r="M737" s="2">
        <v>0</v>
      </c>
      <c r="N737" s="2">
        <v>6</v>
      </c>
      <c r="O737" s="2">
        <v>5</v>
      </c>
      <c r="P737" s="2">
        <v>10</v>
      </c>
      <c r="Q737" s="2" t="s">
        <v>3344</v>
      </c>
      <c r="R737" s="2" t="s">
        <v>3345</v>
      </c>
      <c r="S737" s="4">
        <v>44953</v>
      </c>
    </row>
    <row r="738" spans="1:19" ht="12.5" x14ac:dyDescent="0.25">
      <c r="A738" s="14" t="str">
        <f>HYPERLINK("https://gerandofalcoes.my.salesforce.com/0014X00002YggibQAB", "0014X00002YggibQAB")</f>
        <v>0014X00002YggibQAB</v>
      </c>
      <c r="B738" s="2" t="s">
        <v>3026</v>
      </c>
      <c r="C738" s="2" t="s">
        <v>423</v>
      </c>
      <c r="D738" s="2" t="s">
        <v>2</v>
      </c>
      <c r="F738" s="2">
        <v>0</v>
      </c>
      <c r="G738" s="2">
        <v>6</v>
      </c>
      <c r="H738" s="2">
        <v>8000</v>
      </c>
      <c r="I738" s="2">
        <v>16</v>
      </c>
      <c r="K738" s="2">
        <v>20</v>
      </c>
      <c r="L738" s="2">
        <v>0</v>
      </c>
      <c r="M738" s="2">
        <v>0</v>
      </c>
      <c r="N738" s="2">
        <v>10</v>
      </c>
      <c r="O738" s="2">
        <v>5</v>
      </c>
      <c r="P738" s="2">
        <v>5</v>
      </c>
      <c r="Q738" s="2" t="s">
        <v>3027</v>
      </c>
      <c r="R738" s="2" t="s">
        <v>3027</v>
      </c>
      <c r="S738" s="4">
        <v>44945</v>
      </c>
    </row>
    <row r="739" spans="1:19" ht="12.5" x14ac:dyDescent="0.25">
      <c r="A739" s="14" t="str">
        <f>HYPERLINK("https://gerandofalcoes.my.salesforce.com/0014X00002Yggk2QAB", "0014X00002Yggk2QAB")</f>
        <v>0014X00002Yggk2QAB</v>
      </c>
      <c r="B739" s="2" t="s">
        <v>3389</v>
      </c>
      <c r="C739" s="2" t="s">
        <v>423</v>
      </c>
      <c r="D739" s="2" t="s">
        <v>2</v>
      </c>
      <c r="F739" s="2">
        <v>0</v>
      </c>
      <c r="G739" s="2">
        <v>3</v>
      </c>
      <c r="H739" s="2">
        <v>0</v>
      </c>
      <c r="I739" s="2">
        <v>0</v>
      </c>
      <c r="K739" s="2">
        <v>8</v>
      </c>
      <c r="L739" s="2">
        <v>0</v>
      </c>
      <c r="M739" s="2">
        <v>0</v>
      </c>
      <c r="N739" s="2">
        <v>8</v>
      </c>
      <c r="O739" s="2">
        <v>0</v>
      </c>
      <c r="P739" s="2">
        <v>0</v>
      </c>
      <c r="Q739" s="2" t="s">
        <v>3390</v>
      </c>
      <c r="R739" s="2" t="s">
        <v>3391</v>
      </c>
      <c r="S739" s="4">
        <v>44953</v>
      </c>
    </row>
    <row r="740" spans="1:19" ht="12.5" x14ac:dyDescent="0.25">
      <c r="A740" s="14" t="str">
        <f>HYPERLINK("https://gerandofalcoes.my.salesforce.com/0014X00002YggnrQAB", "0014X00002YggnrQAB")</f>
        <v>0014X00002YggnrQAB</v>
      </c>
      <c r="B740" s="2" t="s">
        <v>3354</v>
      </c>
      <c r="C740" s="2" t="s">
        <v>423</v>
      </c>
      <c r="D740" s="2" t="s">
        <v>2</v>
      </c>
      <c r="F740" s="2">
        <v>2</v>
      </c>
      <c r="G740" s="2">
        <v>5</v>
      </c>
      <c r="H740" s="2">
        <v>7006467</v>
      </c>
      <c r="I740" s="2">
        <v>100</v>
      </c>
      <c r="K740" s="2">
        <v>50</v>
      </c>
      <c r="L740" s="2">
        <v>0</v>
      </c>
      <c r="M740" s="2">
        <v>5</v>
      </c>
      <c r="N740" s="2">
        <v>10</v>
      </c>
      <c r="O740" s="2">
        <v>25</v>
      </c>
      <c r="P740" s="2">
        <v>10</v>
      </c>
      <c r="Q740" s="2" t="s">
        <v>3355</v>
      </c>
      <c r="R740" s="2" t="s">
        <v>3356</v>
      </c>
      <c r="S740" s="4">
        <v>44953</v>
      </c>
    </row>
    <row r="741" spans="1:19" ht="12.5" x14ac:dyDescent="0.25">
      <c r="A741" s="14" t="str">
        <f>HYPERLINK("https://gerandofalcoes.my.salesforce.com/0014X00002YggnjQAB", "0014X00002YggnjQAB")</f>
        <v>0014X00002YggnjQAB</v>
      </c>
      <c r="B741" s="2" t="s">
        <v>3346</v>
      </c>
      <c r="C741" s="2" t="s">
        <v>423</v>
      </c>
      <c r="D741" s="2" t="s">
        <v>2</v>
      </c>
      <c r="F741" s="2">
        <v>9</v>
      </c>
      <c r="G741" s="2">
        <v>3</v>
      </c>
      <c r="H741" s="2">
        <v>2500</v>
      </c>
      <c r="I741" s="2">
        <v>120</v>
      </c>
      <c r="K741" s="2">
        <v>33</v>
      </c>
      <c r="L741" s="2">
        <v>0</v>
      </c>
      <c r="M741" s="2">
        <v>10</v>
      </c>
      <c r="N741" s="2">
        <v>8</v>
      </c>
      <c r="O741" s="2">
        <v>5</v>
      </c>
      <c r="P741" s="2">
        <v>10</v>
      </c>
      <c r="Q741" s="2" t="s">
        <v>3347</v>
      </c>
      <c r="R741" s="2" t="s">
        <v>3348</v>
      </c>
      <c r="S741" s="4">
        <v>44953</v>
      </c>
    </row>
    <row r="742" spans="1:19" ht="12.5" x14ac:dyDescent="0.25">
      <c r="A742" s="14" t="str">
        <f>HYPERLINK("https://gerandofalcoes.my.salesforce.com/0014X00002YggmAQAR", "0014X00002YggmAQAR")</f>
        <v>0014X00002YggmAQAR</v>
      </c>
      <c r="B742" s="2" t="s">
        <v>3311</v>
      </c>
      <c r="C742" s="2" t="s">
        <v>423</v>
      </c>
      <c r="D742" s="2" t="s">
        <v>2</v>
      </c>
      <c r="F742" s="2">
        <v>0</v>
      </c>
      <c r="G742" s="2">
        <v>5</v>
      </c>
      <c r="H742" s="2">
        <v>469000</v>
      </c>
      <c r="I742" s="2">
        <v>0</v>
      </c>
      <c r="K742" s="2">
        <v>30</v>
      </c>
      <c r="L742" s="2">
        <v>0</v>
      </c>
      <c r="M742" s="2">
        <v>0</v>
      </c>
      <c r="N742" s="2">
        <v>10</v>
      </c>
      <c r="O742" s="2">
        <v>20</v>
      </c>
      <c r="P742" s="2">
        <v>0</v>
      </c>
      <c r="Q742" s="2" t="s">
        <v>3312</v>
      </c>
      <c r="R742" s="2" t="s">
        <v>3313</v>
      </c>
      <c r="S742" s="4">
        <v>44953</v>
      </c>
    </row>
    <row r="743" spans="1:19" ht="12.5" x14ac:dyDescent="0.25">
      <c r="A743" s="14" t="str">
        <f>HYPERLINK("https://gerandofalcoes.my.salesforce.com/0014X00002YggnOQAR", "0014X00002YggnOQAR")</f>
        <v>0014X00002YggnOQAR</v>
      </c>
      <c r="B743" s="2" t="s">
        <v>3316</v>
      </c>
      <c r="C743" s="2" t="s">
        <v>423</v>
      </c>
      <c r="D743" s="2" t="s">
        <v>2</v>
      </c>
      <c r="F743" s="2">
        <v>0</v>
      </c>
      <c r="G743" s="2">
        <v>2</v>
      </c>
      <c r="H743" s="2">
        <v>0</v>
      </c>
      <c r="I743" s="2">
        <v>128</v>
      </c>
      <c r="K743" s="2">
        <v>16</v>
      </c>
      <c r="L743" s="2">
        <v>0</v>
      </c>
      <c r="M743" s="2">
        <v>0</v>
      </c>
      <c r="N743" s="2">
        <v>6</v>
      </c>
      <c r="O743" s="2">
        <v>0</v>
      </c>
      <c r="P743" s="2">
        <v>10</v>
      </c>
      <c r="Q743" s="2" t="s">
        <v>3317</v>
      </c>
      <c r="R743" s="2" t="s">
        <v>3318</v>
      </c>
      <c r="S743" s="4">
        <v>44953</v>
      </c>
    </row>
    <row r="744" spans="1:19" ht="12.5" x14ac:dyDescent="0.25">
      <c r="A744" s="14" t="str">
        <f>HYPERLINK("https://gerandofalcoes.my.salesforce.com/0014X00002Yggi2QAB", "0014X00002Yggi2QAB")</f>
        <v>0014X00002Yggi2QAB</v>
      </c>
      <c r="B744" s="2" t="s">
        <v>3152</v>
      </c>
      <c r="C744" s="2" t="s">
        <v>423</v>
      </c>
      <c r="D744" s="2" t="s">
        <v>2</v>
      </c>
      <c r="F744" s="2">
        <v>0</v>
      </c>
      <c r="G744" s="2">
        <v>2</v>
      </c>
      <c r="H744" s="2">
        <v>1200</v>
      </c>
      <c r="I744" s="2">
        <v>320</v>
      </c>
      <c r="K744" s="2">
        <v>26</v>
      </c>
      <c r="L744" s="2">
        <v>0</v>
      </c>
      <c r="M744" s="2">
        <v>0</v>
      </c>
      <c r="N744" s="2">
        <v>6</v>
      </c>
      <c r="O744" s="2">
        <v>5</v>
      </c>
      <c r="P744" s="2">
        <v>15</v>
      </c>
      <c r="Q744" s="2" t="s">
        <v>3153</v>
      </c>
      <c r="R744" s="2" t="s">
        <v>3153</v>
      </c>
      <c r="S744" s="4">
        <v>44950</v>
      </c>
    </row>
  </sheetData>
  <pageMargins left="0.511811024" right="0.511811024" top="0.78740157499999996" bottom="0.78740157499999996" header="0.31496062000000002" footer="0.31496062000000002"/>
  <pageSetup paperSize="9" orientation="portrait" verticalDpi="597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B0"/>
    <outlinePr summaryBelow="0" summaryRight="0"/>
  </sheetPr>
  <dimension ref="A1:Z592"/>
  <sheetViews>
    <sheetView workbookViewId="0">
      <pane ySplit="2" topLeftCell="A3" activePane="bottomLeft" state="frozen"/>
      <selection pane="bottomLeft" activeCell="B4" sqref="B4"/>
    </sheetView>
  </sheetViews>
  <sheetFormatPr defaultColWidth="12.6328125" defaultRowHeight="15.75" customHeight="1" x14ac:dyDescent="0.25"/>
  <cols>
    <col min="1" max="1" width="20.08984375" customWidth="1"/>
    <col min="2" max="2" width="37.6328125" customWidth="1"/>
    <col min="3" max="3" width="13.08984375" customWidth="1"/>
    <col min="4" max="4" width="16.08984375" customWidth="1"/>
    <col min="5" max="5" width="14.08984375" customWidth="1"/>
    <col min="6" max="6" width="17.08984375" customWidth="1"/>
    <col min="7" max="8" width="19.08984375" customWidth="1"/>
    <col min="9" max="9" width="14.08984375" customWidth="1"/>
    <col min="10" max="10" width="16.36328125" customWidth="1"/>
    <col min="11" max="11" width="11.08984375" customWidth="1"/>
    <col min="12" max="12" width="18.08984375" customWidth="1"/>
    <col min="13" max="13" width="21.08984375" customWidth="1"/>
    <col min="14" max="15" width="23.08984375" customWidth="1"/>
    <col min="16" max="16" width="18.08984375" customWidth="1"/>
    <col min="17" max="18" width="37.6328125" customWidth="1"/>
    <col min="19" max="19" width="30.08984375" customWidth="1"/>
  </cols>
  <sheetData>
    <row r="1" spans="1:26" ht="33.75" customHeight="1" x14ac:dyDescent="0.25">
      <c r="A1" s="17" t="s">
        <v>7201</v>
      </c>
      <c r="B1" s="17" t="s">
        <v>1632</v>
      </c>
      <c r="C1" s="17" t="s">
        <v>1632</v>
      </c>
      <c r="D1" s="17" t="s">
        <v>1632</v>
      </c>
      <c r="E1" s="17" t="s">
        <v>1632</v>
      </c>
      <c r="F1" s="17" t="s">
        <v>1632</v>
      </c>
      <c r="G1" s="17" t="s">
        <v>1632</v>
      </c>
      <c r="H1" s="17" t="s">
        <v>1632</v>
      </c>
      <c r="I1" s="17" t="s">
        <v>1632</v>
      </c>
      <c r="J1" s="17" t="s">
        <v>1632</v>
      </c>
      <c r="K1" s="17" t="s">
        <v>1632</v>
      </c>
      <c r="L1" s="17" t="s">
        <v>1632</v>
      </c>
      <c r="M1" s="17" t="s">
        <v>1632</v>
      </c>
      <c r="N1" s="17" t="s">
        <v>1632</v>
      </c>
      <c r="O1" s="17" t="s">
        <v>1632</v>
      </c>
      <c r="P1" s="17" t="s">
        <v>1632</v>
      </c>
      <c r="Q1" s="17" t="s">
        <v>1632</v>
      </c>
      <c r="R1" s="17" t="s">
        <v>1632</v>
      </c>
      <c r="S1" s="17" t="s">
        <v>1632</v>
      </c>
      <c r="T1" s="17"/>
      <c r="U1" s="17"/>
      <c r="V1" s="17"/>
      <c r="W1" s="17"/>
      <c r="X1" s="17"/>
      <c r="Y1" s="17"/>
      <c r="Z1" s="17"/>
    </row>
    <row r="2" spans="1:26" ht="22.5" customHeight="1" x14ac:dyDescent="0.25">
      <c r="A2" s="15" t="s">
        <v>1633</v>
      </c>
      <c r="B2" s="15" t="s">
        <v>1634</v>
      </c>
      <c r="C2" s="15" t="s">
        <v>1635</v>
      </c>
      <c r="D2" s="15" t="s">
        <v>0</v>
      </c>
      <c r="E2" s="15" t="s">
        <v>1636</v>
      </c>
      <c r="F2" s="15" t="s">
        <v>1637</v>
      </c>
      <c r="G2" s="15" t="s">
        <v>1638</v>
      </c>
      <c r="H2" s="15" t="s">
        <v>1639</v>
      </c>
      <c r="I2" s="15" t="s">
        <v>1640</v>
      </c>
      <c r="J2" s="15" t="s">
        <v>1625</v>
      </c>
      <c r="K2" s="15" t="s">
        <v>1641</v>
      </c>
      <c r="L2" s="15" t="s">
        <v>1642</v>
      </c>
      <c r="M2" s="15" t="s">
        <v>1643</v>
      </c>
      <c r="N2" s="15" t="s">
        <v>1644</v>
      </c>
      <c r="O2" s="15" t="s">
        <v>1645</v>
      </c>
      <c r="P2" s="15" t="s">
        <v>1646</v>
      </c>
      <c r="Q2" s="15" t="s">
        <v>1647</v>
      </c>
      <c r="R2" s="15" t="s">
        <v>387</v>
      </c>
      <c r="S2" s="15" t="s">
        <v>1648</v>
      </c>
      <c r="T2" s="16"/>
      <c r="U2" s="16"/>
      <c r="V2" s="16"/>
      <c r="W2" s="16"/>
      <c r="X2" s="16"/>
      <c r="Y2" s="16"/>
      <c r="Z2" s="16"/>
    </row>
    <row r="3" spans="1:26" ht="12.5" x14ac:dyDescent="0.25">
      <c r="A3" s="14" t="str">
        <f>HYPERLINK("https://gerandofalcoes.my.salesforce.com/0014X00002VKCsvQAH", "0014X00002VKCsvQAH")</f>
        <v>0014X00002VKCsvQAH</v>
      </c>
      <c r="B3" s="2" t="s">
        <v>2467</v>
      </c>
      <c r="C3" s="2" t="s">
        <v>423</v>
      </c>
      <c r="D3" s="2" t="s">
        <v>2</v>
      </c>
      <c r="E3" s="2">
        <v>23</v>
      </c>
      <c r="F3" s="2">
        <v>4</v>
      </c>
      <c r="G3" s="2">
        <v>2</v>
      </c>
      <c r="H3" s="2">
        <v>0</v>
      </c>
      <c r="I3" s="2">
        <v>0</v>
      </c>
      <c r="J3" s="2" t="s">
        <v>1779</v>
      </c>
      <c r="K3" s="2">
        <v>21</v>
      </c>
      <c r="L3" s="2">
        <v>10</v>
      </c>
      <c r="M3" s="2">
        <v>5</v>
      </c>
      <c r="N3" s="2">
        <v>6</v>
      </c>
      <c r="O3" s="2">
        <v>0</v>
      </c>
      <c r="P3" s="2">
        <v>0</v>
      </c>
      <c r="Q3" s="2" t="s">
        <v>2468</v>
      </c>
      <c r="R3" s="2" t="s">
        <v>2468</v>
      </c>
      <c r="S3" s="4">
        <v>44837</v>
      </c>
    </row>
    <row r="4" spans="1:26" ht="12.5" x14ac:dyDescent="0.25">
      <c r="A4" s="14" t="str">
        <f>HYPERLINK("https://gerandofalcoes.my.salesforce.com/0014P00003SGWPlQAP", "0014P00003SGWPlQAP")</f>
        <v>0014P00003SGWPlQAP</v>
      </c>
      <c r="B4" s="2" t="s">
        <v>311</v>
      </c>
      <c r="C4" s="2" t="s">
        <v>423</v>
      </c>
      <c r="D4" s="2" t="s">
        <v>2</v>
      </c>
      <c r="E4" s="2">
        <v>30</v>
      </c>
      <c r="F4" s="2">
        <v>0</v>
      </c>
      <c r="G4" s="2">
        <v>1</v>
      </c>
      <c r="H4" s="2">
        <v>20000</v>
      </c>
      <c r="I4" s="2">
        <v>180</v>
      </c>
      <c r="J4" s="2" t="s">
        <v>1779</v>
      </c>
      <c r="K4" s="2">
        <v>36</v>
      </c>
      <c r="L4" s="2">
        <v>15</v>
      </c>
      <c r="M4" s="2">
        <v>0</v>
      </c>
      <c r="N4" s="2">
        <v>4</v>
      </c>
      <c r="O4" s="2">
        <v>5</v>
      </c>
      <c r="P4" s="2">
        <v>12</v>
      </c>
      <c r="Q4" s="2" t="s">
        <v>312</v>
      </c>
      <c r="R4" s="2" t="s">
        <v>312</v>
      </c>
      <c r="S4" s="4">
        <v>44837</v>
      </c>
    </row>
    <row r="5" spans="1:26" ht="12.5" x14ac:dyDescent="0.25">
      <c r="A5" s="14" t="str">
        <f>HYPERLINK("https://gerandofalcoes.my.salesforce.com/0014P00003SGWPmQAP", "0014P00003SGWPmQAP")</f>
        <v>0014P00003SGWPmQAP</v>
      </c>
      <c r="B5" s="2" t="s">
        <v>315</v>
      </c>
      <c r="C5" s="2" t="s">
        <v>423</v>
      </c>
      <c r="D5" s="2" t="s">
        <v>2</v>
      </c>
      <c r="E5" s="2">
        <v>49</v>
      </c>
      <c r="F5" s="2">
        <v>2</v>
      </c>
      <c r="G5" s="2">
        <v>4</v>
      </c>
      <c r="H5" s="2">
        <v>20000</v>
      </c>
      <c r="I5" s="2">
        <v>37</v>
      </c>
      <c r="J5" s="2" t="s">
        <v>1779</v>
      </c>
      <c r="K5" s="2">
        <v>25</v>
      </c>
      <c r="L5" s="2">
        <v>0</v>
      </c>
      <c r="M5" s="2">
        <v>5</v>
      </c>
      <c r="N5" s="2">
        <v>10</v>
      </c>
      <c r="O5" s="2">
        <v>5</v>
      </c>
      <c r="P5" s="2">
        <v>5</v>
      </c>
      <c r="Q5" s="2" t="s">
        <v>316</v>
      </c>
      <c r="R5" s="2" t="s">
        <v>1370</v>
      </c>
      <c r="S5" s="4">
        <v>44837</v>
      </c>
    </row>
    <row r="6" spans="1:26" ht="12.5" x14ac:dyDescent="0.25">
      <c r="A6" s="14" t="str">
        <f>HYPERLINK("https://gerandofalcoes.my.salesforce.com/0014P00003SGWPnQAP", "0014P00003SGWPnQAP")</f>
        <v>0014P00003SGWPnQAP</v>
      </c>
      <c r="B6" s="2" t="s">
        <v>1745</v>
      </c>
      <c r="C6" s="2" t="s">
        <v>423</v>
      </c>
      <c r="D6" s="2" t="s">
        <v>2</v>
      </c>
      <c r="E6" s="2">
        <v>64</v>
      </c>
      <c r="F6" s="2">
        <v>20</v>
      </c>
      <c r="G6" s="2">
        <v>1</v>
      </c>
      <c r="H6" s="2">
        <v>400000</v>
      </c>
      <c r="I6" s="2">
        <v>180</v>
      </c>
      <c r="J6" s="2" t="s">
        <v>1650</v>
      </c>
      <c r="K6" s="2">
        <v>68</v>
      </c>
      <c r="L6" s="2">
        <v>20</v>
      </c>
      <c r="M6" s="2">
        <v>12</v>
      </c>
      <c r="N6" s="2">
        <v>4</v>
      </c>
      <c r="O6" s="2">
        <v>20</v>
      </c>
      <c r="P6" s="2">
        <v>12</v>
      </c>
      <c r="Q6" s="2" t="s">
        <v>319</v>
      </c>
      <c r="R6" s="2" t="s">
        <v>1379</v>
      </c>
      <c r="S6" s="4">
        <v>44837</v>
      </c>
    </row>
    <row r="7" spans="1:26" ht="12.5" x14ac:dyDescent="0.25">
      <c r="A7" s="14" t="str">
        <f>HYPERLINK("https://gerandofalcoes.my.salesforce.com/0014P00003SGWPoQAP", "0014P00003SGWPoQAP")</f>
        <v>0014P00003SGWPoQAP</v>
      </c>
      <c r="B7" s="2" t="s">
        <v>1705</v>
      </c>
      <c r="C7" s="2" t="s">
        <v>423</v>
      </c>
      <c r="D7" s="2" t="s">
        <v>27</v>
      </c>
      <c r="E7" s="2">
        <v>39</v>
      </c>
      <c r="F7" s="2">
        <v>0</v>
      </c>
      <c r="G7" s="2">
        <v>2</v>
      </c>
      <c r="H7" s="2">
        <v>1000</v>
      </c>
      <c r="I7" s="2">
        <v>120</v>
      </c>
      <c r="J7" s="2" t="s">
        <v>1779</v>
      </c>
      <c r="K7" s="2">
        <v>36</v>
      </c>
      <c r="L7" s="2">
        <v>15</v>
      </c>
      <c r="M7" s="2">
        <v>0</v>
      </c>
      <c r="N7" s="2">
        <v>6</v>
      </c>
      <c r="O7" s="2">
        <v>5</v>
      </c>
      <c r="P7" s="2">
        <v>10</v>
      </c>
      <c r="Q7" s="2" t="s">
        <v>321</v>
      </c>
      <c r="R7" s="2" t="s">
        <v>1706</v>
      </c>
      <c r="S7" s="4">
        <v>44837</v>
      </c>
    </row>
    <row r="8" spans="1:26" ht="12.5" x14ac:dyDescent="0.25">
      <c r="A8" s="14" t="str">
        <f>HYPERLINK("https://gerandofalcoes.my.salesforce.com/0014P00003SGWPpQAP", "0014P00003SGWPpQAP")</f>
        <v>0014P00003SGWPpQAP</v>
      </c>
      <c r="B8" s="2" t="s">
        <v>1694</v>
      </c>
      <c r="C8" s="2" t="s">
        <v>423</v>
      </c>
      <c r="D8" s="2" t="s">
        <v>27</v>
      </c>
      <c r="E8" s="2">
        <v>33</v>
      </c>
      <c r="F8" s="2">
        <v>1</v>
      </c>
      <c r="G8" s="2">
        <v>5</v>
      </c>
      <c r="H8" s="2">
        <v>36000</v>
      </c>
      <c r="I8" s="2">
        <v>80</v>
      </c>
      <c r="J8" s="2" t="s">
        <v>1671</v>
      </c>
      <c r="K8" s="2">
        <v>50</v>
      </c>
      <c r="L8" s="2">
        <v>15</v>
      </c>
      <c r="M8" s="2">
        <v>5</v>
      </c>
      <c r="N8" s="2">
        <v>10</v>
      </c>
      <c r="O8" s="2">
        <v>10</v>
      </c>
      <c r="P8" s="2">
        <v>10</v>
      </c>
      <c r="Q8" s="2" t="s">
        <v>323</v>
      </c>
      <c r="R8" s="2" t="s">
        <v>1402</v>
      </c>
      <c r="S8" s="4">
        <v>44837</v>
      </c>
    </row>
    <row r="9" spans="1:26" ht="12.5" x14ac:dyDescent="0.25">
      <c r="A9" s="14" t="str">
        <f>HYPERLINK("https://gerandofalcoes.my.salesforce.com/0014P00003SGWPqQAP", "0014P00003SGWPqQAP")</f>
        <v>0014P00003SGWPqQAP</v>
      </c>
      <c r="B9" s="2" t="s">
        <v>2835</v>
      </c>
      <c r="C9" s="2" t="s">
        <v>423</v>
      </c>
      <c r="D9" s="2" t="s">
        <v>2</v>
      </c>
      <c r="E9" s="2">
        <v>11</v>
      </c>
      <c r="F9" s="2">
        <v>2</v>
      </c>
      <c r="G9" s="2">
        <v>0</v>
      </c>
      <c r="H9" s="2">
        <v>140000</v>
      </c>
      <c r="I9" s="2">
        <v>200</v>
      </c>
      <c r="J9" s="2" t="s">
        <v>1671</v>
      </c>
      <c r="K9" s="2">
        <v>42</v>
      </c>
      <c r="L9" s="2">
        <v>10</v>
      </c>
      <c r="M9" s="2">
        <v>5</v>
      </c>
      <c r="N9" s="2">
        <v>0</v>
      </c>
      <c r="O9" s="2">
        <v>15</v>
      </c>
      <c r="P9" s="2">
        <v>12</v>
      </c>
      <c r="Q9" s="2" t="s">
        <v>327</v>
      </c>
      <c r="R9" s="2" t="s">
        <v>1409</v>
      </c>
      <c r="S9" s="4">
        <v>44837</v>
      </c>
    </row>
    <row r="10" spans="1:26" ht="12.5" x14ac:dyDescent="0.25">
      <c r="A10" s="14" t="str">
        <f>HYPERLINK("https://gerandofalcoes.my.salesforce.com/0014P00003SGWPrQAP", "0014P00003SGWPrQAP")</f>
        <v>0014P00003SGWPrQAP</v>
      </c>
      <c r="B10" s="2" t="s">
        <v>2774</v>
      </c>
      <c r="C10" s="2" t="s">
        <v>423</v>
      </c>
      <c r="D10" s="2" t="s">
        <v>2</v>
      </c>
      <c r="E10" s="2">
        <v>31</v>
      </c>
      <c r="F10" s="2">
        <v>0</v>
      </c>
      <c r="G10" s="2">
        <v>0</v>
      </c>
      <c r="H10" s="2">
        <v>50000</v>
      </c>
      <c r="I10" s="2">
        <v>130</v>
      </c>
      <c r="J10" s="2" t="s">
        <v>1779</v>
      </c>
      <c r="K10" s="2">
        <v>35</v>
      </c>
      <c r="L10" s="2">
        <v>15</v>
      </c>
      <c r="M10" s="2">
        <v>0</v>
      </c>
      <c r="N10" s="2">
        <v>0</v>
      </c>
      <c r="O10" s="2">
        <v>10</v>
      </c>
      <c r="P10" s="2">
        <v>10</v>
      </c>
      <c r="Q10" s="2" t="s">
        <v>329</v>
      </c>
      <c r="R10" s="2" t="s">
        <v>1419</v>
      </c>
      <c r="S10" s="4">
        <v>44837</v>
      </c>
    </row>
    <row r="11" spans="1:26" ht="12.5" x14ac:dyDescent="0.25">
      <c r="A11" s="14" t="str">
        <f>HYPERLINK("https://gerandofalcoes.my.salesforce.com/0014P00003SGWPsQAP", "0014P00003SGWPsQAP")</f>
        <v>0014P00003SGWPsQAP</v>
      </c>
      <c r="B11" s="2" t="s">
        <v>1663</v>
      </c>
      <c r="C11" s="2" t="s">
        <v>423</v>
      </c>
      <c r="D11" s="2" t="s">
        <v>27</v>
      </c>
      <c r="E11" s="2">
        <v>93</v>
      </c>
      <c r="F11" s="2">
        <v>49</v>
      </c>
      <c r="G11" s="2">
        <v>3</v>
      </c>
      <c r="H11" s="2">
        <v>1126099.1000000001</v>
      </c>
      <c r="I11" s="2">
        <v>390</v>
      </c>
      <c r="J11" s="2" t="s">
        <v>1654</v>
      </c>
      <c r="K11" s="2">
        <v>93</v>
      </c>
      <c r="L11" s="2">
        <v>30</v>
      </c>
      <c r="M11" s="2">
        <v>15</v>
      </c>
      <c r="N11" s="2">
        <v>8</v>
      </c>
      <c r="O11" s="2">
        <v>25</v>
      </c>
      <c r="P11" s="2">
        <v>15</v>
      </c>
      <c r="Q11" s="2" t="s">
        <v>332</v>
      </c>
      <c r="R11" s="2" t="s">
        <v>1429</v>
      </c>
      <c r="S11" s="4">
        <v>44837</v>
      </c>
    </row>
    <row r="12" spans="1:26" ht="12.5" x14ac:dyDescent="0.25">
      <c r="A12" s="14" t="str">
        <f>HYPERLINK("https://gerandofalcoes.my.salesforce.com/0014P00003SGWPtQAP", "0014P00003SGWPtQAP")</f>
        <v>0014P00003SGWPtQAP</v>
      </c>
      <c r="B12" s="2" t="s">
        <v>335</v>
      </c>
      <c r="C12" s="2" t="s">
        <v>423</v>
      </c>
      <c r="D12" s="2" t="s">
        <v>2</v>
      </c>
      <c r="E12" s="2">
        <v>24</v>
      </c>
      <c r="F12" s="2">
        <v>3</v>
      </c>
      <c r="G12" s="2">
        <v>0</v>
      </c>
      <c r="H12" s="2">
        <v>400000</v>
      </c>
      <c r="I12" s="2">
        <v>149</v>
      </c>
      <c r="J12" s="2" t="s">
        <v>1671</v>
      </c>
      <c r="K12" s="2">
        <v>45</v>
      </c>
      <c r="L12" s="2">
        <v>10</v>
      </c>
      <c r="M12" s="2">
        <v>5</v>
      </c>
      <c r="N12" s="2">
        <v>0</v>
      </c>
      <c r="O12" s="2">
        <v>20</v>
      </c>
      <c r="P12" s="2">
        <v>10</v>
      </c>
      <c r="Q12" s="2" t="s">
        <v>336</v>
      </c>
      <c r="R12" s="2" t="s">
        <v>336</v>
      </c>
      <c r="S12" s="4">
        <v>44837</v>
      </c>
    </row>
    <row r="13" spans="1:26" ht="12.5" x14ac:dyDescent="0.25">
      <c r="A13" s="14" t="str">
        <f>HYPERLINK("https://gerandofalcoes.my.salesforce.com/0014P00003SGWFqQAP", "0014P00003SGWFqQAP")</f>
        <v>0014P00003SGWFqQAP</v>
      </c>
      <c r="B13" s="2" t="s">
        <v>343</v>
      </c>
      <c r="C13" s="2" t="s">
        <v>423</v>
      </c>
      <c r="D13" s="2" t="s">
        <v>2</v>
      </c>
      <c r="E13" s="2">
        <v>67</v>
      </c>
      <c r="F13" s="2">
        <v>10</v>
      </c>
      <c r="G13" s="2">
        <v>4</v>
      </c>
      <c r="H13" s="2">
        <v>320000</v>
      </c>
      <c r="I13" s="2">
        <v>150</v>
      </c>
      <c r="J13" s="2" t="s">
        <v>1650</v>
      </c>
      <c r="K13" s="2">
        <v>72</v>
      </c>
      <c r="L13" s="2">
        <v>20</v>
      </c>
      <c r="M13" s="2">
        <v>10</v>
      </c>
      <c r="N13" s="2">
        <v>10</v>
      </c>
      <c r="O13" s="2">
        <v>20</v>
      </c>
      <c r="P13" s="2">
        <v>12</v>
      </c>
      <c r="Q13" s="2" t="s">
        <v>344</v>
      </c>
      <c r="R13" s="2" t="s">
        <v>1479</v>
      </c>
      <c r="S13" s="4">
        <v>44837</v>
      </c>
    </row>
    <row r="14" spans="1:26" ht="12.5" x14ac:dyDescent="0.25">
      <c r="A14" s="14" t="str">
        <f>HYPERLINK("https://gerandofalcoes.my.salesforce.com/0014P00003SGWPMQA5", "0014P00003SGWPMQA5")</f>
        <v>0014P00003SGWPMQA5</v>
      </c>
      <c r="B14" s="2" t="s">
        <v>347</v>
      </c>
      <c r="C14" s="2" t="s">
        <v>423</v>
      </c>
      <c r="D14" s="2" t="s">
        <v>2</v>
      </c>
      <c r="E14" s="2">
        <v>17</v>
      </c>
      <c r="F14" s="2">
        <v>0</v>
      </c>
      <c r="G14" s="2">
        <v>4</v>
      </c>
      <c r="H14" s="2">
        <v>0</v>
      </c>
      <c r="I14" s="2">
        <v>150</v>
      </c>
      <c r="J14" s="2" t="s">
        <v>1779</v>
      </c>
      <c r="K14" s="2">
        <v>32</v>
      </c>
      <c r="L14" s="2">
        <v>10</v>
      </c>
      <c r="M14" s="2">
        <v>0</v>
      </c>
      <c r="N14" s="2">
        <v>10</v>
      </c>
      <c r="O14" s="2">
        <v>0</v>
      </c>
      <c r="P14" s="2">
        <v>12</v>
      </c>
      <c r="Q14" s="2" t="s">
        <v>348</v>
      </c>
      <c r="R14" s="2" t="s">
        <v>1488</v>
      </c>
      <c r="S14" s="4">
        <v>44837</v>
      </c>
    </row>
    <row r="15" spans="1:26" ht="12.5" x14ac:dyDescent="0.25">
      <c r="A15" s="14" t="str">
        <f>HYPERLINK("https://gerandofalcoes.my.salesforce.com/0014P00003SGWFrQAP", "0014P00003SGWFrQAP")</f>
        <v>0014P00003SGWFrQAP</v>
      </c>
      <c r="B15" s="2" t="s">
        <v>350</v>
      </c>
      <c r="C15" s="2" t="s">
        <v>423</v>
      </c>
      <c r="D15" s="2" t="s">
        <v>2</v>
      </c>
      <c r="E15" s="2">
        <v>43</v>
      </c>
      <c r="F15" s="2">
        <v>7</v>
      </c>
      <c r="G15" s="2">
        <v>0</v>
      </c>
      <c r="H15" s="2">
        <v>290000</v>
      </c>
      <c r="I15" s="2">
        <v>123</v>
      </c>
      <c r="J15" s="2" t="s">
        <v>1671</v>
      </c>
      <c r="K15" s="2">
        <v>50</v>
      </c>
      <c r="L15" s="2">
        <v>15</v>
      </c>
      <c r="M15" s="2">
        <v>10</v>
      </c>
      <c r="N15" s="2">
        <v>0</v>
      </c>
      <c r="O15" s="2">
        <v>15</v>
      </c>
      <c r="P15" s="2">
        <v>10</v>
      </c>
      <c r="Q15" s="2" t="s">
        <v>351</v>
      </c>
      <c r="R15" s="2" t="s">
        <v>1499</v>
      </c>
      <c r="S15" s="4">
        <v>44837</v>
      </c>
    </row>
    <row r="16" spans="1:26" ht="12.5" x14ac:dyDescent="0.25">
      <c r="A16" s="14" t="str">
        <f>HYPERLINK("https://gerandofalcoes.my.salesforce.com/0014P00003SGWFsQAP", "0014P00003SGWFsQAP")</f>
        <v>0014P00003SGWFsQAP</v>
      </c>
      <c r="B16" s="2" t="s">
        <v>339</v>
      </c>
      <c r="C16" s="2" t="s">
        <v>423</v>
      </c>
      <c r="D16" s="2" t="s">
        <v>2</v>
      </c>
      <c r="E16" s="2">
        <v>33</v>
      </c>
      <c r="F16" s="2">
        <v>0</v>
      </c>
      <c r="G16" s="2">
        <v>0</v>
      </c>
      <c r="H16" s="2">
        <v>8000</v>
      </c>
      <c r="I16" s="2">
        <v>20</v>
      </c>
      <c r="J16" s="2" t="s">
        <v>1779</v>
      </c>
      <c r="K16" s="2">
        <v>25</v>
      </c>
      <c r="L16" s="2">
        <v>15</v>
      </c>
      <c r="M16" s="2">
        <v>0</v>
      </c>
      <c r="N16" s="2">
        <v>0</v>
      </c>
      <c r="O16" s="2">
        <v>5</v>
      </c>
      <c r="P16" s="2">
        <v>5</v>
      </c>
      <c r="Q16" s="2" t="s">
        <v>340</v>
      </c>
      <c r="R16" s="2" t="s">
        <v>340</v>
      </c>
      <c r="S16" s="4">
        <v>44837</v>
      </c>
    </row>
    <row r="17" spans="1:19" ht="12.5" x14ac:dyDescent="0.25">
      <c r="A17" s="14" t="str">
        <f>HYPERLINK("https://gerandofalcoes.my.salesforce.com/0014P00003SGWFtQAP", "0014P00003SGWFtQAP")</f>
        <v>0014P00003SGWFtQAP</v>
      </c>
      <c r="B17" s="2" t="s">
        <v>354</v>
      </c>
      <c r="C17" s="2" t="s">
        <v>423</v>
      </c>
      <c r="D17" s="2" t="s">
        <v>27</v>
      </c>
      <c r="E17" s="2">
        <v>85</v>
      </c>
      <c r="F17" s="2">
        <v>4</v>
      </c>
      <c r="G17" s="2">
        <v>1</v>
      </c>
      <c r="H17" s="2">
        <v>11500</v>
      </c>
      <c r="I17" s="2">
        <v>78</v>
      </c>
      <c r="J17" s="2" t="s">
        <v>1671</v>
      </c>
      <c r="K17" s="2">
        <v>44</v>
      </c>
      <c r="L17" s="2">
        <v>25</v>
      </c>
      <c r="M17" s="2">
        <v>5</v>
      </c>
      <c r="N17" s="2">
        <v>4</v>
      </c>
      <c r="O17" s="2">
        <v>5</v>
      </c>
      <c r="P17" s="2">
        <v>5</v>
      </c>
      <c r="Q17" s="2" t="s">
        <v>1692</v>
      </c>
      <c r="R17" s="2" t="s">
        <v>1449</v>
      </c>
      <c r="S17" s="4">
        <v>44837</v>
      </c>
    </row>
    <row r="18" spans="1:19" ht="12.5" x14ac:dyDescent="0.25">
      <c r="A18" s="14" t="str">
        <f>HYPERLINK("https://gerandofalcoes.my.salesforce.com/0014P00003YSp7WQAT", "0014P00003YSp7WQAT")</f>
        <v>0014P00003YSp7WQAT</v>
      </c>
      <c r="B18" s="2" t="s">
        <v>1782</v>
      </c>
      <c r="C18" s="2" t="s">
        <v>423</v>
      </c>
      <c r="D18" s="2" t="s">
        <v>2</v>
      </c>
      <c r="E18" s="2">
        <v>45</v>
      </c>
      <c r="F18" s="2">
        <v>11</v>
      </c>
      <c r="G18" s="2">
        <v>4</v>
      </c>
      <c r="H18" s="2">
        <v>728345</v>
      </c>
      <c r="I18" s="2">
        <v>147</v>
      </c>
      <c r="J18" s="2" t="s">
        <v>1650</v>
      </c>
      <c r="K18" s="2">
        <v>67</v>
      </c>
      <c r="L18" s="2">
        <v>15</v>
      </c>
      <c r="M18" s="2">
        <v>12</v>
      </c>
      <c r="N18" s="2">
        <v>10</v>
      </c>
      <c r="O18" s="2">
        <v>20</v>
      </c>
      <c r="P18" s="2">
        <v>10</v>
      </c>
      <c r="Q18" s="2" t="s">
        <v>1783</v>
      </c>
      <c r="R18" s="2" t="s">
        <v>1784</v>
      </c>
      <c r="S18" s="4">
        <v>44837</v>
      </c>
    </row>
    <row r="19" spans="1:19" ht="12.5" x14ac:dyDescent="0.25">
      <c r="A19" s="14" t="str">
        <f>HYPERLINK("https://gerandofalcoes.my.salesforce.com/0014P00003SGWPLQA5", "0014P00003SGWPLQA5")</f>
        <v>0014P00003SGWPLQA5</v>
      </c>
      <c r="B19" s="2" t="s">
        <v>356</v>
      </c>
      <c r="C19" s="2" t="s">
        <v>423</v>
      </c>
      <c r="D19" s="2" t="s">
        <v>2</v>
      </c>
      <c r="E19" s="2">
        <v>63</v>
      </c>
      <c r="F19" s="2">
        <v>0</v>
      </c>
      <c r="G19" s="2">
        <v>2</v>
      </c>
      <c r="H19" s="2">
        <v>21250</v>
      </c>
      <c r="I19" s="2">
        <v>15</v>
      </c>
      <c r="J19" s="2" t="s">
        <v>1779</v>
      </c>
      <c r="K19" s="2">
        <v>36</v>
      </c>
      <c r="L19" s="2">
        <v>20</v>
      </c>
      <c r="M19" s="2">
        <v>0</v>
      </c>
      <c r="N19" s="2">
        <v>6</v>
      </c>
      <c r="O19" s="2">
        <v>5</v>
      </c>
      <c r="P19" s="2">
        <v>5</v>
      </c>
      <c r="Q19" s="2" t="s">
        <v>357</v>
      </c>
      <c r="R19" s="2" t="s">
        <v>2314</v>
      </c>
      <c r="S19" s="4">
        <v>44837</v>
      </c>
    </row>
    <row r="20" spans="1:19" ht="12.5" x14ac:dyDescent="0.25">
      <c r="A20" s="14" t="str">
        <f>HYPERLINK("https://gerandofalcoes.my.salesforce.com/0014P00003SGWPNQA5", "0014P00003SGWPNQA5")</f>
        <v>0014P00003SGWPNQA5</v>
      </c>
      <c r="B20" s="2" t="s">
        <v>2998</v>
      </c>
      <c r="C20" s="2" t="s">
        <v>1684</v>
      </c>
      <c r="D20" s="2" t="s">
        <v>2</v>
      </c>
      <c r="F20" s="2">
        <v>0</v>
      </c>
      <c r="G20" s="2">
        <v>1</v>
      </c>
      <c r="H20" s="2">
        <v>6000</v>
      </c>
      <c r="I20" s="2">
        <v>0</v>
      </c>
      <c r="J20" s="2" t="s">
        <v>1779</v>
      </c>
      <c r="K20" s="2">
        <v>9</v>
      </c>
      <c r="L20" s="2">
        <v>0</v>
      </c>
      <c r="M20" s="2">
        <v>0</v>
      </c>
      <c r="N20" s="2">
        <v>4</v>
      </c>
      <c r="O20" s="2">
        <v>5</v>
      </c>
      <c r="P20" s="2">
        <v>0</v>
      </c>
      <c r="Q20" s="2" t="s">
        <v>359</v>
      </c>
      <c r="R20" s="2" t="s">
        <v>359</v>
      </c>
      <c r="S20" s="4">
        <v>44837</v>
      </c>
    </row>
    <row r="21" spans="1:19" ht="12.5" x14ac:dyDescent="0.25">
      <c r="A21" s="14" t="str">
        <f>HYPERLINK("https://gerandofalcoes.my.salesforce.com/0014P00003SGWPQQA5", "0014P00003SGWPQQA5")</f>
        <v>0014P00003SGWPQQA5</v>
      </c>
      <c r="B21" s="2" t="s">
        <v>363</v>
      </c>
      <c r="C21" s="2" t="s">
        <v>423</v>
      </c>
      <c r="D21" s="2" t="s">
        <v>27</v>
      </c>
      <c r="E21" s="2">
        <v>93</v>
      </c>
      <c r="F21" s="2">
        <v>32</v>
      </c>
      <c r="G21" s="2">
        <v>4</v>
      </c>
      <c r="H21" s="2">
        <v>1010730.87</v>
      </c>
      <c r="I21" s="2">
        <v>192</v>
      </c>
      <c r="J21" s="2" t="s">
        <v>1654</v>
      </c>
      <c r="K21" s="2">
        <v>92</v>
      </c>
      <c r="L21" s="2">
        <v>30</v>
      </c>
      <c r="M21" s="2">
        <v>15</v>
      </c>
      <c r="N21" s="2">
        <v>10</v>
      </c>
      <c r="O21" s="2">
        <v>25</v>
      </c>
      <c r="P21" s="2">
        <v>12</v>
      </c>
      <c r="Q21" s="2" t="s">
        <v>364</v>
      </c>
      <c r="R21" s="2" t="s">
        <v>1545</v>
      </c>
      <c r="S21" s="4">
        <v>44837</v>
      </c>
    </row>
    <row r="22" spans="1:19" ht="12.5" x14ac:dyDescent="0.25">
      <c r="A22" s="14" t="str">
        <f>HYPERLINK("https://gerandofalcoes.my.salesforce.com/0014P00003SGWPPQA5", "0014P00003SGWPPQA5")</f>
        <v>0014P00003SGWPPQA5</v>
      </c>
      <c r="B22" s="2" t="s">
        <v>1700</v>
      </c>
      <c r="C22" s="2" t="s">
        <v>423</v>
      </c>
      <c r="D22" s="2" t="s">
        <v>27</v>
      </c>
      <c r="E22" s="2">
        <v>60</v>
      </c>
      <c r="F22" s="2">
        <v>10</v>
      </c>
      <c r="G22" s="2">
        <v>2</v>
      </c>
      <c r="H22" s="2">
        <v>60000</v>
      </c>
      <c r="I22" s="2">
        <v>120</v>
      </c>
      <c r="J22" s="2" t="s">
        <v>1671</v>
      </c>
      <c r="K22" s="2">
        <v>56</v>
      </c>
      <c r="L22" s="2">
        <v>20</v>
      </c>
      <c r="M22" s="2">
        <v>10</v>
      </c>
      <c r="N22" s="2">
        <v>6</v>
      </c>
      <c r="O22" s="2">
        <v>10</v>
      </c>
      <c r="P22" s="2">
        <v>10</v>
      </c>
      <c r="Q22" s="2" t="s">
        <v>366</v>
      </c>
      <c r="R22" s="2" t="s">
        <v>1557</v>
      </c>
      <c r="S22" s="4">
        <v>44837</v>
      </c>
    </row>
    <row r="23" spans="1:19" ht="12.5" x14ac:dyDescent="0.25">
      <c r="A23" s="14" t="str">
        <f>HYPERLINK("https://gerandofalcoes.my.salesforce.com/0014P00003SGWPRQA5", "0014P00003SGWPRQA5")</f>
        <v>0014P00003SGWPRQA5</v>
      </c>
      <c r="B23" s="2" t="s">
        <v>367</v>
      </c>
      <c r="C23" s="2" t="s">
        <v>423</v>
      </c>
      <c r="D23" s="2" t="s">
        <v>2</v>
      </c>
      <c r="E23" s="2">
        <v>33</v>
      </c>
      <c r="F23" s="2">
        <v>4</v>
      </c>
      <c r="G23" s="2">
        <v>4</v>
      </c>
      <c r="H23" s="2">
        <v>70000</v>
      </c>
      <c r="I23" s="2">
        <v>150</v>
      </c>
      <c r="J23" s="2" t="s">
        <v>1671</v>
      </c>
      <c r="K23" s="2">
        <v>52</v>
      </c>
      <c r="L23" s="2">
        <v>15</v>
      </c>
      <c r="M23" s="2">
        <v>5</v>
      </c>
      <c r="N23" s="2">
        <v>10</v>
      </c>
      <c r="O23" s="2">
        <v>10</v>
      </c>
      <c r="P23" s="2">
        <v>12</v>
      </c>
      <c r="Q23" s="2" t="s">
        <v>369</v>
      </c>
      <c r="R23" s="2" t="s">
        <v>7191</v>
      </c>
      <c r="S23" s="4">
        <v>44837</v>
      </c>
    </row>
    <row r="24" spans="1:19" ht="12.5" x14ac:dyDescent="0.25">
      <c r="A24" s="14" t="str">
        <f>HYPERLINK("https://gerandofalcoes.my.salesforce.com/0014P00003SGWPSQA5", "0014P00003SGWPSQA5")</f>
        <v>0014P00003SGWPSQA5</v>
      </c>
      <c r="B24" s="2" t="s">
        <v>372</v>
      </c>
      <c r="C24" s="2" t="s">
        <v>423</v>
      </c>
      <c r="D24" s="2" t="s">
        <v>2</v>
      </c>
      <c r="E24" s="2">
        <v>57</v>
      </c>
      <c r="F24" s="2">
        <v>10</v>
      </c>
      <c r="G24" s="2">
        <v>5</v>
      </c>
      <c r="H24" s="2">
        <v>561000</v>
      </c>
      <c r="I24" s="2">
        <v>96</v>
      </c>
      <c r="J24" s="2" t="s">
        <v>1650</v>
      </c>
      <c r="K24" s="2">
        <v>70</v>
      </c>
      <c r="L24" s="2">
        <v>20</v>
      </c>
      <c r="M24" s="2">
        <v>10</v>
      </c>
      <c r="N24" s="2">
        <v>10</v>
      </c>
      <c r="O24" s="2">
        <v>20</v>
      </c>
      <c r="P24" s="2">
        <v>10</v>
      </c>
      <c r="Q24" s="2" t="s">
        <v>373</v>
      </c>
      <c r="R24" s="2" t="s">
        <v>373</v>
      </c>
      <c r="S24" s="4">
        <v>44837</v>
      </c>
    </row>
    <row r="25" spans="1:19" ht="12.5" x14ac:dyDescent="0.25">
      <c r="A25" s="14" t="str">
        <f>HYPERLINK("https://gerandofalcoes.my.salesforce.com/0014X00002OEuauQAD", "0014X00002OEuauQAD")</f>
        <v>0014X00002OEuauQAD</v>
      </c>
      <c r="B25" s="2" t="s">
        <v>2639</v>
      </c>
      <c r="C25" s="2" t="s">
        <v>423</v>
      </c>
      <c r="D25" s="2" t="s">
        <v>2</v>
      </c>
      <c r="E25" s="2">
        <v>18</v>
      </c>
      <c r="F25" s="2">
        <v>2</v>
      </c>
      <c r="G25" s="2">
        <v>2</v>
      </c>
      <c r="H25" s="2">
        <v>5000</v>
      </c>
      <c r="I25" s="2">
        <v>507</v>
      </c>
      <c r="J25" s="2" t="s">
        <v>1671</v>
      </c>
      <c r="K25" s="2">
        <v>46</v>
      </c>
      <c r="L25" s="2">
        <v>10</v>
      </c>
      <c r="M25" s="2">
        <v>5</v>
      </c>
      <c r="N25" s="2">
        <v>6</v>
      </c>
      <c r="O25" s="2">
        <v>5</v>
      </c>
      <c r="P25" s="2">
        <v>20</v>
      </c>
      <c r="Q25" s="2" t="s">
        <v>2640</v>
      </c>
      <c r="R25" s="2" t="s">
        <v>2641</v>
      </c>
      <c r="S25" s="4">
        <v>44837</v>
      </c>
    </row>
    <row r="26" spans="1:19" ht="12.5" x14ac:dyDescent="0.25">
      <c r="A26" s="14" t="str">
        <f>HYPERLINK("https://gerandofalcoes.my.salesforce.com/0014X00002OEualQAD", "0014X00002OEualQAD")</f>
        <v>0014X00002OEualQAD</v>
      </c>
      <c r="B26" s="2" t="s">
        <v>2220</v>
      </c>
      <c r="C26" s="2" t="s">
        <v>423</v>
      </c>
      <c r="D26" s="2" t="s">
        <v>2</v>
      </c>
      <c r="E26" s="2">
        <v>32</v>
      </c>
      <c r="F26" s="2">
        <v>2</v>
      </c>
      <c r="G26" s="2">
        <v>3</v>
      </c>
      <c r="H26" s="2">
        <v>40000</v>
      </c>
      <c r="I26" s="2">
        <v>80</v>
      </c>
      <c r="J26" s="2" t="s">
        <v>1671</v>
      </c>
      <c r="K26" s="2">
        <v>48</v>
      </c>
      <c r="L26" s="2">
        <v>15</v>
      </c>
      <c r="M26" s="2">
        <v>5</v>
      </c>
      <c r="N26" s="2">
        <v>8</v>
      </c>
      <c r="O26" s="2">
        <v>10</v>
      </c>
      <c r="P26" s="2">
        <v>10</v>
      </c>
      <c r="Q26" s="2" t="s">
        <v>2221</v>
      </c>
      <c r="R26" s="2" t="s">
        <v>2222</v>
      </c>
      <c r="S26" s="4">
        <v>44837</v>
      </c>
    </row>
    <row r="27" spans="1:19" ht="12.5" x14ac:dyDescent="0.25">
      <c r="A27" s="14" t="str">
        <f>HYPERLINK("https://gerandofalcoes.my.salesforce.com/0014X00002OEuamQAD", "0014X00002OEuamQAD")</f>
        <v>0014X00002OEuamQAD</v>
      </c>
      <c r="B27" s="2" t="s">
        <v>2612</v>
      </c>
      <c r="C27" s="2" t="s">
        <v>423</v>
      </c>
      <c r="D27" s="2" t="s">
        <v>2</v>
      </c>
      <c r="E27" s="2">
        <v>19</v>
      </c>
      <c r="F27" s="2">
        <v>0</v>
      </c>
      <c r="G27" s="2">
        <v>4</v>
      </c>
      <c r="H27" s="2">
        <v>7000</v>
      </c>
      <c r="I27" s="2">
        <v>0</v>
      </c>
      <c r="J27" s="2" t="s">
        <v>1779</v>
      </c>
      <c r="K27" s="2">
        <v>25</v>
      </c>
      <c r="L27" s="2">
        <v>10</v>
      </c>
      <c r="M27" s="2">
        <v>0</v>
      </c>
      <c r="N27" s="2">
        <v>10</v>
      </c>
      <c r="O27" s="2">
        <v>5</v>
      </c>
      <c r="P27" s="2">
        <v>0</v>
      </c>
      <c r="R27" s="2" t="s">
        <v>2613</v>
      </c>
      <c r="S27" s="4">
        <v>44837</v>
      </c>
    </row>
    <row r="28" spans="1:19" ht="12.5" x14ac:dyDescent="0.25">
      <c r="A28" s="14" t="str">
        <f>HYPERLINK("https://gerandofalcoes.my.salesforce.com/0014X00002OEuaoQAD", "0014X00002OEuaoQAD")</f>
        <v>0014X00002OEuaoQAD</v>
      </c>
      <c r="B28" s="2" t="s">
        <v>2749</v>
      </c>
      <c r="C28" s="2" t="s">
        <v>423</v>
      </c>
      <c r="D28" s="2" t="s">
        <v>2</v>
      </c>
      <c r="E28" s="2">
        <v>14</v>
      </c>
      <c r="F28" s="2">
        <v>0</v>
      </c>
      <c r="G28" s="2">
        <v>2</v>
      </c>
      <c r="H28" s="2">
        <v>0</v>
      </c>
      <c r="I28" s="2">
        <v>230</v>
      </c>
      <c r="J28" s="2" t="s">
        <v>1779</v>
      </c>
      <c r="K28" s="2">
        <v>28</v>
      </c>
      <c r="L28" s="2">
        <v>10</v>
      </c>
      <c r="M28" s="2">
        <v>0</v>
      </c>
      <c r="N28" s="2">
        <v>6</v>
      </c>
      <c r="O28" s="2">
        <v>0</v>
      </c>
      <c r="P28" s="2">
        <v>12</v>
      </c>
      <c r="Q28" s="2" t="s">
        <v>2750</v>
      </c>
      <c r="R28" s="2" t="s">
        <v>2751</v>
      </c>
      <c r="S28" s="4">
        <v>44837</v>
      </c>
    </row>
    <row r="29" spans="1:19" ht="12.5" x14ac:dyDescent="0.25">
      <c r="A29" s="14" t="str">
        <f>HYPERLINK("https://gerandofalcoes.my.salesforce.com/0014X00002OEuapQAD", "0014X00002OEuapQAD")</f>
        <v>0014X00002OEuapQAD</v>
      </c>
      <c r="B29" s="2" t="s">
        <v>2732</v>
      </c>
      <c r="C29" s="2" t="s">
        <v>1800</v>
      </c>
      <c r="D29" s="2" t="s">
        <v>2</v>
      </c>
      <c r="E29" s="2">
        <v>15</v>
      </c>
      <c r="F29" s="2">
        <v>0</v>
      </c>
      <c r="G29" s="2">
        <v>0</v>
      </c>
      <c r="H29" s="2">
        <v>0</v>
      </c>
      <c r="I29" s="2">
        <v>0</v>
      </c>
      <c r="J29" s="2" t="s">
        <v>1779</v>
      </c>
      <c r="K29" s="2">
        <v>10</v>
      </c>
      <c r="L29" s="2">
        <v>10</v>
      </c>
      <c r="M29" s="2">
        <v>0</v>
      </c>
      <c r="N29" s="2">
        <v>0</v>
      </c>
      <c r="O29" s="2">
        <v>0</v>
      </c>
      <c r="P29" s="2">
        <v>0</v>
      </c>
      <c r="R29" s="2" t="s">
        <v>2733</v>
      </c>
      <c r="S29" s="4">
        <v>44837</v>
      </c>
    </row>
    <row r="30" spans="1:19" ht="12.5" x14ac:dyDescent="0.25">
      <c r="A30" s="14" t="str">
        <f>HYPERLINK("https://gerandofalcoes.my.salesforce.com/0014X00002OEuaqQAD", "0014X00002OEuaqQAD")</f>
        <v>0014X00002OEuaqQAD</v>
      </c>
      <c r="B30" s="2" t="s">
        <v>2629</v>
      </c>
      <c r="C30" s="2" t="s">
        <v>423</v>
      </c>
      <c r="D30" s="2" t="s">
        <v>2</v>
      </c>
      <c r="E30" s="2">
        <v>18</v>
      </c>
      <c r="F30" s="2">
        <v>20</v>
      </c>
      <c r="G30" s="2">
        <v>2</v>
      </c>
      <c r="H30" s="2">
        <v>3000</v>
      </c>
      <c r="I30" s="2">
        <v>70</v>
      </c>
      <c r="J30" s="2" t="s">
        <v>1779</v>
      </c>
      <c r="K30" s="2">
        <v>38</v>
      </c>
      <c r="L30" s="2">
        <v>10</v>
      </c>
      <c r="M30" s="2">
        <v>12</v>
      </c>
      <c r="N30" s="2">
        <v>6</v>
      </c>
      <c r="O30" s="2">
        <v>5</v>
      </c>
      <c r="P30" s="2">
        <v>5</v>
      </c>
      <c r="Q30" s="2" t="s">
        <v>2630</v>
      </c>
      <c r="R30" s="2" t="s">
        <v>2631</v>
      </c>
      <c r="S30" s="4">
        <v>44837</v>
      </c>
    </row>
    <row r="31" spans="1:19" ht="12.5" x14ac:dyDescent="0.25">
      <c r="A31" s="14" t="str">
        <f>HYPERLINK("https://gerandofalcoes.my.salesforce.com/0014X00002OEuasQAD", "0014X00002OEuasQAD")</f>
        <v>0014X00002OEuasQAD</v>
      </c>
      <c r="B31" s="2" t="s">
        <v>2420</v>
      </c>
      <c r="C31" s="2" t="s">
        <v>423</v>
      </c>
      <c r="D31" s="2" t="s">
        <v>2</v>
      </c>
      <c r="E31" s="2">
        <v>25</v>
      </c>
      <c r="F31" s="2">
        <v>0</v>
      </c>
      <c r="G31" s="2">
        <v>4</v>
      </c>
      <c r="H31" s="2">
        <v>20000</v>
      </c>
      <c r="I31" s="2">
        <v>300</v>
      </c>
      <c r="J31" s="2" t="s">
        <v>1671</v>
      </c>
      <c r="K31" s="2">
        <v>45</v>
      </c>
      <c r="L31" s="2">
        <v>15</v>
      </c>
      <c r="M31" s="2">
        <v>0</v>
      </c>
      <c r="N31" s="2">
        <v>10</v>
      </c>
      <c r="O31" s="2">
        <v>5</v>
      </c>
      <c r="P31" s="2">
        <v>15</v>
      </c>
      <c r="Q31" s="2" t="s">
        <v>2421</v>
      </c>
      <c r="R31" s="2" t="s">
        <v>2422</v>
      </c>
      <c r="S31" s="4">
        <v>44837</v>
      </c>
    </row>
    <row r="32" spans="1:19" ht="12.5" x14ac:dyDescent="0.25">
      <c r="A32" s="14" t="str">
        <f>HYPERLINK("https://gerandofalcoes.my.salesforce.com/0014X00002OEuawQAD", "0014X00002OEuawQAD")</f>
        <v>0014X00002OEuawQAD</v>
      </c>
      <c r="B32" s="2" t="s">
        <v>1995</v>
      </c>
      <c r="C32" s="2" t="s">
        <v>423</v>
      </c>
      <c r="D32" s="2" t="s">
        <v>2</v>
      </c>
      <c r="E32" s="2">
        <v>39</v>
      </c>
      <c r="F32" s="2">
        <v>13</v>
      </c>
      <c r="G32" s="2">
        <v>3</v>
      </c>
      <c r="H32" s="2">
        <v>120000</v>
      </c>
      <c r="I32" s="2">
        <v>130</v>
      </c>
      <c r="J32" s="2" t="s">
        <v>1671</v>
      </c>
      <c r="K32" s="2">
        <v>60</v>
      </c>
      <c r="L32" s="2">
        <v>15</v>
      </c>
      <c r="M32" s="2">
        <v>12</v>
      </c>
      <c r="N32" s="2">
        <v>8</v>
      </c>
      <c r="O32" s="2">
        <v>15</v>
      </c>
      <c r="P32" s="2">
        <v>10</v>
      </c>
      <c r="Q32" s="2" t="s">
        <v>1996</v>
      </c>
      <c r="R32" s="2" t="s">
        <v>1997</v>
      </c>
      <c r="S32" s="4">
        <v>44837</v>
      </c>
    </row>
    <row r="33" spans="1:19" ht="12.5" x14ac:dyDescent="0.25">
      <c r="A33" s="14" t="str">
        <f>HYPERLINK("https://gerandofalcoes.my.salesforce.com/0014X00002OFqnrQAD", "0014X00002OFqnrQAD")</f>
        <v>0014X00002OFqnrQAD</v>
      </c>
      <c r="B33" s="2" t="s">
        <v>1791</v>
      </c>
      <c r="C33" s="2" t="s">
        <v>1684</v>
      </c>
      <c r="D33" s="2" t="s">
        <v>27</v>
      </c>
      <c r="E33" s="2">
        <v>56</v>
      </c>
      <c r="F33" s="2">
        <v>0</v>
      </c>
      <c r="G33" s="2">
        <v>0</v>
      </c>
      <c r="H33" s="2">
        <v>0</v>
      </c>
      <c r="I33" s="2">
        <v>0</v>
      </c>
      <c r="J33" s="2" t="s">
        <v>1779</v>
      </c>
      <c r="K33" s="2">
        <v>20</v>
      </c>
      <c r="L33" s="2">
        <v>20</v>
      </c>
      <c r="M33" s="2">
        <v>0</v>
      </c>
      <c r="N33" s="2">
        <v>0</v>
      </c>
      <c r="O33" s="2">
        <v>0</v>
      </c>
      <c r="P33" s="2">
        <v>0</v>
      </c>
      <c r="S33" s="4">
        <v>44837</v>
      </c>
    </row>
    <row r="34" spans="1:19" ht="12.5" x14ac:dyDescent="0.25">
      <c r="A34" s="14" t="str">
        <f>HYPERLINK("https://gerandofalcoes.my.salesforce.com/0014X00002QTWXtQAP", "0014X00002QTWXtQAP")</f>
        <v>0014X00002QTWXtQAP</v>
      </c>
      <c r="B34" s="2" t="s">
        <v>7176</v>
      </c>
      <c r="C34" s="2" t="s">
        <v>423</v>
      </c>
      <c r="D34" s="2" t="s">
        <v>2</v>
      </c>
      <c r="E34" s="2">
        <v>35</v>
      </c>
      <c r="F34" s="2">
        <v>0</v>
      </c>
      <c r="G34" s="2">
        <v>6</v>
      </c>
      <c r="H34" s="2">
        <v>148600</v>
      </c>
      <c r="I34" s="2">
        <v>526</v>
      </c>
      <c r="J34" s="2" t="s">
        <v>1671</v>
      </c>
      <c r="K34" s="2">
        <v>60</v>
      </c>
      <c r="L34" s="2">
        <v>15</v>
      </c>
      <c r="M34" s="2">
        <v>0</v>
      </c>
      <c r="N34" s="2">
        <v>10</v>
      </c>
      <c r="O34" s="2">
        <v>15</v>
      </c>
      <c r="P34" s="2">
        <v>20</v>
      </c>
      <c r="Q34" s="2" t="s">
        <v>7177</v>
      </c>
      <c r="R34" s="2" t="s">
        <v>3814</v>
      </c>
      <c r="S34" s="4">
        <v>44837</v>
      </c>
    </row>
    <row r="35" spans="1:19" ht="12.5" x14ac:dyDescent="0.25">
      <c r="A35" s="14" t="str">
        <f>HYPERLINK("https://gerandofalcoes.my.salesforce.com/0014X00002QTWZVQA5", "0014X00002QTWZVQA5")</f>
        <v>0014X00002QTWZVQA5</v>
      </c>
      <c r="B35" s="2" t="s">
        <v>2662</v>
      </c>
      <c r="C35" s="2" t="s">
        <v>423</v>
      </c>
      <c r="D35" s="2" t="s">
        <v>2</v>
      </c>
      <c r="E35" s="2">
        <v>17</v>
      </c>
      <c r="F35" s="2">
        <v>4</v>
      </c>
      <c r="G35" s="2">
        <v>3</v>
      </c>
      <c r="H35" s="2">
        <v>69000</v>
      </c>
      <c r="I35" s="2">
        <v>35</v>
      </c>
      <c r="J35" s="2" t="s">
        <v>1779</v>
      </c>
      <c r="K35" s="2">
        <v>38</v>
      </c>
      <c r="L35" s="2">
        <v>10</v>
      </c>
      <c r="M35" s="2">
        <v>5</v>
      </c>
      <c r="N35" s="2">
        <v>8</v>
      </c>
      <c r="O35" s="2">
        <v>10</v>
      </c>
      <c r="P35" s="2">
        <v>5</v>
      </c>
      <c r="Q35" s="2" t="s">
        <v>2663</v>
      </c>
      <c r="R35" s="2" t="s">
        <v>2664</v>
      </c>
      <c r="S35" s="4">
        <v>44837</v>
      </c>
    </row>
    <row r="36" spans="1:19" ht="12.5" x14ac:dyDescent="0.25">
      <c r="A36" s="14" t="str">
        <f>HYPERLINK("https://gerandofalcoes.my.salesforce.com/0014X00002PUOTvQAP", "0014X00002PUOTvQAP")</f>
        <v>0014X00002PUOTvQAP</v>
      </c>
      <c r="B36" s="2" t="s">
        <v>1883</v>
      </c>
      <c r="C36" s="2" t="s">
        <v>423</v>
      </c>
      <c r="D36" s="2" t="s">
        <v>2</v>
      </c>
      <c r="E36" s="2">
        <v>44</v>
      </c>
      <c r="F36" s="2">
        <v>3</v>
      </c>
      <c r="G36" s="2">
        <v>1</v>
      </c>
      <c r="H36" s="2">
        <v>150000</v>
      </c>
      <c r="I36" s="2">
        <v>800</v>
      </c>
      <c r="J36" s="2" t="s">
        <v>1671</v>
      </c>
      <c r="K36" s="2">
        <v>59</v>
      </c>
      <c r="L36" s="2">
        <v>15</v>
      </c>
      <c r="M36" s="2">
        <v>5</v>
      </c>
      <c r="N36" s="2">
        <v>4</v>
      </c>
      <c r="O36" s="2">
        <v>15</v>
      </c>
      <c r="P36" s="2">
        <v>20</v>
      </c>
      <c r="Q36" s="2" t="s">
        <v>1884</v>
      </c>
      <c r="R36" s="2" t="s">
        <v>424</v>
      </c>
      <c r="S36" s="4">
        <v>44837</v>
      </c>
    </row>
    <row r="37" spans="1:19" ht="12.5" x14ac:dyDescent="0.25">
      <c r="A37" s="14" t="str">
        <f>HYPERLINK("https://gerandofalcoes.my.salesforce.com/0014X00002PUOaDQAX", "0014X00002PUOaDQAX")</f>
        <v>0014X00002PUOaDQAX</v>
      </c>
      <c r="B37" s="2" t="s">
        <v>1767</v>
      </c>
      <c r="C37" s="2" t="s">
        <v>423</v>
      </c>
      <c r="D37" s="2" t="s">
        <v>2</v>
      </c>
      <c r="E37" s="2">
        <v>80</v>
      </c>
      <c r="F37" s="2">
        <v>11</v>
      </c>
      <c r="G37" s="2">
        <v>5</v>
      </c>
      <c r="H37" s="2">
        <v>354463</v>
      </c>
      <c r="I37" s="2">
        <v>52</v>
      </c>
      <c r="J37" s="2" t="s">
        <v>1650</v>
      </c>
      <c r="K37" s="2">
        <v>72</v>
      </c>
      <c r="L37" s="2">
        <v>25</v>
      </c>
      <c r="M37" s="2">
        <v>12</v>
      </c>
      <c r="N37" s="2">
        <v>10</v>
      </c>
      <c r="O37" s="2">
        <v>20</v>
      </c>
      <c r="P37" s="2">
        <v>5</v>
      </c>
      <c r="R37" s="2" t="s">
        <v>439</v>
      </c>
      <c r="S37" s="4">
        <v>44837</v>
      </c>
    </row>
    <row r="38" spans="1:19" ht="12.5" x14ac:dyDescent="0.25">
      <c r="A38" s="14" t="str">
        <f>HYPERLINK("https://gerandofalcoes.my.salesforce.com/0014X00002PUOUaQAP", "0014X00002PUOUaQAP")</f>
        <v>0014X00002PUOUaQAP</v>
      </c>
      <c r="B38" s="2" t="s">
        <v>8</v>
      </c>
      <c r="C38" s="2" t="s">
        <v>423</v>
      </c>
      <c r="D38" s="2" t="s">
        <v>2</v>
      </c>
      <c r="E38" s="2">
        <v>29</v>
      </c>
      <c r="F38" s="2">
        <v>2</v>
      </c>
      <c r="G38" s="2">
        <v>2</v>
      </c>
      <c r="H38" s="2">
        <v>20000</v>
      </c>
      <c r="I38" s="2">
        <v>102</v>
      </c>
      <c r="J38" s="2" t="s">
        <v>1671</v>
      </c>
      <c r="K38" s="2">
        <v>41</v>
      </c>
      <c r="L38" s="2">
        <v>15</v>
      </c>
      <c r="M38" s="2">
        <v>5</v>
      </c>
      <c r="N38" s="2">
        <v>6</v>
      </c>
      <c r="O38" s="2">
        <v>5</v>
      </c>
      <c r="P38" s="2">
        <v>10</v>
      </c>
      <c r="R38" s="2" t="s">
        <v>2252</v>
      </c>
      <c r="S38" s="4">
        <v>44837</v>
      </c>
    </row>
    <row r="39" spans="1:19" ht="12.5" x14ac:dyDescent="0.25">
      <c r="A39" s="14" t="str">
        <f>HYPERLINK("https://gerandofalcoes.my.salesforce.com/0014X00002PUObkQAH", "0014X00002PUObkQAH")</f>
        <v>0014X00002PUObkQAH</v>
      </c>
      <c r="B39" s="2" t="s">
        <v>2065</v>
      </c>
      <c r="C39" s="2" t="s">
        <v>423</v>
      </c>
      <c r="D39" s="2" t="s">
        <v>2</v>
      </c>
      <c r="E39" s="2">
        <v>39</v>
      </c>
      <c r="F39" s="2">
        <v>0</v>
      </c>
      <c r="G39" s="2">
        <v>6</v>
      </c>
      <c r="H39" s="2">
        <v>10000</v>
      </c>
      <c r="I39" s="2">
        <v>237</v>
      </c>
      <c r="J39" s="2" t="s">
        <v>1671</v>
      </c>
      <c r="K39" s="2">
        <v>42</v>
      </c>
      <c r="L39" s="2">
        <v>15</v>
      </c>
      <c r="M39" s="2">
        <v>0</v>
      </c>
      <c r="N39" s="2">
        <v>10</v>
      </c>
      <c r="O39" s="2">
        <v>5</v>
      </c>
      <c r="P39" s="2">
        <v>12</v>
      </c>
      <c r="Q39" s="2" t="s">
        <v>2066</v>
      </c>
      <c r="R39" s="2" t="s">
        <v>477</v>
      </c>
      <c r="S39" s="4">
        <v>44837</v>
      </c>
    </row>
    <row r="40" spans="1:19" ht="12.5" x14ac:dyDescent="0.25">
      <c r="A40" s="14" t="str">
        <f>HYPERLINK("https://gerandofalcoes.my.salesforce.com/0014X00002PUOdWQAX", "0014X00002PUOdWQAX")</f>
        <v>0014X00002PUOdWQAX</v>
      </c>
      <c r="B40" s="2" t="s">
        <v>22</v>
      </c>
      <c r="C40" s="2" t="s">
        <v>423</v>
      </c>
      <c r="D40" s="2" t="s">
        <v>2</v>
      </c>
      <c r="E40" s="2">
        <v>29</v>
      </c>
      <c r="F40" s="2">
        <v>10</v>
      </c>
      <c r="G40" s="2">
        <v>0</v>
      </c>
      <c r="H40" s="2">
        <v>1000</v>
      </c>
      <c r="I40" s="2">
        <v>95</v>
      </c>
      <c r="J40" s="2" t="s">
        <v>1671</v>
      </c>
      <c r="K40" s="2">
        <v>40</v>
      </c>
      <c r="L40" s="2">
        <v>15</v>
      </c>
      <c r="M40" s="2">
        <v>10</v>
      </c>
      <c r="N40" s="2">
        <v>0</v>
      </c>
      <c r="O40" s="2">
        <v>5</v>
      </c>
      <c r="P40" s="2">
        <v>10</v>
      </c>
      <c r="Q40" s="2" t="s">
        <v>485</v>
      </c>
      <c r="R40" s="2" t="s">
        <v>485</v>
      </c>
      <c r="S40" s="4">
        <v>44837</v>
      </c>
    </row>
    <row r="41" spans="1:19" ht="12.5" x14ac:dyDescent="0.25">
      <c r="A41" s="14" t="str">
        <f>HYPERLINK("https://gerandofalcoes.my.salesforce.com/0014P00003YSp7OQAT", "0014P00003YSp7OQAT")</f>
        <v>0014P00003YSp7OQAT</v>
      </c>
      <c r="B41" s="2" t="s">
        <v>2694</v>
      </c>
      <c r="C41" s="2" t="s">
        <v>423</v>
      </c>
      <c r="D41" s="2" t="s">
        <v>2</v>
      </c>
      <c r="E41" s="2">
        <v>22</v>
      </c>
      <c r="F41" s="2">
        <v>5</v>
      </c>
      <c r="G41" s="2">
        <v>3</v>
      </c>
      <c r="H41" s="2">
        <v>20000</v>
      </c>
      <c r="I41" s="2">
        <v>200</v>
      </c>
      <c r="J41" s="2" t="s">
        <v>1671</v>
      </c>
      <c r="K41" s="2">
        <v>40</v>
      </c>
      <c r="L41" s="2">
        <v>10</v>
      </c>
      <c r="M41" s="2">
        <v>5</v>
      </c>
      <c r="N41" s="2">
        <v>8</v>
      </c>
      <c r="O41" s="2">
        <v>5</v>
      </c>
      <c r="P41" s="2">
        <v>12</v>
      </c>
      <c r="Q41" s="2" t="s">
        <v>2695</v>
      </c>
      <c r="R41" s="2" t="s">
        <v>2696</v>
      </c>
      <c r="S41" s="4">
        <v>44837</v>
      </c>
    </row>
    <row r="42" spans="1:19" ht="12.5" x14ac:dyDescent="0.25">
      <c r="A42" s="14" t="str">
        <f>HYPERLINK("https://gerandofalcoes.my.salesforce.com/0014P00003YSp7PQAT", "0014P00003YSp7PQAT")</f>
        <v>0014P00003YSp7PQAT</v>
      </c>
      <c r="B42" s="2" t="s">
        <v>1807</v>
      </c>
      <c r="C42" s="2" t="s">
        <v>423</v>
      </c>
      <c r="D42" s="2" t="s">
        <v>2</v>
      </c>
      <c r="E42" s="2">
        <v>41</v>
      </c>
      <c r="F42" s="2">
        <v>5</v>
      </c>
      <c r="G42" s="2">
        <v>3</v>
      </c>
      <c r="H42" s="2">
        <v>326724</v>
      </c>
      <c r="I42" s="2">
        <v>56</v>
      </c>
      <c r="J42" s="2" t="s">
        <v>1671</v>
      </c>
      <c r="K42" s="2">
        <v>53</v>
      </c>
      <c r="L42" s="2">
        <v>15</v>
      </c>
      <c r="M42" s="2">
        <v>5</v>
      </c>
      <c r="N42" s="2">
        <v>8</v>
      </c>
      <c r="O42" s="2">
        <v>20</v>
      </c>
      <c r="P42" s="2">
        <v>5</v>
      </c>
      <c r="Q42" s="2" t="s">
        <v>1808</v>
      </c>
      <c r="R42" s="2" t="s">
        <v>1809</v>
      </c>
      <c r="S42" s="4">
        <v>44837</v>
      </c>
    </row>
    <row r="43" spans="1:19" ht="12.5" x14ac:dyDescent="0.25">
      <c r="A43" s="14" t="str">
        <f>HYPERLINK("https://gerandofalcoes.my.salesforce.com/0014P00003YSp7RQAT", "0014P00003YSp7RQAT")</f>
        <v>0014P00003YSp7RQAT</v>
      </c>
      <c r="B43" s="2" t="s">
        <v>2272</v>
      </c>
      <c r="C43" s="2" t="s">
        <v>423</v>
      </c>
      <c r="D43" s="2" t="s">
        <v>2</v>
      </c>
      <c r="E43" s="2">
        <v>30</v>
      </c>
      <c r="F43" s="2">
        <v>1</v>
      </c>
      <c r="G43" s="2">
        <v>2</v>
      </c>
      <c r="H43" s="2">
        <v>25000</v>
      </c>
      <c r="I43" s="2">
        <v>110</v>
      </c>
      <c r="J43" s="2" t="s">
        <v>1671</v>
      </c>
      <c r="K43" s="2">
        <v>46</v>
      </c>
      <c r="L43" s="2">
        <v>15</v>
      </c>
      <c r="M43" s="2">
        <v>5</v>
      </c>
      <c r="N43" s="2">
        <v>6</v>
      </c>
      <c r="O43" s="2">
        <v>10</v>
      </c>
      <c r="P43" s="2">
        <v>10</v>
      </c>
      <c r="Q43" s="2" t="s">
        <v>2273</v>
      </c>
      <c r="R43" s="2" t="s">
        <v>2274</v>
      </c>
      <c r="S43" s="4">
        <v>44837</v>
      </c>
    </row>
    <row r="44" spans="1:19" ht="12.5" x14ac:dyDescent="0.25">
      <c r="A44" s="14" t="str">
        <f>HYPERLINK("https://gerandofalcoes.my.salesforce.com/0014P00003YSp7SQAT", "0014P00003YSp7SQAT")</f>
        <v>0014P00003YSp7SQAT</v>
      </c>
      <c r="B44" s="2" t="s">
        <v>2619</v>
      </c>
      <c r="C44" s="2" t="s">
        <v>423</v>
      </c>
      <c r="D44" s="2" t="s">
        <v>2</v>
      </c>
      <c r="E44" s="2">
        <v>25</v>
      </c>
      <c r="F44" s="2">
        <v>0</v>
      </c>
      <c r="G44" s="2">
        <v>2</v>
      </c>
      <c r="H44" s="2">
        <v>40000</v>
      </c>
      <c r="I44" s="2">
        <v>600</v>
      </c>
      <c r="J44" s="2" t="s">
        <v>1671</v>
      </c>
      <c r="K44" s="2">
        <v>51</v>
      </c>
      <c r="L44" s="2">
        <v>15</v>
      </c>
      <c r="M44" s="2">
        <v>0</v>
      </c>
      <c r="N44" s="2">
        <v>6</v>
      </c>
      <c r="O44" s="2">
        <v>10</v>
      </c>
      <c r="P44" s="2">
        <v>20</v>
      </c>
      <c r="Q44" s="2" t="s">
        <v>2620</v>
      </c>
      <c r="R44" s="2" t="s">
        <v>2621</v>
      </c>
      <c r="S44" s="4">
        <v>44837</v>
      </c>
    </row>
    <row r="45" spans="1:19" ht="12.5" x14ac:dyDescent="0.25">
      <c r="A45" s="14" t="str">
        <f>HYPERLINK("https://gerandofalcoes.my.salesforce.com/0014P00003YSp7TQAT", "0014P00003YSp7TQAT")</f>
        <v>0014P00003YSp7TQAT</v>
      </c>
      <c r="B45" s="2" t="s">
        <v>2614</v>
      </c>
      <c r="C45" s="2" t="s">
        <v>1800</v>
      </c>
      <c r="D45" s="2" t="s">
        <v>2</v>
      </c>
      <c r="E45" s="2">
        <v>19</v>
      </c>
      <c r="F45" s="2">
        <v>0</v>
      </c>
      <c r="G45" s="2">
        <v>0</v>
      </c>
      <c r="H45" s="2">
        <v>0</v>
      </c>
      <c r="I45" s="2">
        <v>0</v>
      </c>
      <c r="J45" s="2" t="s">
        <v>1779</v>
      </c>
      <c r="K45" s="2">
        <v>10</v>
      </c>
      <c r="L45" s="2">
        <v>10</v>
      </c>
      <c r="M45" s="2">
        <v>0</v>
      </c>
      <c r="N45" s="2">
        <v>0</v>
      </c>
      <c r="O45" s="2">
        <v>0</v>
      </c>
      <c r="P45" s="2">
        <v>0</v>
      </c>
      <c r="Q45" s="2" t="s">
        <v>2615</v>
      </c>
      <c r="R45" s="2" t="s">
        <v>2615</v>
      </c>
      <c r="S45" s="4">
        <v>44837</v>
      </c>
    </row>
    <row r="46" spans="1:19" ht="12.5" x14ac:dyDescent="0.25">
      <c r="A46" s="14" t="str">
        <f>HYPERLINK("https://gerandofalcoes.my.salesforce.com/0014P00003YSp7UQAT", "0014P00003YSp7UQAT")</f>
        <v>0014P00003YSp7UQAT</v>
      </c>
      <c r="B46" s="2" t="s">
        <v>2098</v>
      </c>
      <c r="C46" s="2" t="s">
        <v>423</v>
      </c>
      <c r="D46" s="2" t="s">
        <v>2</v>
      </c>
      <c r="E46" s="2">
        <v>35</v>
      </c>
      <c r="F46" s="2">
        <v>3</v>
      </c>
      <c r="G46" s="2">
        <v>0</v>
      </c>
      <c r="H46" s="2">
        <v>11000</v>
      </c>
      <c r="I46" s="2">
        <v>200</v>
      </c>
      <c r="J46" s="2" t="s">
        <v>1779</v>
      </c>
      <c r="K46" s="2">
        <v>37</v>
      </c>
      <c r="L46" s="2">
        <v>15</v>
      </c>
      <c r="M46" s="2">
        <v>5</v>
      </c>
      <c r="N46" s="2">
        <v>0</v>
      </c>
      <c r="O46" s="2">
        <v>5</v>
      </c>
      <c r="P46" s="2">
        <v>12</v>
      </c>
      <c r="Q46" s="2" t="s">
        <v>2099</v>
      </c>
      <c r="R46" s="2" t="s">
        <v>2099</v>
      </c>
      <c r="S46" s="4">
        <v>44837</v>
      </c>
    </row>
    <row r="47" spans="1:19" ht="12.5" x14ac:dyDescent="0.25">
      <c r="A47" s="14" t="str">
        <f>HYPERLINK("https://gerandofalcoes.my.salesforce.com/0014P00003YSp7VQAT", "0014P00003YSp7VQAT")</f>
        <v>0014P00003YSp7VQAT</v>
      </c>
      <c r="B47" s="2" t="s">
        <v>2546</v>
      </c>
      <c r="C47" s="2" t="s">
        <v>423</v>
      </c>
      <c r="D47" s="2" t="s">
        <v>2</v>
      </c>
      <c r="E47" s="2">
        <v>18</v>
      </c>
      <c r="F47" s="2">
        <v>0</v>
      </c>
      <c r="G47" s="2">
        <v>2</v>
      </c>
      <c r="H47" s="2">
        <v>3000</v>
      </c>
      <c r="I47" s="2">
        <v>120</v>
      </c>
      <c r="J47" s="2" t="s">
        <v>1779</v>
      </c>
      <c r="K47" s="2">
        <v>31</v>
      </c>
      <c r="L47" s="2">
        <v>10</v>
      </c>
      <c r="M47" s="2">
        <v>0</v>
      </c>
      <c r="N47" s="2">
        <v>6</v>
      </c>
      <c r="O47" s="2">
        <v>5</v>
      </c>
      <c r="P47" s="2">
        <v>10</v>
      </c>
      <c r="Q47" s="2" t="s">
        <v>2547</v>
      </c>
      <c r="R47" s="2" t="s">
        <v>2548</v>
      </c>
      <c r="S47" s="4">
        <v>44837</v>
      </c>
    </row>
    <row r="48" spans="1:19" ht="12.5" x14ac:dyDescent="0.25">
      <c r="A48" s="14" t="str">
        <f>HYPERLINK("https://gerandofalcoes.my.salesforce.com/0014P00003YSp7XQAT", "0014P00003YSp7XQAT")</f>
        <v>0014P00003YSp7XQAT</v>
      </c>
      <c r="B48" s="2" t="s">
        <v>2511</v>
      </c>
      <c r="C48" s="2" t="s">
        <v>423</v>
      </c>
      <c r="D48" s="2" t="s">
        <v>2</v>
      </c>
      <c r="E48" s="2">
        <v>21</v>
      </c>
      <c r="F48" s="2">
        <v>0</v>
      </c>
      <c r="G48" s="2">
        <v>3</v>
      </c>
      <c r="H48" s="2">
        <v>8200</v>
      </c>
      <c r="I48" s="2">
        <v>109</v>
      </c>
      <c r="J48" s="2" t="s">
        <v>1779</v>
      </c>
      <c r="K48" s="2">
        <v>33</v>
      </c>
      <c r="L48" s="2">
        <v>10</v>
      </c>
      <c r="M48" s="2">
        <v>0</v>
      </c>
      <c r="N48" s="2">
        <v>8</v>
      </c>
      <c r="O48" s="2">
        <v>5</v>
      </c>
      <c r="P48" s="2">
        <v>10</v>
      </c>
      <c r="Q48" s="2" t="s">
        <v>2512</v>
      </c>
      <c r="R48" s="2" t="s">
        <v>2513</v>
      </c>
      <c r="S48" s="4">
        <v>44837</v>
      </c>
    </row>
    <row r="49" spans="1:19" ht="12.5" x14ac:dyDescent="0.25">
      <c r="A49" s="14" t="str">
        <f>HYPERLINK("https://gerandofalcoes.my.salesforce.com/0014P00003YSp7YQAT", "0014P00003YSp7YQAT")</f>
        <v>0014P00003YSp7YQAT</v>
      </c>
      <c r="B49" s="2" t="s">
        <v>2001</v>
      </c>
      <c r="C49" s="2" t="s">
        <v>1684</v>
      </c>
      <c r="D49" s="2" t="s">
        <v>2</v>
      </c>
      <c r="E49" s="2">
        <v>39</v>
      </c>
      <c r="F49" s="2">
        <v>1</v>
      </c>
      <c r="G49" s="2">
        <v>0</v>
      </c>
      <c r="H49" s="2">
        <v>0</v>
      </c>
      <c r="I49" s="2">
        <v>0</v>
      </c>
      <c r="J49" s="2" t="s">
        <v>1779</v>
      </c>
      <c r="K49" s="2">
        <v>20</v>
      </c>
      <c r="L49" s="2">
        <v>15</v>
      </c>
      <c r="M49" s="2">
        <v>5</v>
      </c>
      <c r="N49" s="2">
        <v>0</v>
      </c>
      <c r="O49" s="2">
        <v>0</v>
      </c>
      <c r="P49" s="2">
        <v>0</v>
      </c>
      <c r="Q49" s="2" t="s">
        <v>2002</v>
      </c>
      <c r="R49" s="2" t="s">
        <v>2003</v>
      </c>
      <c r="S49" s="4">
        <v>44837</v>
      </c>
    </row>
    <row r="50" spans="1:19" ht="12.5" x14ac:dyDescent="0.25">
      <c r="A50" s="14" t="str">
        <f>HYPERLINK("https://gerandofalcoes.my.salesforce.com/0014X00002VKCuvQAH", "0014X00002VKCuvQAH")</f>
        <v>0014X00002VKCuvQAH</v>
      </c>
      <c r="B50" s="2" t="s">
        <v>1924</v>
      </c>
      <c r="C50" s="2" t="s">
        <v>423</v>
      </c>
      <c r="D50" s="2" t="s">
        <v>2</v>
      </c>
      <c r="E50" s="2">
        <v>42</v>
      </c>
      <c r="F50" s="2">
        <v>44</v>
      </c>
      <c r="G50" s="2">
        <v>6</v>
      </c>
      <c r="H50" s="2">
        <v>900000</v>
      </c>
      <c r="I50" s="2">
        <v>460</v>
      </c>
      <c r="J50" s="2" t="s">
        <v>1654</v>
      </c>
      <c r="K50" s="2">
        <v>85</v>
      </c>
      <c r="L50" s="2">
        <v>15</v>
      </c>
      <c r="M50" s="2">
        <v>15</v>
      </c>
      <c r="N50" s="2">
        <v>10</v>
      </c>
      <c r="O50" s="2">
        <v>25</v>
      </c>
      <c r="P50" s="2">
        <v>20</v>
      </c>
      <c r="Q50" s="2" t="s">
        <v>1925</v>
      </c>
      <c r="R50" s="2" t="s">
        <v>1926</v>
      </c>
      <c r="S50" s="4">
        <v>44837</v>
      </c>
    </row>
    <row r="51" spans="1:19" ht="12.5" x14ac:dyDescent="0.25">
      <c r="A51" s="14" t="str">
        <f>HYPERLINK("https://gerandofalcoes.my.salesforce.com/0014X00002VKCpIQAX", "0014X00002VKCpIQAX")</f>
        <v>0014X00002VKCpIQAX</v>
      </c>
      <c r="B51" s="2" t="s">
        <v>2523</v>
      </c>
      <c r="C51" s="2" t="s">
        <v>423</v>
      </c>
      <c r="D51" s="2" t="s">
        <v>2</v>
      </c>
      <c r="E51" s="2">
        <v>21</v>
      </c>
      <c r="F51" s="2">
        <v>0</v>
      </c>
      <c r="G51" s="2">
        <v>4</v>
      </c>
      <c r="H51" s="2">
        <v>300</v>
      </c>
      <c r="I51" s="2">
        <v>50</v>
      </c>
      <c r="J51" s="2" t="s">
        <v>1779</v>
      </c>
      <c r="K51" s="2">
        <v>30</v>
      </c>
      <c r="L51" s="2">
        <v>10</v>
      </c>
      <c r="M51" s="2">
        <v>0</v>
      </c>
      <c r="N51" s="2">
        <v>10</v>
      </c>
      <c r="O51" s="2">
        <v>5</v>
      </c>
      <c r="P51" s="2">
        <v>5</v>
      </c>
      <c r="Q51" s="2" t="s">
        <v>2524</v>
      </c>
      <c r="R51" s="2" t="s">
        <v>2525</v>
      </c>
      <c r="S51" s="4">
        <v>44837</v>
      </c>
    </row>
    <row r="52" spans="1:19" ht="12.5" x14ac:dyDescent="0.25">
      <c r="A52" s="14" t="str">
        <f>HYPERLINK("https://gerandofalcoes.my.salesforce.com/0014X00002VKCqHQAX", "0014X00002VKCqHQAX")</f>
        <v>0014X00002VKCqHQAX</v>
      </c>
      <c r="B52" s="2" t="s">
        <v>1829</v>
      </c>
      <c r="C52" s="2" t="s">
        <v>423</v>
      </c>
      <c r="D52" s="2" t="s">
        <v>2</v>
      </c>
      <c r="E52" s="2">
        <v>50</v>
      </c>
      <c r="F52" s="2">
        <v>0</v>
      </c>
      <c r="G52" s="2">
        <v>5</v>
      </c>
      <c r="H52" s="2">
        <v>521000</v>
      </c>
      <c r="I52" s="2">
        <v>352</v>
      </c>
      <c r="J52" s="2" t="s">
        <v>1650</v>
      </c>
      <c r="K52" s="2">
        <v>65</v>
      </c>
      <c r="L52" s="2">
        <v>20</v>
      </c>
      <c r="M52" s="2">
        <v>0</v>
      </c>
      <c r="N52" s="2">
        <v>10</v>
      </c>
      <c r="O52" s="2">
        <v>20</v>
      </c>
      <c r="P52" s="2">
        <v>15</v>
      </c>
      <c r="Q52" s="2" t="s">
        <v>1830</v>
      </c>
      <c r="R52" s="2" t="s">
        <v>1831</v>
      </c>
      <c r="S52" s="4">
        <v>44837</v>
      </c>
    </row>
    <row r="53" spans="1:19" ht="12.5" x14ac:dyDescent="0.25">
      <c r="A53" s="14" t="str">
        <f>HYPERLINK("https://gerandofalcoes.my.salesforce.com/0014X00002VKCqZQAX", "0014X00002VKCqZQAX")</f>
        <v>0014X00002VKCqZQAX</v>
      </c>
      <c r="B53" s="2" t="s">
        <v>2315</v>
      </c>
      <c r="C53" s="2" t="s">
        <v>423</v>
      </c>
      <c r="D53" s="2" t="s">
        <v>2</v>
      </c>
      <c r="E53" s="2">
        <v>38</v>
      </c>
      <c r="F53" s="2">
        <v>0</v>
      </c>
      <c r="G53" s="2">
        <v>2</v>
      </c>
      <c r="H53" s="2">
        <v>10000</v>
      </c>
      <c r="I53" s="2">
        <v>40</v>
      </c>
      <c r="J53" s="2" t="s">
        <v>1779</v>
      </c>
      <c r="K53" s="2">
        <v>31</v>
      </c>
      <c r="L53" s="2">
        <v>15</v>
      </c>
      <c r="M53" s="2">
        <v>0</v>
      </c>
      <c r="N53" s="2">
        <v>6</v>
      </c>
      <c r="O53" s="2">
        <v>5</v>
      </c>
      <c r="P53" s="2">
        <v>5</v>
      </c>
      <c r="Q53" s="2" t="s">
        <v>2316</v>
      </c>
      <c r="R53" s="2" t="s">
        <v>2316</v>
      </c>
      <c r="S53" s="4">
        <v>44837</v>
      </c>
    </row>
    <row r="54" spans="1:19" ht="12.5" x14ac:dyDescent="0.25">
      <c r="A54" s="14" t="str">
        <f>HYPERLINK("https://gerandofalcoes.my.salesforce.com/0014X00002VKCuBQAX", "0014X00002VKCuBQAX")</f>
        <v>0014X00002VKCuBQAX</v>
      </c>
      <c r="B54" s="2" t="s">
        <v>2038</v>
      </c>
      <c r="C54" s="2" t="s">
        <v>423</v>
      </c>
      <c r="D54" s="2" t="s">
        <v>2</v>
      </c>
      <c r="E54" s="2">
        <v>37</v>
      </c>
      <c r="F54" s="2">
        <v>0</v>
      </c>
      <c r="G54" s="2">
        <v>2</v>
      </c>
      <c r="H54" s="2">
        <v>10000</v>
      </c>
      <c r="I54" s="2">
        <v>102</v>
      </c>
      <c r="J54" s="2" t="s">
        <v>1779</v>
      </c>
      <c r="K54" s="2">
        <v>36</v>
      </c>
      <c r="L54" s="2">
        <v>15</v>
      </c>
      <c r="M54" s="2">
        <v>0</v>
      </c>
      <c r="N54" s="2">
        <v>6</v>
      </c>
      <c r="O54" s="2">
        <v>5</v>
      </c>
      <c r="P54" s="2">
        <v>10</v>
      </c>
      <c r="Q54" s="2" t="s">
        <v>2039</v>
      </c>
      <c r="R54" s="2" t="s">
        <v>2039</v>
      </c>
      <c r="S54" s="4">
        <v>44837</v>
      </c>
    </row>
    <row r="55" spans="1:19" ht="12.5" x14ac:dyDescent="0.25">
      <c r="A55" s="14" t="str">
        <f>HYPERLINK("https://gerandofalcoes.my.salesforce.com/0014X00002VKCuKQAX", "0014X00002VKCuKQAX")</f>
        <v>0014X00002VKCuKQAX</v>
      </c>
      <c r="B55" s="2" t="s">
        <v>1879</v>
      </c>
      <c r="C55" s="2" t="s">
        <v>423</v>
      </c>
      <c r="D55" s="2" t="s">
        <v>2</v>
      </c>
      <c r="E55" s="2">
        <v>40</v>
      </c>
      <c r="F55" s="2">
        <v>2</v>
      </c>
      <c r="G55" s="2">
        <v>3</v>
      </c>
      <c r="H55" s="2">
        <v>5000</v>
      </c>
      <c r="I55" s="2">
        <v>20</v>
      </c>
      <c r="J55" s="2" t="s">
        <v>1779</v>
      </c>
      <c r="K55" s="2">
        <v>38</v>
      </c>
      <c r="L55" s="2">
        <v>15</v>
      </c>
      <c r="M55" s="2">
        <v>5</v>
      </c>
      <c r="N55" s="2">
        <v>8</v>
      </c>
      <c r="O55" s="2">
        <v>5</v>
      </c>
      <c r="P55" s="2">
        <v>5</v>
      </c>
      <c r="Q55" s="2" t="s">
        <v>1880</v>
      </c>
      <c r="R55" s="2" t="s">
        <v>1880</v>
      </c>
      <c r="S55" s="4">
        <v>44837</v>
      </c>
    </row>
    <row r="56" spans="1:19" ht="12.5" x14ac:dyDescent="0.25">
      <c r="A56" s="14" t="str">
        <f>HYPERLINK("https://gerandofalcoes.my.salesforce.com/0014X00002VKCptQAH", "0014X00002VKCptQAH")</f>
        <v>0014X00002VKCptQAH</v>
      </c>
      <c r="B56" s="2" t="s">
        <v>2230</v>
      </c>
      <c r="C56" s="2" t="s">
        <v>423</v>
      </c>
      <c r="D56" s="2" t="s">
        <v>2</v>
      </c>
      <c r="E56" s="2">
        <v>40</v>
      </c>
      <c r="F56" s="2">
        <v>8</v>
      </c>
      <c r="G56" s="2">
        <v>2</v>
      </c>
      <c r="H56" s="2">
        <v>127272</v>
      </c>
      <c r="I56" s="2">
        <v>0</v>
      </c>
      <c r="J56" s="2" t="s">
        <v>1671</v>
      </c>
      <c r="K56" s="2">
        <v>46</v>
      </c>
      <c r="L56" s="2">
        <v>15</v>
      </c>
      <c r="M56" s="2">
        <v>10</v>
      </c>
      <c r="N56" s="2">
        <v>6</v>
      </c>
      <c r="O56" s="2">
        <v>15</v>
      </c>
      <c r="P56" s="2">
        <v>0</v>
      </c>
      <c r="Q56" s="2" t="s">
        <v>2231</v>
      </c>
      <c r="R56" s="2" t="s">
        <v>2232</v>
      </c>
      <c r="S56" s="4">
        <v>44837</v>
      </c>
    </row>
    <row r="57" spans="1:19" ht="12.5" x14ac:dyDescent="0.25">
      <c r="A57" s="14" t="str">
        <f>HYPERLINK("https://gerandofalcoes.my.salesforce.com/0014X00002VKCowQAH", "0014X00002VKCowQAH")</f>
        <v>0014X00002VKCowQAH</v>
      </c>
      <c r="B57" s="2" t="s">
        <v>2549</v>
      </c>
      <c r="C57" s="2" t="s">
        <v>423</v>
      </c>
      <c r="D57" s="2" t="s">
        <v>2</v>
      </c>
      <c r="E57" s="2">
        <v>27</v>
      </c>
      <c r="F57" s="2">
        <v>0</v>
      </c>
      <c r="G57" s="2">
        <v>3</v>
      </c>
      <c r="H57" s="2">
        <v>0</v>
      </c>
      <c r="I57" s="2">
        <v>40</v>
      </c>
      <c r="J57" s="2" t="s">
        <v>1779</v>
      </c>
      <c r="K57" s="2">
        <v>28</v>
      </c>
      <c r="L57" s="2">
        <v>15</v>
      </c>
      <c r="M57" s="2">
        <v>0</v>
      </c>
      <c r="N57" s="2">
        <v>8</v>
      </c>
      <c r="O57" s="2">
        <v>0</v>
      </c>
      <c r="P57" s="2">
        <v>5</v>
      </c>
      <c r="Q57" s="2" t="s">
        <v>2550</v>
      </c>
      <c r="R57" s="2" t="s">
        <v>2550</v>
      </c>
      <c r="S57" s="4">
        <v>44837</v>
      </c>
    </row>
    <row r="58" spans="1:19" ht="12.5" x14ac:dyDescent="0.25">
      <c r="A58" s="14" t="str">
        <f>HYPERLINK("https://gerandofalcoes.my.salesforce.com/0014X00002VKCsYQAX", "0014X00002VKCsYQAX")</f>
        <v>0014X00002VKCsYQAX</v>
      </c>
      <c r="B58" s="2" t="s">
        <v>2413</v>
      </c>
      <c r="C58" s="2" t="s">
        <v>423</v>
      </c>
      <c r="D58" s="2" t="s">
        <v>2</v>
      </c>
      <c r="E58" s="2">
        <v>25</v>
      </c>
      <c r="F58" s="2">
        <v>0</v>
      </c>
      <c r="G58" s="2">
        <v>1</v>
      </c>
      <c r="H58" s="2">
        <v>0</v>
      </c>
      <c r="I58" s="2">
        <v>0</v>
      </c>
      <c r="J58" s="2" t="s">
        <v>1779</v>
      </c>
      <c r="K58" s="2">
        <v>19</v>
      </c>
      <c r="L58" s="2">
        <v>15</v>
      </c>
      <c r="M58" s="2">
        <v>0</v>
      </c>
      <c r="N58" s="2">
        <v>4</v>
      </c>
      <c r="O58" s="2">
        <v>0</v>
      </c>
      <c r="P58" s="2">
        <v>0</v>
      </c>
      <c r="Q58" s="2" t="s">
        <v>2414</v>
      </c>
      <c r="R58" s="2" t="s">
        <v>2414</v>
      </c>
      <c r="S58" s="4">
        <v>44837</v>
      </c>
    </row>
    <row r="59" spans="1:19" ht="12.5" x14ac:dyDescent="0.25">
      <c r="A59" s="14" t="str">
        <f>HYPERLINK("https://gerandofalcoes.my.salesforce.com/0014X00002VKCusQAH", "0014X00002VKCusQAH")</f>
        <v>0014X00002VKCusQAH</v>
      </c>
      <c r="B59" s="2" t="s">
        <v>1946</v>
      </c>
      <c r="C59" s="2" t="s">
        <v>423</v>
      </c>
      <c r="D59" s="2" t="s">
        <v>2</v>
      </c>
      <c r="E59" s="2">
        <v>41</v>
      </c>
      <c r="F59" s="2">
        <v>0</v>
      </c>
      <c r="G59" s="2">
        <v>2</v>
      </c>
      <c r="H59" s="2">
        <v>3000</v>
      </c>
      <c r="I59" s="2">
        <v>137</v>
      </c>
      <c r="J59" s="2" t="s">
        <v>1779</v>
      </c>
      <c r="K59" s="2">
        <v>36</v>
      </c>
      <c r="L59" s="2">
        <v>15</v>
      </c>
      <c r="M59" s="2">
        <v>0</v>
      </c>
      <c r="N59" s="2">
        <v>6</v>
      </c>
      <c r="O59" s="2">
        <v>5</v>
      </c>
      <c r="P59" s="2">
        <v>10</v>
      </c>
      <c r="Q59" s="2" t="s">
        <v>1947</v>
      </c>
      <c r="R59" s="2" t="s">
        <v>1948</v>
      </c>
      <c r="S59" s="4">
        <v>44837</v>
      </c>
    </row>
    <row r="60" spans="1:19" ht="12.5" x14ac:dyDescent="0.25">
      <c r="A60" s="14" t="str">
        <f>HYPERLINK("https://gerandofalcoes.my.salesforce.com/0014X00002VKCpnQAH", "0014X00002VKCpnQAH")</f>
        <v>0014X00002VKCpnQAH</v>
      </c>
      <c r="B60" s="2" t="s">
        <v>2965</v>
      </c>
      <c r="C60" s="2" t="s">
        <v>423</v>
      </c>
      <c r="D60" s="2" t="s">
        <v>2</v>
      </c>
      <c r="E60" s="2">
        <v>13</v>
      </c>
      <c r="F60" s="2">
        <v>0</v>
      </c>
      <c r="G60" s="2">
        <v>2</v>
      </c>
      <c r="H60" s="2">
        <v>10000</v>
      </c>
      <c r="I60" s="2">
        <v>0</v>
      </c>
      <c r="J60" s="2" t="s">
        <v>1779</v>
      </c>
      <c r="K60" s="2">
        <v>21</v>
      </c>
      <c r="L60" s="2">
        <v>10</v>
      </c>
      <c r="M60" s="2">
        <v>0</v>
      </c>
      <c r="N60" s="2">
        <v>6</v>
      </c>
      <c r="O60" s="2">
        <v>5</v>
      </c>
      <c r="P60" s="2">
        <v>0</v>
      </c>
      <c r="Q60" s="2" t="s">
        <v>2966</v>
      </c>
      <c r="R60" s="2" t="s">
        <v>2966</v>
      </c>
      <c r="S60" s="4">
        <v>44837</v>
      </c>
    </row>
    <row r="61" spans="1:19" ht="12.5" x14ac:dyDescent="0.25">
      <c r="A61" s="14" t="str">
        <f>HYPERLINK("https://gerandofalcoes.my.salesforce.com/0014X00002VKCqQQAX", "0014X00002VKCqQQAX")</f>
        <v>0014X00002VKCqQQAX</v>
      </c>
      <c r="B61" s="2" t="s">
        <v>2952</v>
      </c>
      <c r="C61" s="2" t="s">
        <v>423</v>
      </c>
      <c r="D61" s="2" t="s">
        <v>2</v>
      </c>
      <c r="E61" s="2">
        <v>17</v>
      </c>
      <c r="F61" s="2">
        <v>0</v>
      </c>
      <c r="G61" s="2">
        <v>2</v>
      </c>
      <c r="H61" s="2">
        <v>0</v>
      </c>
      <c r="I61" s="2">
        <v>20</v>
      </c>
      <c r="J61" s="2" t="s">
        <v>1779</v>
      </c>
      <c r="K61" s="2">
        <v>21</v>
      </c>
      <c r="L61" s="2">
        <v>10</v>
      </c>
      <c r="M61" s="2">
        <v>0</v>
      </c>
      <c r="N61" s="2">
        <v>6</v>
      </c>
      <c r="O61" s="2">
        <v>0</v>
      </c>
      <c r="P61" s="2">
        <v>5</v>
      </c>
      <c r="Q61" s="2" t="s">
        <v>2953</v>
      </c>
      <c r="R61" s="2" t="s">
        <v>2954</v>
      </c>
      <c r="S61" s="4">
        <v>44837</v>
      </c>
    </row>
    <row r="62" spans="1:19" ht="12.5" x14ac:dyDescent="0.25">
      <c r="A62" s="14" t="str">
        <f>HYPERLINK("https://gerandofalcoes.my.salesforce.com/0014X00002VKCqfQAH", "0014X00002VKCqfQAH")</f>
        <v>0014X00002VKCqfQAH</v>
      </c>
      <c r="B62" s="2" t="s">
        <v>1998</v>
      </c>
      <c r="C62" s="2" t="s">
        <v>423</v>
      </c>
      <c r="D62" s="2" t="s">
        <v>2</v>
      </c>
      <c r="E62" s="2">
        <v>39</v>
      </c>
      <c r="F62" s="2">
        <v>0</v>
      </c>
      <c r="G62" s="2">
        <v>2</v>
      </c>
      <c r="H62" s="2">
        <v>14000</v>
      </c>
      <c r="I62" s="2">
        <v>0</v>
      </c>
      <c r="J62" s="2" t="s">
        <v>1779</v>
      </c>
      <c r="K62" s="2">
        <v>26</v>
      </c>
      <c r="L62" s="2">
        <v>15</v>
      </c>
      <c r="M62" s="2">
        <v>0</v>
      </c>
      <c r="N62" s="2">
        <v>6</v>
      </c>
      <c r="O62" s="2">
        <v>5</v>
      </c>
      <c r="P62" s="2">
        <v>0</v>
      </c>
      <c r="Q62" s="2" t="s">
        <v>1999</v>
      </c>
      <c r="R62" s="2" t="s">
        <v>2000</v>
      </c>
      <c r="S62" s="4">
        <v>44837</v>
      </c>
    </row>
    <row r="63" spans="1:19" ht="12.5" x14ac:dyDescent="0.25">
      <c r="A63" s="14" t="str">
        <f>HYPERLINK("https://gerandofalcoes.my.salesforce.com/0014X00002VKCsWQAX", "0014X00002VKCsWQAX")</f>
        <v>0014X00002VKCsWQAX</v>
      </c>
      <c r="B63" s="2" t="s">
        <v>2211</v>
      </c>
      <c r="C63" s="2" t="s">
        <v>423</v>
      </c>
      <c r="D63" s="2" t="s">
        <v>2</v>
      </c>
      <c r="E63" s="2">
        <v>32</v>
      </c>
      <c r="F63" s="2">
        <v>3</v>
      </c>
      <c r="G63" s="2">
        <v>2</v>
      </c>
      <c r="H63" s="2">
        <v>1000</v>
      </c>
      <c r="I63" s="2">
        <v>1200</v>
      </c>
      <c r="J63" s="2" t="s">
        <v>1671</v>
      </c>
      <c r="K63" s="2">
        <v>51</v>
      </c>
      <c r="L63" s="2">
        <v>15</v>
      </c>
      <c r="M63" s="2">
        <v>5</v>
      </c>
      <c r="N63" s="2">
        <v>6</v>
      </c>
      <c r="O63" s="2">
        <v>5</v>
      </c>
      <c r="P63" s="2">
        <v>20</v>
      </c>
      <c r="Q63" s="2" t="s">
        <v>7184</v>
      </c>
      <c r="R63" s="2" t="s">
        <v>2213</v>
      </c>
      <c r="S63" s="4">
        <v>44837</v>
      </c>
    </row>
    <row r="64" spans="1:19" ht="12.5" x14ac:dyDescent="0.25">
      <c r="A64" s="14" t="str">
        <f>HYPERLINK("https://gerandofalcoes.my.salesforce.com/0014X00002VKCrNQAX", "0014X00002VKCrNQAX")</f>
        <v>0014X00002VKCrNQAX</v>
      </c>
      <c r="B64" s="2" t="s">
        <v>2035</v>
      </c>
      <c r="C64" s="2" t="s">
        <v>423</v>
      </c>
      <c r="D64" s="2" t="s">
        <v>2</v>
      </c>
      <c r="E64" s="2">
        <v>37</v>
      </c>
      <c r="F64" s="2">
        <v>10</v>
      </c>
      <c r="G64" s="2">
        <v>2</v>
      </c>
      <c r="H64" s="2">
        <v>20000</v>
      </c>
      <c r="I64" s="2">
        <v>230</v>
      </c>
      <c r="J64" s="2" t="s">
        <v>1671</v>
      </c>
      <c r="K64" s="2">
        <v>48</v>
      </c>
      <c r="L64" s="2">
        <v>15</v>
      </c>
      <c r="M64" s="2">
        <v>10</v>
      </c>
      <c r="N64" s="2">
        <v>6</v>
      </c>
      <c r="O64" s="2">
        <v>5</v>
      </c>
      <c r="P64" s="2">
        <v>12</v>
      </c>
      <c r="Q64" s="2" t="s">
        <v>2036</v>
      </c>
      <c r="R64" s="2" t="s">
        <v>2037</v>
      </c>
      <c r="S64" s="4">
        <v>44837</v>
      </c>
    </row>
    <row r="65" spans="1:19" ht="12.5" x14ac:dyDescent="0.25">
      <c r="A65" s="14" t="str">
        <f>HYPERLINK("https://gerandofalcoes.my.salesforce.com/0014X00002VKCqWQAX", "0014X00002VKCqWQAX")</f>
        <v>0014X00002VKCqWQAX</v>
      </c>
      <c r="B65" s="2" t="s">
        <v>2114</v>
      </c>
      <c r="C65" s="2" t="s">
        <v>423</v>
      </c>
      <c r="D65" s="2" t="s">
        <v>2</v>
      </c>
      <c r="E65" s="2">
        <v>35</v>
      </c>
      <c r="F65" s="2">
        <v>2</v>
      </c>
      <c r="G65" s="2">
        <v>3</v>
      </c>
      <c r="H65" s="2">
        <v>11579</v>
      </c>
      <c r="I65" s="2">
        <v>20</v>
      </c>
      <c r="J65" s="2" t="s">
        <v>1779</v>
      </c>
      <c r="K65" s="2">
        <v>38</v>
      </c>
      <c r="L65" s="2">
        <v>15</v>
      </c>
      <c r="M65" s="2">
        <v>5</v>
      </c>
      <c r="N65" s="2">
        <v>8</v>
      </c>
      <c r="O65" s="2">
        <v>5</v>
      </c>
      <c r="P65" s="2">
        <v>5</v>
      </c>
      <c r="Q65" s="2" t="s">
        <v>2115</v>
      </c>
      <c r="R65" s="2" t="s">
        <v>2116</v>
      </c>
      <c r="S65" s="4">
        <v>44837</v>
      </c>
    </row>
    <row r="66" spans="1:19" ht="12.5" x14ac:dyDescent="0.25">
      <c r="A66" s="14" t="str">
        <f>HYPERLINK("https://gerandofalcoes.my.salesforce.com/0014X00002VKCqPQAX", "0014X00002VKCqPQAX")</f>
        <v>0014X00002VKCqPQAX</v>
      </c>
      <c r="B66" s="2" t="s">
        <v>2122</v>
      </c>
      <c r="C66" s="2" t="s">
        <v>423</v>
      </c>
      <c r="D66" s="2" t="s">
        <v>2</v>
      </c>
      <c r="E66" s="2">
        <v>34</v>
      </c>
      <c r="F66" s="2">
        <v>5</v>
      </c>
      <c r="G66" s="2">
        <v>2</v>
      </c>
      <c r="H66" s="2">
        <v>32000</v>
      </c>
      <c r="I66" s="2">
        <v>186</v>
      </c>
      <c r="J66" s="2" t="s">
        <v>1671</v>
      </c>
      <c r="K66" s="2">
        <v>48</v>
      </c>
      <c r="L66" s="2">
        <v>15</v>
      </c>
      <c r="M66" s="2">
        <v>5</v>
      </c>
      <c r="N66" s="2">
        <v>6</v>
      </c>
      <c r="O66" s="2">
        <v>10</v>
      </c>
      <c r="P66" s="2">
        <v>12</v>
      </c>
      <c r="Q66" s="2" t="s">
        <v>2123</v>
      </c>
      <c r="R66" s="2" t="s">
        <v>2124</v>
      </c>
      <c r="S66" s="4">
        <v>44837</v>
      </c>
    </row>
    <row r="67" spans="1:19" ht="12.5" x14ac:dyDescent="0.25">
      <c r="A67" s="14" t="str">
        <f>HYPERLINK("https://gerandofalcoes.my.salesforce.com/0014X00002VKCqkQAH", "0014X00002VKCqkQAH")</f>
        <v>0014X00002VKCqkQAH</v>
      </c>
      <c r="B67" s="2" t="s">
        <v>2847</v>
      </c>
      <c r="C67" s="2" t="s">
        <v>423</v>
      </c>
      <c r="D67" s="2" t="s">
        <v>2</v>
      </c>
      <c r="E67" s="2">
        <v>41</v>
      </c>
      <c r="F67" s="2">
        <v>0</v>
      </c>
      <c r="G67" s="2">
        <v>2</v>
      </c>
      <c r="H67" s="2">
        <v>12000</v>
      </c>
      <c r="I67" s="2">
        <v>1523</v>
      </c>
      <c r="J67" s="2" t="s">
        <v>1671</v>
      </c>
      <c r="K67" s="2">
        <v>46</v>
      </c>
      <c r="L67" s="2">
        <v>15</v>
      </c>
      <c r="M67" s="2">
        <v>0</v>
      </c>
      <c r="N67" s="2">
        <v>6</v>
      </c>
      <c r="O67" s="2">
        <v>5</v>
      </c>
      <c r="P67" s="2">
        <v>20</v>
      </c>
      <c r="Q67" s="2" t="s">
        <v>2848</v>
      </c>
      <c r="R67" s="2" t="s">
        <v>2849</v>
      </c>
      <c r="S67" s="4">
        <v>44837</v>
      </c>
    </row>
    <row r="68" spans="1:19" ht="12.5" x14ac:dyDescent="0.25">
      <c r="A68" s="14" t="str">
        <f>HYPERLINK("https://gerandofalcoes.my.salesforce.com/0014X00002VKCt2QAH", "0014X00002VKCt2QAH")</f>
        <v>0014X00002VKCt2QAH</v>
      </c>
      <c r="B68" s="2" t="s">
        <v>1792</v>
      </c>
      <c r="C68" s="2" t="s">
        <v>423</v>
      </c>
      <c r="D68" s="2" t="s">
        <v>2</v>
      </c>
      <c r="E68" s="2">
        <v>71</v>
      </c>
      <c r="F68" s="2">
        <v>4</v>
      </c>
      <c r="G68" s="2">
        <v>3</v>
      </c>
      <c r="H68" s="2">
        <v>238000</v>
      </c>
      <c r="I68" s="2">
        <v>133</v>
      </c>
      <c r="J68" s="2" t="s">
        <v>1671</v>
      </c>
      <c r="K68" s="2">
        <v>58</v>
      </c>
      <c r="L68" s="2">
        <v>20</v>
      </c>
      <c r="M68" s="2">
        <v>5</v>
      </c>
      <c r="N68" s="2">
        <v>8</v>
      </c>
      <c r="O68" s="2">
        <v>15</v>
      </c>
      <c r="P68" s="2">
        <v>10</v>
      </c>
      <c r="Q68" s="2" t="s">
        <v>1793</v>
      </c>
      <c r="R68" s="2" t="s">
        <v>1794</v>
      </c>
      <c r="S68" s="4">
        <v>44837</v>
      </c>
    </row>
    <row r="69" spans="1:19" ht="12.5" x14ac:dyDescent="0.25">
      <c r="A69" s="14" t="str">
        <f>HYPERLINK("https://gerandofalcoes.my.salesforce.com/0014X00002VKCt3QAH", "0014X00002VKCt3QAH")</f>
        <v>0014X00002VKCt3QAH</v>
      </c>
      <c r="B69" s="2" t="s">
        <v>7202</v>
      </c>
      <c r="C69" s="2" t="s">
        <v>423</v>
      </c>
      <c r="D69" s="2" t="s">
        <v>2</v>
      </c>
      <c r="E69" s="2">
        <v>21</v>
      </c>
      <c r="F69" s="2">
        <v>0</v>
      </c>
      <c r="G69" s="2">
        <v>2</v>
      </c>
      <c r="H69" s="2">
        <v>1</v>
      </c>
      <c r="I69" s="2">
        <v>100</v>
      </c>
      <c r="J69" s="2" t="s">
        <v>1779</v>
      </c>
      <c r="K69" s="2">
        <v>31</v>
      </c>
      <c r="L69" s="2">
        <v>10</v>
      </c>
      <c r="M69" s="2">
        <v>0</v>
      </c>
      <c r="N69" s="2">
        <v>6</v>
      </c>
      <c r="O69" s="2">
        <v>5</v>
      </c>
      <c r="P69" s="2">
        <v>10</v>
      </c>
      <c r="Q69" s="2" t="s">
        <v>7203</v>
      </c>
      <c r="R69" s="2" t="s">
        <v>2708</v>
      </c>
      <c r="S69" s="4">
        <v>44837</v>
      </c>
    </row>
    <row r="70" spans="1:19" ht="12.5" x14ac:dyDescent="0.25">
      <c r="A70" s="14" t="str">
        <f>HYPERLINK("https://gerandofalcoes.my.salesforce.com/0014P00003YSp7ZQAT", "0014P00003YSp7ZQAT")</f>
        <v>0014P00003YSp7ZQAT</v>
      </c>
      <c r="B70" s="2" t="s">
        <v>2136</v>
      </c>
      <c r="C70" s="2" t="s">
        <v>423</v>
      </c>
      <c r="D70" s="2" t="s">
        <v>2</v>
      </c>
      <c r="E70" s="2">
        <v>34</v>
      </c>
      <c r="F70" s="2">
        <v>0</v>
      </c>
      <c r="G70" s="2">
        <v>2</v>
      </c>
      <c r="H70" s="2">
        <v>50000</v>
      </c>
      <c r="I70" s="2">
        <v>400</v>
      </c>
      <c r="J70" s="2" t="s">
        <v>1671</v>
      </c>
      <c r="K70" s="2">
        <v>46</v>
      </c>
      <c r="L70" s="2">
        <v>15</v>
      </c>
      <c r="M70" s="2">
        <v>0</v>
      </c>
      <c r="N70" s="2">
        <v>6</v>
      </c>
      <c r="O70" s="2">
        <v>10</v>
      </c>
      <c r="P70" s="2">
        <v>15</v>
      </c>
      <c r="Q70" s="2" t="s">
        <v>2137</v>
      </c>
      <c r="R70" s="2" t="s">
        <v>2138</v>
      </c>
      <c r="S70" s="4">
        <v>44837</v>
      </c>
    </row>
    <row r="71" spans="1:19" ht="12.5" x14ac:dyDescent="0.25">
      <c r="A71" s="14" t="str">
        <f>HYPERLINK("https://gerandofalcoes.my.salesforce.com/0014P00003YSp7aQAD", "0014P00003YSp7aQAD")</f>
        <v>0014P00003YSp7aQAD</v>
      </c>
      <c r="B71" s="2" t="s">
        <v>2922</v>
      </c>
      <c r="C71" s="2" t="s">
        <v>423</v>
      </c>
      <c r="D71" s="2" t="s">
        <v>2</v>
      </c>
      <c r="E71" s="2">
        <v>14</v>
      </c>
      <c r="F71" s="2">
        <v>8</v>
      </c>
      <c r="G71" s="2">
        <v>2</v>
      </c>
      <c r="H71" s="2">
        <v>1000</v>
      </c>
      <c r="I71" s="2">
        <v>300</v>
      </c>
      <c r="J71" s="2" t="s">
        <v>1671</v>
      </c>
      <c r="K71" s="2">
        <v>46</v>
      </c>
      <c r="L71" s="2">
        <v>10</v>
      </c>
      <c r="M71" s="2">
        <v>10</v>
      </c>
      <c r="N71" s="2">
        <v>6</v>
      </c>
      <c r="O71" s="2">
        <v>5</v>
      </c>
      <c r="P71" s="2">
        <v>15</v>
      </c>
      <c r="Q71" s="2" t="s">
        <v>2923</v>
      </c>
      <c r="R71" s="2" t="s">
        <v>2924</v>
      </c>
      <c r="S71" s="4">
        <v>44837</v>
      </c>
    </row>
    <row r="72" spans="1:19" ht="12.5" x14ac:dyDescent="0.25">
      <c r="A72" s="14" t="str">
        <f>HYPERLINK("https://gerandofalcoes.my.salesforce.com/0014P00003YSp7bQAD", "0014P00003YSp7bQAD")</f>
        <v>0014P00003YSp7bQAD</v>
      </c>
      <c r="B72" s="2" t="s">
        <v>2169</v>
      </c>
      <c r="C72" s="2" t="s">
        <v>423</v>
      </c>
      <c r="D72" s="2" t="s">
        <v>2</v>
      </c>
      <c r="E72" s="2">
        <v>33</v>
      </c>
      <c r="F72" s="2">
        <v>40</v>
      </c>
      <c r="G72" s="2">
        <v>2</v>
      </c>
      <c r="H72" s="2">
        <v>50000</v>
      </c>
      <c r="I72" s="2">
        <v>150</v>
      </c>
      <c r="J72" s="2" t="s">
        <v>1671</v>
      </c>
      <c r="K72" s="2">
        <v>58</v>
      </c>
      <c r="L72" s="2">
        <v>15</v>
      </c>
      <c r="M72" s="2">
        <v>15</v>
      </c>
      <c r="N72" s="2">
        <v>6</v>
      </c>
      <c r="O72" s="2">
        <v>10</v>
      </c>
      <c r="P72" s="2">
        <v>12</v>
      </c>
      <c r="Q72" s="2" t="s">
        <v>2170</v>
      </c>
      <c r="R72" s="2" t="s">
        <v>2171</v>
      </c>
      <c r="S72" s="4">
        <v>44837</v>
      </c>
    </row>
    <row r="73" spans="1:19" ht="12.5" x14ac:dyDescent="0.25">
      <c r="A73" s="14" t="str">
        <f>HYPERLINK("https://gerandofalcoes.my.salesforce.com/0014P00003YSp7dQAD", "0014P00003YSp7dQAD")</f>
        <v>0014P00003YSp7dQAD</v>
      </c>
      <c r="B73" s="2" t="s">
        <v>1855</v>
      </c>
      <c r="C73" s="2" t="s">
        <v>423</v>
      </c>
      <c r="D73" s="2" t="s">
        <v>2</v>
      </c>
      <c r="E73" s="2">
        <v>34</v>
      </c>
      <c r="F73" s="2">
        <v>6</v>
      </c>
      <c r="G73" s="2">
        <v>2</v>
      </c>
      <c r="H73" s="2">
        <v>29000</v>
      </c>
      <c r="I73" s="2">
        <v>64</v>
      </c>
      <c r="J73" s="2" t="s">
        <v>1671</v>
      </c>
      <c r="K73" s="2">
        <v>46</v>
      </c>
      <c r="L73" s="2">
        <v>15</v>
      </c>
      <c r="M73" s="2">
        <v>10</v>
      </c>
      <c r="N73" s="2">
        <v>6</v>
      </c>
      <c r="O73" s="2">
        <v>10</v>
      </c>
      <c r="P73" s="2">
        <v>5</v>
      </c>
      <c r="Q73" s="2" t="s">
        <v>1856</v>
      </c>
      <c r="R73" s="2" t="s">
        <v>1857</v>
      </c>
      <c r="S73" s="4">
        <v>44837</v>
      </c>
    </row>
    <row r="74" spans="1:19" ht="12.5" x14ac:dyDescent="0.25">
      <c r="A74" s="14" t="str">
        <f>HYPERLINK("https://gerandofalcoes.my.salesforce.com/0014P00003YSp7eQAD", "0014P00003YSp7eQAD")</f>
        <v>0014P00003YSp7eQAD</v>
      </c>
      <c r="B74" s="2" t="s">
        <v>1804</v>
      </c>
      <c r="C74" s="2" t="s">
        <v>423</v>
      </c>
      <c r="D74" s="2" t="s">
        <v>2</v>
      </c>
      <c r="E74" s="2">
        <v>45</v>
      </c>
      <c r="F74" s="2">
        <v>6</v>
      </c>
      <c r="G74" s="2">
        <v>4</v>
      </c>
      <c r="H74" s="2">
        <v>126094</v>
      </c>
      <c r="I74" s="2">
        <v>380</v>
      </c>
      <c r="J74" s="2" t="s">
        <v>1650</v>
      </c>
      <c r="K74" s="2">
        <v>65</v>
      </c>
      <c r="L74" s="2">
        <v>15</v>
      </c>
      <c r="M74" s="2">
        <v>10</v>
      </c>
      <c r="N74" s="2">
        <v>10</v>
      </c>
      <c r="O74" s="2">
        <v>15</v>
      </c>
      <c r="P74" s="2">
        <v>15</v>
      </c>
      <c r="Q74" s="2" t="s">
        <v>1805</v>
      </c>
      <c r="R74" s="2" t="s">
        <v>1806</v>
      </c>
      <c r="S74" s="4">
        <v>44837</v>
      </c>
    </row>
    <row r="75" spans="1:19" ht="12.5" x14ac:dyDescent="0.25">
      <c r="A75" s="14" t="str">
        <f>HYPERLINK("https://gerandofalcoes.my.salesforce.com/0014P00003YSp7fQAD", "0014P00003YSp7fQAD")</f>
        <v>0014P00003YSp7fQAD</v>
      </c>
      <c r="B75" s="2" t="s">
        <v>2465</v>
      </c>
      <c r="C75" s="2" t="s">
        <v>423</v>
      </c>
      <c r="D75" s="2" t="s">
        <v>2</v>
      </c>
      <c r="E75" s="2">
        <v>23</v>
      </c>
      <c r="F75" s="2">
        <v>0</v>
      </c>
      <c r="G75" s="2">
        <v>2</v>
      </c>
      <c r="H75" s="2">
        <v>5000</v>
      </c>
      <c r="I75" s="2">
        <v>250</v>
      </c>
      <c r="J75" s="2" t="s">
        <v>1779</v>
      </c>
      <c r="K75" s="2">
        <v>33</v>
      </c>
      <c r="L75" s="2">
        <v>10</v>
      </c>
      <c r="M75" s="2">
        <v>0</v>
      </c>
      <c r="N75" s="2">
        <v>6</v>
      </c>
      <c r="O75" s="2">
        <v>5</v>
      </c>
      <c r="P75" s="2">
        <v>12</v>
      </c>
      <c r="Q75" s="2" t="s">
        <v>6552</v>
      </c>
      <c r="R75" s="2" t="s">
        <v>6552</v>
      </c>
      <c r="S75" s="4">
        <v>44837</v>
      </c>
    </row>
    <row r="76" spans="1:19" ht="12.5" x14ac:dyDescent="0.25">
      <c r="A76" s="14" t="str">
        <f>HYPERLINK("https://gerandofalcoes.my.salesforce.com/0014P00003YSp7hQAD", "0014P00003YSp7hQAD")</f>
        <v>0014P00003YSp7hQAD</v>
      </c>
      <c r="B76" s="2" t="s">
        <v>2713</v>
      </c>
      <c r="C76" s="2" t="s">
        <v>423</v>
      </c>
      <c r="D76" s="2" t="s">
        <v>2</v>
      </c>
      <c r="E76" s="2">
        <v>15</v>
      </c>
      <c r="F76" s="2">
        <v>4</v>
      </c>
      <c r="G76" s="2">
        <v>2</v>
      </c>
      <c r="H76" s="2">
        <v>32000</v>
      </c>
      <c r="I76" s="2">
        <v>348</v>
      </c>
      <c r="J76" s="2" t="s">
        <v>1671</v>
      </c>
      <c r="K76" s="2">
        <v>46</v>
      </c>
      <c r="L76" s="2">
        <v>10</v>
      </c>
      <c r="M76" s="2">
        <v>5</v>
      </c>
      <c r="N76" s="2">
        <v>6</v>
      </c>
      <c r="O76" s="2">
        <v>10</v>
      </c>
      <c r="P76" s="2">
        <v>15</v>
      </c>
      <c r="Q76" s="2" t="s">
        <v>7192</v>
      </c>
      <c r="R76" s="2" t="s">
        <v>2714</v>
      </c>
      <c r="S76" s="4">
        <v>44837</v>
      </c>
    </row>
    <row r="77" spans="1:19" ht="12.5" x14ac:dyDescent="0.25">
      <c r="A77" s="14" t="str">
        <f>HYPERLINK("https://gerandofalcoes.my.salesforce.com/0014P00003YSp7iQAD", "0014P00003YSp7iQAD")</f>
        <v>0014P00003YSp7iQAD</v>
      </c>
      <c r="B77" s="2" t="s">
        <v>2680</v>
      </c>
      <c r="C77" s="2" t="s">
        <v>423</v>
      </c>
      <c r="D77" s="2" t="s">
        <v>2</v>
      </c>
      <c r="E77" s="2">
        <v>35</v>
      </c>
      <c r="F77" s="2">
        <v>0</v>
      </c>
      <c r="G77" s="2">
        <v>2</v>
      </c>
      <c r="H77" s="2">
        <v>5000</v>
      </c>
      <c r="I77" s="2">
        <v>30</v>
      </c>
      <c r="J77" s="2" t="s">
        <v>1779</v>
      </c>
      <c r="K77" s="2">
        <v>31</v>
      </c>
      <c r="L77" s="2">
        <v>15</v>
      </c>
      <c r="M77" s="2">
        <v>0</v>
      </c>
      <c r="N77" s="2">
        <v>6</v>
      </c>
      <c r="O77" s="2">
        <v>5</v>
      </c>
      <c r="P77" s="2">
        <v>5</v>
      </c>
      <c r="Q77" s="2" t="s">
        <v>7204</v>
      </c>
      <c r="R77" s="2" t="s">
        <v>2682</v>
      </c>
      <c r="S77" s="4">
        <v>44837</v>
      </c>
    </row>
    <row r="78" spans="1:19" ht="12.5" x14ac:dyDescent="0.25">
      <c r="A78" s="14" t="str">
        <f>HYPERLINK("https://gerandofalcoes.my.salesforce.com/0014P00003YSp7kQAD", "0014P00003YSp7kQAD")</f>
        <v>0014P00003YSp7kQAD</v>
      </c>
      <c r="B78" s="2" t="s">
        <v>2225</v>
      </c>
      <c r="C78" s="2" t="s">
        <v>423</v>
      </c>
      <c r="D78" s="2" t="s">
        <v>2</v>
      </c>
      <c r="E78" s="2">
        <v>32</v>
      </c>
      <c r="F78" s="2">
        <v>0</v>
      </c>
      <c r="G78" s="2">
        <v>2</v>
      </c>
      <c r="H78" s="2">
        <v>0</v>
      </c>
      <c r="I78" s="2">
        <v>17</v>
      </c>
      <c r="J78" s="2" t="s">
        <v>1779</v>
      </c>
      <c r="K78" s="2">
        <v>26</v>
      </c>
      <c r="L78" s="2">
        <v>15</v>
      </c>
      <c r="M78" s="2">
        <v>0</v>
      </c>
      <c r="N78" s="2">
        <v>6</v>
      </c>
      <c r="O78" s="2">
        <v>0</v>
      </c>
      <c r="P78" s="2">
        <v>5</v>
      </c>
      <c r="Q78" s="2" t="s">
        <v>2226</v>
      </c>
      <c r="R78" s="2" t="s">
        <v>2227</v>
      </c>
      <c r="S78" s="4">
        <v>44837</v>
      </c>
    </row>
    <row r="79" spans="1:19" ht="12.5" x14ac:dyDescent="0.25">
      <c r="A79" s="14" t="str">
        <f>HYPERLINK("https://gerandofalcoes.my.salesforce.com/0014P00003YSp7lQAD", "0014P00003YSp7lQAD")</f>
        <v>0014P00003YSp7lQAD</v>
      </c>
      <c r="B79" s="2" t="s">
        <v>2057</v>
      </c>
      <c r="C79" s="2" t="s">
        <v>423</v>
      </c>
      <c r="D79" s="2" t="s">
        <v>2</v>
      </c>
      <c r="E79" s="2">
        <v>37</v>
      </c>
      <c r="F79" s="2">
        <v>0</v>
      </c>
      <c r="G79" s="2">
        <v>2</v>
      </c>
      <c r="H79" s="2">
        <v>50000</v>
      </c>
      <c r="I79" s="2">
        <v>20</v>
      </c>
      <c r="J79" s="2" t="s">
        <v>1779</v>
      </c>
      <c r="K79" s="2">
        <v>36</v>
      </c>
      <c r="L79" s="2">
        <v>15</v>
      </c>
      <c r="M79" s="2">
        <v>0</v>
      </c>
      <c r="N79" s="2">
        <v>6</v>
      </c>
      <c r="O79" s="2">
        <v>10</v>
      </c>
      <c r="P79" s="2">
        <v>5</v>
      </c>
      <c r="Q79" s="2" t="s">
        <v>2058</v>
      </c>
      <c r="R79" s="2" t="s">
        <v>2059</v>
      </c>
      <c r="S79" s="4">
        <v>44837</v>
      </c>
    </row>
    <row r="80" spans="1:19" ht="12.5" x14ac:dyDescent="0.25">
      <c r="A80" s="14" t="str">
        <f>HYPERLINK("https://gerandofalcoes.my.salesforce.com/0014P00003YSp7mQAD", "0014P00003YSp7mQAD")</f>
        <v>0014P00003YSp7mQAD</v>
      </c>
      <c r="B80" s="2" t="s">
        <v>2109</v>
      </c>
      <c r="C80" s="2" t="s">
        <v>423</v>
      </c>
      <c r="D80" s="2" t="s">
        <v>2</v>
      </c>
      <c r="E80" s="2">
        <v>35</v>
      </c>
      <c r="F80" s="2">
        <v>5</v>
      </c>
      <c r="G80" s="2">
        <v>4</v>
      </c>
      <c r="H80" s="2">
        <v>0</v>
      </c>
      <c r="I80" s="2">
        <v>53</v>
      </c>
      <c r="J80" s="2" t="s">
        <v>1779</v>
      </c>
      <c r="K80" s="2">
        <v>35</v>
      </c>
      <c r="L80" s="2">
        <v>15</v>
      </c>
      <c r="M80" s="2">
        <v>5</v>
      </c>
      <c r="N80" s="2">
        <v>10</v>
      </c>
      <c r="O80" s="2">
        <v>0</v>
      </c>
      <c r="P80" s="2">
        <v>5</v>
      </c>
      <c r="Q80" s="2" t="s">
        <v>2110</v>
      </c>
      <c r="R80" s="2" t="s">
        <v>2111</v>
      </c>
      <c r="S80" s="4">
        <v>44837</v>
      </c>
    </row>
    <row r="81" spans="1:19" ht="12.5" x14ac:dyDescent="0.25">
      <c r="A81" s="14" t="str">
        <f>HYPERLINK("https://gerandofalcoes.my.salesforce.com/0014P00003YSp7nQAD", "0014P00003YSp7nQAD")</f>
        <v>0014P00003YSp7nQAD</v>
      </c>
      <c r="B81" s="2" t="s">
        <v>2401</v>
      </c>
      <c r="C81" s="2" t="s">
        <v>423</v>
      </c>
      <c r="D81" s="2" t="s">
        <v>2</v>
      </c>
      <c r="E81" s="2">
        <v>25</v>
      </c>
      <c r="F81" s="2">
        <v>7</v>
      </c>
      <c r="G81" s="2">
        <v>6</v>
      </c>
      <c r="H81" s="2">
        <v>200000</v>
      </c>
      <c r="I81" s="2">
        <v>350</v>
      </c>
      <c r="J81" s="2" t="s">
        <v>1650</v>
      </c>
      <c r="K81" s="2">
        <v>65</v>
      </c>
      <c r="L81" s="2">
        <v>15</v>
      </c>
      <c r="M81" s="2">
        <v>10</v>
      </c>
      <c r="N81" s="2">
        <v>10</v>
      </c>
      <c r="O81" s="2">
        <v>15</v>
      </c>
      <c r="P81" s="2">
        <v>15</v>
      </c>
      <c r="Q81" s="2" t="s">
        <v>2402</v>
      </c>
      <c r="R81" s="2" t="s">
        <v>2403</v>
      </c>
      <c r="S81" s="4">
        <v>44837</v>
      </c>
    </row>
    <row r="82" spans="1:19" ht="12.5" x14ac:dyDescent="0.25">
      <c r="A82" s="14" t="str">
        <f>HYPERLINK("https://gerandofalcoes.my.salesforce.com/0014P00003YSp7oQAD", "0014P00003YSp7oQAD")</f>
        <v>0014P00003YSp7oQAD</v>
      </c>
      <c r="B82" s="2" t="s">
        <v>2746</v>
      </c>
      <c r="C82" s="2" t="s">
        <v>423</v>
      </c>
      <c r="D82" s="2" t="s">
        <v>2</v>
      </c>
      <c r="E82" s="2">
        <v>14</v>
      </c>
      <c r="F82" s="2">
        <v>30</v>
      </c>
      <c r="G82" s="2">
        <v>2</v>
      </c>
      <c r="H82" s="2">
        <v>10000</v>
      </c>
      <c r="I82" s="2">
        <v>350</v>
      </c>
      <c r="J82" s="2" t="s">
        <v>1671</v>
      </c>
      <c r="K82" s="2">
        <v>48</v>
      </c>
      <c r="L82" s="2">
        <v>10</v>
      </c>
      <c r="M82" s="2">
        <v>12</v>
      </c>
      <c r="N82" s="2">
        <v>6</v>
      </c>
      <c r="O82" s="2">
        <v>5</v>
      </c>
      <c r="P82" s="2">
        <v>15</v>
      </c>
      <c r="Q82" s="2" t="s">
        <v>2747</v>
      </c>
      <c r="R82" s="2" t="s">
        <v>2748</v>
      </c>
      <c r="S82" s="4">
        <v>44837</v>
      </c>
    </row>
    <row r="83" spans="1:19" ht="12.5" x14ac:dyDescent="0.25">
      <c r="A83" s="14" t="str">
        <f>HYPERLINK("https://gerandofalcoes.my.salesforce.com/0014P00003YSp7pQAD", "0014P00003YSp7pQAD")</f>
        <v>0014P00003YSp7pQAD</v>
      </c>
      <c r="B83" s="2" t="s">
        <v>2596</v>
      </c>
      <c r="C83" s="2" t="s">
        <v>423</v>
      </c>
      <c r="D83" s="2" t="s">
        <v>2</v>
      </c>
      <c r="E83" s="2">
        <v>19</v>
      </c>
      <c r="F83" s="2">
        <v>0</v>
      </c>
      <c r="G83" s="2">
        <v>3</v>
      </c>
      <c r="H83" s="2">
        <v>150000</v>
      </c>
      <c r="I83" s="2">
        <v>190</v>
      </c>
      <c r="J83" s="2" t="s">
        <v>1671</v>
      </c>
      <c r="K83" s="2">
        <v>45</v>
      </c>
      <c r="L83" s="2">
        <v>10</v>
      </c>
      <c r="M83" s="2">
        <v>0</v>
      </c>
      <c r="N83" s="2">
        <v>8</v>
      </c>
      <c r="O83" s="2">
        <v>15</v>
      </c>
      <c r="P83" s="2">
        <v>12</v>
      </c>
      <c r="Q83" s="2" t="s">
        <v>2597</v>
      </c>
      <c r="R83" s="2" t="s">
        <v>2598</v>
      </c>
      <c r="S83" s="4">
        <v>44837</v>
      </c>
    </row>
    <row r="84" spans="1:19" ht="12.5" x14ac:dyDescent="0.25">
      <c r="A84" s="14" t="str">
        <f>HYPERLINK("https://gerandofalcoes.my.salesforce.com/0014P00003YSp7qQAD", "0014P00003YSp7qQAD")</f>
        <v>0014P00003YSp7qQAD</v>
      </c>
      <c r="B84" s="2" t="s">
        <v>2438</v>
      </c>
      <c r="C84" s="2" t="s">
        <v>423</v>
      </c>
      <c r="D84" s="2" t="s">
        <v>2</v>
      </c>
      <c r="E84" s="2">
        <v>24</v>
      </c>
      <c r="F84" s="2">
        <v>5</v>
      </c>
      <c r="G84" s="2">
        <v>2</v>
      </c>
      <c r="H84" s="2">
        <v>7000</v>
      </c>
      <c r="I84" s="2">
        <v>1250</v>
      </c>
      <c r="J84" s="2" t="s">
        <v>1671</v>
      </c>
      <c r="K84" s="2">
        <v>46</v>
      </c>
      <c r="L84" s="2">
        <v>10</v>
      </c>
      <c r="M84" s="2">
        <v>5</v>
      </c>
      <c r="N84" s="2">
        <v>6</v>
      </c>
      <c r="O84" s="2">
        <v>5</v>
      </c>
      <c r="P84" s="2">
        <v>20</v>
      </c>
      <c r="Q84" s="2" t="s">
        <v>2439</v>
      </c>
      <c r="R84" s="2" t="s">
        <v>2440</v>
      </c>
      <c r="S84" s="4">
        <v>44837</v>
      </c>
    </row>
    <row r="85" spans="1:19" ht="12.5" x14ac:dyDescent="0.25">
      <c r="A85" s="14" t="str">
        <f>HYPERLINK("https://gerandofalcoes.my.salesforce.com/0014P00003YSp7rQAD", "0014P00003YSp7rQAD")</f>
        <v>0014P00003YSp7rQAD</v>
      </c>
      <c r="B85" s="2" t="s">
        <v>2509</v>
      </c>
      <c r="C85" s="2" t="s">
        <v>423</v>
      </c>
      <c r="D85" s="2" t="s">
        <v>2</v>
      </c>
      <c r="E85" s="2">
        <v>21</v>
      </c>
      <c r="F85" s="2">
        <v>1</v>
      </c>
      <c r="G85" s="2">
        <v>2</v>
      </c>
      <c r="H85" s="2">
        <v>11000</v>
      </c>
      <c r="I85" s="2">
        <v>320</v>
      </c>
      <c r="J85" s="2" t="s">
        <v>1671</v>
      </c>
      <c r="K85" s="2">
        <v>41</v>
      </c>
      <c r="L85" s="2">
        <v>10</v>
      </c>
      <c r="M85" s="2">
        <v>5</v>
      </c>
      <c r="N85" s="2">
        <v>6</v>
      </c>
      <c r="O85" s="2">
        <v>5</v>
      </c>
      <c r="P85" s="2">
        <v>15</v>
      </c>
      <c r="Q85" s="2" t="s">
        <v>2510</v>
      </c>
      <c r="R85" s="2" t="s">
        <v>2510</v>
      </c>
      <c r="S85" s="4">
        <v>44837</v>
      </c>
    </row>
    <row r="86" spans="1:19" ht="12.5" x14ac:dyDescent="0.25">
      <c r="A86" s="14" t="str">
        <f>HYPERLINK("https://gerandofalcoes.my.salesforce.com/0014P00003YSp7sQAD", "0014P00003YSp7sQAD")</f>
        <v>0014P00003YSp7sQAD</v>
      </c>
      <c r="B86" s="2" t="s">
        <v>1674</v>
      </c>
      <c r="C86" s="2" t="s">
        <v>423</v>
      </c>
      <c r="D86" s="2" t="s">
        <v>27</v>
      </c>
      <c r="E86" s="2">
        <v>42</v>
      </c>
      <c r="F86" s="2">
        <v>12</v>
      </c>
      <c r="G86" s="2">
        <v>3</v>
      </c>
      <c r="H86" s="2">
        <v>60000</v>
      </c>
      <c r="I86" s="2">
        <v>300</v>
      </c>
      <c r="J86" s="2" t="s">
        <v>1671</v>
      </c>
      <c r="K86" s="2">
        <v>60</v>
      </c>
      <c r="L86" s="2">
        <v>15</v>
      </c>
      <c r="M86" s="2">
        <v>12</v>
      </c>
      <c r="N86" s="2">
        <v>8</v>
      </c>
      <c r="O86" s="2">
        <v>10</v>
      </c>
      <c r="P86" s="2">
        <v>15</v>
      </c>
      <c r="Q86" s="2" t="s">
        <v>1675</v>
      </c>
      <c r="R86" s="2" t="s">
        <v>1675</v>
      </c>
      <c r="S86" s="4">
        <v>44837</v>
      </c>
    </row>
    <row r="87" spans="1:19" ht="12.5" x14ac:dyDescent="0.25">
      <c r="A87" s="14" t="str">
        <f>HYPERLINK("https://gerandofalcoes.my.salesforce.com/0014P00003YSp7tQAD", "0014P00003YSp7tQAD")</f>
        <v>0014P00003YSp7tQAD</v>
      </c>
      <c r="B87" s="2" t="s">
        <v>2418</v>
      </c>
      <c r="C87" s="2" t="s">
        <v>423</v>
      </c>
      <c r="D87" s="2" t="s">
        <v>2</v>
      </c>
      <c r="E87" s="2">
        <v>25</v>
      </c>
      <c r="F87" s="2">
        <v>8</v>
      </c>
      <c r="G87" s="2">
        <v>2</v>
      </c>
      <c r="H87" s="2">
        <v>0</v>
      </c>
      <c r="I87" s="2">
        <v>0</v>
      </c>
      <c r="J87" s="2" t="s">
        <v>1779</v>
      </c>
      <c r="K87" s="2">
        <v>31</v>
      </c>
      <c r="L87" s="2">
        <v>15</v>
      </c>
      <c r="M87" s="2">
        <v>10</v>
      </c>
      <c r="N87" s="2">
        <v>6</v>
      </c>
      <c r="O87" s="2">
        <v>0</v>
      </c>
      <c r="P87" s="2">
        <v>0</v>
      </c>
      <c r="Q87" s="2" t="s">
        <v>2419</v>
      </c>
      <c r="R87" s="2" t="s">
        <v>2419</v>
      </c>
      <c r="S87" s="4">
        <v>44837</v>
      </c>
    </row>
    <row r="88" spans="1:19" ht="12.5" x14ac:dyDescent="0.25">
      <c r="A88" s="14" t="str">
        <f>HYPERLINK("https://gerandofalcoes.my.salesforce.com/0014P00003YSp7uQAD", "0014P00003YSp7uQAD")</f>
        <v>0014P00003YSp7uQAD</v>
      </c>
      <c r="B88" s="2" t="s">
        <v>2120</v>
      </c>
      <c r="C88" s="2" t="s">
        <v>423</v>
      </c>
      <c r="D88" s="2" t="s">
        <v>2</v>
      </c>
      <c r="E88" s="2">
        <v>35</v>
      </c>
      <c r="F88" s="2">
        <v>5</v>
      </c>
      <c r="G88" s="2">
        <v>6</v>
      </c>
      <c r="H88" s="2">
        <v>250000</v>
      </c>
      <c r="I88" s="2">
        <v>5000</v>
      </c>
      <c r="J88" s="2" t="s">
        <v>1650</v>
      </c>
      <c r="K88" s="2">
        <v>65</v>
      </c>
      <c r="L88" s="2">
        <v>15</v>
      </c>
      <c r="M88" s="2">
        <v>5</v>
      </c>
      <c r="N88" s="2">
        <v>10</v>
      </c>
      <c r="O88" s="2">
        <v>15</v>
      </c>
      <c r="P88" s="2">
        <v>20</v>
      </c>
      <c r="Q88" s="2" t="s">
        <v>2121</v>
      </c>
      <c r="R88" s="2" t="s">
        <v>2121</v>
      </c>
      <c r="S88" s="4">
        <v>44837</v>
      </c>
    </row>
    <row r="89" spans="1:19" ht="12.5" x14ac:dyDescent="0.25">
      <c r="A89" s="14" t="str">
        <f>HYPERLINK("https://gerandofalcoes.my.salesforce.com/0014X00002VKCpXQAX", "0014X00002VKCpXQAX")</f>
        <v>0014X00002VKCpXQAX</v>
      </c>
      <c r="B89" s="2" t="s">
        <v>2565</v>
      </c>
      <c r="C89" s="2" t="s">
        <v>423</v>
      </c>
      <c r="D89" s="2" t="s">
        <v>2</v>
      </c>
      <c r="E89" s="2">
        <v>20</v>
      </c>
      <c r="F89" s="2">
        <v>6</v>
      </c>
      <c r="G89" s="2">
        <v>4</v>
      </c>
      <c r="H89" s="2">
        <v>0</v>
      </c>
      <c r="I89" s="2">
        <v>0</v>
      </c>
      <c r="J89" s="2" t="s">
        <v>1779</v>
      </c>
      <c r="K89" s="2">
        <v>30</v>
      </c>
      <c r="L89" s="2">
        <v>10</v>
      </c>
      <c r="M89" s="2">
        <v>10</v>
      </c>
      <c r="N89" s="2">
        <v>10</v>
      </c>
      <c r="O89" s="2">
        <v>0</v>
      </c>
      <c r="P89" s="2">
        <v>0</v>
      </c>
      <c r="Q89" s="2" t="s">
        <v>2566</v>
      </c>
      <c r="R89" s="2" t="s">
        <v>2567</v>
      </c>
      <c r="S89" s="4">
        <v>44837</v>
      </c>
    </row>
    <row r="90" spans="1:19" ht="12.5" x14ac:dyDescent="0.25">
      <c r="A90" s="14" t="str">
        <f>HYPERLINK("https://gerandofalcoes.my.salesforce.com/0014X00002VKCpPQAX", "0014X00002VKCpPQAX")</f>
        <v>0014X00002VKCpPQAX</v>
      </c>
      <c r="B90" s="2" t="s">
        <v>2591</v>
      </c>
      <c r="C90" s="2" t="s">
        <v>423</v>
      </c>
      <c r="D90" s="2" t="s">
        <v>2</v>
      </c>
      <c r="E90" s="2">
        <v>29</v>
      </c>
      <c r="F90" s="2">
        <v>0</v>
      </c>
      <c r="G90" s="2">
        <v>3</v>
      </c>
      <c r="H90" s="2">
        <v>72000</v>
      </c>
      <c r="I90" s="2">
        <v>0</v>
      </c>
      <c r="J90" s="2" t="s">
        <v>1779</v>
      </c>
      <c r="K90" s="2">
        <v>33</v>
      </c>
      <c r="L90" s="2">
        <v>15</v>
      </c>
      <c r="M90" s="2">
        <v>0</v>
      </c>
      <c r="N90" s="2">
        <v>8</v>
      </c>
      <c r="O90" s="2">
        <v>10</v>
      </c>
      <c r="P90" s="2">
        <v>0</v>
      </c>
      <c r="Q90" s="2" t="s">
        <v>2592</v>
      </c>
      <c r="R90" s="2" t="s">
        <v>2592</v>
      </c>
      <c r="S90" s="4">
        <v>44837</v>
      </c>
    </row>
    <row r="91" spans="1:19" ht="12.5" x14ac:dyDescent="0.25">
      <c r="A91" s="14" t="str">
        <f>HYPERLINK("https://gerandofalcoes.my.salesforce.com/0014X00002VKCvCQAX", "0014X00002VKCvCQAX")</f>
        <v>0014X00002VKCvCQAX</v>
      </c>
      <c r="B91" s="2" t="s">
        <v>2415</v>
      </c>
      <c r="C91" s="2" t="s">
        <v>423</v>
      </c>
      <c r="D91" s="2" t="s">
        <v>2</v>
      </c>
      <c r="E91" s="2">
        <v>25</v>
      </c>
      <c r="F91" s="2">
        <v>0</v>
      </c>
      <c r="G91" s="2">
        <v>4</v>
      </c>
      <c r="H91" s="2">
        <v>25000</v>
      </c>
      <c r="I91" s="2">
        <v>0</v>
      </c>
      <c r="J91" s="2" t="s">
        <v>1779</v>
      </c>
      <c r="K91" s="2">
        <v>35</v>
      </c>
      <c r="L91" s="2">
        <v>15</v>
      </c>
      <c r="M91" s="2">
        <v>0</v>
      </c>
      <c r="N91" s="2">
        <v>10</v>
      </c>
      <c r="O91" s="2">
        <v>10</v>
      </c>
      <c r="P91" s="2">
        <v>0</v>
      </c>
      <c r="Q91" s="2" t="s">
        <v>2416</v>
      </c>
      <c r="R91" s="2" t="s">
        <v>2417</v>
      </c>
      <c r="S91" s="4">
        <v>44837</v>
      </c>
    </row>
    <row r="92" spans="1:19" ht="12.5" x14ac:dyDescent="0.25">
      <c r="A92" s="14" t="str">
        <f>HYPERLINK("https://gerandofalcoes.my.salesforce.com/0014X00002VKCsaQAH", "0014X00002VKCsaQAH")</f>
        <v>0014X00002VKCsaQAH</v>
      </c>
      <c r="B92" s="2" t="s">
        <v>7167</v>
      </c>
      <c r="C92" s="2" t="s">
        <v>423</v>
      </c>
      <c r="D92" s="2" t="s">
        <v>2</v>
      </c>
      <c r="E92" s="2">
        <v>42</v>
      </c>
      <c r="F92" s="2">
        <v>0</v>
      </c>
      <c r="G92" s="2">
        <v>2</v>
      </c>
      <c r="H92" s="2">
        <v>11800</v>
      </c>
      <c r="I92" s="2">
        <v>98</v>
      </c>
      <c r="J92" s="2" t="s">
        <v>1779</v>
      </c>
      <c r="K92" s="2">
        <v>36</v>
      </c>
      <c r="L92" s="2">
        <v>15</v>
      </c>
      <c r="M92" s="2">
        <v>0</v>
      </c>
      <c r="N92" s="2">
        <v>6</v>
      </c>
      <c r="O92" s="2">
        <v>5</v>
      </c>
      <c r="P92" s="2">
        <v>10</v>
      </c>
      <c r="Q92" s="2" t="s">
        <v>1962</v>
      </c>
      <c r="R92" s="2" t="s">
        <v>1962</v>
      </c>
      <c r="S92" s="4">
        <v>44837</v>
      </c>
    </row>
    <row r="93" spans="1:19" ht="12.5" x14ac:dyDescent="0.25">
      <c r="A93" s="14" t="str">
        <f>HYPERLINK("https://gerandofalcoes.my.salesforce.com/0014X00002VKCt9QAH", "0014X00002VKCt9QAH")</f>
        <v>0014X00002VKCt9QAH</v>
      </c>
      <c r="B93" s="2" t="s">
        <v>2100</v>
      </c>
      <c r="C93" s="2" t="s">
        <v>423</v>
      </c>
      <c r="D93" s="2" t="s">
        <v>2</v>
      </c>
      <c r="E93" s="2">
        <v>35</v>
      </c>
      <c r="F93" s="2">
        <v>0</v>
      </c>
      <c r="G93" s="2">
        <v>2</v>
      </c>
      <c r="H93" s="2">
        <v>600</v>
      </c>
      <c r="I93" s="2">
        <v>150</v>
      </c>
      <c r="J93" s="2" t="s">
        <v>1779</v>
      </c>
      <c r="K93" s="2">
        <v>38</v>
      </c>
      <c r="L93" s="2">
        <v>15</v>
      </c>
      <c r="M93" s="2">
        <v>0</v>
      </c>
      <c r="N93" s="2">
        <v>6</v>
      </c>
      <c r="O93" s="2">
        <v>5</v>
      </c>
      <c r="P93" s="2">
        <v>12</v>
      </c>
      <c r="Q93" s="2" t="s">
        <v>2101</v>
      </c>
      <c r="R93" s="2" t="s">
        <v>2102</v>
      </c>
      <c r="S93" s="4">
        <v>44837</v>
      </c>
    </row>
    <row r="94" spans="1:19" ht="12.5" x14ac:dyDescent="0.25">
      <c r="A94" s="14" t="str">
        <f>HYPERLINK("https://gerandofalcoes.my.salesforce.com/0014X00002VKCtvQAH", "0014X00002VKCtvQAH")</f>
        <v>0014X00002VKCtvQAH</v>
      </c>
      <c r="B94" s="2" t="s">
        <v>1959</v>
      </c>
      <c r="C94" s="2" t="s">
        <v>423</v>
      </c>
      <c r="D94" s="2" t="s">
        <v>2</v>
      </c>
      <c r="E94" s="2">
        <v>54</v>
      </c>
      <c r="F94" s="2">
        <v>0</v>
      </c>
      <c r="G94" s="2">
        <v>6</v>
      </c>
      <c r="H94" s="2">
        <v>15000</v>
      </c>
      <c r="I94" s="2">
        <v>420</v>
      </c>
      <c r="J94" s="2" t="s">
        <v>1671</v>
      </c>
      <c r="K94" s="2">
        <v>50</v>
      </c>
      <c r="L94" s="2">
        <v>20</v>
      </c>
      <c r="M94" s="2">
        <v>0</v>
      </c>
      <c r="N94" s="2">
        <v>10</v>
      </c>
      <c r="O94" s="2">
        <v>5</v>
      </c>
      <c r="P94" s="2">
        <v>15</v>
      </c>
      <c r="Q94" s="2" t="s">
        <v>7153</v>
      </c>
      <c r="R94" s="2" t="s">
        <v>1960</v>
      </c>
      <c r="S94" s="4">
        <v>44837</v>
      </c>
    </row>
    <row r="95" spans="1:19" ht="12.5" x14ac:dyDescent="0.25">
      <c r="A95" s="14" t="str">
        <f>HYPERLINK("https://gerandofalcoes.my.salesforce.com/0014X00002VKCpMQAX", "0014X00002VKCpMQAX")</f>
        <v>0014X00002VKCpMQAX</v>
      </c>
      <c r="B95" s="2" t="s">
        <v>2660</v>
      </c>
      <c r="C95" s="2" t="s">
        <v>423</v>
      </c>
      <c r="D95" s="2" t="s">
        <v>2</v>
      </c>
      <c r="E95" s="2">
        <v>17</v>
      </c>
      <c r="F95" s="2">
        <v>0</v>
      </c>
      <c r="G95" s="2">
        <v>2</v>
      </c>
      <c r="H95" s="2">
        <v>6000</v>
      </c>
      <c r="I95" s="2">
        <v>90</v>
      </c>
      <c r="J95" s="2" t="s">
        <v>1779</v>
      </c>
      <c r="K95" s="2">
        <v>31</v>
      </c>
      <c r="L95" s="2">
        <v>10</v>
      </c>
      <c r="M95" s="2">
        <v>0</v>
      </c>
      <c r="N95" s="2">
        <v>6</v>
      </c>
      <c r="O95" s="2">
        <v>5</v>
      </c>
      <c r="P95" s="2">
        <v>10</v>
      </c>
      <c r="Q95" s="2"/>
      <c r="R95" s="2" t="s">
        <v>2661</v>
      </c>
      <c r="S95" s="4">
        <v>44837</v>
      </c>
    </row>
    <row r="96" spans="1:19" ht="12.5" x14ac:dyDescent="0.25">
      <c r="A96" s="14" t="str">
        <f>HYPERLINK("https://gerandofalcoes.my.salesforce.com/0014X00002VKCtJQAX", "0014X00002VKCtJQAX")</f>
        <v>0014X00002VKCtJQAX</v>
      </c>
      <c r="B96" s="2" t="s">
        <v>2672</v>
      </c>
      <c r="C96" s="2" t="s">
        <v>423</v>
      </c>
      <c r="D96" s="2" t="s">
        <v>2</v>
      </c>
      <c r="E96" s="2">
        <v>17</v>
      </c>
      <c r="F96" s="2">
        <v>0</v>
      </c>
      <c r="G96" s="2">
        <v>3</v>
      </c>
      <c r="H96" s="2">
        <v>0</v>
      </c>
      <c r="I96" s="2">
        <v>0</v>
      </c>
      <c r="J96" s="2" t="s">
        <v>1779</v>
      </c>
      <c r="K96" s="2">
        <v>18</v>
      </c>
      <c r="L96" s="2">
        <v>10</v>
      </c>
      <c r="M96" s="2">
        <v>0</v>
      </c>
      <c r="N96" s="2">
        <v>8</v>
      </c>
      <c r="O96" s="2">
        <v>0</v>
      </c>
      <c r="P96" s="2">
        <v>0</v>
      </c>
      <c r="Q96" s="2" t="s">
        <v>2673</v>
      </c>
      <c r="R96" s="2" t="s">
        <v>2674</v>
      </c>
      <c r="S96" s="4">
        <v>44837</v>
      </c>
    </row>
    <row r="97" spans="1:19" ht="12.5" x14ac:dyDescent="0.25">
      <c r="A97" s="14" t="str">
        <f>HYPERLINK("https://gerandofalcoes.my.salesforce.com/0014X00002VKCttQAH", "0014X00002VKCttQAH")</f>
        <v>0014X00002VKCttQAH</v>
      </c>
      <c r="B97" s="2" t="s">
        <v>1966</v>
      </c>
      <c r="C97" s="2" t="s">
        <v>423</v>
      </c>
      <c r="D97" s="2" t="s">
        <v>2</v>
      </c>
      <c r="E97" s="2">
        <v>40</v>
      </c>
      <c r="F97" s="2">
        <v>5</v>
      </c>
      <c r="G97" s="2">
        <v>3</v>
      </c>
      <c r="H97" s="2">
        <v>20</v>
      </c>
      <c r="I97" s="2">
        <v>30</v>
      </c>
      <c r="J97" s="2" t="s">
        <v>1779</v>
      </c>
      <c r="K97" s="2">
        <v>38</v>
      </c>
      <c r="L97" s="2">
        <v>15</v>
      </c>
      <c r="M97" s="2">
        <v>5</v>
      </c>
      <c r="N97" s="2">
        <v>8</v>
      </c>
      <c r="O97" s="2">
        <v>5</v>
      </c>
      <c r="P97" s="2">
        <v>5</v>
      </c>
      <c r="Q97" s="2" t="s">
        <v>1967</v>
      </c>
      <c r="R97" s="2" t="s">
        <v>1968</v>
      </c>
      <c r="S97" s="4">
        <v>44837</v>
      </c>
    </row>
    <row r="98" spans="1:19" ht="12.5" x14ac:dyDescent="0.25">
      <c r="A98" s="14" t="str">
        <f>HYPERLINK("https://gerandofalcoes.my.salesforce.com/0014X00002VKCsQQAX", "0014X00002VKCsQQAX")</f>
        <v>0014X00002VKCsQQAX</v>
      </c>
      <c r="B98" s="2" t="s">
        <v>2780</v>
      </c>
      <c r="C98" s="2" t="s">
        <v>423</v>
      </c>
      <c r="D98" s="2" t="s">
        <v>2</v>
      </c>
      <c r="E98" s="2">
        <v>13</v>
      </c>
      <c r="F98" s="2">
        <v>0</v>
      </c>
      <c r="G98" s="2">
        <v>2</v>
      </c>
      <c r="H98" s="2">
        <v>0</v>
      </c>
      <c r="I98" s="2">
        <v>585</v>
      </c>
      <c r="J98" s="2" t="s">
        <v>1779</v>
      </c>
      <c r="K98" s="2">
        <v>36</v>
      </c>
      <c r="L98" s="2">
        <v>10</v>
      </c>
      <c r="M98" s="2">
        <v>0</v>
      </c>
      <c r="N98" s="2">
        <v>6</v>
      </c>
      <c r="O98" s="2">
        <v>0</v>
      </c>
      <c r="P98" s="2">
        <v>20</v>
      </c>
      <c r="Q98" s="2" t="s">
        <v>2781</v>
      </c>
      <c r="R98" s="2" t="s">
        <v>2782</v>
      </c>
      <c r="S98" s="4">
        <v>44837</v>
      </c>
    </row>
    <row r="99" spans="1:19" ht="12.5" x14ac:dyDescent="0.25">
      <c r="A99" s="14" t="str">
        <f>HYPERLINK("https://gerandofalcoes.my.salesforce.com/0014X00002VKCuUQAX", "0014X00002VKCuUQAX")</f>
        <v>0014X00002VKCuUQAX</v>
      </c>
      <c r="B99" s="2" t="s">
        <v>2860</v>
      </c>
      <c r="C99" s="2" t="s">
        <v>423</v>
      </c>
      <c r="D99" s="2" t="s">
        <v>2</v>
      </c>
      <c r="E99" s="2">
        <v>10</v>
      </c>
      <c r="F99" s="2">
        <v>83</v>
      </c>
      <c r="G99" s="2">
        <v>8</v>
      </c>
      <c r="H99" s="2">
        <v>0</v>
      </c>
      <c r="I99" s="2">
        <v>5</v>
      </c>
      <c r="J99" s="2" t="s">
        <v>1671</v>
      </c>
      <c r="K99" s="2">
        <v>40</v>
      </c>
      <c r="L99" s="2">
        <v>10</v>
      </c>
      <c r="M99" s="2">
        <v>15</v>
      </c>
      <c r="N99" s="2">
        <v>10</v>
      </c>
      <c r="O99" s="2">
        <v>0</v>
      </c>
      <c r="P99" s="2">
        <v>5</v>
      </c>
      <c r="Q99" s="2" t="s">
        <v>2861</v>
      </c>
      <c r="R99" s="2" t="s">
        <v>2862</v>
      </c>
      <c r="S99" s="4">
        <v>44837</v>
      </c>
    </row>
    <row r="100" spans="1:19" ht="12.5" x14ac:dyDescent="0.25">
      <c r="A100" s="14" t="str">
        <f>HYPERLINK("https://gerandofalcoes.my.salesforce.com/0014X00002VKCpNQAX", "0014X00002VKCpNQAX")</f>
        <v>0014X00002VKCpNQAX</v>
      </c>
      <c r="B100" s="2" t="s">
        <v>2185</v>
      </c>
      <c r="C100" s="2" t="s">
        <v>423</v>
      </c>
      <c r="D100" s="2" t="s">
        <v>2</v>
      </c>
      <c r="E100" s="2">
        <v>33</v>
      </c>
      <c r="F100" s="2">
        <v>0</v>
      </c>
      <c r="G100" s="2">
        <v>4</v>
      </c>
      <c r="H100" s="2">
        <v>800</v>
      </c>
      <c r="I100" s="2">
        <v>25</v>
      </c>
      <c r="J100" s="2" t="s">
        <v>1779</v>
      </c>
      <c r="K100" s="2">
        <v>35</v>
      </c>
      <c r="L100" s="2">
        <v>15</v>
      </c>
      <c r="M100" s="2">
        <v>0</v>
      </c>
      <c r="N100" s="2">
        <v>10</v>
      </c>
      <c r="O100" s="2">
        <v>5</v>
      </c>
      <c r="P100" s="2">
        <v>5</v>
      </c>
      <c r="Q100" s="2" t="s">
        <v>2186</v>
      </c>
      <c r="R100" s="2" t="s">
        <v>2187</v>
      </c>
      <c r="S100" s="4">
        <v>44837</v>
      </c>
    </row>
    <row r="101" spans="1:19" ht="12.5" x14ac:dyDescent="0.25">
      <c r="A101" s="14" t="str">
        <f>HYPERLINK("https://gerandofalcoes.my.salesforce.com/0014X00002VKCuYQAX", "0014X00002VKCuYQAX")</f>
        <v>0014X00002VKCuYQAX</v>
      </c>
      <c r="B101" s="2" t="s">
        <v>2049</v>
      </c>
      <c r="C101" s="2" t="s">
        <v>423</v>
      </c>
      <c r="D101" s="2" t="s">
        <v>2</v>
      </c>
      <c r="E101" s="2">
        <v>37</v>
      </c>
      <c r="F101" s="2">
        <v>0</v>
      </c>
      <c r="G101" s="2">
        <v>4</v>
      </c>
      <c r="H101" s="2">
        <v>2500</v>
      </c>
      <c r="I101" s="2">
        <v>100</v>
      </c>
      <c r="J101" s="2" t="s">
        <v>1671</v>
      </c>
      <c r="K101" s="2">
        <v>40</v>
      </c>
      <c r="L101" s="2">
        <v>15</v>
      </c>
      <c r="M101" s="2">
        <v>0</v>
      </c>
      <c r="N101" s="2">
        <v>10</v>
      </c>
      <c r="O101" s="2">
        <v>5</v>
      </c>
      <c r="P101" s="2">
        <v>10</v>
      </c>
      <c r="Q101" s="2" t="s">
        <v>7193</v>
      </c>
      <c r="R101" s="2" t="s">
        <v>2050</v>
      </c>
      <c r="S101" s="4">
        <v>44837</v>
      </c>
    </row>
    <row r="102" spans="1:19" ht="12.5" x14ac:dyDescent="0.25">
      <c r="A102" s="14" t="str">
        <f>HYPERLINK("https://gerandofalcoes.my.salesforce.com/0014X00002VKCq2QAH", "0014X00002VKCq2QAH")</f>
        <v>0014X00002VKCq2QAH</v>
      </c>
      <c r="B102" s="2" t="s">
        <v>2390</v>
      </c>
      <c r="C102" s="2" t="s">
        <v>423</v>
      </c>
      <c r="D102" s="2" t="s">
        <v>2</v>
      </c>
      <c r="E102" s="2">
        <v>29</v>
      </c>
      <c r="F102" s="2">
        <v>0</v>
      </c>
      <c r="G102" s="2">
        <v>2</v>
      </c>
      <c r="H102" s="2">
        <v>0</v>
      </c>
      <c r="I102" s="2">
        <v>260</v>
      </c>
      <c r="J102" s="2" t="s">
        <v>1779</v>
      </c>
      <c r="K102" s="2">
        <v>33</v>
      </c>
      <c r="L102" s="2">
        <v>15</v>
      </c>
      <c r="M102" s="2">
        <v>0</v>
      </c>
      <c r="N102" s="2">
        <v>6</v>
      </c>
      <c r="O102" s="2">
        <v>0</v>
      </c>
      <c r="P102" s="2">
        <v>12</v>
      </c>
      <c r="Q102" s="2" t="s">
        <v>2391</v>
      </c>
      <c r="R102" s="2" t="s">
        <v>2392</v>
      </c>
      <c r="S102" s="4">
        <v>44837</v>
      </c>
    </row>
    <row r="103" spans="1:19" ht="12.5" x14ac:dyDescent="0.25">
      <c r="A103" s="14" t="str">
        <f>HYPERLINK("https://gerandofalcoes.my.salesforce.com/0014X00002VKCsGQAX", "0014X00002VKCsGQAX")</f>
        <v>0014X00002VKCsGQAX</v>
      </c>
      <c r="B103" s="2" t="s">
        <v>2657</v>
      </c>
      <c r="C103" s="2" t="s">
        <v>423</v>
      </c>
      <c r="D103" s="2" t="s">
        <v>2</v>
      </c>
      <c r="E103" s="2">
        <v>17</v>
      </c>
      <c r="F103" s="2">
        <v>0</v>
      </c>
      <c r="G103" s="2">
        <v>9</v>
      </c>
      <c r="H103" s="2">
        <v>1000</v>
      </c>
      <c r="I103" s="2">
        <v>50</v>
      </c>
      <c r="J103" s="2" t="s">
        <v>1779</v>
      </c>
      <c r="K103" s="2">
        <v>30</v>
      </c>
      <c r="L103" s="2">
        <v>10</v>
      </c>
      <c r="M103" s="2">
        <v>0</v>
      </c>
      <c r="N103" s="2">
        <v>10</v>
      </c>
      <c r="O103" s="2">
        <v>5</v>
      </c>
      <c r="P103" s="2">
        <v>5</v>
      </c>
      <c r="Q103" s="2" t="s">
        <v>2658</v>
      </c>
      <c r="R103" s="2" t="s">
        <v>2659</v>
      </c>
      <c r="S103" s="4">
        <v>44837</v>
      </c>
    </row>
    <row r="104" spans="1:19" ht="12.5" x14ac:dyDescent="0.25">
      <c r="A104" s="14" t="str">
        <f>HYPERLINK("https://gerandofalcoes.my.salesforce.com/0014X00002VKCuhQAH", "0014X00002VKCuhQAH")</f>
        <v>0014X00002VKCuhQAH</v>
      </c>
      <c r="B104" s="2" t="s">
        <v>2423</v>
      </c>
      <c r="C104" s="2" t="s">
        <v>423</v>
      </c>
      <c r="D104" s="2" t="s">
        <v>2</v>
      </c>
      <c r="E104" s="2">
        <v>25</v>
      </c>
      <c r="F104" s="2">
        <v>0</v>
      </c>
      <c r="G104" s="2">
        <v>3</v>
      </c>
      <c r="H104" s="2">
        <v>12000</v>
      </c>
      <c r="I104" s="2">
        <v>0</v>
      </c>
      <c r="J104" s="2" t="s">
        <v>1779</v>
      </c>
      <c r="K104" s="2">
        <v>28</v>
      </c>
      <c r="L104" s="2">
        <v>15</v>
      </c>
      <c r="M104" s="2">
        <v>0</v>
      </c>
      <c r="N104" s="2">
        <v>8</v>
      </c>
      <c r="O104" s="2">
        <v>5</v>
      </c>
      <c r="P104" s="2">
        <v>0</v>
      </c>
      <c r="Q104" s="2" t="s">
        <v>2424</v>
      </c>
      <c r="R104" s="2" t="s">
        <v>2424</v>
      </c>
      <c r="S104" s="4">
        <v>44837</v>
      </c>
    </row>
    <row r="105" spans="1:19" ht="12.5" x14ac:dyDescent="0.25">
      <c r="A105" s="14" t="str">
        <f>HYPERLINK("https://gerandofalcoes.my.salesforce.com/0014X00002VKCp6QAH", "0014X00002VKCp6QAH")</f>
        <v>0014X00002VKCp6QAH</v>
      </c>
      <c r="B105" s="2" t="s">
        <v>2256</v>
      </c>
      <c r="C105" s="2" t="s">
        <v>423</v>
      </c>
      <c r="D105" s="2" t="s">
        <v>2</v>
      </c>
      <c r="E105" s="2">
        <v>48</v>
      </c>
      <c r="F105" s="2">
        <v>0</v>
      </c>
      <c r="G105" s="2">
        <v>2</v>
      </c>
      <c r="H105" s="2">
        <v>100000</v>
      </c>
      <c r="I105" s="2">
        <v>230</v>
      </c>
      <c r="J105" s="2" t="s">
        <v>1671</v>
      </c>
      <c r="K105" s="2">
        <v>48</v>
      </c>
      <c r="L105" s="2">
        <v>15</v>
      </c>
      <c r="M105" s="2">
        <v>0</v>
      </c>
      <c r="N105" s="2">
        <v>6</v>
      </c>
      <c r="O105" s="2">
        <v>15</v>
      </c>
      <c r="P105" s="2">
        <v>12</v>
      </c>
      <c r="Q105" s="2" t="s">
        <v>2257</v>
      </c>
      <c r="R105" s="2" t="s">
        <v>2258</v>
      </c>
      <c r="S105" s="4">
        <v>44837</v>
      </c>
    </row>
    <row r="106" spans="1:19" ht="12.5" x14ac:dyDescent="0.25">
      <c r="A106" s="14" t="str">
        <f>HYPERLINK("https://gerandofalcoes.my.salesforce.com/0014X00002VKCuLQAX", "0014X00002VKCuLQAX")</f>
        <v>0014X00002VKCuLQAX</v>
      </c>
      <c r="B106" s="2" t="s">
        <v>2950</v>
      </c>
      <c r="C106" s="2" t="s">
        <v>423</v>
      </c>
      <c r="D106" s="2" t="s">
        <v>2</v>
      </c>
      <c r="E106" s="2">
        <v>24</v>
      </c>
      <c r="F106" s="2">
        <v>0</v>
      </c>
      <c r="G106" s="2">
        <v>4</v>
      </c>
      <c r="H106" s="2">
        <v>0</v>
      </c>
      <c r="I106" s="2">
        <v>20</v>
      </c>
      <c r="J106" s="2" t="s">
        <v>1779</v>
      </c>
      <c r="K106" s="2">
        <v>25</v>
      </c>
      <c r="L106" s="2">
        <v>10</v>
      </c>
      <c r="M106" s="2">
        <v>0</v>
      </c>
      <c r="N106" s="2">
        <v>10</v>
      </c>
      <c r="O106" s="2">
        <v>0</v>
      </c>
      <c r="P106" s="2">
        <v>5</v>
      </c>
      <c r="Q106" s="2" t="s">
        <v>2951</v>
      </c>
      <c r="R106" s="2" t="s">
        <v>2951</v>
      </c>
      <c r="S106" s="4">
        <v>44837</v>
      </c>
    </row>
    <row r="107" spans="1:19" ht="12.5" x14ac:dyDescent="0.25">
      <c r="A107" s="14" t="str">
        <f>HYPERLINK("https://gerandofalcoes.my.salesforce.com/0014X00002VKCpFQAX", "0014X00002VKCpFQAX")</f>
        <v>0014X00002VKCpFQAX</v>
      </c>
      <c r="B107" s="2" t="s">
        <v>2757</v>
      </c>
      <c r="C107" s="2" t="s">
        <v>423</v>
      </c>
      <c r="D107" s="2" t="s">
        <v>2</v>
      </c>
      <c r="E107" s="2">
        <v>14</v>
      </c>
      <c r="F107" s="2">
        <v>0</v>
      </c>
      <c r="G107" s="2">
        <v>2</v>
      </c>
      <c r="H107" s="2">
        <v>5000</v>
      </c>
      <c r="I107" s="2">
        <v>30</v>
      </c>
      <c r="J107" s="2" t="s">
        <v>1779</v>
      </c>
      <c r="K107" s="2">
        <v>26</v>
      </c>
      <c r="L107" s="2">
        <v>10</v>
      </c>
      <c r="M107" s="2">
        <v>0</v>
      </c>
      <c r="N107" s="2">
        <v>6</v>
      </c>
      <c r="O107" s="2">
        <v>5</v>
      </c>
      <c r="P107" s="2">
        <v>5</v>
      </c>
      <c r="Q107" s="2" t="s">
        <v>2758</v>
      </c>
      <c r="R107" s="2" t="s">
        <v>2758</v>
      </c>
      <c r="S107" s="4">
        <v>44837</v>
      </c>
    </row>
    <row r="108" spans="1:19" ht="12.5" x14ac:dyDescent="0.25">
      <c r="A108" s="14" t="str">
        <f>HYPERLINK("https://gerandofalcoes.my.salesforce.com/0014X00002VKCt0QAH", "0014X00002VKCt0QAH")</f>
        <v>0014X00002VKCt0QAH</v>
      </c>
      <c r="B108" s="2" t="s">
        <v>1975</v>
      </c>
      <c r="C108" s="2" t="s">
        <v>423</v>
      </c>
      <c r="D108" s="2" t="s">
        <v>2</v>
      </c>
      <c r="E108" s="2">
        <v>53</v>
      </c>
      <c r="F108" s="2">
        <v>0</v>
      </c>
      <c r="G108" s="2">
        <v>4</v>
      </c>
      <c r="H108" s="2">
        <v>53000</v>
      </c>
      <c r="I108" s="2">
        <v>44</v>
      </c>
      <c r="J108" s="2" t="s">
        <v>1671</v>
      </c>
      <c r="K108" s="2">
        <v>45</v>
      </c>
      <c r="L108" s="2">
        <v>20</v>
      </c>
      <c r="M108" s="2">
        <v>0</v>
      </c>
      <c r="N108" s="2">
        <v>10</v>
      </c>
      <c r="O108" s="2">
        <v>10</v>
      </c>
      <c r="P108" s="2">
        <v>5</v>
      </c>
      <c r="Q108" s="2" t="s">
        <v>1976</v>
      </c>
      <c r="R108" s="2" t="s">
        <v>1976</v>
      </c>
      <c r="S108" s="4">
        <v>44837</v>
      </c>
    </row>
    <row r="109" spans="1:19" ht="12.5" x14ac:dyDescent="0.25">
      <c r="A109" s="14" t="str">
        <f>HYPERLINK("https://gerandofalcoes.my.salesforce.com/0014X00002VKCv4QAH", "0014X00002VKCv4QAH")</f>
        <v>0014X00002VKCv4QAH</v>
      </c>
      <c r="B109" s="2" t="s">
        <v>1788</v>
      </c>
      <c r="C109" s="2" t="s">
        <v>423</v>
      </c>
      <c r="D109" s="2" t="s">
        <v>2</v>
      </c>
      <c r="E109" s="2">
        <v>56</v>
      </c>
      <c r="F109" s="2">
        <v>1</v>
      </c>
      <c r="G109" s="2">
        <v>2</v>
      </c>
      <c r="H109" s="2">
        <v>63500</v>
      </c>
      <c r="I109" s="2">
        <v>74</v>
      </c>
      <c r="J109" s="2" t="s">
        <v>1671</v>
      </c>
      <c r="K109" s="2">
        <v>46</v>
      </c>
      <c r="L109" s="2">
        <v>20</v>
      </c>
      <c r="M109" s="2">
        <v>5</v>
      </c>
      <c r="N109" s="2">
        <v>6</v>
      </c>
      <c r="O109" s="2">
        <v>10</v>
      </c>
      <c r="P109" s="2">
        <v>5</v>
      </c>
      <c r="Q109" s="2" t="s">
        <v>1789</v>
      </c>
      <c r="R109" s="2" t="s">
        <v>1790</v>
      </c>
      <c r="S109" s="4">
        <v>44837</v>
      </c>
    </row>
    <row r="110" spans="1:19" ht="12.5" x14ac:dyDescent="0.25">
      <c r="A110" s="14" t="str">
        <f>HYPERLINK("https://gerandofalcoes.my.salesforce.com/0014X00002VKCpzQAH", "0014X00002VKCpzQAH")</f>
        <v>0014X00002VKCpzQAH</v>
      </c>
      <c r="B110" s="2" t="s">
        <v>2346</v>
      </c>
      <c r="C110" s="2" t="s">
        <v>423</v>
      </c>
      <c r="D110" s="2" t="s">
        <v>2</v>
      </c>
      <c r="E110" s="2">
        <v>53</v>
      </c>
      <c r="F110" s="2">
        <v>0</v>
      </c>
      <c r="G110" s="2">
        <v>3</v>
      </c>
      <c r="H110" s="2">
        <v>50879</v>
      </c>
      <c r="I110" s="2">
        <v>96</v>
      </c>
      <c r="J110" s="2" t="s">
        <v>1671</v>
      </c>
      <c r="K110" s="2">
        <v>48</v>
      </c>
      <c r="L110" s="2">
        <v>20</v>
      </c>
      <c r="M110" s="2">
        <v>0</v>
      </c>
      <c r="N110" s="2">
        <v>8</v>
      </c>
      <c r="O110" s="2">
        <v>10</v>
      </c>
      <c r="P110" s="2">
        <v>10</v>
      </c>
      <c r="Q110" s="2" t="s">
        <v>2347</v>
      </c>
      <c r="R110" s="2" t="s">
        <v>2348</v>
      </c>
      <c r="S110" s="4">
        <v>44837</v>
      </c>
    </row>
    <row r="111" spans="1:19" ht="12.5" x14ac:dyDescent="0.25">
      <c r="A111" s="14" t="str">
        <f>HYPERLINK("https://gerandofalcoes.my.salesforce.com/0014X00002VKCtuQAH", "0014X00002VKCtuQAH")</f>
        <v>0014X00002VKCtuQAH</v>
      </c>
      <c r="B111" s="2" t="s">
        <v>2768</v>
      </c>
      <c r="C111" s="2" t="s">
        <v>423</v>
      </c>
      <c r="D111" s="2" t="s">
        <v>2</v>
      </c>
      <c r="E111" s="2">
        <v>38</v>
      </c>
      <c r="F111" s="2">
        <v>0</v>
      </c>
      <c r="G111" s="2">
        <v>2</v>
      </c>
      <c r="H111" s="2">
        <v>50000</v>
      </c>
      <c r="I111" s="2">
        <v>50</v>
      </c>
      <c r="J111" s="2" t="s">
        <v>1779</v>
      </c>
      <c r="K111" s="2">
        <v>36</v>
      </c>
      <c r="L111" s="2">
        <v>15</v>
      </c>
      <c r="M111" s="2">
        <v>0</v>
      </c>
      <c r="N111" s="2">
        <v>6</v>
      </c>
      <c r="O111" s="2">
        <v>10</v>
      </c>
      <c r="P111" s="2">
        <v>5</v>
      </c>
      <c r="Q111" s="2" t="s">
        <v>2769</v>
      </c>
      <c r="R111" s="2" t="s">
        <v>2770</v>
      </c>
      <c r="S111" s="4">
        <v>44837</v>
      </c>
    </row>
    <row r="112" spans="1:19" ht="12.5" x14ac:dyDescent="0.25">
      <c r="A112" s="14" t="str">
        <f>HYPERLINK("https://gerandofalcoes.my.salesforce.com/0014X00002VKCr8QAH", "0014X00002VKCr8QAH")</f>
        <v>0014X00002VKCr8QAH</v>
      </c>
      <c r="B112" s="2" t="s">
        <v>2830</v>
      </c>
      <c r="C112" s="2" t="s">
        <v>423</v>
      </c>
      <c r="D112" s="2" t="s">
        <v>2</v>
      </c>
      <c r="E112" s="2">
        <v>60</v>
      </c>
      <c r="F112" s="2">
        <v>9</v>
      </c>
      <c r="G112" s="2">
        <v>4</v>
      </c>
      <c r="H112" s="2">
        <v>400000</v>
      </c>
      <c r="I112" s="2">
        <v>539</v>
      </c>
      <c r="J112" s="2" t="s">
        <v>1654</v>
      </c>
      <c r="K112" s="2">
        <v>80</v>
      </c>
      <c r="L112" s="2">
        <v>20</v>
      </c>
      <c r="M112" s="2">
        <v>10</v>
      </c>
      <c r="N112" s="2">
        <v>10</v>
      </c>
      <c r="O112" s="2">
        <v>20</v>
      </c>
      <c r="P112" s="2">
        <v>20</v>
      </c>
      <c r="Q112" s="2" t="s">
        <v>2831</v>
      </c>
      <c r="R112" s="2" t="s">
        <v>2831</v>
      </c>
      <c r="S112" s="4">
        <v>44837</v>
      </c>
    </row>
    <row r="113" spans="1:19" ht="12.5" x14ac:dyDescent="0.25">
      <c r="A113" s="14" t="str">
        <f>HYPERLINK("https://gerandofalcoes.my.salesforce.com/0014X00002VKCr4QAH", "0014X00002VKCr4QAH")</f>
        <v>0014X00002VKCr4QAH</v>
      </c>
      <c r="B113" s="2" t="s">
        <v>2026</v>
      </c>
      <c r="C113" s="2" t="s">
        <v>423</v>
      </c>
      <c r="D113" s="2" t="s">
        <v>2</v>
      </c>
      <c r="E113" s="2">
        <v>47</v>
      </c>
      <c r="F113" s="2">
        <v>12</v>
      </c>
      <c r="G113" s="2">
        <v>5</v>
      </c>
      <c r="H113" s="2">
        <v>414092</v>
      </c>
      <c r="I113" s="2">
        <v>289</v>
      </c>
      <c r="J113" s="2" t="s">
        <v>1650</v>
      </c>
      <c r="K113" s="2">
        <v>69</v>
      </c>
      <c r="L113" s="2">
        <v>15</v>
      </c>
      <c r="M113" s="2">
        <v>12</v>
      </c>
      <c r="N113" s="2">
        <v>10</v>
      </c>
      <c r="O113" s="2">
        <v>20</v>
      </c>
      <c r="P113" s="2">
        <v>12</v>
      </c>
      <c r="Q113" s="2" t="s">
        <v>2027</v>
      </c>
      <c r="R113" s="2" t="s">
        <v>2027</v>
      </c>
      <c r="S113" s="4">
        <v>44837</v>
      </c>
    </row>
    <row r="114" spans="1:19" ht="12.5" x14ac:dyDescent="0.25">
      <c r="A114" s="14" t="str">
        <f>HYPERLINK("https://gerandofalcoes.my.salesforce.com/0014X00002VKCrlQAH", "0014X00002VKCrlQAH")</f>
        <v>0014X00002VKCrlQAH</v>
      </c>
      <c r="B114" s="2" t="s">
        <v>1850</v>
      </c>
      <c r="C114" s="2" t="s">
        <v>423</v>
      </c>
      <c r="D114" s="2" t="s">
        <v>2</v>
      </c>
      <c r="E114" s="2">
        <v>48</v>
      </c>
      <c r="F114" s="2">
        <v>0</v>
      </c>
      <c r="G114" s="2">
        <v>2</v>
      </c>
      <c r="H114" s="2">
        <v>30000</v>
      </c>
      <c r="I114" s="2">
        <v>3</v>
      </c>
      <c r="J114" s="2" t="s">
        <v>1779</v>
      </c>
      <c r="K114" s="2">
        <v>36</v>
      </c>
      <c r="L114" s="2">
        <v>15</v>
      </c>
      <c r="M114" s="2">
        <v>0</v>
      </c>
      <c r="N114" s="2">
        <v>6</v>
      </c>
      <c r="O114" s="2">
        <v>10</v>
      </c>
      <c r="P114" s="2">
        <v>5</v>
      </c>
      <c r="Q114" s="2" t="s">
        <v>1851</v>
      </c>
      <c r="R114" s="2" t="s">
        <v>1851</v>
      </c>
      <c r="S114" s="4">
        <v>44837</v>
      </c>
    </row>
    <row r="115" spans="1:19" ht="12.5" x14ac:dyDescent="0.25">
      <c r="A115" s="14" t="str">
        <f>HYPERLINK("https://gerandofalcoes.my.salesforce.com/0014X00002VKCpbQAH", "0014X00002VKCpbQAH")</f>
        <v>0014X00002VKCpbQAH</v>
      </c>
      <c r="B115" s="2" t="s">
        <v>7205</v>
      </c>
      <c r="C115" s="2" t="s">
        <v>423</v>
      </c>
      <c r="D115" s="2" t="s">
        <v>2</v>
      </c>
      <c r="E115" s="2">
        <v>43</v>
      </c>
      <c r="F115" s="2">
        <v>20</v>
      </c>
      <c r="G115" s="2">
        <v>2</v>
      </c>
      <c r="H115" s="2">
        <v>2000</v>
      </c>
      <c r="I115" s="2">
        <v>30</v>
      </c>
      <c r="J115" s="2" t="s">
        <v>1671</v>
      </c>
      <c r="K115" s="2">
        <v>43</v>
      </c>
      <c r="L115" s="2">
        <v>15</v>
      </c>
      <c r="M115" s="2">
        <v>12</v>
      </c>
      <c r="N115" s="2">
        <v>6</v>
      </c>
      <c r="O115" s="2">
        <v>5</v>
      </c>
      <c r="P115" s="2">
        <v>5</v>
      </c>
      <c r="Q115" s="2"/>
      <c r="R115" s="2" t="s">
        <v>1914</v>
      </c>
      <c r="S115" s="4">
        <v>44837</v>
      </c>
    </row>
    <row r="116" spans="1:19" ht="12.5" x14ac:dyDescent="0.25">
      <c r="A116" s="14" t="str">
        <f>HYPERLINK("https://gerandofalcoes.my.salesforce.com/0014X00002VKCpYQAX", "0014X00002VKCpYQAX")</f>
        <v>0014X00002VKCpYQAX</v>
      </c>
      <c r="B116" s="2" t="s">
        <v>2328</v>
      </c>
      <c r="C116" s="2" t="s">
        <v>423</v>
      </c>
      <c r="D116" s="2" t="s">
        <v>2</v>
      </c>
      <c r="E116" s="2">
        <v>28</v>
      </c>
      <c r="F116" s="2">
        <v>0</v>
      </c>
      <c r="G116" s="2">
        <v>5</v>
      </c>
      <c r="H116" s="2">
        <v>4000</v>
      </c>
      <c r="I116" s="2">
        <v>30</v>
      </c>
      <c r="J116" s="2" t="s">
        <v>1779</v>
      </c>
      <c r="K116" s="2">
        <v>35</v>
      </c>
      <c r="L116" s="2">
        <v>15</v>
      </c>
      <c r="M116" s="2">
        <v>0</v>
      </c>
      <c r="N116" s="2">
        <v>10</v>
      </c>
      <c r="O116" s="2">
        <v>5</v>
      </c>
      <c r="P116" s="2">
        <v>5</v>
      </c>
      <c r="Q116" s="2" t="s">
        <v>2329</v>
      </c>
      <c r="R116" s="2" t="s">
        <v>2329</v>
      </c>
      <c r="S116" s="4">
        <v>44837</v>
      </c>
    </row>
    <row r="117" spans="1:19" ht="12.5" x14ac:dyDescent="0.25">
      <c r="A117" s="14" t="str">
        <f>HYPERLINK("https://gerandofalcoes.my.salesforce.com/0014X00002VKCuwQAH", "0014X00002VKCuwQAH")</f>
        <v>0014X00002VKCuwQAH</v>
      </c>
      <c r="B117" s="2" t="s">
        <v>2378</v>
      </c>
      <c r="C117" s="2" t="s">
        <v>423</v>
      </c>
      <c r="D117" s="2" t="s">
        <v>2</v>
      </c>
      <c r="E117" s="2">
        <v>26</v>
      </c>
      <c r="F117" s="2">
        <v>0</v>
      </c>
      <c r="G117" s="2">
        <v>2</v>
      </c>
      <c r="H117" s="2">
        <v>50000</v>
      </c>
      <c r="I117" s="2">
        <v>0</v>
      </c>
      <c r="J117" s="2" t="s">
        <v>1779</v>
      </c>
      <c r="K117" s="2">
        <v>31</v>
      </c>
      <c r="L117" s="2">
        <v>15</v>
      </c>
      <c r="M117" s="2">
        <v>0</v>
      </c>
      <c r="N117" s="2">
        <v>6</v>
      </c>
      <c r="O117" s="2">
        <v>10</v>
      </c>
      <c r="P117" s="2">
        <v>0</v>
      </c>
      <c r="Q117" s="2" t="s">
        <v>2379</v>
      </c>
      <c r="R117" s="2" t="s">
        <v>2380</v>
      </c>
      <c r="S117" s="4">
        <v>44837</v>
      </c>
    </row>
    <row r="118" spans="1:19" ht="12.5" x14ac:dyDescent="0.25">
      <c r="A118" s="14" t="str">
        <f>HYPERLINK("https://gerandofalcoes.my.salesforce.com/0014X00002VKCugQAH", "0014X00002VKCugQAH")</f>
        <v>0014X00002VKCugQAH</v>
      </c>
      <c r="B118" s="2" t="s">
        <v>2935</v>
      </c>
      <c r="C118" s="2" t="s">
        <v>423</v>
      </c>
      <c r="D118" s="2" t="s">
        <v>2</v>
      </c>
      <c r="E118" s="2">
        <v>6</v>
      </c>
      <c r="F118" s="2">
        <v>0</v>
      </c>
      <c r="G118" s="2">
        <v>2</v>
      </c>
      <c r="H118" s="2">
        <v>3000</v>
      </c>
      <c r="I118" s="2">
        <v>0</v>
      </c>
      <c r="J118" s="2" t="s">
        <v>1779</v>
      </c>
      <c r="K118" s="2">
        <v>21</v>
      </c>
      <c r="L118" s="2">
        <v>10</v>
      </c>
      <c r="M118" s="2">
        <v>0</v>
      </c>
      <c r="N118" s="2">
        <v>6</v>
      </c>
      <c r="O118" s="2">
        <v>5</v>
      </c>
      <c r="P118" s="2">
        <v>0</v>
      </c>
      <c r="Q118" s="2" t="s">
        <v>2936</v>
      </c>
      <c r="R118" s="2" t="s">
        <v>2937</v>
      </c>
      <c r="S118" s="4">
        <v>44837</v>
      </c>
    </row>
    <row r="119" spans="1:19" ht="12.5" x14ac:dyDescent="0.25">
      <c r="A119" s="14" t="str">
        <f>HYPERLINK("https://gerandofalcoes.my.salesforce.com/0014X00002VKCtDQAX", "0014X00002VKCtDQAX")</f>
        <v>0014X00002VKCtDQAX</v>
      </c>
      <c r="B119" s="2" t="s">
        <v>2955</v>
      </c>
      <c r="C119" s="2" t="s">
        <v>423</v>
      </c>
      <c r="D119" s="2" t="s">
        <v>2</v>
      </c>
      <c r="E119" s="2">
        <v>13</v>
      </c>
      <c r="F119" s="2">
        <v>5</v>
      </c>
      <c r="G119" s="2">
        <v>2</v>
      </c>
      <c r="H119" s="2">
        <v>2000</v>
      </c>
      <c r="I119" s="2">
        <v>30</v>
      </c>
      <c r="J119" s="2" t="s">
        <v>1779</v>
      </c>
      <c r="K119" s="2">
        <v>31</v>
      </c>
      <c r="L119" s="2">
        <v>10</v>
      </c>
      <c r="M119" s="2">
        <v>5</v>
      </c>
      <c r="N119" s="2">
        <v>6</v>
      </c>
      <c r="O119" s="2">
        <v>5</v>
      </c>
      <c r="P119" s="2">
        <v>5</v>
      </c>
      <c r="Q119" s="2" t="s">
        <v>2956</v>
      </c>
      <c r="R119" s="2" t="s">
        <v>2957</v>
      </c>
      <c r="S119" s="4">
        <v>44837</v>
      </c>
    </row>
    <row r="120" spans="1:19" ht="12.5" x14ac:dyDescent="0.25">
      <c r="A120" s="14" t="str">
        <f>HYPERLINK("https://gerandofalcoes.my.salesforce.com/0014X00002VKCuVQAX", "0014X00002VKCuVQAX")</f>
        <v>0014X00002VKCuVQAX</v>
      </c>
      <c r="B120" s="2" t="s">
        <v>2675</v>
      </c>
      <c r="C120" s="2" t="s">
        <v>423</v>
      </c>
      <c r="D120" s="2" t="s">
        <v>2</v>
      </c>
      <c r="E120" s="2">
        <v>17</v>
      </c>
      <c r="F120" s="2">
        <v>0</v>
      </c>
      <c r="G120" s="2">
        <v>2</v>
      </c>
      <c r="H120" s="2">
        <v>12000</v>
      </c>
      <c r="I120" s="2">
        <v>0</v>
      </c>
      <c r="J120" s="2" t="s">
        <v>1779</v>
      </c>
      <c r="K120" s="2">
        <v>21</v>
      </c>
      <c r="L120" s="2">
        <v>10</v>
      </c>
      <c r="M120" s="2">
        <v>0</v>
      </c>
      <c r="N120" s="2">
        <v>6</v>
      </c>
      <c r="O120" s="2">
        <v>5</v>
      </c>
      <c r="P120" s="2">
        <v>0</v>
      </c>
      <c r="Q120" s="2"/>
      <c r="R120" s="2" t="s">
        <v>2676</v>
      </c>
      <c r="S120" s="4">
        <v>44837</v>
      </c>
    </row>
    <row r="121" spans="1:19" ht="12.5" x14ac:dyDescent="0.25">
      <c r="A121" s="14" t="str">
        <f>HYPERLINK("https://gerandofalcoes.my.salesforce.com/0014X00002VKCsoQAH", "0014X00002VKCsoQAH")</f>
        <v>0014X00002VKCsoQAH</v>
      </c>
      <c r="B121" s="2" t="s">
        <v>1885</v>
      </c>
      <c r="C121" s="2" t="s">
        <v>1800</v>
      </c>
      <c r="D121" s="2" t="s">
        <v>2</v>
      </c>
      <c r="E121" s="2">
        <v>44</v>
      </c>
      <c r="F121" s="2">
        <v>0</v>
      </c>
      <c r="G121" s="2">
        <v>5</v>
      </c>
      <c r="H121" s="2">
        <v>35000</v>
      </c>
      <c r="I121" s="2">
        <v>240</v>
      </c>
      <c r="J121" s="2" t="s">
        <v>1671</v>
      </c>
      <c r="K121" s="2">
        <v>47</v>
      </c>
      <c r="L121" s="2">
        <v>15</v>
      </c>
      <c r="M121" s="2">
        <v>0</v>
      </c>
      <c r="N121" s="2">
        <v>10</v>
      </c>
      <c r="O121" s="2">
        <v>10</v>
      </c>
      <c r="P121" s="2">
        <v>12</v>
      </c>
      <c r="Q121" s="2" t="s">
        <v>1886</v>
      </c>
      <c r="R121" s="2" t="s">
        <v>1886</v>
      </c>
      <c r="S121" s="4">
        <v>44837</v>
      </c>
    </row>
    <row r="122" spans="1:19" ht="12.5" x14ac:dyDescent="0.25">
      <c r="A122" s="14" t="str">
        <f>HYPERLINK("https://gerandofalcoes.my.salesforce.com/0014X00002VKCqzQAH", "0014X00002VKCqzQAH")</f>
        <v>0014X00002VKCqzQAH</v>
      </c>
      <c r="B122" s="2" t="s">
        <v>2490</v>
      </c>
      <c r="C122" s="2" t="s">
        <v>423</v>
      </c>
      <c r="D122" s="2" t="s">
        <v>2</v>
      </c>
      <c r="E122" s="2">
        <v>22</v>
      </c>
      <c r="F122" s="2">
        <v>0</v>
      </c>
      <c r="G122" s="2">
        <v>3</v>
      </c>
      <c r="H122" s="2">
        <v>3000</v>
      </c>
      <c r="I122" s="2">
        <v>0</v>
      </c>
      <c r="J122" s="2" t="s">
        <v>1779</v>
      </c>
      <c r="K122" s="2">
        <v>23</v>
      </c>
      <c r="L122" s="2">
        <v>10</v>
      </c>
      <c r="M122" s="2">
        <v>0</v>
      </c>
      <c r="N122" s="2">
        <v>8</v>
      </c>
      <c r="O122" s="2">
        <v>5</v>
      </c>
      <c r="P122" s="2">
        <v>0</v>
      </c>
      <c r="Q122" s="2" t="s">
        <v>2491</v>
      </c>
      <c r="R122" s="2" t="s">
        <v>2491</v>
      </c>
      <c r="S122" s="4">
        <v>44837</v>
      </c>
    </row>
    <row r="123" spans="1:19" ht="12.5" x14ac:dyDescent="0.25">
      <c r="A123" s="14" t="str">
        <f>HYPERLINK("https://gerandofalcoes.my.salesforce.com/0014X00002VKCtAQAX", "0014X00002VKCtAQAX")</f>
        <v>0014X00002VKCtAQAX</v>
      </c>
      <c r="B123" s="2" t="s">
        <v>2267</v>
      </c>
      <c r="C123" s="2" t="s">
        <v>423</v>
      </c>
      <c r="D123" s="2" t="s">
        <v>2</v>
      </c>
      <c r="E123" s="2">
        <v>30</v>
      </c>
      <c r="F123" s="2">
        <v>0</v>
      </c>
      <c r="G123" s="2">
        <v>3</v>
      </c>
      <c r="H123" s="2">
        <v>12000</v>
      </c>
      <c r="I123" s="2">
        <v>140</v>
      </c>
      <c r="J123" s="2" t="s">
        <v>1779</v>
      </c>
      <c r="K123" s="2">
        <v>38</v>
      </c>
      <c r="L123" s="2">
        <v>15</v>
      </c>
      <c r="M123" s="2">
        <v>0</v>
      </c>
      <c r="N123" s="2">
        <v>8</v>
      </c>
      <c r="O123" s="2">
        <v>5</v>
      </c>
      <c r="P123" s="2">
        <v>10</v>
      </c>
      <c r="Q123" s="2" t="s">
        <v>2268</v>
      </c>
      <c r="R123" s="2" t="s">
        <v>2269</v>
      </c>
      <c r="S123" s="4">
        <v>44837</v>
      </c>
    </row>
    <row r="124" spans="1:19" ht="12.5" x14ac:dyDescent="0.25">
      <c r="A124" s="14" t="str">
        <f>HYPERLINK("https://gerandofalcoes.my.salesforce.com/0014X00002VKCtVQAX", "0014X00002VKCtVQAX")</f>
        <v>0014X00002VKCtVQAX</v>
      </c>
      <c r="B124" s="2" t="s">
        <v>2665</v>
      </c>
      <c r="C124" s="2" t="s">
        <v>423</v>
      </c>
      <c r="D124" s="2" t="s">
        <v>2</v>
      </c>
      <c r="E124" s="2">
        <v>17</v>
      </c>
      <c r="F124" s="2">
        <v>8</v>
      </c>
      <c r="G124" s="2">
        <v>2</v>
      </c>
      <c r="H124" s="2">
        <v>8000</v>
      </c>
      <c r="I124" s="2">
        <v>16</v>
      </c>
      <c r="J124" s="2" t="s">
        <v>1779</v>
      </c>
      <c r="K124" s="2">
        <v>36</v>
      </c>
      <c r="L124" s="2">
        <v>10</v>
      </c>
      <c r="M124" s="2">
        <v>10</v>
      </c>
      <c r="N124" s="2">
        <v>6</v>
      </c>
      <c r="O124" s="2">
        <v>5</v>
      </c>
      <c r="P124" s="2">
        <v>5</v>
      </c>
      <c r="Q124" s="2"/>
      <c r="R124" s="2" t="s">
        <v>2666</v>
      </c>
      <c r="S124" s="4">
        <v>44837</v>
      </c>
    </row>
    <row r="125" spans="1:19" ht="12.5" x14ac:dyDescent="0.25">
      <c r="A125" s="14" t="str">
        <f>HYPERLINK("https://gerandofalcoes.my.salesforce.com/0014X00002VKCuqQAH", "0014X00002VKCuqQAH")</f>
        <v>0014X00002VKCuqQAH</v>
      </c>
      <c r="B125" s="2" t="s">
        <v>2649</v>
      </c>
      <c r="C125" s="2" t="s">
        <v>423</v>
      </c>
      <c r="D125" s="2" t="s">
        <v>2</v>
      </c>
      <c r="E125" s="2">
        <v>23</v>
      </c>
      <c r="F125" s="2">
        <v>0</v>
      </c>
      <c r="G125" s="2">
        <v>2</v>
      </c>
      <c r="H125" s="2">
        <v>0</v>
      </c>
      <c r="I125" s="2">
        <v>60</v>
      </c>
      <c r="J125" s="2" t="s">
        <v>1779</v>
      </c>
      <c r="K125" s="2">
        <v>21</v>
      </c>
      <c r="L125" s="2">
        <v>10</v>
      </c>
      <c r="M125" s="2">
        <v>0</v>
      </c>
      <c r="N125" s="2">
        <v>6</v>
      </c>
      <c r="O125" s="2">
        <v>0</v>
      </c>
      <c r="P125" s="2">
        <v>5</v>
      </c>
      <c r="Q125" s="2" t="s">
        <v>2650</v>
      </c>
      <c r="R125" s="2" t="s">
        <v>2650</v>
      </c>
      <c r="S125" s="4">
        <v>44837</v>
      </c>
    </row>
    <row r="126" spans="1:19" ht="12.5" x14ac:dyDescent="0.25">
      <c r="A126" s="14" t="str">
        <f>HYPERLINK("https://gerandofalcoes.my.salesforce.com/0014X00002VKCrhQAH", "0014X00002VKCrhQAH")</f>
        <v>0014X00002VKCrhQAH</v>
      </c>
      <c r="B126" s="2" t="s">
        <v>3895</v>
      </c>
      <c r="C126" s="2" t="s">
        <v>423</v>
      </c>
      <c r="D126" s="2" t="s">
        <v>2</v>
      </c>
      <c r="E126" s="2">
        <v>45</v>
      </c>
      <c r="F126" s="2">
        <v>6</v>
      </c>
      <c r="G126" s="2">
        <v>5</v>
      </c>
      <c r="H126" s="2">
        <v>150000</v>
      </c>
      <c r="I126" s="2">
        <v>200</v>
      </c>
      <c r="J126" s="2" t="s">
        <v>1671</v>
      </c>
      <c r="K126" s="2">
        <v>62</v>
      </c>
      <c r="L126" s="2">
        <v>15</v>
      </c>
      <c r="M126" s="2">
        <v>10</v>
      </c>
      <c r="N126" s="2">
        <v>10</v>
      </c>
      <c r="O126" s="2">
        <v>15</v>
      </c>
      <c r="P126" s="2">
        <v>12</v>
      </c>
      <c r="Q126" s="2" t="s">
        <v>7168</v>
      </c>
      <c r="R126" s="2" t="s">
        <v>3897</v>
      </c>
      <c r="S126" s="4">
        <v>44837</v>
      </c>
    </row>
    <row r="127" spans="1:19" ht="12.5" x14ac:dyDescent="0.25">
      <c r="A127" s="14" t="str">
        <f>HYPERLINK("https://gerandofalcoes.my.salesforce.com/0014X00002VKCuSQAX", "0014X00002VKCuSQAX")</f>
        <v>0014X00002VKCuSQAX</v>
      </c>
      <c r="B127" s="2" t="s">
        <v>2444</v>
      </c>
      <c r="C127" s="2" t="s">
        <v>423</v>
      </c>
      <c r="D127" s="2" t="s">
        <v>2</v>
      </c>
      <c r="E127" s="2">
        <v>24</v>
      </c>
      <c r="F127" s="2">
        <v>6</v>
      </c>
      <c r="G127" s="2">
        <v>2</v>
      </c>
      <c r="H127" s="2">
        <v>15000</v>
      </c>
      <c r="I127" s="2">
        <v>336</v>
      </c>
      <c r="J127" s="2" t="s">
        <v>1671</v>
      </c>
      <c r="K127" s="2">
        <v>46</v>
      </c>
      <c r="L127" s="2">
        <v>10</v>
      </c>
      <c r="M127" s="2">
        <v>10</v>
      </c>
      <c r="N127" s="2">
        <v>6</v>
      </c>
      <c r="O127" s="2">
        <v>5</v>
      </c>
      <c r="P127" s="2">
        <v>15</v>
      </c>
      <c r="Q127" s="2" t="s">
        <v>2445</v>
      </c>
      <c r="R127" s="2" t="s">
        <v>2446</v>
      </c>
      <c r="S127" s="4">
        <v>44837</v>
      </c>
    </row>
    <row r="128" spans="1:19" ht="12.5" x14ac:dyDescent="0.25">
      <c r="A128" s="14" t="str">
        <f>HYPERLINK("https://gerandofalcoes.my.salesforce.com/0014X00002VKCr2QAH", "0014X00002VKCr2QAH")</f>
        <v>0014X00002VKCr2QAH</v>
      </c>
      <c r="B128" s="2" t="s">
        <v>1915</v>
      </c>
      <c r="C128" s="2" t="s">
        <v>423</v>
      </c>
      <c r="D128" s="2" t="s">
        <v>2</v>
      </c>
      <c r="E128" s="2">
        <v>36</v>
      </c>
      <c r="F128" s="2">
        <v>8</v>
      </c>
      <c r="G128" s="2">
        <v>3</v>
      </c>
      <c r="H128" s="2">
        <v>3000</v>
      </c>
      <c r="I128" s="2">
        <v>25</v>
      </c>
      <c r="J128" s="2" t="s">
        <v>1671</v>
      </c>
      <c r="K128" s="2">
        <v>43</v>
      </c>
      <c r="L128" s="2">
        <v>15</v>
      </c>
      <c r="M128" s="2">
        <v>10</v>
      </c>
      <c r="N128" s="2">
        <v>8</v>
      </c>
      <c r="O128" s="2">
        <v>5</v>
      </c>
      <c r="P128" s="2">
        <v>5</v>
      </c>
      <c r="Q128" s="2" t="s">
        <v>1916</v>
      </c>
      <c r="R128" s="2" t="s">
        <v>1917</v>
      </c>
      <c r="S128" s="4">
        <v>44837</v>
      </c>
    </row>
    <row r="129" spans="1:19" ht="12.5" x14ac:dyDescent="0.25">
      <c r="A129" s="14" t="str">
        <f>HYPERLINK("https://gerandofalcoes.my.salesforce.com/0014X00002VKCtHQAX", "0014X00002VKCtHQAX")</f>
        <v>0014X00002VKCtHQAX</v>
      </c>
      <c r="B129" s="2" t="s">
        <v>2188</v>
      </c>
      <c r="C129" s="2" t="s">
        <v>423</v>
      </c>
      <c r="D129" s="2" t="s">
        <v>2</v>
      </c>
      <c r="E129" s="2">
        <v>33</v>
      </c>
      <c r="F129" s="2">
        <v>0</v>
      </c>
      <c r="G129" s="2">
        <v>3</v>
      </c>
      <c r="H129" s="2">
        <v>3000</v>
      </c>
      <c r="I129" s="2">
        <v>0</v>
      </c>
      <c r="J129" s="2" t="s">
        <v>1779</v>
      </c>
      <c r="K129" s="2">
        <v>28</v>
      </c>
      <c r="L129" s="2">
        <v>15</v>
      </c>
      <c r="M129" s="2">
        <v>0</v>
      </c>
      <c r="N129" s="2">
        <v>8</v>
      </c>
      <c r="O129" s="2">
        <v>5</v>
      </c>
      <c r="P129" s="2">
        <v>0</v>
      </c>
      <c r="Q129" s="2" t="s">
        <v>2189</v>
      </c>
      <c r="R129" s="2" t="s">
        <v>2190</v>
      </c>
      <c r="S129" s="4">
        <v>44837</v>
      </c>
    </row>
    <row r="130" spans="1:19" ht="12.5" x14ac:dyDescent="0.25">
      <c r="A130" s="14" t="str">
        <f>HYPERLINK("https://gerandofalcoes.my.salesforce.com/0014X00002VKCtXQAX", "0014X00002VKCtXQAX")</f>
        <v>0014X00002VKCtXQAX</v>
      </c>
      <c r="B130" s="2" t="s">
        <v>2462</v>
      </c>
      <c r="C130" s="2" t="s">
        <v>423</v>
      </c>
      <c r="D130" s="2" t="s">
        <v>2</v>
      </c>
      <c r="E130" s="2">
        <v>23</v>
      </c>
      <c r="F130" s="2">
        <v>0</v>
      </c>
      <c r="G130" s="2">
        <v>2</v>
      </c>
      <c r="H130" s="2">
        <v>25000</v>
      </c>
      <c r="I130" s="2">
        <v>60</v>
      </c>
      <c r="J130" s="2" t="s">
        <v>1779</v>
      </c>
      <c r="K130" s="2">
        <v>31</v>
      </c>
      <c r="L130" s="2">
        <v>10</v>
      </c>
      <c r="M130" s="2">
        <v>0</v>
      </c>
      <c r="N130" s="2">
        <v>6</v>
      </c>
      <c r="O130" s="2">
        <v>10</v>
      </c>
      <c r="P130" s="2">
        <v>5</v>
      </c>
      <c r="Q130" s="2" t="s">
        <v>2463</v>
      </c>
      <c r="R130" s="2" t="s">
        <v>2464</v>
      </c>
      <c r="S130" s="4">
        <v>44837</v>
      </c>
    </row>
    <row r="131" spans="1:19" ht="12.5" x14ac:dyDescent="0.25">
      <c r="A131" s="14" t="str">
        <f>HYPERLINK("https://gerandofalcoes.my.salesforce.com/0014X00002VKCsDQAX", "0014X00002VKCsDQAX")</f>
        <v>0014X00002VKCsDQAX</v>
      </c>
      <c r="B131" s="2" t="s">
        <v>2789</v>
      </c>
      <c r="C131" s="2" t="s">
        <v>423</v>
      </c>
      <c r="D131" s="2" t="s">
        <v>2</v>
      </c>
      <c r="E131" s="2">
        <v>13</v>
      </c>
      <c r="F131" s="2">
        <v>0</v>
      </c>
      <c r="G131" s="2">
        <v>2</v>
      </c>
      <c r="H131" s="2">
        <v>14000</v>
      </c>
      <c r="I131" s="2">
        <v>60</v>
      </c>
      <c r="J131" s="2" t="s">
        <v>1779</v>
      </c>
      <c r="K131" s="2">
        <v>26</v>
      </c>
      <c r="L131" s="2">
        <v>10</v>
      </c>
      <c r="M131" s="2">
        <v>0</v>
      </c>
      <c r="N131" s="2">
        <v>6</v>
      </c>
      <c r="O131" s="2">
        <v>5</v>
      </c>
      <c r="P131" s="2">
        <v>5</v>
      </c>
      <c r="Q131" s="2" t="s">
        <v>2790</v>
      </c>
      <c r="R131" s="2" t="s">
        <v>2791</v>
      </c>
      <c r="S131" s="4">
        <v>44837</v>
      </c>
    </row>
    <row r="132" spans="1:19" ht="12.5" x14ac:dyDescent="0.25">
      <c r="A132" s="14" t="str">
        <f>HYPERLINK("https://gerandofalcoes.my.salesforce.com/0014X00002VKCrLQAX", "0014X00002VKCrLQAX")</f>
        <v>0014X00002VKCrLQAX</v>
      </c>
      <c r="B132" s="2" t="s">
        <v>2637</v>
      </c>
      <c r="C132" s="2" t="s">
        <v>423</v>
      </c>
      <c r="D132" s="2" t="s">
        <v>2</v>
      </c>
      <c r="E132" s="2">
        <v>18</v>
      </c>
      <c r="F132" s="2">
        <v>0</v>
      </c>
      <c r="G132" s="2">
        <v>4</v>
      </c>
      <c r="H132" s="2">
        <v>6.5</v>
      </c>
      <c r="I132" s="2">
        <v>45</v>
      </c>
      <c r="J132" s="2" t="s">
        <v>1779</v>
      </c>
      <c r="K132" s="2">
        <v>30</v>
      </c>
      <c r="L132" s="2">
        <v>10</v>
      </c>
      <c r="M132" s="2">
        <v>0</v>
      </c>
      <c r="N132" s="2">
        <v>10</v>
      </c>
      <c r="O132" s="2">
        <v>5</v>
      </c>
      <c r="P132" s="2">
        <v>5</v>
      </c>
      <c r="Q132" s="2"/>
      <c r="R132" s="2" t="s">
        <v>2638</v>
      </c>
      <c r="S132" s="4">
        <v>44837</v>
      </c>
    </row>
    <row r="133" spans="1:19" ht="12.5" x14ac:dyDescent="0.25">
      <c r="A133" s="14" t="str">
        <f>HYPERLINK("https://gerandofalcoes.my.salesforce.com/0014X00002VKCtMQAX", "0014X00002VKCtMQAX")</f>
        <v>0014X00002VKCtMQAX</v>
      </c>
      <c r="B133" s="2" t="s">
        <v>2762</v>
      </c>
      <c r="C133" s="2" t="s">
        <v>423</v>
      </c>
      <c r="D133" s="2" t="s">
        <v>2</v>
      </c>
      <c r="E133" s="2">
        <v>14</v>
      </c>
      <c r="F133" s="2">
        <v>5</v>
      </c>
      <c r="G133" s="2">
        <v>2</v>
      </c>
      <c r="H133" s="2">
        <v>500</v>
      </c>
      <c r="I133" s="2">
        <v>0</v>
      </c>
      <c r="J133" s="2" t="s">
        <v>1779</v>
      </c>
      <c r="K133" s="2">
        <v>26</v>
      </c>
      <c r="L133" s="2">
        <v>10</v>
      </c>
      <c r="M133" s="2">
        <v>5</v>
      </c>
      <c r="N133" s="2">
        <v>6</v>
      </c>
      <c r="O133" s="2">
        <v>5</v>
      </c>
      <c r="P133" s="2">
        <v>0</v>
      </c>
      <c r="Q133" s="2" t="s">
        <v>2763</v>
      </c>
      <c r="R133" s="2" t="s">
        <v>2764</v>
      </c>
      <c r="S133" s="4">
        <v>44837</v>
      </c>
    </row>
    <row r="134" spans="1:19" ht="12.5" x14ac:dyDescent="0.25">
      <c r="A134" s="14" t="str">
        <f>HYPERLINK("https://gerandofalcoes.my.salesforce.com/0014X00002VKCqNQAX", "0014X00002VKCqNQAX")</f>
        <v>0014X00002VKCqNQAX</v>
      </c>
      <c r="B134" s="2" t="s">
        <v>2783</v>
      </c>
      <c r="C134" s="2" t="s">
        <v>423</v>
      </c>
      <c r="D134" s="2" t="s">
        <v>2</v>
      </c>
      <c r="E134" s="2">
        <v>13</v>
      </c>
      <c r="F134" s="2">
        <v>10</v>
      </c>
      <c r="G134" s="2">
        <v>10</v>
      </c>
      <c r="H134" s="2">
        <v>275000</v>
      </c>
      <c r="I134" s="2">
        <v>30</v>
      </c>
      <c r="J134" s="2" t="s">
        <v>1671</v>
      </c>
      <c r="K134" s="2">
        <v>50</v>
      </c>
      <c r="L134" s="2">
        <v>10</v>
      </c>
      <c r="M134" s="2">
        <v>10</v>
      </c>
      <c r="N134" s="2">
        <v>10</v>
      </c>
      <c r="O134" s="2">
        <v>15</v>
      </c>
      <c r="P134" s="2">
        <v>5</v>
      </c>
      <c r="Q134" s="2" t="s">
        <v>2784</v>
      </c>
      <c r="R134" s="2" t="s">
        <v>2785</v>
      </c>
      <c r="S134" s="4">
        <v>44837</v>
      </c>
    </row>
    <row r="135" spans="1:19" ht="12.5" x14ac:dyDescent="0.25">
      <c r="A135" s="14" t="str">
        <f>HYPERLINK("https://gerandofalcoes.my.salesforce.com/0014X00002VKCtRQAX", "0014X00002VKCtRQAX")</f>
        <v>0014X00002VKCtRQAX</v>
      </c>
      <c r="B135" s="2" t="s">
        <v>2529</v>
      </c>
      <c r="C135" s="2" t="s">
        <v>423</v>
      </c>
      <c r="D135" s="2" t="s">
        <v>2</v>
      </c>
      <c r="E135" s="2">
        <v>21</v>
      </c>
      <c r="F135" s="2">
        <v>1</v>
      </c>
      <c r="G135" s="2">
        <v>6</v>
      </c>
      <c r="H135" s="2">
        <v>300</v>
      </c>
      <c r="I135" s="2">
        <v>30</v>
      </c>
      <c r="J135" s="2" t="s">
        <v>1779</v>
      </c>
      <c r="K135" s="2">
        <v>35</v>
      </c>
      <c r="L135" s="2">
        <v>10</v>
      </c>
      <c r="M135" s="2">
        <v>5</v>
      </c>
      <c r="N135" s="2">
        <v>10</v>
      </c>
      <c r="O135" s="2">
        <v>5</v>
      </c>
      <c r="P135" s="2">
        <v>5</v>
      </c>
      <c r="Q135" s="2" t="s">
        <v>2530</v>
      </c>
      <c r="R135" s="2" t="s">
        <v>2530</v>
      </c>
      <c r="S135" s="4">
        <v>44837</v>
      </c>
    </row>
    <row r="136" spans="1:19" ht="12.5" x14ac:dyDescent="0.25">
      <c r="A136" s="14" t="str">
        <f>HYPERLINK("https://gerandofalcoes.my.salesforce.com/0014X00002VKCrvQAH", "0014X00002VKCrvQAH")</f>
        <v>0014X00002VKCrvQAH</v>
      </c>
      <c r="B136" s="2" t="s">
        <v>2816</v>
      </c>
      <c r="C136" s="2" t="s">
        <v>423</v>
      </c>
      <c r="D136" s="2" t="s">
        <v>2</v>
      </c>
      <c r="E136" s="2">
        <v>10</v>
      </c>
      <c r="F136" s="2">
        <v>4</v>
      </c>
      <c r="G136" s="2">
        <v>4</v>
      </c>
      <c r="H136" s="2">
        <v>800</v>
      </c>
      <c r="I136" s="2">
        <v>65</v>
      </c>
      <c r="J136" s="2" t="s">
        <v>1779</v>
      </c>
      <c r="K136" s="2">
        <v>35</v>
      </c>
      <c r="L136" s="2">
        <v>10</v>
      </c>
      <c r="M136" s="2">
        <v>5</v>
      </c>
      <c r="N136" s="2">
        <v>10</v>
      </c>
      <c r="O136" s="2">
        <v>5</v>
      </c>
      <c r="P136" s="2">
        <v>5</v>
      </c>
      <c r="Q136" s="2" t="s">
        <v>7160</v>
      </c>
      <c r="R136" s="2" t="s">
        <v>7160</v>
      </c>
      <c r="S136" s="4">
        <v>44837</v>
      </c>
    </row>
    <row r="137" spans="1:19" ht="12.5" x14ac:dyDescent="0.25">
      <c r="A137" s="14" t="str">
        <f>HYPERLINK("https://gerandofalcoes.my.salesforce.com/0014X00002VKD04QAH", "0014X00002VKD04QAH")</f>
        <v>0014X00002VKD04QAH</v>
      </c>
      <c r="B137" s="2" t="s">
        <v>2282</v>
      </c>
      <c r="C137" s="2" t="s">
        <v>423</v>
      </c>
      <c r="D137" s="2" t="s">
        <v>2</v>
      </c>
      <c r="E137" s="2">
        <v>37</v>
      </c>
      <c r="F137" s="2">
        <v>24</v>
      </c>
      <c r="G137" s="2">
        <v>4</v>
      </c>
      <c r="H137" s="2">
        <v>900000</v>
      </c>
      <c r="I137" s="2">
        <v>150</v>
      </c>
      <c r="J137" s="2" t="s">
        <v>1650</v>
      </c>
      <c r="K137" s="2">
        <v>74</v>
      </c>
      <c r="L137" s="2">
        <v>15</v>
      </c>
      <c r="M137" s="2">
        <v>12</v>
      </c>
      <c r="N137" s="2">
        <v>10</v>
      </c>
      <c r="O137" s="2">
        <v>25</v>
      </c>
      <c r="P137" s="2">
        <v>12</v>
      </c>
      <c r="Q137" s="2" t="s">
        <v>2283</v>
      </c>
      <c r="R137" s="2" t="s">
        <v>2284</v>
      </c>
      <c r="S137" s="4">
        <v>44837</v>
      </c>
    </row>
    <row r="138" spans="1:19" ht="12.5" x14ac:dyDescent="0.25">
      <c r="A138" s="14" t="str">
        <f>HYPERLINK("https://gerandofalcoes.my.salesforce.com/0014X00002VKCvAQAX", "0014X00002VKCvAQAX")</f>
        <v>0014X00002VKCvAQAX</v>
      </c>
      <c r="B138" s="2" t="s">
        <v>2927</v>
      </c>
      <c r="C138" s="2" t="s">
        <v>423</v>
      </c>
      <c r="D138" s="2" t="s">
        <v>2</v>
      </c>
      <c r="E138" s="2">
        <v>35</v>
      </c>
      <c r="F138" s="2">
        <v>0</v>
      </c>
      <c r="G138" s="2">
        <v>3</v>
      </c>
      <c r="H138" s="2">
        <v>11000</v>
      </c>
      <c r="I138" s="2">
        <v>1500</v>
      </c>
      <c r="J138" s="2" t="s">
        <v>1671</v>
      </c>
      <c r="K138" s="2">
        <v>48</v>
      </c>
      <c r="L138" s="2">
        <v>15</v>
      </c>
      <c r="M138" s="2">
        <v>0</v>
      </c>
      <c r="N138" s="2">
        <v>8</v>
      </c>
      <c r="O138" s="2">
        <v>5</v>
      </c>
      <c r="P138" s="2">
        <v>20</v>
      </c>
      <c r="Q138" s="2" t="s">
        <v>2928</v>
      </c>
      <c r="R138" s="2" t="s">
        <v>2929</v>
      </c>
      <c r="S138" s="4">
        <v>44837</v>
      </c>
    </row>
    <row r="139" spans="1:19" ht="12.5" x14ac:dyDescent="0.25">
      <c r="A139" s="14" t="str">
        <f>HYPERLINK("https://gerandofalcoes.my.salesforce.com/0014X00002VKCrZQAX", "0014X00002VKCrZQAX")</f>
        <v>0014X00002VKCrZQAX</v>
      </c>
      <c r="B139" s="2" t="s">
        <v>1724</v>
      </c>
      <c r="C139" s="2" t="s">
        <v>423</v>
      </c>
      <c r="D139" s="2" t="s">
        <v>2</v>
      </c>
      <c r="E139" s="2">
        <v>80</v>
      </c>
      <c r="F139" s="2">
        <v>5</v>
      </c>
      <c r="G139" s="2">
        <v>7</v>
      </c>
      <c r="H139" s="2">
        <v>201710</v>
      </c>
      <c r="I139" s="2">
        <v>205</v>
      </c>
      <c r="J139" s="2" t="s">
        <v>1650</v>
      </c>
      <c r="K139" s="2">
        <v>67</v>
      </c>
      <c r="L139" s="2">
        <v>25</v>
      </c>
      <c r="M139" s="2">
        <v>5</v>
      </c>
      <c r="N139" s="2">
        <v>10</v>
      </c>
      <c r="O139" s="2">
        <v>15</v>
      </c>
      <c r="P139" s="2">
        <v>12</v>
      </c>
      <c r="Q139" s="2" t="s">
        <v>1725</v>
      </c>
      <c r="R139" s="2" t="s">
        <v>1726</v>
      </c>
      <c r="S139" s="4">
        <v>44837</v>
      </c>
    </row>
    <row r="140" spans="1:19" ht="12.5" x14ac:dyDescent="0.25">
      <c r="A140" s="14" t="str">
        <f>HYPERLINK("https://gerandofalcoes.my.salesforce.com/0014X00002VMXzMQAX", "0014X00002VMXzMQAX")</f>
        <v>0014X00002VMXzMQAX</v>
      </c>
      <c r="B140" s="2" t="s">
        <v>2916</v>
      </c>
      <c r="C140" s="2" t="s">
        <v>423</v>
      </c>
      <c r="D140" s="2" t="s">
        <v>2</v>
      </c>
      <c r="E140" s="2">
        <v>20</v>
      </c>
      <c r="F140" s="2">
        <v>1</v>
      </c>
      <c r="G140" s="2">
        <v>2</v>
      </c>
      <c r="H140" s="2">
        <v>18000</v>
      </c>
      <c r="I140" s="2">
        <v>10</v>
      </c>
      <c r="J140" s="2" t="s">
        <v>1779</v>
      </c>
      <c r="K140" s="2">
        <v>31</v>
      </c>
      <c r="L140" s="2">
        <v>10</v>
      </c>
      <c r="M140" s="2">
        <v>5</v>
      </c>
      <c r="N140" s="2">
        <v>6</v>
      </c>
      <c r="O140" s="2">
        <v>5</v>
      </c>
      <c r="P140" s="2">
        <v>5</v>
      </c>
      <c r="Q140" s="2" t="s">
        <v>2917</v>
      </c>
      <c r="R140" s="2" t="s">
        <v>2918</v>
      </c>
      <c r="S140" s="4">
        <v>44837</v>
      </c>
    </row>
    <row r="141" spans="1:19" ht="12.5" x14ac:dyDescent="0.25">
      <c r="A141" s="14" t="str">
        <f>HYPERLINK("https://gerandofalcoes.my.salesforce.com/0014X00002VKCtEQAX", "0014X00002VKCtEQAX")</f>
        <v>0014X00002VKCtEQAX</v>
      </c>
      <c r="B141" s="2" t="s">
        <v>2717</v>
      </c>
      <c r="C141" s="2" t="s">
        <v>423</v>
      </c>
      <c r="D141" s="2" t="s">
        <v>2</v>
      </c>
      <c r="E141" s="2">
        <v>15</v>
      </c>
      <c r="F141" s="2">
        <v>0</v>
      </c>
      <c r="G141" s="2">
        <v>3</v>
      </c>
      <c r="H141" s="2">
        <v>0</v>
      </c>
      <c r="I141" s="2">
        <v>137</v>
      </c>
      <c r="J141" s="2" t="s">
        <v>1779</v>
      </c>
      <c r="K141" s="2">
        <v>28</v>
      </c>
      <c r="L141" s="2">
        <v>10</v>
      </c>
      <c r="M141" s="2">
        <v>0</v>
      </c>
      <c r="N141" s="2">
        <v>8</v>
      </c>
      <c r="O141" s="2">
        <v>0</v>
      </c>
      <c r="P141" s="2">
        <v>10</v>
      </c>
      <c r="Q141" s="2" t="s">
        <v>2718</v>
      </c>
      <c r="R141" s="2" t="s">
        <v>2719</v>
      </c>
      <c r="S141" s="4">
        <v>44837</v>
      </c>
    </row>
    <row r="142" spans="1:19" ht="12.5" x14ac:dyDescent="0.25">
      <c r="A142" s="14" t="str">
        <f>HYPERLINK("https://gerandofalcoes.my.salesforce.com/0014X00002VKCqTQAX", "0014X00002VKCqTQAX")</f>
        <v>0014X00002VKCqTQAX</v>
      </c>
      <c r="B142" s="2" t="s">
        <v>2431</v>
      </c>
      <c r="C142" s="2" t="s">
        <v>423</v>
      </c>
      <c r="D142" s="2" t="s">
        <v>2</v>
      </c>
      <c r="E142" s="2">
        <v>33</v>
      </c>
      <c r="F142" s="2">
        <v>0</v>
      </c>
      <c r="G142" s="2">
        <v>4</v>
      </c>
      <c r="H142" s="2">
        <v>26851</v>
      </c>
      <c r="I142" s="2">
        <v>200</v>
      </c>
      <c r="J142" s="2" t="s">
        <v>1671</v>
      </c>
      <c r="K142" s="2">
        <v>47</v>
      </c>
      <c r="L142" s="2">
        <v>15</v>
      </c>
      <c r="M142" s="2">
        <v>0</v>
      </c>
      <c r="N142" s="2">
        <v>10</v>
      </c>
      <c r="O142" s="2">
        <v>10</v>
      </c>
      <c r="P142" s="2">
        <v>12</v>
      </c>
      <c r="Q142" s="2" t="s">
        <v>2432</v>
      </c>
      <c r="R142" s="2" t="s">
        <v>2432</v>
      </c>
      <c r="S142" s="4">
        <v>44837</v>
      </c>
    </row>
    <row r="143" spans="1:19" ht="12.5" x14ac:dyDescent="0.25">
      <c r="A143" s="14" t="str">
        <f>HYPERLINK("https://gerandofalcoes.my.salesforce.com/0014X00002VKCriQAH", "0014X00002VKCriQAH")</f>
        <v>0014X00002VKCriQAH</v>
      </c>
      <c r="B143" s="2" t="s">
        <v>1905</v>
      </c>
      <c r="C143" s="2" t="s">
        <v>423</v>
      </c>
      <c r="D143" s="2" t="s">
        <v>2</v>
      </c>
      <c r="E143" s="2">
        <v>60</v>
      </c>
      <c r="F143" s="2">
        <v>0</v>
      </c>
      <c r="G143" s="2">
        <v>2</v>
      </c>
      <c r="H143" s="2">
        <v>4115</v>
      </c>
      <c r="I143" s="2">
        <v>50</v>
      </c>
      <c r="J143" s="2" t="s">
        <v>1779</v>
      </c>
      <c r="K143" s="2">
        <v>36</v>
      </c>
      <c r="L143" s="2">
        <v>20</v>
      </c>
      <c r="M143" s="2">
        <v>0</v>
      </c>
      <c r="N143" s="2">
        <v>6</v>
      </c>
      <c r="O143" s="2">
        <v>5</v>
      </c>
      <c r="P143" s="2">
        <v>5</v>
      </c>
      <c r="Q143" s="2" t="s">
        <v>1906</v>
      </c>
      <c r="R143" s="2" t="s">
        <v>1907</v>
      </c>
      <c r="S143" s="4">
        <v>44837</v>
      </c>
    </row>
    <row r="144" spans="1:19" ht="12.5" x14ac:dyDescent="0.25">
      <c r="A144" s="14" t="str">
        <f>HYPERLINK("https://gerandofalcoes.my.salesforce.com/0014X00002VKCrCQAX", "0014X00002VKCrCQAX")</f>
        <v>0014X00002VKCrCQAX</v>
      </c>
      <c r="B144" s="2" t="s">
        <v>2534</v>
      </c>
      <c r="C144" s="2" t="s">
        <v>423</v>
      </c>
      <c r="D144" s="2" t="s">
        <v>2</v>
      </c>
      <c r="E144" s="2">
        <v>21</v>
      </c>
      <c r="F144" s="2">
        <v>0</v>
      </c>
      <c r="G144" s="2">
        <v>2</v>
      </c>
      <c r="H144" s="2">
        <v>12000</v>
      </c>
      <c r="I144" s="2">
        <v>0</v>
      </c>
      <c r="J144" s="2" t="s">
        <v>1779</v>
      </c>
      <c r="K144" s="2">
        <v>21</v>
      </c>
      <c r="L144" s="2">
        <v>10</v>
      </c>
      <c r="M144" s="2">
        <v>0</v>
      </c>
      <c r="N144" s="2">
        <v>6</v>
      </c>
      <c r="O144" s="2">
        <v>5</v>
      </c>
      <c r="P144" s="2">
        <v>0</v>
      </c>
      <c r="Q144" s="2" t="s">
        <v>2535</v>
      </c>
      <c r="R144" s="2" t="s">
        <v>2535</v>
      </c>
      <c r="S144" s="4">
        <v>44837</v>
      </c>
    </row>
    <row r="145" spans="1:19" ht="12.5" x14ac:dyDescent="0.25">
      <c r="A145" s="14" t="str">
        <f>HYPERLINK("https://gerandofalcoes.my.salesforce.com/0014X00002VKCtbQAH", "0014X00002VKCtbQAH")</f>
        <v>0014X00002VKCtbQAH</v>
      </c>
      <c r="B145" s="2" t="s">
        <v>2871</v>
      </c>
      <c r="C145" s="2" t="s">
        <v>423</v>
      </c>
      <c r="D145" s="2" t="s">
        <v>2</v>
      </c>
      <c r="E145" s="2">
        <v>40</v>
      </c>
      <c r="F145" s="2">
        <v>11</v>
      </c>
      <c r="G145" s="2">
        <v>4</v>
      </c>
      <c r="H145" s="2">
        <v>0</v>
      </c>
      <c r="I145" s="2">
        <v>60</v>
      </c>
      <c r="J145" s="2" t="s">
        <v>1671</v>
      </c>
      <c r="K145" s="2">
        <v>42</v>
      </c>
      <c r="L145" s="2">
        <v>15</v>
      </c>
      <c r="M145" s="2">
        <v>12</v>
      </c>
      <c r="N145" s="2">
        <v>10</v>
      </c>
      <c r="O145" s="2">
        <v>0</v>
      </c>
      <c r="P145" s="2">
        <v>5</v>
      </c>
      <c r="Q145" s="2" t="s">
        <v>2872</v>
      </c>
      <c r="R145" s="2" t="s">
        <v>2873</v>
      </c>
      <c r="S145" s="4">
        <v>44837</v>
      </c>
    </row>
    <row r="146" spans="1:19" ht="12.5" x14ac:dyDescent="0.25">
      <c r="A146" s="14" t="str">
        <f>HYPERLINK("https://gerandofalcoes.my.salesforce.com/0014X00002VKCpwQAH", "0014X00002VKCpwQAH")</f>
        <v>0014X00002VKCpwQAH</v>
      </c>
      <c r="B146" s="2" t="s">
        <v>1940</v>
      </c>
      <c r="C146" s="2" t="s">
        <v>423</v>
      </c>
      <c r="D146" s="2" t="s">
        <v>2</v>
      </c>
      <c r="E146" s="2">
        <v>23</v>
      </c>
      <c r="F146" s="2">
        <v>0</v>
      </c>
      <c r="G146" s="2">
        <v>2</v>
      </c>
      <c r="H146" s="2">
        <v>12000</v>
      </c>
      <c r="I146" s="2">
        <v>150</v>
      </c>
      <c r="J146" s="2" t="s">
        <v>1779</v>
      </c>
      <c r="K146" s="2">
        <v>33</v>
      </c>
      <c r="L146" s="2">
        <v>10</v>
      </c>
      <c r="M146" s="2">
        <v>0</v>
      </c>
      <c r="N146" s="2">
        <v>6</v>
      </c>
      <c r="O146" s="2">
        <v>5</v>
      </c>
      <c r="P146" s="2">
        <v>12</v>
      </c>
      <c r="Q146" s="2" t="s">
        <v>1941</v>
      </c>
      <c r="R146" s="2" t="s">
        <v>1942</v>
      </c>
      <c r="S146" s="4">
        <v>44837</v>
      </c>
    </row>
    <row r="147" spans="1:19" ht="12.5" x14ac:dyDescent="0.25">
      <c r="A147" s="14" t="str">
        <f>HYPERLINK("https://gerandofalcoes.my.salesforce.com/0014X00002VKCt8QAH", "0014X00002VKCt8QAH")</f>
        <v>0014X00002VKCt8QAH</v>
      </c>
      <c r="B147" s="2" t="s">
        <v>7206</v>
      </c>
      <c r="C147" s="2" t="s">
        <v>423</v>
      </c>
      <c r="D147" s="2" t="s">
        <v>2</v>
      </c>
      <c r="E147" s="2">
        <v>21</v>
      </c>
      <c r="F147" s="2">
        <v>0</v>
      </c>
      <c r="G147" s="2">
        <v>2</v>
      </c>
      <c r="H147" s="2">
        <v>1200</v>
      </c>
      <c r="I147" s="2">
        <v>0</v>
      </c>
      <c r="J147" s="2" t="s">
        <v>1779</v>
      </c>
      <c r="K147" s="2">
        <v>21</v>
      </c>
      <c r="L147" s="2">
        <v>10</v>
      </c>
      <c r="M147" s="2">
        <v>0</v>
      </c>
      <c r="N147" s="2">
        <v>6</v>
      </c>
      <c r="O147" s="2">
        <v>5</v>
      </c>
      <c r="P147" s="2">
        <v>0</v>
      </c>
      <c r="Q147" s="2" t="s">
        <v>2939</v>
      </c>
      <c r="R147" s="2" t="s">
        <v>2940</v>
      </c>
      <c r="S147" s="4">
        <v>44837</v>
      </c>
    </row>
    <row r="148" spans="1:19" ht="12.5" x14ac:dyDescent="0.25">
      <c r="A148" s="14" t="str">
        <f>HYPERLINK("https://gerandofalcoes.my.salesforce.com/0014X00002VKCuJQAX", "0014X00002VKCuJQAX")</f>
        <v>0014X00002VKCuJQAX</v>
      </c>
      <c r="B148" s="2" t="s">
        <v>2073</v>
      </c>
      <c r="C148" s="2" t="s">
        <v>423</v>
      </c>
      <c r="D148" s="2" t="s">
        <v>2</v>
      </c>
      <c r="E148" s="2">
        <v>36</v>
      </c>
      <c r="F148" s="2">
        <v>0</v>
      </c>
      <c r="G148" s="2">
        <v>3</v>
      </c>
      <c r="H148" s="2">
        <v>3000</v>
      </c>
      <c r="I148" s="2">
        <v>25</v>
      </c>
      <c r="J148" s="2" t="s">
        <v>1779</v>
      </c>
      <c r="K148" s="2">
        <v>33</v>
      </c>
      <c r="L148" s="2">
        <v>15</v>
      </c>
      <c r="M148" s="2">
        <v>0</v>
      </c>
      <c r="N148" s="2">
        <v>8</v>
      </c>
      <c r="O148" s="2">
        <v>5</v>
      </c>
      <c r="P148" s="2">
        <v>5</v>
      </c>
      <c r="Q148" s="2" t="s">
        <v>2074</v>
      </c>
      <c r="R148" s="2" t="s">
        <v>2075</v>
      </c>
      <c r="S148" s="4">
        <v>44837</v>
      </c>
    </row>
    <row r="149" spans="1:19" ht="12.5" x14ac:dyDescent="0.25">
      <c r="A149" s="14" t="str">
        <f>HYPERLINK("https://gerandofalcoes.my.salesforce.com/0014X00002VKCtjQAH", "0014X00002VKCtjQAH")</f>
        <v>0014X00002VKCtjQAH</v>
      </c>
      <c r="B149" s="2" t="s">
        <v>2144</v>
      </c>
      <c r="C149" s="2" t="s">
        <v>423</v>
      </c>
      <c r="D149" s="2" t="s">
        <v>2</v>
      </c>
      <c r="E149" s="2">
        <v>49</v>
      </c>
      <c r="F149" s="2">
        <v>0</v>
      </c>
      <c r="G149" s="2">
        <v>3</v>
      </c>
      <c r="H149" s="2">
        <v>100000</v>
      </c>
      <c r="I149" s="2">
        <v>50</v>
      </c>
      <c r="J149" s="2" t="s">
        <v>1779</v>
      </c>
      <c r="K149" s="2">
        <v>28</v>
      </c>
      <c r="L149" s="2">
        <v>0</v>
      </c>
      <c r="M149" s="2">
        <v>0</v>
      </c>
      <c r="N149" s="2">
        <v>8</v>
      </c>
      <c r="O149" s="2">
        <v>15</v>
      </c>
      <c r="P149" s="2">
        <v>5</v>
      </c>
      <c r="Q149" s="2" t="s">
        <v>2145</v>
      </c>
      <c r="R149" s="2" t="s">
        <v>2146</v>
      </c>
      <c r="S149" s="4">
        <v>44837</v>
      </c>
    </row>
    <row r="150" spans="1:19" ht="12.5" x14ac:dyDescent="0.25">
      <c r="A150" s="14" t="str">
        <f>HYPERLINK("https://gerandofalcoes.my.salesforce.com/0014X00002VKCryQAH", "0014X00002VKCryQAH")</f>
        <v>0014X00002VKCryQAH</v>
      </c>
      <c r="B150" s="2" t="s">
        <v>1824</v>
      </c>
      <c r="C150" s="2" t="s">
        <v>423</v>
      </c>
      <c r="D150" s="2" t="s">
        <v>2</v>
      </c>
      <c r="E150" s="2">
        <v>51</v>
      </c>
      <c r="F150" s="2">
        <v>2</v>
      </c>
      <c r="G150" s="2">
        <v>7</v>
      </c>
      <c r="H150" s="2">
        <v>200000</v>
      </c>
      <c r="I150" s="2">
        <v>266</v>
      </c>
      <c r="J150" s="2" t="s">
        <v>1671</v>
      </c>
      <c r="K150" s="2">
        <v>62</v>
      </c>
      <c r="L150" s="2">
        <v>20</v>
      </c>
      <c r="M150" s="2">
        <v>5</v>
      </c>
      <c r="N150" s="2">
        <v>10</v>
      </c>
      <c r="O150" s="2">
        <v>15</v>
      </c>
      <c r="P150" s="2">
        <v>12</v>
      </c>
      <c r="Q150" s="2" t="s">
        <v>1825</v>
      </c>
      <c r="R150" s="2" t="s">
        <v>1826</v>
      </c>
      <c r="S150" s="4">
        <v>44837</v>
      </c>
    </row>
    <row r="151" spans="1:19" ht="12.5" x14ac:dyDescent="0.25">
      <c r="A151" s="14" t="str">
        <f>HYPERLINK("https://gerandofalcoes.my.salesforce.com/0014X00002VKCtFQAX", "0014X00002VKCtFQAX")</f>
        <v>0014X00002VKCtFQAX</v>
      </c>
      <c r="B151" s="2" t="s">
        <v>2112</v>
      </c>
      <c r="C151" s="2" t="s">
        <v>423</v>
      </c>
      <c r="D151" s="2" t="s">
        <v>2</v>
      </c>
      <c r="E151" s="2">
        <v>35</v>
      </c>
      <c r="F151" s="2">
        <v>12</v>
      </c>
      <c r="G151" s="2">
        <v>2</v>
      </c>
      <c r="H151" s="2">
        <v>100000</v>
      </c>
      <c r="I151" s="2">
        <v>40</v>
      </c>
      <c r="J151" s="2" t="s">
        <v>1671</v>
      </c>
      <c r="K151" s="2">
        <v>53</v>
      </c>
      <c r="L151" s="2">
        <v>15</v>
      </c>
      <c r="M151" s="2">
        <v>12</v>
      </c>
      <c r="N151" s="2">
        <v>6</v>
      </c>
      <c r="O151" s="2">
        <v>15</v>
      </c>
      <c r="P151" s="2">
        <v>5</v>
      </c>
      <c r="Q151" s="2" t="s">
        <v>2113</v>
      </c>
      <c r="R151" s="2" t="s">
        <v>2113</v>
      </c>
      <c r="S151" s="4">
        <v>44837</v>
      </c>
    </row>
    <row r="152" spans="1:19" ht="12.5" x14ac:dyDescent="0.25">
      <c r="A152" s="14" t="str">
        <f>HYPERLINK("https://gerandofalcoes.my.salesforce.com/0014X00002VKCsRQAX", "0014X00002VKCsRQAX")</f>
        <v>0014X00002VKCsRQAX</v>
      </c>
      <c r="B152" s="2" t="s">
        <v>2878</v>
      </c>
      <c r="C152" s="2" t="s">
        <v>423</v>
      </c>
      <c r="D152" s="2" t="s">
        <v>2</v>
      </c>
      <c r="E152" s="2">
        <v>29</v>
      </c>
      <c r="F152" s="2">
        <v>0</v>
      </c>
      <c r="G152" s="2">
        <v>2</v>
      </c>
      <c r="H152" s="2">
        <v>0</v>
      </c>
      <c r="I152" s="2">
        <v>30</v>
      </c>
      <c r="J152" s="2" t="s">
        <v>1779</v>
      </c>
      <c r="K152" s="2">
        <v>26</v>
      </c>
      <c r="L152" s="2">
        <v>15</v>
      </c>
      <c r="M152" s="2">
        <v>0</v>
      </c>
      <c r="N152" s="2">
        <v>6</v>
      </c>
      <c r="O152" s="2">
        <v>0</v>
      </c>
      <c r="P152" s="2">
        <v>5</v>
      </c>
      <c r="Q152" s="2" t="s">
        <v>2879</v>
      </c>
      <c r="R152" s="2" t="s">
        <v>2880</v>
      </c>
      <c r="S152" s="4">
        <v>44837</v>
      </c>
    </row>
    <row r="153" spans="1:19" ht="12.5" x14ac:dyDescent="0.25">
      <c r="A153" s="14" t="str">
        <f>HYPERLINK("https://gerandofalcoes.my.salesforce.com/0014X00002VKCsdQAH", "0014X00002VKCsdQAH")</f>
        <v>0014X00002VKCsdQAH</v>
      </c>
      <c r="B153" s="2" t="s">
        <v>2857</v>
      </c>
      <c r="C153" s="2" t="s">
        <v>423</v>
      </c>
      <c r="D153" s="2" t="s">
        <v>2</v>
      </c>
      <c r="E153" s="2">
        <v>10</v>
      </c>
      <c r="F153" s="2">
        <v>0</v>
      </c>
      <c r="G153" s="2">
        <v>2</v>
      </c>
      <c r="H153" s="2">
        <v>24000</v>
      </c>
      <c r="I153" s="2">
        <v>95</v>
      </c>
      <c r="J153" s="2" t="s">
        <v>1779</v>
      </c>
      <c r="K153" s="2">
        <v>31</v>
      </c>
      <c r="L153" s="2">
        <v>10</v>
      </c>
      <c r="M153" s="2">
        <v>0</v>
      </c>
      <c r="N153" s="2">
        <v>6</v>
      </c>
      <c r="O153" s="2">
        <v>5</v>
      </c>
      <c r="P153" s="2">
        <v>10</v>
      </c>
      <c r="Q153" s="2" t="s">
        <v>2858</v>
      </c>
      <c r="R153" s="2" t="s">
        <v>2859</v>
      </c>
      <c r="S153" s="4">
        <v>44837</v>
      </c>
    </row>
    <row r="154" spans="1:19" ht="12.5" x14ac:dyDescent="0.25">
      <c r="A154" s="14" t="str">
        <f>HYPERLINK("https://gerandofalcoes.my.salesforce.com/0014X00002VKCurQAH", "0014X00002VKCurQAH")</f>
        <v>0014X00002VKCurQAH</v>
      </c>
      <c r="B154" s="2" t="s">
        <v>2484</v>
      </c>
      <c r="C154" s="2" t="s">
        <v>423</v>
      </c>
      <c r="D154" s="2" t="s">
        <v>2</v>
      </c>
      <c r="E154" s="2">
        <v>22</v>
      </c>
      <c r="F154" s="2">
        <v>0</v>
      </c>
      <c r="G154" s="2">
        <v>2</v>
      </c>
      <c r="H154" s="2">
        <v>30000</v>
      </c>
      <c r="I154" s="2">
        <v>90</v>
      </c>
      <c r="J154" s="2" t="s">
        <v>1779</v>
      </c>
      <c r="K154" s="2">
        <v>36</v>
      </c>
      <c r="L154" s="2">
        <v>10</v>
      </c>
      <c r="M154" s="2">
        <v>0</v>
      </c>
      <c r="N154" s="2">
        <v>6</v>
      </c>
      <c r="O154" s="2">
        <v>10</v>
      </c>
      <c r="P154" s="2">
        <v>10</v>
      </c>
      <c r="Q154" s="2" t="s">
        <v>2485</v>
      </c>
      <c r="R154" s="2" t="s">
        <v>2486</v>
      </c>
      <c r="S154" s="4">
        <v>44837</v>
      </c>
    </row>
    <row r="155" spans="1:19" ht="12.5" x14ac:dyDescent="0.25">
      <c r="A155" s="14" t="str">
        <f>HYPERLINK("https://gerandofalcoes.my.salesforce.com/0014X00002VKCqGQAX", "0014X00002VKCqGQAX")</f>
        <v>0014X00002VKCqGQAX</v>
      </c>
      <c r="B155" s="2" t="s">
        <v>2372</v>
      </c>
      <c r="C155" s="2" t="s">
        <v>423</v>
      </c>
      <c r="D155" s="2" t="s">
        <v>2</v>
      </c>
      <c r="E155" s="2">
        <v>26</v>
      </c>
      <c r="F155" s="2">
        <v>0</v>
      </c>
      <c r="G155" s="2">
        <v>2</v>
      </c>
      <c r="H155" s="2">
        <v>0</v>
      </c>
      <c r="I155" s="2">
        <v>0</v>
      </c>
      <c r="J155" s="2" t="s">
        <v>1779</v>
      </c>
      <c r="K155" s="2">
        <v>21</v>
      </c>
      <c r="L155" s="2">
        <v>15</v>
      </c>
      <c r="M155" s="2">
        <v>0</v>
      </c>
      <c r="N155" s="2">
        <v>6</v>
      </c>
      <c r="O155" s="2">
        <v>0</v>
      </c>
      <c r="P155" s="2">
        <v>0</v>
      </c>
      <c r="Q155" s="2" t="s">
        <v>2373</v>
      </c>
      <c r="R155" s="2" t="s">
        <v>2374</v>
      </c>
      <c r="S155" s="4">
        <v>44837</v>
      </c>
    </row>
    <row r="156" spans="1:19" ht="12.5" x14ac:dyDescent="0.25">
      <c r="A156" s="14" t="str">
        <f>HYPERLINK("https://gerandofalcoes.my.salesforce.com/0014X00002VKD06QAH", "0014X00002VKD06QAH")</f>
        <v>0014X00002VKD06QAH</v>
      </c>
      <c r="B156" s="2" t="s">
        <v>2677</v>
      </c>
      <c r="C156" s="2" t="s">
        <v>423</v>
      </c>
      <c r="D156" s="2" t="s">
        <v>2</v>
      </c>
      <c r="E156" s="2">
        <v>44</v>
      </c>
      <c r="F156" s="2">
        <v>17</v>
      </c>
      <c r="G156" s="2">
        <v>5</v>
      </c>
      <c r="H156" s="2">
        <v>722164</v>
      </c>
      <c r="I156" s="2">
        <v>90</v>
      </c>
      <c r="J156" s="2" t="s">
        <v>1650</v>
      </c>
      <c r="K156" s="2">
        <v>67</v>
      </c>
      <c r="L156" s="2">
        <v>15</v>
      </c>
      <c r="M156" s="2">
        <v>12</v>
      </c>
      <c r="N156" s="2">
        <v>10</v>
      </c>
      <c r="O156" s="2">
        <v>20</v>
      </c>
      <c r="P156" s="2">
        <v>10</v>
      </c>
      <c r="Q156" s="2" t="s">
        <v>2678</v>
      </c>
      <c r="R156" s="2" t="s">
        <v>2679</v>
      </c>
      <c r="S156" s="4">
        <v>44837</v>
      </c>
    </row>
    <row r="157" spans="1:19" ht="12.5" x14ac:dyDescent="0.25">
      <c r="A157" s="14" t="str">
        <f>HYPERLINK("https://gerandofalcoes.my.salesforce.com/0014X00002VKCv7QAH", "0014X00002VKCv7QAH")</f>
        <v>0014X00002VKCv7QAH</v>
      </c>
      <c r="B157" s="2" t="s">
        <v>2568</v>
      </c>
      <c r="C157" s="2" t="s">
        <v>423</v>
      </c>
      <c r="D157" s="2" t="s">
        <v>2</v>
      </c>
      <c r="E157" s="2">
        <v>20</v>
      </c>
      <c r="F157" s="2">
        <v>0</v>
      </c>
      <c r="G157" s="2">
        <v>3</v>
      </c>
      <c r="H157" s="2">
        <v>2000</v>
      </c>
      <c r="I157" s="2">
        <v>0</v>
      </c>
      <c r="J157" s="2" t="s">
        <v>1779</v>
      </c>
      <c r="K157" s="2">
        <v>23</v>
      </c>
      <c r="L157" s="2">
        <v>10</v>
      </c>
      <c r="M157" s="2">
        <v>0</v>
      </c>
      <c r="N157" s="2">
        <v>8</v>
      </c>
      <c r="O157" s="2">
        <v>5</v>
      </c>
      <c r="P157" s="2">
        <v>0</v>
      </c>
      <c r="Q157" s="2" t="s">
        <v>7185</v>
      </c>
      <c r="R157" s="2" t="s">
        <v>2570</v>
      </c>
      <c r="S157" s="4">
        <v>44837</v>
      </c>
    </row>
    <row r="158" spans="1:19" ht="12.5" x14ac:dyDescent="0.25">
      <c r="A158" s="14" t="str">
        <f>HYPERLINK("https://gerandofalcoes.my.salesforce.com/0014X00002VKCreQAH", "0014X00002VKCreQAH")</f>
        <v>0014X00002VKCreQAH</v>
      </c>
      <c r="B158" s="2" t="s">
        <v>2914</v>
      </c>
      <c r="C158" s="2" t="s">
        <v>423</v>
      </c>
      <c r="D158" s="2" t="s">
        <v>2</v>
      </c>
      <c r="E158" s="2">
        <v>29</v>
      </c>
      <c r="F158" s="2">
        <v>0</v>
      </c>
      <c r="G158" s="2">
        <v>1</v>
      </c>
      <c r="H158" s="2">
        <v>3000</v>
      </c>
      <c r="I158" s="2">
        <v>60</v>
      </c>
      <c r="J158" s="2" t="s">
        <v>1779</v>
      </c>
      <c r="K158" s="2">
        <v>29</v>
      </c>
      <c r="L158" s="2">
        <v>15</v>
      </c>
      <c r="M158" s="2">
        <v>0</v>
      </c>
      <c r="N158" s="2">
        <v>4</v>
      </c>
      <c r="O158" s="2">
        <v>5</v>
      </c>
      <c r="P158" s="2">
        <v>5</v>
      </c>
      <c r="Q158" s="2" t="s">
        <v>2915</v>
      </c>
      <c r="R158" s="2" t="s">
        <v>2915</v>
      </c>
      <c r="S158" s="4">
        <v>44837</v>
      </c>
    </row>
    <row r="159" spans="1:19" ht="12.5" x14ac:dyDescent="0.25">
      <c r="A159" s="14" t="str">
        <f>HYPERLINK("https://gerandofalcoes.my.salesforce.com/0014X00002VKCrbQAH", "0014X00002VKCrbQAH")</f>
        <v>0014X00002VKCrbQAH</v>
      </c>
      <c r="B159" s="2" t="s">
        <v>2820</v>
      </c>
      <c r="C159" s="2" t="s">
        <v>423</v>
      </c>
      <c r="D159" s="2" t="s">
        <v>2</v>
      </c>
      <c r="E159" s="2">
        <v>12</v>
      </c>
      <c r="F159" s="2">
        <v>0</v>
      </c>
      <c r="G159" s="2">
        <v>3</v>
      </c>
      <c r="H159" s="2">
        <v>300</v>
      </c>
      <c r="I159" s="2">
        <v>60</v>
      </c>
      <c r="J159" s="2" t="s">
        <v>1779</v>
      </c>
      <c r="K159" s="2">
        <v>28</v>
      </c>
      <c r="L159" s="2">
        <v>10</v>
      </c>
      <c r="M159" s="2">
        <v>0</v>
      </c>
      <c r="N159" s="2">
        <v>8</v>
      </c>
      <c r="O159" s="2">
        <v>5</v>
      </c>
      <c r="P159" s="2">
        <v>5</v>
      </c>
      <c r="Q159" s="2" t="s">
        <v>2821</v>
      </c>
      <c r="R159" s="2" t="s">
        <v>2822</v>
      </c>
      <c r="S159" s="4">
        <v>44837</v>
      </c>
    </row>
    <row r="160" spans="1:19" ht="12.5" x14ac:dyDescent="0.25">
      <c r="A160" s="14" t="str">
        <f>HYPERLINK("https://gerandofalcoes.my.salesforce.com/0014X00002VKCs2QAH", "0014X00002VKCs2QAH")</f>
        <v>0014X00002VKCs2QAH</v>
      </c>
      <c r="B160" s="2" t="s">
        <v>2727</v>
      </c>
      <c r="C160" s="2" t="s">
        <v>423</v>
      </c>
      <c r="D160" s="2" t="s">
        <v>2</v>
      </c>
      <c r="E160" s="2">
        <v>15</v>
      </c>
      <c r="F160" s="2">
        <v>0</v>
      </c>
      <c r="G160" s="2">
        <v>2</v>
      </c>
      <c r="H160" s="2">
        <v>2500</v>
      </c>
      <c r="I160" s="2">
        <v>0</v>
      </c>
      <c r="J160" s="2" t="s">
        <v>1779</v>
      </c>
      <c r="K160" s="2">
        <v>21</v>
      </c>
      <c r="L160" s="2">
        <v>10</v>
      </c>
      <c r="M160" s="2">
        <v>0</v>
      </c>
      <c r="N160" s="2">
        <v>6</v>
      </c>
      <c r="O160" s="2">
        <v>5</v>
      </c>
      <c r="P160" s="2">
        <v>0</v>
      </c>
      <c r="Q160" s="2" t="s">
        <v>2728</v>
      </c>
      <c r="R160" s="2" t="s">
        <v>2729</v>
      </c>
      <c r="S160" s="4">
        <v>44837</v>
      </c>
    </row>
    <row r="161" spans="1:19" ht="12.5" x14ac:dyDescent="0.25">
      <c r="A161" s="14" t="str">
        <f>HYPERLINK("https://gerandofalcoes.my.salesforce.com/0014X00002VKCr5QAH", "0014X00002VKCr5QAH")</f>
        <v>0014X00002VKCr5QAH</v>
      </c>
      <c r="B161" s="2" t="s">
        <v>2067</v>
      </c>
      <c r="C161" s="2" t="s">
        <v>423</v>
      </c>
      <c r="D161" s="2" t="s">
        <v>2</v>
      </c>
      <c r="E161" s="2">
        <v>47</v>
      </c>
      <c r="F161" s="2">
        <v>6</v>
      </c>
      <c r="G161" s="2">
        <v>3</v>
      </c>
      <c r="H161" s="2">
        <v>1000</v>
      </c>
      <c r="I161" s="2">
        <v>0</v>
      </c>
      <c r="J161" s="2" t="s">
        <v>1779</v>
      </c>
      <c r="K161" s="2">
        <v>38</v>
      </c>
      <c r="L161" s="2">
        <v>15</v>
      </c>
      <c r="M161" s="2">
        <v>10</v>
      </c>
      <c r="N161" s="2">
        <v>8</v>
      </c>
      <c r="O161" s="2">
        <v>5</v>
      </c>
      <c r="P161" s="2">
        <v>0</v>
      </c>
      <c r="Q161" s="2" t="s">
        <v>2068</v>
      </c>
      <c r="R161" s="2" t="s">
        <v>2069</v>
      </c>
      <c r="S161" s="4">
        <v>44837</v>
      </c>
    </row>
    <row r="162" spans="1:19" ht="12.5" x14ac:dyDescent="0.25">
      <c r="A162" s="14" t="str">
        <f>HYPERLINK("https://gerandofalcoes.my.salesforce.com/0014X00002VKCsxQAH", "0014X00002VKCsxQAH")</f>
        <v>0014X00002VKCsxQAH</v>
      </c>
      <c r="B162" s="2" t="s">
        <v>2500</v>
      </c>
      <c r="C162" s="2" t="s">
        <v>423</v>
      </c>
      <c r="D162" s="2" t="s">
        <v>2</v>
      </c>
      <c r="E162" s="2">
        <v>25</v>
      </c>
      <c r="F162" s="2">
        <v>0</v>
      </c>
      <c r="G162" s="2">
        <v>3</v>
      </c>
      <c r="H162" s="2">
        <v>5</v>
      </c>
      <c r="I162" s="2">
        <v>173</v>
      </c>
      <c r="J162" s="2" t="s">
        <v>1671</v>
      </c>
      <c r="K162" s="2">
        <v>40</v>
      </c>
      <c r="L162" s="2">
        <v>15</v>
      </c>
      <c r="M162" s="2">
        <v>0</v>
      </c>
      <c r="N162" s="2">
        <v>8</v>
      </c>
      <c r="O162" s="2">
        <v>5</v>
      </c>
      <c r="P162" s="2">
        <v>12</v>
      </c>
      <c r="Q162" s="2" t="s">
        <v>2501</v>
      </c>
      <c r="R162" s="2" t="s">
        <v>2502</v>
      </c>
      <c r="S162" s="4">
        <v>44837</v>
      </c>
    </row>
    <row r="163" spans="1:19" ht="12.5" x14ac:dyDescent="0.25">
      <c r="A163" s="14" t="str">
        <f>HYPERLINK("https://gerandofalcoes.my.salesforce.com/0014X00002VKCpLQAX", "0014X00002VKCpLQAX")</f>
        <v>0014X00002VKCpLQAX</v>
      </c>
      <c r="B163" s="2" t="s">
        <v>2335</v>
      </c>
      <c r="C163" s="2" t="s">
        <v>423</v>
      </c>
      <c r="D163" s="2" t="s">
        <v>2</v>
      </c>
      <c r="E163" s="2">
        <v>10</v>
      </c>
      <c r="F163" s="2">
        <v>0</v>
      </c>
      <c r="G163" s="2">
        <v>3</v>
      </c>
      <c r="H163" s="2">
        <v>5000</v>
      </c>
      <c r="I163" s="2">
        <v>0</v>
      </c>
      <c r="J163" s="2" t="s">
        <v>1779</v>
      </c>
      <c r="K163" s="2">
        <v>23</v>
      </c>
      <c r="L163" s="2">
        <v>10</v>
      </c>
      <c r="M163" s="2">
        <v>0</v>
      </c>
      <c r="N163" s="2">
        <v>8</v>
      </c>
      <c r="O163" s="2">
        <v>5</v>
      </c>
      <c r="P163" s="2">
        <v>0</v>
      </c>
      <c r="Q163" s="2" t="s">
        <v>2863</v>
      </c>
      <c r="R163" s="2" t="s">
        <v>2864</v>
      </c>
      <c r="S163" s="4">
        <v>44837</v>
      </c>
    </row>
    <row r="164" spans="1:19" ht="12.5" x14ac:dyDescent="0.25">
      <c r="A164" s="14" t="str">
        <f>HYPERLINK("https://gerandofalcoes.my.salesforce.com/0014X00002VKCpWQAX", "0014X00002VKCpWQAX")</f>
        <v>0014X00002VKCpWQAX</v>
      </c>
      <c r="B164" s="2" t="s">
        <v>2844</v>
      </c>
      <c r="C164" s="2" t="s">
        <v>423</v>
      </c>
      <c r="D164" s="2" t="s">
        <v>2</v>
      </c>
      <c r="E164" s="2">
        <v>21</v>
      </c>
      <c r="F164" s="2">
        <v>5</v>
      </c>
      <c r="G164" s="2">
        <v>4</v>
      </c>
      <c r="H164" s="2">
        <v>70000</v>
      </c>
      <c r="I164" s="2">
        <v>0</v>
      </c>
      <c r="J164" s="2" t="s">
        <v>1779</v>
      </c>
      <c r="K164" s="2">
        <v>35</v>
      </c>
      <c r="L164" s="2">
        <v>10</v>
      </c>
      <c r="M164" s="2">
        <v>5</v>
      </c>
      <c r="N164" s="2">
        <v>10</v>
      </c>
      <c r="O164" s="2">
        <v>10</v>
      </c>
      <c r="P164" s="2">
        <v>0</v>
      </c>
      <c r="Q164" s="2" t="s">
        <v>2845</v>
      </c>
      <c r="R164" s="2" t="s">
        <v>2846</v>
      </c>
      <c r="S164" s="4">
        <v>44837</v>
      </c>
    </row>
    <row r="165" spans="1:19" ht="12.5" x14ac:dyDescent="0.25">
      <c r="A165" s="14" t="str">
        <f>HYPERLINK("https://gerandofalcoes.my.salesforce.com/0014X00002VKCqMQAX", "0014X00002VKCqMQAX")</f>
        <v>0014X00002VKCqMQAX</v>
      </c>
      <c r="B165" s="2" t="s">
        <v>2737</v>
      </c>
      <c r="C165" s="2" t="s">
        <v>423</v>
      </c>
      <c r="D165" s="2" t="s">
        <v>2</v>
      </c>
      <c r="E165" s="2">
        <v>51</v>
      </c>
      <c r="F165" s="2">
        <v>2</v>
      </c>
      <c r="G165" s="2">
        <v>3</v>
      </c>
      <c r="H165" s="2">
        <v>150000</v>
      </c>
      <c r="I165" s="2">
        <v>10</v>
      </c>
      <c r="J165" s="2" t="s">
        <v>1671</v>
      </c>
      <c r="K165" s="2">
        <v>53</v>
      </c>
      <c r="L165" s="2">
        <v>20</v>
      </c>
      <c r="M165" s="2">
        <v>5</v>
      </c>
      <c r="N165" s="2">
        <v>8</v>
      </c>
      <c r="O165" s="2">
        <v>15</v>
      </c>
      <c r="P165" s="2">
        <v>5</v>
      </c>
      <c r="Q165" s="2" t="s">
        <v>2738</v>
      </c>
      <c r="R165" s="2" t="s">
        <v>2739</v>
      </c>
      <c r="S165" s="4">
        <v>44837</v>
      </c>
    </row>
    <row r="166" spans="1:19" ht="12.5" x14ac:dyDescent="0.25">
      <c r="A166" s="14" t="str">
        <f>HYPERLINK("https://gerandofalcoes.my.salesforce.com/0014X00002VKCpKQAX", "0014X00002VKCpKQAX")</f>
        <v>0014X00002VKCpKQAX</v>
      </c>
      <c r="B166" s="2" t="s">
        <v>2225</v>
      </c>
      <c r="C166" s="2" t="s">
        <v>423</v>
      </c>
      <c r="D166" s="2" t="s">
        <v>2</v>
      </c>
      <c r="E166" s="2">
        <v>42</v>
      </c>
      <c r="F166" s="2">
        <v>0</v>
      </c>
      <c r="G166" s="2">
        <v>3</v>
      </c>
      <c r="H166" s="2">
        <v>29881</v>
      </c>
      <c r="I166" s="2">
        <v>0</v>
      </c>
      <c r="J166" s="2" t="s">
        <v>1779</v>
      </c>
      <c r="K166" s="2">
        <v>33</v>
      </c>
      <c r="L166" s="2">
        <v>15</v>
      </c>
      <c r="M166" s="2">
        <v>0</v>
      </c>
      <c r="N166" s="2">
        <v>8</v>
      </c>
      <c r="O166" s="2">
        <v>10</v>
      </c>
      <c r="P166" s="2">
        <v>0</v>
      </c>
      <c r="Q166" s="2" t="s">
        <v>2233</v>
      </c>
      <c r="R166" s="2" t="s">
        <v>2234</v>
      </c>
      <c r="S166" s="4">
        <v>44837</v>
      </c>
    </row>
    <row r="167" spans="1:19" ht="12.5" x14ac:dyDescent="0.25">
      <c r="A167" s="14" t="str">
        <f>HYPERLINK("https://gerandofalcoes.my.salesforce.com/0014X00002VKCqtQAH", "0014X00002VKCqtQAH")</f>
        <v>0014X00002VKCqtQAH</v>
      </c>
      <c r="B167" s="2" t="s">
        <v>2543</v>
      </c>
      <c r="C167" s="2" t="s">
        <v>423</v>
      </c>
      <c r="D167" s="2" t="s">
        <v>2</v>
      </c>
      <c r="E167" s="2">
        <v>47</v>
      </c>
      <c r="F167" s="2">
        <v>0</v>
      </c>
      <c r="G167" s="2">
        <v>3</v>
      </c>
      <c r="H167" s="2">
        <v>12000</v>
      </c>
      <c r="I167" s="2">
        <v>79</v>
      </c>
      <c r="J167" s="2" t="s">
        <v>1779</v>
      </c>
      <c r="K167" s="2">
        <v>33</v>
      </c>
      <c r="L167" s="2">
        <v>15</v>
      </c>
      <c r="M167" s="2">
        <v>0</v>
      </c>
      <c r="N167" s="2">
        <v>8</v>
      </c>
      <c r="O167" s="2">
        <v>5</v>
      </c>
      <c r="P167" s="2">
        <v>5</v>
      </c>
      <c r="Q167" s="2" t="s">
        <v>2544</v>
      </c>
      <c r="R167" s="2" t="s">
        <v>2545</v>
      </c>
      <c r="S167" s="4">
        <v>44837</v>
      </c>
    </row>
    <row r="168" spans="1:19" ht="12.5" x14ac:dyDescent="0.25">
      <c r="A168" s="14" t="str">
        <f>HYPERLINK("https://gerandofalcoes.my.salesforce.com/0014X00002VKCrAQAX", "0014X00002VKCrAQAX")</f>
        <v>0014X00002VKCrAQAX</v>
      </c>
      <c r="B168" s="2" t="s">
        <v>1795</v>
      </c>
      <c r="C168" s="2" t="s">
        <v>423</v>
      </c>
      <c r="D168" s="2" t="s">
        <v>2</v>
      </c>
      <c r="E168" s="2">
        <v>50</v>
      </c>
      <c r="F168" s="2">
        <v>2</v>
      </c>
      <c r="G168" s="2">
        <v>3</v>
      </c>
      <c r="H168" s="2">
        <v>76576</v>
      </c>
      <c r="I168" s="2">
        <v>30</v>
      </c>
      <c r="J168" s="2" t="s">
        <v>1671</v>
      </c>
      <c r="K168" s="2">
        <v>48</v>
      </c>
      <c r="L168" s="2">
        <v>20</v>
      </c>
      <c r="M168" s="2">
        <v>5</v>
      </c>
      <c r="N168" s="2">
        <v>8</v>
      </c>
      <c r="O168" s="2">
        <v>10</v>
      </c>
      <c r="P168" s="2">
        <v>5</v>
      </c>
      <c r="Q168" s="2" t="s">
        <v>1796</v>
      </c>
      <c r="R168" s="2" t="s">
        <v>1797</v>
      </c>
      <c r="S168" s="4">
        <v>44837</v>
      </c>
    </row>
    <row r="169" spans="1:19" ht="12.5" x14ac:dyDescent="0.25">
      <c r="A169" s="14" t="str">
        <f>HYPERLINK("https://gerandofalcoes.my.salesforce.com/0014X00002VKCpCQAX", "0014X00002VKCpCQAX")</f>
        <v>0014X00002VKCpCQAX</v>
      </c>
      <c r="B169" s="2" t="s">
        <v>2182</v>
      </c>
      <c r="C169" s="2" t="s">
        <v>423</v>
      </c>
      <c r="D169" s="2" t="s">
        <v>2</v>
      </c>
      <c r="E169" s="2">
        <v>33</v>
      </c>
      <c r="F169" s="2">
        <v>0</v>
      </c>
      <c r="G169" s="2">
        <v>2</v>
      </c>
      <c r="H169" s="2">
        <v>0</v>
      </c>
      <c r="I169" s="2">
        <v>20</v>
      </c>
      <c r="J169" s="2" t="s">
        <v>1779</v>
      </c>
      <c r="K169" s="2">
        <v>26</v>
      </c>
      <c r="L169" s="2">
        <v>15</v>
      </c>
      <c r="M169" s="2">
        <v>0</v>
      </c>
      <c r="N169" s="2">
        <v>6</v>
      </c>
      <c r="O169" s="2">
        <v>0</v>
      </c>
      <c r="P169" s="2">
        <v>5</v>
      </c>
      <c r="Q169" s="2" t="s">
        <v>2183</v>
      </c>
      <c r="R169" s="2" t="s">
        <v>2184</v>
      </c>
      <c r="S169" s="4">
        <v>44837</v>
      </c>
    </row>
    <row r="170" spans="1:19" ht="12.5" x14ac:dyDescent="0.25">
      <c r="A170" s="14" t="str">
        <f>HYPERLINK("https://gerandofalcoes.my.salesforce.com/0014X00002VKCpRQAX", "0014X00002VKCpRQAX")</f>
        <v>0014X00002VKCpRQAX</v>
      </c>
      <c r="B170" s="2" t="s">
        <v>2332</v>
      </c>
      <c r="C170" s="2" t="s">
        <v>423</v>
      </c>
      <c r="D170" s="2" t="s">
        <v>2</v>
      </c>
      <c r="E170" s="2">
        <v>28</v>
      </c>
      <c r="F170" s="2">
        <v>0</v>
      </c>
      <c r="G170" s="2">
        <v>2</v>
      </c>
      <c r="H170" s="2">
        <v>32500000</v>
      </c>
      <c r="I170" s="2">
        <v>0</v>
      </c>
      <c r="J170" s="2" t="s">
        <v>1671</v>
      </c>
      <c r="K170" s="2">
        <v>46</v>
      </c>
      <c r="L170" s="2">
        <v>15</v>
      </c>
      <c r="M170" s="2">
        <v>0</v>
      </c>
      <c r="N170" s="2">
        <v>6</v>
      </c>
      <c r="O170" s="2">
        <v>25</v>
      </c>
      <c r="P170" s="2">
        <v>0</v>
      </c>
      <c r="Q170" s="2" t="s">
        <v>2333</v>
      </c>
      <c r="R170" s="2" t="s">
        <v>2334</v>
      </c>
      <c r="S170" s="4">
        <v>44837</v>
      </c>
    </row>
    <row r="171" spans="1:19" ht="12.5" x14ac:dyDescent="0.25">
      <c r="A171" s="14" t="str">
        <f>HYPERLINK("https://gerandofalcoes.my.salesforce.com/0014X00002VKCrVQAX", "0014X00002VKCrVQAX")</f>
        <v>0014X00002VKCrVQAX</v>
      </c>
      <c r="B171" s="2" t="s">
        <v>2973</v>
      </c>
      <c r="C171" s="2" t="s">
        <v>423</v>
      </c>
      <c r="D171" s="2" t="s">
        <v>2</v>
      </c>
      <c r="E171" s="2">
        <v>20</v>
      </c>
      <c r="F171" s="2">
        <v>0</v>
      </c>
      <c r="G171" s="2">
        <v>2</v>
      </c>
      <c r="H171" s="2">
        <v>0</v>
      </c>
      <c r="I171" s="2">
        <v>0</v>
      </c>
      <c r="J171" s="2" t="s">
        <v>1779</v>
      </c>
      <c r="K171" s="2">
        <v>16</v>
      </c>
      <c r="L171" s="2">
        <v>10</v>
      </c>
      <c r="M171" s="2">
        <v>0</v>
      </c>
      <c r="N171" s="2">
        <v>6</v>
      </c>
      <c r="O171" s="2">
        <v>0</v>
      </c>
      <c r="P171" s="2">
        <v>0</v>
      </c>
      <c r="Q171" s="2" t="s">
        <v>2974</v>
      </c>
      <c r="R171" s="2" t="s">
        <v>2975</v>
      </c>
      <c r="S171" s="4">
        <v>44837</v>
      </c>
    </row>
    <row r="172" spans="1:19" ht="12.5" x14ac:dyDescent="0.25">
      <c r="A172" s="14" t="str">
        <f>HYPERLINK("https://gerandofalcoes.my.salesforce.com/0014X00002VKCrcQAH", "0014X00002VKCrcQAH")</f>
        <v>0014X00002VKCrcQAH</v>
      </c>
      <c r="B172" s="2" t="s">
        <v>2609</v>
      </c>
      <c r="C172" s="2" t="s">
        <v>423</v>
      </c>
      <c r="D172" s="2" t="s">
        <v>2</v>
      </c>
      <c r="E172" s="2">
        <v>19</v>
      </c>
      <c r="F172" s="2">
        <v>0</v>
      </c>
      <c r="G172" s="2">
        <v>3</v>
      </c>
      <c r="H172" s="2">
        <v>2000</v>
      </c>
      <c r="I172" s="2">
        <v>0</v>
      </c>
      <c r="J172" s="2" t="s">
        <v>1779</v>
      </c>
      <c r="K172" s="2">
        <v>23</v>
      </c>
      <c r="L172" s="2">
        <v>10</v>
      </c>
      <c r="M172" s="2">
        <v>0</v>
      </c>
      <c r="N172" s="2">
        <v>8</v>
      </c>
      <c r="O172" s="2">
        <v>5</v>
      </c>
      <c r="P172" s="2">
        <v>0</v>
      </c>
      <c r="Q172" s="2" t="s">
        <v>2610</v>
      </c>
      <c r="R172" s="2" t="s">
        <v>2611</v>
      </c>
      <c r="S172" s="4">
        <v>44837</v>
      </c>
    </row>
    <row r="173" spans="1:19" ht="12.5" x14ac:dyDescent="0.25">
      <c r="A173" s="14" t="str">
        <f>HYPERLINK("https://gerandofalcoes.my.salesforce.com/0014X00002VKCr9QAH", "0014X00002VKCr9QAH")</f>
        <v>0014X00002VKCr9QAH</v>
      </c>
      <c r="B173" s="2" t="s">
        <v>2357</v>
      </c>
      <c r="C173" s="2" t="s">
        <v>423</v>
      </c>
      <c r="D173" s="2" t="s">
        <v>2</v>
      </c>
      <c r="E173" s="2">
        <v>27</v>
      </c>
      <c r="F173" s="2">
        <v>0</v>
      </c>
      <c r="G173" s="2">
        <v>2</v>
      </c>
      <c r="H173" s="2">
        <v>0</v>
      </c>
      <c r="I173" s="2">
        <v>30</v>
      </c>
      <c r="J173" s="2" t="s">
        <v>1779</v>
      </c>
      <c r="K173" s="2">
        <v>26</v>
      </c>
      <c r="L173" s="2">
        <v>15</v>
      </c>
      <c r="M173" s="2">
        <v>0</v>
      </c>
      <c r="N173" s="2">
        <v>6</v>
      </c>
      <c r="O173" s="2">
        <v>0</v>
      </c>
      <c r="P173" s="2">
        <v>5</v>
      </c>
      <c r="Q173" s="2" t="s">
        <v>2358</v>
      </c>
      <c r="R173" s="2" t="s">
        <v>2358</v>
      </c>
      <c r="S173" s="4">
        <v>44837</v>
      </c>
    </row>
    <row r="174" spans="1:19" ht="12.5" x14ac:dyDescent="0.25">
      <c r="A174" s="14" t="str">
        <f>HYPERLINK("https://gerandofalcoes.my.salesforce.com/0014X00002VKCu5QAH", "0014X00002VKCu5QAH")</f>
        <v>0014X00002VKCu5QAH</v>
      </c>
      <c r="B174" s="2" t="s">
        <v>2172</v>
      </c>
      <c r="C174" s="2" t="s">
        <v>423</v>
      </c>
      <c r="D174" s="2" t="s">
        <v>2</v>
      </c>
      <c r="E174" s="2">
        <v>33</v>
      </c>
      <c r="F174" s="2">
        <v>17</v>
      </c>
      <c r="G174" s="2">
        <v>4</v>
      </c>
      <c r="H174" s="2">
        <v>35000</v>
      </c>
      <c r="I174" s="2">
        <v>134</v>
      </c>
      <c r="J174" s="2" t="s">
        <v>1671</v>
      </c>
      <c r="K174" s="2">
        <v>57</v>
      </c>
      <c r="L174" s="2">
        <v>15</v>
      </c>
      <c r="M174" s="2">
        <v>12</v>
      </c>
      <c r="N174" s="2">
        <v>10</v>
      </c>
      <c r="O174" s="2">
        <v>10</v>
      </c>
      <c r="P174" s="2">
        <v>10</v>
      </c>
      <c r="Q174" s="2" t="s">
        <v>7195</v>
      </c>
      <c r="R174" s="2" t="s">
        <v>2174</v>
      </c>
      <c r="S174" s="4">
        <v>44837</v>
      </c>
    </row>
    <row r="175" spans="1:19" ht="12.5" x14ac:dyDescent="0.25">
      <c r="A175" s="14" t="str">
        <f>HYPERLINK("https://gerandofalcoes.my.salesforce.com/0014X00002VKCraQAH", "0014X00002VKCraQAH")</f>
        <v>0014X00002VKCraQAH</v>
      </c>
      <c r="B175" s="2" t="s">
        <v>2836</v>
      </c>
      <c r="C175" s="2" t="s">
        <v>423</v>
      </c>
      <c r="D175" s="2" t="s">
        <v>2</v>
      </c>
      <c r="E175" s="2">
        <v>35</v>
      </c>
      <c r="F175" s="2">
        <v>0</v>
      </c>
      <c r="G175" s="2">
        <v>2</v>
      </c>
      <c r="H175" s="2">
        <v>9600</v>
      </c>
      <c r="I175" s="2">
        <v>0</v>
      </c>
      <c r="J175" s="2" t="s">
        <v>1779</v>
      </c>
      <c r="K175" s="2">
        <v>26</v>
      </c>
      <c r="L175" s="2">
        <v>15</v>
      </c>
      <c r="M175" s="2">
        <v>0</v>
      </c>
      <c r="N175" s="2">
        <v>6</v>
      </c>
      <c r="O175" s="2">
        <v>5</v>
      </c>
      <c r="P175" s="2">
        <v>0</v>
      </c>
      <c r="Q175" s="2" t="s">
        <v>2837</v>
      </c>
      <c r="R175" s="2" t="s">
        <v>2838</v>
      </c>
      <c r="S175" s="4">
        <v>44837</v>
      </c>
    </row>
    <row r="176" spans="1:19" ht="12.5" x14ac:dyDescent="0.25">
      <c r="A176" s="14" t="str">
        <f>HYPERLINK("https://gerandofalcoes.my.salesforce.com/0014X00002VKCp7QAH", "0014X00002VKCp7QAH")</f>
        <v>0014X00002VKCp7QAH</v>
      </c>
      <c r="B176" s="2" t="s">
        <v>2043</v>
      </c>
      <c r="C176" s="2" t="s">
        <v>423</v>
      </c>
      <c r="D176" s="2" t="s">
        <v>2</v>
      </c>
      <c r="E176" s="2">
        <v>37</v>
      </c>
      <c r="F176" s="2">
        <v>4</v>
      </c>
      <c r="G176" s="2">
        <v>3</v>
      </c>
      <c r="H176" s="2">
        <v>96000</v>
      </c>
      <c r="I176" s="2">
        <v>200</v>
      </c>
      <c r="J176" s="2" t="s">
        <v>1671</v>
      </c>
      <c r="K176" s="2">
        <v>50</v>
      </c>
      <c r="L176" s="2">
        <v>15</v>
      </c>
      <c r="M176" s="2">
        <v>5</v>
      </c>
      <c r="N176" s="2">
        <v>8</v>
      </c>
      <c r="O176" s="2">
        <v>10</v>
      </c>
      <c r="P176" s="2">
        <v>12</v>
      </c>
      <c r="Q176" s="2" t="s">
        <v>2044</v>
      </c>
      <c r="R176" s="2" t="s">
        <v>2045</v>
      </c>
      <c r="S176" s="4">
        <v>44837</v>
      </c>
    </row>
    <row r="177" spans="1:19" ht="12.5" x14ac:dyDescent="0.25">
      <c r="A177" s="14" t="str">
        <f>HYPERLINK("https://gerandofalcoes.my.salesforce.com/0014X00002VKCrMQAX", "0014X00002VKCrMQAX")</f>
        <v>0014X00002VKCrMQAX</v>
      </c>
      <c r="B177" s="2" t="s">
        <v>2881</v>
      </c>
      <c r="C177" s="2" t="s">
        <v>423</v>
      </c>
      <c r="D177" s="2" t="s">
        <v>2</v>
      </c>
      <c r="E177" s="2">
        <v>17</v>
      </c>
      <c r="F177" s="2">
        <v>0</v>
      </c>
      <c r="G177" s="2">
        <v>2</v>
      </c>
      <c r="H177" s="2">
        <v>1000</v>
      </c>
      <c r="I177" s="2">
        <v>50</v>
      </c>
      <c r="J177" s="2" t="s">
        <v>1779</v>
      </c>
      <c r="K177" s="2">
        <v>26</v>
      </c>
      <c r="L177" s="2">
        <v>10</v>
      </c>
      <c r="M177" s="2">
        <v>0</v>
      </c>
      <c r="N177" s="2">
        <v>6</v>
      </c>
      <c r="O177" s="2">
        <v>5</v>
      </c>
      <c r="P177" s="2">
        <v>5</v>
      </c>
      <c r="Q177" s="2" t="s">
        <v>2882</v>
      </c>
      <c r="R177" s="2" t="s">
        <v>2883</v>
      </c>
      <c r="S177" s="4">
        <v>44837</v>
      </c>
    </row>
    <row r="178" spans="1:19" ht="12.5" x14ac:dyDescent="0.25">
      <c r="A178" s="14" t="str">
        <f>HYPERLINK("https://gerandofalcoes.my.salesforce.com/0014X00002VKCqUQAX", "0014X00002VKCqUQAX")</f>
        <v>0014X00002VKCqUQAX</v>
      </c>
      <c r="B178" s="2" t="s">
        <v>2807</v>
      </c>
      <c r="C178" s="2" t="s">
        <v>423</v>
      </c>
      <c r="D178" s="2" t="s">
        <v>2</v>
      </c>
      <c r="E178" s="2">
        <v>13</v>
      </c>
      <c r="F178" s="2">
        <v>0</v>
      </c>
      <c r="G178" s="2">
        <v>3</v>
      </c>
      <c r="H178" s="2">
        <v>10000</v>
      </c>
      <c r="I178" s="2">
        <v>0</v>
      </c>
      <c r="J178" s="2" t="s">
        <v>1779</v>
      </c>
      <c r="K178" s="2">
        <v>23</v>
      </c>
      <c r="L178" s="2">
        <v>10</v>
      </c>
      <c r="M178" s="2">
        <v>0</v>
      </c>
      <c r="N178" s="2">
        <v>8</v>
      </c>
      <c r="O178" s="2">
        <v>5</v>
      </c>
      <c r="P178" s="2">
        <v>0</v>
      </c>
      <c r="Q178" s="2" t="s">
        <v>2808</v>
      </c>
      <c r="R178" s="2" t="s">
        <v>2808</v>
      </c>
      <c r="S178" s="4">
        <v>44837</v>
      </c>
    </row>
    <row r="179" spans="1:19" ht="12.5" x14ac:dyDescent="0.25">
      <c r="A179" s="14" t="str">
        <f>HYPERLINK("https://gerandofalcoes.my.salesforce.com/0014X00002VKCrOQAX", "0014X00002VKCrOQAX")</f>
        <v>0014X00002VKCrOQAX</v>
      </c>
      <c r="B179" s="2" t="s">
        <v>2715</v>
      </c>
      <c r="C179" s="2" t="s">
        <v>423</v>
      </c>
      <c r="D179" s="2" t="s">
        <v>2</v>
      </c>
      <c r="E179" s="2">
        <v>15</v>
      </c>
      <c r="F179" s="2">
        <v>0</v>
      </c>
      <c r="G179" s="2">
        <v>3</v>
      </c>
      <c r="H179" s="2">
        <v>15000</v>
      </c>
      <c r="I179" s="2">
        <v>255</v>
      </c>
      <c r="J179" s="2" t="s">
        <v>1779</v>
      </c>
      <c r="K179" s="2">
        <v>35</v>
      </c>
      <c r="L179" s="2">
        <v>10</v>
      </c>
      <c r="M179" s="2">
        <v>0</v>
      </c>
      <c r="N179" s="2">
        <v>8</v>
      </c>
      <c r="O179" s="2">
        <v>5</v>
      </c>
      <c r="P179" s="2">
        <v>12</v>
      </c>
      <c r="Q179" s="2"/>
      <c r="R179" s="2" t="s">
        <v>2716</v>
      </c>
      <c r="S179" s="4">
        <v>44837</v>
      </c>
    </row>
    <row r="180" spans="1:19" ht="12.5" x14ac:dyDescent="0.25">
      <c r="A180" s="14" t="str">
        <f>HYPERLINK("https://gerandofalcoes.my.salesforce.com/0014X00002VKCqVQAX", "0014X00002VKCqVQAX")</f>
        <v>0014X00002VKCqVQAX</v>
      </c>
      <c r="B180" s="2" t="s">
        <v>2759</v>
      </c>
      <c r="C180" s="2" t="s">
        <v>423</v>
      </c>
      <c r="D180" s="2" t="s">
        <v>2</v>
      </c>
      <c r="E180" s="2">
        <v>14</v>
      </c>
      <c r="F180" s="2">
        <v>0</v>
      </c>
      <c r="G180" s="2">
        <v>5</v>
      </c>
      <c r="H180" s="2">
        <v>35000</v>
      </c>
      <c r="I180" s="2">
        <v>60</v>
      </c>
      <c r="J180" s="2" t="s">
        <v>1779</v>
      </c>
      <c r="K180" s="2">
        <v>35</v>
      </c>
      <c r="L180" s="2">
        <v>10</v>
      </c>
      <c r="M180" s="2">
        <v>0</v>
      </c>
      <c r="N180" s="2">
        <v>10</v>
      </c>
      <c r="O180" s="2">
        <v>10</v>
      </c>
      <c r="P180" s="2">
        <v>5</v>
      </c>
      <c r="Q180" s="2" t="s">
        <v>2760</v>
      </c>
      <c r="R180" s="2" t="s">
        <v>2761</v>
      </c>
      <c r="S180" s="4">
        <v>44837</v>
      </c>
    </row>
    <row r="181" spans="1:19" ht="12.5" x14ac:dyDescent="0.25">
      <c r="A181" s="14" t="str">
        <f>HYPERLINK("https://gerandofalcoes.my.salesforce.com/0014X00002VKCtxQAH", "0014X00002VKCtxQAH")</f>
        <v>0014X00002VKCtxQAH</v>
      </c>
      <c r="B181" s="2" t="s">
        <v>1813</v>
      </c>
      <c r="C181" s="2" t="s">
        <v>423</v>
      </c>
      <c r="D181" s="2" t="s">
        <v>2</v>
      </c>
      <c r="E181" s="2">
        <v>52</v>
      </c>
      <c r="F181" s="2">
        <v>10</v>
      </c>
      <c r="G181" s="2">
        <v>3</v>
      </c>
      <c r="H181" s="2">
        <v>5000</v>
      </c>
      <c r="I181" s="2">
        <v>550</v>
      </c>
      <c r="J181" s="2" t="s">
        <v>1671</v>
      </c>
      <c r="K181" s="2">
        <v>63</v>
      </c>
      <c r="L181" s="2">
        <v>20</v>
      </c>
      <c r="M181" s="2">
        <v>10</v>
      </c>
      <c r="N181" s="2">
        <v>8</v>
      </c>
      <c r="O181" s="2">
        <v>5</v>
      </c>
      <c r="P181" s="2">
        <v>20</v>
      </c>
      <c r="Q181" s="2" t="s">
        <v>1814</v>
      </c>
      <c r="R181" s="2" t="s">
        <v>1815</v>
      </c>
      <c r="S181" s="4">
        <v>44837</v>
      </c>
    </row>
    <row r="182" spans="1:19" ht="12.5" x14ac:dyDescent="0.25">
      <c r="A182" s="14" t="str">
        <f>HYPERLINK("https://gerandofalcoes.my.salesforce.com/0014X00002VKCqYQAX", "0014X00002VKCqYQAX")</f>
        <v>0014X00002VKCqYQAX</v>
      </c>
      <c r="B182" s="2" t="s">
        <v>2322</v>
      </c>
      <c r="C182" s="2" t="s">
        <v>423</v>
      </c>
      <c r="D182" s="2" t="s">
        <v>2</v>
      </c>
      <c r="E182" s="2">
        <v>28</v>
      </c>
      <c r="F182" s="2">
        <v>1</v>
      </c>
      <c r="G182" s="2">
        <v>6</v>
      </c>
      <c r="H182" s="2">
        <v>5000</v>
      </c>
      <c r="I182" s="2">
        <v>80</v>
      </c>
      <c r="J182" s="2" t="s">
        <v>1671</v>
      </c>
      <c r="K182" s="2">
        <v>45</v>
      </c>
      <c r="L182" s="2">
        <v>15</v>
      </c>
      <c r="M182" s="2">
        <v>5</v>
      </c>
      <c r="N182" s="2">
        <v>10</v>
      </c>
      <c r="O182" s="2">
        <v>5</v>
      </c>
      <c r="P182" s="2">
        <v>10</v>
      </c>
      <c r="Q182" s="2" t="s">
        <v>2323</v>
      </c>
      <c r="R182" s="2" t="s">
        <v>2324</v>
      </c>
      <c r="S182" s="4">
        <v>44837</v>
      </c>
    </row>
    <row r="183" spans="1:19" ht="12.5" x14ac:dyDescent="0.25">
      <c r="A183" s="14" t="str">
        <f>HYPERLINK("https://gerandofalcoes.my.salesforce.com/0014X00002VKCukQAH", "0014X00002VKCukQAH")</f>
        <v>0014X00002VKCukQAH</v>
      </c>
      <c r="B183" s="2" t="s">
        <v>2990</v>
      </c>
      <c r="C183" s="2" t="s">
        <v>423</v>
      </c>
      <c r="D183" s="2" t="s">
        <v>2</v>
      </c>
      <c r="E183" s="2"/>
      <c r="F183" s="2">
        <v>8</v>
      </c>
      <c r="G183" s="2">
        <v>2</v>
      </c>
      <c r="H183" s="2">
        <v>0</v>
      </c>
      <c r="I183" s="2">
        <v>50</v>
      </c>
      <c r="J183" s="2" t="s">
        <v>1779</v>
      </c>
      <c r="K183" s="2">
        <v>21</v>
      </c>
      <c r="L183" s="2">
        <v>0</v>
      </c>
      <c r="M183" s="2">
        <v>10</v>
      </c>
      <c r="N183" s="2">
        <v>6</v>
      </c>
      <c r="O183" s="2">
        <v>0</v>
      </c>
      <c r="P183" s="2">
        <v>5</v>
      </c>
      <c r="Q183" s="2" t="s">
        <v>2991</v>
      </c>
      <c r="R183" s="2" t="s">
        <v>7207</v>
      </c>
      <c r="S183" s="4">
        <v>44837</v>
      </c>
    </row>
    <row r="184" spans="1:19" ht="12.5" x14ac:dyDescent="0.25">
      <c r="A184" s="14" t="str">
        <f>HYPERLINK("https://gerandofalcoes.my.salesforce.com/0014X00002VKCsmQAH", "0014X00002VKCsmQAH")</f>
        <v>0014X00002VKCsmQAH</v>
      </c>
      <c r="B184" s="2" t="s">
        <v>2370</v>
      </c>
      <c r="C184" s="2" t="s">
        <v>423</v>
      </c>
      <c r="D184" s="2" t="s">
        <v>2</v>
      </c>
      <c r="E184" s="2">
        <v>26</v>
      </c>
      <c r="F184" s="2">
        <v>0</v>
      </c>
      <c r="G184" s="2">
        <v>2</v>
      </c>
      <c r="H184" s="2">
        <v>8000</v>
      </c>
      <c r="I184" s="2">
        <v>20</v>
      </c>
      <c r="J184" s="2" t="s">
        <v>1779</v>
      </c>
      <c r="K184" s="2">
        <v>31</v>
      </c>
      <c r="L184" s="2">
        <v>15</v>
      </c>
      <c r="M184" s="2">
        <v>0</v>
      </c>
      <c r="N184" s="2">
        <v>6</v>
      </c>
      <c r="O184" s="2">
        <v>5</v>
      </c>
      <c r="P184" s="2">
        <v>5</v>
      </c>
      <c r="Q184" s="2" t="s">
        <v>2371</v>
      </c>
      <c r="R184" s="2" t="s">
        <v>7207</v>
      </c>
      <c r="S184" s="4">
        <v>44837</v>
      </c>
    </row>
    <row r="185" spans="1:19" ht="12.5" x14ac:dyDescent="0.25">
      <c r="A185" s="14" t="str">
        <f>HYPERLINK("https://gerandofalcoes.my.salesforce.com/0014X00002VKCpUQAX", "0014X00002VKCpUQAX")</f>
        <v>0014X00002VKCpUQAX</v>
      </c>
      <c r="B185" s="2" t="s">
        <v>2795</v>
      </c>
      <c r="C185" s="2" t="s">
        <v>423</v>
      </c>
      <c r="D185" s="2" t="s">
        <v>2</v>
      </c>
      <c r="E185" s="2">
        <v>13</v>
      </c>
      <c r="F185" s="2">
        <v>3</v>
      </c>
      <c r="G185" s="2">
        <v>2</v>
      </c>
      <c r="H185" s="2">
        <v>300</v>
      </c>
      <c r="I185" s="2">
        <v>50</v>
      </c>
      <c r="J185" s="2" t="s">
        <v>1779</v>
      </c>
      <c r="K185" s="2">
        <v>31</v>
      </c>
      <c r="L185" s="2">
        <v>10</v>
      </c>
      <c r="M185" s="2">
        <v>5</v>
      </c>
      <c r="N185" s="2">
        <v>6</v>
      </c>
      <c r="O185" s="2">
        <v>5</v>
      </c>
      <c r="P185" s="2">
        <v>5</v>
      </c>
      <c r="Q185" s="2" t="s">
        <v>2796</v>
      </c>
      <c r="R185" s="2" t="s">
        <v>2797</v>
      </c>
      <c r="S185" s="4">
        <v>44837</v>
      </c>
    </row>
    <row r="186" spans="1:19" ht="12.5" x14ac:dyDescent="0.25">
      <c r="A186" s="14" t="str">
        <f>HYPERLINK("https://gerandofalcoes.my.salesforce.com/0014X00002VKCpcQAH", "0014X00002VKCpcQAH")</f>
        <v>0014X00002VKCpcQAH</v>
      </c>
      <c r="B186" s="2" t="s">
        <v>2689</v>
      </c>
      <c r="C186" s="2" t="s">
        <v>423</v>
      </c>
      <c r="D186" s="2" t="s">
        <v>2</v>
      </c>
      <c r="E186" s="2">
        <v>16</v>
      </c>
      <c r="F186" s="2">
        <v>0</v>
      </c>
      <c r="G186" s="2">
        <v>2</v>
      </c>
      <c r="H186" s="2">
        <v>98000</v>
      </c>
      <c r="I186" s="2">
        <v>20</v>
      </c>
      <c r="J186" s="2" t="s">
        <v>1779</v>
      </c>
      <c r="K186" s="2">
        <v>31</v>
      </c>
      <c r="L186" s="2">
        <v>10</v>
      </c>
      <c r="M186" s="2">
        <v>0</v>
      </c>
      <c r="N186" s="2">
        <v>6</v>
      </c>
      <c r="O186" s="2">
        <v>10</v>
      </c>
      <c r="P186" s="2">
        <v>5</v>
      </c>
      <c r="Q186" s="2" t="s">
        <v>7166</v>
      </c>
      <c r="R186" s="2" t="s">
        <v>2690</v>
      </c>
      <c r="S186" s="4">
        <v>44837</v>
      </c>
    </row>
    <row r="187" spans="1:19" ht="12.5" x14ac:dyDescent="0.25">
      <c r="A187" s="14" t="str">
        <f>HYPERLINK("https://gerandofalcoes.my.salesforce.com/0014X00002VKCtwQAH", "0014X00002VKCtwQAH")</f>
        <v>0014X00002VKCtwQAH</v>
      </c>
      <c r="B187" s="2" t="s">
        <v>1954</v>
      </c>
      <c r="C187" s="2" t="s">
        <v>423</v>
      </c>
      <c r="D187" s="2" t="s">
        <v>2</v>
      </c>
      <c r="E187" s="2">
        <v>41</v>
      </c>
      <c r="F187" s="2">
        <v>4</v>
      </c>
      <c r="G187" s="2">
        <v>3</v>
      </c>
      <c r="H187" s="2">
        <v>186011</v>
      </c>
      <c r="I187" s="2">
        <v>0</v>
      </c>
      <c r="J187" s="2" t="s">
        <v>1671</v>
      </c>
      <c r="K187" s="2">
        <v>43</v>
      </c>
      <c r="L187" s="2">
        <v>15</v>
      </c>
      <c r="M187" s="2">
        <v>5</v>
      </c>
      <c r="N187" s="2">
        <v>8</v>
      </c>
      <c r="O187" s="2">
        <v>15</v>
      </c>
      <c r="P187" s="2">
        <v>0</v>
      </c>
      <c r="Q187" s="2" t="s">
        <v>1955</v>
      </c>
      <c r="R187" s="2" t="s">
        <v>1956</v>
      </c>
      <c r="S187" s="4">
        <v>44837</v>
      </c>
    </row>
    <row r="188" spans="1:19" ht="12.5" x14ac:dyDescent="0.25">
      <c r="A188" s="14" t="str">
        <f>HYPERLINK("https://gerandofalcoes.my.salesforce.com/0014X00002VMXzNQAX", "0014X00002VMXzNQAX")</f>
        <v>0014X00002VMXzNQAX</v>
      </c>
      <c r="B188" s="2" t="s">
        <v>1778</v>
      </c>
      <c r="C188" s="2" t="s">
        <v>423</v>
      </c>
      <c r="D188" s="2" t="s">
        <v>2</v>
      </c>
      <c r="E188" s="2">
        <v>57</v>
      </c>
      <c r="F188" s="2">
        <v>0</v>
      </c>
      <c r="G188" s="2">
        <v>6</v>
      </c>
      <c r="H188" s="2">
        <v>60000</v>
      </c>
      <c r="I188" s="2">
        <v>15</v>
      </c>
      <c r="J188" s="2" t="s">
        <v>1671</v>
      </c>
      <c r="K188" s="2">
        <v>45</v>
      </c>
      <c r="L188" s="2">
        <v>20</v>
      </c>
      <c r="M188" s="2">
        <v>0</v>
      </c>
      <c r="N188" s="2">
        <v>10</v>
      </c>
      <c r="O188" s="2">
        <v>10</v>
      </c>
      <c r="P188" s="2">
        <v>5</v>
      </c>
      <c r="Q188" s="2" t="s">
        <v>1780</v>
      </c>
      <c r="R188" s="2" t="s">
        <v>1781</v>
      </c>
      <c r="S188" s="4">
        <v>44837</v>
      </c>
    </row>
    <row r="189" spans="1:19" ht="12.5" x14ac:dyDescent="0.25">
      <c r="A189" s="14" t="str">
        <f>HYPERLINK("https://gerandofalcoes.my.salesforce.com/0014X00002VKCv9QAH", "0014X00002VKCv9QAH")</f>
        <v>0014X00002VKCv9QAH</v>
      </c>
      <c r="B189" s="2" t="s">
        <v>2874</v>
      </c>
      <c r="C189" s="2" t="s">
        <v>423</v>
      </c>
      <c r="D189" s="2" t="s">
        <v>2</v>
      </c>
      <c r="E189" s="2">
        <v>35</v>
      </c>
      <c r="F189" s="2">
        <v>0</v>
      </c>
      <c r="G189" s="2">
        <v>4</v>
      </c>
      <c r="H189" s="2">
        <v>0</v>
      </c>
      <c r="I189" s="2">
        <v>0</v>
      </c>
      <c r="J189" s="2" t="s">
        <v>1779</v>
      </c>
      <c r="K189" s="2">
        <v>25</v>
      </c>
      <c r="L189" s="2">
        <v>15</v>
      </c>
      <c r="M189" s="2">
        <v>0</v>
      </c>
      <c r="N189" s="2">
        <v>10</v>
      </c>
      <c r="O189" s="2">
        <v>0</v>
      </c>
      <c r="P189" s="2">
        <v>0</v>
      </c>
      <c r="Q189" s="2" t="s">
        <v>7208</v>
      </c>
      <c r="R189" s="2" t="s">
        <v>2875</v>
      </c>
      <c r="S189" s="4">
        <v>44837</v>
      </c>
    </row>
    <row r="190" spans="1:19" ht="12.5" x14ac:dyDescent="0.25">
      <c r="A190" s="14" t="str">
        <f>HYPERLINK("https://gerandofalcoes.my.salesforce.com/0014X00002VKCrIQAX", "0014X00002VKCrIQAX")</f>
        <v>0014X00002VKCrIQAX</v>
      </c>
      <c r="B190" s="2" t="s">
        <v>2670</v>
      </c>
      <c r="C190" s="2" t="s">
        <v>423</v>
      </c>
      <c r="D190" s="2" t="s">
        <v>2</v>
      </c>
      <c r="E190" s="2">
        <v>17</v>
      </c>
      <c r="F190" s="2">
        <v>0</v>
      </c>
      <c r="G190" s="2">
        <v>2</v>
      </c>
      <c r="H190" s="2">
        <v>1</v>
      </c>
      <c r="I190" s="2">
        <v>0</v>
      </c>
      <c r="J190" s="2" t="s">
        <v>1779</v>
      </c>
      <c r="K190" s="2">
        <v>21</v>
      </c>
      <c r="L190" s="2">
        <v>10</v>
      </c>
      <c r="M190" s="2">
        <v>0</v>
      </c>
      <c r="N190" s="2">
        <v>6</v>
      </c>
      <c r="O190" s="2">
        <v>5</v>
      </c>
      <c r="P190" s="2">
        <v>0</v>
      </c>
      <c r="Q190" s="2"/>
      <c r="R190" s="2" t="s">
        <v>2671</v>
      </c>
      <c r="S190" s="4">
        <v>44837</v>
      </c>
    </row>
    <row r="191" spans="1:19" ht="12.5" x14ac:dyDescent="0.25">
      <c r="A191" s="14" t="str">
        <f>HYPERLINK("https://gerandofalcoes.my.salesforce.com/0014X00002VKCuRQAX", "0014X00002VKCuRQAX")</f>
        <v>0014X00002VKCuRQAX</v>
      </c>
      <c r="B191" s="2" t="s">
        <v>2243</v>
      </c>
      <c r="C191" s="2" t="s">
        <v>423</v>
      </c>
      <c r="D191" s="2" t="s">
        <v>2</v>
      </c>
      <c r="E191" s="2">
        <v>31</v>
      </c>
      <c r="F191" s="2">
        <v>3</v>
      </c>
      <c r="G191" s="2">
        <v>6</v>
      </c>
      <c r="H191" s="2">
        <v>100000</v>
      </c>
      <c r="I191" s="2">
        <v>0</v>
      </c>
      <c r="J191" s="2" t="s">
        <v>1671</v>
      </c>
      <c r="K191" s="2">
        <v>45</v>
      </c>
      <c r="L191" s="2">
        <v>15</v>
      </c>
      <c r="M191" s="2">
        <v>5</v>
      </c>
      <c r="N191" s="2">
        <v>10</v>
      </c>
      <c r="O191" s="2">
        <v>15</v>
      </c>
      <c r="P191" s="2">
        <v>0</v>
      </c>
      <c r="Q191" s="2" t="s">
        <v>2244</v>
      </c>
      <c r="R191" s="2" t="s">
        <v>2244</v>
      </c>
      <c r="S191" s="4">
        <v>44837</v>
      </c>
    </row>
    <row r="192" spans="1:19" ht="12.5" x14ac:dyDescent="0.25">
      <c r="A192" s="14" t="str">
        <f>HYPERLINK("https://gerandofalcoes.my.salesforce.com/0014X00002VKCrwQAH", "0014X00002VKCrwQAH")</f>
        <v>0014X00002VKCrwQAH</v>
      </c>
      <c r="B192" s="2" t="s">
        <v>2959</v>
      </c>
      <c r="C192" s="2" t="s">
        <v>423</v>
      </c>
      <c r="D192" s="2" t="s">
        <v>2</v>
      </c>
      <c r="E192" s="2">
        <v>16</v>
      </c>
      <c r="F192" s="2">
        <v>0</v>
      </c>
      <c r="G192" s="2">
        <v>4</v>
      </c>
      <c r="H192" s="2">
        <v>45000</v>
      </c>
      <c r="I192" s="2">
        <v>0</v>
      </c>
      <c r="J192" s="2" t="s">
        <v>1779</v>
      </c>
      <c r="K192" s="2">
        <v>30</v>
      </c>
      <c r="L192" s="2">
        <v>10</v>
      </c>
      <c r="M192" s="2">
        <v>0</v>
      </c>
      <c r="N192" s="2">
        <v>10</v>
      </c>
      <c r="O192" s="2">
        <v>10</v>
      </c>
      <c r="P192" s="2">
        <v>0</v>
      </c>
      <c r="Q192" s="2" t="s">
        <v>2960</v>
      </c>
      <c r="R192" s="2" t="s">
        <v>2961</v>
      </c>
      <c r="S192" s="4">
        <v>44837</v>
      </c>
    </row>
    <row r="193" spans="1:19" ht="12.5" x14ac:dyDescent="0.25">
      <c r="A193" s="14" t="str">
        <f>HYPERLINK("https://gerandofalcoes.my.salesforce.com/0014X00002VKCsLQAX", "0014X00002VKCsLQAX")</f>
        <v>0014X00002VKCsLQAX</v>
      </c>
      <c r="B193" s="2" t="s">
        <v>2798</v>
      </c>
      <c r="C193" s="2" t="s">
        <v>423</v>
      </c>
      <c r="D193" s="2" t="s">
        <v>2</v>
      </c>
      <c r="E193" s="2">
        <v>13</v>
      </c>
      <c r="F193" s="2">
        <v>0</v>
      </c>
      <c r="G193" s="2">
        <v>3</v>
      </c>
      <c r="H193" s="2">
        <v>500</v>
      </c>
      <c r="I193" s="2">
        <v>30</v>
      </c>
      <c r="J193" s="2" t="s">
        <v>1779</v>
      </c>
      <c r="K193" s="2">
        <v>28</v>
      </c>
      <c r="L193" s="2">
        <v>10</v>
      </c>
      <c r="M193" s="2">
        <v>0</v>
      </c>
      <c r="N193" s="2">
        <v>8</v>
      </c>
      <c r="O193" s="2">
        <v>5</v>
      </c>
      <c r="P193" s="2">
        <v>5</v>
      </c>
      <c r="Q193" s="2" t="s">
        <v>2799</v>
      </c>
      <c r="R193" s="2" t="s">
        <v>2800</v>
      </c>
      <c r="S193" s="4">
        <v>44837</v>
      </c>
    </row>
    <row r="194" spans="1:19" ht="12.5" x14ac:dyDescent="0.25">
      <c r="A194" s="14" t="str">
        <f>HYPERLINK("https://gerandofalcoes.my.salesforce.com/0014X00002VKCrTQAX", "0014X00002VKCrTQAX")</f>
        <v>0014X00002VKCrTQAX</v>
      </c>
      <c r="B194" s="2" t="s">
        <v>2180</v>
      </c>
      <c r="C194" s="2" t="s">
        <v>423</v>
      </c>
      <c r="D194" s="2" t="s">
        <v>2</v>
      </c>
      <c r="E194" s="2">
        <v>33</v>
      </c>
      <c r="F194" s="2">
        <v>0</v>
      </c>
      <c r="G194" s="2">
        <v>5</v>
      </c>
      <c r="H194" s="2">
        <v>0</v>
      </c>
      <c r="I194" s="2">
        <v>40</v>
      </c>
      <c r="J194" s="2" t="s">
        <v>1779</v>
      </c>
      <c r="K194" s="2">
        <v>30</v>
      </c>
      <c r="L194" s="2">
        <v>15</v>
      </c>
      <c r="M194" s="2">
        <v>0</v>
      </c>
      <c r="N194" s="2">
        <v>10</v>
      </c>
      <c r="O194" s="2">
        <v>0</v>
      </c>
      <c r="P194" s="2">
        <v>5</v>
      </c>
      <c r="Q194" s="2"/>
      <c r="R194" s="2" t="s">
        <v>2181</v>
      </c>
      <c r="S194" s="4">
        <v>44837</v>
      </c>
    </row>
    <row r="195" spans="1:19" ht="12.5" x14ac:dyDescent="0.25">
      <c r="A195" s="14" t="str">
        <f>HYPERLINK("https://gerandofalcoes.my.salesforce.com/0014P00003YSp7vQAD", "0014P00003YSp7vQAD")</f>
        <v>0014P00003YSp7vQAD</v>
      </c>
      <c r="B195" s="2" t="s">
        <v>2492</v>
      </c>
      <c r="C195" s="2" t="s">
        <v>423</v>
      </c>
      <c r="D195" s="2" t="s">
        <v>2</v>
      </c>
      <c r="E195" s="2">
        <v>20</v>
      </c>
      <c r="F195" s="2">
        <v>2</v>
      </c>
      <c r="G195" s="2">
        <v>2</v>
      </c>
      <c r="H195" s="2">
        <v>7000</v>
      </c>
      <c r="I195" s="2">
        <v>349</v>
      </c>
      <c r="J195" s="2" t="s">
        <v>1671</v>
      </c>
      <c r="K195" s="2">
        <v>41</v>
      </c>
      <c r="L195" s="2">
        <v>10</v>
      </c>
      <c r="M195" s="2">
        <v>5</v>
      </c>
      <c r="N195" s="2">
        <v>6</v>
      </c>
      <c r="O195" s="2">
        <v>5</v>
      </c>
      <c r="P195" s="2">
        <v>15</v>
      </c>
      <c r="Q195" s="2" t="s">
        <v>2493</v>
      </c>
      <c r="R195" s="2" t="s">
        <v>2493</v>
      </c>
      <c r="S195" s="4">
        <v>44837</v>
      </c>
    </row>
    <row r="196" spans="1:19" ht="12.5" x14ac:dyDescent="0.25">
      <c r="A196" s="14" t="str">
        <f>HYPERLINK("https://gerandofalcoes.my.salesforce.com/0014P00003YSp7xQAD", "0014P00003YSp7xQAD")</f>
        <v>0014P00003YSp7xQAD</v>
      </c>
      <c r="B196" s="2" t="s">
        <v>2801</v>
      </c>
      <c r="C196" s="2" t="s">
        <v>423</v>
      </c>
      <c r="D196" s="2" t="s">
        <v>2</v>
      </c>
      <c r="E196" s="2">
        <v>13</v>
      </c>
      <c r="F196" s="2">
        <v>7</v>
      </c>
      <c r="G196" s="2">
        <v>3</v>
      </c>
      <c r="H196" s="2">
        <v>1000</v>
      </c>
      <c r="I196" s="2">
        <v>30</v>
      </c>
      <c r="J196" s="2" t="s">
        <v>1779</v>
      </c>
      <c r="K196" s="2">
        <v>38</v>
      </c>
      <c r="L196" s="2">
        <v>10</v>
      </c>
      <c r="M196" s="2">
        <v>10</v>
      </c>
      <c r="N196" s="2">
        <v>8</v>
      </c>
      <c r="O196" s="2">
        <v>5</v>
      </c>
      <c r="P196" s="2">
        <v>5</v>
      </c>
      <c r="Q196" s="2" t="s">
        <v>2802</v>
      </c>
      <c r="R196" s="2" t="s">
        <v>2803</v>
      </c>
      <c r="S196" s="4">
        <v>44837</v>
      </c>
    </row>
    <row r="197" spans="1:19" ht="12.5" x14ac:dyDescent="0.25">
      <c r="A197" s="14" t="str">
        <f>HYPERLINK("https://gerandofalcoes.my.salesforce.com/0014X00002VKCuAQAX", "0014X00002VKCuAQAX")</f>
        <v>0014X00002VKCuAQAX</v>
      </c>
      <c r="B197" s="2" t="s">
        <v>2155</v>
      </c>
      <c r="C197" s="2" t="s">
        <v>423</v>
      </c>
      <c r="D197" s="2" t="s">
        <v>2</v>
      </c>
      <c r="E197" s="2">
        <v>46</v>
      </c>
      <c r="F197" s="2">
        <v>0</v>
      </c>
      <c r="G197" s="2">
        <v>3</v>
      </c>
      <c r="H197" s="2">
        <v>30000</v>
      </c>
      <c r="I197" s="2">
        <v>30</v>
      </c>
      <c r="J197" s="2" t="s">
        <v>1779</v>
      </c>
      <c r="K197" s="2">
        <v>38</v>
      </c>
      <c r="L197" s="2">
        <v>15</v>
      </c>
      <c r="M197" s="2">
        <v>0</v>
      </c>
      <c r="N197" s="2">
        <v>8</v>
      </c>
      <c r="O197" s="2">
        <v>10</v>
      </c>
      <c r="P197" s="2">
        <v>5</v>
      </c>
      <c r="Q197" s="2" t="s">
        <v>2156</v>
      </c>
      <c r="R197" s="2" t="s">
        <v>2157</v>
      </c>
      <c r="S197" s="4">
        <v>44837</v>
      </c>
    </row>
    <row r="198" spans="1:19" ht="12.5" x14ac:dyDescent="0.25">
      <c r="A198" s="14" t="str">
        <f>HYPERLINK("https://gerandofalcoes.my.salesforce.com/0014X00002VKCrHQAX", "0014X00002VKCrHQAX")</f>
        <v>0014X00002VKCrHQAX</v>
      </c>
      <c r="B198" s="2" t="s">
        <v>2478</v>
      </c>
      <c r="C198" s="2" t="s">
        <v>423</v>
      </c>
      <c r="D198" s="2" t="s">
        <v>2</v>
      </c>
      <c r="E198" s="2">
        <v>22</v>
      </c>
      <c r="F198" s="2">
        <v>0</v>
      </c>
      <c r="G198" s="2">
        <v>3</v>
      </c>
      <c r="H198" s="2">
        <v>500</v>
      </c>
      <c r="I198" s="2">
        <v>95</v>
      </c>
      <c r="J198" s="2" t="s">
        <v>1779</v>
      </c>
      <c r="K198" s="2">
        <v>33</v>
      </c>
      <c r="L198" s="2">
        <v>10</v>
      </c>
      <c r="M198" s="2">
        <v>0</v>
      </c>
      <c r="N198" s="2">
        <v>8</v>
      </c>
      <c r="O198" s="2">
        <v>5</v>
      </c>
      <c r="P198" s="2">
        <v>10</v>
      </c>
      <c r="Q198" s="2" t="s">
        <v>2479</v>
      </c>
      <c r="R198" s="2" t="s">
        <v>2479</v>
      </c>
      <c r="S198" s="4">
        <v>44837</v>
      </c>
    </row>
    <row r="199" spans="1:19" ht="12.5" x14ac:dyDescent="0.25">
      <c r="A199" s="14" t="str">
        <f>HYPERLINK("https://gerandofalcoes.my.salesforce.com/0014X00002VKCsFQAX", "0014X00002VKCsFQAX")</f>
        <v>0014X00002VKCsFQAX</v>
      </c>
      <c r="B199" s="2" t="s">
        <v>2625</v>
      </c>
      <c r="C199" s="2" t="s">
        <v>423</v>
      </c>
      <c r="D199" s="2" t="s">
        <v>2</v>
      </c>
      <c r="E199" s="2">
        <v>36</v>
      </c>
      <c r="F199" s="2">
        <v>0</v>
      </c>
      <c r="G199" s="2">
        <v>2</v>
      </c>
      <c r="H199" s="2">
        <v>1500</v>
      </c>
      <c r="I199" s="2">
        <v>50</v>
      </c>
      <c r="J199" s="2" t="s">
        <v>1779</v>
      </c>
      <c r="K199" s="2">
        <v>31</v>
      </c>
      <c r="L199" s="2">
        <v>15</v>
      </c>
      <c r="M199" s="2">
        <v>0</v>
      </c>
      <c r="N199" s="2">
        <v>6</v>
      </c>
      <c r="O199" s="2">
        <v>5</v>
      </c>
      <c r="P199" s="2">
        <v>5</v>
      </c>
      <c r="Q199" s="2" t="s">
        <v>2626</v>
      </c>
      <c r="R199" s="2" t="s">
        <v>2627</v>
      </c>
      <c r="S199" s="4">
        <v>44837</v>
      </c>
    </row>
    <row r="200" spans="1:19" ht="12.5" x14ac:dyDescent="0.25">
      <c r="A200" s="14" t="str">
        <f>HYPERLINK("https://gerandofalcoes.my.salesforce.com/0014X00002VKCsMQAX", "0014X00002VKCsMQAX")</f>
        <v>0014X00002VKCsMQAX</v>
      </c>
      <c r="B200" s="2" t="s">
        <v>2902</v>
      </c>
      <c r="C200" s="2" t="s">
        <v>423</v>
      </c>
      <c r="D200" s="2" t="s">
        <v>2</v>
      </c>
      <c r="E200" s="2">
        <v>8</v>
      </c>
      <c r="F200" s="2">
        <v>10</v>
      </c>
      <c r="G200" s="2">
        <v>2</v>
      </c>
      <c r="H200" s="2">
        <v>5000</v>
      </c>
      <c r="I200" s="2">
        <v>100</v>
      </c>
      <c r="J200" s="2" t="s">
        <v>1671</v>
      </c>
      <c r="K200" s="2">
        <v>41</v>
      </c>
      <c r="L200" s="2">
        <v>10</v>
      </c>
      <c r="M200" s="2">
        <v>10</v>
      </c>
      <c r="N200" s="2">
        <v>6</v>
      </c>
      <c r="O200" s="2">
        <v>5</v>
      </c>
      <c r="P200" s="2">
        <v>10</v>
      </c>
      <c r="Q200" s="2" t="s">
        <v>2903</v>
      </c>
      <c r="R200" s="2" t="s">
        <v>2904</v>
      </c>
      <c r="S200" s="4">
        <v>44837</v>
      </c>
    </row>
    <row r="201" spans="1:19" ht="12.5" x14ac:dyDescent="0.25">
      <c r="A201" s="14" t="str">
        <f>HYPERLINK("https://gerandofalcoes.my.salesforce.com/0014X00002VKCrJQAX", "0014X00002VKCrJQAX")</f>
        <v>0014X00002VKCrJQAX</v>
      </c>
      <c r="B201" s="2" t="s">
        <v>2375</v>
      </c>
      <c r="C201" s="2" t="s">
        <v>423</v>
      </c>
      <c r="D201" s="2" t="s">
        <v>2</v>
      </c>
      <c r="E201" s="2">
        <v>26</v>
      </c>
      <c r="F201" s="2">
        <v>0</v>
      </c>
      <c r="G201" s="2">
        <v>4</v>
      </c>
      <c r="H201" s="2">
        <v>1</v>
      </c>
      <c r="I201" s="2">
        <v>0</v>
      </c>
      <c r="J201" s="2" t="s">
        <v>1779</v>
      </c>
      <c r="K201" s="2">
        <v>30</v>
      </c>
      <c r="L201" s="2">
        <v>15</v>
      </c>
      <c r="M201" s="2">
        <v>0</v>
      </c>
      <c r="N201" s="2">
        <v>10</v>
      </c>
      <c r="O201" s="2">
        <v>5</v>
      </c>
      <c r="P201" s="2">
        <v>0</v>
      </c>
      <c r="Q201" s="2" t="s">
        <v>2376</v>
      </c>
      <c r="R201" s="2" t="s">
        <v>2377</v>
      </c>
      <c r="S201" s="4">
        <v>44837</v>
      </c>
    </row>
    <row r="202" spans="1:19" ht="12.5" x14ac:dyDescent="0.25">
      <c r="A202" s="14" t="str">
        <f>HYPERLINK("https://gerandofalcoes.my.salesforce.com/0014X00002VKCpjQAH", "0014X00002VKCpjQAH")</f>
        <v>0014X00002VKCpjQAH</v>
      </c>
      <c r="B202" s="2" t="s">
        <v>2152</v>
      </c>
      <c r="C202" s="2" t="s">
        <v>423</v>
      </c>
      <c r="D202" s="2" t="s">
        <v>2</v>
      </c>
      <c r="E202" s="2">
        <v>46</v>
      </c>
      <c r="F202" s="2">
        <v>0</v>
      </c>
      <c r="G202" s="2">
        <v>2</v>
      </c>
      <c r="H202" s="2">
        <v>122554</v>
      </c>
      <c r="I202" s="2">
        <v>156</v>
      </c>
      <c r="J202" s="2" t="s">
        <v>1671</v>
      </c>
      <c r="K202" s="2">
        <v>48</v>
      </c>
      <c r="L202" s="2">
        <v>15</v>
      </c>
      <c r="M202" s="2">
        <v>0</v>
      </c>
      <c r="N202" s="2">
        <v>6</v>
      </c>
      <c r="O202" s="2">
        <v>15</v>
      </c>
      <c r="P202" s="2">
        <v>12</v>
      </c>
      <c r="Q202" s="2" t="s">
        <v>2153</v>
      </c>
      <c r="R202" s="2" t="s">
        <v>2154</v>
      </c>
      <c r="S202" s="4">
        <v>44837</v>
      </c>
    </row>
    <row r="203" spans="1:19" ht="12.5" x14ac:dyDescent="0.25">
      <c r="A203" s="14" t="str">
        <f>HYPERLINK("https://gerandofalcoes.my.salesforce.com/0014X00002VKCv2QAH", "0014X00002VKCv2QAH")</f>
        <v>0014X00002VKCv2QAH</v>
      </c>
      <c r="B203" s="2" t="s">
        <v>2450</v>
      </c>
      <c r="C203" s="2" t="s">
        <v>423</v>
      </c>
      <c r="D203" s="2" t="s">
        <v>2</v>
      </c>
      <c r="E203" s="2">
        <v>24</v>
      </c>
      <c r="F203" s="2">
        <v>5</v>
      </c>
      <c r="G203" s="2">
        <v>3</v>
      </c>
      <c r="H203" s="2">
        <v>500</v>
      </c>
      <c r="I203" s="2">
        <v>0</v>
      </c>
      <c r="J203" s="2" t="s">
        <v>1779</v>
      </c>
      <c r="K203" s="2">
        <v>28</v>
      </c>
      <c r="L203" s="2">
        <v>10</v>
      </c>
      <c r="M203" s="2">
        <v>5</v>
      </c>
      <c r="N203" s="2">
        <v>8</v>
      </c>
      <c r="O203" s="2">
        <v>5</v>
      </c>
      <c r="P203" s="2">
        <v>0</v>
      </c>
      <c r="Q203" s="2" t="s">
        <v>2451</v>
      </c>
      <c r="R203" s="2" t="s">
        <v>2451</v>
      </c>
      <c r="S203" s="4">
        <v>44837</v>
      </c>
    </row>
    <row r="204" spans="1:19" ht="12.5" x14ac:dyDescent="0.25">
      <c r="A204" s="14" t="str">
        <f>HYPERLINK("https://gerandofalcoes.my.salesforce.com/0014X00002VKCtTQAX", "0014X00002VKCtTQAX")</f>
        <v>0014X00002VKCtTQAX</v>
      </c>
      <c r="B204" s="2" t="s">
        <v>2091</v>
      </c>
      <c r="C204" s="2" t="s">
        <v>423</v>
      </c>
      <c r="D204" s="2" t="s">
        <v>2</v>
      </c>
      <c r="E204" s="2">
        <v>44</v>
      </c>
      <c r="F204" s="2">
        <v>0</v>
      </c>
      <c r="G204" s="2">
        <v>2</v>
      </c>
      <c r="H204" s="2">
        <v>24230</v>
      </c>
      <c r="I204" s="2">
        <v>50</v>
      </c>
      <c r="J204" s="2" t="s">
        <v>1779</v>
      </c>
      <c r="K204" s="2">
        <v>31</v>
      </c>
      <c r="L204" s="2">
        <v>15</v>
      </c>
      <c r="M204" s="2">
        <v>0</v>
      </c>
      <c r="N204" s="2">
        <v>6</v>
      </c>
      <c r="O204" s="2">
        <v>5</v>
      </c>
      <c r="P204" s="2">
        <v>5</v>
      </c>
      <c r="Q204" s="2" t="s">
        <v>7186</v>
      </c>
      <c r="R204" s="2" t="s">
        <v>2092</v>
      </c>
      <c r="S204" s="4">
        <v>44837</v>
      </c>
    </row>
    <row r="205" spans="1:19" ht="12.5" x14ac:dyDescent="0.25">
      <c r="A205" s="14" t="str">
        <f>HYPERLINK("https://gerandofalcoes.my.salesforce.com/0014X00002VKCtNQAX", "0014X00002VKCtNQAX")</f>
        <v>0014X00002VKCtNQAX</v>
      </c>
      <c r="B205" s="2" t="s">
        <v>2703</v>
      </c>
      <c r="C205" s="2" t="s">
        <v>423</v>
      </c>
      <c r="D205" s="2" t="s">
        <v>2</v>
      </c>
      <c r="E205" s="2">
        <v>26</v>
      </c>
      <c r="F205" s="2">
        <v>0</v>
      </c>
      <c r="G205" s="2">
        <v>3</v>
      </c>
      <c r="H205" s="2">
        <v>1000</v>
      </c>
      <c r="I205" s="2">
        <v>31</v>
      </c>
      <c r="J205" s="2" t="s">
        <v>1779</v>
      </c>
      <c r="K205" s="2">
        <v>33</v>
      </c>
      <c r="L205" s="2">
        <v>15</v>
      </c>
      <c r="M205" s="2">
        <v>0</v>
      </c>
      <c r="N205" s="2">
        <v>8</v>
      </c>
      <c r="O205" s="2">
        <v>5</v>
      </c>
      <c r="P205" s="2">
        <v>5</v>
      </c>
      <c r="Q205" s="2" t="s">
        <v>2704</v>
      </c>
      <c r="R205" s="2" t="s">
        <v>2705</v>
      </c>
      <c r="S205" s="4">
        <v>44837</v>
      </c>
    </row>
    <row r="206" spans="1:19" ht="12.5" x14ac:dyDescent="0.25">
      <c r="A206" s="14" t="str">
        <f>HYPERLINK("https://gerandofalcoes.my.salesforce.com/0014X00002VKCu0QAH", "0014X00002VKCu0QAH")</f>
        <v>0014X00002VKCu0QAH</v>
      </c>
      <c r="B206" s="2" t="s">
        <v>2457</v>
      </c>
      <c r="C206" s="2" t="s">
        <v>423</v>
      </c>
      <c r="D206" s="2" t="s">
        <v>2</v>
      </c>
      <c r="E206" s="2">
        <v>23</v>
      </c>
      <c r="F206" s="2">
        <v>0</v>
      </c>
      <c r="G206" s="2">
        <v>2</v>
      </c>
      <c r="H206" s="2">
        <v>2500</v>
      </c>
      <c r="I206" s="2">
        <v>115</v>
      </c>
      <c r="J206" s="2" t="s">
        <v>1779</v>
      </c>
      <c r="K206" s="2">
        <v>31</v>
      </c>
      <c r="L206" s="2">
        <v>10</v>
      </c>
      <c r="M206" s="2">
        <v>0</v>
      </c>
      <c r="N206" s="2">
        <v>6</v>
      </c>
      <c r="O206" s="2">
        <v>5</v>
      </c>
      <c r="P206" s="2">
        <v>10</v>
      </c>
      <c r="Q206" s="2" t="s">
        <v>2458</v>
      </c>
      <c r="R206" s="2" t="s">
        <v>2458</v>
      </c>
      <c r="S206" s="4">
        <v>44837</v>
      </c>
    </row>
    <row r="207" spans="1:19" ht="12.5" x14ac:dyDescent="0.25">
      <c r="A207" s="14" t="str">
        <f>HYPERLINK("https://gerandofalcoes.my.salesforce.com/0014X00002VKCspQAH", "0014X00002VKCspQAH")</f>
        <v>0014X00002VKCspQAH</v>
      </c>
      <c r="B207" s="2" t="s">
        <v>2506</v>
      </c>
      <c r="C207" s="2" t="s">
        <v>423</v>
      </c>
      <c r="D207" s="2" t="s">
        <v>2</v>
      </c>
      <c r="E207" s="2">
        <v>32</v>
      </c>
      <c r="F207" s="2">
        <v>0</v>
      </c>
      <c r="G207" s="2">
        <v>3</v>
      </c>
      <c r="H207" s="2">
        <v>1000</v>
      </c>
      <c r="I207" s="2">
        <v>103</v>
      </c>
      <c r="J207" s="2" t="s">
        <v>1779</v>
      </c>
      <c r="K207" s="2">
        <v>38</v>
      </c>
      <c r="L207" s="2">
        <v>15</v>
      </c>
      <c r="M207" s="2">
        <v>0</v>
      </c>
      <c r="N207" s="2">
        <v>8</v>
      </c>
      <c r="O207" s="2">
        <v>5</v>
      </c>
      <c r="P207" s="2">
        <v>10</v>
      </c>
      <c r="Q207" s="2" t="s">
        <v>2507</v>
      </c>
      <c r="R207" s="2" t="s">
        <v>2508</v>
      </c>
      <c r="S207" s="4">
        <v>44837</v>
      </c>
    </row>
    <row r="208" spans="1:19" ht="12.5" x14ac:dyDescent="0.25">
      <c r="A208" s="14" t="str">
        <f>HYPERLINK("https://gerandofalcoes.my.salesforce.com/0014X00002VKCuCQAX", "0014X00002VKCuCQAX")</f>
        <v>0014X00002VKCuCQAX</v>
      </c>
      <c r="B208" s="2" t="s">
        <v>1847</v>
      </c>
      <c r="C208" s="2" t="s">
        <v>423</v>
      </c>
      <c r="D208" s="2" t="s">
        <v>2</v>
      </c>
      <c r="E208" s="2">
        <v>62</v>
      </c>
      <c r="F208" s="2">
        <v>3</v>
      </c>
      <c r="G208" s="2">
        <v>2</v>
      </c>
      <c r="H208" s="2">
        <v>0</v>
      </c>
      <c r="I208" s="2">
        <v>62</v>
      </c>
      <c r="J208" s="2" t="s">
        <v>1779</v>
      </c>
      <c r="K208" s="2">
        <v>36</v>
      </c>
      <c r="L208" s="2">
        <v>20</v>
      </c>
      <c r="M208" s="2">
        <v>5</v>
      </c>
      <c r="N208" s="2">
        <v>6</v>
      </c>
      <c r="O208" s="2">
        <v>0</v>
      </c>
      <c r="P208" s="2">
        <v>5</v>
      </c>
      <c r="Q208" s="2" t="s">
        <v>1848</v>
      </c>
      <c r="R208" s="2" t="s">
        <v>1849</v>
      </c>
      <c r="S208" s="4">
        <v>44837</v>
      </c>
    </row>
    <row r="209" spans="1:19" ht="12.5" x14ac:dyDescent="0.25">
      <c r="A209" s="14" t="str">
        <f>HYPERLINK("https://gerandofalcoes.my.salesforce.com/0014X00002VKCrfQAH", "0014X00002VKCrfQAH")</f>
        <v>0014X00002VKCrfQAH</v>
      </c>
      <c r="B209" s="2" t="s">
        <v>2804</v>
      </c>
      <c r="C209" s="2" t="s">
        <v>423</v>
      </c>
      <c r="D209" s="2" t="s">
        <v>2</v>
      </c>
      <c r="E209" s="2">
        <v>13</v>
      </c>
      <c r="F209" s="2">
        <v>0</v>
      </c>
      <c r="G209" s="2">
        <v>4</v>
      </c>
      <c r="H209" s="2">
        <v>10000</v>
      </c>
      <c r="I209" s="2">
        <v>2</v>
      </c>
      <c r="J209" s="2" t="s">
        <v>1779</v>
      </c>
      <c r="K209" s="2">
        <v>30</v>
      </c>
      <c r="L209" s="2">
        <v>10</v>
      </c>
      <c r="M209" s="2">
        <v>0</v>
      </c>
      <c r="N209" s="2">
        <v>10</v>
      </c>
      <c r="O209" s="2">
        <v>5</v>
      </c>
      <c r="P209" s="2">
        <v>5</v>
      </c>
      <c r="Q209" s="2" t="s">
        <v>2805</v>
      </c>
      <c r="R209" s="2" t="s">
        <v>2806</v>
      </c>
      <c r="S209" s="4">
        <v>44837</v>
      </c>
    </row>
    <row r="210" spans="1:19" ht="12.5" x14ac:dyDescent="0.25">
      <c r="A210" s="14" t="str">
        <f>HYPERLINK("https://gerandofalcoes.my.salesforce.com/0014X00002VKCrQQAX", "0014X00002VKCrQQAX")</f>
        <v>0014X00002VKCrQQAX</v>
      </c>
      <c r="B210" s="2" t="s">
        <v>2765</v>
      </c>
      <c r="C210" s="2" t="s">
        <v>423</v>
      </c>
      <c r="D210" s="2" t="s">
        <v>2</v>
      </c>
      <c r="E210" s="2">
        <v>14</v>
      </c>
      <c r="F210" s="2">
        <v>0</v>
      </c>
      <c r="G210" s="2">
        <v>2</v>
      </c>
      <c r="H210" s="2">
        <v>40000</v>
      </c>
      <c r="I210" s="2">
        <v>0</v>
      </c>
      <c r="J210" s="2" t="s">
        <v>1779</v>
      </c>
      <c r="K210" s="2">
        <v>26</v>
      </c>
      <c r="L210" s="2">
        <v>10</v>
      </c>
      <c r="M210" s="2">
        <v>0</v>
      </c>
      <c r="N210" s="2">
        <v>6</v>
      </c>
      <c r="O210" s="2">
        <v>10</v>
      </c>
      <c r="P210" s="2">
        <v>0</v>
      </c>
      <c r="Q210" s="2" t="s">
        <v>2766</v>
      </c>
      <c r="R210" s="2" t="s">
        <v>2767</v>
      </c>
      <c r="S210" s="4">
        <v>44837</v>
      </c>
    </row>
    <row r="211" spans="1:19" ht="12.5" x14ac:dyDescent="0.25">
      <c r="A211" s="14" t="str">
        <f>HYPERLINK("https://gerandofalcoes.my.salesforce.com/0014X00002VKCroQAH", "0014X00002VKCroQAH")</f>
        <v>0014X00002VKCroQAH</v>
      </c>
      <c r="B211" s="2" t="s">
        <v>2632</v>
      </c>
      <c r="C211" s="2" t="s">
        <v>423</v>
      </c>
      <c r="D211" s="2" t="s">
        <v>2</v>
      </c>
      <c r="E211" s="2">
        <v>18</v>
      </c>
      <c r="F211" s="2">
        <v>0</v>
      </c>
      <c r="G211" s="2">
        <v>3</v>
      </c>
      <c r="H211" s="2">
        <v>8400</v>
      </c>
      <c r="I211" s="2">
        <v>100</v>
      </c>
      <c r="J211" s="2" t="s">
        <v>1779</v>
      </c>
      <c r="K211" s="2">
        <v>33</v>
      </c>
      <c r="L211" s="2">
        <v>10</v>
      </c>
      <c r="M211" s="2">
        <v>0</v>
      </c>
      <c r="N211" s="2">
        <v>8</v>
      </c>
      <c r="O211" s="2">
        <v>5</v>
      </c>
      <c r="P211" s="2">
        <v>10</v>
      </c>
      <c r="Q211" s="2" t="s">
        <v>2633</v>
      </c>
      <c r="R211" s="2" t="s">
        <v>2634</v>
      </c>
      <c r="S211" s="4">
        <v>44837</v>
      </c>
    </row>
    <row r="212" spans="1:19" ht="12.5" x14ac:dyDescent="0.25">
      <c r="A212" s="14" t="str">
        <f>HYPERLINK("https://gerandofalcoes.my.salesforce.com/0014X00002VKCueQAH", "0014X00002VKCueQAH")</f>
        <v>0014X00002VKCueQAH</v>
      </c>
      <c r="B212" s="2" t="s">
        <v>2128</v>
      </c>
      <c r="C212" s="2" t="s">
        <v>423</v>
      </c>
      <c r="D212" s="2" t="s">
        <v>2</v>
      </c>
      <c r="E212" s="2">
        <v>33</v>
      </c>
      <c r="F212" s="2">
        <v>0</v>
      </c>
      <c r="G212" s="2">
        <v>3</v>
      </c>
      <c r="H212" s="2">
        <v>15000</v>
      </c>
      <c r="I212" s="2">
        <v>0</v>
      </c>
      <c r="J212" s="2" t="s">
        <v>1779</v>
      </c>
      <c r="K212" s="2">
        <v>28</v>
      </c>
      <c r="L212" s="2">
        <v>15</v>
      </c>
      <c r="M212" s="2">
        <v>0</v>
      </c>
      <c r="N212" s="2">
        <v>8</v>
      </c>
      <c r="O212" s="2">
        <v>5</v>
      </c>
      <c r="P212" s="2">
        <v>0</v>
      </c>
      <c r="Q212" s="2" t="s">
        <v>2129</v>
      </c>
      <c r="R212" s="2" t="s">
        <v>2130</v>
      </c>
      <c r="S212" s="4">
        <v>44837</v>
      </c>
    </row>
    <row r="213" spans="1:19" ht="12.5" x14ac:dyDescent="0.25">
      <c r="A213" s="14" t="str">
        <f>HYPERLINK("https://gerandofalcoes.my.salesforce.com/0014X00002VKCqnQAH", "0014X00002VKCqnQAH")</f>
        <v>0014X00002VKCqnQAH</v>
      </c>
      <c r="B213" s="2" t="s">
        <v>2743</v>
      </c>
      <c r="C213" s="2" t="s">
        <v>423</v>
      </c>
      <c r="D213" s="2" t="s">
        <v>2</v>
      </c>
      <c r="E213" s="2">
        <v>48</v>
      </c>
      <c r="F213" s="2">
        <v>0</v>
      </c>
      <c r="G213" s="2">
        <v>2</v>
      </c>
      <c r="H213" s="2">
        <v>30000</v>
      </c>
      <c r="I213" s="2">
        <v>50</v>
      </c>
      <c r="J213" s="2" t="s">
        <v>1779</v>
      </c>
      <c r="K213" s="2">
        <v>36</v>
      </c>
      <c r="L213" s="2">
        <v>15</v>
      </c>
      <c r="M213" s="2">
        <v>0</v>
      </c>
      <c r="N213" s="2">
        <v>6</v>
      </c>
      <c r="O213" s="2">
        <v>10</v>
      </c>
      <c r="P213" s="2">
        <v>5</v>
      </c>
      <c r="Q213" s="2" t="s">
        <v>2744</v>
      </c>
      <c r="R213" s="2" t="s">
        <v>2745</v>
      </c>
      <c r="S213" s="4">
        <v>44837</v>
      </c>
    </row>
    <row r="214" spans="1:19" ht="12.5" x14ac:dyDescent="0.25">
      <c r="A214" s="14" t="str">
        <f>HYPERLINK("https://gerandofalcoes.my.salesforce.com/0014X00002VKCr7QAH", "0014X00002VKCr7QAH")</f>
        <v>0014X00002VKCr7QAH</v>
      </c>
      <c r="B214" s="2" t="s">
        <v>2730</v>
      </c>
      <c r="C214" s="2" t="s">
        <v>423</v>
      </c>
      <c r="D214" s="2" t="s">
        <v>2</v>
      </c>
      <c r="E214" s="2">
        <v>15</v>
      </c>
      <c r="F214" s="2">
        <v>0</v>
      </c>
      <c r="G214" s="2">
        <v>2</v>
      </c>
      <c r="H214" s="2">
        <v>0</v>
      </c>
      <c r="I214" s="2">
        <v>0</v>
      </c>
      <c r="J214" s="2" t="s">
        <v>1779</v>
      </c>
      <c r="K214" s="2">
        <v>16</v>
      </c>
      <c r="L214" s="2">
        <v>10</v>
      </c>
      <c r="M214" s="2">
        <v>0</v>
      </c>
      <c r="N214" s="2">
        <v>6</v>
      </c>
      <c r="O214" s="2">
        <v>0</v>
      </c>
      <c r="P214" s="2">
        <v>0</v>
      </c>
      <c r="Q214" s="2" t="s">
        <v>2731</v>
      </c>
      <c r="R214" s="2" t="s">
        <v>2731</v>
      </c>
      <c r="S214" s="4">
        <v>44837</v>
      </c>
    </row>
    <row r="215" spans="1:19" ht="12.5" x14ac:dyDescent="0.25">
      <c r="A215" s="14" t="str">
        <f>HYPERLINK("https://gerandofalcoes.my.salesforce.com/0014X00002VKCtCQAX", "0014X00002VKCtCQAX")</f>
        <v>0014X00002VKCtCQAX</v>
      </c>
      <c r="B215" s="2" t="s">
        <v>2724</v>
      </c>
      <c r="C215" s="2" t="s">
        <v>423</v>
      </c>
      <c r="D215" s="2" t="s">
        <v>2</v>
      </c>
      <c r="E215" s="2">
        <v>15</v>
      </c>
      <c r="F215" s="2">
        <v>0</v>
      </c>
      <c r="G215" s="2">
        <v>3</v>
      </c>
      <c r="H215" s="2">
        <v>2900</v>
      </c>
      <c r="I215" s="2">
        <v>70</v>
      </c>
      <c r="J215" s="2" t="s">
        <v>1779</v>
      </c>
      <c r="K215" s="2">
        <v>28</v>
      </c>
      <c r="L215" s="2">
        <v>10</v>
      </c>
      <c r="M215" s="2">
        <v>0</v>
      </c>
      <c r="N215" s="2">
        <v>8</v>
      </c>
      <c r="O215" s="2">
        <v>5</v>
      </c>
      <c r="P215" s="2">
        <v>5</v>
      </c>
      <c r="Q215" s="2" t="s">
        <v>2725</v>
      </c>
      <c r="R215" s="2" t="s">
        <v>2726</v>
      </c>
      <c r="S215" s="4">
        <v>44837</v>
      </c>
    </row>
    <row r="216" spans="1:19" ht="12.5" x14ac:dyDescent="0.25">
      <c r="A216" s="14" t="str">
        <f>HYPERLINK("https://gerandofalcoes.my.salesforce.com/0014X00002VKCr3QAH", "0014X00002VKCr3QAH")</f>
        <v>0014X00002VKCr3QAH</v>
      </c>
      <c r="B216" s="2" t="s">
        <v>2399</v>
      </c>
      <c r="C216" s="2" t="s">
        <v>423</v>
      </c>
      <c r="D216" s="2" t="s">
        <v>2</v>
      </c>
      <c r="E216" s="2">
        <v>25</v>
      </c>
      <c r="F216" s="2">
        <v>0</v>
      </c>
      <c r="G216" s="2">
        <v>2</v>
      </c>
      <c r="H216" s="2">
        <v>5000</v>
      </c>
      <c r="I216" s="2">
        <v>2000</v>
      </c>
      <c r="J216" s="2" t="s">
        <v>1671</v>
      </c>
      <c r="K216" s="2">
        <v>46</v>
      </c>
      <c r="L216" s="2">
        <v>15</v>
      </c>
      <c r="M216" s="2">
        <v>0</v>
      </c>
      <c r="N216" s="2">
        <v>6</v>
      </c>
      <c r="O216" s="2">
        <v>5</v>
      </c>
      <c r="P216" s="2">
        <v>20</v>
      </c>
      <c r="Q216" s="2" t="s">
        <v>2400</v>
      </c>
      <c r="R216" s="2" t="s">
        <v>2400</v>
      </c>
      <c r="S216" s="4">
        <v>44837</v>
      </c>
    </row>
    <row r="217" spans="1:19" ht="12.5" x14ac:dyDescent="0.25">
      <c r="A217" s="14" t="str">
        <f>HYPERLINK("https://gerandofalcoes.my.salesforce.com/0014X00002VKCqmQAH", "0014X00002VKCqmQAH")</f>
        <v>0014X00002VKCqmQAH</v>
      </c>
      <c r="B217" s="2" t="s">
        <v>2032</v>
      </c>
      <c r="C217" s="2" t="s">
        <v>423</v>
      </c>
      <c r="D217" s="2" t="s">
        <v>2</v>
      </c>
      <c r="E217" s="2">
        <v>37</v>
      </c>
      <c r="F217" s="2">
        <v>5</v>
      </c>
      <c r="G217" s="2">
        <v>4</v>
      </c>
      <c r="H217" s="2">
        <v>40000</v>
      </c>
      <c r="I217" s="2">
        <v>50</v>
      </c>
      <c r="J217" s="2" t="s">
        <v>1671</v>
      </c>
      <c r="K217" s="2">
        <v>45</v>
      </c>
      <c r="L217" s="2">
        <v>15</v>
      </c>
      <c r="M217" s="2">
        <v>5</v>
      </c>
      <c r="N217" s="2">
        <v>10</v>
      </c>
      <c r="O217" s="2">
        <v>10</v>
      </c>
      <c r="P217" s="2">
        <v>5</v>
      </c>
      <c r="Q217" s="2" t="s">
        <v>2033</v>
      </c>
      <c r="R217" s="2" t="s">
        <v>2034</v>
      </c>
      <c r="S217" s="4">
        <v>44837</v>
      </c>
    </row>
    <row r="218" spans="1:19" ht="12.5" x14ac:dyDescent="0.25">
      <c r="A218" s="14" t="str">
        <f>HYPERLINK("https://gerandofalcoes.my.salesforce.com/0014X00002VKCu1QAH", "0014X00002VKCu1QAH")</f>
        <v>0014X00002VKCu1QAH</v>
      </c>
      <c r="B218" s="2" t="s">
        <v>2158</v>
      </c>
      <c r="C218" s="2" t="s">
        <v>423</v>
      </c>
      <c r="D218" s="2" t="s">
        <v>2</v>
      </c>
      <c r="E218" s="2">
        <v>33</v>
      </c>
      <c r="F218" s="2">
        <v>0</v>
      </c>
      <c r="G218" s="2">
        <v>3</v>
      </c>
      <c r="H218" s="2">
        <v>10000</v>
      </c>
      <c r="I218" s="2">
        <v>3500</v>
      </c>
      <c r="J218" s="2" t="s">
        <v>1671</v>
      </c>
      <c r="K218" s="2">
        <v>48</v>
      </c>
      <c r="L218" s="2">
        <v>15</v>
      </c>
      <c r="M218" s="2">
        <v>0</v>
      </c>
      <c r="N218" s="2">
        <v>8</v>
      </c>
      <c r="O218" s="2">
        <v>5</v>
      </c>
      <c r="P218" s="2">
        <v>20</v>
      </c>
      <c r="Q218" s="2" t="s">
        <v>2159</v>
      </c>
      <c r="R218" s="2" t="s">
        <v>2160</v>
      </c>
      <c r="S218" s="4">
        <v>44837</v>
      </c>
    </row>
    <row r="219" spans="1:19" ht="12.5" x14ac:dyDescent="0.25">
      <c r="A219" s="14" t="str">
        <f>HYPERLINK("https://gerandofalcoes.my.salesforce.com/0014X00002VKD05QAH", "0014X00002VKD05QAH")</f>
        <v>0014X00002VKD05QAH</v>
      </c>
      <c r="B219" s="2" t="s">
        <v>2264</v>
      </c>
      <c r="C219" s="2" t="s">
        <v>423</v>
      </c>
      <c r="D219" s="2" t="s">
        <v>2</v>
      </c>
      <c r="E219" s="2">
        <v>30</v>
      </c>
      <c r="F219" s="2">
        <v>0</v>
      </c>
      <c r="G219" s="2">
        <v>2</v>
      </c>
      <c r="H219" s="2">
        <v>199010</v>
      </c>
      <c r="I219" s="2">
        <v>240</v>
      </c>
      <c r="J219" s="2" t="s">
        <v>1671</v>
      </c>
      <c r="K219" s="2">
        <v>48</v>
      </c>
      <c r="L219" s="2">
        <v>15</v>
      </c>
      <c r="M219" s="2">
        <v>0</v>
      </c>
      <c r="N219" s="2">
        <v>6</v>
      </c>
      <c r="O219" s="2">
        <v>15</v>
      </c>
      <c r="P219" s="2">
        <v>12</v>
      </c>
      <c r="Q219" s="2" t="s">
        <v>2265</v>
      </c>
      <c r="R219" s="2" t="s">
        <v>2266</v>
      </c>
      <c r="S219" s="4">
        <v>44837</v>
      </c>
    </row>
    <row r="220" spans="1:19" ht="12.5" x14ac:dyDescent="0.25">
      <c r="A220" s="14" t="str">
        <f>HYPERLINK("https://gerandofalcoes.my.salesforce.com/0014X00002VKCsSQAX", "0014X00002VKCsSQAX")</f>
        <v>0014X00002VKCsSQAX</v>
      </c>
      <c r="B220" s="2" t="s">
        <v>2354</v>
      </c>
      <c r="C220" s="2" t="s">
        <v>423</v>
      </c>
      <c r="D220" s="2" t="s">
        <v>2</v>
      </c>
      <c r="E220" s="2">
        <v>27</v>
      </c>
      <c r="F220" s="2">
        <v>0</v>
      </c>
      <c r="G220" s="2">
        <v>3</v>
      </c>
      <c r="H220" s="2">
        <v>28800</v>
      </c>
      <c r="I220" s="2">
        <v>65</v>
      </c>
      <c r="J220" s="2" t="s">
        <v>1779</v>
      </c>
      <c r="K220" s="2">
        <v>38</v>
      </c>
      <c r="L220" s="2">
        <v>15</v>
      </c>
      <c r="M220" s="2">
        <v>0</v>
      </c>
      <c r="N220" s="2">
        <v>8</v>
      </c>
      <c r="O220" s="2">
        <v>10</v>
      </c>
      <c r="P220" s="2">
        <v>5</v>
      </c>
      <c r="Q220" s="2" t="s">
        <v>2355</v>
      </c>
      <c r="R220" s="2" t="s">
        <v>2356</v>
      </c>
      <c r="S220" s="4">
        <v>44837</v>
      </c>
    </row>
    <row r="221" spans="1:19" ht="12.5" x14ac:dyDescent="0.25">
      <c r="A221" s="14" t="str">
        <f>HYPERLINK("https://gerandofalcoes.my.salesforce.com/0014X00002UGqWjQAL", "0014X00002UGqWjQAL")</f>
        <v>0014X00002UGqWjQAL</v>
      </c>
      <c r="B221" s="2" t="s">
        <v>2654</v>
      </c>
      <c r="C221" s="2" t="s">
        <v>423</v>
      </c>
      <c r="D221" s="2" t="s">
        <v>2</v>
      </c>
      <c r="E221" s="2">
        <v>17</v>
      </c>
      <c r="F221" s="2">
        <v>0</v>
      </c>
      <c r="G221" s="2">
        <v>2</v>
      </c>
      <c r="H221" s="2">
        <v>2000</v>
      </c>
      <c r="I221" s="2">
        <v>128</v>
      </c>
      <c r="J221" s="2" t="s">
        <v>1779</v>
      </c>
      <c r="K221" s="2">
        <v>31</v>
      </c>
      <c r="L221" s="2">
        <v>10</v>
      </c>
      <c r="M221" s="2">
        <v>0</v>
      </c>
      <c r="N221" s="2">
        <v>6</v>
      </c>
      <c r="O221" s="2">
        <v>5</v>
      </c>
      <c r="P221" s="2">
        <v>10</v>
      </c>
      <c r="Q221" s="2" t="s">
        <v>2655</v>
      </c>
      <c r="R221" s="2" t="s">
        <v>2656</v>
      </c>
      <c r="S221" s="4">
        <v>44837</v>
      </c>
    </row>
    <row r="222" spans="1:19" ht="12.5" x14ac:dyDescent="0.25">
      <c r="A222" s="14" t="str">
        <f>HYPERLINK("https://gerandofalcoes.my.salesforce.com/0014X00002UGscXQAT", "0014X00002UGscXQAT")</f>
        <v>0014X00002UGscXQAT</v>
      </c>
      <c r="B222" s="2" t="s">
        <v>2995</v>
      </c>
      <c r="C222" s="2" t="s">
        <v>423</v>
      </c>
      <c r="D222" s="2" t="s">
        <v>2</v>
      </c>
      <c r="E222" s="2"/>
      <c r="F222" s="2">
        <v>2</v>
      </c>
      <c r="G222" s="2">
        <v>2</v>
      </c>
      <c r="H222" s="2">
        <v>1000</v>
      </c>
      <c r="I222" s="2">
        <v>0</v>
      </c>
      <c r="J222" s="2" t="s">
        <v>1779</v>
      </c>
      <c r="K222" s="2">
        <v>16</v>
      </c>
      <c r="L222" s="2">
        <v>0</v>
      </c>
      <c r="M222" s="2">
        <v>5</v>
      </c>
      <c r="N222" s="2">
        <v>6</v>
      </c>
      <c r="O222" s="2">
        <v>5</v>
      </c>
      <c r="P222" s="2">
        <v>0</v>
      </c>
      <c r="Q222" s="2" t="s">
        <v>2996</v>
      </c>
      <c r="R222" s="2" t="s">
        <v>2997</v>
      </c>
      <c r="S222" s="4">
        <v>44837</v>
      </c>
    </row>
    <row r="223" spans="1:19" ht="12.5" x14ac:dyDescent="0.25">
      <c r="A223" s="14" t="str">
        <f>HYPERLINK("https://gerandofalcoes.my.salesforce.com/0014P00003AN2FoQAL", "0014P00003AN2FoQAL")</f>
        <v>0014P00003AN2FoQAL</v>
      </c>
      <c r="B223" s="2" t="s">
        <v>1938</v>
      </c>
      <c r="C223" s="2" t="s">
        <v>423</v>
      </c>
      <c r="D223" s="2" t="s">
        <v>2</v>
      </c>
      <c r="E223" s="2"/>
      <c r="F223" s="2">
        <v>5</v>
      </c>
      <c r="G223" s="2">
        <v>2</v>
      </c>
      <c r="H223" s="2">
        <v>150000</v>
      </c>
      <c r="I223" s="2">
        <v>160</v>
      </c>
      <c r="J223" s="2" t="s">
        <v>1779</v>
      </c>
      <c r="K223" s="2">
        <v>38</v>
      </c>
      <c r="L223" s="2">
        <v>0</v>
      </c>
      <c r="M223" s="2">
        <v>5</v>
      </c>
      <c r="N223" s="2">
        <v>6</v>
      </c>
      <c r="O223" s="2">
        <v>15</v>
      </c>
      <c r="P223" s="2">
        <v>12</v>
      </c>
      <c r="Q223" s="2" t="s">
        <v>130</v>
      </c>
      <c r="R223" s="2" t="s">
        <v>1939</v>
      </c>
      <c r="S223" s="4">
        <v>44837</v>
      </c>
    </row>
    <row r="224" spans="1:19" ht="12.5" x14ac:dyDescent="0.25">
      <c r="A224" s="14" t="str">
        <f>HYPERLINK("https://gerandofalcoes.my.salesforce.com/0014P00003AN2FpQAL", "0014P00003AN2FpQAL")</f>
        <v>0014P00003AN2FpQAL</v>
      </c>
      <c r="B224" s="2" t="s">
        <v>1678</v>
      </c>
      <c r="C224" s="2" t="s">
        <v>423</v>
      </c>
      <c r="D224" s="2" t="s">
        <v>27</v>
      </c>
      <c r="E224" s="2">
        <v>89</v>
      </c>
      <c r="F224" s="2">
        <v>16</v>
      </c>
      <c r="G224" s="2">
        <v>2</v>
      </c>
      <c r="H224" s="2">
        <v>76727.45</v>
      </c>
      <c r="I224" s="2">
        <v>173</v>
      </c>
      <c r="J224" s="2" t="s">
        <v>1650</v>
      </c>
      <c r="K224" s="2">
        <v>65</v>
      </c>
      <c r="L224" s="2">
        <v>25</v>
      </c>
      <c r="M224" s="2">
        <v>12</v>
      </c>
      <c r="N224" s="2">
        <v>6</v>
      </c>
      <c r="O224" s="2">
        <v>10</v>
      </c>
      <c r="P224" s="2">
        <v>12</v>
      </c>
      <c r="Q224" s="2" t="s">
        <v>131</v>
      </c>
      <c r="R224" s="2" t="s">
        <v>131</v>
      </c>
      <c r="S224" s="4">
        <v>44837</v>
      </c>
    </row>
    <row r="225" spans="1:19" ht="12.5" x14ac:dyDescent="0.25">
      <c r="A225" s="14" t="str">
        <f>HYPERLINK("https://gerandofalcoes.my.salesforce.com/0014P00003AN2FvQAL", "0014P00003AN2FvQAL")</f>
        <v>0014P00003AN2FvQAL</v>
      </c>
      <c r="B225" s="2" t="s">
        <v>1746</v>
      </c>
      <c r="C225" s="2" t="s">
        <v>423</v>
      </c>
      <c r="D225" s="2" t="s">
        <v>27</v>
      </c>
      <c r="E225" s="2">
        <v>64</v>
      </c>
      <c r="F225" s="2">
        <v>7</v>
      </c>
      <c r="G225" s="2">
        <v>2</v>
      </c>
      <c r="H225" s="2">
        <v>109514.68</v>
      </c>
      <c r="I225" s="2">
        <v>127</v>
      </c>
      <c r="J225" s="2" t="s">
        <v>1671</v>
      </c>
      <c r="K225" s="2">
        <v>61</v>
      </c>
      <c r="L225" s="2">
        <v>20</v>
      </c>
      <c r="M225" s="2">
        <v>10</v>
      </c>
      <c r="N225" s="2">
        <v>6</v>
      </c>
      <c r="O225" s="2">
        <v>15</v>
      </c>
      <c r="P225" s="2">
        <v>10</v>
      </c>
      <c r="Q225" s="2" t="s">
        <v>142</v>
      </c>
      <c r="R225" s="2" t="s">
        <v>142</v>
      </c>
      <c r="S225" s="4">
        <v>44837</v>
      </c>
    </row>
    <row r="226" spans="1:19" ht="12.5" x14ac:dyDescent="0.25">
      <c r="A226" s="14" t="str">
        <f>HYPERLINK("https://gerandofalcoes.my.salesforce.com/0014P00003AN2FqQAL", "0014P00003AN2FqQAL")</f>
        <v>0014P00003AN2FqQAL</v>
      </c>
      <c r="B226" s="2" t="s">
        <v>1658</v>
      </c>
      <c r="C226" s="2" t="s">
        <v>423</v>
      </c>
      <c r="D226" s="2" t="s">
        <v>27</v>
      </c>
      <c r="E226" s="2">
        <v>95</v>
      </c>
      <c r="F226" s="2">
        <v>46</v>
      </c>
      <c r="G226" s="2">
        <v>4</v>
      </c>
      <c r="H226" s="2">
        <v>1272655.06</v>
      </c>
      <c r="I226" s="2">
        <v>348</v>
      </c>
      <c r="J226" s="2" t="s">
        <v>1654</v>
      </c>
      <c r="K226" s="2">
        <v>95</v>
      </c>
      <c r="L226" s="2">
        <v>30</v>
      </c>
      <c r="M226" s="2">
        <v>15</v>
      </c>
      <c r="N226" s="2">
        <v>10</v>
      </c>
      <c r="O226" s="2">
        <v>25</v>
      </c>
      <c r="P226" s="2">
        <v>15</v>
      </c>
      <c r="Q226" s="2" t="s">
        <v>132</v>
      </c>
      <c r="R226" s="2" t="s">
        <v>132</v>
      </c>
      <c r="S226" s="4">
        <v>44837</v>
      </c>
    </row>
    <row r="227" spans="1:19" ht="12.5" x14ac:dyDescent="0.25">
      <c r="A227" s="14" t="str">
        <f>HYPERLINK("https://gerandofalcoes.my.salesforce.com/0014P00003AN2FsQAL", "0014P00003AN2FsQAL")</f>
        <v>0014P00003AN2FsQAL</v>
      </c>
      <c r="B227" s="2" t="s">
        <v>1688</v>
      </c>
      <c r="C227" s="2" t="s">
        <v>423</v>
      </c>
      <c r="D227" s="2" t="s">
        <v>27</v>
      </c>
      <c r="E227" s="2">
        <v>85</v>
      </c>
      <c r="F227" s="2">
        <v>6</v>
      </c>
      <c r="G227" s="2">
        <v>3</v>
      </c>
      <c r="H227" s="2">
        <v>93122.27</v>
      </c>
      <c r="I227" s="2">
        <v>206</v>
      </c>
      <c r="J227" s="2" t="s">
        <v>1650</v>
      </c>
      <c r="K227" s="2">
        <v>65</v>
      </c>
      <c r="L227" s="2">
        <v>25</v>
      </c>
      <c r="M227" s="2">
        <v>10</v>
      </c>
      <c r="N227" s="2">
        <v>8</v>
      </c>
      <c r="O227" s="2">
        <v>10</v>
      </c>
      <c r="P227" s="2">
        <v>12</v>
      </c>
      <c r="Q227" s="2" t="s">
        <v>134</v>
      </c>
      <c r="R227" s="2" t="s">
        <v>134</v>
      </c>
      <c r="S227" s="4">
        <v>44837</v>
      </c>
    </row>
    <row r="228" spans="1:19" ht="12.5" x14ac:dyDescent="0.25">
      <c r="A228" s="14" t="str">
        <f>HYPERLINK("https://gerandofalcoes.my.salesforce.com/0014P00003AN2FtQAL", "0014P00003AN2FtQAL")</f>
        <v>0014P00003AN2FtQAL</v>
      </c>
      <c r="B228" s="2" t="s">
        <v>137</v>
      </c>
      <c r="C228" s="2" t="s">
        <v>423</v>
      </c>
      <c r="D228" s="2" t="s">
        <v>27</v>
      </c>
      <c r="E228" s="2">
        <v>86</v>
      </c>
      <c r="F228" s="2">
        <v>7</v>
      </c>
      <c r="G228" s="2">
        <v>4</v>
      </c>
      <c r="H228" s="2">
        <v>67399.429999999993</v>
      </c>
      <c r="I228" s="2">
        <v>159</v>
      </c>
      <c r="J228" s="2" t="s">
        <v>1650</v>
      </c>
      <c r="K228" s="2">
        <v>67</v>
      </c>
      <c r="L228" s="2">
        <v>25</v>
      </c>
      <c r="M228" s="2">
        <v>10</v>
      </c>
      <c r="N228" s="2">
        <v>10</v>
      </c>
      <c r="O228" s="2">
        <v>10</v>
      </c>
      <c r="P228" s="2">
        <v>12</v>
      </c>
      <c r="Q228" s="2" t="s">
        <v>138</v>
      </c>
      <c r="R228" s="2" t="s">
        <v>1682</v>
      </c>
      <c r="S228" s="4">
        <v>44837</v>
      </c>
    </row>
    <row r="229" spans="1:19" ht="12.5" x14ac:dyDescent="0.25">
      <c r="A229" s="14" t="str">
        <f>HYPERLINK("https://gerandofalcoes.my.salesforce.com/0014P00003AN2FuQAL", "0014P00003AN2FuQAL")</f>
        <v>0014P00003AN2FuQAL</v>
      </c>
      <c r="B229" s="2" t="s">
        <v>1659</v>
      </c>
      <c r="C229" s="2" t="s">
        <v>423</v>
      </c>
      <c r="D229" s="2" t="s">
        <v>27</v>
      </c>
      <c r="E229" s="2">
        <v>95</v>
      </c>
      <c r="F229" s="2">
        <v>23</v>
      </c>
      <c r="G229" s="2">
        <v>3</v>
      </c>
      <c r="H229" s="2">
        <v>243360.63</v>
      </c>
      <c r="I229" s="2">
        <v>291</v>
      </c>
      <c r="J229" s="2" t="s">
        <v>1650</v>
      </c>
      <c r="K229" s="2">
        <v>77</v>
      </c>
      <c r="L229" s="2">
        <v>30</v>
      </c>
      <c r="M229" s="2">
        <v>12</v>
      </c>
      <c r="N229" s="2">
        <v>8</v>
      </c>
      <c r="O229" s="2">
        <v>15</v>
      </c>
      <c r="P229" s="2">
        <v>12</v>
      </c>
      <c r="Q229" s="2" t="s">
        <v>140</v>
      </c>
      <c r="R229" s="2" t="s">
        <v>140</v>
      </c>
      <c r="S229" s="4">
        <v>44837</v>
      </c>
    </row>
    <row r="230" spans="1:19" ht="12.5" x14ac:dyDescent="0.25">
      <c r="A230" s="14" t="str">
        <f>HYPERLINK("https://gerandofalcoes.my.salesforce.com/0014P00003AN2FwQAL", "0014P00003AN2FwQAL")</f>
        <v>0014P00003AN2FwQAL</v>
      </c>
      <c r="B230" s="2" t="s">
        <v>115</v>
      </c>
      <c r="C230" s="2" t="s">
        <v>423</v>
      </c>
      <c r="D230" s="2" t="s">
        <v>27</v>
      </c>
      <c r="E230" s="2">
        <v>73</v>
      </c>
      <c r="F230" s="2">
        <v>15</v>
      </c>
      <c r="G230" s="2">
        <v>1</v>
      </c>
      <c r="H230" s="2">
        <v>65923</v>
      </c>
      <c r="I230" s="2">
        <v>77</v>
      </c>
      <c r="J230" s="2" t="s">
        <v>1671</v>
      </c>
      <c r="K230" s="2">
        <v>51</v>
      </c>
      <c r="L230" s="2">
        <v>20</v>
      </c>
      <c r="M230" s="2">
        <v>12</v>
      </c>
      <c r="N230" s="2">
        <v>4</v>
      </c>
      <c r="O230" s="2">
        <v>10</v>
      </c>
      <c r="P230" s="2">
        <v>5</v>
      </c>
      <c r="Q230" s="2" t="s">
        <v>116</v>
      </c>
      <c r="R230" s="2" t="s">
        <v>1723</v>
      </c>
      <c r="S230" s="4">
        <v>44837</v>
      </c>
    </row>
    <row r="231" spans="1:19" ht="12.5" x14ac:dyDescent="0.25">
      <c r="A231" s="14" t="str">
        <f>HYPERLINK("https://gerandofalcoes.my.salesforce.com/0014P00003AN2FxQAL", "0014P00003AN2FxQAL")</f>
        <v>0014P00003AN2FxQAL</v>
      </c>
      <c r="B231" s="2" t="s">
        <v>1664</v>
      </c>
      <c r="C231" s="2" t="s">
        <v>423</v>
      </c>
      <c r="D231" s="2" t="s">
        <v>27</v>
      </c>
      <c r="E231" s="2">
        <v>93</v>
      </c>
      <c r="F231" s="2">
        <v>29</v>
      </c>
      <c r="G231" s="2">
        <v>1</v>
      </c>
      <c r="H231" s="2">
        <v>621309.18999999994</v>
      </c>
      <c r="I231" s="2">
        <v>203</v>
      </c>
      <c r="J231" s="2" t="s">
        <v>1650</v>
      </c>
      <c r="K231" s="2">
        <v>78</v>
      </c>
      <c r="L231" s="2">
        <v>30</v>
      </c>
      <c r="M231" s="2">
        <v>12</v>
      </c>
      <c r="N231" s="2">
        <v>4</v>
      </c>
      <c r="O231" s="2">
        <v>20</v>
      </c>
      <c r="P231" s="2">
        <v>12</v>
      </c>
      <c r="Q231" s="2" t="s">
        <v>144</v>
      </c>
      <c r="R231" s="2" t="s">
        <v>144</v>
      </c>
      <c r="S231" s="4">
        <v>44837</v>
      </c>
    </row>
    <row r="232" spans="1:19" ht="12.5" x14ac:dyDescent="0.25">
      <c r="A232" s="14" t="str">
        <f>HYPERLINK("https://gerandofalcoes.my.salesforce.com/0014P00003YSp7yQAD", "0014P00003YSp7yQAD")</f>
        <v>0014P00003YSp7yQAD</v>
      </c>
      <c r="B232" s="2" t="s">
        <v>2823</v>
      </c>
      <c r="C232" s="2" t="s">
        <v>423</v>
      </c>
      <c r="D232" s="2" t="s">
        <v>2</v>
      </c>
      <c r="E232" s="2">
        <v>12</v>
      </c>
      <c r="F232" s="2">
        <v>0</v>
      </c>
      <c r="G232" s="2">
        <v>2</v>
      </c>
      <c r="H232" s="2">
        <v>20000</v>
      </c>
      <c r="I232" s="2">
        <v>600</v>
      </c>
      <c r="J232" s="2" t="s">
        <v>1671</v>
      </c>
      <c r="K232" s="2">
        <v>41</v>
      </c>
      <c r="L232" s="2">
        <v>10</v>
      </c>
      <c r="M232" s="2">
        <v>0</v>
      </c>
      <c r="N232" s="2">
        <v>6</v>
      </c>
      <c r="O232" s="2">
        <v>5</v>
      </c>
      <c r="P232" s="2">
        <v>20</v>
      </c>
      <c r="Q232" s="2" t="s">
        <v>2824</v>
      </c>
      <c r="R232" s="2" t="s">
        <v>2825</v>
      </c>
      <c r="S232" s="4">
        <v>44837</v>
      </c>
    </row>
    <row r="233" spans="1:19" ht="12.5" x14ac:dyDescent="0.25">
      <c r="A233" s="14" t="str">
        <f>HYPERLINK("https://gerandofalcoes.my.salesforce.com/0014P00003YSp7zQAD", "0014P00003YSp7zQAD")</f>
        <v>0014P00003YSp7zQAD</v>
      </c>
      <c r="B233" s="2" t="s">
        <v>2441</v>
      </c>
      <c r="C233" s="2" t="s">
        <v>423</v>
      </c>
      <c r="D233" s="2" t="s">
        <v>2</v>
      </c>
      <c r="E233" s="2">
        <v>24</v>
      </c>
      <c r="F233" s="2">
        <v>1</v>
      </c>
      <c r="G233" s="2">
        <v>0</v>
      </c>
      <c r="H233" s="2">
        <v>380000</v>
      </c>
      <c r="I233" s="2">
        <v>780</v>
      </c>
      <c r="J233" s="2" t="s">
        <v>1671</v>
      </c>
      <c r="K233" s="2">
        <v>55</v>
      </c>
      <c r="L233" s="2">
        <v>10</v>
      </c>
      <c r="M233" s="2">
        <v>5</v>
      </c>
      <c r="N233" s="2">
        <v>0</v>
      </c>
      <c r="O233" s="2">
        <v>20</v>
      </c>
      <c r="P233" s="2">
        <v>20</v>
      </c>
      <c r="Q233" s="2" t="s">
        <v>2442</v>
      </c>
      <c r="R233" s="2" t="s">
        <v>2443</v>
      </c>
      <c r="S233" s="4">
        <v>44837</v>
      </c>
    </row>
    <row r="234" spans="1:19" ht="12.5" x14ac:dyDescent="0.25">
      <c r="A234" s="14" t="str">
        <f>HYPERLINK("https://gerandofalcoes.my.salesforce.com/0014P00003YSp81QAD", "0014P00003YSp81QAD")</f>
        <v>0014P00003YSp81QAD</v>
      </c>
      <c r="B234" s="2" t="s">
        <v>1992</v>
      </c>
      <c r="C234" s="2" t="s">
        <v>423</v>
      </c>
      <c r="D234" s="2" t="s">
        <v>2</v>
      </c>
      <c r="E234" s="2">
        <v>39</v>
      </c>
      <c r="F234" s="2">
        <v>0</v>
      </c>
      <c r="G234" s="2">
        <v>2</v>
      </c>
      <c r="H234" s="2">
        <v>5000</v>
      </c>
      <c r="I234" s="2">
        <v>150</v>
      </c>
      <c r="J234" s="2" t="s">
        <v>1779</v>
      </c>
      <c r="K234" s="2">
        <v>38</v>
      </c>
      <c r="L234" s="2">
        <v>15</v>
      </c>
      <c r="M234" s="2">
        <v>0</v>
      </c>
      <c r="N234" s="2">
        <v>6</v>
      </c>
      <c r="O234" s="2">
        <v>5</v>
      </c>
      <c r="P234" s="2">
        <v>12</v>
      </c>
      <c r="Q234" s="2" t="s">
        <v>1993</v>
      </c>
      <c r="R234" s="2" t="s">
        <v>1994</v>
      </c>
      <c r="S234" s="4">
        <v>44837</v>
      </c>
    </row>
    <row r="235" spans="1:19" ht="12.5" x14ac:dyDescent="0.25">
      <c r="A235" s="14" t="str">
        <f>HYPERLINK("https://gerandofalcoes.my.salesforce.com/0014P00003YSp82QAD", "0014P00003YSp82QAD")</f>
        <v>0014P00003YSp82QAD</v>
      </c>
      <c r="B235" s="2" t="s">
        <v>2362</v>
      </c>
      <c r="C235" s="2" t="s">
        <v>423</v>
      </c>
      <c r="D235" s="2" t="s">
        <v>2</v>
      </c>
      <c r="E235" s="2">
        <v>25</v>
      </c>
      <c r="F235" s="2">
        <v>9</v>
      </c>
      <c r="G235" s="2">
        <v>4</v>
      </c>
      <c r="H235" s="2">
        <v>10500</v>
      </c>
      <c r="I235" s="2">
        <v>90</v>
      </c>
      <c r="J235" s="2" t="s">
        <v>1671</v>
      </c>
      <c r="K235" s="2">
        <v>50</v>
      </c>
      <c r="L235" s="2">
        <v>15</v>
      </c>
      <c r="M235" s="2">
        <v>10</v>
      </c>
      <c r="N235" s="2">
        <v>10</v>
      </c>
      <c r="O235" s="2">
        <v>5</v>
      </c>
      <c r="P235" s="2">
        <v>10</v>
      </c>
      <c r="Q235" s="2" t="s">
        <v>2363</v>
      </c>
      <c r="R235" s="2" t="s">
        <v>2364</v>
      </c>
      <c r="S235" s="4">
        <v>44837</v>
      </c>
    </row>
    <row r="236" spans="1:19" ht="12.5" x14ac:dyDescent="0.25">
      <c r="A236" s="14" t="str">
        <f>HYPERLINK("https://gerandofalcoes.my.salesforce.com/0014P00003YSp83QAD", "0014P00003YSp83QAD")</f>
        <v>0014P00003YSp83QAD</v>
      </c>
      <c r="B236" s="2" t="s">
        <v>1727</v>
      </c>
      <c r="C236" s="2" t="s">
        <v>423</v>
      </c>
      <c r="D236" s="2" t="s">
        <v>2</v>
      </c>
      <c r="E236" s="2">
        <v>45</v>
      </c>
      <c r="F236" s="2">
        <v>3</v>
      </c>
      <c r="G236" s="2">
        <v>3</v>
      </c>
      <c r="H236" s="2">
        <v>197325</v>
      </c>
      <c r="I236" s="2">
        <v>104</v>
      </c>
      <c r="J236" s="2" t="s">
        <v>1671</v>
      </c>
      <c r="K236" s="2">
        <v>53</v>
      </c>
      <c r="L236" s="2">
        <v>15</v>
      </c>
      <c r="M236" s="2">
        <v>5</v>
      </c>
      <c r="N236" s="2">
        <v>8</v>
      </c>
      <c r="O236" s="2">
        <v>15</v>
      </c>
      <c r="P236" s="2">
        <v>10</v>
      </c>
      <c r="Q236" s="2" t="s">
        <v>1728</v>
      </c>
      <c r="R236" s="2" t="s">
        <v>1729</v>
      </c>
      <c r="S236" s="4">
        <v>44837</v>
      </c>
    </row>
    <row r="237" spans="1:19" ht="12.5" x14ac:dyDescent="0.25">
      <c r="A237" s="14" t="str">
        <f>HYPERLINK("https://gerandofalcoes.my.salesforce.com/0014P00003YSp84QAD", "0014P00003YSp84QAD")</f>
        <v>0014P00003YSp84QAD</v>
      </c>
      <c r="B237" s="2" t="s">
        <v>2454</v>
      </c>
      <c r="C237" s="2" t="s">
        <v>423</v>
      </c>
      <c r="D237" s="2" t="s">
        <v>2</v>
      </c>
      <c r="E237" s="2">
        <v>35</v>
      </c>
      <c r="F237" s="2">
        <v>0</v>
      </c>
      <c r="G237" s="2">
        <v>2</v>
      </c>
      <c r="H237" s="2">
        <v>0</v>
      </c>
      <c r="I237" s="2">
        <v>220</v>
      </c>
      <c r="J237" s="2" t="s">
        <v>1779</v>
      </c>
      <c r="K237" s="2">
        <v>33</v>
      </c>
      <c r="L237" s="2">
        <v>15</v>
      </c>
      <c r="M237" s="2">
        <v>0</v>
      </c>
      <c r="N237" s="2">
        <v>6</v>
      </c>
      <c r="O237" s="2">
        <v>0</v>
      </c>
      <c r="P237" s="2">
        <v>12</v>
      </c>
      <c r="Q237" s="2" t="s">
        <v>2455</v>
      </c>
      <c r="R237" s="2" t="s">
        <v>2456</v>
      </c>
      <c r="S237" s="4">
        <v>44837</v>
      </c>
    </row>
    <row r="238" spans="1:19" ht="12.5" x14ac:dyDescent="0.25">
      <c r="A238" s="14" t="str">
        <f>HYPERLINK("https://gerandofalcoes.my.salesforce.com/0014P00003YSp86QAD", "0014P00003YSp86QAD")</f>
        <v>0014P00003YSp86QAD</v>
      </c>
      <c r="B238" s="2" t="s">
        <v>2514</v>
      </c>
      <c r="C238" s="2" t="s">
        <v>423</v>
      </c>
      <c r="D238" s="2" t="s">
        <v>2</v>
      </c>
      <c r="E238" s="2">
        <v>21</v>
      </c>
      <c r="F238" s="2">
        <v>0</v>
      </c>
      <c r="G238" s="2">
        <v>2</v>
      </c>
      <c r="H238" s="2">
        <v>10000</v>
      </c>
      <c r="I238" s="2">
        <v>100</v>
      </c>
      <c r="J238" s="2" t="s">
        <v>1779</v>
      </c>
      <c r="K238" s="2">
        <v>31</v>
      </c>
      <c r="L238" s="2">
        <v>10</v>
      </c>
      <c r="M238" s="2">
        <v>0</v>
      </c>
      <c r="N238" s="2">
        <v>6</v>
      </c>
      <c r="O238" s="2">
        <v>5</v>
      </c>
      <c r="P238" s="2">
        <v>10</v>
      </c>
      <c r="Q238" s="2"/>
      <c r="R238" s="2" t="s">
        <v>2515</v>
      </c>
      <c r="S238" s="4">
        <v>44837</v>
      </c>
    </row>
    <row r="239" spans="1:19" ht="12.5" x14ac:dyDescent="0.25">
      <c r="A239" s="14" t="str">
        <f>HYPERLINK("https://gerandofalcoes.my.salesforce.com/0014P00003YSp87QAD", "0014P00003YSp87QAD")</f>
        <v>0014P00003YSp87QAD</v>
      </c>
      <c r="B239" s="2" t="s">
        <v>1755</v>
      </c>
      <c r="C239" s="2" t="s">
        <v>423</v>
      </c>
      <c r="D239" s="2" t="s">
        <v>2</v>
      </c>
      <c r="E239" s="2">
        <v>41</v>
      </c>
      <c r="F239" s="2">
        <v>19</v>
      </c>
      <c r="G239" s="2">
        <v>2</v>
      </c>
      <c r="H239" s="2">
        <v>0</v>
      </c>
      <c r="I239" s="2">
        <v>52</v>
      </c>
      <c r="J239" s="2" t="s">
        <v>1779</v>
      </c>
      <c r="K239" s="2">
        <v>38</v>
      </c>
      <c r="L239" s="2">
        <v>15</v>
      </c>
      <c r="M239" s="2">
        <v>12</v>
      </c>
      <c r="N239" s="2">
        <v>6</v>
      </c>
      <c r="O239" s="2">
        <v>0</v>
      </c>
      <c r="P239" s="2">
        <v>5</v>
      </c>
      <c r="Q239" s="2" t="s">
        <v>1756</v>
      </c>
      <c r="R239" s="2" t="s">
        <v>1757</v>
      </c>
      <c r="S239" s="4">
        <v>44837</v>
      </c>
    </row>
    <row r="240" spans="1:19" ht="12.5" x14ac:dyDescent="0.25">
      <c r="A240" s="14" t="str">
        <f>HYPERLINK("https://gerandofalcoes.my.salesforce.com/0014P00003YSp88QAD", "0014P00003YSp88QAD")</f>
        <v>0014P00003YSp88QAD</v>
      </c>
      <c r="B240" s="2" t="s">
        <v>2325</v>
      </c>
      <c r="C240" s="2" t="s">
        <v>1800</v>
      </c>
      <c r="D240" s="2" t="s">
        <v>2</v>
      </c>
      <c r="E240" s="2">
        <v>28</v>
      </c>
      <c r="F240" s="2">
        <v>0</v>
      </c>
      <c r="G240" s="2">
        <v>2</v>
      </c>
      <c r="H240" s="2">
        <v>0</v>
      </c>
      <c r="I240" s="2">
        <v>140</v>
      </c>
      <c r="J240" s="2" t="s">
        <v>1779</v>
      </c>
      <c r="K240" s="2">
        <v>31</v>
      </c>
      <c r="L240" s="2">
        <v>15</v>
      </c>
      <c r="M240" s="2">
        <v>0</v>
      </c>
      <c r="N240" s="2">
        <v>6</v>
      </c>
      <c r="O240" s="2">
        <v>0</v>
      </c>
      <c r="P240" s="2">
        <v>10</v>
      </c>
      <c r="Q240" s="2" t="s">
        <v>2326</v>
      </c>
      <c r="R240" s="2" t="s">
        <v>2327</v>
      </c>
      <c r="S240" s="4">
        <v>44837</v>
      </c>
    </row>
    <row r="241" spans="1:19" ht="12.5" x14ac:dyDescent="0.25">
      <c r="A241" s="14" t="str">
        <f>HYPERLINK("https://gerandofalcoes.my.salesforce.com/0014P00003YSp8AQAT", "0014P00003YSp8AQAT")</f>
        <v>0014P00003YSp8AQAT</v>
      </c>
      <c r="B241" s="2" t="s">
        <v>1943</v>
      </c>
      <c r="C241" s="2" t="s">
        <v>423</v>
      </c>
      <c r="D241" s="2" t="s">
        <v>2</v>
      </c>
      <c r="E241" s="2">
        <v>31</v>
      </c>
      <c r="F241" s="2">
        <v>15</v>
      </c>
      <c r="G241" s="2">
        <v>2</v>
      </c>
      <c r="H241" s="2">
        <v>1590</v>
      </c>
      <c r="I241" s="2">
        <v>169</v>
      </c>
      <c r="J241" s="2" t="s">
        <v>1671</v>
      </c>
      <c r="K241" s="2">
        <v>50</v>
      </c>
      <c r="L241" s="2">
        <v>15</v>
      </c>
      <c r="M241" s="2">
        <v>12</v>
      </c>
      <c r="N241" s="2">
        <v>6</v>
      </c>
      <c r="O241" s="2">
        <v>5</v>
      </c>
      <c r="P241" s="2">
        <v>12</v>
      </c>
      <c r="Q241" s="2" t="s">
        <v>1944</v>
      </c>
      <c r="R241" s="2" t="s">
        <v>1945</v>
      </c>
      <c r="S241" s="4">
        <v>44837</v>
      </c>
    </row>
    <row r="242" spans="1:19" ht="12.5" x14ac:dyDescent="0.25">
      <c r="A242" s="14" t="str">
        <f>HYPERLINK("https://gerandofalcoes.my.salesforce.com/0014P00003YSp8BQAT", "0014P00003YSp8BQAT")</f>
        <v>0014P00003YSp8BQAT</v>
      </c>
      <c r="B242" s="2" t="s">
        <v>2813</v>
      </c>
      <c r="C242" s="2" t="s">
        <v>423</v>
      </c>
      <c r="D242" s="2" t="s">
        <v>2</v>
      </c>
      <c r="E242" s="2">
        <v>24</v>
      </c>
      <c r="F242" s="2">
        <v>0</v>
      </c>
      <c r="G242" s="2">
        <v>2</v>
      </c>
      <c r="H242" s="2">
        <v>600</v>
      </c>
      <c r="I242" s="2">
        <v>520</v>
      </c>
      <c r="J242" s="2" t="s">
        <v>1671</v>
      </c>
      <c r="K242" s="2">
        <v>41</v>
      </c>
      <c r="L242" s="2">
        <v>10</v>
      </c>
      <c r="M242" s="2">
        <v>0</v>
      </c>
      <c r="N242" s="2">
        <v>6</v>
      </c>
      <c r="O242" s="2">
        <v>5</v>
      </c>
      <c r="P242" s="2">
        <v>20</v>
      </c>
      <c r="Q242" s="2" t="s">
        <v>2814</v>
      </c>
      <c r="R242" s="2" t="s">
        <v>2815</v>
      </c>
      <c r="S242" s="4">
        <v>44837</v>
      </c>
    </row>
    <row r="243" spans="1:19" ht="12.5" x14ac:dyDescent="0.25">
      <c r="A243" s="14" t="str">
        <f>HYPERLINK("https://gerandofalcoes.my.salesforce.com/0014P00003YSp8CQAT", "0014P00003YSp8CQAT")</f>
        <v>0014P00003YSp8CQAT</v>
      </c>
      <c r="B243" s="2" t="s">
        <v>2139</v>
      </c>
      <c r="C243" s="2" t="s">
        <v>423</v>
      </c>
      <c r="D243" s="2" t="s">
        <v>2</v>
      </c>
      <c r="E243" s="2">
        <v>34</v>
      </c>
      <c r="F243" s="2">
        <v>11</v>
      </c>
      <c r="G243" s="2">
        <v>4</v>
      </c>
      <c r="H243" s="2">
        <v>309270</v>
      </c>
      <c r="I243" s="2">
        <v>186</v>
      </c>
      <c r="J243" s="2" t="s">
        <v>1650</v>
      </c>
      <c r="K243" s="2">
        <v>69</v>
      </c>
      <c r="L243" s="2">
        <v>15</v>
      </c>
      <c r="M243" s="2">
        <v>12</v>
      </c>
      <c r="N243" s="2">
        <v>10</v>
      </c>
      <c r="O243" s="2">
        <v>20</v>
      </c>
      <c r="P243" s="2">
        <v>12</v>
      </c>
      <c r="Q243" s="2" t="s">
        <v>2140</v>
      </c>
      <c r="R243" s="2" t="s">
        <v>2140</v>
      </c>
      <c r="S243" s="4">
        <v>44837</v>
      </c>
    </row>
    <row r="244" spans="1:19" ht="12.5" x14ac:dyDescent="0.25">
      <c r="A244" s="14" t="str">
        <f>HYPERLINK("https://gerandofalcoes.my.salesforce.com/0014P00003YSp8EQAT", "0014P00003YSp8EQAT")</f>
        <v>0014P00003YSp8EQAT</v>
      </c>
      <c r="B244" s="2" t="s">
        <v>2407</v>
      </c>
      <c r="C244" s="2" t="s">
        <v>423</v>
      </c>
      <c r="D244" s="2" t="s">
        <v>2</v>
      </c>
      <c r="E244" s="2">
        <v>25</v>
      </c>
      <c r="F244" s="2">
        <v>0</v>
      </c>
      <c r="G244" s="2">
        <v>2</v>
      </c>
      <c r="H244" s="2">
        <v>2000</v>
      </c>
      <c r="I244" s="2">
        <v>130</v>
      </c>
      <c r="J244" s="2" t="s">
        <v>1779</v>
      </c>
      <c r="K244" s="2">
        <v>36</v>
      </c>
      <c r="L244" s="2">
        <v>15</v>
      </c>
      <c r="M244" s="2">
        <v>0</v>
      </c>
      <c r="N244" s="2">
        <v>6</v>
      </c>
      <c r="O244" s="2">
        <v>5</v>
      </c>
      <c r="P244" s="2">
        <v>10</v>
      </c>
      <c r="Q244" s="2" t="s">
        <v>2408</v>
      </c>
      <c r="R244" s="2" t="s">
        <v>2409</v>
      </c>
      <c r="S244" s="4">
        <v>44837</v>
      </c>
    </row>
    <row r="245" spans="1:19" ht="12.5" x14ac:dyDescent="0.25">
      <c r="A245" s="14" t="str">
        <f>HYPERLINK("https://gerandofalcoes.my.salesforce.com/0014P00003YSp8FQAT", "0014P00003YSp8FQAT")</f>
        <v>0014P00003YSp8FQAT</v>
      </c>
      <c r="B245" s="2" t="s">
        <v>2178</v>
      </c>
      <c r="C245" s="2" t="s">
        <v>423</v>
      </c>
      <c r="D245" s="2" t="s">
        <v>2</v>
      </c>
      <c r="E245" s="2">
        <v>33</v>
      </c>
      <c r="F245" s="2">
        <v>10</v>
      </c>
      <c r="G245" s="2">
        <v>0</v>
      </c>
      <c r="H245" s="2">
        <v>0</v>
      </c>
      <c r="I245" s="2">
        <v>60</v>
      </c>
      <c r="J245" s="2" t="s">
        <v>1779</v>
      </c>
      <c r="K245" s="2">
        <v>30</v>
      </c>
      <c r="L245" s="2">
        <v>15</v>
      </c>
      <c r="M245" s="2">
        <v>10</v>
      </c>
      <c r="N245" s="2">
        <v>0</v>
      </c>
      <c r="O245" s="2">
        <v>0</v>
      </c>
      <c r="P245" s="2">
        <v>5</v>
      </c>
      <c r="Q245" s="2" t="s">
        <v>2179</v>
      </c>
      <c r="R245" s="2" t="s">
        <v>2179</v>
      </c>
      <c r="S245" s="4">
        <v>44837</v>
      </c>
    </row>
    <row r="246" spans="1:19" ht="12.5" x14ac:dyDescent="0.25">
      <c r="A246" s="14" t="str">
        <f>HYPERLINK("https://gerandofalcoes.my.salesforce.com/0014P00003YSp8GQAT", "0014P00003YSp8GQAT")</f>
        <v>0014P00003YSp8GQAT</v>
      </c>
      <c r="B246" s="2" t="s">
        <v>2214</v>
      </c>
      <c r="C246" s="2" t="s">
        <v>423</v>
      </c>
      <c r="D246" s="2" t="s">
        <v>2</v>
      </c>
      <c r="E246" s="2">
        <v>32</v>
      </c>
      <c r="F246" s="2">
        <v>1</v>
      </c>
      <c r="G246" s="2">
        <v>2</v>
      </c>
      <c r="H246" s="2">
        <v>0</v>
      </c>
      <c r="I246" s="2">
        <v>600</v>
      </c>
      <c r="J246" s="2" t="s">
        <v>1671</v>
      </c>
      <c r="K246" s="2">
        <v>46</v>
      </c>
      <c r="L246" s="2">
        <v>15</v>
      </c>
      <c r="M246" s="2">
        <v>5</v>
      </c>
      <c r="N246" s="2">
        <v>6</v>
      </c>
      <c r="O246" s="2">
        <v>0</v>
      </c>
      <c r="P246" s="2">
        <v>20</v>
      </c>
      <c r="Q246" s="2" t="s">
        <v>2215</v>
      </c>
      <c r="R246" s="2" t="s">
        <v>2216</v>
      </c>
      <c r="S246" s="4">
        <v>44837</v>
      </c>
    </row>
    <row r="247" spans="1:19" ht="12.5" x14ac:dyDescent="0.25">
      <c r="A247" s="14" t="str">
        <f>HYPERLINK("https://gerandofalcoes.my.salesforce.com/0014P00003YSp8HQAT", "0014P00003YSp8HQAT")</f>
        <v>0014P00003YSp8HQAT</v>
      </c>
      <c r="B247" s="2" t="s">
        <v>2359</v>
      </c>
      <c r="C247" s="2" t="s">
        <v>423</v>
      </c>
      <c r="D247" s="2" t="s">
        <v>2</v>
      </c>
      <c r="E247" s="2">
        <v>28</v>
      </c>
      <c r="F247" s="2">
        <v>2</v>
      </c>
      <c r="G247" s="2">
        <v>2</v>
      </c>
      <c r="H247" s="2">
        <v>8000</v>
      </c>
      <c r="I247" s="2">
        <v>500</v>
      </c>
      <c r="J247" s="2" t="s">
        <v>1671</v>
      </c>
      <c r="K247" s="2">
        <v>51</v>
      </c>
      <c r="L247" s="2">
        <v>15</v>
      </c>
      <c r="M247" s="2">
        <v>5</v>
      </c>
      <c r="N247" s="2">
        <v>6</v>
      </c>
      <c r="O247" s="2">
        <v>5</v>
      </c>
      <c r="P247" s="2">
        <v>20</v>
      </c>
      <c r="Q247" s="2" t="s">
        <v>2360</v>
      </c>
      <c r="R247" s="2" t="s">
        <v>2361</v>
      </c>
      <c r="S247" s="4">
        <v>44837</v>
      </c>
    </row>
    <row r="248" spans="1:19" ht="12.5" x14ac:dyDescent="0.25">
      <c r="A248" s="14" t="str">
        <f>HYPERLINK("https://gerandofalcoes.my.salesforce.com/0014P00003YSp8IQAT", "0014P00003YSp8IQAT")</f>
        <v>0014P00003YSp8IQAT</v>
      </c>
      <c r="B248" s="2" t="s">
        <v>2335</v>
      </c>
      <c r="C248" s="2" t="s">
        <v>423</v>
      </c>
      <c r="D248" s="2" t="s">
        <v>2</v>
      </c>
      <c r="E248" s="2">
        <v>34</v>
      </c>
      <c r="F248" s="2">
        <v>0</v>
      </c>
      <c r="G248" s="2">
        <v>2</v>
      </c>
      <c r="H248" s="2">
        <v>50000</v>
      </c>
      <c r="I248" s="2">
        <v>300</v>
      </c>
      <c r="J248" s="2" t="s">
        <v>1671</v>
      </c>
      <c r="K248" s="2">
        <v>46</v>
      </c>
      <c r="L248" s="2">
        <v>15</v>
      </c>
      <c r="M248" s="2">
        <v>0</v>
      </c>
      <c r="N248" s="2">
        <v>6</v>
      </c>
      <c r="O248" s="2">
        <v>10</v>
      </c>
      <c r="P248" s="2">
        <v>15</v>
      </c>
      <c r="Q248" s="2" t="s">
        <v>2336</v>
      </c>
      <c r="R248" s="2" t="s">
        <v>2337</v>
      </c>
      <c r="S248" s="4">
        <v>44837</v>
      </c>
    </row>
    <row r="249" spans="1:19" ht="12.5" x14ac:dyDescent="0.25">
      <c r="A249" s="14" t="str">
        <f>HYPERLINK("https://gerandofalcoes.my.salesforce.com/0014P00003YSp80QAD", "0014P00003YSp80QAD")</f>
        <v>0014P00003YSp80QAD</v>
      </c>
      <c r="B249" s="2" t="s">
        <v>2709</v>
      </c>
      <c r="C249" s="2" t="s">
        <v>423</v>
      </c>
      <c r="D249" s="2" t="s">
        <v>2</v>
      </c>
      <c r="E249" s="2">
        <v>20</v>
      </c>
      <c r="F249" s="2">
        <v>1</v>
      </c>
      <c r="G249" s="2">
        <v>2</v>
      </c>
      <c r="H249" s="2">
        <v>12000</v>
      </c>
      <c r="I249" s="2">
        <v>33</v>
      </c>
      <c r="J249" s="2" t="s">
        <v>1779</v>
      </c>
      <c r="K249" s="2">
        <v>31</v>
      </c>
      <c r="L249" s="2">
        <v>10</v>
      </c>
      <c r="M249" s="2">
        <v>5</v>
      </c>
      <c r="N249" s="2">
        <v>6</v>
      </c>
      <c r="O249" s="2">
        <v>5</v>
      </c>
      <c r="P249" s="2">
        <v>5</v>
      </c>
      <c r="Q249" s="2" t="s">
        <v>2710</v>
      </c>
      <c r="R249" s="2" t="s">
        <v>2710</v>
      </c>
      <c r="S249" s="4">
        <v>44837</v>
      </c>
    </row>
    <row r="250" spans="1:19" ht="12.5" x14ac:dyDescent="0.25">
      <c r="A250" s="14" t="str">
        <f>HYPERLINK("https://gerandofalcoes.my.salesforce.com/0014P00003YSp8JQAT", "0014P00003YSp8JQAT")</f>
        <v>0014P00003YSp8JQAT</v>
      </c>
      <c r="B250" s="2" t="s">
        <v>2393</v>
      </c>
      <c r="C250" s="2" t="s">
        <v>423</v>
      </c>
      <c r="D250" s="2" t="s">
        <v>2</v>
      </c>
      <c r="E250" s="2">
        <v>33</v>
      </c>
      <c r="F250" s="2">
        <v>9</v>
      </c>
      <c r="G250" s="2">
        <v>2</v>
      </c>
      <c r="H250" s="2">
        <v>105000</v>
      </c>
      <c r="I250" s="2">
        <v>68</v>
      </c>
      <c r="J250" s="2" t="s">
        <v>1671</v>
      </c>
      <c r="K250" s="2">
        <v>51</v>
      </c>
      <c r="L250" s="2">
        <v>15</v>
      </c>
      <c r="M250" s="2">
        <v>10</v>
      </c>
      <c r="N250" s="2">
        <v>6</v>
      </c>
      <c r="O250" s="2">
        <v>15</v>
      </c>
      <c r="P250" s="2">
        <v>5</v>
      </c>
      <c r="Q250" s="2" t="s">
        <v>2394</v>
      </c>
      <c r="R250" s="2" t="s">
        <v>2394</v>
      </c>
      <c r="S250" s="4">
        <v>44837</v>
      </c>
    </row>
    <row r="251" spans="1:19" ht="12.5" x14ac:dyDescent="0.25">
      <c r="A251" s="14" t="str">
        <f>HYPERLINK("https://gerandofalcoes.my.salesforce.com/0014P00003YSp8KQAT", "0014P00003YSp8KQAT")</f>
        <v>0014P00003YSp8KQAT</v>
      </c>
      <c r="B251" s="2" t="s">
        <v>2167</v>
      </c>
      <c r="C251" s="2" t="s">
        <v>423</v>
      </c>
      <c r="D251" s="2" t="s">
        <v>2</v>
      </c>
      <c r="E251" s="2">
        <v>33</v>
      </c>
      <c r="F251" s="2">
        <v>2</v>
      </c>
      <c r="G251" s="2">
        <v>4</v>
      </c>
      <c r="H251" s="2">
        <v>400000</v>
      </c>
      <c r="I251" s="2">
        <v>250</v>
      </c>
      <c r="J251" s="2" t="s">
        <v>1671</v>
      </c>
      <c r="K251" s="2">
        <v>62</v>
      </c>
      <c r="L251" s="2">
        <v>15</v>
      </c>
      <c r="M251" s="2">
        <v>5</v>
      </c>
      <c r="N251" s="2">
        <v>10</v>
      </c>
      <c r="O251" s="2">
        <v>20</v>
      </c>
      <c r="P251" s="2">
        <v>12</v>
      </c>
      <c r="Q251" s="2" t="s">
        <v>2168</v>
      </c>
      <c r="R251" s="2" t="s">
        <v>2168</v>
      </c>
      <c r="S251" s="4">
        <v>44837</v>
      </c>
    </row>
    <row r="252" spans="1:19" ht="12.5" x14ac:dyDescent="0.25">
      <c r="A252" s="14" t="str">
        <f>HYPERLINK("https://gerandofalcoes.my.salesforce.com/0014P00003YSp8LQAT", "0014P00003YSp8LQAT")</f>
        <v>0014P00003YSp8LQAT</v>
      </c>
      <c r="B252" s="2" t="s">
        <v>2907</v>
      </c>
      <c r="C252" s="2" t="s">
        <v>423</v>
      </c>
      <c r="D252" s="2" t="s">
        <v>2</v>
      </c>
      <c r="E252" s="2">
        <v>24</v>
      </c>
      <c r="F252" s="2">
        <v>0</v>
      </c>
      <c r="G252" s="2">
        <v>2</v>
      </c>
      <c r="H252" s="2">
        <v>5000</v>
      </c>
      <c r="I252" s="2">
        <v>18</v>
      </c>
      <c r="J252" s="2" t="s">
        <v>1779</v>
      </c>
      <c r="K252" s="2">
        <v>26</v>
      </c>
      <c r="L252" s="2">
        <v>10</v>
      </c>
      <c r="M252" s="2">
        <v>0</v>
      </c>
      <c r="N252" s="2">
        <v>6</v>
      </c>
      <c r="O252" s="2">
        <v>5</v>
      </c>
      <c r="P252" s="2">
        <v>5</v>
      </c>
      <c r="Q252" s="2" t="s">
        <v>2908</v>
      </c>
      <c r="R252" s="2" t="s">
        <v>2908</v>
      </c>
      <c r="S252" s="4">
        <v>44837</v>
      </c>
    </row>
    <row r="253" spans="1:19" ht="12.5" x14ac:dyDescent="0.25">
      <c r="A253" s="14" t="str">
        <f>HYPERLINK("https://gerandofalcoes.my.salesforce.com/0014P00003YSp8MQAT", "0014P00003YSp8MQAT")</f>
        <v>0014P00003YSp8MQAT</v>
      </c>
      <c r="B253" s="2" t="s">
        <v>1761</v>
      </c>
      <c r="C253" s="2" t="s">
        <v>423</v>
      </c>
      <c r="D253" s="2" t="s">
        <v>2</v>
      </c>
      <c r="E253" s="2">
        <v>35</v>
      </c>
      <c r="F253" s="2">
        <v>15</v>
      </c>
      <c r="G253" s="2">
        <v>2</v>
      </c>
      <c r="H253" s="2">
        <v>300000</v>
      </c>
      <c r="I253" s="2">
        <v>281</v>
      </c>
      <c r="J253" s="2" t="s">
        <v>1650</v>
      </c>
      <c r="K253" s="2">
        <v>65</v>
      </c>
      <c r="L253" s="2">
        <v>15</v>
      </c>
      <c r="M253" s="2">
        <v>12</v>
      </c>
      <c r="N253" s="2">
        <v>6</v>
      </c>
      <c r="O253" s="2">
        <v>20</v>
      </c>
      <c r="P253" s="2">
        <v>12</v>
      </c>
      <c r="Q253" s="2" t="s">
        <v>1762</v>
      </c>
      <c r="R253" s="2" t="s">
        <v>1763</v>
      </c>
      <c r="S253" s="4">
        <v>44837</v>
      </c>
    </row>
    <row r="254" spans="1:19" ht="12.5" x14ac:dyDescent="0.25">
      <c r="A254" s="14" t="str">
        <f>HYPERLINK("https://gerandofalcoes.my.salesforce.com/0014P00003YSp8NQAT", "0014P00003YSp8NQAT")</f>
        <v>0014P00003YSp8NQAT</v>
      </c>
      <c r="B254" s="2" t="s">
        <v>2292</v>
      </c>
      <c r="C254" s="2" t="s">
        <v>423</v>
      </c>
      <c r="D254" s="2" t="s">
        <v>2</v>
      </c>
      <c r="E254" s="2">
        <v>29</v>
      </c>
      <c r="F254" s="2">
        <v>3</v>
      </c>
      <c r="G254" s="2">
        <v>2</v>
      </c>
      <c r="H254" s="2">
        <v>13121</v>
      </c>
      <c r="I254" s="2">
        <v>800</v>
      </c>
      <c r="J254" s="2" t="s">
        <v>1671</v>
      </c>
      <c r="K254" s="2">
        <v>51</v>
      </c>
      <c r="L254" s="2">
        <v>15</v>
      </c>
      <c r="M254" s="2">
        <v>5</v>
      </c>
      <c r="N254" s="2">
        <v>6</v>
      </c>
      <c r="O254" s="2">
        <v>5</v>
      </c>
      <c r="P254" s="2">
        <v>20</v>
      </c>
      <c r="Q254" s="2" t="s">
        <v>2293</v>
      </c>
      <c r="R254" s="2" t="s">
        <v>2294</v>
      </c>
      <c r="S254" s="4">
        <v>44837</v>
      </c>
    </row>
    <row r="255" spans="1:19" ht="12.5" x14ac:dyDescent="0.25">
      <c r="A255" s="14" t="str">
        <f>HYPERLINK("https://gerandofalcoes.my.salesforce.com/0014P00003YSp8OQAT", "0014P00003YSp8OQAT")</f>
        <v>0014P00003YSp8OQAT</v>
      </c>
      <c r="B255" s="2" t="s">
        <v>1952</v>
      </c>
      <c r="C255" s="2" t="s">
        <v>423</v>
      </c>
      <c r="D255" s="2" t="s">
        <v>2</v>
      </c>
      <c r="E255" s="2">
        <v>41</v>
      </c>
      <c r="F255" s="2">
        <v>1</v>
      </c>
      <c r="G255" s="2">
        <v>3</v>
      </c>
      <c r="H255" s="2">
        <v>25000</v>
      </c>
      <c r="I255" s="2">
        <v>90</v>
      </c>
      <c r="J255" s="2" t="s">
        <v>1671</v>
      </c>
      <c r="K255" s="2">
        <v>48</v>
      </c>
      <c r="L255" s="2">
        <v>15</v>
      </c>
      <c r="M255" s="2">
        <v>5</v>
      </c>
      <c r="N255" s="2">
        <v>8</v>
      </c>
      <c r="O255" s="2">
        <v>10</v>
      </c>
      <c r="P255" s="2">
        <v>10</v>
      </c>
      <c r="Q255" s="2" t="s">
        <v>1953</v>
      </c>
      <c r="R255" s="2" t="s">
        <v>1953</v>
      </c>
      <c r="S255" s="4">
        <v>44837</v>
      </c>
    </row>
    <row r="256" spans="1:19" ht="12.5" x14ac:dyDescent="0.25">
      <c r="A256" s="14" t="str">
        <f>HYPERLINK("https://gerandofalcoes.my.salesforce.com/0014P00003YSp8PQAT", "0014P00003YSp8PQAT")</f>
        <v>0014P00003YSp8PQAT</v>
      </c>
      <c r="B256" s="2" t="s">
        <v>2832</v>
      </c>
      <c r="C256" s="2" t="s">
        <v>423</v>
      </c>
      <c r="D256" s="2" t="s">
        <v>2</v>
      </c>
      <c r="E256" s="2">
        <v>24</v>
      </c>
      <c r="F256" s="2">
        <v>0</v>
      </c>
      <c r="G256" s="2">
        <v>2</v>
      </c>
      <c r="H256" s="2">
        <v>60000</v>
      </c>
      <c r="I256" s="2">
        <v>200</v>
      </c>
      <c r="J256" s="2" t="s">
        <v>1779</v>
      </c>
      <c r="K256" s="2">
        <v>38</v>
      </c>
      <c r="L256" s="2">
        <v>10</v>
      </c>
      <c r="M256" s="2">
        <v>0</v>
      </c>
      <c r="N256" s="2">
        <v>6</v>
      </c>
      <c r="O256" s="2">
        <v>10</v>
      </c>
      <c r="P256" s="2">
        <v>12</v>
      </c>
      <c r="Q256" s="2" t="s">
        <v>2833</v>
      </c>
      <c r="R256" s="2" t="s">
        <v>2834</v>
      </c>
      <c r="S256" s="4">
        <v>44837</v>
      </c>
    </row>
    <row r="257" spans="1:19" ht="12.5" x14ac:dyDescent="0.25">
      <c r="A257" s="14" t="str">
        <f>HYPERLINK("https://gerandofalcoes.my.salesforce.com/0014P00003YSp8QQAT", "0014P00003YSp8QQAT")</f>
        <v>0014P00003YSp8QQAT</v>
      </c>
      <c r="B257" s="2" t="s">
        <v>1890</v>
      </c>
      <c r="C257" s="2" t="s">
        <v>423</v>
      </c>
      <c r="D257" s="2" t="s">
        <v>2</v>
      </c>
      <c r="E257" s="2">
        <v>22</v>
      </c>
      <c r="F257" s="2">
        <v>7</v>
      </c>
      <c r="G257" s="2">
        <v>2</v>
      </c>
      <c r="H257" s="2">
        <v>300000</v>
      </c>
      <c r="I257" s="2">
        <v>61</v>
      </c>
      <c r="J257" s="2" t="s">
        <v>1671</v>
      </c>
      <c r="K257" s="2">
        <v>51</v>
      </c>
      <c r="L257" s="2">
        <v>10</v>
      </c>
      <c r="M257" s="2">
        <v>10</v>
      </c>
      <c r="N257" s="2">
        <v>6</v>
      </c>
      <c r="O257" s="2">
        <v>20</v>
      </c>
      <c r="P257" s="2">
        <v>5</v>
      </c>
      <c r="Q257" s="2" t="s">
        <v>1891</v>
      </c>
      <c r="R257" s="2" t="s">
        <v>1891</v>
      </c>
      <c r="S257" s="4">
        <v>44837</v>
      </c>
    </row>
    <row r="258" spans="1:19" ht="12.5" x14ac:dyDescent="0.25">
      <c r="A258" s="14" t="str">
        <f>HYPERLINK("https://gerandofalcoes.my.salesforce.com/0014P00003YSp8RQAT", "0014P00003YSp8RQAT")</f>
        <v>0014P00003YSp8RQAT</v>
      </c>
      <c r="B258" s="2" t="s">
        <v>1989</v>
      </c>
      <c r="C258" s="2" t="s">
        <v>1684</v>
      </c>
      <c r="D258" s="2" t="s">
        <v>2</v>
      </c>
      <c r="E258" s="2">
        <v>39</v>
      </c>
      <c r="F258" s="2">
        <v>1</v>
      </c>
      <c r="G258" s="2">
        <v>2</v>
      </c>
      <c r="H258" s="2">
        <v>11000</v>
      </c>
      <c r="I258" s="2">
        <v>200</v>
      </c>
      <c r="J258" s="2" t="s">
        <v>1671</v>
      </c>
      <c r="K258" s="2">
        <v>43</v>
      </c>
      <c r="L258" s="2">
        <v>15</v>
      </c>
      <c r="M258" s="2">
        <v>5</v>
      </c>
      <c r="N258" s="2">
        <v>6</v>
      </c>
      <c r="O258" s="2">
        <v>5</v>
      </c>
      <c r="P258" s="2">
        <v>12</v>
      </c>
      <c r="Q258" s="2" t="s">
        <v>1990</v>
      </c>
      <c r="R258" s="2" t="s">
        <v>1991</v>
      </c>
      <c r="S258" s="4">
        <v>44837</v>
      </c>
    </row>
    <row r="259" spans="1:19" ht="12.5" x14ac:dyDescent="0.25">
      <c r="A259" s="14" t="str">
        <f>HYPERLINK("https://gerandofalcoes.my.salesforce.com/0014P00003YSp8SQAT", "0014P00003YSp8SQAT")</f>
        <v>0014P00003YSp8SQAT</v>
      </c>
      <c r="B259" s="2" t="s">
        <v>2476</v>
      </c>
      <c r="C259" s="2" t="s">
        <v>423</v>
      </c>
      <c r="D259" s="2" t="s">
        <v>2</v>
      </c>
      <c r="E259" s="2">
        <v>22</v>
      </c>
      <c r="F259" s="2">
        <v>0</v>
      </c>
      <c r="G259" s="2">
        <v>2</v>
      </c>
      <c r="H259" s="2">
        <v>150000</v>
      </c>
      <c r="I259" s="2">
        <v>227</v>
      </c>
      <c r="J259" s="2" t="s">
        <v>1671</v>
      </c>
      <c r="K259" s="2">
        <v>43</v>
      </c>
      <c r="L259" s="2">
        <v>10</v>
      </c>
      <c r="M259" s="2">
        <v>0</v>
      </c>
      <c r="N259" s="2">
        <v>6</v>
      </c>
      <c r="O259" s="2">
        <v>15</v>
      </c>
      <c r="P259" s="2">
        <v>12</v>
      </c>
      <c r="Q259" s="2" t="s">
        <v>2477</v>
      </c>
      <c r="R259" s="2" t="s">
        <v>2477</v>
      </c>
      <c r="S259" s="4">
        <v>44837</v>
      </c>
    </row>
    <row r="260" spans="1:19" ht="12.5" x14ac:dyDescent="0.25">
      <c r="A260" s="14" t="str">
        <f>HYPERLINK("https://gerandofalcoes.my.salesforce.com/0014P00003YSp8UQAT", "0014P00003YSp8UQAT")</f>
        <v>0014P00003YSp8UQAT</v>
      </c>
      <c r="B260" s="2" t="s">
        <v>2319</v>
      </c>
      <c r="C260" s="2" t="s">
        <v>423</v>
      </c>
      <c r="D260" s="2" t="s">
        <v>2</v>
      </c>
      <c r="E260" s="2">
        <v>28</v>
      </c>
      <c r="F260" s="2">
        <v>0</v>
      </c>
      <c r="G260" s="2">
        <v>3</v>
      </c>
      <c r="H260" s="2">
        <v>9994</v>
      </c>
      <c r="I260" s="2">
        <v>110</v>
      </c>
      <c r="J260" s="2" t="s">
        <v>1779</v>
      </c>
      <c r="K260" s="2">
        <v>38</v>
      </c>
      <c r="L260" s="2">
        <v>15</v>
      </c>
      <c r="M260" s="2">
        <v>0</v>
      </c>
      <c r="N260" s="2">
        <v>8</v>
      </c>
      <c r="O260" s="2">
        <v>5</v>
      </c>
      <c r="P260" s="2">
        <v>10</v>
      </c>
      <c r="Q260" s="2" t="s">
        <v>2321</v>
      </c>
      <c r="R260" s="2" t="s">
        <v>2321</v>
      </c>
      <c r="S260" s="4">
        <v>44837</v>
      </c>
    </row>
    <row r="261" spans="1:19" ht="12.5" x14ac:dyDescent="0.25">
      <c r="A261" s="14" t="str">
        <f>HYPERLINK("https://gerandofalcoes.my.salesforce.com/0014P00003YSp8VQAT", "0014P00003YSp8VQAT")</f>
        <v>0014P00003YSp8VQAT</v>
      </c>
      <c r="B261" s="2" t="s">
        <v>2865</v>
      </c>
      <c r="C261" s="2" t="s">
        <v>1800</v>
      </c>
      <c r="D261" s="2" t="s">
        <v>2</v>
      </c>
      <c r="E261" s="2">
        <v>10</v>
      </c>
      <c r="F261" s="2">
        <v>0</v>
      </c>
      <c r="G261" s="2">
        <v>0</v>
      </c>
      <c r="H261" s="2">
        <v>0</v>
      </c>
      <c r="I261" s="2">
        <v>0</v>
      </c>
      <c r="J261" s="2" t="s">
        <v>1779</v>
      </c>
      <c r="K261" s="2">
        <v>10</v>
      </c>
      <c r="L261" s="2">
        <v>10</v>
      </c>
      <c r="M261" s="2">
        <v>0</v>
      </c>
      <c r="N261" s="2">
        <v>0</v>
      </c>
      <c r="O261" s="2">
        <v>0</v>
      </c>
      <c r="P261" s="2">
        <v>0</v>
      </c>
      <c r="Q261" s="2" t="s">
        <v>2866</v>
      </c>
      <c r="R261" s="2" t="s">
        <v>2867</v>
      </c>
      <c r="S261" s="4">
        <v>44837</v>
      </c>
    </row>
    <row r="262" spans="1:19" ht="12.5" x14ac:dyDescent="0.25">
      <c r="A262" s="14" t="str">
        <f>HYPERLINK("https://gerandofalcoes.my.salesforce.com/0014P00003YSp8XQAT", "0014P00003YSp8XQAT")</f>
        <v>0014P00003YSp8XQAT</v>
      </c>
      <c r="B262" s="2" t="s">
        <v>2526</v>
      </c>
      <c r="C262" s="2" t="s">
        <v>423</v>
      </c>
      <c r="D262" s="2" t="s">
        <v>2</v>
      </c>
      <c r="E262" s="2">
        <v>21</v>
      </c>
      <c r="F262" s="2">
        <v>0</v>
      </c>
      <c r="G262" s="2">
        <v>2</v>
      </c>
      <c r="H262" s="2">
        <v>25000</v>
      </c>
      <c r="I262" s="2">
        <v>68</v>
      </c>
      <c r="J262" s="2" t="s">
        <v>1779</v>
      </c>
      <c r="K262" s="2">
        <v>31</v>
      </c>
      <c r="L262" s="2">
        <v>10</v>
      </c>
      <c r="M262" s="2">
        <v>0</v>
      </c>
      <c r="N262" s="2">
        <v>6</v>
      </c>
      <c r="O262" s="2">
        <v>10</v>
      </c>
      <c r="P262" s="2">
        <v>5</v>
      </c>
      <c r="Q262" s="2" t="s">
        <v>2527</v>
      </c>
      <c r="R262" s="2" t="s">
        <v>2528</v>
      </c>
      <c r="S262" s="4">
        <v>44837</v>
      </c>
    </row>
    <row r="263" spans="1:19" ht="12.5" x14ac:dyDescent="0.25">
      <c r="A263" s="14" t="str">
        <f>HYPERLINK("https://gerandofalcoes.my.salesforce.com/0014P00003YSp8YQAT", "0014P00003YSp8YQAT")</f>
        <v>0014P00003YSp8YQAT</v>
      </c>
      <c r="B263" s="2" t="s">
        <v>1921</v>
      </c>
      <c r="C263" s="2" t="s">
        <v>423</v>
      </c>
      <c r="D263" s="2" t="s">
        <v>2</v>
      </c>
      <c r="E263" s="2">
        <v>45</v>
      </c>
      <c r="F263" s="2">
        <v>9</v>
      </c>
      <c r="G263" s="2">
        <v>3</v>
      </c>
      <c r="H263" s="2">
        <v>97000</v>
      </c>
      <c r="I263" s="2">
        <v>90</v>
      </c>
      <c r="J263" s="2" t="s">
        <v>1671</v>
      </c>
      <c r="K263" s="2">
        <v>53</v>
      </c>
      <c r="L263" s="2">
        <v>15</v>
      </c>
      <c r="M263" s="2">
        <v>10</v>
      </c>
      <c r="N263" s="2">
        <v>8</v>
      </c>
      <c r="O263" s="2">
        <v>10</v>
      </c>
      <c r="P263" s="2">
        <v>10</v>
      </c>
      <c r="Q263" s="2" t="s">
        <v>1922</v>
      </c>
      <c r="R263" s="2" t="s">
        <v>1923</v>
      </c>
      <c r="S263" s="4">
        <v>44837</v>
      </c>
    </row>
    <row r="264" spans="1:19" ht="12.5" x14ac:dyDescent="0.25">
      <c r="A264" s="14" t="str">
        <f>HYPERLINK("https://gerandofalcoes.my.salesforce.com/0014P00003YSp8aQAD", "0014P00003YSp8aQAD")</f>
        <v>0014P00003YSp8aQAD</v>
      </c>
      <c r="B264" s="2" t="s">
        <v>2447</v>
      </c>
      <c r="C264" s="2" t="s">
        <v>423</v>
      </c>
      <c r="D264" s="2" t="s">
        <v>2</v>
      </c>
      <c r="E264" s="2">
        <v>24</v>
      </c>
      <c r="F264" s="2">
        <v>0</v>
      </c>
      <c r="G264" s="2">
        <v>2</v>
      </c>
      <c r="H264" s="2">
        <v>40000</v>
      </c>
      <c r="I264" s="2">
        <v>200</v>
      </c>
      <c r="J264" s="2" t="s">
        <v>1779</v>
      </c>
      <c r="K264" s="2">
        <v>38</v>
      </c>
      <c r="L264" s="2">
        <v>10</v>
      </c>
      <c r="M264" s="2">
        <v>0</v>
      </c>
      <c r="N264" s="2">
        <v>6</v>
      </c>
      <c r="O264" s="2">
        <v>10</v>
      </c>
      <c r="P264" s="2">
        <v>12</v>
      </c>
      <c r="Q264" s="2" t="s">
        <v>2448</v>
      </c>
      <c r="R264" s="2" t="s">
        <v>2449</v>
      </c>
      <c r="S264" s="4">
        <v>44837</v>
      </c>
    </row>
    <row r="265" spans="1:19" ht="12.5" x14ac:dyDescent="0.25">
      <c r="A265" s="14" t="str">
        <f>HYPERLINK("https://gerandofalcoes.my.salesforce.com/0014P00003YSp8bQAD", "0014P00003YSp8bQAD")</f>
        <v>0014P00003YSp8bQAD</v>
      </c>
      <c r="B265" s="2" t="s">
        <v>2481</v>
      </c>
      <c r="C265" s="2" t="s">
        <v>423</v>
      </c>
      <c r="D265" s="2" t="s">
        <v>2</v>
      </c>
      <c r="E265" s="2">
        <v>22</v>
      </c>
      <c r="F265" s="2">
        <v>4</v>
      </c>
      <c r="G265" s="2">
        <v>2</v>
      </c>
      <c r="H265" s="2">
        <v>80000</v>
      </c>
      <c r="I265" s="2">
        <v>100</v>
      </c>
      <c r="J265" s="2" t="s">
        <v>1671</v>
      </c>
      <c r="K265" s="2">
        <v>41</v>
      </c>
      <c r="L265" s="2">
        <v>10</v>
      </c>
      <c r="M265" s="2">
        <v>5</v>
      </c>
      <c r="N265" s="2">
        <v>6</v>
      </c>
      <c r="O265" s="2">
        <v>10</v>
      </c>
      <c r="P265" s="2">
        <v>10</v>
      </c>
      <c r="Q265" s="2" t="s">
        <v>2483</v>
      </c>
      <c r="R265" s="2" t="s">
        <v>2483</v>
      </c>
      <c r="S265" s="4">
        <v>44837</v>
      </c>
    </row>
    <row r="266" spans="1:19" ht="12.5" x14ac:dyDescent="0.25">
      <c r="A266" s="14" t="str">
        <f>HYPERLINK("https://gerandofalcoes.my.salesforce.com/0014P00003YSp8cQAD", "0014P00003YSp8cQAD")</f>
        <v>0014P00003YSp8cQAD</v>
      </c>
      <c r="B266" s="2" t="s">
        <v>1768</v>
      </c>
      <c r="C266" s="2" t="s">
        <v>423</v>
      </c>
      <c r="D266" s="2" t="s">
        <v>2</v>
      </c>
      <c r="E266" s="2">
        <v>35</v>
      </c>
      <c r="F266" s="2">
        <v>8</v>
      </c>
      <c r="G266" s="2">
        <v>3</v>
      </c>
      <c r="H266" s="2">
        <v>100000</v>
      </c>
      <c r="I266" s="2">
        <v>4682</v>
      </c>
      <c r="J266" s="2" t="s">
        <v>1650</v>
      </c>
      <c r="K266" s="2">
        <v>68</v>
      </c>
      <c r="L266" s="2">
        <v>15</v>
      </c>
      <c r="M266" s="2">
        <v>10</v>
      </c>
      <c r="N266" s="2">
        <v>8</v>
      </c>
      <c r="O266" s="2">
        <v>15</v>
      </c>
      <c r="P266" s="2">
        <v>20</v>
      </c>
      <c r="Q266" s="2" t="s">
        <v>1769</v>
      </c>
      <c r="R266" s="2" t="s">
        <v>1769</v>
      </c>
      <c r="S266" s="4">
        <v>44837</v>
      </c>
    </row>
    <row r="267" spans="1:19" ht="12.5" x14ac:dyDescent="0.25">
      <c r="A267" s="14" t="str">
        <f>HYPERLINK("https://gerandofalcoes.my.salesforce.com/0014P00003YSp8dQAD", "0014P00003YSp8dQAD")</f>
        <v>0014P00003YSp8dQAD</v>
      </c>
      <c r="B267" s="2" t="s">
        <v>2925</v>
      </c>
      <c r="C267" s="2" t="s">
        <v>423</v>
      </c>
      <c r="D267" s="2" t="s">
        <v>2</v>
      </c>
      <c r="E267" s="2">
        <v>7</v>
      </c>
      <c r="F267" s="2">
        <v>3</v>
      </c>
      <c r="G267" s="2">
        <v>2</v>
      </c>
      <c r="H267" s="2">
        <v>0</v>
      </c>
      <c r="I267" s="2">
        <v>135</v>
      </c>
      <c r="J267" s="2" t="s">
        <v>1779</v>
      </c>
      <c r="K267" s="2">
        <v>31</v>
      </c>
      <c r="L267" s="2">
        <v>10</v>
      </c>
      <c r="M267" s="2">
        <v>5</v>
      </c>
      <c r="N267" s="2">
        <v>6</v>
      </c>
      <c r="O267" s="2">
        <v>0</v>
      </c>
      <c r="P267" s="2">
        <v>10</v>
      </c>
      <c r="Q267" s="2" t="s">
        <v>2926</v>
      </c>
      <c r="R267" s="2" t="s">
        <v>2926</v>
      </c>
      <c r="S267" s="4">
        <v>44837</v>
      </c>
    </row>
    <row r="268" spans="1:19" ht="12.5" x14ac:dyDescent="0.25">
      <c r="A268" s="14" t="str">
        <f>HYPERLINK("https://gerandofalcoes.my.salesforce.com/0014X00002VKCq1QAH", "0014X00002VKCq1QAH")</f>
        <v>0014X00002VKCq1QAH</v>
      </c>
      <c r="B268" s="2" t="s">
        <v>2164</v>
      </c>
      <c r="C268" s="2" t="s">
        <v>423</v>
      </c>
      <c r="D268" s="2" t="s">
        <v>2</v>
      </c>
      <c r="E268" s="2">
        <v>33</v>
      </c>
      <c r="F268" s="2">
        <v>0</v>
      </c>
      <c r="G268" s="2">
        <v>2</v>
      </c>
      <c r="H268" s="2">
        <v>5000</v>
      </c>
      <c r="I268" s="2">
        <v>50</v>
      </c>
      <c r="J268" s="2" t="s">
        <v>1779</v>
      </c>
      <c r="K268" s="2">
        <v>31</v>
      </c>
      <c r="L268" s="2">
        <v>15</v>
      </c>
      <c r="M268" s="2">
        <v>0</v>
      </c>
      <c r="N268" s="2">
        <v>6</v>
      </c>
      <c r="O268" s="2">
        <v>5</v>
      </c>
      <c r="P268" s="2">
        <v>5</v>
      </c>
      <c r="Q268" s="2" t="s">
        <v>2165</v>
      </c>
      <c r="R268" s="2" t="s">
        <v>2166</v>
      </c>
      <c r="S268" s="4">
        <v>44837</v>
      </c>
    </row>
    <row r="269" spans="1:19" ht="12.5" x14ac:dyDescent="0.25">
      <c r="A269" s="14" t="str">
        <f>HYPERLINK("https://gerandofalcoes.my.salesforce.com/0014X00002VKCoxQAH", "0014X00002VKCoxQAH")</f>
        <v>0014X00002VKCoxQAH</v>
      </c>
      <c r="B269" s="2" t="s">
        <v>2582</v>
      </c>
      <c r="C269" s="2" t="s">
        <v>423</v>
      </c>
      <c r="D269" s="2" t="s">
        <v>2</v>
      </c>
      <c r="E269" s="2">
        <v>38</v>
      </c>
      <c r="F269" s="2">
        <v>6</v>
      </c>
      <c r="G269" s="2">
        <v>3</v>
      </c>
      <c r="H269" s="2">
        <v>0</v>
      </c>
      <c r="I269" s="2">
        <v>20</v>
      </c>
      <c r="J269" s="2" t="s">
        <v>1779</v>
      </c>
      <c r="K269" s="2">
        <v>38</v>
      </c>
      <c r="L269" s="2">
        <v>15</v>
      </c>
      <c r="M269" s="2">
        <v>10</v>
      </c>
      <c r="N269" s="2">
        <v>8</v>
      </c>
      <c r="O269" s="2">
        <v>0</v>
      </c>
      <c r="P269" s="2">
        <v>5</v>
      </c>
      <c r="Q269" s="2" t="s">
        <v>2583</v>
      </c>
      <c r="R269" s="2" t="s">
        <v>2584</v>
      </c>
      <c r="S269" s="4">
        <v>44837</v>
      </c>
    </row>
    <row r="270" spans="1:19" ht="12.5" x14ac:dyDescent="0.25">
      <c r="A270" s="14" t="str">
        <f>HYPERLINK("https://gerandofalcoes.my.salesforce.com/0014X00002VKCsVQAX", "0014X00002VKCsVQAX")</f>
        <v>0014X00002VKCsVQAX</v>
      </c>
      <c r="B270" s="2" t="s">
        <v>1785</v>
      </c>
      <c r="C270" s="2" t="s">
        <v>423</v>
      </c>
      <c r="D270" s="2" t="s">
        <v>2</v>
      </c>
      <c r="E270" s="2">
        <v>56</v>
      </c>
      <c r="F270" s="2">
        <v>0</v>
      </c>
      <c r="G270" s="2">
        <v>3</v>
      </c>
      <c r="H270" s="2">
        <v>22800</v>
      </c>
      <c r="I270" s="2">
        <v>80</v>
      </c>
      <c r="J270" s="2" t="s">
        <v>1671</v>
      </c>
      <c r="K270" s="2">
        <v>43</v>
      </c>
      <c r="L270" s="2">
        <v>20</v>
      </c>
      <c r="M270" s="2">
        <v>0</v>
      </c>
      <c r="N270" s="2">
        <v>8</v>
      </c>
      <c r="O270" s="2">
        <v>5</v>
      </c>
      <c r="P270" s="2">
        <v>10</v>
      </c>
      <c r="Q270" s="2" t="s">
        <v>1786</v>
      </c>
      <c r="R270" s="2" t="s">
        <v>1787</v>
      </c>
      <c r="S270" s="4">
        <v>44837</v>
      </c>
    </row>
    <row r="271" spans="1:19" ht="12.5" x14ac:dyDescent="0.25">
      <c r="A271" s="14" t="str">
        <f>HYPERLINK("https://gerandofalcoes.my.salesforce.com/0014X00002VKCqXQAX", "0014X00002VKCqXQAX")</f>
        <v>0014X00002VKCqXQAX</v>
      </c>
      <c r="B271" s="2" t="s">
        <v>2301</v>
      </c>
      <c r="C271" s="2" t="s">
        <v>423</v>
      </c>
      <c r="D271" s="2" t="s">
        <v>2</v>
      </c>
      <c r="E271" s="2">
        <v>29</v>
      </c>
      <c r="F271" s="2">
        <v>0</v>
      </c>
      <c r="G271" s="2">
        <v>5</v>
      </c>
      <c r="H271" s="2">
        <v>70000</v>
      </c>
      <c r="I271" s="2">
        <v>100</v>
      </c>
      <c r="J271" s="2" t="s">
        <v>1671</v>
      </c>
      <c r="K271" s="2">
        <v>45</v>
      </c>
      <c r="L271" s="2">
        <v>15</v>
      </c>
      <c r="M271" s="2">
        <v>0</v>
      </c>
      <c r="N271" s="2">
        <v>10</v>
      </c>
      <c r="O271" s="2">
        <v>10</v>
      </c>
      <c r="P271" s="2">
        <v>10</v>
      </c>
      <c r="Q271" s="2" t="s">
        <v>2302</v>
      </c>
      <c r="R271" s="2" t="s">
        <v>2303</v>
      </c>
      <c r="S271" s="4">
        <v>44837</v>
      </c>
    </row>
    <row r="272" spans="1:19" ht="12.5" x14ac:dyDescent="0.25">
      <c r="A272" s="14" t="str">
        <f>HYPERLINK("https://gerandofalcoes.my.salesforce.com/0014X00002VKCouQAH", "0014X00002VKCouQAH")</f>
        <v>0014X00002VKCouQAH</v>
      </c>
      <c r="B272" s="2" t="s">
        <v>2642</v>
      </c>
      <c r="C272" s="2" t="s">
        <v>423</v>
      </c>
      <c r="D272" s="2" t="s">
        <v>2</v>
      </c>
      <c r="E272" s="2">
        <v>18</v>
      </c>
      <c r="F272" s="2">
        <v>0</v>
      </c>
      <c r="G272" s="2">
        <v>2</v>
      </c>
      <c r="H272" s="2">
        <v>11000</v>
      </c>
      <c r="I272" s="2">
        <v>0</v>
      </c>
      <c r="J272" s="2" t="s">
        <v>1779</v>
      </c>
      <c r="K272" s="2">
        <v>21</v>
      </c>
      <c r="L272" s="2">
        <v>10</v>
      </c>
      <c r="M272" s="2">
        <v>0</v>
      </c>
      <c r="N272" s="2">
        <v>6</v>
      </c>
      <c r="O272" s="2">
        <v>5</v>
      </c>
      <c r="P272" s="2">
        <v>0</v>
      </c>
      <c r="Q272" s="2" t="s">
        <v>2643</v>
      </c>
      <c r="R272" s="2" t="s">
        <v>2643</v>
      </c>
      <c r="S272" s="4">
        <v>44837</v>
      </c>
    </row>
    <row r="273" spans="1:19" ht="12.5" x14ac:dyDescent="0.25">
      <c r="A273" s="14" t="str">
        <f>HYPERLINK("https://gerandofalcoes.my.salesforce.com/0014X00002VKCpvQAH", "0014X00002VKCpvQAH")</f>
        <v>0014X00002VKCpvQAH</v>
      </c>
      <c r="B273" s="2" t="s">
        <v>2967</v>
      </c>
      <c r="C273" s="2" t="s">
        <v>423</v>
      </c>
      <c r="D273" s="2" t="s">
        <v>2</v>
      </c>
      <c r="E273" s="2">
        <v>10</v>
      </c>
      <c r="F273" s="2">
        <v>1</v>
      </c>
      <c r="G273" s="2">
        <v>2</v>
      </c>
      <c r="H273" s="2">
        <v>500</v>
      </c>
      <c r="I273" s="2">
        <v>15</v>
      </c>
      <c r="J273" s="2" t="s">
        <v>1779</v>
      </c>
      <c r="K273" s="2">
        <v>31</v>
      </c>
      <c r="L273" s="2">
        <v>10</v>
      </c>
      <c r="M273" s="2">
        <v>5</v>
      </c>
      <c r="N273" s="2">
        <v>6</v>
      </c>
      <c r="O273" s="2">
        <v>5</v>
      </c>
      <c r="P273" s="2">
        <v>5</v>
      </c>
      <c r="Q273" s="2" t="s">
        <v>2968</v>
      </c>
      <c r="R273" s="2" t="s">
        <v>2969</v>
      </c>
      <c r="S273" s="4">
        <v>44837</v>
      </c>
    </row>
    <row r="274" spans="1:19" ht="12.5" x14ac:dyDescent="0.25">
      <c r="A274" s="14" t="str">
        <f>HYPERLINK("https://gerandofalcoes.my.salesforce.com/0014X00002VKCrDQAX", "0014X00002VKCrDQAX")</f>
        <v>0014X00002VKCrDQAX</v>
      </c>
      <c r="B274" s="2" t="s">
        <v>2755</v>
      </c>
      <c r="C274" s="2" t="s">
        <v>423</v>
      </c>
      <c r="D274" s="2" t="s">
        <v>2</v>
      </c>
      <c r="E274" s="2">
        <v>14</v>
      </c>
      <c r="F274" s="2">
        <v>2</v>
      </c>
      <c r="G274" s="2">
        <v>2</v>
      </c>
      <c r="H274" s="2">
        <v>0</v>
      </c>
      <c r="I274" s="2">
        <v>60</v>
      </c>
      <c r="J274" s="2" t="s">
        <v>1779</v>
      </c>
      <c r="K274" s="2">
        <v>26</v>
      </c>
      <c r="L274" s="2">
        <v>10</v>
      </c>
      <c r="M274" s="2">
        <v>5</v>
      </c>
      <c r="N274" s="2">
        <v>6</v>
      </c>
      <c r="O274" s="2">
        <v>0</v>
      </c>
      <c r="P274" s="2">
        <v>5</v>
      </c>
      <c r="Q274" s="2" t="s">
        <v>2756</v>
      </c>
      <c r="R274" s="2" t="s">
        <v>2756</v>
      </c>
      <c r="S274" s="4">
        <v>44837</v>
      </c>
    </row>
    <row r="275" spans="1:19" ht="12.5" x14ac:dyDescent="0.25">
      <c r="A275" s="14" t="str">
        <f>HYPERLINK("https://gerandofalcoes.my.salesforce.com/0014X00002VKCqRQAX", "0014X00002VKCqRQAX")</f>
        <v>0014X00002VKCqRQAX</v>
      </c>
      <c r="B275" s="2" t="s">
        <v>1758</v>
      </c>
      <c r="C275" s="2" t="s">
        <v>423</v>
      </c>
      <c r="D275" s="2" t="s">
        <v>2</v>
      </c>
      <c r="E275" s="2">
        <v>56</v>
      </c>
      <c r="F275" s="2">
        <v>0</v>
      </c>
      <c r="G275" s="2">
        <v>2</v>
      </c>
      <c r="H275" s="2">
        <v>418318</v>
      </c>
      <c r="I275" s="2">
        <v>120</v>
      </c>
      <c r="J275" s="2" t="s">
        <v>1671</v>
      </c>
      <c r="K275" s="2">
        <v>56</v>
      </c>
      <c r="L275" s="2">
        <v>20</v>
      </c>
      <c r="M275" s="2">
        <v>0</v>
      </c>
      <c r="N275" s="2">
        <v>6</v>
      </c>
      <c r="O275" s="2">
        <v>20</v>
      </c>
      <c r="P275" s="2">
        <v>10</v>
      </c>
      <c r="Q275" s="2" t="s">
        <v>1759</v>
      </c>
      <c r="R275" s="2" t="s">
        <v>1760</v>
      </c>
      <c r="S275" s="4">
        <v>44837</v>
      </c>
    </row>
    <row r="276" spans="1:19" ht="12.5" x14ac:dyDescent="0.25">
      <c r="A276" s="14" t="str">
        <f>HYPERLINK("https://gerandofalcoes.my.salesforce.com/0014X00002VKCr1QAH", "0014X00002VKCr1QAH")</f>
        <v>0014X00002VKCr1QAH</v>
      </c>
      <c r="B276" s="2" t="s">
        <v>2494</v>
      </c>
      <c r="C276" s="2" t="s">
        <v>423</v>
      </c>
      <c r="D276" s="2" t="s">
        <v>2</v>
      </c>
      <c r="E276" s="2">
        <v>44</v>
      </c>
      <c r="F276" s="2">
        <v>5</v>
      </c>
      <c r="G276" s="2">
        <v>2</v>
      </c>
      <c r="H276" s="2">
        <v>65000</v>
      </c>
      <c r="I276" s="2">
        <v>50</v>
      </c>
      <c r="J276" s="2" t="s">
        <v>1671</v>
      </c>
      <c r="K276" s="2">
        <v>41</v>
      </c>
      <c r="L276" s="2">
        <v>15</v>
      </c>
      <c r="M276" s="2">
        <v>5</v>
      </c>
      <c r="N276" s="2">
        <v>6</v>
      </c>
      <c r="O276" s="2">
        <v>10</v>
      </c>
      <c r="P276" s="2">
        <v>5</v>
      </c>
      <c r="Q276" s="2" t="s">
        <v>2495</v>
      </c>
      <c r="R276" s="2" t="s">
        <v>2496</v>
      </c>
      <c r="S276" s="4">
        <v>44837</v>
      </c>
    </row>
    <row r="277" spans="1:19" ht="12.5" x14ac:dyDescent="0.25">
      <c r="A277" s="14" t="str">
        <f>HYPERLINK("https://gerandofalcoes.my.salesforce.com/0014X00002VKCuWQAX", "0014X00002VKCuWQAX")</f>
        <v>0014X00002VKCuWQAX</v>
      </c>
      <c r="B277" s="2" t="s">
        <v>1930</v>
      </c>
      <c r="C277" s="2" t="s">
        <v>423</v>
      </c>
      <c r="D277" s="2" t="s">
        <v>2</v>
      </c>
      <c r="E277" s="2">
        <v>42</v>
      </c>
      <c r="F277" s="2">
        <v>35</v>
      </c>
      <c r="G277" s="2">
        <v>4</v>
      </c>
      <c r="H277" s="2">
        <v>30000</v>
      </c>
      <c r="I277" s="2">
        <v>60</v>
      </c>
      <c r="J277" s="2" t="s">
        <v>1671</v>
      </c>
      <c r="K277" s="2">
        <v>55</v>
      </c>
      <c r="L277" s="2">
        <v>15</v>
      </c>
      <c r="M277" s="2">
        <v>15</v>
      </c>
      <c r="N277" s="2">
        <v>10</v>
      </c>
      <c r="O277" s="2">
        <v>10</v>
      </c>
      <c r="P277" s="2">
        <v>5</v>
      </c>
      <c r="Q277" s="2" t="s">
        <v>1931</v>
      </c>
      <c r="R277" s="2" t="s">
        <v>1931</v>
      </c>
      <c r="S277" s="4">
        <v>44837</v>
      </c>
    </row>
    <row r="278" spans="1:19" ht="12.5" x14ac:dyDescent="0.25">
      <c r="A278" s="14" t="str">
        <f>HYPERLINK("https://gerandofalcoes.my.salesforce.com/0014X00002VKCpsQAH", "0014X00002VKCpsQAH")</f>
        <v>0014X00002VKCpsQAH</v>
      </c>
      <c r="B278" s="2" t="s">
        <v>1764</v>
      </c>
      <c r="C278" s="2" t="s">
        <v>423</v>
      </c>
      <c r="D278" s="2" t="s">
        <v>2</v>
      </c>
      <c r="E278" s="2">
        <v>52</v>
      </c>
      <c r="F278" s="2">
        <v>36</v>
      </c>
      <c r="G278" s="2">
        <v>3</v>
      </c>
      <c r="H278" s="2">
        <v>0</v>
      </c>
      <c r="I278" s="2">
        <v>1400</v>
      </c>
      <c r="J278" s="2" t="s">
        <v>1671</v>
      </c>
      <c r="K278" s="2">
        <v>63</v>
      </c>
      <c r="L278" s="2">
        <v>20</v>
      </c>
      <c r="M278" s="2">
        <v>15</v>
      </c>
      <c r="N278" s="2">
        <v>8</v>
      </c>
      <c r="O278" s="2">
        <v>0</v>
      </c>
      <c r="P278" s="2">
        <v>20</v>
      </c>
      <c r="Q278" s="2" t="s">
        <v>1765</v>
      </c>
      <c r="R278" s="2" t="s">
        <v>1766</v>
      </c>
      <c r="S278" s="4">
        <v>44837</v>
      </c>
    </row>
    <row r="279" spans="1:19" ht="12.5" x14ac:dyDescent="0.25">
      <c r="A279" s="14" t="str">
        <f>HYPERLINK("https://gerandofalcoes.my.salesforce.com/0014X00002VKCuIQAX", "0014X00002VKCuIQAX")</f>
        <v>0014X00002VKCuIQAX</v>
      </c>
      <c r="B279" s="2" t="s">
        <v>2217</v>
      </c>
      <c r="C279" s="2" t="s">
        <v>423</v>
      </c>
      <c r="D279" s="2" t="s">
        <v>2</v>
      </c>
      <c r="E279" s="2">
        <v>32</v>
      </c>
      <c r="F279" s="2">
        <v>0</v>
      </c>
      <c r="G279" s="2">
        <v>2</v>
      </c>
      <c r="H279" s="2">
        <v>10000</v>
      </c>
      <c r="I279" s="2">
        <v>250</v>
      </c>
      <c r="J279" s="2" t="s">
        <v>1779</v>
      </c>
      <c r="K279" s="2">
        <v>38</v>
      </c>
      <c r="L279" s="2">
        <v>15</v>
      </c>
      <c r="M279" s="2">
        <v>0</v>
      </c>
      <c r="N279" s="2">
        <v>6</v>
      </c>
      <c r="O279" s="2">
        <v>5</v>
      </c>
      <c r="P279" s="2">
        <v>12</v>
      </c>
      <c r="Q279" s="2" t="s">
        <v>2218</v>
      </c>
      <c r="R279" s="2" t="s">
        <v>2219</v>
      </c>
      <c r="S279" s="4">
        <v>44837</v>
      </c>
    </row>
    <row r="280" spans="1:19" ht="12.5" x14ac:dyDescent="0.25">
      <c r="A280" s="14" t="str">
        <f>HYPERLINK("https://gerandofalcoes.my.salesforce.com/0014X00002VKCt4QAH", "0014X00002VKCt4QAH")</f>
        <v>0014X00002VKCt4QAH</v>
      </c>
      <c r="B280" s="2" t="s">
        <v>1841</v>
      </c>
      <c r="C280" s="2" t="s">
        <v>423</v>
      </c>
      <c r="D280" s="2" t="s">
        <v>2</v>
      </c>
      <c r="E280" s="2">
        <v>80</v>
      </c>
      <c r="F280" s="2">
        <v>0</v>
      </c>
      <c r="G280" s="2">
        <v>4</v>
      </c>
      <c r="H280" s="2">
        <v>140473</v>
      </c>
      <c r="I280" s="2">
        <v>87</v>
      </c>
      <c r="J280" s="2" t="s">
        <v>1671</v>
      </c>
      <c r="K280" s="2">
        <v>60</v>
      </c>
      <c r="L280" s="2">
        <v>25</v>
      </c>
      <c r="M280" s="2">
        <v>0</v>
      </c>
      <c r="N280" s="2">
        <v>10</v>
      </c>
      <c r="O280" s="2">
        <v>15</v>
      </c>
      <c r="P280" s="2">
        <v>10</v>
      </c>
      <c r="Q280" s="2" t="s">
        <v>1842</v>
      </c>
      <c r="R280" s="2" t="s">
        <v>1843</v>
      </c>
      <c r="S280" s="4">
        <v>44837</v>
      </c>
    </row>
    <row r="281" spans="1:19" ht="12.5" x14ac:dyDescent="0.25">
      <c r="A281" s="14" t="str">
        <f>HYPERLINK("https://gerandofalcoes.my.salesforce.com/0014X00002VKCuPQAX", "0014X00002VKCuPQAX")</f>
        <v>0014X00002VKCuPQAX</v>
      </c>
      <c r="B281" s="2" t="s">
        <v>2909</v>
      </c>
      <c r="C281" s="2" t="s">
        <v>423</v>
      </c>
      <c r="D281" s="2" t="s">
        <v>2</v>
      </c>
      <c r="E281" s="2">
        <v>24</v>
      </c>
      <c r="F281" s="2">
        <v>0</v>
      </c>
      <c r="G281" s="2">
        <v>2</v>
      </c>
      <c r="H281" s="2">
        <v>0</v>
      </c>
      <c r="I281" s="2">
        <v>0</v>
      </c>
      <c r="J281" s="2" t="s">
        <v>1779</v>
      </c>
      <c r="K281" s="2">
        <v>16</v>
      </c>
      <c r="L281" s="2">
        <v>10</v>
      </c>
      <c r="M281" s="2">
        <v>0</v>
      </c>
      <c r="N281" s="2">
        <v>6</v>
      </c>
      <c r="O281" s="2">
        <v>0</v>
      </c>
      <c r="P281" s="2">
        <v>0</v>
      </c>
      <c r="Q281" s="2" t="s">
        <v>2910</v>
      </c>
      <c r="R281" s="2" t="s">
        <v>2911</v>
      </c>
      <c r="S281" s="4">
        <v>44837</v>
      </c>
    </row>
    <row r="282" spans="1:19" ht="12.5" x14ac:dyDescent="0.25">
      <c r="A282" s="14" t="str">
        <f>HYPERLINK("https://gerandofalcoes.my.salesforce.com/0014X00002VKCpxQAH", "0014X00002VKCpxQAH")</f>
        <v>0014X00002VKCpxQAH</v>
      </c>
      <c r="B282" s="2" t="s">
        <v>2551</v>
      </c>
      <c r="C282" s="2" t="s">
        <v>423</v>
      </c>
      <c r="D282" s="2" t="s">
        <v>2</v>
      </c>
      <c r="E282" s="2">
        <v>20</v>
      </c>
      <c r="F282" s="2">
        <v>5</v>
      </c>
      <c r="G282" s="2">
        <v>7</v>
      </c>
      <c r="H282" s="2">
        <v>21530</v>
      </c>
      <c r="I282" s="2">
        <v>387</v>
      </c>
      <c r="J282" s="2" t="s">
        <v>1671</v>
      </c>
      <c r="K282" s="2">
        <v>45</v>
      </c>
      <c r="L282" s="2">
        <v>10</v>
      </c>
      <c r="M282" s="2">
        <v>5</v>
      </c>
      <c r="N282" s="2">
        <v>10</v>
      </c>
      <c r="O282" s="2">
        <v>5</v>
      </c>
      <c r="P282" s="2">
        <v>15</v>
      </c>
      <c r="Q282" s="2" t="s">
        <v>2552</v>
      </c>
      <c r="R282" s="2" t="s">
        <v>2553</v>
      </c>
      <c r="S282" s="4">
        <v>44837</v>
      </c>
    </row>
    <row r="283" spans="1:19" ht="12.5" x14ac:dyDescent="0.25">
      <c r="A283" s="14" t="str">
        <f>HYPERLINK("https://gerandofalcoes.my.salesforce.com/0014X00002VKCqgQAH", "0014X00002VKCqgQAH")</f>
        <v>0014X00002VKCqgQAH</v>
      </c>
      <c r="B283" s="2" t="s">
        <v>1816</v>
      </c>
      <c r="C283" s="2" t="s">
        <v>423</v>
      </c>
      <c r="D283" s="2" t="s">
        <v>2</v>
      </c>
      <c r="E283" s="2">
        <v>43</v>
      </c>
      <c r="F283" s="2">
        <v>12</v>
      </c>
      <c r="G283" s="2">
        <v>6</v>
      </c>
      <c r="H283" s="2">
        <v>400000</v>
      </c>
      <c r="I283" s="2">
        <v>480</v>
      </c>
      <c r="J283" s="2" t="s">
        <v>1650</v>
      </c>
      <c r="K283" s="2">
        <v>77</v>
      </c>
      <c r="L283" s="2">
        <v>15</v>
      </c>
      <c r="M283" s="2">
        <v>12</v>
      </c>
      <c r="N283" s="2">
        <v>10</v>
      </c>
      <c r="O283" s="2">
        <v>20</v>
      </c>
      <c r="P283" s="2">
        <v>20</v>
      </c>
      <c r="Q283" s="2" t="s">
        <v>1818</v>
      </c>
      <c r="R283" s="2" t="s">
        <v>1818</v>
      </c>
      <c r="S283" s="4">
        <v>44837</v>
      </c>
    </row>
    <row r="284" spans="1:19" ht="12.5" x14ac:dyDescent="0.25">
      <c r="A284" s="14" t="str">
        <f>HYPERLINK("https://gerandofalcoes.my.salesforce.com/0014X00002VKCpmQAH", "0014X00002VKCpmQAH")</f>
        <v>0014X00002VKCpmQAH</v>
      </c>
      <c r="B284" s="2" t="s">
        <v>2555</v>
      </c>
      <c r="C284" s="2" t="s">
        <v>423</v>
      </c>
      <c r="D284" s="2" t="s">
        <v>2</v>
      </c>
      <c r="E284" s="2">
        <v>20</v>
      </c>
      <c r="F284" s="2">
        <v>0</v>
      </c>
      <c r="G284" s="2">
        <v>3</v>
      </c>
      <c r="H284" s="2">
        <v>7000</v>
      </c>
      <c r="I284" s="2">
        <v>80</v>
      </c>
      <c r="J284" s="2" t="s">
        <v>1779</v>
      </c>
      <c r="K284" s="2">
        <v>33</v>
      </c>
      <c r="L284" s="2">
        <v>10</v>
      </c>
      <c r="M284" s="2">
        <v>0</v>
      </c>
      <c r="N284" s="2">
        <v>8</v>
      </c>
      <c r="O284" s="2">
        <v>5</v>
      </c>
      <c r="P284" s="2">
        <v>10</v>
      </c>
      <c r="Q284" s="2"/>
      <c r="R284" s="2" t="s">
        <v>2556</v>
      </c>
      <c r="S284" s="4">
        <v>44837</v>
      </c>
    </row>
    <row r="285" spans="1:19" ht="12.5" x14ac:dyDescent="0.25">
      <c r="A285" s="14" t="str">
        <f>HYPERLINK("https://gerandofalcoes.my.salesforce.com/0014X00002VKCuzQAH", "0014X00002VKCuzQAH")</f>
        <v>0014X00002VKCuzQAH</v>
      </c>
      <c r="B285" s="2" t="s">
        <v>2117</v>
      </c>
      <c r="C285" s="2" t="s">
        <v>423</v>
      </c>
      <c r="D285" s="2" t="s">
        <v>2</v>
      </c>
      <c r="E285" s="2">
        <v>35</v>
      </c>
      <c r="F285" s="2">
        <v>0</v>
      </c>
      <c r="G285" s="2">
        <v>3</v>
      </c>
      <c r="H285" s="2">
        <v>34878</v>
      </c>
      <c r="I285" s="2">
        <v>6</v>
      </c>
      <c r="J285" s="2" t="s">
        <v>1779</v>
      </c>
      <c r="K285" s="2">
        <v>38</v>
      </c>
      <c r="L285" s="2">
        <v>15</v>
      </c>
      <c r="M285" s="2">
        <v>0</v>
      </c>
      <c r="N285" s="2">
        <v>8</v>
      </c>
      <c r="O285" s="2">
        <v>10</v>
      </c>
      <c r="P285" s="2">
        <v>5</v>
      </c>
      <c r="Q285" s="2" t="s">
        <v>2118</v>
      </c>
      <c r="R285" s="2" t="s">
        <v>2119</v>
      </c>
      <c r="S285" s="4">
        <v>44837</v>
      </c>
    </row>
    <row r="286" spans="1:19" ht="12.5" x14ac:dyDescent="0.25">
      <c r="A286" s="14" t="str">
        <f>HYPERLINK("https://gerandofalcoes.my.salesforce.com/0014X00002VKCq5QAH", "0014X00002VKCq5QAH")</f>
        <v>0014X00002VKCq5QAH</v>
      </c>
      <c r="B286" s="2" t="s">
        <v>2304</v>
      </c>
      <c r="C286" s="2" t="s">
        <v>423</v>
      </c>
      <c r="D286" s="2" t="s">
        <v>2</v>
      </c>
      <c r="E286" s="2">
        <v>29</v>
      </c>
      <c r="F286" s="2">
        <v>3</v>
      </c>
      <c r="G286" s="2">
        <v>3</v>
      </c>
      <c r="H286" s="2">
        <v>30000</v>
      </c>
      <c r="I286" s="2">
        <v>50</v>
      </c>
      <c r="J286" s="2" t="s">
        <v>1671</v>
      </c>
      <c r="K286" s="2">
        <v>43</v>
      </c>
      <c r="L286" s="2">
        <v>15</v>
      </c>
      <c r="M286" s="2">
        <v>5</v>
      </c>
      <c r="N286" s="2">
        <v>8</v>
      </c>
      <c r="O286" s="2">
        <v>10</v>
      </c>
      <c r="P286" s="2">
        <v>5</v>
      </c>
      <c r="Q286" s="2" t="s">
        <v>2305</v>
      </c>
      <c r="R286" s="2" t="s">
        <v>2306</v>
      </c>
      <c r="S286" s="4">
        <v>44837</v>
      </c>
    </row>
    <row r="287" spans="1:19" ht="12.5" x14ac:dyDescent="0.25">
      <c r="A287" s="14" t="str">
        <f>HYPERLINK("https://gerandofalcoes.my.salesforce.com/0014X00002VKCtIQAX", "0014X00002VKCtIQAX")</f>
        <v>0014X00002VKCtIQAX</v>
      </c>
      <c r="B287" s="2" t="s">
        <v>1927</v>
      </c>
      <c r="C287" s="2" t="s">
        <v>423</v>
      </c>
      <c r="D287" s="2" t="s">
        <v>2</v>
      </c>
      <c r="E287" s="2">
        <v>42</v>
      </c>
      <c r="F287" s="2">
        <v>0</v>
      </c>
      <c r="G287" s="2">
        <v>6</v>
      </c>
      <c r="H287" s="2">
        <v>0</v>
      </c>
      <c r="I287" s="2">
        <v>180</v>
      </c>
      <c r="J287" s="2" t="s">
        <v>1779</v>
      </c>
      <c r="K287" s="2">
        <v>37</v>
      </c>
      <c r="L287" s="2">
        <v>15</v>
      </c>
      <c r="M287" s="2">
        <v>0</v>
      </c>
      <c r="N287" s="2">
        <v>10</v>
      </c>
      <c r="O287" s="2">
        <v>0</v>
      </c>
      <c r="P287" s="2">
        <v>12</v>
      </c>
      <c r="Q287" s="2" t="s">
        <v>1928</v>
      </c>
      <c r="R287" s="2" t="s">
        <v>1929</v>
      </c>
      <c r="S287" s="4">
        <v>44837</v>
      </c>
    </row>
    <row r="288" spans="1:19" ht="12.5" x14ac:dyDescent="0.25">
      <c r="A288" s="14" t="str">
        <f>HYPERLINK("https://gerandofalcoes.my.salesforce.com/0014X00002VKCufQAH", "0014X00002VKCufQAH")</f>
        <v>0014X00002VKCufQAH</v>
      </c>
      <c r="B288" s="2" t="s">
        <v>1895</v>
      </c>
      <c r="C288" s="2" t="s">
        <v>423</v>
      </c>
      <c r="D288" s="2" t="s">
        <v>2</v>
      </c>
      <c r="E288" s="2">
        <v>47</v>
      </c>
      <c r="F288" s="2">
        <v>5</v>
      </c>
      <c r="G288" s="2">
        <v>2</v>
      </c>
      <c r="H288" s="2">
        <v>11000</v>
      </c>
      <c r="I288" s="2">
        <v>50</v>
      </c>
      <c r="J288" s="2" t="s">
        <v>1779</v>
      </c>
      <c r="K288" s="2">
        <v>36</v>
      </c>
      <c r="L288" s="2">
        <v>15</v>
      </c>
      <c r="M288" s="2">
        <v>5</v>
      </c>
      <c r="N288" s="2">
        <v>6</v>
      </c>
      <c r="O288" s="2">
        <v>5</v>
      </c>
      <c r="P288" s="2">
        <v>5</v>
      </c>
      <c r="Q288" s="2" t="s">
        <v>1896</v>
      </c>
      <c r="R288" s="2" t="s">
        <v>1896</v>
      </c>
      <c r="S288" s="4">
        <v>44837</v>
      </c>
    </row>
    <row r="289" spans="1:19" ht="12.5" x14ac:dyDescent="0.25">
      <c r="A289" s="14" t="str">
        <f>HYPERLINK("https://gerandofalcoes.my.salesforce.com/0014X00002VKCuNQAX", "0014X00002VKCuNQAX")</f>
        <v>0014X00002VKCuNQAX</v>
      </c>
      <c r="B289" s="2" t="s">
        <v>1963</v>
      </c>
      <c r="C289" s="2" t="s">
        <v>423</v>
      </c>
      <c r="D289" s="2" t="s">
        <v>2</v>
      </c>
      <c r="E289" s="2">
        <v>40</v>
      </c>
      <c r="F289" s="2">
        <v>0</v>
      </c>
      <c r="G289" s="2">
        <v>4</v>
      </c>
      <c r="H289" s="2">
        <v>52814</v>
      </c>
      <c r="I289" s="2">
        <v>96</v>
      </c>
      <c r="J289" s="2" t="s">
        <v>1671</v>
      </c>
      <c r="K289" s="2">
        <v>45</v>
      </c>
      <c r="L289" s="2">
        <v>15</v>
      </c>
      <c r="M289" s="2">
        <v>0</v>
      </c>
      <c r="N289" s="2">
        <v>10</v>
      </c>
      <c r="O289" s="2">
        <v>10</v>
      </c>
      <c r="P289" s="2">
        <v>10</v>
      </c>
      <c r="Q289" s="2" t="s">
        <v>1964</v>
      </c>
      <c r="R289" s="2" t="s">
        <v>1965</v>
      </c>
      <c r="S289" s="4">
        <v>44837</v>
      </c>
    </row>
    <row r="290" spans="1:19" ht="12.5" x14ac:dyDescent="0.25">
      <c r="A290" s="14" t="str">
        <f>HYPERLINK("https://gerandofalcoes.my.salesforce.com/0014X00002VKCuTQAX", "0014X00002VKCuTQAX")</f>
        <v>0014X00002VKCuTQAX</v>
      </c>
      <c r="B290" s="2" t="s">
        <v>1801</v>
      </c>
      <c r="C290" s="2" t="s">
        <v>423</v>
      </c>
      <c r="D290" s="2" t="s">
        <v>2</v>
      </c>
      <c r="E290" s="2">
        <v>53</v>
      </c>
      <c r="F290" s="2">
        <v>14</v>
      </c>
      <c r="G290" s="2">
        <v>2</v>
      </c>
      <c r="H290" s="2">
        <v>350000</v>
      </c>
      <c r="I290" s="2">
        <v>58</v>
      </c>
      <c r="J290" s="2" t="s">
        <v>1671</v>
      </c>
      <c r="K290" s="2">
        <v>63</v>
      </c>
      <c r="L290" s="2">
        <v>20</v>
      </c>
      <c r="M290" s="2">
        <v>12</v>
      </c>
      <c r="N290" s="2">
        <v>6</v>
      </c>
      <c r="O290" s="2">
        <v>20</v>
      </c>
      <c r="P290" s="2">
        <v>5</v>
      </c>
      <c r="Q290" s="2" t="s">
        <v>1802</v>
      </c>
      <c r="R290" s="2" t="s">
        <v>1803</v>
      </c>
      <c r="S290" s="4">
        <v>44837</v>
      </c>
    </row>
    <row r="291" spans="1:19" ht="12.5" x14ac:dyDescent="0.25">
      <c r="A291" s="14" t="str">
        <f>HYPERLINK("https://gerandofalcoes.my.salesforce.com/0014X00002VKCtOQAX", "0014X00002VKCtOQAX")</f>
        <v>0014X00002VKCtOQAX</v>
      </c>
      <c r="B291" s="2" t="s">
        <v>1986</v>
      </c>
      <c r="C291" s="2" t="s">
        <v>423</v>
      </c>
      <c r="D291" s="2" t="s">
        <v>2</v>
      </c>
      <c r="E291" s="2">
        <v>39</v>
      </c>
      <c r="F291" s="2">
        <v>0</v>
      </c>
      <c r="G291" s="2">
        <v>2</v>
      </c>
      <c r="H291" s="2">
        <v>4046</v>
      </c>
      <c r="I291" s="2">
        <v>75</v>
      </c>
      <c r="J291" s="2" t="s">
        <v>1779</v>
      </c>
      <c r="K291" s="2">
        <v>31</v>
      </c>
      <c r="L291" s="2">
        <v>15</v>
      </c>
      <c r="M291" s="2">
        <v>0</v>
      </c>
      <c r="N291" s="2">
        <v>6</v>
      </c>
      <c r="O291" s="2">
        <v>5</v>
      </c>
      <c r="P291" s="2">
        <v>5</v>
      </c>
      <c r="Q291" s="2" t="s">
        <v>1987</v>
      </c>
      <c r="R291" s="2" t="s">
        <v>1988</v>
      </c>
      <c r="S291" s="4">
        <v>44837</v>
      </c>
    </row>
    <row r="292" spans="1:19" ht="12.5" x14ac:dyDescent="0.25">
      <c r="A292" s="14" t="str">
        <f>HYPERLINK("https://gerandofalcoes.my.salesforce.com/0014X00002VKCqeQAH", "0014X00002VKCqeQAH")</f>
        <v>0014X00002VKCqeQAH</v>
      </c>
      <c r="B292" s="2" t="s">
        <v>2338</v>
      </c>
      <c r="C292" s="2" t="s">
        <v>423</v>
      </c>
      <c r="D292" s="2" t="s">
        <v>2</v>
      </c>
      <c r="E292" s="2">
        <v>13</v>
      </c>
      <c r="F292" s="2">
        <v>0</v>
      </c>
      <c r="G292" s="2">
        <v>3</v>
      </c>
      <c r="H292" s="2">
        <v>1000</v>
      </c>
      <c r="I292" s="2">
        <v>90</v>
      </c>
      <c r="J292" s="2" t="s">
        <v>1779</v>
      </c>
      <c r="K292" s="2">
        <v>33</v>
      </c>
      <c r="L292" s="2">
        <v>10</v>
      </c>
      <c r="M292" s="2">
        <v>0</v>
      </c>
      <c r="N292" s="2">
        <v>8</v>
      </c>
      <c r="O292" s="2">
        <v>5</v>
      </c>
      <c r="P292" s="2">
        <v>10</v>
      </c>
      <c r="Q292" s="2" t="s">
        <v>2339</v>
      </c>
      <c r="R292" s="2" t="s">
        <v>2339</v>
      </c>
      <c r="S292" s="4">
        <v>44837</v>
      </c>
    </row>
    <row r="293" spans="1:19" ht="12.5" x14ac:dyDescent="0.25">
      <c r="A293" s="14" t="str">
        <f>HYPERLINK("https://gerandofalcoes.my.salesforce.com/0014X00002VKCtWQAX", "0014X00002VKCtWQAX")</f>
        <v>0014X00002VKCtWQAX</v>
      </c>
      <c r="B293" s="2" t="s">
        <v>7164</v>
      </c>
      <c r="C293" s="2" t="s">
        <v>423</v>
      </c>
      <c r="D293" s="2" t="s">
        <v>2</v>
      </c>
      <c r="E293" s="2">
        <v>41</v>
      </c>
      <c r="F293" s="2">
        <v>0</v>
      </c>
      <c r="G293" s="2">
        <v>4</v>
      </c>
      <c r="H293" s="2">
        <v>1200</v>
      </c>
      <c r="I293" s="2">
        <v>250</v>
      </c>
      <c r="J293" s="2" t="s">
        <v>1671</v>
      </c>
      <c r="K293" s="2">
        <v>42</v>
      </c>
      <c r="L293" s="2">
        <v>15</v>
      </c>
      <c r="M293" s="2">
        <v>0</v>
      </c>
      <c r="N293" s="2">
        <v>10</v>
      </c>
      <c r="O293" s="2">
        <v>5</v>
      </c>
      <c r="P293" s="2">
        <v>12</v>
      </c>
      <c r="Q293" s="2" t="s">
        <v>2652</v>
      </c>
      <c r="R293" s="2" t="s">
        <v>2653</v>
      </c>
      <c r="S293" s="4">
        <v>44837</v>
      </c>
    </row>
    <row r="294" spans="1:19" ht="12.5" x14ac:dyDescent="0.25">
      <c r="A294" s="14" t="str">
        <f>HYPERLINK("https://gerandofalcoes.my.salesforce.com/0014X00002VKCqsQAH", "0014X00002VKCqsQAH")</f>
        <v>0014X00002VKCqsQAH</v>
      </c>
      <c r="B294" s="2" t="s">
        <v>2700</v>
      </c>
      <c r="C294" s="2" t="s">
        <v>423</v>
      </c>
      <c r="D294" s="2" t="s">
        <v>2</v>
      </c>
      <c r="E294" s="2">
        <v>33</v>
      </c>
      <c r="F294" s="2">
        <v>8</v>
      </c>
      <c r="G294" s="2">
        <v>2</v>
      </c>
      <c r="H294" s="2">
        <v>40000</v>
      </c>
      <c r="I294" s="2">
        <v>100</v>
      </c>
      <c r="J294" s="2" t="s">
        <v>1671</v>
      </c>
      <c r="K294" s="2">
        <v>51</v>
      </c>
      <c r="L294" s="2">
        <v>15</v>
      </c>
      <c r="M294" s="2">
        <v>10</v>
      </c>
      <c r="N294" s="2">
        <v>6</v>
      </c>
      <c r="O294" s="2">
        <v>10</v>
      </c>
      <c r="P294" s="2">
        <v>10</v>
      </c>
      <c r="Q294" s="2" t="s">
        <v>2701</v>
      </c>
      <c r="R294" s="2" t="s">
        <v>2702</v>
      </c>
      <c r="S294" s="4">
        <v>44837</v>
      </c>
    </row>
    <row r="295" spans="1:19" ht="12.5" x14ac:dyDescent="0.25">
      <c r="A295" s="14" t="str">
        <f>HYPERLINK("https://gerandofalcoes.my.salesforce.com/0014X00002VKCqLQAX", "0014X00002VKCqLQAX")</f>
        <v>0014X00002VKCqLQAX</v>
      </c>
      <c r="B295" s="2" t="s">
        <v>1871</v>
      </c>
      <c r="C295" s="2" t="s">
        <v>423</v>
      </c>
      <c r="D295" s="2" t="s">
        <v>2</v>
      </c>
      <c r="E295" s="2">
        <v>79</v>
      </c>
      <c r="F295" s="2">
        <v>462</v>
      </c>
      <c r="G295" s="2">
        <v>3</v>
      </c>
      <c r="H295" s="2">
        <v>1194973</v>
      </c>
      <c r="I295" s="2">
        <v>347</v>
      </c>
      <c r="J295" s="2" t="s">
        <v>1654</v>
      </c>
      <c r="K295" s="2">
        <v>88</v>
      </c>
      <c r="L295" s="2">
        <v>25</v>
      </c>
      <c r="M295" s="2">
        <v>15</v>
      </c>
      <c r="N295" s="2">
        <v>8</v>
      </c>
      <c r="O295" s="2">
        <v>25</v>
      </c>
      <c r="P295" s="2">
        <v>15</v>
      </c>
      <c r="Q295" s="2" t="s">
        <v>1872</v>
      </c>
      <c r="R295" s="2" t="s">
        <v>1873</v>
      </c>
      <c r="S295" s="4">
        <v>44837</v>
      </c>
    </row>
    <row r="296" spans="1:19" ht="12.5" x14ac:dyDescent="0.25">
      <c r="A296" s="14" t="str">
        <f>HYPERLINK("https://gerandofalcoes.my.salesforce.com/0014X00002VKCuDQAX", "0014X00002VKCuDQAX")</f>
        <v>0014X00002VKCuDQAX</v>
      </c>
      <c r="B296" s="2" t="s">
        <v>2900</v>
      </c>
      <c r="C296" s="2" t="s">
        <v>423</v>
      </c>
      <c r="D296" s="2" t="s">
        <v>2</v>
      </c>
      <c r="E296" s="2">
        <v>22</v>
      </c>
      <c r="F296" s="2">
        <v>0</v>
      </c>
      <c r="G296" s="2">
        <v>2</v>
      </c>
      <c r="H296" s="2">
        <v>0</v>
      </c>
      <c r="I296" s="2">
        <v>0</v>
      </c>
      <c r="J296" s="2" t="s">
        <v>1779</v>
      </c>
      <c r="K296" s="2">
        <v>16</v>
      </c>
      <c r="L296" s="2">
        <v>10</v>
      </c>
      <c r="M296" s="2">
        <v>0</v>
      </c>
      <c r="N296" s="2">
        <v>6</v>
      </c>
      <c r="O296" s="2">
        <v>0</v>
      </c>
      <c r="P296" s="2">
        <v>0</v>
      </c>
      <c r="Q296" s="2" t="s">
        <v>7196</v>
      </c>
      <c r="R296" s="2" t="s">
        <v>2901</v>
      </c>
      <c r="S296" s="4">
        <v>44837</v>
      </c>
    </row>
    <row r="297" spans="1:19" ht="12.5" x14ac:dyDescent="0.25">
      <c r="A297" s="14" t="str">
        <f>HYPERLINK("https://gerandofalcoes.my.salesforce.com/0014X00002VKCrpQAH", "0014X00002VKCrpQAH")</f>
        <v>0014X00002VKCrpQAH</v>
      </c>
      <c r="B297" s="2" t="s">
        <v>2887</v>
      </c>
      <c r="C297" s="2" t="s">
        <v>423</v>
      </c>
      <c r="D297" s="2" t="s">
        <v>2</v>
      </c>
      <c r="E297" s="2">
        <v>9</v>
      </c>
      <c r="F297" s="2">
        <v>0</v>
      </c>
      <c r="G297" s="2">
        <v>4</v>
      </c>
      <c r="H297" s="2">
        <v>2700</v>
      </c>
      <c r="I297" s="2">
        <v>80</v>
      </c>
      <c r="J297" s="2" t="s">
        <v>1779</v>
      </c>
      <c r="K297" s="2">
        <v>35</v>
      </c>
      <c r="L297" s="2">
        <v>10</v>
      </c>
      <c r="M297" s="2">
        <v>0</v>
      </c>
      <c r="N297" s="2">
        <v>10</v>
      </c>
      <c r="O297" s="2">
        <v>5</v>
      </c>
      <c r="P297" s="2">
        <v>10</v>
      </c>
      <c r="Q297" s="2" t="s">
        <v>2888</v>
      </c>
      <c r="R297" s="2" t="s">
        <v>2889</v>
      </c>
      <c r="S297" s="4">
        <v>44837</v>
      </c>
    </row>
    <row r="298" spans="1:19" ht="12.5" x14ac:dyDescent="0.25">
      <c r="A298" s="14" t="str">
        <f>HYPERLINK("https://gerandofalcoes.my.salesforce.com/0014P00003AN2FzQAL", "0014P00003AN2FzQAL")</f>
        <v>0014P00003AN2FzQAL</v>
      </c>
      <c r="B298" s="2" t="s">
        <v>2127</v>
      </c>
      <c r="C298" s="2" t="s">
        <v>423</v>
      </c>
      <c r="D298" s="2" t="s">
        <v>2</v>
      </c>
      <c r="E298" s="2">
        <v>87</v>
      </c>
      <c r="F298" s="2">
        <v>5</v>
      </c>
      <c r="G298" s="2">
        <v>4</v>
      </c>
      <c r="H298" s="2">
        <v>540000</v>
      </c>
      <c r="I298" s="2">
        <v>90</v>
      </c>
      <c r="J298" s="2" t="s">
        <v>1650</v>
      </c>
      <c r="K298" s="2">
        <v>70</v>
      </c>
      <c r="L298" s="2">
        <v>25</v>
      </c>
      <c r="M298" s="2">
        <v>5</v>
      </c>
      <c r="N298" s="2">
        <v>10</v>
      </c>
      <c r="O298" s="2">
        <v>20</v>
      </c>
      <c r="P298" s="2">
        <v>10</v>
      </c>
      <c r="Q298" s="2"/>
      <c r="R298" s="2" t="s">
        <v>652</v>
      </c>
      <c r="S298" s="4">
        <v>44837</v>
      </c>
    </row>
    <row r="299" spans="1:19" ht="12.5" x14ac:dyDescent="0.25">
      <c r="A299" s="14" t="str">
        <f>HYPERLINK("https://gerandofalcoes.my.salesforce.com/0014P00003AN2G0QAL", "0014P00003AN2G0QAL")</f>
        <v>0014P00003AN2G0QAL</v>
      </c>
      <c r="B299" s="2" t="s">
        <v>146</v>
      </c>
      <c r="C299" s="2" t="s">
        <v>423</v>
      </c>
      <c r="D299" s="2" t="s">
        <v>27</v>
      </c>
      <c r="E299" s="2">
        <v>83</v>
      </c>
      <c r="F299" s="2">
        <v>7</v>
      </c>
      <c r="G299" s="2">
        <v>3</v>
      </c>
      <c r="H299" s="2">
        <v>31263.49</v>
      </c>
      <c r="I299" s="2">
        <v>71</v>
      </c>
      <c r="J299" s="2" t="s">
        <v>1671</v>
      </c>
      <c r="K299" s="2">
        <v>58</v>
      </c>
      <c r="L299" s="2">
        <v>25</v>
      </c>
      <c r="M299" s="2">
        <v>10</v>
      </c>
      <c r="N299" s="2">
        <v>8</v>
      </c>
      <c r="O299" s="2">
        <v>10</v>
      </c>
      <c r="P299" s="2">
        <v>5</v>
      </c>
      <c r="Q299" s="2" t="s">
        <v>1699</v>
      </c>
      <c r="R299" s="2" t="s">
        <v>1699</v>
      </c>
      <c r="S299" s="4">
        <v>44837</v>
      </c>
    </row>
    <row r="300" spans="1:19" ht="12.5" x14ac:dyDescent="0.25">
      <c r="A300" s="14" t="str">
        <f>HYPERLINK("https://gerandofalcoes.my.salesforce.com/0014P00003AN2G1QAL", "0014P00003AN2G1QAL")</f>
        <v>0014P00003AN2G1QAL</v>
      </c>
      <c r="B300" s="2" t="s">
        <v>1744</v>
      </c>
      <c r="C300" s="2" t="s">
        <v>423</v>
      </c>
      <c r="D300" s="2" t="s">
        <v>2</v>
      </c>
      <c r="E300" s="2">
        <v>86</v>
      </c>
      <c r="F300" s="2">
        <v>10</v>
      </c>
      <c r="G300" s="2">
        <v>3</v>
      </c>
      <c r="H300" s="2">
        <v>367281</v>
      </c>
      <c r="I300" s="2">
        <v>100</v>
      </c>
      <c r="J300" s="2" t="s">
        <v>1650</v>
      </c>
      <c r="K300" s="2">
        <v>73</v>
      </c>
      <c r="L300" s="2">
        <v>25</v>
      </c>
      <c r="M300" s="2">
        <v>10</v>
      </c>
      <c r="N300" s="2">
        <v>8</v>
      </c>
      <c r="O300" s="2">
        <v>20</v>
      </c>
      <c r="P300" s="2">
        <v>10</v>
      </c>
      <c r="Q300" s="2"/>
      <c r="R300" s="2" t="s">
        <v>839</v>
      </c>
      <c r="S300" s="4">
        <v>44837</v>
      </c>
    </row>
    <row r="301" spans="1:19" ht="12.5" x14ac:dyDescent="0.25">
      <c r="A301" s="14" t="str">
        <f>HYPERLINK("https://gerandofalcoes.my.salesforce.com/0014P00003AN2G2QAL", "0014P00003AN2G2QAL")</f>
        <v>0014P00003AN2G2QAL</v>
      </c>
      <c r="B301" s="2" t="s">
        <v>2150</v>
      </c>
      <c r="C301" s="2" t="s">
        <v>423</v>
      </c>
      <c r="D301" s="2" t="s">
        <v>2</v>
      </c>
      <c r="E301" s="2"/>
      <c r="F301" s="2">
        <v>10</v>
      </c>
      <c r="G301" s="2">
        <v>2</v>
      </c>
      <c r="H301" s="2">
        <v>97663</v>
      </c>
      <c r="I301" s="2">
        <v>200</v>
      </c>
      <c r="J301" s="2" t="s">
        <v>1779</v>
      </c>
      <c r="K301" s="2">
        <v>38</v>
      </c>
      <c r="L301" s="2">
        <v>0</v>
      </c>
      <c r="M301" s="2">
        <v>10</v>
      </c>
      <c r="N301" s="2">
        <v>6</v>
      </c>
      <c r="O301" s="2">
        <v>10</v>
      </c>
      <c r="P301" s="2">
        <v>12</v>
      </c>
      <c r="Q301" s="2"/>
      <c r="R301" s="2" t="s">
        <v>2151</v>
      </c>
      <c r="S301" s="4">
        <v>44837</v>
      </c>
    </row>
    <row r="302" spans="1:19" ht="12.5" x14ac:dyDescent="0.25">
      <c r="A302" s="14" t="str">
        <f>HYPERLINK("https://gerandofalcoes.my.salesforce.com/0014P00003AN2G3QAL", "0014P00003AN2G3QAL")</f>
        <v>0014P00003AN2G3QAL</v>
      </c>
      <c r="B302" s="2" t="s">
        <v>1677</v>
      </c>
      <c r="C302" s="2" t="s">
        <v>423</v>
      </c>
      <c r="D302" s="2" t="s">
        <v>27</v>
      </c>
      <c r="E302" s="2">
        <v>89</v>
      </c>
      <c r="F302" s="2">
        <v>9</v>
      </c>
      <c r="G302" s="2">
        <v>3</v>
      </c>
      <c r="H302" s="2">
        <v>46396.77</v>
      </c>
      <c r="I302" s="2">
        <v>188</v>
      </c>
      <c r="J302" s="2" t="s">
        <v>1650</v>
      </c>
      <c r="K302" s="2">
        <v>65</v>
      </c>
      <c r="L302" s="2">
        <v>25</v>
      </c>
      <c r="M302" s="2">
        <v>10</v>
      </c>
      <c r="N302" s="2">
        <v>8</v>
      </c>
      <c r="O302" s="2">
        <v>10</v>
      </c>
      <c r="P302" s="2">
        <v>12</v>
      </c>
      <c r="Q302" s="2" t="s">
        <v>153</v>
      </c>
      <c r="R302" s="2" t="s">
        <v>153</v>
      </c>
      <c r="S302" s="4">
        <v>44837</v>
      </c>
    </row>
    <row r="303" spans="1:19" ht="12.5" x14ac:dyDescent="0.25">
      <c r="A303" s="14" t="str">
        <f>HYPERLINK("https://gerandofalcoes.my.salesforce.com/0014P00003AN2G4QAL", "0014P00003AN2G4QAL")</f>
        <v>0014P00003AN2G4QAL</v>
      </c>
      <c r="B303" s="2" t="s">
        <v>1747</v>
      </c>
      <c r="C303" s="2" t="s">
        <v>423</v>
      </c>
      <c r="D303" s="2" t="s">
        <v>27</v>
      </c>
      <c r="E303" s="2">
        <v>56</v>
      </c>
      <c r="F303" s="2">
        <v>0</v>
      </c>
      <c r="G303" s="2">
        <v>2</v>
      </c>
      <c r="H303" s="2">
        <v>37000</v>
      </c>
      <c r="I303" s="2">
        <v>180</v>
      </c>
      <c r="J303" s="2" t="s">
        <v>1671</v>
      </c>
      <c r="K303" s="2">
        <v>48</v>
      </c>
      <c r="L303" s="2">
        <v>20</v>
      </c>
      <c r="M303" s="2">
        <v>0</v>
      </c>
      <c r="N303" s="2">
        <v>6</v>
      </c>
      <c r="O303" s="2">
        <v>10</v>
      </c>
      <c r="P303" s="2">
        <v>12</v>
      </c>
      <c r="Q303" s="2"/>
      <c r="R303" s="2" t="s">
        <v>925</v>
      </c>
      <c r="S303" s="4">
        <v>44837</v>
      </c>
    </row>
    <row r="304" spans="1:19" ht="12.5" x14ac:dyDescent="0.25">
      <c r="A304" s="14" t="str">
        <f>HYPERLINK("https://gerandofalcoes.my.salesforce.com/0014P00003AN2G5QAL", "0014P00003AN2G5QAL")</f>
        <v>0014P00003AN2G5QAL</v>
      </c>
      <c r="B304" s="2" t="s">
        <v>1712</v>
      </c>
      <c r="C304" s="2" t="s">
        <v>423</v>
      </c>
      <c r="D304" s="2" t="s">
        <v>27</v>
      </c>
      <c r="E304" s="2">
        <v>78</v>
      </c>
      <c r="F304" s="2">
        <v>19</v>
      </c>
      <c r="G304" s="2">
        <v>3</v>
      </c>
      <c r="H304" s="2">
        <v>1912288.57</v>
      </c>
      <c r="I304" s="2">
        <v>193</v>
      </c>
      <c r="J304" s="2" t="s">
        <v>1654</v>
      </c>
      <c r="K304" s="2">
        <v>82</v>
      </c>
      <c r="L304" s="2">
        <v>25</v>
      </c>
      <c r="M304" s="2">
        <v>12</v>
      </c>
      <c r="N304" s="2">
        <v>8</v>
      </c>
      <c r="O304" s="2">
        <v>25</v>
      </c>
      <c r="P304" s="2">
        <v>12</v>
      </c>
      <c r="Q304" s="2" t="s">
        <v>156</v>
      </c>
      <c r="R304" s="2" t="s">
        <v>156</v>
      </c>
      <c r="S304" s="4">
        <v>44837</v>
      </c>
    </row>
    <row r="305" spans="1:19" ht="12.5" x14ac:dyDescent="0.25">
      <c r="A305" s="14" t="str">
        <f>HYPERLINK("https://gerandofalcoes.my.salesforce.com/0014P00003AN2G6QAL", "0014P00003AN2G6QAL")</f>
        <v>0014P00003AN2G6QAL</v>
      </c>
      <c r="B305" s="2" t="s">
        <v>1704</v>
      </c>
      <c r="C305" s="2" t="s">
        <v>423</v>
      </c>
      <c r="D305" s="2" t="s">
        <v>27</v>
      </c>
      <c r="E305" s="2">
        <v>82</v>
      </c>
      <c r="F305" s="2">
        <v>11</v>
      </c>
      <c r="G305" s="2">
        <v>3</v>
      </c>
      <c r="H305" s="2">
        <v>62859.59</v>
      </c>
      <c r="I305" s="2">
        <v>282</v>
      </c>
      <c r="J305" s="2" t="s">
        <v>1650</v>
      </c>
      <c r="K305" s="2">
        <v>67</v>
      </c>
      <c r="L305" s="2">
        <v>25</v>
      </c>
      <c r="M305" s="2">
        <v>12</v>
      </c>
      <c r="N305" s="2">
        <v>8</v>
      </c>
      <c r="O305" s="2">
        <v>10</v>
      </c>
      <c r="P305" s="2">
        <v>12</v>
      </c>
      <c r="Q305" s="2" t="s">
        <v>157</v>
      </c>
      <c r="R305" s="2" t="s">
        <v>157</v>
      </c>
      <c r="S305" s="4">
        <v>44837</v>
      </c>
    </row>
    <row r="306" spans="1:19" ht="12.5" x14ac:dyDescent="0.25">
      <c r="A306" s="14" t="str">
        <f>HYPERLINK("https://gerandofalcoes.my.salesforce.com/0014P00003AN2FyQAL", "0014P00003AN2FyQAL")</f>
        <v>0014P00003AN2FyQAL</v>
      </c>
      <c r="B306" s="2" t="s">
        <v>2876</v>
      </c>
      <c r="C306" s="2" t="s">
        <v>423</v>
      </c>
      <c r="D306" s="2" t="s">
        <v>2</v>
      </c>
      <c r="E306" s="2">
        <v>6</v>
      </c>
      <c r="F306" s="2">
        <v>0</v>
      </c>
      <c r="G306" s="2">
        <v>1</v>
      </c>
      <c r="H306" s="2">
        <v>5000000</v>
      </c>
      <c r="I306" s="2">
        <v>100</v>
      </c>
      <c r="J306" s="2" t="s">
        <v>1671</v>
      </c>
      <c r="K306" s="2">
        <v>49</v>
      </c>
      <c r="L306" s="2">
        <v>10</v>
      </c>
      <c r="M306" s="2">
        <v>0</v>
      </c>
      <c r="N306" s="2">
        <v>4</v>
      </c>
      <c r="O306" s="2">
        <v>25</v>
      </c>
      <c r="P306" s="2">
        <v>10</v>
      </c>
      <c r="Q306" s="2" t="s">
        <v>2877</v>
      </c>
      <c r="R306" s="2" t="s">
        <v>2877</v>
      </c>
      <c r="S306" s="4">
        <v>44837</v>
      </c>
    </row>
    <row r="307" spans="1:19" ht="12.5" x14ac:dyDescent="0.25">
      <c r="A307" s="14" t="str">
        <f>HYPERLINK("https://gerandofalcoes.my.salesforce.com/0014P00003AN2G7QAL", "0014P00003AN2G7QAL")</f>
        <v>0014P00003AN2G7QAL</v>
      </c>
      <c r="B307" s="2" t="s">
        <v>1740</v>
      </c>
      <c r="C307" s="2" t="s">
        <v>423</v>
      </c>
      <c r="D307" s="2" t="s">
        <v>2</v>
      </c>
      <c r="E307" s="2">
        <v>78</v>
      </c>
      <c r="F307" s="2">
        <v>3</v>
      </c>
      <c r="G307" s="2">
        <v>1</v>
      </c>
      <c r="H307" s="2">
        <v>48000</v>
      </c>
      <c r="I307" s="2">
        <v>122</v>
      </c>
      <c r="J307" s="2" t="s">
        <v>1671</v>
      </c>
      <c r="K307" s="2">
        <v>54</v>
      </c>
      <c r="L307" s="2">
        <v>25</v>
      </c>
      <c r="M307" s="2">
        <v>5</v>
      </c>
      <c r="N307" s="2">
        <v>4</v>
      </c>
      <c r="O307" s="2">
        <v>10</v>
      </c>
      <c r="P307" s="2">
        <v>10</v>
      </c>
      <c r="Q307" s="2"/>
      <c r="R307" s="2" t="s">
        <v>945</v>
      </c>
      <c r="S307" s="4">
        <v>44837</v>
      </c>
    </row>
    <row r="308" spans="1:19" ht="12.5" x14ac:dyDescent="0.25">
      <c r="A308" s="14" t="str">
        <f>HYPERLINK("https://gerandofalcoes.my.salesforce.com/0014P00003AN2G8QAL", "0014P00003AN2G8QAL")</f>
        <v>0014P00003AN2G8QAL</v>
      </c>
      <c r="B308" s="2" t="s">
        <v>1897</v>
      </c>
      <c r="C308" s="2" t="s">
        <v>423</v>
      </c>
      <c r="D308" s="2" t="s">
        <v>2</v>
      </c>
      <c r="E308" s="2">
        <v>68</v>
      </c>
      <c r="F308" s="2">
        <v>2</v>
      </c>
      <c r="G308" s="2">
        <v>5</v>
      </c>
      <c r="H308" s="2">
        <v>108000</v>
      </c>
      <c r="I308" s="2">
        <v>160</v>
      </c>
      <c r="J308" s="2" t="s">
        <v>1671</v>
      </c>
      <c r="K308" s="2">
        <v>62</v>
      </c>
      <c r="L308" s="2">
        <v>20</v>
      </c>
      <c r="M308" s="2">
        <v>5</v>
      </c>
      <c r="N308" s="2">
        <v>10</v>
      </c>
      <c r="O308" s="2">
        <v>15</v>
      </c>
      <c r="P308" s="2">
        <v>12</v>
      </c>
      <c r="R308" s="2" t="s">
        <v>1898</v>
      </c>
      <c r="S308" s="4">
        <v>44837</v>
      </c>
    </row>
    <row r="309" spans="1:19" ht="12.5" x14ac:dyDescent="0.25">
      <c r="A309" s="14" t="str">
        <f>HYPERLINK("https://gerandofalcoes.my.salesforce.com/0014P00003AN2G9QAL", "0014P00003AN2G9QAL")</f>
        <v>0014P00003AN2G9QAL</v>
      </c>
      <c r="B309" s="2" t="s">
        <v>1670</v>
      </c>
      <c r="C309" s="2" t="s">
        <v>423</v>
      </c>
      <c r="D309" s="2" t="s">
        <v>27</v>
      </c>
      <c r="E309" s="2">
        <v>66</v>
      </c>
      <c r="F309" s="2">
        <v>7</v>
      </c>
      <c r="G309" s="2">
        <v>2</v>
      </c>
      <c r="H309" s="2">
        <v>5950</v>
      </c>
      <c r="I309" s="2">
        <v>210</v>
      </c>
      <c r="J309" s="2" t="s">
        <v>1671</v>
      </c>
      <c r="K309" s="2">
        <v>53</v>
      </c>
      <c r="L309" s="2">
        <v>20</v>
      </c>
      <c r="M309" s="2">
        <v>10</v>
      </c>
      <c r="N309" s="2">
        <v>6</v>
      </c>
      <c r="O309" s="2">
        <v>5</v>
      </c>
      <c r="P309" s="2">
        <v>12</v>
      </c>
      <c r="R309" s="2" t="s">
        <v>961</v>
      </c>
      <c r="S309" s="4">
        <v>44837</v>
      </c>
    </row>
    <row r="310" spans="1:19" ht="12.5" x14ac:dyDescent="0.25">
      <c r="A310" s="14" t="str">
        <f>HYPERLINK("https://gerandofalcoes.my.salesforce.com/0014P00003AN2GAQA1", "0014P00003AN2GAQA1")</f>
        <v>0014P00003AN2GAQA1</v>
      </c>
      <c r="B310" s="2" t="s">
        <v>2981</v>
      </c>
      <c r="C310" s="2" t="s">
        <v>1684</v>
      </c>
      <c r="D310" s="2" t="s">
        <v>2</v>
      </c>
      <c r="E310" s="2"/>
      <c r="F310" s="2">
        <v>1</v>
      </c>
      <c r="G310" s="2">
        <v>0</v>
      </c>
      <c r="H310" s="2">
        <v>0</v>
      </c>
      <c r="I310" s="2">
        <v>1200</v>
      </c>
      <c r="J310" s="2" t="s">
        <v>1779</v>
      </c>
      <c r="K310" s="2">
        <v>25</v>
      </c>
      <c r="L310" s="2">
        <v>0</v>
      </c>
      <c r="M310" s="2">
        <v>5</v>
      </c>
      <c r="N310" s="2">
        <v>0</v>
      </c>
      <c r="O310" s="2">
        <v>0</v>
      </c>
      <c r="P310" s="2">
        <v>20</v>
      </c>
      <c r="R310" s="2" t="s">
        <v>7165</v>
      </c>
      <c r="S310" s="4">
        <v>44837</v>
      </c>
    </row>
    <row r="311" spans="1:19" ht="12.5" x14ac:dyDescent="0.25">
      <c r="A311" s="14" t="str">
        <f>HYPERLINK("https://gerandofalcoes.my.salesforce.com/0014P00003AN2GBQA1", "0014P00003AN2GBQA1")</f>
        <v>0014P00003AN2GBQA1</v>
      </c>
      <c r="B311" s="2" t="s">
        <v>2228</v>
      </c>
      <c r="C311" s="2" t="s">
        <v>423</v>
      </c>
      <c r="D311" s="2" t="s">
        <v>2</v>
      </c>
      <c r="E311" s="2">
        <v>48</v>
      </c>
      <c r="F311" s="2">
        <v>20</v>
      </c>
      <c r="G311" s="2">
        <v>5</v>
      </c>
      <c r="H311" s="2">
        <v>1200000</v>
      </c>
      <c r="I311" s="2">
        <v>80</v>
      </c>
      <c r="J311" s="2" t="s">
        <v>1650</v>
      </c>
      <c r="K311" s="2">
        <v>72</v>
      </c>
      <c r="L311" s="2">
        <v>15</v>
      </c>
      <c r="M311" s="2">
        <v>12</v>
      </c>
      <c r="N311" s="2">
        <v>10</v>
      </c>
      <c r="O311" s="2">
        <v>25</v>
      </c>
      <c r="P311" s="2">
        <v>10</v>
      </c>
      <c r="R311" s="2" t="s">
        <v>2229</v>
      </c>
      <c r="S311" s="4">
        <v>44837</v>
      </c>
    </row>
    <row r="312" spans="1:19" ht="12.5" x14ac:dyDescent="0.25">
      <c r="A312" s="14" t="str">
        <f>HYPERLINK("https://gerandofalcoes.my.salesforce.com/0014P00003AN2GCQA1", "0014P00003AN2GCQA1")</f>
        <v>0014P00003AN2GCQA1</v>
      </c>
      <c r="B312" s="2" t="s">
        <v>1832</v>
      </c>
      <c r="C312" s="2" t="s">
        <v>423</v>
      </c>
      <c r="D312" s="2" t="s">
        <v>2</v>
      </c>
      <c r="E312" s="2">
        <v>65</v>
      </c>
      <c r="F312" s="2">
        <v>2</v>
      </c>
      <c r="G312" s="2">
        <v>5</v>
      </c>
      <c r="H312" s="2">
        <v>153260</v>
      </c>
      <c r="I312" s="2">
        <v>167</v>
      </c>
      <c r="J312" s="2" t="s">
        <v>1671</v>
      </c>
      <c r="K312" s="2">
        <v>62</v>
      </c>
      <c r="L312" s="2">
        <v>20</v>
      </c>
      <c r="M312" s="2">
        <v>5</v>
      </c>
      <c r="N312" s="2">
        <v>10</v>
      </c>
      <c r="O312" s="2">
        <v>15</v>
      </c>
      <c r="P312" s="2">
        <v>12</v>
      </c>
      <c r="R312" s="2" t="s">
        <v>978</v>
      </c>
      <c r="S312" s="4">
        <v>44837</v>
      </c>
    </row>
    <row r="313" spans="1:19" ht="12.5" x14ac:dyDescent="0.25">
      <c r="A313" s="14" t="str">
        <f>HYPERLINK("https://gerandofalcoes.my.salesforce.com/0014P00003AN2GDQA1", "0014P00003AN2GDQA1")</f>
        <v>0014P00003AN2GDQA1</v>
      </c>
      <c r="B313" s="2" t="s">
        <v>1707</v>
      </c>
      <c r="C313" s="2" t="s">
        <v>423</v>
      </c>
      <c r="D313" s="2" t="s">
        <v>27</v>
      </c>
      <c r="E313" s="2">
        <v>74</v>
      </c>
      <c r="F313" s="2">
        <v>5</v>
      </c>
      <c r="G313" s="2">
        <v>2</v>
      </c>
      <c r="H313" s="2">
        <v>77000</v>
      </c>
      <c r="I313" s="2">
        <v>157</v>
      </c>
      <c r="J313" s="2" t="s">
        <v>1671</v>
      </c>
      <c r="K313" s="2">
        <v>53</v>
      </c>
      <c r="L313" s="2">
        <v>20</v>
      </c>
      <c r="M313" s="2">
        <v>5</v>
      </c>
      <c r="N313" s="2">
        <v>6</v>
      </c>
      <c r="O313" s="2">
        <v>10</v>
      </c>
      <c r="P313" s="2">
        <v>12</v>
      </c>
      <c r="R313" s="2" t="s">
        <v>987</v>
      </c>
      <c r="S313" s="4">
        <v>44837</v>
      </c>
    </row>
    <row r="314" spans="1:19" ht="12.5" x14ac:dyDescent="0.25">
      <c r="A314" s="14" t="str">
        <f>HYPERLINK("https://gerandofalcoes.my.salesforce.com/0014P00003AN2GFQA1", "0014P00003AN2GFQA1")</f>
        <v>0014P00003AN2GFQA1</v>
      </c>
      <c r="B314" s="2" t="s">
        <v>2980</v>
      </c>
      <c r="C314" s="2" t="s">
        <v>423</v>
      </c>
      <c r="D314" s="2" t="s">
        <v>2</v>
      </c>
      <c r="E314" s="2"/>
      <c r="F314" s="2">
        <v>23</v>
      </c>
      <c r="G314" s="2">
        <v>4</v>
      </c>
      <c r="H314" s="2">
        <v>531000</v>
      </c>
      <c r="I314" s="2">
        <v>15185</v>
      </c>
      <c r="J314" s="2" t="s">
        <v>1671</v>
      </c>
      <c r="K314" s="2">
        <v>62</v>
      </c>
      <c r="L314" s="2">
        <v>0</v>
      </c>
      <c r="M314" s="2">
        <v>12</v>
      </c>
      <c r="N314" s="2">
        <v>10</v>
      </c>
      <c r="O314" s="2">
        <v>20</v>
      </c>
      <c r="P314" s="2">
        <v>20</v>
      </c>
      <c r="Q314" s="2" t="s">
        <v>995</v>
      </c>
      <c r="R314" s="2" t="s">
        <v>995</v>
      </c>
      <c r="S314" s="4">
        <v>44837</v>
      </c>
    </row>
    <row r="315" spans="1:19" ht="12.5" x14ac:dyDescent="0.25">
      <c r="A315" s="14" t="str">
        <f>HYPERLINK("https://gerandofalcoes.my.salesforce.com/0014P00003AN2GGQA1", "0014P00003AN2GGQA1")</f>
        <v>0014P00003AN2GGQA1</v>
      </c>
      <c r="B315" s="2" t="s">
        <v>2711</v>
      </c>
      <c r="C315" s="2" t="s">
        <v>423</v>
      </c>
      <c r="D315" s="2" t="s">
        <v>2</v>
      </c>
      <c r="E315" s="2">
        <v>39</v>
      </c>
      <c r="F315" s="2">
        <v>5</v>
      </c>
      <c r="G315" s="2">
        <v>1</v>
      </c>
      <c r="H315" s="2">
        <v>50000</v>
      </c>
      <c r="I315" s="2">
        <v>60</v>
      </c>
      <c r="J315" s="2" t="s">
        <v>1779</v>
      </c>
      <c r="K315" s="2">
        <v>39</v>
      </c>
      <c r="L315" s="2">
        <v>15</v>
      </c>
      <c r="M315" s="2">
        <v>5</v>
      </c>
      <c r="N315" s="2">
        <v>4</v>
      </c>
      <c r="O315" s="2">
        <v>10</v>
      </c>
      <c r="P315" s="2">
        <v>5</v>
      </c>
      <c r="Q315" s="2" t="s">
        <v>2712</v>
      </c>
      <c r="R315" s="2" t="s">
        <v>2712</v>
      </c>
      <c r="S315" s="4">
        <v>44837</v>
      </c>
    </row>
    <row r="316" spans="1:19" ht="12.5" x14ac:dyDescent="0.25">
      <c r="A316" s="14" t="str">
        <f>HYPERLINK("https://gerandofalcoes.my.salesforce.com/0014P00003AN2GHQA1", "0014P00003AN2GHQA1")</f>
        <v>0014P00003AN2GHQA1</v>
      </c>
      <c r="B316" s="2" t="s">
        <v>2503</v>
      </c>
      <c r="C316" s="2" t="s">
        <v>423</v>
      </c>
      <c r="D316" s="2" t="s">
        <v>2</v>
      </c>
      <c r="E316" s="2">
        <v>63</v>
      </c>
      <c r="F316" s="2">
        <v>2</v>
      </c>
      <c r="G316" s="2">
        <v>2</v>
      </c>
      <c r="H316" s="2">
        <v>50000</v>
      </c>
      <c r="I316" s="2">
        <v>120</v>
      </c>
      <c r="J316" s="2" t="s">
        <v>1671</v>
      </c>
      <c r="K316" s="2">
        <v>51</v>
      </c>
      <c r="L316" s="2">
        <v>20</v>
      </c>
      <c r="M316" s="2">
        <v>5</v>
      </c>
      <c r="N316" s="2">
        <v>6</v>
      </c>
      <c r="O316" s="2">
        <v>10</v>
      </c>
      <c r="P316" s="2">
        <v>10</v>
      </c>
      <c r="Q316" s="2"/>
      <c r="R316" s="2" t="s">
        <v>1010</v>
      </c>
      <c r="S316" s="4">
        <v>44837</v>
      </c>
    </row>
    <row r="317" spans="1:19" ht="12.5" x14ac:dyDescent="0.25">
      <c r="A317" s="14" t="str">
        <f>HYPERLINK("https://gerandofalcoes.my.salesforce.com/0014P00003SGWPWQA5", "0014P00003SGWPWQA5")</f>
        <v>0014P00003SGWPWQA5</v>
      </c>
      <c r="B317" s="2" t="s">
        <v>171</v>
      </c>
      <c r="C317" s="2" t="s">
        <v>423</v>
      </c>
      <c r="D317" s="2" t="s">
        <v>27</v>
      </c>
      <c r="E317" s="2">
        <v>89</v>
      </c>
      <c r="F317" s="2">
        <v>7</v>
      </c>
      <c r="G317" s="2">
        <v>4</v>
      </c>
      <c r="H317" s="2">
        <v>30000</v>
      </c>
      <c r="I317" s="2">
        <v>165</v>
      </c>
      <c r="J317" s="2" t="s">
        <v>1650</v>
      </c>
      <c r="K317" s="2">
        <v>67</v>
      </c>
      <c r="L317" s="2">
        <v>25</v>
      </c>
      <c r="M317" s="2">
        <v>10</v>
      </c>
      <c r="N317" s="2">
        <v>10</v>
      </c>
      <c r="O317" s="2">
        <v>10</v>
      </c>
      <c r="P317" s="2">
        <v>12</v>
      </c>
      <c r="Q317" s="2" t="s">
        <v>172</v>
      </c>
      <c r="R317" s="2" t="s">
        <v>172</v>
      </c>
      <c r="S317" s="4">
        <v>44837</v>
      </c>
    </row>
    <row r="318" spans="1:19" ht="12.5" x14ac:dyDescent="0.25">
      <c r="A318" s="14" t="str">
        <f>HYPERLINK("https://gerandofalcoes.my.salesforce.com/0014P00003SGWPYQA5", "0014P00003SGWPYQA5")</f>
        <v>0014P00003SGWPYQA5</v>
      </c>
      <c r="B318" s="2" t="s">
        <v>175</v>
      </c>
      <c r="C318" s="2" t="s">
        <v>423</v>
      </c>
      <c r="D318" s="2" t="s">
        <v>2</v>
      </c>
      <c r="E318" s="2">
        <v>40</v>
      </c>
      <c r="F318" s="2">
        <v>0</v>
      </c>
      <c r="G318" s="2">
        <v>6</v>
      </c>
      <c r="H318" s="2">
        <v>21600</v>
      </c>
      <c r="I318" s="2">
        <v>150</v>
      </c>
      <c r="J318" s="2" t="s">
        <v>1671</v>
      </c>
      <c r="K318" s="2">
        <v>42</v>
      </c>
      <c r="L318" s="2">
        <v>15</v>
      </c>
      <c r="M318" s="2">
        <v>0</v>
      </c>
      <c r="N318" s="2">
        <v>10</v>
      </c>
      <c r="O318" s="2">
        <v>5</v>
      </c>
      <c r="P318" s="2">
        <v>12</v>
      </c>
      <c r="Q318" s="2" t="s">
        <v>176</v>
      </c>
      <c r="R318" s="2" t="s">
        <v>176</v>
      </c>
      <c r="S318" s="4">
        <v>44837</v>
      </c>
    </row>
    <row r="319" spans="1:19" ht="12.5" x14ac:dyDescent="0.25">
      <c r="A319" s="14" t="str">
        <f>HYPERLINK("https://gerandofalcoes.my.salesforce.com/0014P00003SGWPZQA5", "0014P00003SGWPZQA5")</f>
        <v>0014P00003SGWPZQA5</v>
      </c>
      <c r="B319" s="2" t="s">
        <v>160</v>
      </c>
      <c r="C319" s="2" t="s">
        <v>423</v>
      </c>
      <c r="D319" s="2" t="s">
        <v>2</v>
      </c>
      <c r="E319" s="2">
        <v>44</v>
      </c>
      <c r="F319" s="2">
        <v>2</v>
      </c>
      <c r="G319" s="2">
        <v>1</v>
      </c>
      <c r="H319" s="2">
        <v>347000</v>
      </c>
      <c r="I319" s="2">
        <v>64</v>
      </c>
      <c r="J319" s="2" t="s">
        <v>1671</v>
      </c>
      <c r="K319" s="2">
        <v>49</v>
      </c>
      <c r="L319" s="2">
        <v>15</v>
      </c>
      <c r="M319" s="2">
        <v>5</v>
      </c>
      <c r="N319" s="2">
        <v>4</v>
      </c>
      <c r="O319" s="2">
        <v>20</v>
      </c>
      <c r="P319" s="2">
        <v>5</v>
      </c>
      <c r="Q319" s="2" t="s">
        <v>161</v>
      </c>
      <c r="R319" s="2" t="s">
        <v>1828</v>
      </c>
      <c r="S319" s="4">
        <v>44837</v>
      </c>
    </row>
    <row r="320" spans="1:19" ht="12.5" x14ac:dyDescent="0.25">
      <c r="A320" s="14" t="str">
        <f>HYPERLINK("https://gerandofalcoes.my.salesforce.com/0014P00003SGWPaQAP", "0014P00003SGWPaQAP")</f>
        <v>0014P00003SGWPaQAP</v>
      </c>
      <c r="B320" s="2" t="s">
        <v>179</v>
      </c>
      <c r="C320" s="2" t="s">
        <v>423</v>
      </c>
      <c r="D320" s="2" t="s">
        <v>2</v>
      </c>
      <c r="E320" s="2">
        <v>37</v>
      </c>
      <c r="F320" s="2">
        <v>4</v>
      </c>
      <c r="G320" s="2">
        <v>3</v>
      </c>
      <c r="H320" s="2">
        <v>50000</v>
      </c>
      <c r="I320" s="2">
        <v>110</v>
      </c>
      <c r="J320" s="2" t="s">
        <v>1671</v>
      </c>
      <c r="K320" s="2">
        <v>48</v>
      </c>
      <c r="L320" s="2">
        <v>15</v>
      </c>
      <c r="M320" s="2">
        <v>5</v>
      </c>
      <c r="N320" s="2">
        <v>8</v>
      </c>
      <c r="O320" s="2">
        <v>10</v>
      </c>
      <c r="P320" s="2">
        <v>10</v>
      </c>
      <c r="Q320" s="2" t="s">
        <v>180</v>
      </c>
      <c r="R320" s="2" t="s">
        <v>2031</v>
      </c>
      <c r="S320" s="4">
        <v>44837</v>
      </c>
    </row>
    <row r="321" spans="1:19" ht="12.5" x14ac:dyDescent="0.25">
      <c r="A321" s="14" t="str">
        <f>HYPERLINK("https://gerandofalcoes.my.salesforce.com/0014P00003SGWPuQAP", "0014P00003SGWPuQAP")</f>
        <v>0014P00003SGWPuQAP</v>
      </c>
      <c r="B321" s="2" t="s">
        <v>1672</v>
      </c>
      <c r="C321" s="2" t="s">
        <v>423</v>
      </c>
      <c r="D321" s="2" t="s">
        <v>27</v>
      </c>
      <c r="E321" s="2">
        <v>43</v>
      </c>
      <c r="F321" s="2">
        <v>0</v>
      </c>
      <c r="G321" s="2">
        <v>4</v>
      </c>
      <c r="H321" s="2">
        <v>3000</v>
      </c>
      <c r="I321" s="2">
        <v>268</v>
      </c>
      <c r="J321" s="2" t="s">
        <v>1671</v>
      </c>
      <c r="K321" s="2">
        <v>42</v>
      </c>
      <c r="L321" s="2">
        <v>15</v>
      </c>
      <c r="M321" s="2">
        <v>0</v>
      </c>
      <c r="N321" s="2">
        <v>10</v>
      </c>
      <c r="O321" s="2">
        <v>5</v>
      </c>
      <c r="P321" s="2">
        <v>12</v>
      </c>
      <c r="Q321" s="2" t="s">
        <v>186</v>
      </c>
      <c r="R321" s="2" t="s">
        <v>1673</v>
      </c>
      <c r="S321" s="4">
        <v>44837</v>
      </c>
    </row>
    <row r="322" spans="1:19" ht="12.5" x14ac:dyDescent="0.25">
      <c r="A322" s="14" t="str">
        <f>HYPERLINK("https://gerandofalcoes.my.salesforce.com/0014P00003SGWPTQA5", "0014P00003SGWPTQA5")</f>
        <v>0014P00003SGWPTQA5</v>
      </c>
      <c r="B322" s="2" t="s">
        <v>376</v>
      </c>
      <c r="C322" s="2" t="s">
        <v>423</v>
      </c>
      <c r="D322" s="2" t="s">
        <v>2</v>
      </c>
      <c r="E322" s="2">
        <v>12</v>
      </c>
      <c r="F322" s="2">
        <v>0</v>
      </c>
      <c r="G322" s="2">
        <v>1</v>
      </c>
      <c r="H322" s="2">
        <v>12000</v>
      </c>
      <c r="I322" s="2">
        <v>25</v>
      </c>
      <c r="J322" s="2" t="s">
        <v>1779</v>
      </c>
      <c r="K322" s="2">
        <v>24</v>
      </c>
      <c r="L322" s="2">
        <v>10</v>
      </c>
      <c r="M322" s="2">
        <v>0</v>
      </c>
      <c r="N322" s="2">
        <v>4</v>
      </c>
      <c r="O322" s="2">
        <v>5</v>
      </c>
      <c r="P322" s="2">
        <v>5</v>
      </c>
      <c r="Q322" s="2" t="s">
        <v>377</v>
      </c>
      <c r="R322" s="2" t="s">
        <v>1586</v>
      </c>
      <c r="S322" s="4">
        <v>44837</v>
      </c>
    </row>
    <row r="323" spans="1:19" ht="12.5" x14ac:dyDescent="0.25">
      <c r="A323" s="14" t="str">
        <f>HYPERLINK("https://gerandofalcoes.my.salesforce.com/0014P00003SGWPUQA5", "0014P00003SGWPUQA5")</f>
        <v>0014P00003SGWPUQA5</v>
      </c>
      <c r="B323" s="2" t="s">
        <v>379</v>
      </c>
      <c r="C323" s="2" t="s">
        <v>423</v>
      </c>
      <c r="D323" s="2" t="s">
        <v>2</v>
      </c>
      <c r="E323" s="2">
        <v>58</v>
      </c>
      <c r="F323" s="2">
        <v>0</v>
      </c>
      <c r="G323" s="2">
        <v>5</v>
      </c>
      <c r="H323" s="2">
        <v>78820</v>
      </c>
      <c r="I323" s="2">
        <v>520</v>
      </c>
      <c r="J323" s="2" t="s">
        <v>1671</v>
      </c>
      <c r="K323" s="2">
        <v>60</v>
      </c>
      <c r="L323" s="2">
        <v>20</v>
      </c>
      <c r="M323" s="2">
        <v>0</v>
      </c>
      <c r="N323" s="2">
        <v>10</v>
      </c>
      <c r="O323" s="2">
        <v>10</v>
      </c>
      <c r="P323" s="2">
        <v>20</v>
      </c>
      <c r="Q323" s="2" t="s">
        <v>380</v>
      </c>
      <c r="R323" s="2" t="s">
        <v>1595</v>
      </c>
      <c r="S323" s="4">
        <v>44837</v>
      </c>
    </row>
    <row r="324" spans="1:19" ht="12.5" x14ac:dyDescent="0.25">
      <c r="A324" s="14" t="str">
        <f>HYPERLINK("https://gerandofalcoes.my.salesforce.com/0014P00003SGWPVQA5", "0014P00003SGWPVQA5")</f>
        <v>0014P00003SGWPVQA5</v>
      </c>
      <c r="B324" s="2" t="s">
        <v>2352</v>
      </c>
      <c r="C324" s="2" t="s">
        <v>423</v>
      </c>
      <c r="D324" s="2" t="s">
        <v>2</v>
      </c>
      <c r="E324" s="2">
        <v>27</v>
      </c>
      <c r="F324" s="2">
        <v>0</v>
      </c>
      <c r="G324" s="2">
        <v>1</v>
      </c>
      <c r="H324" s="2">
        <v>2000</v>
      </c>
      <c r="I324" s="2">
        <v>70</v>
      </c>
      <c r="J324" s="2" t="s">
        <v>1779</v>
      </c>
      <c r="K324" s="2">
        <v>29</v>
      </c>
      <c r="L324" s="2">
        <v>15</v>
      </c>
      <c r="M324" s="2">
        <v>0</v>
      </c>
      <c r="N324" s="2">
        <v>4</v>
      </c>
      <c r="O324" s="2">
        <v>5</v>
      </c>
      <c r="P324" s="2">
        <v>5</v>
      </c>
      <c r="Q324" s="2" t="s">
        <v>381</v>
      </c>
      <c r="R324" s="2" t="s">
        <v>2353</v>
      </c>
      <c r="S324" s="4">
        <v>44837</v>
      </c>
    </row>
    <row r="325" spans="1:19" ht="12.5" x14ac:dyDescent="0.25">
      <c r="A325" s="14" t="str">
        <f>HYPERLINK("https://gerandofalcoes.my.salesforce.com/0014X00002QTry4QAD", "0014X00002QTry4QAD")</f>
        <v>0014X00002QTry4QAD</v>
      </c>
      <c r="B325" s="2" t="s">
        <v>1701</v>
      </c>
      <c r="C325" s="2" t="s">
        <v>423</v>
      </c>
      <c r="D325" s="2" t="s">
        <v>27</v>
      </c>
      <c r="E325" s="2">
        <v>18</v>
      </c>
      <c r="F325" s="2">
        <v>0</v>
      </c>
      <c r="G325" s="2">
        <v>3</v>
      </c>
      <c r="H325" s="2">
        <v>350</v>
      </c>
      <c r="I325" s="2">
        <v>40</v>
      </c>
      <c r="J325" s="2" t="s">
        <v>1779</v>
      </c>
      <c r="K325" s="2">
        <v>28</v>
      </c>
      <c r="L325" s="2">
        <v>10</v>
      </c>
      <c r="M325" s="2">
        <v>0</v>
      </c>
      <c r="N325" s="2">
        <v>8</v>
      </c>
      <c r="O325" s="2">
        <v>5</v>
      </c>
      <c r="P325" s="2">
        <v>5</v>
      </c>
      <c r="Q325" s="2" t="s">
        <v>1702</v>
      </c>
      <c r="R325" s="2" t="s">
        <v>1703</v>
      </c>
      <c r="S325" s="4">
        <v>44837</v>
      </c>
    </row>
    <row r="326" spans="1:19" ht="12.5" x14ac:dyDescent="0.25">
      <c r="A326" s="14" t="str">
        <f>HYPERLINK("https://gerandofalcoes.my.salesforce.com/0014X00002PUOY7QAP", "0014X00002PUOY7QAP")</f>
        <v>0014X00002PUOY7QAP</v>
      </c>
      <c r="B326" s="2" t="s">
        <v>2317</v>
      </c>
      <c r="C326" s="2" t="s">
        <v>423</v>
      </c>
      <c r="D326" s="2" t="s">
        <v>2</v>
      </c>
      <c r="E326" s="2">
        <v>28</v>
      </c>
      <c r="F326" s="2">
        <v>28</v>
      </c>
      <c r="G326" s="2">
        <v>3</v>
      </c>
      <c r="H326" s="2">
        <v>200000</v>
      </c>
      <c r="I326" s="2">
        <v>300</v>
      </c>
      <c r="J326" s="2" t="s">
        <v>1650</v>
      </c>
      <c r="K326" s="2">
        <v>65</v>
      </c>
      <c r="L326" s="2">
        <v>15</v>
      </c>
      <c r="M326" s="2">
        <v>12</v>
      </c>
      <c r="N326" s="2">
        <v>8</v>
      </c>
      <c r="O326" s="2">
        <v>15</v>
      </c>
      <c r="P326" s="2">
        <v>15</v>
      </c>
      <c r="Q326" s="2"/>
      <c r="R326" s="2" t="s">
        <v>448</v>
      </c>
      <c r="S326" s="4">
        <v>44837</v>
      </c>
    </row>
    <row r="327" spans="1:19" ht="12.5" x14ac:dyDescent="0.25">
      <c r="A327" s="14" t="str">
        <f>HYPERLINK("https://gerandofalcoes.my.salesforce.com/0014X00002PUOZAQA5", "0014X00002PUOZAQA5")</f>
        <v>0014X00002PUOZAQA5</v>
      </c>
      <c r="B327" s="2" t="s">
        <v>1717</v>
      </c>
      <c r="C327" s="2" t="s">
        <v>423</v>
      </c>
      <c r="D327" s="2" t="s">
        <v>2</v>
      </c>
      <c r="E327" s="2">
        <v>99</v>
      </c>
      <c r="F327" s="2">
        <v>0</v>
      </c>
      <c r="G327" s="2">
        <v>3</v>
      </c>
      <c r="H327" s="2">
        <v>250000</v>
      </c>
      <c r="I327" s="2">
        <v>220</v>
      </c>
      <c r="J327" s="2" t="s">
        <v>1650</v>
      </c>
      <c r="K327" s="2">
        <v>65</v>
      </c>
      <c r="L327" s="2">
        <v>30</v>
      </c>
      <c r="M327" s="2">
        <v>0</v>
      </c>
      <c r="N327" s="2">
        <v>8</v>
      </c>
      <c r="O327" s="2">
        <v>15</v>
      </c>
      <c r="P327" s="2">
        <v>12</v>
      </c>
      <c r="Q327" s="2"/>
      <c r="R327" s="2" t="s">
        <v>1718</v>
      </c>
      <c r="S327" s="4">
        <v>44837</v>
      </c>
    </row>
    <row r="328" spans="1:19" ht="12.5" x14ac:dyDescent="0.25">
      <c r="A328" s="14" t="str">
        <f>HYPERLINK("https://gerandofalcoes.my.salesforce.com/0014P00003ESKdlQAH", "0014P00003ESKdlQAH")</f>
        <v>0014P00003ESKdlQAH</v>
      </c>
      <c r="B328" s="2" t="s">
        <v>1719</v>
      </c>
      <c r="C328" s="2" t="s">
        <v>423</v>
      </c>
      <c r="D328" s="2" t="s">
        <v>2</v>
      </c>
      <c r="E328" s="2">
        <v>76</v>
      </c>
      <c r="F328" s="2">
        <v>0</v>
      </c>
      <c r="G328" s="2">
        <v>4</v>
      </c>
      <c r="H328" s="2">
        <v>780838</v>
      </c>
      <c r="I328" s="2">
        <v>949</v>
      </c>
      <c r="J328" s="2" t="s">
        <v>1650</v>
      </c>
      <c r="K328" s="2">
        <v>75</v>
      </c>
      <c r="L328" s="2">
        <v>25</v>
      </c>
      <c r="M328" s="2">
        <v>0</v>
      </c>
      <c r="N328" s="2">
        <v>10</v>
      </c>
      <c r="O328" s="2">
        <v>20</v>
      </c>
      <c r="P328" s="2">
        <v>20</v>
      </c>
      <c r="R328" s="2" t="s">
        <v>898</v>
      </c>
      <c r="S328" s="4">
        <v>44837</v>
      </c>
    </row>
    <row r="329" spans="1:19" ht="12.5" x14ac:dyDescent="0.25">
      <c r="A329" s="14" t="str">
        <f>HYPERLINK("https://gerandofalcoes.my.salesforce.com/0014P00003AN2FVQA1", "0014P00003AN2FVQA1")</f>
        <v>0014P00003AN2FVQA1</v>
      </c>
      <c r="B329" s="2" t="s">
        <v>1738</v>
      </c>
      <c r="C329" s="2" t="s">
        <v>423</v>
      </c>
      <c r="D329" s="2" t="s">
        <v>2</v>
      </c>
      <c r="E329" s="2">
        <v>70</v>
      </c>
      <c r="F329" s="2">
        <v>22</v>
      </c>
      <c r="G329" s="2">
        <v>3</v>
      </c>
      <c r="H329" s="2">
        <v>1385871</v>
      </c>
      <c r="I329" s="2">
        <v>600</v>
      </c>
      <c r="J329" s="2" t="s">
        <v>1654</v>
      </c>
      <c r="K329" s="2">
        <v>85</v>
      </c>
      <c r="L329" s="2">
        <v>20</v>
      </c>
      <c r="M329" s="2">
        <v>12</v>
      </c>
      <c r="N329" s="2">
        <v>8</v>
      </c>
      <c r="O329" s="2">
        <v>25</v>
      </c>
      <c r="P329" s="2">
        <v>20</v>
      </c>
      <c r="R329" s="2" t="s">
        <v>632</v>
      </c>
      <c r="S329" s="4">
        <v>44837</v>
      </c>
    </row>
    <row r="330" spans="1:19" ht="12.5" x14ac:dyDescent="0.25">
      <c r="A330" s="14" t="str">
        <f>HYPERLINK("https://gerandofalcoes.my.salesforce.com/0014P00003AN2FWQA1", "0014P00003AN2FWQA1")</f>
        <v>0014P00003AN2FWQA1</v>
      </c>
      <c r="B330" s="2" t="s">
        <v>2395</v>
      </c>
      <c r="C330" s="2" t="s">
        <v>423</v>
      </c>
      <c r="D330" s="2" t="s">
        <v>2</v>
      </c>
      <c r="E330" s="2">
        <v>43</v>
      </c>
      <c r="F330" s="2">
        <v>2</v>
      </c>
      <c r="G330" s="2">
        <v>2</v>
      </c>
      <c r="H330" s="2">
        <v>350000</v>
      </c>
      <c r="I330" s="2">
        <v>380</v>
      </c>
      <c r="J330" s="2" t="s">
        <v>1671</v>
      </c>
      <c r="K330" s="2">
        <v>61</v>
      </c>
      <c r="L330" s="2">
        <v>15</v>
      </c>
      <c r="M330" s="2">
        <v>5</v>
      </c>
      <c r="N330" s="2">
        <v>6</v>
      </c>
      <c r="O330" s="2">
        <v>20</v>
      </c>
      <c r="P330" s="2">
        <v>15</v>
      </c>
      <c r="R330" s="2" t="s">
        <v>2396</v>
      </c>
      <c r="S330" s="4">
        <v>44837</v>
      </c>
    </row>
    <row r="331" spans="1:19" ht="12.5" x14ac:dyDescent="0.25">
      <c r="A331" s="14" t="str">
        <f>HYPERLINK("https://gerandofalcoes.my.salesforce.com/0014P00003AN2FXQA1", "0014P00003AN2FXQA1")</f>
        <v>0014P00003AN2FXQA1</v>
      </c>
      <c r="B331" s="2" t="s">
        <v>1799</v>
      </c>
      <c r="C331" s="2" t="s">
        <v>423</v>
      </c>
      <c r="D331" s="2" t="s">
        <v>2</v>
      </c>
      <c r="E331" s="2">
        <v>53</v>
      </c>
      <c r="F331" s="2">
        <v>8</v>
      </c>
      <c r="G331" s="2">
        <v>3</v>
      </c>
      <c r="H331" s="2">
        <v>250000</v>
      </c>
      <c r="I331" s="2">
        <v>238</v>
      </c>
      <c r="J331" s="2" t="s">
        <v>1650</v>
      </c>
      <c r="K331" s="2">
        <v>65</v>
      </c>
      <c r="L331" s="2">
        <v>20</v>
      </c>
      <c r="M331" s="2">
        <v>10</v>
      </c>
      <c r="N331" s="2">
        <v>8</v>
      </c>
      <c r="O331" s="2">
        <v>15</v>
      </c>
      <c r="P331" s="2">
        <v>12</v>
      </c>
      <c r="R331" s="2" t="s">
        <v>646</v>
      </c>
      <c r="S331" s="4">
        <v>44837</v>
      </c>
    </row>
    <row r="332" spans="1:19" ht="12.5" x14ac:dyDescent="0.25">
      <c r="A332" s="14" t="str">
        <f>HYPERLINK("https://gerandofalcoes.my.salesforce.com/0014P00003AN2FYQA1", "0014P00003AN2FYQA1")</f>
        <v>0014P00003AN2FYQA1</v>
      </c>
      <c r="B332" s="2" t="s">
        <v>1874</v>
      </c>
      <c r="C332" s="2" t="s">
        <v>423</v>
      </c>
      <c r="D332" s="2" t="s">
        <v>2</v>
      </c>
      <c r="E332" s="2">
        <v>45</v>
      </c>
      <c r="F332" s="2">
        <v>4</v>
      </c>
      <c r="G332" s="2">
        <v>5</v>
      </c>
      <c r="H332" s="2">
        <v>100000</v>
      </c>
      <c r="I332" s="2">
        <v>500</v>
      </c>
      <c r="J332" s="2" t="s">
        <v>1650</v>
      </c>
      <c r="K332" s="2">
        <v>65</v>
      </c>
      <c r="L332" s="2">
        <v>15</v>
      </c>
      <c r="M332" s="2">
        <v>5</v>
      </c>
      <c r="N332" s="2">
        <v>10</v>
      </c>
      <c r="O332" s="2">
        <v>15</v>
      </c>
      <c r="P332" s="2">
        <v>20</v>
      </c>
      <c r="Q332" s="2" t="s">
        <v>611</v>
      </c>
      <c r="R332" s="2" t="s">
        <v>611</v>
      </c>
      <c r="S332" s="4">
        <v>44837</v>
      </c>
    </row>
    <row r="333" spans="1:19" ht="12.5" x14ac:dyDescent="0.25">
      <c r="A333" s="14" t="str">
        <f>HYPERLINK("https://gerandofalcoes.my.salesforce.com/0014P00003AN2FZQA1", "0014P00003AN2FZQA1")</f>
        <v>0014P00003AN2FZQA1</v>
      </c>
      <c r="B333" s="2" t="s">
        <v>1685</v>
      </c>
      <c r="C333" s="2" t="s">
        <v>423</v>
      </c>
      <c r="D333" s="2" t="s">
        <v>2</v>
      </c>
      <c r="E333" s="2">
        <v>94</v>
      </c>
      <c r="F333" s="2">
        <v>51</v>
      </c>
      <c r="G333" s="2">
        <v>5</v>
      </c>
      <c r="H333" s="2">
        <v>4439647</v>
      </c>
      <c r="I333" s="2">
        <v>397</v>
      </c>
      <c r="J333" s="2" t="s">
        <v>1654</v>
      </c>
      <c r="K333" s="2">
        <v>95</v>
      </c>
      <c r="L333" s="2">
        <v>30</v>
      </c>
      <c r="M333" s="2">
        <v>15</v>
      </c>
      <c r="N333" s="2">
        <v>10</v>
      </c>
      <c r="O333" s="2">
        <v>25</v>
      </c>
      <c r="P333" s="2">
        <v>15</v>
      </c>
      <c r="Q333" s="2"/>
      <c r="R333" s="2" t="s">
        <v>1686</v>
      </c>
      <c r="S333" s="4">
        <v>44837</v>
      </c>
    </row>
    <row r="334" spans="1:19" ht="12.5" x14ac:dyDescent="0.25">
      <c r="A334" s="14" t="str">
        <f>HYPERLINK("https://gerandofalcoes.my.salesforce.com/0014P00003AN2FaQAL", "0014P00003AN2FaQAL")</f>
        <v>0014P00003AN2FaQAL</v>
      </c>
      <c r="B334" s="2" t="s">
        <v>81</v>
      </c>
      <c r="C334" s="2" t="s">
        <v>423</v>
      </c>
      <c r="D334" s="2" t="s">
        <v>2</v>
      </c>
      <c r="E334" s="2">
        <v>47</v>
      </c>
      <c r="F334" s="2">
        <v>7</v>
      </c>
      <c r="G334" s="2">
        <v>2</v>
      </c>
      <c r="H334" s="2">
        <v>30000</v>
      </c>
      <c r="I334" s="2">
        <v>40</v>
      </c>
      <c r="J334" s="2" t="s">
        <v>1671</v>
      </c>
      <c r="K334" s="2">
        <v>46</v>
      </c>
      <c r="L334" s="2">
        <v>15</v>
      </c>
      <c r="M334" s="2">
        <v>10</v>
      </c>
      <c r="N334" s="2">
        <v>6</v>
      </c>
      <c r="O334" s="2">
        <v>10</v>
      </c>
      <c r="P334" s="2">
        <v>5</v>
      </c>
      <c r="Q334" s="2" t="s">
        <v>82</v>
      </c>
      <c r="R334" s="2" t="s">
        <v>660</v>
      </c>
      <c r="S334" s="4">
        <v>44837</v>
      </c>
    </row>
    <row r="335" spans="1:19" ht="12.5" x14ac:dyDescent="0.25">
      <c r="A335" s="14" t="str">
        <f>HYPERLINK("https://gerandofalcoes.my.salesforce.com/0014P00003AN2FbQAL", "0014P00003AN2FbQAL")</f>
        <v>0014P00003AN2FbQAL</v>
      </c>
      <c r="B335" s="2" t="s">
        <v>2318</v>
      </c>
      <c r="C335" s="2" t="s">
        <v>423</v>
      </c>
      <c r="D335" s="2" t="s">
        <v>2</v>
      </c>
      <c r="E335" s="2">
        <v>28</v>
      </c>
      <c r="F335" s="2">
        <v>0</v>
      </c>
      <c r="G335" s="2">
        <v>0</v>
      </c>
      <c r="H335" s="2">
        <v>20000</v>
      </c>
      <c r="I335" s="2">
        <v>80</v>
      </c>
      <c r="J335" s="2" t="s">
        <v>1779</v>
      </c>
      <c r="K335" s="2">
        <v>30</v>
      </c>
      <c r="L335" s="2">
        <v>15</v>
      </c>
      <c r="M335" s="2">
        <v>0</v>
      </c>
      <c r="N335" s="2">
        <v>0</v>
      </c>
      <c r="O335" s="2">
        <v>5</v>
      </c>
      <c r="P335" s="2">
        <v>10</v>
      </c>
      <c r="Q335" s="2" t="s">
        <v>88</v>
      </c>
      <c r="R335" s="2" t="s">
        <v>88</v>
      </c>
      <c r="S335" s="4">
        <v>44837</v>
      </c>
    </row>
    <row r="336" spans="1:19" ht="12.5" x14ac:dyDescent="0.25">
      <c r="A336" s="14" t="str">
        <f>HYPERLINK("https://gerandofalcoes.my.salesforce.com/0014P00003AN2FcQAL", "0014P00003AN2FcQAL")</f>
        <v>0014P00003AN2FcQAL</v>
      </c>
      <c r="B336" s="2" t="s">
        <v>1681</v>
      </c>
      <c r="C336" s="2" t="s">
        <v>423</v>
      </c>
      <c r="D336" s="2" t="s">
        <v>27</v>
      </c>
      <c r="E336" s="2">
        <v>87</v>
      </c>
      <c r="F336" s="2">
        <v>10</v>
      </c>
      <c r="G336" s="2">
        <v>3</v>
      </c>
      <c r="H336" s="2">
        <v>501150</v>
      </c>
      <c r="I336" s="2">
        <v>171</v>
      </c>
      <c r="J336" s="2" t="s">
        <v>1650</v>
      </c>
      <c r="K336" s="2">
        <v>75</v>
      </c>
      <c r="L336" s="2">
        <v>25</v>
      </c>
      <c r="M336" s="2">
        <v>10</v>
      </c>
      <c r="N336" s="2">
        <v>8</v>
      </c>
      <c r="O336" s="2">
        <v>20</v>
      </c>
      <c r="P336" s="2">
        <v>12</v>
      </c>
      <c r="Q336" s="2" t="s">
        <v>91</v>
      </c>
      <c r="R336" s="2" t="s">
        <v>91</v>
      </c>
      <c r="S336" s="4">
        <v>44837</v>
      </c>
    </row>
    <row r="337" spans="1:19" ht="12.5" x14ac:dyDescent="0.25">
      <c r="A337" s="14" t="str">
        <f>HYPERLINK("https://gerandofalcoes.my.salesforce.com/0014P00003AN2FdQAL", "0014P00003AN2FdQAL")</f>
        <v>0014P00003AN2FdQAL</v>
      </c>
      <c r="B337" s="2" t="s">
        <v>95</v>
      </c>
      <c r="C337" s="2" t="s">
        <v>423</v>
      </c>
      <c r="D337" s="2" t="s">
        <v>2</v>
      </c>
      <c r="E337" s="2">
        <v>7</v>
      </c>
      <c r="F337" s="2">
        <v>0</v>
      </c>
      <c r="G337" s="2">
        <v>0</v>
      </c>
      <c r="H337" s="2">
        <v>0</v>
      </c>
      <c r="I337" s="2">
        <v>300</v>
      </c>
      <c r="J337" s="2" t="s">
        <v>1779</v>
      </c>
      <c r="K337" s="2">
        <v>25</v>
      </c>
      <c r="L337" s="2">
        <v>10</v>
      </c>
      <c r="M337" s="2">
        <v>0</v>
      </c>
      <c r="N337" s="2">
        <v>0</v>
      </c>
      <c r="O337" s="2">
        <v>0</v>
      </c>
      <c r="P337" s="2">
        <v>15</v>
      </c>
      <c r="Q337" s="2" t="s">
        <v>96</v>
      </c>
      <c r="R337" s="2" t="s">
        <v>685</v>
      </c>
      <c r="S337" s="4">
        <v>44837</v>
      </c>
    </row>
    <row r="338" spans="1:19" ht="12.5" x14ac:dyDescent="0.25">
      <c r="A338" s="14" t="str">
        <f>HYPERLINK("https://gerandofalcoes.my.salesforce.com/0014P00003AN2FeQAL", "0014P00003AN2FeQAL")</f>
        <v>0014P00003AN2FeQAL</v>
      </c>
      <c r="B338" s="2" t="s">
        <v>100</v>
      </c>
      <c r="C338" s="2" t="s">
        <v>423</v>
      </c>
      <c r="D338" s="2" t="s">
        <v>2</v>
      </c>
      <c r="E338" s="2">
        <v>25</v>
      </c>
      <c r="F338" s="2">
        <v>10</v>
      </c>
      <c r="G338" s="2">
        <v>3</v>
      </c>
      <c r="H338" s="2">
        <v>17500000</v>
      </c>
      <c r="I338" s="2">
        <v>50</v>
      </c>
      <c r="J338" s="2" t="s">
        <v>1671</v>
      </c>
      <c r="K338" s="2">
        <v>63</v>
      </c>
      <c r="L338" s="2">
        <v>15</v>
      </c>
      <c r="M338" s="2">
        <v>10</v>
      </c>
      <c r="N338" s="2">
        <v>8</v>
      </c>
      <c r="O338" s="2">
        <v>25</v>
      </c>
      <c r="P338" s="2">
        <v>5</v>
      </c>
      <c r="Q338" s="2" t="s">
        <v>101</v>
      </c>
      <c r="R338" s="2" t="s">
        <v>2472</v>
      </c>
      <c r="S338" s="4">
        <v>44837</v>
      </c>
    </row>
    <row r="339" spans="1:19" ht="12.5" x14ac:dyDescent="0.25">
      <c r="A339" s="14" t="str">
        <f>HYPERLINK("https://gerandofalcoes.my.salesforce.com/0014X00002VKCteQAH", "0014X00002VKCteQAH")</f>
        <v>0014X00002VKCteQAH</v>
      </c>
      <c r="B339" s="2" t="s">
        <v>2368</v>
      </c>
      <c r="C339" s="2" t="s">
        <v>423</v>
      </c>
      <c r="D339" s="2" t="s">
        <v>2</v>
      </c>
      <c r="E339" s="2">
        <v>26</v>
      </c>
      <c r="F339" s="2">
        <v>0</v>
      </c>
      <c r="G339" s="2">
        <v>4</v>
      </c>
      <c r="H339" s="2">
        <v>120000</v>
      </c>
      <c r="I339" s="2">
        <v>80</v>
      </c>
      <c r="J339" s="2" t="s">
        <v>1671</v>
      </c>
      <c r="K339" s="2">
        <v>50</v>
      </c>
      <c r="L339" s="2">
        <v>15</v>
      </c>
      <c r="M339" s="2">
        <v>0</v>
      </c>
      <c r="N339" s="2">
        <v>10</v>
      </c>
      <c r="O339" s="2">
        <v>15</v>
      </c>
      <c r="P339" s="2">
        <v>10</v>
      </c>
      <c r="Q339" s="2" t="s">
        <v>2369</v>
      </c>
      <c r="R339" s="2" t="s">
        <v>2369</v>
      </c>
      <c r="S339" s="4">
        <v>44837</v>
      </c>
    </row>
    <row r="340" spans="1:19" ht="12.5" x14ac:dyDescent="0.25">
      <c r="A340" s="14" t="str">
        <f>HYPERLINK("https://gerandofalcoes.my.salesforce.com/0014X00002VKCunQAH", "0014X00002VKCunQAH")</f>
        <v>0014X00002VKCunQAH</v>
      </c>
      <c r="B340" s="2" t="s">
        <v>2054</v>
      </c>
      <c r="C340" s="2" t="s">
        <v>423</v>
      </c>
      <c r="D340" s="2" t="s">
        <v>2</v>
      </c>
      <c r="E340" s="2">
        <v>37</v>
      </c>
      <c r="F340" s="2">
        <v>4</v>
      </c>
      <c r="G340" s="2">
        <v>6</v>
      </c>
      <c r="H340" s="2">
        <v>240</v>
      </c>
      <c r="I340" s="2">
        <v>30</v>
      </c>
      <c r="J340" s="2" t="s">
        <v>1671</v>
      </c>
      <c r="K340" s="2">
        <v>40</v>
      </c>
      <c r="L340" s="2">
        <v>15</v>
      </c>
      <c r="M340" s="2">
        <v>5</v>
      </c>
      <c r="N340" s="2">
        <v>10</v>
      </c>
      <c r="O340" s="2">
        <v>5</v>
      </c>
      <c r="P340" s="2">
        <v>5</v>
      </c>
      <c r="Q340" s="2" t="s">
        <v>2055</v>
      </c>
      <c r="R340" s="2" t="s">
        <v>2056</v>
      </c>
      <c r="S340" s="4">
        <v>44837</v>
      </c>
    </row>
    <row r="341" spans="1:19" ht="12.5" x14ac:dyDescent="0.25">
      <c r="A341" s="14" t="str">
        <f>HYPERLINK("https://gerandofalcoes.my.salesforce.com/0014X00002VKCpOQAX", "0014X00002VKCpOQAX")</f>
        <v>0014X00002VKCpOQAX</v>
      </c>
      <c r="B341" s="2" t="s">
        <v>7187</v>
      </c>
      <c r="C341" s="2" t="s">
        <v>423</v>
      </c>
      <c r="D341" s="2" t="s">
        <v>2</v>
      </c>
      <c r="E341" s="2">
        <v>8</v>
      </c>
      <c r="F341" s="2">
        <v>4</v>
      </c>
      <c r="G341" s="2">
        <v>10</v>
      </c>
      <c r="H341" s="2">
        <v>0</v>
      </c>
      <c r="I341" s="2">
        <v>100</v>
      </c>
      <c r="J341" s="2" t="s">
        <v>1779</v>
      </c>
      <c r="K341" s="2">
        <v>35</v>
      </c>
      <c r="L341" s="2">
        <v>10</v>
      </c>
      <c r="M341" s="2">
        <v>5</v>
      </c>
      <c r="N341" s="2">
        <v>10</v>
      </c>
      <c r="O341" s="2">
        <v>0</v>
      </c>
      <c r="P341" s="2">
        <v>10</v>
      </c>
      <c r="Q341" s="2"/>
      <c r="R341" s="2" t="s">
        <v>2906</v>
      </c>
      <c r="S341" s="4">
        <v>44837</v>
      </c>
    </row>
    <row r="342" spans="1:19" ht="12.5" x14ac:dyDescent="0.25">
      <c r="A342" s="14" t="str">
        <f>HYPERLINK("https://gerandofalcoes.my.salesforce.com/0014X00002VKCv1QAH", "0014X00002VKCv1QAH")</f>
        <v>0014X00002VKCv1QAH</v>
      </c>
      <c r="B342" s="2" t="s">
        <v>7209</v>
      </c>
      <c r="C342" s="2" t="s">
        <v>423</v>
      </c>
      <c r="D342" s="2" t="s">
        <v>2</v>
      </c>
      <c r="E342" s="2">
        <v>29</v>
      </c>
      <c r="F342" s="2">
        <v>0</v>
      </c>
      <c r="G342" s="2">
        <v>2</v>
      </c>
      <c r="H342" s="2">
        <v>10000</v>
      </c>
      <c r="I342" s="2">
        <v>20</v>
      </c>
      <c r="J342" s="2" t="s">
        <v>1779</v>
      </c>
      <c r="K342" s="2">
        <v>31</v>
      </c>
      <c r="L342" s="2">
        <v>15</v>
      </c>
      <c r="M342" s="2">
        <v>0</v>
      </c>
      <c r="N342" s="2">
        <v>6</v>
      </c>
      <c r="O342" s="2">
        <v>5</v>
      </c>
      <c r="P342" s="2">
        <v>5</v>
      </c>
      <c r="Q342" s="2" t="s">
        <v>2308</v>
      </c>
      <c r="R342" s="2" t="s">
        <v>2308</v>
      </c>
      <c r="S342" s="4">
        <v>44837</v>
      </c>
    </row>
    <row r="343" spans="1:19" ht="12.5" x14ac:dyDescent="0.25">
      <c r="A343" s="14" t="str">
        <f>HYPERLINK("https://gerandofalcoes.my.salesforce.com/0014X00002VKCrtQAH", "0014X00002VKCrtQAH")</f>
        <v>0014X00002VKCrtQAH</v>
      </c>
      <c r="B343" s="2" t="s">
        <v>2579</v>
      </c>
      <c r="C343" s="2" t="s">
        <v>423</v>
      </c>
      <c r="D343" s="2" t="s">
        <v>2</v>
      </c>
      <c r="E343" s="2">
        <v>34</v>
      </c>
      <c r="F343" s="2">
        <v>0</v>
      </c>
      <c r="G343" s="2">
        <v>6</v>
      </c>
      <c r="H343" s="2">
        <v>37500</v>
      </c>
      <c r="I343" s="2">
        <v>50</v>
      </c>
      <c r="J343" s="2" t="s">
        <v>1671</v>
      </c>
      <c r="K343" s="2">
        <v>40</v>
      </c>
      <c r="L343" s="2">
        <v>15</v>
      </c>
      <c r="M343" s="2">
        <v>0</v>
      </c>
      <c r="N343" s="2">
        <v>10</v>
      </c>
      <c r="O343" s="2">
        <v>10</v>
      </c>
      <c r="P343" s="2">
        <v>5</v>
      </c>
      <c r="Q343" s="2" t="s">
        <v>2580</v>
      </c>
      <c r="R343" s="2" t="s">
        <v>2581</v>
      </c>
      <c r="S343" s="4">
        <v>44837</v>
      </c>
    </row>
    <row r="344" spans="1:19" ht="12.5" x14ac:dyDescent="0.25">
      <c r="A344" s="14" t="str">
        <f>HYPERLINK("https://gerandofalcoes.my.salesforce.com/0014X00002VKCrxQAH", "0014X00002VKCrxQAH")</f>
        <v>0014X00002VKCrxQAH</v>
      </c>
      <c r="B344" s="2" t="s">
        <v>2970</v>
      </c>
      <c r="C344" s="2" t="s">
        <v>423</v>
      </c>
      <c r="D344" s="2" t="s">
        <v>2</v>
      </c>
      <c r="E344" s="2">
        <v>18</v>
      </c>
      <c r="F344" s="2">
        <v>0</v>
      </c>
      <c r="G344" s="2">
        <v>3</v>
      </c>
      <c r="H344" s="2">
        <v>2000</v>
      </c>
      <c r="I344" s="2">
        <v>110</v>
      </c>
      <c r="J344" s="2" t="s">
        <v>1779</v>
      </c>
      <c r="K344" s="2">
        <v>33</v>
      </c>
      <c r="L344" s="2">
        <v>10</v>
      </c>
      <c r="M344" s="2">
        <v>0</v>
      </c>
      <c r="N344" s="2">
        <v>8</v>
      </c>
      <c r="O344" s="2">
        <v>5</v>
      </c>
      <c r="P344" s="2">
        <v>10</v>
      </c>
      <c r="Q344" s="2" t="s">
        <v>2971</v>
      </c>
      <c r="R344" s="2" t="s">
        <v>2972</v>
      </c>
      <c r="S344" s="4">
        <v>44837</v>
      </c>
    </row>
    <row r="345" spans="1:19" ht="12.5" x14ac:dyDescent="0.25">
      <c r="A345" s="14" t="str">
        <f>HYPERLINK("https://gerandofalcoes.my.salesforce.com/0014X00002VKCv3QAH", "0014X00002VKCv3QAH")</f>
        <v>0014X00002VKCv3QAH</v>
      </c>
      <c r="B345" s="2" t="s">
        <v>2141</v>
      </c>
      <c r="C345" s="2" t="s">
        <v>423</v>
      </c>
      <c r="D345" s="2" t="s">
        <v>2</v>
      </c>
      <c r="E345" s="2">
        <v>34</v>
      </c>
      <c r="F345" s="2">
        <v>0</v>
      </c>
      <c r="G345" s="2">
        <v>3</v>
      </c>
      <c r="H345" s="2">
        <v>12000</v>
      </c>
      <c r="I345" s="2">
        <v>20</v>
      </c>
      <c r="J345" s="2" t="s">
        <v>1779</v>
      </c>
      <c r="K345" s="2">
        <v>33</v>
      </c>
      <c r="L345" s="2">
        <v>15</v>
      </c>
      <c r="M345" s="2">
        <v>0</v>
      </c>
      <c r="N345" s="2">
        <v>8</v>
      </c>
      <c r="O345" s="2">
        <v>5</v>
      </c>
      <c r="P345" s="2">
        <v>5</v>
      </c>
      <c r="Q345" s="2" t="s">
        <v>2142</v>
      </c>
      <c r="R345" s="2" t="s">
        <v>2143</v>
      </c>
      <c r="S345" s="4">
        <v>44837</v>
      </c>
    </row>
    <row r="346" spans="1:19" ht="12.5" x14ac:dyDescent="0.25">
      <c r="A346" s="14" t="str">
        <f>HYPERLINK("https://gerandofalcoes.my.salesforce.com/0014P00003Ck8NjQAJ", "0014P00003Ck8NjQAJ")</f>
        <v>0014P00003Ck8NjQAJ</v>
      </c>
      <c r="B346" s="2" t="s">
        <v>1734</v>
      </c>
      <c r="C346" s="2" t="s">
        <v>423</v>
      </c>
      <c r="D346" s="2" t="s">
        <v>2</v>
      </c>
      <c r="E346" s="2">
        <v>32</v>
      </c>
      <c r="F346" s="2">
        <v>30</v>
      </c>
      <c r="G346" s="2">
        <v>8</v>
      </c>
      <c r="H346" s="2">
        <v>0</v>
      </c>
      <c r="I346" s="2">
        <v>200</v>
      </c>
      <c r="J346" s="2" t="s">
        <v>1671</v>
      </c>
      <c r="K346" s="2">
        <v>49</v>
      </c>
      <c r="L346" s="2">
        <v>15</v>
      </c>
      <c r="M346" s="2">
        <v>12</v>
      </c>
      <c r="N346" s="2">
        <v>10</v>
      </c>
      <c r="O346" s="2">
        <v>0</v>
      </c>
      <c r="P346" s="2">
        <v>12</v>
      </c>
      <c r="Q346" s="2"/>
      <c r="R346" s="2" t="s">
        <v>1735</v>
      </c>
      <c r="S346" s="4">
        <v>44837</v>
      </c>
    </row>
    <row r="347" spans="1:19" ht="12.5" x14ac:dyDescent="0.25">
      <c r="A347" s="14" t="str">
        <f>HYPERLINK("https://gerandofalcoes.my.salesforce.com/0014P00003I7WH2QAN", "0014P00003I7WH2QAN")</f>
        <v>0014P00003I7WH2QAN</v>
      </c>
      <c r="B347" s="2" t="s">
        <v>1748</v>
      </c>
      <c r="C347" s="2" t="s">
        <v>423</v>
      </c>
      <c r="D347" s="2" t="s">
        <v>2</v>
      </c>
      <c r="E347" s="2">
        <v>75</v>
      </c>
      <c r="F347" s="2">
        <v>5</v>
      </c>
      <c r="G347" s="2">
        <v>3</v>
      </c>
      <c r="H347" s="2">
        <v>300000</v>
      </c>
      <c r="I347" s="2">
        <v>85</v>
      </c>
      <c r="J347" s="2" t="s">
        <v>1650</v>
      </c>
      <c r="K347" s="2">
        <v>68</v>
      </c>
      <c r="L347" s="2">
        <v>25</v>
      </c>
      <c r="M347" s="2">
        <v>5</v>
      </c>
      <c r="N347" s="2">
        <v>8</v>
      </c>
      <c r="O347" s="2">
        <v>20</v>
      </c>
      <c r="P347" s="2">
        <v>10</v>
      </c>
      <c r="Q347" s="2" t="s">
        <v>1749</v>
      </c>
      <c r="R347" s="2" t="s">
        <v>906</v>
      </c>
      <c r="S347" s="4">
        <v>44837</v>
      </c>
    </row>
    <row r="348" spans="1:19" ht="12.5" x14ac:dyDescent="0.25">
      <c r="A348" s="14" t="str">
        <f>HYPERLINK("https://gerandofalcoes.my.salesforce.com/0014P00003AN2FfQAL", "0014P00003AN2FfQAL")</f>
        <v>0014P00003AN2FfQAL</v>
      </c>
      <c r="B348" s="2" t="s">
        <v>105</v>
      </c>
      <c r="C348" s="2" t="s">
        <v>423</v>
      </c>
      <c r="D348" s="2" t="s">
        <v>2</v>
      </c>
      <c r="E348" s="2">
        <v>20</v>
      </c>
      <c r="F348" s="2">
        <v>0</v>
      </c>
      <c r="G348" s="2">
        <v>1</v>
      </c>
      <c r="H348" s="2">
        <v>10000</v>
      </c>
      <c r="I348" s="2">
        <v>190</v>
      </c>
      <c r="J348" s="2" t="s">
        <v>1779</v>
      </c>
      <c r="K348" s="2">
        <v>31</v>
      </c>
      <c r="L348" s="2">
        <v>10</v>
      </c>
      <c r="M348" s="2">
        <v>0</v>
      </c>
      <c r="N348" s="2">
        <v>4</v>
      </c>
      <c r="O348" s="2">
        <v>5</v>
      </c>
      <c r="P348" s="2">
        <v>12</v>
      </c>
      <c r="Q348" s="2" t="s">
        <v>106</v>
      </c>
      <c r="R348" s="2" t="s">
        <v>7161</v>
      </c>
      <c r="S348" s="4">
        <v>44837</v>
      </c>
    </row>
    <row r="349" spans="1:19" ht="12.5" x14ac:dyDescent="0.25">
      <c r="A349" s="14" t="str">
        <f>HYPERLINK("https://gerandofalcoes.my.salesforce.com/0014P00003AN2FgQAL", "0014P00003AN2FgQAL")</f>
        <v>0014P00003AN2FgQAL</v>
      </c>
      <c r="B349" s="2" t="s">
        <v>109</v>
      </c>
      <c r="C349" s="2" t="s">
        <v>1800</v>
      </c>
      <c r="D349" s="2" t="s">
        <v>2</v>
      </c>
      <c r="E349" s="2">
        <v>36</v>
      </c>
      <c r="F349" s="2">
        <v>2</v>
      </c>
      <c r="G349" s="2">
        <v>4</v>
      </c>
      <c r="H349" s="2">
        <v>200000</v>
      </c>
      <c r="I349" s="2">
        <v>328</v>
      </c>
      <c r="J349" s="2" t="s">
        <v>1671</v>
      </c>
      <c r="K349" s="2">
        <v>60</v>
      </c>
      <c r="L349" s="2">
        <v>15</v>
      </c>
      <c r="M349" s="2">
        <v>5</v>
      </c>
      <c r="N349" s="2">
        <v>10</v>
      </c>
      <c r="O349" s="2">
        <v>15</v>
      </c>
      <c r="P349" s="2">
        <v>15</v>
      </c>
      <c r="Q349" s="2" t="s">
        <v>110</v>
      </c>
      <c r="R349" s="2" t="s">
        <v>110</v>
      </c>
      <c r="S349" s="4">
        <v>44837</v>
      </c>
    </row>
    <row r="350" spans="1:19" ht="12.5" x14ac:dyDescent="0.25">
      <c r="A350" s="14" t="str">
        <f>HYPERLINK("https://gerandofalcoes.my.salesforce.com/0014P00003AN2FhQAL", "0014P00003AN2FhQAL")</f>
        <v>0014P00003AN2FhQAL</v>
      </c>
      <c r="B350" s="2" t="s">
        <v>1889</v>
      </c>
      <c r="C350" s="2" t="s">
        <v>423</v>
      </c>
      <c r="D350" s="2" t="s">
        <v>2</v>
      </c>
      <c r="E350" s="2">
        <v>55</v>
      </c>
      <c r="F350" s="2">
        <v>3</v>
      </c>
      <c r="G350" s="2">
        <v>3</v>
      </c>
      <c r="H350" s="2">
        <v>22000</v>
      </c>
      <c r="I350" s="2">
        <v>200</v>
      </c>
      <c r="J350" s="2" t="s">
        <v>1671</v>
      </c>
      <c r="K350" s="2">
        <v>50</v>
      </c>
      <c r="L350" s="2">
        <v>20</v>
      </c>
      <c r="M350" s="2">
        <v>5</v>
      </c>
      <c r="N350" s="2">
        <v>8</v>
      </c>
      <c r="O350" s="2">
        <v>5</v>
      </c>
      <c r="P350" s="2">
        <v>12</v>
      </c>
      <c r="Q350" s="2"/>
      <c r="R350" s="2" t="s">
        <v>715</v>
      </c>
      <c r="S350" s="4">
        <v>44837</v>
      </c>
    </row>
    <row r="351" spans="1:19" ht="12.5" x14ac:dyDescent="0.25">
      <c r="A351" s="14" t="str">
        <f>HYPERLINK("https://gerandofalcoes.my.salesforce.com/0014P00003AN2FiQAL", "0014P00003AN2FiQAL")</f>
        <v>0014P00003AN2FiQAL</v>
      </c>
      <c r="B351" s="2" t="s">
        <v>2541</v>
      </c>
      <c r="C351" s="2" t="s">
        <v>423</v>
      </c>
      <c r="D351" s="2" t="s">
        <v>2</v>
      </c>
      <c r="E351" s="2">
        <v>40</v>
      </c>
      <c r="F351" s="2">
        <v>2</v>
      </c>
      <c r="G351" s="2">
        <v>2</v>
      </c>
      <c r="H351" s="2">
        <v>270000</v>
      </c>
      <c r="I351" s="2">
        <v>230</v>
      </c>
      <c r="J351" s="2" t="s">
        <v>1671</v>
      </c>
      <c r="K351" s="2">
        <v>53</v>
      </c>
      <c r="L351" s="2">
        <v>15</v>
      </c>
      <c r="M351" s="2">
        <v>5</v>
      </c>
      <c r="N351" s="2">
        <v>6</v>
      </c>
      <c r="O351" s="2">
        <v>15</v>
      </c>
      <c r="P351" s="2">
        <v>12</v>
      </c>
      <c r="Q351" s="2"/>
      <c r="R351" s="2" t="s">
        <v>2542</v>
      </c>
      <c r="S351" s="4">
        <v>44837</v>
      </c>
    </row>
    <row r="352" spans="1:19" ht="12.5" x14ac:dyDescent="0.25">
      <c r="A352" s="14" t="str">
        <f>HYPERLINK("https://gerandofalcoes.my.salesforce.com/0014P00003AN2FjQAL", "0014P00003AN2FjQAL")</f>
        <v>0014P00003AN2FjQAL</v>
      </c>
      <c r="B352" s="2" t="s">
        <v>1679</v>
      </c>
      <c r="C352" s="2" t="s">
        <v>423</v>
      </c>
      <c r="D352" s="2" t="s">
        <v>27</v>
      </c>
      <c r="E352" s="2">
        <v>89</v>
      </c>
      <c r="F352" s="2">
        <v>5</v>
      </c>
      <c r="G352" s="2">
        <v>4</v>
      </c>
      <c r="H352" s="2">
        <v>49628.39</v>
      </c>
      <c r="I352" s="2">
        <v>79</v>
      </c>
      <c r="J352" s="2" t="s">
        <v>1671</v>
      </c>
      <c r="K352" s="2">
        <v>55</v>
      </c>
      <c r="L352" s="2">
        <v>25</v>
      </c>
      <c r="M352" s="2">
        <v>5</v>
      </c>
      <c r="N352" s="2">
        <v>10</v>
      </c>
      <c r="O352" s="2">
        <v>10</v>
      </c>
      <c r="P352" s="2">
        <v>5</v>
      </c>
      <c r="Q352" s="2" t="s">
        <v>63</v>
      </c>
      <c r="R352" s="2" t="s">
        <v>1680</v>
      </c>
      <c r="S352" s="4">
        <v>44837</v>
      </c>
    </row>
    <row r="353" spans="1:19" ht="12.5" x14ac:dyDescent="0.25">
      <c r="A353" s="14" t="str">
        <f>HYPERLINK("https://gerandofalcoes.my.salesforce.com/0014P00003AN2FkQAL", "0014P00003AN2FkQAL")</f>
        <v>0014P00003AN2FkQAL</v>
      </c>
      <c r="B353" s="2" t="s">
        <v>1753</v>
      </c>
      <c r="C353" s="2" t="s">
        <v>423</v>
      </c>
      <c r="D353" s="2" t="s">
        <v>27</v>
      </c>
      <c r="E353" s="2">
        <v>51</v>
      </c>
      <c r="F353" s="2">
        <v>0</v>
      </c>
      <c r="G353" s="2">
        <v>4</v>
      </c>
      <c r="H353" s="2">
        <v>45000</v>
      </c>
      <c r="I353" s="2">
        <v>700</v>
      </c>
      <c r="J353" s="2" t="s">
        <v>1671</v>
      </c>
      <c r="K353" s="2">
        <v>60</v>
      </c>
      <c r="L353" s="2">
        <v>20</v>
      </c>
      <c r="M353" s="2">
        <v>0</v>
      </c>
      <c r="N353" s="2">
        <v>10</v>
      </c>
      <c r="O353" s="2">
        <v>10</v>
      </c>
      <c r="P353" s="2">
        <v>20</v>
      </c>
      <c r="Q353" s="2" t="s">
        <v>1754</v>
      </c>
      <c r="R353" s="2" t="s">
        <v>738</v>
      </c>
      <c r="S353" s="4">
        <v>44837</v>
      </c>
    </row>
    <row r="354" spans="1:19" ht="12.5" x14ac:dyDescent="0.25">
      <c r="A354" s="14" t="str">
        <f>HYPERLINK("https://gerandofalcoes.my.salesforce.com/0014P00003AN2FlQAL", "0014P00003AN2FlQAL")</f>
        <v>0014P00003AN2FlQAL</v>
      </c>
      <c r="B354" s="2" t="s">
        <v>1689</v>
      </c>
      <c r="C354" s="2" t="s">
        <v>423</v>
      </c>
      <c r="D354" s="2" t="s">
        <v>27</v>
      </c>
      <c r="E354" s="2">
        <v>85</v>
      </c>
      <c r="F354" s="2">
        <v>9</v>
      </c>
      <c r="G354" s="2">
        <v>5</v>
      </c>
      <c r="H354" s="2">
        <v>128126.51</v>
      </c>
      <c r="I354" s="2">
        <v>196</v>
      </c>
      <c r="J354" s="2" t="s">
        <v>1650</v>
      </c>
      <c r="K354" s="2">
        <v>72</v>
      </c>
      <c r="L354" s="2">
        <v>25</v>
      </c>
      <c r="M354" s="2">
        <v>10</v>
      </c>
      <c r="N354" s="2">
        <v>10</v>
      </c>
      <c r="O354" s="2">
        <v>15</v>
      </c>
      <c r="P354" s="2">
        <v>12</v>
      </c>
      <c r="Q354" s="2" t="s">
        <v>126</v>
      </c>
      <c r="R354" s="2" t="s">
        <v>1690</v>
      </c>
      <c r="S354" s="4">
        <v>44837</v>
      </c>
    </row>
    <row r="355" spans="1:19" ht="12.5" x14ac:dyDescent="0.25">
      <c r="A355" s="14" t="str">
        <f>HYPERLINK("https://gerandofalcoes.my.salesforce.com/0014P00003AN2FmQAL", "0014P00003AN2FmQAL")</f>
        <v>0014P00003AN2FmQAL</v>
      </c>
      <c r="B355" s="2" t="s">
        <v>1683</v>
      </c>
      <c r="C355" s="2" t="s">
        <v>1684</v>
      </c>
      <c r="D355" s="2" t="s">
        <v>27</v>
      </c>
      <c r="E355" s="2">
        <v>86</v>
      </c>
      <c r="F355" s="2">
        <v>30</v>
      </c>
      <c r="G355" s="2">
        <v>5</v>
      </c>
      <c r="H355" s="2">
        <v>969799.69</v>
      </c>
      <c r="I355" s="2">
        <v>111</v>
      </c>
      <c r="J355" s="2" t="s">
        <v>1654</v>
      </c>
      <c r="K355" s="2">
        <v>82</v>
      </c>
      <c r="L355" s="2">
        <v>25</v>
      </c>
      <c r="M355" s="2">
        <v>12</v>
      </c>
      <c r="N355" s="2">
        <v>10</v>
      </c>
      <c r="O355" s="2">
        <v>25</v>
      </c>
      <c r="P355" s="2">
        <v>10</v>
      </c>
      <c r="Q355" s="2" t="s">
        <v>127</v>
      </c>
      <c r="R355" s="2" t="s">
        <v>127</v>
      </c>
      <c r="S355" s="4">
        <v>44837</v>
      </c>
    </row>
    <row r="356" spans="1:19" ht="12.5" x14ac:dyDescent="0.25">
      <c r="A356" s="14" t="str">
        <f>HYPERLINK("https://gerandofalcoes.my.salesforce.com/0014P00003AN2FnQAL", "0014P00003AN2FnQAL")</f>
        <v>0014P00003AN2FnQAL</v>
      </c>
      <c r="B356" s="2" t="s">
        <v>128</v>
      </c>
      <c r="C356" s="2" t="s">
        <v>423</v>
      </c>
      <c r="D356" s="2" t="s">
        <v>27</v>
      </c>
      <c r="E356" s="2">
        <v>90</v>
      </c>
      <c r="F356" s="2">
        <v>22</v>
      </c>
      <c r="G356" s="2">
        <v>3</v>
      </c>
      <c r="H356" s="2">
        <v>850231.83</v>
      </c>
      <c r="I356" s="2">
        <v>323</v>
      </c>
      <c r="J356" s="2" t="s">
        <v>1654</v>
      </c>
      <c r="K356" s="2">
        <v>90</v>
      </c>
      <c r="L356" s="2">
        <v>30</v>
      </c>
      <c r="M356" s="2">
        <v>12</v>
      </c>
      <c r="N356" s="2">
        <v>8</v>
      </c>
      <c r="O356" s="2">
        <v>25</v>
      </c>
      <c r="P356" s="2">
        <v>15</v>
      </c>
      <c r="Q356" s="2" t="s">
        <v>129</v>
      </c>
      <c r="R356" s="2" t="s">
        <v>129</v>
      </c>
      <c r="S356" s="4">
        <v>44837</v>
      </c>
    </row>
    <row r="357" spans="1:19" ht="12.5" x14ac:dyDescent="0.25">
      <c r="A357" s="14" t="str">
        <f>HYPERLINK("https://gerandofalcoes.my.salesforce.com/0014P00003SGWPvQAP", "0014P00003SGWPvQAP")</f>
        <v>0014P00003SGWPvQAP</v>
      </c>
      <c r="B357" s="2" t="s">
        <v>2499</v>
      </c>
      <c r="C357" s="2" t="s">
        <v>423</v>
      </c>
      <c r="D357" s="2" t="s">
        <v>2</v>
      </c>
      <c r="E357" s="2">
        <v>25</v>
      </c>
      <c r="F357" s="2">
        <v>0</v>
      </c>
      <c r="G357" s="2">
        <v>2</v>
      </c>
      <c r="H357" s="2">
        <v>10000</v>
      </c>
      <c r="I357" s="2">
        <v>300</v>
      </c>
      <c r="J357" s="2" t="s">
        <v>1671</v>
      </c>
      <c r="K357" s="2">
        <v>41</v>
      </c>
      <c r="L357" s="2">
        <v>15</v>
      </c>
      <c r="M357" s="2">
        <v>0</v>
      </c>
      <c r="N357" s="2">
        <v>6</v>
      </c>
      <c r="O357" s="2">
        <v>5</v>
      </c>
      <c r="P357" s="2">
        <v>15</v>
      </c>
      <c r="Q357" s="2" t="s">
        <v>189</v>
      </c>
      <c r="R357" s="2" t="s">
        <v>1088</v>
      </c>
      <c r="S357" s="4">
        <v>44837</v>
      </c>
    </row>
    <row r="358" spans="1:19" ht="12.5" x14ac:dyDescent="0.25">
      <c r="A358" s="14" t="str">
        <f>HYPERLINK("https://gerandofalcoes.my.salesforce.com/0014P00003SGWPwQAP", "0014P00003SGWPwQAP")</f>
        <v>0014P00003SGWPwQAP</v>
      </c>
      <c r="B358" s="2" t="s">
        <v>2999</v>
      </c>
      <c r="C358" s="2" t="s">
        <v>1684</v>
      </c>
      <c r="D358" s="2" t="s">
        <v>2</v>
      </c>
      <c r="E358" s="2"/>
      <c r="F358" s="2">
        <v>0</v>
      </c>
      <c r="G358" s="2">
        <v>1</v>
      </c>
      <c r="H358" s="2">
        <v>0</v>
      </c>
      <c r="I358" s="2">
        <v>0</v>
      </c>
      <c r="J358" s="2" t="s">
        <v>1779</v>
      </c>
      <c r="K358" s="2">
        <v>4</v>
      </c>
      <c r="L358" s="2">
        <v>0</v>
      </c>
      <c r="M358" s="2">
        <v>0</v>
      </c>
      <c r="N358" s="2">
        <v>4</v>
      </c>
      <c r="O358" s="2">
        <v>0</v>
      </c>
      <c r="P358" s="2">
        <v>0</v>
      </c>
      <c r="Q358" s="2" t="s">
        <v>193</v>
      </c>
      <c r="R358" s="2" t="s">
        <v>1095</v>
      </c>
      <c r="S358" s="4">
        <v>44837</v>
      </c>
    </row>
    <row r="359" spans="1:19" ht="12.5" x14ac:dyDescent="0.25">
      <c r="A359" s="14" t="str">
        <f>HYPERLINK("https://gerandofalcoes.my.salesforce.com/0014P00003SGWPxQAP", "0014P00003SGWPxQAP")</f>
        <v>0014P00003SGWPxQAP</v>
      </c>
      <c r="B359" s="2" t="s">
        <v>1739</v>
      </c>
      <c r="C359" s="2" t="s">
        <v>423</v>
      </c>
      <c r="D359" s="2" t="s">
        <v>2</v>
      </c>
      <c r="E359" s="2">
        <v>41</v>
      </c>
      <c r="F359" s="2">
        <v>4</v>
      </c>
      <c r="G359" s="2">
        <v>4</v>
      </c>
      <c r="H359" s="2">
        <v>120000</v>
      </c>
      <c r="I359" s="2">
        <v>74</v>
      </c>
      <c r="J359" s="2" t="s">
        <v>1671</v>
      </c>
      <c r="K359" s="2">
        <v>50</v>
      </c>
      <c r="L359" s="2">
        <v>15</v>
      </c>
      <c r="M359" s="2">
        <v>5</v>
      </c>
      <c r="N359" s="2">
        <v>10</v>
      </c>
      <c r="O359" s="2">
        <v>15</v>
      </c>
      <c r="P359" s="2">
        <v>5</v>
      </c>
      <c r="Q359" s="2" t="s">
        <v>1106</v>
      </c>
      <c r="R359" s="2" t="s">
        <v>1106</v>
      </c>
      <c r="S359" s="4">
        <v>44837</v>
      </c>
    </row>
    <row r="360" spans="1:19" ht="12.5" x14ac:dyDescent="0.25">
      <c r="A360" s="14" t="str">
        <f>HYPERLINK("https://gerandofalcoes.my.salesforce.com/0014P00003SGWPzQAP", "0014P00003SGWPzQAP")</f>
        <v>0014P00003SGWPzQAP</v>
      </c>
      <c r="B360" s="2" t="s">
        <v>1708</v>
      </c>
      <c r="C360" s="2" t="s">
        <v>423</v>
      </c>
      <c r="D360" s="2" t="s">
        <v>2</v>
      </c>
      <c r="E360" s="2">
        <v>94</v>
      </c>
      <c r="F360" s="2">
        <v>10</v>
      </c>
      <c r="G360" s="2">
        <v>3</v>
      </c>
      <c r="H360" s="2">
        <v>627195</v>
      </c>
      <c r="I360" s="2">
        <v>726</v>
      </c>
      <c r="J360" s="2" t="s">
        <v>1654</v>
      </c>
      <c r="K360" s="2">
        <v>88</v>
      </c>
      <c r="L360" s="2">
        <v>30</v>
      </c>
      <c r="M360" s="2">
        <v>10</v>
      </c>
      <c r="N360" s="2">
        <v>8</v>
      </c>
      <c r="O360" s="2">
        <v>20</v>
      </c>
      <c r="P360" s="2">
        <v>20</v>
      </c>
      <c r="Q360" s="2" t="s">
        <v>1709</v>
      </c>
      <c r="R360" s="2" t="s">
        <v>199</v>
      </c>
      <c r="S360" s="4">
        <v>44837</v>
      </c>
    </row>
    <row r="361" spans="1:19" ht="12.5" x14ac:dyDescent="0.25">
      <c r="A361" s="14" t="str">
        <f>HYPERLINK("https://gerandofalcoes.my.salesforce.com/0014P00003SGWQ0QAP", "0014P00003SGWQ0QAP")</f>
        <v>0014P00003SGWQ0QAP</v>
      </c>
      <c r="B361" s="2" t="s">
        <v>201</v>
      </c>
      <c r="C361" s="2" t="s">
        <v>423</v>
      </c>
      <c r="D361" s="2" t="s">
        <v>2</v>
      </c>
      <c r="E361" s="2">
        <v>39</v>
      </c>
      <c r="F361" s="2">
        <v>6</v>
      </c>
      <c r="G361" s="2">
        <v>2</v>
      </c>
      <c r="H361" s="2">
        <v>79000</v>
      </c>
      <c r="I361" s="2">
        <v>100</v>
      </c>
      <c r="J361" s="2" t="s">
        <v>1671</v>
      </c>
      <c r="K361" s="2">
        <v>51</v>
      </c>
      <c r="L361" s="2">
        <v>15</v>
      </c>
      <c r="M361" s="2">
        <v>10</v>
      </c>
      <c r="N361" s="2">
        <v>6</v>
      </c>
      <c r="O361" s="2">
        <v>10</v>
      </c>
      <c r="P361" s="2">
        <v>10</v>
      </c>
      <c r="Q361" s="2" t="s">
        <v>202</v>
      </c>
      <c r="R361" s="2" t="s">
        <v>1077</v>
      </c>
      <c r="S361" s="4">
        <v>44837</v>
      </c>
    </row>
    <row r="362" spans="1:19" ht="12.5" x14ac:dyDescent="0.25">
      <c r="A362" s="14" t="str">
        <f>HYPERLINK("https://gerandofalcoes.my.salesforce.com/0014P00003SGWQ1QAP", "0014P00003SGWQ1QAP")</f>
        <v>0014P00003SGWQ1QAP</v>
      </c>
      <c r="B362" s="2" t="s">
        <v>205</v>
      </c>
      <c r="C362" s="2" t="s">
        <v>423</v>
      </c>
      <c r="D362" s="2" t="s">
        <v>2</v>
      </c>
      <c r="E362" s="2">
        <v>30</v>
      </c>
      <c r="F362" s="2">
        <v>6</v>
      </c>
      <c r="G362" s="2">
        <v>2</v>
      </c>
      <c r="H362" s="2">
        <v>270000</v>
      </c>
      <c r="I362" s="2">
        <v>145</v>
      </c>
      <c r="J362" s="2" t="s">
        <v>1671</v>
      </c>
      <c r="K362" s="2">
        <v>56</v>
      </c>
      <c r="L362" s="2">
        <v>15</v>
      </c>
      <c r="M362" s="2">
        <v>10</v>
      </c>
      <c r="N362" s="2">
        <v>6</v>
      </c>
      <c r="O362" s="2">
        <v>15</v>
      </c>
      <c r="P362" s="2">
        <v>10</v>
      </c>
      <c r="Q362" s="2" t="s">
        <v>206</v>
      </c>
      <c r="R362" s="2" t="s">
        <v>2090</v>
      </c>
      <c r="S362" s="4">
        <v>44837</v>
      </c>
    </row>
    <row r="363" spans="1:19" ht="12.5" x14ac:dyDescent="0.25">
      <c r="A363" s="14" t="str">
        <f>HYPERLINK("https://gerandofalcoes.my.salesforce.com/0014P00003SGWQ2QAP", "0014P00003SGWQ2QAP")</f>
        <v>0014P00003SGWQ2QAP</v>
      </c>
      <c r="B363" s="2" t="s">
        <v>194</v>
      </c>
      <c r="C363" s="2" t="s">
        <v>423</v>
      </c>
      <c r="D363" s="2" t="s">
        <v>2</v>
      </c>
      <c r="E363" s="2"/>
      <c r="F363" s="2">
        <v>0</v>
      </c>
      <c r="G363" s="2">
        <v>3</v>
      </c>
      <c r="H363" s="2">
        <v>500</v>
      </c>
      <c r="I363" s="2">
        <v>45</v>
      </c>
      <c r="J363" s="2" t="s">
        <v>1779</v>
      </c>
      <c r="K363" s="2">
        <v>18</v>
      </c>
      <c r="L363" s="2">
        <v>0</v>
      </c>
      <c r="M363" s="2">
        <v>0</v>
      </c>
      <c r="N363" s="2">
        <v>8</v>
      </c>
      <c r="O363" s="2">
        <v>5</v>
      </c>
      <c r="P363" s="2">
        <v>5</v>
      </c>
      <c r="Q363" s="2" t="s">
        <v>195</v>
      </c>
      <c r="R363" s="2" t="s">
        <v>1128</v>
      </c>
      <c r="S363" s="4">
        <v>44837</v>
      </c>
    </row>
    <row r="364" spans="1:19" ht="12.5" x14ac:dyDescent="0.25">
      <c r="A364" s="14" t="str">
        <f>HYPERLINK("https://gerandofalcoes.my.salesforce.com/0014P00003SGWQ3QAP", "0014P00003SGWQ3QAP")</f>
        <v>0014P00003SGWQ3QAP</v>
      </c>
      <c r="B364" s="2" t="s">
        <v>210</v>
      </c>
      <c r="C364" s="2" t="s">
        <v>423</v>
      </c>
      <c r="D364" s="2" t="s">
        <v>2</v>
      </c>
      <c r="E364" s="2">
        <v>51</v>
      </c>
      <c r="F364" s="2">
        <v>34</v>
      </c>
      <c r="G364" s="2">
        <v>4</v>
      </c>
      <c r="H364" s="2">
        <v>140000</v>
      </c>
      <c r="I364" s="2">
        <v>0</v>
      </c>
      <c r="J364" s="2" t="s">
        <v>1671</v>
      </c>
      <c r="K364" s="2">
        <v>60</v>
      </c>
      <c r="L364" s="2">
        <v>20</v>
      </c>
      <c r="M364" s="2">
        <v>15</v>
      </c>
      <c r="N364" s="2">
        <v>10</v>
      </c>
      <c r="O364" s="2">
        <v>15</v>
      </c>
      <c r="P364" s="2">
        <v>0</v>
      </c>
      <c r="Q364" s="2" t="s">
        <v>211</v>
      </c>
      <c r="R364" s="2" t="s">
        <v>1459</v>
      </c>
      <c r="S364" s="4">
        <v>44837</v>
      </c>
    </row>
    <row r="365" spans="1:19" ht="12.5" x14ac:dyDescent="0.25">
      <c r="A365" s="14" t="str">
        <f>HYPERLINK("https://gerandofalcoes.my.salesforce.com/0014P00003SGWQ4QAP", "0014P00003SGWQ4QAP")</f>
        <v>0014P00003SGWQ4QAP</v>
      </c>
      <c r="B365" s="2" t="s">
        <v>217</v>
      </c>
      <c r="C365" s="2" t="s">
        <v>423</v>
      </c>
      <c r="D365" s="2" t="s">
        <v>2</v>
      </c>
      <c r="E365" s="2">
        <v>33</v>
      </c>
      <c r="F365" s="2">
        <v>0</v>
      </c>
      <c r="G365" s="2">
        <v>4</v>
      </c>
      <c r="H365" s="2">
        <v>16786</v>
      </c>
      <c r="I365" s="2">
        <v>75</v>
      </c>
      <c r="J365" s="2" t="s">
        <v>1779</v>
      </c>
      <c r="K365" s="2">
        <v>35</v>
      </c>
      <c r="L365" s="2">
        <v>15</v>
      </c>
      <c r="M365" s="2">
        <v>0</v>
      </c>
      <c r="N365" s="2">
        <v>10</v>
      </c>
      <c r="O365" s="2">
        <v>5</v>
      </c>
      <c r="P365" s="2">
        <v>5</v>
      </c>
      <c r="Q365" s="2" t="s">
        <v>218</v>
      </c>
      <c r="R365" s="2" t="s">
        <v>1140</v>
      </c>
      <c r="S365" s="4">
        <v>44837</v>
      </c>
    </row>
    <row r="366" spans="1:19" ht="12.5" x14ac:dyDescent="0.25">
      <c r="A366" s="14" t="str">
        <f>HYPERLINK("https://gerandofalcoes.my.salesforce.com/0014P00003SGWQ6QAP", "0014P00003SGWQ6QAP")</f>
        <v>0014P00003SGWQ6QAP</v>
      </c>
      <c r="B366" s="2" t="s">
        <v>221</v>
      </c>
      <c r="C366" s="2" t="s">
        <v>423</v>
      </c>
      <c r="D366" s="2" t="s">
        <v>2</v>
      </c>
      <c r="E366" s="2"/>
      <c r="F366" s="2">
        <v>20</v>
      </c>
      <c r="G366" s="2">
        <v>5</v>
      </c>
      <c r="H366" s="2">
        <v>60000</v>
      </c>
      <c r="I366" s="2">
        <v>0</v>
      </c>
      <c r="J366" s="2" t="s">
        <v>1779</v>
      </c>
      <c r="K366" s="2">
        <v>32</v>
      </c>
      <c r="L366" s="2">
        <v>0</v>
      </c>
      <c r="M366" s="2">
        <v>12</v>
      </c>
      <c r="N366" s="2">
        <v>10</v>
      </c>
      <c r="O366" s="2">
        <v>10</v>
      </c>
      <c r="P366" s="2">
        <v>0</v>
      </c>
      <c r="Q366" s="2" t="s">
        <v>222</v>
      </c>
      <c r="R366" s="2" t="s">
        <v>2985</v>
      </c>
      <c r="S366" s="4">
        <v>44837</v>
      </c>
    </row>
    <row r="367" spans="1:19" ht="12.5" x14ac:dyDescent="0.25">
      <c r="A367" s="14" t="str">
        <f>HYPERLINK("https://gerandofalcoes.my.salesforce.com/0014P00003SGWQ7QAP", "0014P00003SGWQ7QAP")</f>
        <v>0014P00003SGWQ7QAP</v>
      </c>
      <c r="B367" s="2" t="s">
        <v>226</v>
      </c>
      <c r="C367" s="2" t="s">
        <v>423</v>
      </c>
      <c r="D367" s="2" t="s">
        <v>27</v>
      </c>
      <c r="E367" s="2">
        <v>39</v>
      </c>
      <c r="F367" s="2">
        <v>6</v>
      </c>
      <c r="G367" s="2">
        <v>2</v>
      </c>
      <c r="H367" s="2">
        <v>9291.52</v>
      </c>
      <c r="I367" s="2">
        <v>65</v>
      </c>
      <c r="J367" s="2" t="s">
        <v>1671</v>
      </c>
      <c r="K367" s="2">
        <v>41</v>
      </c>
      <c r="L367" s="2">
        <v>15</v>
      </c>
      <c r="M367" s="2">
        <v>10</v>
      </c>
      <c r="N367" s="2">
        <v>6</v>
      </c>
      <c r="O367" s="2">
        <v>5</v>
      </c>
      <c r="P367" s="2">
        <v>5</v>
      </c>
      <c r="Q367" s="2" t="s">
        <v>227</v>
      </c>
      <c r="R367" s="2" t="s">
        <v>1159</v>
      </c>
      <c r="S367" s="4">
        <v>44837</v>
      </c>
    </row>
    <row r="368" spans="1:19" ht="12.5" x14ac:dyDescent="0.25">
      <c r="A368" s="14" t="str">
        <f>HYPERLINK("https://gerandofalcoes.my.salesforce.com/0014P00003SGWQ8QAP", "0014P00003SGWQ8QAP")</f>
        <v>0014P00003SGWQ8QAP</v>
      </c>
      <c r="B368" s="2" t="s">
        <v>213</v>
      </c>
      <c r="C368" s="2" t="s">
        <v>423</v>
      </c>
      <c r="D368" s="2" t="s">
        <v>2</v>
      </c>
      <c r="E368" s="2">
        <v>14</v>
      </c>
      <c r="F368" s="2">
        <v>0</v>
      </c>
      <c r="G368" s="2">
        <v>2</v>
      </c>
      <c r="H368" s="2">
        <v>138400</v>
      </c>
      <c r="I368" s="2">
        <v>10</v>
      </c>
      <c r="J368" s="2" t="s">
        <v>1779</v>
      </c>
      <c r="K368" s="2">
        <v>36</v>
      </c>
      <c r="L368" s="2">
        <v>10</v>
      </c>
      <c r="M368" s="2">
        <v>0</v>
      </c>
      <c r="N368" s="2">
        <v>6</v>
      </c>
      <c r="O368" s="2">
        <v>15</v>
      </c>
      <c r="P368" s="2">
        <v>5</v>
      </c>
      <c r="Q368" s="2" t="s">
        <v>214</v>
      </c>
      <c r="R368" s="2" t="s">
        <v>1170</v>
      </c>
      <c r="S368" s="4">
        <v>44837</v>
      </c>
    </row>
    <row r="369" spans="1:19" ht="12.5" x14ac:dyDescent="0.25">
      <c r="A369" s="14" t="str">
        <f>HYPERLINK("https://gerandofalcoes.my.salesforce.com/0014P00003SGWQ9QAP", "0014P00003SGWQ9QAP")</f>
        <v>0014P00003SGWQ9QAP</v>
      </c>
      <c r="B369" s="2" t="s">
        <v>232</v>
      </c>
      <c r="C369" s="2" t="s">
        <v>423</v>
      </c>
      <c r="D369" s="2" t="s">
        <v>2</v>
      </c>
      <c r="E369" s="2">
        <v>51</v>
      </c>
      <c r="F369" s="2">
        <v>5</v>
      </c>
      <c r="G369" s="2">
        <v>3</v>
      </c>
      <c r="H369" s="2">
        <v>15035192</v>
      </c>
      <c r="I369" s="2">
        <v>160</v>
      </c>
      <c r="J369" s="2" t="s">
        <v>1650</v>
      </c>
      <c r="K369" s="2">
        <v>70</v>
      </c>
      <c r="L369" s="2">
        <v>20</v>
      </c>
      <c r="M369" s="2">
        <v>5</v>
      </c>
      <c r="N369" s="2">
        <v>8</v>
      </c>
      <c r="O369" s="2">
        <v>25</v>
      </c>
      <c r="P369" s="2">
        <v>12</v>
      </c>
      <c r="Q369" s="2" t="s">
        <v>233</v>
      </c>
      <c r="R369" s="2" t="s">
        <v>2285</v>
      </c>
      <c r="S369" s="4">
        <v>44837</v>
      </c>
    </row>
    <row r="370" spans="1:19" ht="12.5" x14ac:dyDescent="0.25">
      <c r="A370" s="14" t="str">
        <f>HYPERLINK("https://gerandofalcoes.my.salesforce.com/0014P00003SGWQAQA5", "0014P00003SGWQAQA5")</f>
        <v>0014P00003SGWQAQA5</v>
      </c>
      <c r="B370" s="2" t="s">
        <v>2958</v>
      </c>
      <c r="C370" s="2" t="s">
        <v>423</v>
      </c>
      <c r="D370" s="2" t="s">
        <v>2</v>
      </c>
      <c r="E370" s="2">
        <v>4</v>
      </c>
      <c r="F370" s="2">
        <v>0</v>
      </c>
      <c r="G370" s="2">
        <v>1</v>
      </c>
      <c r="H370" s="2">
        <v>16000</v>
      </c>
      <c r="I370" s="2">
        <v>200</v>
      </c>
      <c r="J370" s="2" t="s">
        <v>1779</v>
      </c>
      <c r="K370" s="2">
        <v>31</v>
      </c>
      <c r="L370" s="2">
        <v>10</v>
      </c>
      <c r="M370" s="2">
        <v>0</v>
      </c>
      <c r="N370" s="2">
        <v>4</v>
      </c>
      <c r="O370" s="2">
        <v>5</v>
      </c>
      <c r="P370" s="2">
        <v>12</v>
      </c>
      <c r="Q370" s="2" t="s">
        <v>238</v>
      </c>
      <c r="R370" s="2" t="s">
        <v>1191</v>
      </c>
      <c r="S370" s="4">
        <v>44837</v>
      </c>
    </row>
    <row r="371" spans="1:19" ht="12.5" x14ac:dyDescent="0.25">
      <c r="A371" s="14" t="str">
        <f>HYPERLINK("https://gerandofalcoes.my.salesforce.com/0014P00003SGWQBQA5", "0014P00003SGWQBQA5")</f>
        <v>0014P00003SGWQBQA5</v>
      </c>
      <c r="B371" s="2" t="s">
        <v>242</v>
      </c>
      <c r="C371" s="2" t="s">
        <v>423</v>
      </c>
      <c r="D371" s="2" t="s">
        <v>2</v>
      </c>
      <c r="E371" s="2">
        <v>50</v>
      </c>
      <c r="F371" s="2">
        <v>12</v>
      </c>
      <c r="G371" s="2">
        <v>0</v>
      </c>
      <c r="H371" s="2">
        <v>0</v>
      </c>
      <c r="I371" s="2">
        <v>12</v>
      </c>
      <c r="J371" s="2" t="s">
        <v>1779</v>
      </c>
      <c r="K371" s="2">
        <v>37</v>
      </c>
      <c r="L371" s="2">
        <v>20</v>
      </c>
      <c r="M371" s="2">
        <v>12</v>
      </c>
      <c r="N371" s="2">
        <v>0</v>
      </c>
      <c r="O371" s="2">
        <v>0</v>
      </c>
      <c r="P371" s="2">
        <v>5</v>
      </c>
      <c r="Q371" s="2" t="s">
        <v>243</v>
      </c>
      <c r="R371" s="2" t="s">
        <v>1201</v>
      </c>
      <c r="S371" s="4">
        <v>44837</v>
      </c>
    </row>
    <row r="372" spans="1:19" ht="12.5" x14ac:dyDescent="0.25">
      <c r="A372" s="14" t="str">
        <f>HYPERLINK("https://gerandofalcoes.my.salesforce.com/0014P00003SGWQCQA5", "0014P00003SGWQCQA5")</f>
        <v>0014P00003SGWQCQA5</v>
      </c>
      <c r="B372" s="2" t="s">
        <v>248</v>
      </c>
      <c r="C372" s="2" t="s">
        <v>423</v>
      </c>
      <c r="D372" s="2" t="s">
        <v>2</v>
      </c>
      <c r="E372" s="2">
        <v>47</v>
      </c>
      <c r="F372" s="2">
        <v>5</v>
      </c>
      <c r="G372" s="2">
        <v>3</v>
      </c>
      <c r="H372" s="2">
        <v>181000</v>
      </c>
      <c r="I372" s="2">
        <v>72</v>
      </c>
      <c r="J372" s="2" t="s">
        <v>1671</v>
      </c>
      <c r="K372" s="2">
        <v>48</v>
      </c>
      <c r="L372" s="2">
        <v>15</v>
      </c>
      <c r="M372" s="2">
        <v>5</v>
      </c>
      <c r="N372" s="2">
        <v>8</v>
      </c>
      <c r="O372" s="2">
        <v>15</v>
      </c>
      <c r="P372" s="2">
        <v>5</v>
      </c>
      <c r="Q372" s="2" t="s">
        <v>249</v>
      </c>
      <c r="R372" s="2" t="s">
        <v>2025</v>
      </c>
      <c r="S372" s="4">
        <v>44837</v>
      </c>
    </row>
    <row r="373" spans="1:19" ht="12.5" x14ac:dyDescent="0.25">
      <c r="A373" s="14" t="str">
        <f>HYPERLINK("https://gerandofalcoes.my.salesforce.com/0014P00003SGWQDQA5", "0014P00003SGWQDQA5")</f>
        <v>0014P00003SGWQDQA5</v>
      </c>
      <c r="B373" s="2" t="s">
        <v>1669</v>
      </c>
      <c r="C373" s="2" t="s">
        <v>423</v>
      </c>
      <c r="D373" s="2" t="s">
        <v>27</v>
      </c>
      <c r="E373" s="2">
        <v>91</v>
      </c>
      <c r="F373" s="2">
        <v>10</v>
      </c>
      <c r="G373" s="2">
        <v>3</v>
      </c>
      <c r="H373" s="2">
        <v>707090.8</v>
      </c>
      <c r="I373" s="2">
        <v>175</v>
      </c>
      <c r="J373" s="2" t="s">
        <v>1654</v>
      </c>
      <c r="K373" s="2">
        <v>80</v>
      </c>
      <c r="L373" s="2">
        <v>30</v>
      </c>
      <c r="M373" s="2">
        <v>10</v>
      </c>
      <c r="N373" s="2">
        <v>8</v>
      </c>
      <c r="O373" s="2">
        <v>20</v>
      </c>
      <c r="P373" s="2">
        <v>12</v>
      </c>
      <c r="Q373" s="2" t="s">
        <v>251</v>
      </c>
      <c r="R373" s="2" t="s">
        <v>251</v>
      </c>
      <c r="S373" s="4">
        <v>44837</v>
      </c>
    </row>
    <row r="374" spans="1:19" ht="12.5" x14ac:dyDescent="0.25">
      <c r="A374" s="14" t="str">
        <f>HYPERLINK("https://gerandofalcoes.my.salesforce.com/0014P00003SGWQFQA5", "0014P00003SGWQFQA5")</f>
        <v>0014P00003SGWQFQA5</v>
      </c>
      <c r="B374" s="2" t="s">
        <v>2856</v>
      </c>
      <c r="C374" s="2" t="s">
        <v>423</v>
      </c>
      <c r="D374" s="2" t="s">
        <v>2</v>
      </c>
      <c r="E374" s="2">
        <v>10</v>
      </c>
      <c r="F374" s="2">
        <v>2</v>
      </c>
      <c r="G374" s="2">
        <v>2</v>
      </c>
      <c r="H374" s="2">
        <v>0</v>
      </c>
      <c r="I374" s="2">
        <v>100</v>
      </c>
      <c r="J374" s="2" t="s">
        <v>1779</v>
      </c>
      <c r="K374" s="2">
        <v>31</v>
      </c>
      <c r="L374" s="2">
        <v>10</v>
      </c>
      <c r="M374" s="2">
        <v>5</v>
      </c>
      <c r="N374" s="2">
        <v>6</v>
      </c>
      <c r="O374" s="2">
        <v>0</v>
      </c>
      <c r="P374" s="2">
        <v>10</v>
      </c>
      <c r="Q374" s="2" t="s">
        <v>256</v>
      </c>
      <c r="R374" s="2" t="s">
        <v>1221</v>
      </c>
      <c r="S374" s="4">
        <v>44837</v>
      </c>
    </row>
    <row r="375" spans="1:19" ht="12.5" x14ac:dyDescent="0.25">
      <c r="A375" s="14" t="str">
        <f>HYPERLINK("https://gerandofalcoes.my.salesforce.com/0014P00003SGWQGQA5", "0014P00003SGWQGQA5")</f>
        <v>0014P00003SGWQGQA5</v>
      </c>
      <c r="B375" s="2" t="s">
        <v>259</v>
      </c>
      <c r="C375" s="2" t="s">
        <v>423</v>
      </c>
      <c r="D375" s="2" t="s">
        <v>2</v>
      </c>
      <c r="E375" s="2">
        <v>11</v>
      </c>
      <c r="F375" s="2">
        <v>7</v>
      </c>
      <c r="G375" s="2">
        <v>2</v>
      </c>
      <c r="H375" s="2">
        <v>500</v>
      </c>
      <c r="I375" s="2">
        <v>420</v>
      </c>
      <c r="J375" s="2" t="s">
        <v>1671</v>
      </c>
      <c r="K375" s="2">
        <v>46</v>
      </c>
      <c r="L375" s="2">
        <v>10</v>
      </c>
      <c r="M375" s="2">
        <v>10</v>
      </c>
      <c r="N375" s="2">
        <v>6</v>
      </c>
      <c r="O375" s="2">
        <v>5</v>
      </c>
      <c r="P375" s="2">
        <v>15</v>
      </c>
      <c r="Q375" s="2" t="s">
        <v>260</v>
      </c>
      <c r="R375" s="2" t="s">
        <v>1232</v>
      </c>
      <c r="S375" s="4">
        <v>44837</v>
      </c>
    </row>
    <row r="376" spans="1:19" ht="12.5" x14ac:dyDescent="0.25">
      <c r="A376" s="14" t="str">
        <f>HYPERLINK("https://gerandofalcoes.my.salesforce.com/0014P00003SGWQHQA5", "0014P00003SGWQHQA5")</f>
        <v>0014P00003SGWQHQA5</v>
      </c>
      <c r="B376" s="2" t="s">
        <v>265</v>
      </c>
      <c r="C376" s="2" t="s">
        <v>423</v>
      </c>
      <c r="D376" s="2" t="s">
        <v>2</v>
      </c>
      <c r="E376" s="2">
        <v>5</v>
      </c>
      <c r="F376" s="2">
        <v>0</v>
      </c>
      <c r="G376" s="2">
        <v>0</v>
      </c>
      <c r="H376" s="2">
        <v>800000</v>
      </c>
      <c r="I376" s="2">
        <v>144</v>
      </c>
      <c r="J376" s="2" t="s">
        <v>1671</v>
      </c>
      <c r="K376" s="2">
        <v>45</v>
      </c>
      <c r="L376" s="2">
        <v>10</v>
      </c>
      <c r="M376" s="2">
        <v>0</v>
      </c>
      <c r="N376" s="2">
        <v>0</v>
      </c>
      <c r="O376" s="2">
        <v>25</v>
      </c>
      <c r="P376" s="2">
        <v>10</v>
      </c>
      <c r="Q376" s="2" t="s">
        <v>266</v>
      </c>
      <c r="R376" s="2" t="s">
        <v>266</v>
      </c>
      <c r="S376" s="4">
        <v>44837</v>
      </c>
    </row>
    <row r="377" spans="1:19" ht="12.5" x14ac:dyDescent="0.25">
      <c r="A377" s="14" t="str">
        <f>HYPERLINK("https://gerandofalcoes.my.salesforce.com/0014P00003SGWQIQA5", "0014P00003SGWQIQA5")</f>
        <v>0014P00003SGWQIQA5</v>
      </c>
      <c r="B377" s="2" t="s">
        <v>2992</v>
      </c>
      <c r="C377" s="2" t="s">
        <v>1684</v>
      </c>
      <c r="D377" s="2" t="s">
        <v>2</v>
      </c>
      <c r="E377" s="2"/>
      <c r="F377" s="2">
        <v>0</v>
      </c>
      <c r="G377" s="2">
        <v>2</v>
      </c>
      <c r="H377" s="2">
        <v>20000</v>
      </c>
      <c r="I377" s="2">
        <v>0</v>
      </c>
      <c r="J377" s="2" t="s">
        <v>1779</v>
      </c>
      <c r="K377" s="2">
        <v>11</v>
      </c>
      <c r="L377" s="2">
        <v>0</v>
      </c>
      <c r="M377" s="2">
        <v>0</v>
      </c>
      <c r="N377" s="2">
        <v>6</v>
      </c>
      <c r="O377" s="2">
        <v>5</v>
      </c>
      <c r="P377" s="2">
        <v>0</v>
      </c>
      <c r="Q377" s="2" t="s">
        <v>2993</v>
      </c>
      <c r="R377" s="2" t="s">
        <v>2994</v>
      </c>
      <c r="S377" s="4">
        <v>44837</v>
      </c>
    </row>
    <row r="378" spans="1:19" ht="12.5" x14ac:dyDescent="0.25">
      <c r="A378" s="14" t="str">
        <f>HYPERLINK("https://gerandofalcoes.my.salesforce.com/0014P00003SGWQJQA5", "0014P00003SGWQJQA5")</f>
        <v>0014P00003SGWQJQA5</v>
      </c>
      <c r="B378" s="2" t="s">
        <v>2480</v>
      </c>
      <c r="C378" s="2" t="s">
        <v>423</v>
      </c>
      <c r="D378" s="2" t="s">
        <v>2</v>
      </c>
      <c r="E378" s="2">
        <v>22</v>
      </c>
      <c r="F378" s="2">
        <v>2</v>
      </c>
      <c r="G378" s="2">
        <v>2</v>
      </c>
      <c r="H378" s="2">
        <v>11000</v>
      </c>
      <c r="I378" s="2">
        <v>44</v>
      </c>
      <c r="J378" s="2" t="s">
        <v>1779</v>
      </c>
      <c r="K378" s="2">
        <v>31</v>
      </c>
      <c r="L378" s="2">
        <v>10</v>
      </c>
      <c r="M378" s="2">
        <v>5</v>
      </c>
      <c r="N378" s="2">
        <v>6</v>
      </c>
      <c r="O378" s="2">
        <v>5</v>
      </c>
      <c r="P378" s="2">
        <v>5</v>
      </c>
      <c r="Q378" s="2" t="s">
        <v>269</v>
      </c>
      <c r="R378" s="2" t="s">
        <v>1248</v>
      </c>
      <c r="S378" s="4">
        <v>44837</v>
      </c>
    </row>
    <row r="379" spans="1:19" ht="12.5" x14ac:dyDescent="0.25">
      <c r="A379" s="14" t="str">
        <f>HYPERLINK("https://gerandofalcoes.my.salesforce.com/0014P00003YSm8CQAT", "0014P00003YSm8CQAT")</f>
        <v>0014P00003YSm8CQAT</v>
      </c>
      <c r="B379" s="2" t="s">
        <v>272</v>
      </c>
      <c r="C379" s="2" t="s">
        <v>423</v>
      </c>
      <c r="D379" s="2" t="s">
        <v>2</v>
      </c>
      <c r="E379" s="2">
        <v>33</v>
      </c>
      <c r="F379" s="2">
        <v>8</v>
      </c>
      <c r="G379" s="2">
        <v>2</v>
      </c>
      <c r="H379" s="2">
        <v>15000</v>
      </c>
      <c r="I379" s="2">
        <v>67</v>
      </c>
      <c r="J379" s="2" t="s">
        <v>1671</v>
      </c>
      <c r="K379" s="2">
        <v>41</v>
      </c>
      <c r="L379" s="2">
        <v>15</v>
      </c>
      <c r="M379" s="2">
        <v>10</v>
      </c>
      <c r="N379" s="2">
        <v>6</v>
      </c>
      <c r="O379" s="2">
        <v>5</v>
      </c>
      <c r="P379" s="2">
        <v>5</v>
      </c>
      <c r="Q379" s="2" t="s">
        <v>273</v>
      </c>
      <c r="R379" s="2" t="s">
        <v>1518</v>
      </c>
      <c r="S379" s="4">
        <v>44837</v>
      </c>
    </row>
    <row r="380" spans="1:19" ht="12.5" x14ac:dyDescent="0.25">
      <c r="A380" s="14" t="str">
        <f>HYPERLINK("https://gerandofalcoes.my.salesforce.com/0014P00003SGWPbQAP", "0014P00003SGWPbQAP")</f>
        <v>0014P00003SGWPbQAP</v>
      </c>
      <c r="B380" s="2" t="s">
        <v>276</v>
      </c>
      <c r="C380" s="2" t="s">
        <v>423</v>
      </c>
      <c r="D380" s="2" t="s">
        <v>2</v>
      </c>
      <c r="E380" s="2">
        <v>25</v>
      </c>
      <c r="F380" s="2">
        <v>21</v>
      </c>
      <c r="G380" s="2">
        <v>5</v>
      </c>
      <c r="H380" s="2">
        <v>374211</v>
      </c>
      <c r="I380" s="2">
        <v>76</v>
      </c>
      <c r="J380" s="2" t="s">
        <v>1671</v>
      </c>
      <c r="K380" s="2">
        <v>62</v>
      </c>
      <c r="L380" s="2">
        <v>15</v>
      </c>
      <c r="M380" s="2">
        <v>12</v>
      </c>
      <c r="N380" s="2">
        <v>10</v>
      </c>
      <c r="O380" s="2">
        <v>20</v>
      </c>
      <c r="P380" s="2">
        <v>5</v>
      </c>
      <c r="Q380" s="2" t="s">
        <v>277</v>
      </c>
      <c r="R380" s="2" t="s">
        <v>1257</v>
      </c>
      <c r="S380" s="4">
        <v>44837</v>
      </c>
    </row>
    <row r="381" spans="1:19" ht="12.5" x14ac:dyDescent="0.25">
      <c r="A381" s="14" t="str">
        <f>HYPERLINK("https://gerandofalcoes.my.salesforce.com/0014P00003SGWPcQAP", "0014P00003SGWPcQAP")</f>
        <v>0014P00003SGWPcQAP</v>
      </c>
      <c r="B381" s="2" t="s">
        <v>2896</v>
      </c>
      <c r="C381" s="2" t="s">
        <v>423</v>
      </c>
      <c r="D381" s="2" t="s">
        <v>2</v>
      </c>
      <c r="E381" s="2">
        <v>25</v>
      </c>
      <c r="F381" s="2">
        <v>0</v>
      </c>
      <c r="G381" s="2">
        <v>0</v>
      </c>
      <c r="H381" s="2">
        <v>1</v>
      </c>
      <c r="I381" s="2">
        <v>63</v>
      </c>
      <c r="J381" s="2" t="s">
        <v>1779</v>
      </c>
      <c r="K381" s="2">
        <v>25</v>
      </c>
      <c r="L381" s="2">
        <v>15</v>
      </c>
      <c r="M381" s="2">
        <v>0</v>
      </c>
      <c r="N381" s="2">
        <v>0</v>
      </c>
      <c r="O381" s="2">
        <v>5</v>
      </c>
      <c r="P381" s="2">
        <v>5</v>
      </c>
      <c r="Q381" s="2" t="s">
        <v>282</v>
      </c>
      <c r="R381" s="2" t="s">
        <v>2897</v>
      </c>
      <c r="S381" s="4">
        <v>44837</v>
      </c>
    </row>
    <row r="382" spans="1:19" ht="12.5" x14ac:dyDescent="0.25">
      <c r="A382" s="14" t="str">
        <f>HYPERLINK("https://gerandofalcoes.my.salesforce.com/0014P00003SGWPdQAP", "0014P00003SGWPdQAP")</f>
        <v>0014P00003SGWPdQAP</v>
      </c>
      <c r="B382" s="2" t="s">
        <v>2397</v>
      </c>
      <c r="C382" s="2" t="s">
        <v>423</v>
      </c>
      <c r="D382" s="2" t="s">
        <v>2</v>
      </c>
      <c r="E382" s="2">
        <v>25</v>
      </c>
      <c r="F382" s="2">
        <v>1</v>
      </c>
      <c r="G382" s="2">
        <v>2</v>
      </c>
      <c r="H382" s="2">
        <v>200000</v>
      </c>
      <c r="I382" s="2">
        <v>500</v>
      </c>
      <c r="J382" s="2" t="s">
        <v>1671</v>
      </c>
      <c r="K382" s="2">
        <v>61</v>
      </c>
      <c r="L382" s="2">
        <v>15</v>
      </c>
      <c r="M382" s="2">
        <v>5</v>
      </c>
      <c r="N382" s="2">
        <v>6</v>
      </c>
      <c r="O382" s="2">
        <v>15</v>
      </c>
      <c r="P382" s="2">
        <v>20</v>
      </c>
      <c r="Q382" s="2" t="s">
        <v>283</v>
      </c>
      <c r="R382" s="2" t="s">
        <v>2398</v>
      </c>
      <c r="S382" s="4">
        <v>44837</v>
      </c>
    </row>
    <row r="383" spans="1:19" ht="12.5" x14ac:dyDescent="0.25">
      <c r="A383" s="14" t="str">
        <f>HYPERLINK("https://gerandofalcoes.my.salesforce.com/0014P00003SGWPeQAP", "0014P00003SGWPeQAP")</f>
        <v>0014P00003SGWPeQAP</v>
      </c>
      <c r="B383" s="2" t="s">
        <v>2720</v>
      </c>
      <c r="C383" s="2" t="s">
        <v>423</v>
      </c>
      <c r="D383" s="2" t="s">
        <v>2</v>
      </c>
      <c r="E383" s="2">
        <v>15</v>
      </c>
      <c r="F383" s="2">
        <v>0</v>
      </c>
      <c r="G383" s="2">
        <v>1</v>
      </c>
      <c r="H383" s="2">
        <v>12000</v>
      </c>
      <c r="I383" s="2">
        <v>120</v>
      </c>
      <c r="J383" s="2" t="s">
        <v>1779</v>
      </c>
      <c r="K383" s="2">
        <v>29</v>
      </c>
      <c r="L383" s="2">
        <v>10</v>
      </c>
      <c r="M383" s="2">
        <v>0</v>
      </c>
      <c r="N383" s="2">
        <v>4</v>
      </c>
      <c r="O383" s="2">
        <v>5</v>
      </c>
      <c r="P383" s="2">
        <v>10</v>
      </c>
      <c r="Q383" s="2" t="s">
        <v>291</v>
      </c>
      <c r="R383" s="2" t="s">
        <v>1288</v>
      </c>
      <c r="S383" s="4">
        <v>44837</v>
      </c>
    </row>
    <row r="384" spans="1:19" ht="12.5" x14ac:dyDescent="0.25">
      <c r="A384" s="14" t="str">
        <f>HYPERLINK("https://gerandofalcoes.my.salesforce.com/0014P00003SGWPfQAP", "0014P00003SGWPfQAP")</f>
        <v>0014P00003SGWPfQAP</v>
      </c>
      <c r="B384" s="2" t="s">
        <v>294</v>
      </c>
      <c r="C384" s="2" t="s">
        <v>423</v>
      </c>
      <c r="D384" s="2" t="s">
        <v>2</v>
      </c>
      <c r="E384" s="2">
        <v>46</v>
      </c>
      <c r="F384" s="2">
        <v>0</v>
      </c>
      <c r="G384" s="2">
        <v>3</v>
      </c>
      <c r="H384" s="2">
        <v>6605</v>
      </c>
      <c r="I384" s="2">
        <v>100</v>
      </c>
      <c r="J384" s="2" t="s">
        <v>1779</v>
      </c>
      <c r="K384" s="2">
        <v>38</v>
      </c>
      <c r="L384" s="2">
        <v>15</v>
      </c>
      <c r="M384" s="2">
        <v>0</v>
      </c>
      <c r="N384" s="2">
        <v>8</v>
      </c>
      <c r="O384" s="2">
        <v>5</v>
      </c>
      <c r="P384" s="2">
        <v>10</v>
      </c>
      <c r="Q384" s="2" t="s">
        <v>295</v>
      </c>
      <c r="R384" s="2" t="s">
        <v>1298</v>
      </c>
      <c r="S384" s="4">
        <v>44837</v>
      </c>
    </row>
    <row r="385" spans="1:19" ht="12.5" x14ac:dyDescent="0.25">
      <c r="A385" s="14" t="str">
        <f>HYPERLINK("https://gerandofalcoes.my.salesforce.com/0014P00003SGWPgQAP", "0014P00003SGWPgQAP")</f>
        <v>0014P00003SGWPgQAP</v>
      </c>
      <c r="B385" s="2" t="s">
        <v>298</v>
      </c>
      <c r="C385" s="2" t="s">
        <v>423</v>
      </c>
      <c r="D385" s="2" t="s">
        <v>2</v>
      </c>
      <c r="E385" s="2">
        <v>20</v>
      </c>
      <c r="F385" s="2">
        <v>4</v>
      </c>
      <c r="G385" s="2">
        <v>0</v>
      </c>
      <c r="H385" s="2">
        <v>11000</v>
      </c>
      <c r="I385" s="2">
        <v>20</v>
      </c>
      <c r="J385" s="2" t="s">
        <v>1779</v>
      </c>
      <c r="K385" s="2">
        <v>25</v>
      </c>
      <c r="L385" s="2">
        <v>10</v>
      </c>
      <c r="M385" s="2">
        <v>5</v>
      </c>
      <c r="N385" s="2">
        <v>0</v>
      </c>
      <c r="O385" s="2">
        <v>5</v>
      </c>
      <c r="P385" s="2">
        <v>5</v>
      </c>
      <c r="Q385" s="2" t="s">
        <v>299</v>
      </c>
      <c r="R385" s="2" t="s">
        <v>1310</v>
      </c>
      <c r="S385" s="4">
        <v>44837</v>
      </c>
    </row>
    <row r="386" spans="1:19" ht="12.5" x14ac:dyDescent="0.25">
      <c r="A386" s="14" t="str">
        <f>HYPERLINK("https://gerandofalcoes.my.salesforce.com/0014P00003SGWPhQAP", "0014P00003SGWPhQAP")</f>
        <v>0014P00003SGWPhQAP</v>
      </c>
      <c r="B386" s="2" t="s">
        <v>1693</v>
      </c>
      <c r="C386" s="2" t="s">
        <v>423</v>
      </c>
      <c r="D386" s="2" t="s">
        <v>27</v>
      </c>
      <c r="E386" s="2">
        <v>29</v>
      </c>
      <c r="F386" s="2">
        <v>14</v>
      </c>
      <c r="G386" s="2">
        <v>3</v>
      </c>
      <c r="H386" s="2">
        <v>173994</v>
      </c>
      <c r="I386" s="2">
        <v>310</v>
      </c>
      <c r="J386" s="2" t="s">
        <v>1650</v>
      </c>
      <c r="K386" s="2">
        <v>65</v>
      </c>
      <c r="L386" s="2">
        <v>15</v>
      </c>
      <c r="M386" s="2">
        <v>12</v>
      </c>
      <c r="N386" s="2">
        <v>8</v>
      </c>
      <c r="O386" s="2">
        <v>15</v>
      </c>
      <c r="P386" s="2">
        <v>15</v>
      </c>
      <c r="Q386" s="2" t="s">
        <v>286</v>
      </c>
      <c r="R386" s="2" t="s">
        <v>1321</v>
      </c>
      <c r="S386" s="4">
        <v>44837</v>
      </c>
    </row>
    <row r="387" spans="1:19" ht="12.5" x14ac:dyDescent="0.25">
      <c r="A387" s="14" t="str">
        <f>HYPERLINK("https://gerandofalcoes.my.salesforce.com/0014P00003SGWPiQAP", "0014P00003SGWPiQAP")</f>
        <v>0014P00003SGWPiQAP</v>
      </c>
      <c r="B387" s="2" t="s">
        <v>300</v>
      </c>
      <c r="C387" s="2" t="s">
        <v>423</v>
      </c>
      <c r="D387" s="2" t="s">
        <v>27</v>
      </c>
      <c r="E387" s="2">
        <v>96</v>
      </c>
      <c r="F387" s="2">
        <v>8</v>
      </c>
      <c r="G387" s="2">
        <v>4</v>
      </c>
      <c r="H387" s="2">
        <v>587278.81999999995</v>
      </c>
      <c r="I387" s="2">
        <v>115</v>
      </c>
      <c r="J387" s="2" t="s">
        <v>1654</v>
      </c>
      <c r="K387" s="2">
        <v>80</v>
      </c>
      <c r="L387" s="2">
        <v>30</v>
      </c>
      <c r="M387" s="2">
        <v>10</v>
      </c>
      <c r="N387" s="2">
        <v>10</v>
      </c>
      <c r="O387" s="2">
        <v>20</v>
      </c>
      <c r="P387" s="2">
        <v>10</v>
      </c>
      <c r="Q387" s="2" t="s">
        <v>301</v>
      </c>
      <c r="R387" s="2" t="s">
        <v>1657</v>
      </c>
      <c r="S387" s="4">
        <v>44837</v>
      </c>
    </row>
    <row r="388" spans="1:19" ht="12.5" x14ac:dyDescent="0.25">
      <c r="A388" s="14" t="str">
        <f>HYPERLINK("https://gerandofalcoes.my.salesforce.com/0014P00003SGWPjQAP", "0014P00003SGWPjQAP")</f>
        <v>0014P00003SGWPjQAP</v>
      </c>
      <c r="B388" s="2" t="s">
        <v>2986</v>
      </c>
      <c r="C388" s="2" t="s">
        <v>423</v>
      </c>
      <c r="D388" s="2" t="s">
        <v>2</v>
      </c>
      <c r="E388" s="2"/>
      <c r="F388" s="2">
        <v>0</v>
      </c>
      <c r="G388" s="2">
        <v>0</v>
      </c>
      <c r="H388" s="2">
        <v>0</v>
      </c>
      <c r="I388" s="2">
        <v>180</v>
      </c>
      <c r="J388" s="2" t="s">
        <v>1779</v>
      </c>
      <c r="K388" s="2">
        <v>12</v>
      </c>
      <c r="L388" s="2">
        <v>0</v>
      </c>
      <c r="M388" s="2">
        <v>0</v>
      </c>
      <c r="N388" s="2">
        <v>0</v>
      </c>
      <c r="O388" s="2">
        <v>0</v>
      </c>
      <c r="P388" s="2">
        <v>12</v>
      </c>
      <c r="Q388" s="2" t="s">
        <v>303</v>
      </c>
      <c r="R388" s="2" t="s">
        <v>2987</v>
      </c>
      <c r="S388" s="4">
        <v>44837</v>
      </c>
    </row>
    <row r="389" spans="1:19" ht="12.5" x14ac:dyDescent="0.25">
      <c r="A389" s="14" t="str">
        <f>HYPERLINK("https://gerandofalcoes.my.salesforce.com/0014P00003SGWPkQAP", "0014P00003SGWPkQAP")</f>
        <v>0014P00003SGWPkQAP</v>
      </c>
      <c r="B389" s="2" t="s">
        <v>306</v>
      </c>
      <c r="C389" s="2" t="s">
        <v>423</v>
      </c>
      <c r="D389" s="2" t="s">
        <v>2</v>
      </c>
      <c r="E389" s="2">
        <v>49</v>
      </c>
      <c r="F389" s="2">
        <v>7</v>
      </c>
      <c r="G389" s="2">
        <v>5</v>
      </c>
      <c r="H389" s="2">
        <v>42828210</v>
      </c>
      <c r="I389" s="2">
        <v>150</v>
      </c>
      <c r="J389" s="2" t="s">
        <v>1671</v>
      </c>
      <c r="K389" s="2">
        <v>57</v>
      </c>
      <c r="L389" s="2">
        <v>0</v>
      </c>
      <c r="M389" s="2">
        <v>10</v>
      </c>
      <c r="N389" s="2">
        <v>10</v>
      </c>
      <c r="O389" s="2">
        <v>25</v>
      </c>
      <c r="P389" s="2">
        <v>12</v>
      </c>
      <c r="Q389" s="2" t="s">
        <v>307</v>
      </c>
      <c r="R389" s="2" t="s">
        <v>1867</v>
      </c>
      <c r="S389" s="4">
        <v>44837</v>
      </c>
    </row>
    <row r="390" spans="1:19" ht="12.5" x14ac:dyDescent="0.25">
      <c r="A390" s="14" t="str">
        <f>HYPERLINK("https://gerandofalcoes.my.salesforce.com/0014X00002VKCp3QAH", "0014X00002VKCp3QAH")</f>
        <v>0014X00002VKCp3QAH</v>
      </c>
      <c r="B390" s="2" t="s">
        <v>2247</v>
      </c>
      <c r="C390" s="2" t="s">
        <v>423</v>
      </c>
      <c r="D390" s="2" t="s">
        <v>2</v>
      </c>
      <c r="E390" s="2">
        <v>31</v>
      </c>
      <c r="F390" s="2">
        <v>0</v>
      </c>
      <c r="G390" s="2">
        <v>3</v>
      </c>
      <c r="H390" s="2">
        <v>0</v>
      </c>
      <c r="I390" s="2">
        <v>0</v>
      </c>
      <c r="J390" s="2" t="s">
        <v>1779</v>
      </c>
      <c r="K390" s="2">
        <v>23</v>
      </c>
      <c r="L390" s="2">
        <v>15</v>
      </c>
      <c r="M390" s="2">
        <v>0</v>
      </c>
      <c r="N390" s="2">
        <v>8</v>
      </c>
      <c r="O390" s="2">
        <v>0</v>
      </c>
      <c r="P390" s="2">
        <v>0</v>
      </c>
      <c r="Q390" s="2" t="s">
        <v>2248</v>
      </c>
      <c r="R390" s="2" t="s">
        <v>2248</v>
      </c>
      <c r="S390" s="4">
        <v>44837</v>
      </c>
    </row>
    <row r="391" spans="1:19" ht="12.5" x14ac:dyDescent="0.25">
      <c r="A391" s="14" t="str">
        <f>HYPERLINK("https://gerandofalcoes.my.salesforce.com/0014X00002VKCsIQAX", "0014X00002VKCsIQAX")</f>
        <v>0014X00002VKCsIQAX</v>
      </c>
      <c r="B391" s="2" t="s">
        <v>2585</v>
      </c>
      <c r="C391" s="2" t="s">
        <v>423</v>
      </c>
      <c r="D391" s="2" t="s">
        <v>2</v>
      </c>
      <c r="E391" s="2">
        <v>28</v>
      </c>
      <c r="F391" s="2">
        <v>0</v>
      </c>
      <c r="G391" s="2">
        <v>1</v>
      </c>
      <c r="H391" s="2">
        <v>102000</v>
      </c>
      <c r="I391" s="2">
        <v>90</v>
      </c>
      <c r="J391" s="2" t="s">
        <v>1671</v>
      </c>
      <c r="K391" s="2">
        <v>44</v>
      </c>
      <c r="L391" s="2">
        <v>15</v>
      </c>
      <c r="M391" s="2">
        <v>0</v>
      </c>
      <c r="N391" s="2">
        <v>4</v>
      </c>
      <c r="O391" s="2">
        <v>15</v>
      </c>
      <c r="P391" s="2">
        <v>10</v>
      </c>
      <c r="Q391" s="2" t="s">
        <v>2586</v>
      </c>
      <c r="R391" s="2" t="s">
        <v>2587</v>
      </c>
      <c r="S391" s="4">
        <v>44837</v>
      </c>
    </row>
    <row r="392" spans="1:19" ht="12.5" x14ac:dyDescent="0.25">
      <c r="A392" s="14" t="str">
        <f>HYPERLINK("https://gerandofalcoes.my.salesforce.com/0014X00002VKCshQAH", "0014X00002VKCshQAH")</f>
        <v>0014X00002VKCshQAH</v>
      </c>
      <c r="B392" s="2" t="s">
        <v>2893</v>
      </c>
      <c r="C392" s="2" t="s">
        <v>423</v>
      </c>
      <c r="D392" s="2" t="s">
        <v>2</v>
      </c>
      <c r="E392" s="2">
        <v>25</v>
      </c>
      <c r="F392" s="2">
        <v>0</v>
      </c>
      <c r="G392" s="2">
        <v>4</v>
      </c>
      <c r="H392" s="2">
        <v>65000</v>
      </c>
      <c r="I392" s="2">
        <v>65</v>
      </c>
      <c r="J392" s="2" t="s">
        <v>1671</v>
      </c>
      <c r="K392" s="2">
        <v>40</v>
      </c>
      <c r="L392" s="2">
        <v>15</v>
      </c>
      <c r="M392" s="2">
        <v>0</v>
      </c>
      <c r="N392" s="2">
        <v>10</v>
      </c>
      <c r="O392" s="2">
        <v>10</v>
      </c>
      <c r="P392" s="2">
        <v>5</v>
      </c>
      <c r="Q392" s="2" t="s">
        <v>2894</v>
      </c>
      <c r="R392" s="2" t="s">
        <v>2895</v>
      </c>
      <c r="S392" s="4">
        <v>44837</v>
      </c>
    </row>
    <row r="393" spans="1:19" ht="12.5" x14ac:dyDescent="0.25">
      <c r="A393" s="14" t="str">
        <f>HYPERLINK("https://gerandofalcoes.my.salesforce.com/0014X00002VKCuEQAX", "0014X00002VKCuEQAX")</f>
        <v>0014X00002VKCuEQAX</v>
      </c>
      <c r="B393" s="2" t="s">
        <v>1977</v>
      </c>
      <c r="C393" s="2" t="s">
        <v>423</v>
      </c>
      <c r="D393" s="2" t="s">
        <v>2</v>
      </c>
      <c r="E393" s="2">
        <v>53</v>
      </c>
      <c r="F393" s="2">
        <v>5</v>
      </c>
      <c r="G393" s="2">
        <v>2</v>
      </c>
      <c r="H393" s="2">
        <v>90000</v>
      </c>
      <c r="I393" s="2">
        <v>0</v>
      </c>
      <c r="J393" s="2" t="s">
        <v>1671</v>
      </c>
      <c r="K393" s="2">
        <v>41</v>
      </c>
      <c r="L393" s="2">
        <v>20</v>
      </c>
      <c r="M393" s="2">
        <v>5</v>
      </c>
      <c r="N393" s="2">
        <v>6</v>
      </c>
      <c r="O393" s="2">
        <v>10</v>
      </c>
      <c r="P393" s="2">
        <v>0</v>
      </c>
      <c r="Q393" s="2" t="s">
        <v>1978</v>
      </c>
      <c r="R393" s="2" t="s">
        <v>1979</v>
      </c>
      <c r="S393" s="4">
        <v>44837</v>
      </c>
    </row>
    <row r="394" spans="1:19" ht="12.5" x14ac:dyDescent="0.25">
      <c r="A394" s="14" t="str">
        <f>HYPERLINK("https://gerandofalcoes.my.salesforce.com/0014X00002VKCsjQAH", "0014X00002VKCsjQAH")</f>
        <v>0014X00002VKCsjQAH</v>
      </c>
      <c r="B394" s="2" t="s">
        <v>2576</v>
      </c>
      <c r="C394" s="2" t="s">
        <v>423</v>
      </c>
      <c r="D394" s="2" t="s">
        <v>2</v>
      </c>
      <c r="E394" s="2">
        <v>49</v>
      </c>
      <c r="F394" s="2">
        <v>0</v>
      </c>
      <c r="G394" s="2">
        <v>4</v>
      </c>
      <c r="H394" s="2">
        <v>10000</v>
      </c>
      <c r="I394" s="2">
        <v>154</v>
      </c>
      <c r="J394" s="2" t="s">
        <v>1779</v>
      </c>
      <c r="K394" s="2">
        <v>27</v>
      </c>
      <c r="L394" s="2">
        <v>0</v>
      </c>
      <c r="M394" s="2">
        <v>0</v>
      </c>
      <c r="N394" s="2">
        <v>10</v>
      </c>
      <c r="O394" s="2">
        <v>5</v>
      </c>
      <c r="P394" s="2">
        <v>12</v>
      </c>
      <c r="Q394" s="2" t="s">
        <v>2577</v>
      </c>
      <c r="R394" s="2" t="s">
        <v>2578</v>
      </c>
      <c r="S394" s="4">
        <v>44837</v>
      </c>
    </row>
    <row r="395" spans="1:19" ht="12.5" x14ac:dyDescent="0.25">
      <c r="A395" s="14" t="str">
        <f>HYPERLINK("https://gerandofalcoes.my.salesforce.com/0014X00002VKCsyQAH", "0014X00002VKCsyQAH")</f>
        <v>0014X00002VKCsyQAH</v>
      </c>
      <c r="B395" s="2" t="s">
        <v>1877</v>
      </c>
      <c r="C395" s="2" t="s">
        <v>423</v>
      </c>
      <c r="D395" s="2" t="s">
        <v>2</v>
      </c>
      <c r="E395" s="2">
        <v>40</v>
      </c>
      <c r="F395" s="2">
        <v>0</v>
      </c>
      <c r="G395" s="2">
        <v>3</v>
      </c>
      <c r="H395" s="2">
        <v>250</v>
      </c>
      <c r="I395" s="2">
        <v>135</v>
      </c>
      <c r="J395" s="2" t="s">
        <v>1779</v>
      </c>
      <c r="K395" s="2">
        <v>38</v>
      </c>
      <c r="L395" s="2">
        <v>15</v>
      </c>
      <c r="M395" s="2">
        <v>0</v>
      </c>
      <c r="N395" s="2">
        <v>8</v>
      </c>
      <c r="O395" s="2">
        <v>5</v>
      </c>
      <c r="P395" s="2">
        <v>10</v>
      </c>
      <c r="Q395" s="2" t="s">
        <v>1878</v>
      </c>
      <c r="R395" s="2" t="s">
        <v>1878</v>
      </c>
      <c r="S395" s="4">
        <v>44837</v>
      </c>
    </row>
    <row r="396" spans="1:19" ht="12.5" x14ac:dyDescent="0.25">
      <c r="A396" s="14" t="str">
        <f>HYPERLINK("https://gerandofalcoes.my.salesforce.com/0014X00002VKCt7QAH", "0014X00002VKCt7QAH")</f>
        <v>0014X00002VKCt7QAH</v>
      </c>
      <c r="B396" s="2" t="s">
        <v>2410</v>
      </c>
      <c r="C396" s="2" t="s">
        <v>423</v>
      </c>
      <c r="D396" s="2" t="s">
        <v>2</v>
      </c>
      <c r="E396" s="2">
        <v>25</v>
      </c>
      <c r="F396" s="2">
        <v>0</v>
      </c>
      <c r="G396" s="2">
        <v>3</v>
      </c>
      <c r="H396" s="2">
        <v>11000</v>
      </c>
      <c r="I396" s="2">
        <v>100</v>
      </c>
      <c r="J396" s="2" t="s">
        <v>1779</v>
      </c>
      <c r="K396" s="2">
        <v>38</v>
      </c>
      <c r="L396" s="2">
        <v>15</v>
      </c>
      <c r="M396" s="2">
        <v>0</v>
      </c>
      <c r="N396" s="2">
        <v>8</v>
      </c>
      <c r="O396" s="2">
        <v>5</v>
      </c>
      <c r="P396" s="2">
        <v>10</v>
      </c>
      <c r="Q396" s="2" t="s">
        <v>2411</v>
      </c>
      <c r="R396" s="2" t="s">
        <v>2412</v>
      </c>
      <c r="S396" s="4">
        <v>44837</v>
      </c>
    </row>
    <row r="397" spans="1:19" ht="12.5" x14ac:dyDescent="0.25">
      <c r="A397" s="14" t="str">
        <f>HYPERLINK("https://gerandofalcoes.my.salesforce.com/0014X00002VKCtYQAX", "0014X00002VKCtYQAX")</f>
        <v>0014X00002VKCtYQAX</v>
      </c>
      <c r="B397" s="2" t="s">
        <v>2125</v>
      </c>
      <c r="C397" s="2" t="s">
        <v>423</v>
      </c>
      <c r="D397" s="2" t="s">
        <v>2</v>
      </c>
      <c r="E397" s="2">
        <v>46</v>
      </c>
      <c r="F397" s="2">
        <v>3</v>
      </c>
      <c r="G397" s="2">
        <v>2</v>
      </c>
      <c r="H397" s="2">
        <v>2000</v>
      </c>
      <c r="I397" s="2">
        <v>196</v>
      </c>
      <c r="J397" s="2" t="s">
        <v>1671</v>
      </c>
      <c r="K397" s="2">
        <v>43</v>
      </c>
      <c r="L397" s="2">
        <v>15</v>
      </c>
      <c r="M397" s="2">
        <v>5</v>
      </c>
      <c r="N397" s="2">
        <v>6</v>
      </c>
      <c r="O397" s="2">
        <v>5</v>
      </c>
      <c r="P397" s="2">
        <v>12</v>
      </c>
      <c r="Q397" s="2" t="s">
        <v>2126</v>
      </c>
      <c r="R397" s="2" t="s">
        <v>2126</v>
      </c>
      <c r="S397" s="4">
        <v>44837</v>
      </c>
    </row>
    <row r="398" spans="1:19" ht="12.5" x14ac:dyDescent="0.25">
      <c r="A398" s="14" t="str">
        <f>HYPERLINK("https://gerandofalcoes.my.salesforce.com/0014X00002VKCp9QAH", "0014X00002VKCp9QAH")</f>
        <v>0014X00002VKCp9QAH</v>
      </c>
      <c r="B398" s="2" t="s">
        <v>2384</v>
      </c>
      <c r="C398" s="2" t="s">
        <v>423</v>
      </c>
      <c r="D398" s="2" t="s">
        <v>2</v>
      </c>
      <c r="E398" s="2">
        <v>26</v>
      </c>
      <c r="F398" s="2">
        <v>17</v>
      </c>
      <c r="G398" s="2">
        <v>5</v>
      </c>
      <c r="H398" s="2">
        <v>0</v>
      </c>
      <c r="I398" s="2">
        <v>0</v>
      </c>
      <c r="J398" s="2" t="s">
        <v>1779</v>
      </c>
      <c r="K398" s="2">
        <v>37</v>
      </c>
      <c r="L398" s="2">
        <v>15</v>
      </c>
      <c r="M398" s="2">
        <v>12</v>
      </c>
      <c r="N398" s="2">
        <v>10</v>
      </c>
      <c r="O398" s="2">
        <v>0</v>
      </c>
      <c r="P398" s="2">
        <v>0</v>
      </c>
      <c r="Q398" s="2" t="s">
        <v>2385</v>
      </c>
      <c r="R398" s="2" t="s">
        <v>2386</v>
      </c>
      <c r="S398" s="4">
        <v>44837</v>
      </c>
    </row>
    <row r="399" spans="1:19" ht="12.5" x14ac:dyDescent="0.25">
      <c r="A399" s="14" t="str">
        <f>HYPERLINK("https://gerandofalcoes.my.salesforce.com/0014X00002VKCqCQAX", "0014X00002VKCqCQAX")</f>
        <v>0014X00002VKCqCQAX</v>
      </c>
      <c r="B399" s="2" t="s">
        <v>2853</v>
      </c>
      <c r="C399" s="2" t="s">
        <v>423</v>
      </c>
      <c r="D399" s="2" t="s">
        <v>2</v>
      </c>
      <c r="E399" s="2">
        <v>18</v>
      </c>
      <c r="F399" s="2">
        <v>0</v>
      </c>
      <c r="G399" s="2">
        <v>3</v>
      </c>
      <c r="H399" s="2">
        <v>38640</v>
      </c>
      <c r="I399" s="2">
        <v>0</v>
      </c>
      <c r="J399" s="2" t="s">
        <v>1779</v>
      </c>
      <c r="K399" s="2">
        <v>28</v>
      </c>
      <c r="L399" s="2">
        <v>10</v>
      </c>
      <c r="M399" s="2">
        <v>0</v>
      </c>
      <c r="N399" s="2">
        <v>8</v>
      </c>
      <c r="O399" s="2">
        <v>10</v>
      </c>
      <c r="P399" s="2">
        <v>0</v>
      </c>
      <c r="Q399" s="2" t="s">
        <v>7197</v>
      </c>
      <c r="R399" s="2" t="s">
        <v>2855</v>
      </c>
      <c r="S399" s="4">
        <v>44837</v>
      </c>
    </row>
    <row r="400" spans="1:19" ht="12.5" x14ac:dyDescent="0.25">
      <c r="A400" s="14" t="str">
        <f>HYPERLINK("https://gerandofalcoes.my.salesforce.com/0014X00002VKCqAQAX", "0014X00002VKCqAQAX")</f>
        <v>0014X00002VKCqAQAX</v>
      </c>
      <c r="B400" s="2" t="s">
        <v>2912</v>
      </c>
      <c r="C400" s="2" t="s">
        <v>423</v>
      </c>
      <c r="D400" s="2" t="s">
        <v>2</v>
      </c>
      <c r="E400" s="2">
        <v>30</v>
      </c>
      <c r="F400" s="2">
        <v>7</v>
      </c>
      <c r="G400" s="2">
        <v>4</v>
      </c>
      <c r="H400" s="2">
        <v>36000</v>
      </c>
      <c r="I400" s="2">
        <v>100</v>
      </c>
      <c r="J400" s="2" t="s">
        <v>1671</v>
      </c>
      <c r="K400" s="2">
        <v>55</v>
      </c>
      <c r="L400" s="2">
        <v>15</v>
      </c>
      <c r="M400" s="2">
        <v>10</v>
      </c>
      <c r="N400" s="2">
        <v>10</v>
      </c>
      <c r="O400" s="2">
        <v>10</v>
      </c>
      <c r="P400" s="2">
        <v>10</v>
      </c>
      <c r="Q400" s="2" t="s">
        <v>2913</v>
      </c>
      <c r="R400" s="2" t="s">
        <v>2913</v>
      </c>
      <c r="S400" s="4">
        <v>44837</v>
      </c>
    </row>
    <row r="401" spans="1:19" ht="12.5" x14ac:dyDescent="0.25">
      <c r="A401" s="14" t="str">
        <f>HYPERLINK("https://gerandofalcoes.my.salesforce.com/0014X00002VKCsEQAX", "0014X00002VKCsEQAX")</f>
        <v>0014X00002VKCsEQAX</v>
      </c>
      <c r="B401" s="2" t="s">
        <v>2051</v>
      </c>
      <c r="C401" s="2" t="s">
        <v>423</v>
      </c>
      <c r="D401" s="2" t="s">
        <v>2</v>
      </c>
      <c r="E401" s="2">
        <v>37</v>
      </c>
      <c r="F401" s="2">
        <v>2</v>
      </c>
      <c r="G401" s="2">
        <v>3</v>
      </c>
      <c r="H401" s="2">
        <v>1000</v>
      </c>
      <c r="I401" s="2">
        <v>30</v>
      </c>
      <c r="J401" s="2" t="s">
        <v>1779</v>
      </c>
      <c r="K401" s="2">
        <v>38</v>
      </c>
      <c r="L401" s="2">
        <v>15</v>
      </c>
      <c r="M401" s="2">
        <v>5</v>
      </c>
      <c r="N401" s="2">
        <v>8</v>
      </c>
      <c r="O401" s="2">
        <v>5</v>
      </c>
      <c r="P401" s="2">
        <v>5</v>
      </c>
      <c r="Q401" s="2" t="s">
        <v>2052</v>
      </c>
      <c r="R401" s="2" t="s">
        <v>2053</v>
      </c>
      <c r="S401" s="4">
        <v>44837</v>
      </c>
    </row>
    <row r="402" spans="1:19" ht="12.5" x14ac:dyDescent="0.25">
      <c r="A402" s="14" t="str">
        <f>HYPERLINK("https://gerandofalcoes.my.salesforce.com/0014X00002VKCr6QAH", "0014X00002VKCr6QAH")</f>
        <v>0014X00002VKCr6QAH</v>
      </c>
      <c r="B402" s="2" t="s">
        <v>1932</v>
      </c>
      <c r="C402" s="2" t="s">
        <v>423</v>
      </c>
      <c r="D402" s="2" t="s">
        <v>2</v>
      </c>
      <c r="E402" s="2">
        <v>37</v>
      </c>
      <c r="F402" s="2">
        <v>7</v>
      </c>
      <c r="G402" s="2">
        <v>5</v>
      </c>
      <c r="H402" s="2">
        <v>620000</v>
      </c>
      <c r="I402" s="2">
        <v>250</v>
      </c>
      <c r="J402" s="2" t="s">
        <v>1650</v>
      </c>
      <c r="K402" s="2">
        <v>67</v>
      </c>
      <c r="L402" s="2">
        <v>15</v>
      </c>
      <c r="M402" s="2">
        <v>10</v>
      </c>
      <c r="N402" s="2">
        <v>10</v>
      </c>
      <c r="O402" s="2">
        <v>20</v>
      </c>
      <c r="P402" s="2">
        <v>12</v>
      </c>
      <c r="Q402" s="2" t="s">
        <v>1933</v>
      </c>
      <c r="R402" s="2" t="s">
        <v>1934</v>
      </c>
      <c r="S402" s="4">
        <v>44837</v>
      </c>
    </row>
    <row r="403" spans="1:19" ht="12.5" x14ac:dyDescent="0.25">
      <c r="A403" s="14" t="str">
        <f>HYPERLINK("https://gerandofalcoes.my.salesforce.com/0014X00002VKCphQAH", "0014X00002VKCphQAH")</f>
        <v>0014X00002VKCphQAH</v>
      </c>
      <c r="B403" s="2" t="s">
        <v>2298</v>
      </c>
      <c r="C403" s="2" t="s">
        <v>423</v>
      </c>
      <c r="D403" s="2" t="s">
        <v>2</v>
      </c>
      <c r="E403" s="2">
        <v>29</v>
      </c>
      <c r="F403" s="2">
        <v>0</v>
      </c>
      <c r="G403" s="2">
        <v>3</v>
      </c>
      <c r="H403" s="2">
        <v>30000</v>
      </c>
      <c r="I403" s="2">
        <v>150</v>
      </c>
      <c r="J403" s="2" t="s">
        <v>1671</v>
      </c>
      <c r="K403" s="2">
        <v>45</v>
      </c>
      <c r="L403" s="2">
        <v>15</v>
      </c>
      <c r="M403" s="2">
        <v>0</v>
      </c>
      <c r="N403" s="2">
        <v>8</v>
      </c>
      <c r="O403" s="2">
        <v>10</v>
      </c>
      <c r="P403" s="2">
        <v>12</v>
      </c>
      <c r="Q403" s="2" t="s">
        <v>2299</v>
      </c>
      <c r="R403" s="2" t="s">
        <v>2300</v>
      </c>
      <c r="S403" s="4">
        <v>44837</v>
      </c>
    </row>
    <row r="404" spans="1:19" ht="12.5" x14ac:dyDescent="0.25">
      <c r="A404" s="14" t="str">
        <f>HYPERLINK("https://gerandofalcoes.my.salesforce.com/0014X00002VKCp8QAH", "0014X00002VKCp8QAH")</f>
        <v>0014X00002VKCp8QAH</v>
      </c>
      <c r="B404" s="2" t="s">
        <v>1819</v>
      </c>
      <c r="C404" s="2" t="s">
        <v>423</v>
      </c>
      <c r="D404" s="2" t="s">
        <v>2</v>
      </c>
      <c r="E404" s="2">
        <v>55</v>
      </c>
      <c r="F404" s="2">
        <v>2</v>
      </c>
      <c r="G404" s="2">
        <v>2</v>
      </c>
      <c r="H404" s="2">
        <v>62000</v>
      </c>
      <c r="I404" s="2">
        <v>100</v>
      </c>
      <c r="J404" s="2" t="s">
        <v>1671</v>
      </c>
      <c r="K404" s="2">
        <v>51</v>
      </c>
      <c r="L404" s="2">
        <v>20</v>
      </c>
      <c r="M404" s="2">
        <v>5</v>
      </c>
      <c r="N404" s="2">
        <v>6</v>
      </c>
      <c r="O404" s="2">
        <v>10</v>
      </c>
      <c r="P404" s="2">
        <v>10</v>
      </c>
      <c r="Q404" s="2" t="s">
        <v>1820</v>
      </c>
      <c r="R404" s="2" t="s">
        <v>1821</v>
      </c>
      <c r="S404" s="4">
        <v>44837</v>
      </c>
    </row>
    <row r="405" spans="1:19" ht="12.5" x14ac:dyDescent="0.25">
      <c r="A405" s="14" t="str">
        <f>HYPERLINK("https://gerandofalcoes.my.salesforce.com/0014X00002VKCszQAH", "0014X00002VKCszQAH")</f>
        <v>0014X00002VKCszQAH</v>
      </c>
      <c r="B405" s="2" t="s">
        <v>2473</v>
      </c>
      <c r="C405" s="2" t="s">
        <v>423</v>
      </c>
      <c r="D405" s="2" t="s">
        <v>2</v>
      </c>
      <c r="E405" s="2">
        <v>29</v>
      </c>
      <c r="F405" s="2">
        <v>0</v>
      </c>
      <c r="G405" s="2">
        <v>6</v>
      </c>
      <c r="H405" s="2">
        <v>30000</v>
      </c>
      <c r="I405" s="2">
        <v>30</v>
      </c>
      <c r="J405" s="2" t="s">
        <v>1671</v>
      </c>
      <c r="K405" s="2">
        <v>40</v>
      </c>
      <c r="L405" s="2">
        <v>15</v>
      </c>
      <c r="M405" s="2">
        <v>0</v>
      </c>
      <c r="N405" s="2">
        <v>10</v>
      </c>
      <c r="O405" s="2">
        <v>10</v>
      </c>
      <c r="P405" s="2">
        <v>5</v>
      </c>
      <c r="Q405" s="2" t="s">
        <v>2474</v>
      </c>
      <c r="R405" s="2" t="s">
        <v>2475</v>
      </c>
      <c r="S405" s="4">
        <v>44837</v>
      </c>
    </row>
    <row r="406" spans="1:19" ht="12.5" x14ac:dyDescent="0.25">
      <c r="A406" s="14" t="str">
        <f>HYPERLINK("https://gerandofalcoes.my.salesforce.com/0014X00002VKCpBQAX", "0014X00002VKCpBQAX")</f>
        <v>0014X00002VKCpBQAX</v>
      </c>
      <c r="B406" s="2" t="s">
        <v>2504</v>
      </c>
      <c r="C406" s="2" t="s">
        <v>423</v>
      </c>
      <c r="D406" s="2" t="s">
        <v>2</v>
      </c>
      <c r="E406" s="2">
        <v>24</v>
      </c>
      <c r="F406" s="2">
        <v>0</v>
      </c>
      <c r="G406" s="2">
        <v>3</v>
      </c>
      <c r="H406" s="2">
        <v>96000</v>
      </c>
      <c r="I406" s="2">
        <v>80</v>
      </c>
      <c r="J406" s="2" t="s">
        <v>1779</v>
      </c>
      <c r="K406" s="2">
        <v>38</v>
      </c>
      <c r="L406" s="2">
        <v>10</v>
      </c>
      <c r="M406" s="2">
        <v>0</v>
      </c>
      <c r="N406" s="2">
        <v>8</v>
      </c>
      <c r="O406" s="2">
        <v>10</v>
      </c>
      <c r="P406" s="2">
        <v>10</v>
      </c>
      <c r="Q406" s="2" t="s">
        <v>2505</v>
      </c>
      <c r="R406" s="2" t="s">
        <v>2505</v>
      </c>
      <c r="S406" s="4">
        <v>44837</v>
      </c>
    </row>
    <row r="407" spans="1:19" ht="12.5" x14ac:dyDescent="0.25">
      <c r="A407" s="14" t="str">
        <f>HYPERLINK("https://gerandofalcoes.my.salesforce.com/0014X00002VKCtrQAH", "0014X00002VKCtrQAH")</f>
        <v>0014X00002VKCtrQAH</v>
      </c>
      <c r="B407" s="2" t="s">
        <v>1969</v>
      </c>
      <c r="C407" s="2" t="s">
        <v>423</v>
      </c>
      <c r="D407" s="2" t="s">
        <v>2</v>
      </c>
      <c r="E407" s="2">
        <v>40</v>
      </c>
      <c r="F407" s="2">
        <v>0</v>
      </c>
      <c r="G407" s="2">
        <v>2</v>
      </c>
      <c r="H407" s="2">
        <v>0</v>
      </c>
      <c r="I407" s="2">
        <v>0</v>
      </c>
      <c r="J407" s="2" t="s">
        <v>1779</v>
      </c>
      <c r="K407" s="2">
        <v>21</v>
      </c>
      <c r="L407" s="2">
        <v>15</v>
      </c>
      <c r="M407" s="2">
        <v>0</v>
      </c>
      <c r="N407" s="2">
        <v>6</v>
      </c>
      <c r="O407" s="2">
        <v>0</v>
      </c>
      <c r="P407" s="2">
        <v>0</v>
      </c>
      <c r="Q407" s="2" t="s">
        <v>1970</v>
      </c>
      <c r="R407" s="2" t="s">
        <v>1971</v>
      </c>
      <c r="S407" s="4">
        <v>44837</v>
      </c>
    </row>
    <row r="408" spans="1:19" ht="12.5" x14ac:dyDescent="0.25">
      <c r="A408" s="14" t="str">
        <f>HYPERLINK("https://gerandofalcoes.my.salesforce.com/0014X00002VKCuHQAX", "0014X00002VKCuHQAX")</f>
        <v>0014X00002VKCuHQAX</v>
      </c>
      <c r="B408" s="2" t="s">
        <v>2606</v>
      </c>
      <c r="C408" s="2" t="s">
        <v>423</v>
      </c>
      <c r="D408" s="2" t="s">
        <v>2</v>
      </c>
      <c r="E408" s="2">
        <v>19</v>
      </c>
      <c r="F408" s="2">
        <v>0</v>
      </c>
      <c r="G408" s="2">
        <v>3</v>
      </c>
      <c r="H408" s="2">
        <v>25000</v>
      </c>
      <c r="I408" s="2">
        <v>0</v>
      </c>
      <c r="J408" s="2" t="s">
        <v>1779</v>
      </c>
      <c r="K408" s="2">
        <v>28</v>
      </c>
      <c r="L408" s="2">
        <v>10</v>
      </c>
      <c r="M408" s="2">
        <v>0</v>
      </c>
      <c r="N408" s="2">
        <v>8</v>
      </c>
      <c r="O408" s="2">
        <v>10</v>
      </c>
      <c r="P408" s="2">
        <v>0</v>
      </c>
      <c r="Q408" s="2" t="s">
        <v>7198</v>
      </c>
      <c r="R408" s="2" t="s">
        <v>2608</v>
      </c>
      <c r="S408" s="4">
        <v>44837</v>
      </c>
    </row>
    <row r="409" spans="1:19" ht="12.5" x14ac:dyDescent="0.25">
      <c r="A409" s="14" t="str">
        <f>HYPERLINK("https://gerandofalcoes.my.salesforce.com/0014X00002VKCqbQAH", "0014X00002VKCqbQAH")</f>
        <v>0014X00002VKCqbQAH</v>
      </c>
      <c r="B409" s="2" t="s">
        <v>2040</v>
      </c>
      <c r="C409" s="2" t="s">
        <v>423</v>
      </c>
      <c r="D409" s="2" t="s">
        <v>2</v>
      </c>
      <c r="E409" s="2">
        <v>37</v>
      </c>
      <c r="F409" s="2">
        <v>0</v>
      </c>
      <c r="G409" s="2">
        <v>3</v>
      </c>
      <c r="H409" s="2">
        <v>70000</v>
      </c>
      <c r="I409" s="2">
        <v>50</v>
      </c>
      <c r="J409" s="2" t="s">
        <v>1779</v>
      </c>
      <c r="K409" s="2">
        <v>38</v>
      </c>
      <c r="L409" s="2">
        <v>15</v>
      </c>
      <c r="M409" s="2">
        <v>0</v>
      </c>
      <c r="N409" s="2">
        <v>8</v>
      </c>
      <c r="O409" s="2">
        <v>10</v>
      </c>
      <c r="P409" s="2">
        <v>5</v>
      </c>
      <c r="Q409" s="2" t="s">
        <v>2041</v>
      </c>
      <c r="R409" s="2" t="s">
        <v>2042</v>
      </c>
      <c r="S409" s="4">
        <v>44837</v>
      </c>
    </row>
    <row r="410" spans="1:19" ht="12.5" x14ac:dyDescent="0.25">
      <c r="A410" s="14" t="str">
        <f>HYPERLINK("https://gerandofalcoes.my.salesforce.com/0014X00002VKCsnQAH", "0014X00002VKCsnQAH")</f>
        <v>0014X00002VKCsnQAH</v>
      </c>
      <c r="B410" s="2" t="s">
        <v>1899</v>
      </c>
      <c r="C410" s="2" t="s">
        <v>423</v>
      </c>
      <c r="D410" s="2" t="s">
        <v>2</v>
      </c>
      <c r="E410" s="2">
        <v>55</v>
      </c>
      <c r="F410" s="2">
        <v>7</v>
      </c>
      <c r="G410" s="2">
        <v>3</v>
      </c>
      <c r="H410" s="2">
        <v>26180</v>
      </c>
      <c r="I410" s="2">
        <v>72</v>
      </c>
      <c r="J410" s="2" t="s">
        <v>1671</v>
      </c>
      <c r="K410" s="2">
        <v>53</v>
      </c>
      <c r="L410" s="2">
        <v>20</v>
      </c>
      <c r="M410" s="2">
        <v>10</v>
      </c>
      <c r="N410" s="2">
        <v>8</v>
      </c>
      <c r="O410" s="2">
        <v>10</v>
      </c>
      <c r="P410" s="2">
        <v>5</v>
      </c>
      <c r="Q410" s="2" t="s">
        <v>1900</v>
      </c>
      <c r="R410" s="2" t="s">
        <v>1901</v>
      </c>
      <c r="S410" s="4">
        <v>44837</v>
      </c>
    </row>
    <row r="411" spans="1:19" ht="12.5" x14ac:dyDescent="0.25">
      <c r="A411" s="14" t="str">
        <f>HYPERLINK("https://gerandofalcoes.my.salesforce.com/0014X00002VKCqSQAX", "0014X00002VKCqSQAX")</f>
        <v>0014X00002VKCqSQAX</v>
      </c>
      <c r="B411" s="2" t="s">
        <v>2197</v>
      </c>
      <c r="C411" s="2" t="s">
        <v>423</v>
      </c>
      <c r="D411" s="2" t="s">
        <v>2</v>
      </c>
      <c r="E411" s="2">
        <v>33</v>
      </c>
      <c r="F411" s="2">
        <v>0</v>
      </c>
      <c r="G411" s="2">
        <v>3</v>
      </c>
      <c r="H411" s="2">
        <v>2160</v>
      </c>
      <c r="I411" s="2">
        <v>0</v>
      </c>
      <c r="J411" s="2" t="s">
        <v>1779</v>
      </c>
      <c r="K411" s="2">
        <v>28</v>
      </c>
      <c r="L411" s="2">
        <v>15</v>
      </c>
      <c r="M411" s="2">
        <v>0</v>
      </c>
      <c r="N411" s="2">
        <v>8</v>
      </c>
      <c r="O411" s="2">
        <v>5</v>
      </c>
      <c r="P411" s="2">
        <v>0</v>
      </c>
      <c r="Q411" s="2" t="s">
        <v>2198</v>
      </c>
      <c r="R411" s="2" t="s">
        <v>2199</v>
      </c>
      <c r="S411" s="4">
        <v>44837</v>
      </c>
    </row>
    <row r="412" spans="1:19" ht="12.5" x14ac:dyDescent="0.25">
      <c r="A412" s="14" t="str">
        <f>HYPERLINK("https://gerandofalcoes.my.salesforce.com/0014X00002VKCubQAH", "0014X00002VKCubQAH")</f>
        <v>0014X00002VKCubQAH</v>
      </c>
      <c r="B412" s="2" t="s">
        <v>2062</v>
      </c>
      <c r="C412" s="2" t="s">
        <v>423</v>
      </c>
      <c r="D412" s="2" t="s">
        <v>2</v>
      </c>
      <c r="E412" s="2">
        <v>37</v>
      </c>
      <c r="F412" s="2">
        <v>3</v>
      </c>
      <c r="G412" s="2">
        <v>3</v>
      </c>
      <c r="H412" s="2">
        <v>3000</v>
      </c>
      <c r="I412" s="2">
        <v>15</v>
      </c>
      <c r="J412" s="2" t="s">
        <v>1779</v>
      </c>
      <c r="K412" s="2">
        <v>38</v>
      </c>
      <c r="L412" s="2">
        <v>15</v>
      </c>
      <c r="M412" s="2">
        <v>5</v>
      </c>
      <c r="N412" s="2">
        <v>8</v>
      </c>
      <c r="O412" s="2">
        <v>5</v>
      </c>
      <c r="P412" s="2">
        <v>5</v>
      </c>
      <c r="Q412" s="2" t="s">
        <v>2063</v>
      </c>
      <c r="R412" s="2" t="s">
        <v>2064</v>
      </c>
      <c r="S412" s="4">
        <v>44837</v>
      </c>
    </row>
    <row r="413" spans="1:19" ht="12.5" x14ac:dyDescent="0.25">
      <c r="A413" s="14" t="str">
        <f>HYPERLINK("https://gerandofalcoes.my.salesforce.com/0014X00002VKCsOQAX", "0014X00002VKCsOQAX")</f>
        <v>0014X00002VKCsOQAX</v>
      </c>
      <c r="B413" s="2" t="s">
        <v>1858</v>
      </c>
      <c r="C413" s="2" t="s">
        <v>423</v>
      </c>
      <c r="D413" s="2" t="s">
        <v>2</v>
      </c>
      <c r="E413" s="2">
        <v>46</v>
      </c>
      <c r="F413" s="2">
        <v>0</v>
      </c>
      <c r="G413" s="2">
        <v>3</v>
      </c>
      <c r="H413" s="2">
        <v>10000</v>
      </c>
      <c r="I413" s="2">
        <v>110</v>
      </c>
      <c r="J413" s="2" t="s">
        <v>1779</v>
      </c>
      <c r="K413" s="2">
        <v>38</v>
      </c>
      <c r="L413" s="2">
        <v>15</v>
      </c>
      <c r="M413" s="2">
        <v>0</v>
      </c>
      <c r="N413" s="2">
        <v>8</v>
      </c>
      <c r="O413" s="2">
        <v>5</v>
      </c>
      <c r="P413" s="2">
        <v>10</v>
      </c>
      <c r="Q413" s="2" t="s">
        <v>1859</v>
      </c>
      <c r="R413" s="2" t="s">
        <v>1860</v>
      </c>
      <c r="S413" s="4">
        <v>44837</v>
      </c>
    </row>
    <row r="414" spans="1:19" ht="12.5" x14ac:dyDescent="0.25">
      <c r="A414" s="14" t="str">
        <f>HYPERLINK("https://gerandofalcoes.my.salesforce.com/0014X00002VKCuuQAH", "0014X00002VKCuuQAH")</f>
        <v>0014X00002VKCuuQAH</v>
      </c>
      <c r="B414" s="2" t="s">
        <v>2933</v>
      </c>
      <c r="C414" s="2" t="s">
        <v>423</v>
      </c>
      <c r="D414" s="2" t="s">
        <v>2</v>
      </c>
      <c r="E414" s="2">
        <v>6</v>
      </c>
      <c r="F414" s="2">
        <v>5</v>
      </c>
      <c r="G414" s="2">
        <v>5</v>
      </c>
      <c r="H414" s="2">
        <v>0</v>
      </c>
      <c r="I414" s="2">
        <v>80</v>
      </c>
      <c r="J414" s="2" t="s">
        <v>1779</v>
      </c>
      <c r="K414" s="2">
        <v>35</v>
      </c>
      <c r="L414" s="2">
        <v>10</v>
      </c>
      <c r="M414" s="2">
        <v>5</v>
      </c>
      <c r="N414" s="2">
        <v>10</v>
      </c>
      <c r="O414" s="2">
        <v>0</v>
      </c>
      <c r="P414" s="2">
        <v>10</v>
      </c>
      <c r="Q414" s="2" t="s">
        <v>2934</v>
      </c>
      <c r="R414" s="2" t="s">
        <v>2934</v>
      </c>
      <c r="S414" s="4">
        <v>44837</v>
      </c>
    </row>
    <row r="415" spans="1:19" ht="12.5" x14ac:dyDescent="0.25">
      <c r="A415" s="14" t="str">
        <f>HYPERLINK("https://gerandofalcoes.my.salesforce.com/0014X00002VKCv6QAH", "0014X00002VKCv6QAH")</f>
        <v>0014X00002VKCv6QAH</v>
      </c>
      <c r="B415" s="2" t="s">
        <v>2941</v>
      </c>
      <c r="C415" s="2" t="s">
        <v>423</v>
      </c>
      <c r="D415" s="2" t="s">
        <v>2</v>
      </c>
      <c r="E415" s="2">
        <v>29</v>
      </c>
      <c r="F415" s="2">
        <v>0</v>
      </c>
      <c r="G415" s="2">
        <v>3</v>
      </c>
      <c r="H415" s="2">
        <v>9800</v>
      </c>
      <c r="I415" s="2">
        <v>54</v>
      </c>
      <c r="J415" s="2" t="s">
        <v>1779</v>
      </c>
      <c r="K415" s="2">
        <v>33</v>
      </c>
      <c r="L415" s="2">
        <v>15</v>
      </c>
      <c r="M415" s="2">
        <v>0</v>
      </c>
      <c r="N415" s="2">
        <v>8</v>
      </c>
      <c r="O415" s="2">
        <v>5</v>
      </c>
      <c r="P415" s="2">
        <v>5</v>
      </c>
      <c r="Q415" s="2" t="s">
        <v>2942</v>
      </c>
      <c r="R415" s="2" t="s">
        <v>2943</v>
      </c>
      <c r="S415" s="4">
        <v>44837</v>
      </c>
    </row>
    <row r="416" spans="1:19" ht="12.5" x14ac:dyDescent="0.25">
      <c r="A416" s="14" t="str">
        <f>HYPERLINK("https://gerandofalcoes.my.salesforce.com/0014X00002VKCtkQAH", "0014X00002VKCtkQAH")</f>
        <v>0014X00002VKCtkQAH</v>
      </c>
      <c r="B416" s="2" t="s">
        <v>2200</v>
      </c>
      <c r="C416" s="2" t="s">
        <v>423</v>
      </c>
      <c r="D416" s="2" t="s">
        <v>2</v>
      </c>
      <c r="E416" s="2">
        <v>31</v>
      </c>
      <c r="F416" s="2">
        <v>14</v>
      </c>
      <c r="G416" s="2">
        <v>5</v>
      </c>
      <c r="H416" s="2">
        <v>22000</v>
      </c>
      <c r="I416" s="2">
        <v>250</v>
      </c>
      <c r="J416" s="2" t="s">
        <v>1671</v>
      </c>
      <c r="K416" s="2">
        <v>54</v>
      </c>
      <c r="L416" s="2">
        <v>15</v>
      </c>
      <c r="M416" s="2">
        <v>12</v>
      </c>
      <c r="N416" s="2">
        <v>10</v>
      </c>
      <c r="O416" s="2">
        <v>5</v>
      </c>
      <c r="P416" s="2">
        <v>12</v>
      </c>
      <c r="Q416" s="2" t="s">
        <v>2201</v>
      </c>
      <c r="R416" s="2" t="s">
        <v>2202</v>
      </c>
      <c r="S416" s="4">
        <v>44837</v>
      </c>
    </row>
    <row r="417" spans="1:19" ht="12.5" x14ac:dyDescent="0.25">
      <c r="A417" s="14" t="str">
        <f>HYPERLINK("https://gerandofalcoes.my.salesforce.com/0014X00002VKCpdQAH", "0014X00002VKCpdQAH")</f>
        <v>0014X00002VKCpdQAH</v>
      </c>
      <c r="B417" s="2" t="s">
        <v>1731</v>
      </c>
      <c r="C417" s="2" t="s">
        <v>423</v>
      </c>
      <c r="D417" s="2" t="s">
        <v>2</v>
      </c>
      <c r="E417" s="2">
        <v>71</v>
      </c>
      <c r="F417" s="2">
        <v>22</v>
      </c>
      <c r="G417" s="2">
        <v>3</v>
      </c>
      <c r="H417" s="2">
        <v>1171000</v>
      </c>
      <c r="I417" s="2">
        <v>120</v>
      </c>
      <c r="J417" s="2" t="s">
        <v>1650</v>
      </c>
      <c r="K417" s="2">
        <v>75</v>
      </c>
      <c r="L417" s="2">
        <v>20</v>
      </c>
      <c r="M417" s="2">
        <v>12</v>
      </c>
      <c r="N417" s="2">
        <v>8</v>
      </c>
      <c r="O417" s="2">
        <v>25</v>
      </c>
      <c r="P417" s="2">
        <v>10</v>
      </c>
      <c r="Q417" s="2" t="s">
        <v>1732</v>
      </c>
      <c r="R417" s="2" t="s">
        <v>1733</v>
      </c>
      <c r="S417" s="4">
        <v>44837</v>
      </c>
    </row>
    <row r="418" spans="1:19" ht="12.5" x14ac:dyDescent="0.25">
      <c r="A418" s="14" t="str">
        <f>HYPERLINK("https://gerandofalcoes.my.salesforce.com/0014X00002VKCtyQAH", "0014X00002VKCtyQAH")</f>
        <v>0014X00002VKCtyQAH</v>
      </c>
      <c r="B418" s="2" t="s">
        <v>1750</v>
      </c>
      <c r="C418" s="2" t="s">
        <v>423</v>
      </c>
      <c r="D418" s="2" t="s">
        <v>2</v>
      </c>
      <c r="E418" s="2">
        <v>63</v>
      </c>
      <c r="F418" s="2">
        <v>0</v>
      </c>
      <c r="G418" s="2">
        <v>4</v>
      </c>
      <c r="H418" s="2">
        <v>50000</v>
      </c>
      <c r="I418" s="2">
        <v>65</v>
      </c>
      <c r="J418" s="2" t="s">
        <v>1671</v>
      </c>
      <c r="K418" s="2">
        <v>45</v>
      </c>
      <c r="L418" s="2">
        <v>20</v>
      </c>
      <c r="M418" s="2">
        <v>0</v>
      </c>
      <c r="N418" s="2">
        <v>10</v>
      </c>
      <c r="O418" s="2">
        <v>10</v>
      </c>
      <c r="P418" s="2">
        <v>5</v>
      </c>
      <c r="Q418" s="2" t="s">
        <v>1751</v>
      </c>
      <c r="R418" s="2" t="s">
        <v>1752</v>
      </c>
      <c r="S418" s="4">
        <v>44837</v>
      </c>
    </row>
    <row r="419" spans="1:19" ht="12.5" x14ac:dyDescent="0.25">
      <c r="A419" s="14" t="str">
        <f>HYPERLINK("https://gerandofalcoes.my.salesforce.com/0014X00002VKCrWQAX", "0014X00002VKCrWQAX")</f>
        <v>0014X00002VKCrWQAX</v>
      </c>
      <c r="B419" s="2" t="s">
        <v>2235</v>
      </c>
      <c r="C419" s="2" t="s">
        <v>423</v>
      </c>
      <c r="D419" s="2" t="s">
        <v>2</v>
      </c>
      <c r="E419" s="2">
        <v>31</v>
      </c>
      <c r="F419" s="2">
        <v>700</v>
      </c>
      <c r="G419" s="2">
        <v>3</v>
      </c>
      <c r="H419" s="2">
        <v>100000</v>
      </c>
      <c r="I419" s="2">
        <v>850</v>
      </c>
      <c r="J419" s="2" t="s">
        <v>1650</v>
      </c>
      <c r="K419" s="2">
        <v>73</v>
      </c>
      <c r="L419" s="2">
        <v>15</v>
      </c>
      <c r="M419" s="2">
        <v>15</v>
      </c>
      <c r="N419" s="2">
        <v>8</v>
      </c>
      <c r="O419" s="2">
        <v>15</v>
      </c>
      <c r="P419" s="2">
        <v>20</v>
      </c>
      <c r="Q419" s="2" t="s">
        <v>2236</v>
      </c>
      <c r="R419" s="2" t="s">
        <v>2237</v>
      </c>
      <c r="S419" s="4">
        <v>44837</v>
      </c>
    </row>
    <row r="420" spans="1:19" ht="12.5" x14ac:dyDescent="0.25">
      <c r="A420" s="14" t="str">
        <f>HYPERLINK("https://gerandofalcoes.my.salesforce.com/0014X00002VKCrkQAH", "0014X00002VKCrkQAH")</f>
        <v>0014X00002VKCrkQAH</v>
      </c>
      <c r="B420" s="2" t="s">
        <v>2093</v>
      </c>
      <c r="C420" s="2" t="s">
        <v>423</v>
      </c>
      <c r="D420" s="2" t="s">
        <v>2</v>
      </c>
      <c r="E420" s="2">
        <v>50</v>
      </c>
      <c r="F420" s="2">
        <v>10</v>
      </c>
      <c r="G420" s="2">
        <v>4</v>
      </c>
      <c r="H420" s="2">
        <v>120000</v>
      </c>
      <c r="I420" s="2">
        <v>50</v>
      </c>
      <c r="J420" s="2" t="s">
        <v>1671</v>
      </c>
      <c r="K420" s="2">
        <v>60</v>
      </c>
      <c r="L420" s="2">
        <v>20</v>
      </c>
      <c r="M420" s="2">
        <v>10</v>
      </c>
      <c r="N420" s="2">
        <v>10</v>
      </c>
      <c r="O420" s="2">
        <v>15</v>
      </c>
      <c r="P420" s="2">
        <v>5</v>
      </c>
      <c r="Q420" s="2" t="s">
        <v>2094</v>
      </c>
      <c r="R420" s="2" t="s">
        <v>2095</v>
      </c>
      <c r="S420" s="4">
        <v>44837</v>
      </c>
    </row>
    <row r="421" spans="1:19" ht="12.5" x14ac:dyDescent="0.25">
      <c r="A421" s="14" t="str">
        <f>HYPERLINK("https://gerandofalcoes.my.salesforce.com/0014P00003YSp8eQAD", "0014P00003YSp8eQAD")</f>
        <v>0014P00003YSp8eQAD</v>
      </c>
      <c r="B421" s="2" t="s">
        <v>2309</v>
      </c>
      <c r="C421" s="2" t="s">
        <v>423</v>
      </c>
      <c r="D421" s="2" t="s">
        <v>2</v>
      </c>
      <c r="E421" s="2">
        <v>29</v>
      </c>
      <c r="F421" s="2">
        <v>0</v>
      </c>
      <c r="G421" s="2">
        <v>3</v>
      </c>
      <c r="H421" s="2">
        <v>350000</v>
      </c>
      <c r="I421" s="2">
        <v>0</v>
      </c>
      <c r="J421" s="2" t="s">
        <v>1671</v>
      </c>
      <c r="K421" s="2">
        <v>43</v>
      </c>
      <c r="L421" s="2">
        <v>15</v>
      </c>
      <c r="M421" s="2">
        <v>0</v>
      </c>
      <c r="N421" s="2">
        <v>8</v>
      </c>
      <c r="O421" s="2">
        <v>20</v>
      </c>
      <c r="P421" s="2">
        <v>0</v>
      </c>
      <c r="Q421" s="2" t="s">
        <v>2310</v>
      </c>
      <c r="R421" s="2" t="s">
        <v>2311</v>
      </c>
      <c r="S421" s="4">
        <v>44837</v>
      </c>
    </row>
    <row r="422" spans="1:19" ht="12.5" x14ac:dyDescent="0.25">
      <c r="A422" s="14" t="str">
        <f>HYPERLINK("https://gerandofalcoes.my.salesforce.com/0014P00003YSp8fQAD", "0014P00003YSp8fQAD")</f>
        <v>0014P00003YSp8fQAD</v>
      </c>
      <c r="B422" s="2" t="s">
        <v>1713</v>
      </c>
      <c r="C422" s="2" t="s">
        <v>423</v>
      </c>
      <c r="D422" s="2" t="s">
        <v>2</v>
      </c>
      <c r="E422" s="2">
        <v>38</v>
      </c>
      <c r="F422" s="2">
        <v>7</v>
      </c>
      <c r="G422" s="2">
        <v>2</v>
      </c>
      <c r="H422" s="2">
        <v>120000</v>
      </c>
      <c r="I422" s="2">
        <v>90</v>
      </c>
      <c r="J422" s="2" t="s">
        <v>1671</v>
      </c>
      <c r="K422" s="2">
        <v>56</v>
      </c>
      <c r="L422" s="2">
        <v>15</v>
      </c>
      <c r="M422" s="2">
        <v>10</v>
      </c>
      <c r="N422" s="2">
        <v>6</v>
      </c>
      <c r="O422" s="2">
        <v>15</v>
      </c>
      <c r="P422" s="2">
        <v>10</v>
      </c>
      <c r="Q422" s="2" t="s">
        <v>1714</v>
      </c>
      <c r="R422" s="2" t="s">
        <v>1715</v>
      </c>
      <c r="S422" s="4">
        <v>44837</v>
      </c>
    </row>
    <row r="423" spans="1:19" ht="12.5" x14ac:dyDescent="0.25">
      <c r="A423" s="14" t="str">
        <f>HYPERLINK("https://gerandofalcoes.my.salesforce.com/0014P00003YSp8gQAD", "0014P00003YSp8gQAD")</f>
        <v>0014P00003YSp8gQAD</v>
      </c>
      <c r="B423" s="2" t="s">
        <v>2635</v>
      </c>
      <c r="C423" s="2" t="s">
        <v>423</v>
      </c>
      <c r="D423" s="2" t="s">
        <v>2</v>
      </c>
      <c r="E423" s="2">
        <v>18</v>
      </c>
      <c r="F423" s="2">
        <v>4</v>
      </c>
      <c r="G423" s="2">
        <v>2</v>
      </c>
      <c r="H423" s="2">
        <v>2000</v>
      </c>
      <c r="I423" s="2">
        <v>70</v>
      </c>
      <c r="J423" s="2" t="s">
        <v>1779</v>
      </c>
      <c r="K423" s="2">
        <v>31</v>
      </c>
      <c r="L423" s="2">
        <v>10</v>
      </c>
      <c r="M423" s="2">
        <v>5</v>
      </c>
      <c r="N423" s="2">
        <v>6</v>
      </c>
      <c r="O423" s="2">
        <v>5</v>
      </c>
      <c r="P423" s="2">
        <v>5</v>
      </c>
      <c r="Q423" s="2" t="s">
        <v>2636</v>
      </c>
      <c r="R423" s="2" t="s">
        <v>2636</v>
      </c>
      <c r="S423" s="4">
        <v>44837</v>
      </c>
    </row>
    <row r="424" spans="1:19" ht="12.5" x14ac:dyDescent="0.25">
      <c r="A424" s="14" t="str">
        <f>HYPERLINK("https://gerandofalcoes.my.salesforce.com/0014P00003YSp8hQAD", "0014P00003YSp8hQAD")</f>
        <v>0014P00003YSp8hQAD</v>
      </c>
      <c r="B424" s="2" t="s">
        <v>7179</v>
      </c>
      <c r="C424" s="2" t="s">
        <v>423</v>
      </c>
      <c r="D424" s="2" t="s">
        <v>2</v>
      </c>
      <c r="E424" s="2">
        <v>11</v>
      </c>
      <c r="F424" s="2">
        <v>10</v>
      </c>
      <c r="G424" s="2">
        <v>2</v>
      </c>
      <c r="H424" s="2">
        <v>90000</v>
      </c>
      <c r="I424" s="2">
        <v>0</v>
      </c>
      <c r="J424" s="2" t="s">
        <v>1779</v>
      </c>
      <c r="K424" s="2">
        <v>36</v>
      </c>
      <c r="L424" s="2">
        <v>10</v>
      </c>
      <c r="M424" s="2">
        <v>10</v>
      </c>
      <c r="N424" s="2">
        <v>6</v>
      </c>
      <c r="O424" s="2">
        <v>10</v>
      </c>
      <c r="P424" s="2">
        <v>0</v>
      </c>
      <c r="Q424" s="2" t="s">
        <v>2843</v>
      </c>
      <c r="R424" s="2" t="s">
        <v>2843</v>
      </c>
      <c r="S424" s="4">
        <v>44837</v>
      </c>
    </row>
    <row r="425" spans="1:19" ht="12.5" x14ac:dyDescent="0.25">
      <c r="A425" s="14" t="str">
        <f>HYPERLINK("https://gerandofalcoes.my.salesforce.com/0014P00003YSp8iQAD", "0014P00003YSp8iQAD")</f>
        <v>0014P00003YSp8iQAD</v>
      </c>
      <c r="B425" s="2" t="s">
        <v>1770</v>
      </c>
      <c r="C425" s="2" t="s">
        <v>423</v>
      </c>
      <c r="D425" s="2" t="s">
        <v>2</v>
      </c>
      <c r="E425" s="2">
        <v>41</v>
      </c>
      <c r="F425" s="2">
        <v>5</v>
      </c>
      <c r="G425" s="2">
        <v>8</v>
      </c>
      <c r="H425" s="2">
        <v>78878</v>
      </c>
      <c r="I425" s="2">
        <v>40</v>
      </c>
      <c r="J425" s="2" t="s">
        <v>1671</v>
      </c>
      <c r="K425" s="2">
        <v>45</v>
      </c>
      <c r="L425" s="2">
        <v>15</v>
      </c>
      <c r="M425" s="2">
        <v>5</v>
      </c>
      <c r="N425" s="2">
        <v>10</v>
      </c>
      <c r="O425" s="2">
        <v>10</v>
      </c>
      <c r="P425" s="2">
        <v>5</v>
      </c>
      <c r="Q425" s="2" t="s">
        <v>1771</v>
      </c>
      <c r="R425" s="2" t="s">
        <v>1772</v>
      </c>
      <c r="S425" s="4">
        <v>44837</v>
      </c>
    </row>
    <row r="426" spans="1:19" ht="12.5" x14ac:dyDescent="0.25">
      <c r="A426" s="14" t="str">
        <f>HYPERLINK("https://gerandofalcoes.my.salesforce.com/0014P00003YSp8kQAD", "0014P00003YSp8kQAD")</f>
        <v>0014P00003YSp8kQAD</v>
      </c>
      <c r="B426" s="2" t="s">
        <v>2295</v>
      </c>
      <c r="C426" s="2" t="s">
        <v>423</v>
      </c>
      <c r="D426" s="2" t="s">
        <v>2</v>
      </c>
      <c r="E426" s="2">
        <v>29</v>
      </c>
      <c r="F426" s="2">
        <v>2</v>
      </c>
      <c r="G426" s="2">
        <v>2</v>
      </c>
      <c r="H426" s="2">
        <v>12000</v>
      </c>
      <c r="I426" s="2">
        <v>300</v>
      </c>
      <c r="J426" s="2" t="s">
        <v>1671</v>
      </c>
      <c r="K426" s="2">
        <v>46</v>
      </c>
      <c r="L426" s="2">
        <v>15</v>
      </c>
      <c r="M426" s="2">
        <v>5</v>
      </c>
      <c r="N426" s="2">
        <v>6</v>
      </c>
      <c r="O426" s="2">
        <v>5</v>
      </c>
      <c r="P426" s="2">
        <v>15</v>
      </c>
      <c r="Q426" s="2" t="s">
        <v>2296</v>
      </c>
      <c r="R426" s="2" t="s">
        <v>2297</v>
      </c>
      <c r="S426" s="4">
        <v>44837</v>
      </c>
    </row>
    <row r="427" spans="1:19" ht="12.5" x14ac:dyDescent="0.25">
      <c r="A427" s="14" t="str">
        <f>HYPERLINK("https://gerandofalcoes.my.salesforce.com/0014P00003YSp8lQAD", "0014P00003YSp8lQAD")</f>
        <v>0014P00003YSp8lQAD</v>
      </c>
      <c r="B427" s="2" t="s">
        <v>2775</v>
      </c>
      <c r="C427" s="2" t="s">
        <v>423</v>
      </c>
      <c r="D427" s="2" t="s">
        <v>2</v>
      </c>
      <c r="E427" s="2">
        <v>33</v>
      </c>
      <c r="F427" s="2">
        <v>0</v>
      </c>
      <c r="G427" s="2">
        <v>2</v>
      </c>
      <c r="H427" s="2">
        <v>8000</v>
      </c>
      <c r="I427" s="2">
        <v>45</v>
      </c>
      <c r="J427" s="2" t="s">
        <v>1779</v>
      </c>
      <c r="K427" s="2">
        <v>31</v>
      </c>
      <c r="L427" s="2">
        <v>15</v>
      </c>
      <c r="M427" s="2">
        <v>0</v>
      </c>
      <c r="N427" s="2">
        <v>6</v>
      </c>
      <c r="O427" s="2">
        <v>5</v>
      </c>
      <c r="P427" s="2">
        <v>5</v>
      </c>
      <c r="Q427" s="2" t="s">
        <v>2776</v>
      </c>
      <c r="R427" s="2" t="s">
        <v>2776</v>
      </c>
      <c r="S427" s="4">
        <v>44837</v>
      </c>
    </row>
    <row r="428" spans="1:19" ht="12.5" x14ac:dyDescent="0.25">
      <c r="A428" s="14" t="str">
        <f>HYPERLINK("https://gerandofalcoes.my.salesforce.com/0014P00003YSp8mQAD", "0014P00003YSp8mQAD")</f>
        <v>0014P00003YSp8mQAD</v>
      </c>
      <c r="B428" s="2" t="s">
        <v>2599</v>
      </c>
      <c r="C428" s="2" t="s">
        <v>423</v>
      </c>
      <c r="D428" s="2" t="s">
        <v>2</v>
      </c>
      <c r="E428" s="2">
        <v>19</v>
      </c>
      <c r="F428" s="2">
        <v>11</v>
      </c>
      <c r="G428" s="2">
        <v>4</v>
      </c>
      <c r="H428" s="2">
        <v>700</v>
      </c>
      <c r="I428" s="2">
        <v>160</v>
      </c>
      <c r="J428" s="2" t="s">
        <v>1671</v>
      </c>
      <c r="K428" s="2">
        <v>49</v>
      </c>
      <c r="L428" s="2">
        <v>10</v>
      </c>
      <c r="M428" s="2">
        <v>12</v>
      </c>
      <c r="N428" s="2">
        <v>10</v>
      </c>
      <c r="O428" s="2">
        <v>5</v>
      </c>
      <c r="P428" s="2">
        <v>12</v>
      </c>
      <c r="Q428" s="2"/>
      <c r="R428" s="2" t="s">
        <v>2600</v>
      </c>
      <c r="S428" s="4">
        <v>44837</v>
      </c>
    </row>
    <row r="429" spans="1:19" ht="12.5" x14ac:dyDescent="0.25">
      <c r="A429" s="14" t="str">
        <f>HYPERLINK("https://gerandofalcoes.my.salesforce.com/0014P00003YSp8nQAD", "0014P00003YSp8nQAD")</f>
        <v>0014P00003YSp8nQAD</v>
      </c>
      <c r="B429" s="2" t="s">
        <v>2028</v>
      </c>
      <c r="C429" s="2" t="s">
        <v>423</v>
      </c>
      <c r="D429" s="2" t="s">
        <v>2</v>
      </c>
      <c r="E429" s="2">
        <v>23</v>
      </c>
      <c r="F429" s="2">
        <v>6</v>
      </c>
      <c r="G429" s="2">
        <v>5</v>
      </c>
      <c r="H429" s="2">
        <v>3000</v>
      </c>
      <c r="I429" s="2">
        <v>85</v>
      </c>
      <c r="J429" s="2" t="s">
        <v>1671</v>
      </c>
      <c r="K429" s="2">
        <v>45</v>
      </c>
      <c r="L429" s="2">
        <v>10</v>
      </c>
      <c r="M429" s="2">
        <v>10</v>
      </c>
      <c r="N429" s="2">
        <v>10</v>
      </c>
      <c r="O429" s="2">
        <v>5</v>
      </c>
      <c r="P429" s="2">
        <v>10</v>
      </c>
      <c r="Q429" s="2" t="s">
        <v>2029</v>
      </c>
      <c r="R429" s="2" t="s">
        <v>2030</v>
      </c>
      <c r="S429" s="4">
        <v>44837</v>
      </c>
    </row>
    <row r="430" spans="1:19" ht="12.5" x14ac:dyDescent="0.25">
      <c r="A430" s="14" t="str">
        <f>HYPERLINK("https://gerandofalcoes.my.salesforce.com/0014P00003YSp8pQAD", "0014P00003YSp8pQAD")</f>
        <v>0014P00003YSp8pQAD</v>
      </c>
      <c r="B430" s="2" t="s">
        <v>2644</v>
      </c>
      <c r="C430" s="2" t="s">
        <v>423</v>
      </c>
      <c r="D430" s="2" t="s">
        <v>2</v>
      </c>
      <c r="E430" s="2">
        <v>18</v>
      </c>
      <c r="F430" s="2">
        <v>0</v>
      </c>
      <c r="G430" s="2">
        <v>2</v>
      </c>
      <c r="H430" s="2">
        <v>3000</v>
      </c>
      <c r="I430" s="2">
        <v>0</v>
      </c>
      <c r="J430" s="2" t="s">
        <v>1779</v>
      </c>
      <c r="K430" s="2">
        <v>21</v>
      </c>
      <c r="L430" s="2">
        <v>10</v>
      </c>
      <c r="M430" s="2">
        <v>0</v>
      </c>
      <c r="N430" s="2">
        <v>6</v>
      </c>
      <c r="O430" s="2">
        <v>5</v>
      </c>
      <c r="P430" s="2">
        <v>0</v>
      </c>
      <c r="Q430" s="2" t="s">
        <v>2645</v>
      </c>
      <c r="R430" s="2" t="s">
        <v>2646</v>
      </c>
      <c r="S430" s="4">
        <v>44837</v>
      </c>
    </row>
    <row r="431" spans="1:19" ht="12.5" x14ac:dyDescent="0.25">
      <c r="A431" s="14" t="str">
        <f>HYPERLINK("https://gerandofalcoes.my.salesforce.com/0014P00003YSp8qQAD", "0014P00003YSp8qQAD")</f>
        <v>0014P00003YSp8qQAD</v>
      </c>
      <c r="B431" s="2" t="s">
        <v>2890</v>
      </c>
      <c r="C431" s="2" t="s">
        <v>423</v>
      </c>
      <c r="D431" s="2" t="s">
        <v>2</v>
      </c>
      <c r="E431" s="2">
        <v>33</v>
      </c>
      <c r="F431" s="2">
        <v>0</v>
      </c>
      <c r="G431" s="2">
        <v>2</v>
      </c>
      <c r="H431" s="2">
        <v>3000</v>
      </c>
      <c r="I431" s="2">
        <v>300</v>
      </c>
      <c r="J431" s="2" t="s">
        <v>1671</v>
      </c>
      <c r="K431" s="2">
        <v>41</v>
      </c>
      <c r="L431" s="2">
        <v>15</v>
      </c>
      <c r="M431" s="2">
        <v>0</v>
      </c>
      <c r="N431" s="2">
        <v>6</v>
      </c>
      <c r="O431" s="2">
        <v>5</v>
      </c>
      <c r="P431" s="2">
        <v>15</v>
      </c>
      <c r="Q431" s="2" t="s">
        <v>2891</v>
      </c>
      <c r="R431" s="2" t="s">
        <v>2892</v>
      </c>
      <c r="S431" s="4">
        <v>44837</v>
      </c>
    </row>
    <row r="432" spans="1:19" ht="12.5" x14ac:dyDescent="0.25">
      <c r="A432" s="14" t="str">
        <f>HYPERLINK("https://gerandofalcoes.my.salesforce.com/0014P00003YSp8rQAD", "0014P00003YSp8rQAD")</f>
        <v>0014P00003YSp8rQAD</v>
      </c>
      <c r="B432" s="2" t="s">
        <v>2365</v>
      </c>
      <c r="C432" s="2" t="s">
        <v>423</v>
      </c>
      <c r="D432" s="2" t="s">
        <v>2</v>
      </c>
      <c r="E432" s="2">
        <v>36</v>
      </c>
      <c r="F432" s="2">
        <v>2</v>
      </c>
      <c r="G432" s="2">
        <v>4</v>
      </c>
      <c r="H432" s="2">
        <v>65000</v>
      </c>
      <c r="I432" s="2">
        <v>150</v>
      </c>
      <c r="J432" s="2" t="s">
        <v>1671</v>
      </c>
      <c r="K432" s="2">
        <v>52</v>
      </c>
      <c r="L432" s="2">
        <v>15</v>
      </c>
      <c r="M432" s="2">
        <v>5</v>
      </c>
      <c r="N432" s="2">
        <v>10</v>
      </c>
      <c r="O432" s="2">
        <v>10</v>
      </c>
      <c r="P432" s="2">
        <v>12</v>
      </c>
      <c r="Q432" s="2" t="s">
        <v>2366</v>
      </c>
      <c r="R432" s="2" t="s">
        <v>2367</v>
      </c>
      <c r="S432" s="4">
        <v>44837</v>
      </c>
    </row>
    <row r="433" spans="1:19" ht="12.5" x14ac:dyDescent="0.25">
      <c r="A433" s="14" t="str">
        <f>HYPERLINK("https://gerandofalcoes.my.salesforce.com/0014P00003YSp8tQAD", "0014P00003YSp8tQAD")</f>
        <v>0014P00003YSp8tQAD</v>
      </c>
      <c r="B433" s="2" t="s">
        <v>2622</v>
      </c>
      <c r="C433" s="2" t="s">
        <v>423</v>
      </c>
      <c r="D433" s="2" t="s">
        <v>2</v>
      </c>
      <c r="E433" s="2">
        <v>22</v>
      </c>
      <c r="F433" s="2">
        <v>0</v>
      </c>
      <c r="G433" s="2">
        <v>2</v>
      </c>
      <c r="H433" s="2">
        <v>280000</v>
      </c>
      <c r="I433" s="2">
        <v>188</v>
      </c>
      <c r="J433" s="2" t="s">
        <v>1671</v>
      </c>
      <c r="K433" s="2">
        <v>43</v>
      </c>
      <c r="L433" s="2">
        <v>10</v>
      </c>
      <c r="M433" s="2">
        <v>0</v>
      </c>
      <c r="N433" s="2">
        <v>6</v>
      </c>
      <c r="O433" s="2">
        <v>15</v>
      </c>
      <c r="P433" s="2">
        <v>12</v>
      </c>
      <c r="Q433" s="2" t="s">
        <v>2623</v>
      </c>
      <c r="R433" s="2" t="s">
        <v>2624</v>
      </c>
      <c r="S433" s="4">
        <v>44837</v>
      </c>
    </row>
    <row r="434" spans="1:19" ht="12.5" x14ac:dyDescent="0.25">
      <c r="A434" s="14" t="str">
        <f>HYPERLINK("https://gerandofalcoes.my.salesforce.com/0014P00003YSp8uQAD", "0014P00003YSp8uQAD")</f>
        <v>0014P00003YSp8uQAD</v>
      </c>
      <c r="B434" s="2" t="s">
        <v>2161</v>
      </c>
      <c r="C434" s="2" t="s">
        <v>423</v>
      </c>
      <c r="D434" s="2" t="s">
        <v>2</v>
      </c>
      <c r="E434" s="2">
        <v>33</v>
      </c>
      <c r="F434" s="2">
        <v>38</v>
      </c>
      <c r="G434" s="2">
        <v>3</v>
      </c>
      <c r="H434" s="2">
        <v>1726721</v>
      </c>
      <c r="I434" s="2">
        <v>1200</v>
      </c>
      <c r="J434" s="2" t="s">
        <v>1654</v>
      </c>
      <c r="K434" s="2">
        <v>83</v>
      </c>
      <c r="L434" s="2">
        <v>15</v>
      </c>
      <c r="M434" s="2">
        <v>15</v>
      </c>
      <c r="N434" s="2">
        <v>8</v>
      </c>
      <c r="O434" s="2">
        <v>25</v>
      </c>
      <c r="P434" s="2">
        <v>20</v>
      </c>
      <c r="Q434" s="2" t="s">
        <v>2162</v>
      </c>
      <c r="R434" s="2" t="s">
        <v>2163</v>
      </c>
      <c r="S434" s="4">
        <v>44837</v>
      </c>
    </row>
    <row r="435" spans="1:19" ht="12.5" x14ac:dyDescent="0.25">
      <c r="A435" s="14" t="str">
        <f>HYPERLINK("https://gerandofalcoes.my.salesforce.com/0014X00002VKCsBQAX", "0014X00002VKCsBQAX")</f>
        <v>0014X00002VKCsBQAX</v>
      </c>
      <c r="B435" s="2" t="s">
        <v>2740</v>
      </c>
      <c r="C435" s="2" t="s">
        <v>423</v>
      </c>
      <c r="D435" s="2" t="s">
        <v>2</v>
      </c>
      <c r="E435" s="2">
        <v>33</v>
      </c>
      <c r="F435" s="2">
        <v>1</v>
      </c>
      <c r="G435" s="2">
        <v>3</v>
      </c>
      <c r="H435" s="2">
        <v>36000</v>
      </c>
      <c r="I435" s="2">
        <v>140</v>
      </c>
      <c r="J435" s="2" t="s">
        <v>1671</v>
      </c>
      <c r="K435" s="2">
        <v>48</v>
      </c>
      <c r="L435" s="2">
        <v>15</v>
      </c>
      <c r="M435" s="2">
        <v>5</v>
      </c>
      <c r="N435" s="2">
        <v>8</v>
      </c>
      <c r="O435" s="2">
        <v>10</v>
      </c>
      <c r="P435" s="2">
        <v>10</v>
      </c>
      <c r="Q435" s="2" t="s">
        <v>2741</v>
      </c>
      <c r="R435" s="2" t="s">
        <v>2742</v>
      </c>
      <c r="S435" s="4">
        <v>44837</v>
      </c>
    </row>
    <row r="436" spans="1:19" ht="12.5" x14ac:dyDescent="0.25">
      <c r="A436" s="14" t="str">
        <f>HYPERLINK("https://gerandofalcoes.my.salesforce.com/0014X00002VKCslQAH", "0014X00002VKCslQAH")</f>
        <v>0014X00002VKCslQAH</v>
      </c>
      <c r="B436" s="2" t="s">
        <v>2667</v>
      </c>
      <c r="C436" s="2" t="s">
        <v>423</v>
      </c>
      <c r="D436" s="2" t="s">
        <v>2</v>
      </c>
      <c r="E436" s="2">
        <v>17</v>
      </c>
      <c r="F436" s="2">
        <v>0</v>
      </c>
      <c r="G436" s="2">
        <v>2</v>
      </c>
      <c r="H436" s="2">
        <v>18000</v>
      </c>
      <c r="I436" s="2">
        <v>10</v>
      </c>
      <c r="J436" s="2" t="s">
        <v>1779</v>
      </c>
      <c r="K436" s="2">
        <v>26</v>
      </c>
      <c r="L436" s="2">
        <v>10</v>
      </c>
      <c r="M436" s="2">
        <v>0</v>
      </c>
      <c r="N436" s="2">
        <v>6</v>
      </c>
      <c r="O436" s="2">
        <v>5</v>
      </c>
      <c r="P436" s="2">
        <v>5</v>
      </c>
      <c r="Q436" s="2" t="s">
        <v>2668</v>
      </c>
      <c r="R436" s="2" t="s">
        <v>2669</v>
      </c>
      <c r="S436" s="4">
        <v>44837</v>
      </c>
    </row>
    <row r="437" spans="1:19" ht="12.5" x14ac:dyDescent="0.25">
      <c r="A437" s="14" t="str">
        <f>HYPERLINK("https://gerandofalcoes.my.salesforce.com/0014X00002VKCv8QAH", "0014X00002VKCv8QAH")</f>
        <v>0014X00002VKCv8QAH</v>
      </c>
      <c r="B437" s="2" t="s">
        <v>2343</v>
      </c>
      <c r="C437" s="2" t="s">
        <v>423</v>
      </c>
      <c r="D437" s="2" t="s">
        <v>2</v>
      </c>
      <c r="E437" s="2">
        <v>19</v>
      </c>
      <c r="F437" s="2">
        <v>0</v>
      </c>
      <c r="G437" s="2">
        <v>6</v>
      </c>
      <c r="H437" s="2">
        <v>4000</v>
      </c>
      <c r="I437" s="2">
        <v>0</v>
      </c>
      <c r="J437" s="2" t="s">
        <v>1779</v>
      </c>
      <c r="K437" s="2">
        <v>25</v>
      </c>
      <c r="L437" s="2">
        <v>10</v>
      </c>
      <c r="M437" s="2">
        <v>0</v>
      </c>
      <c r="N437" s="2">
        <v>10</v>
      </c>
      <c r="O437" s="2">
        <v>5</v>
      </c>
      <c r="P437" s="2">
        <v>0</v>
      </c>
      <c r="Q437" s="2" t="s">
        <v>2344</v>
      </c>
      <c r="R437" s="2" t="s">
        <v>2345</v>
      </c>
      <c r="S437" s="4">
        <v>44837</v>
      </c>
    </row>
    <row r="438" spans="1:19" ht="12.5" x14ac:dyDescent="0.25">
      <c r="A438" s="14" t="str">
        <f>HYPERLINK("https://gerandofalcoes.my.salesforce.com/0014X00002VKCp4QAH", "0014X00002VKCp4QAH")</f>
        <v>0014X00002VKCp4QAH</v>
      </c>
      <c r="B438" s="2" t="s">
        <v>2518</v>
      </c>
      <c r="C438" s="2" t="s">
        <v>423</v>
      </c>
      <c r="D438" s="2" t="s">
        <v>2</v>
      </c>
      <c r="E438" s="2">
        <v>21</v>
      </c>
      <c r="F438" s="2">
        <v>0</v>
      </c>
      <c r="G438" s="2">
        <v>2</v>
      </c>
      <c r="H438" s="2">
        <v>0</v>
      </c>
      <c r="I438" s="2">
        <v>70</v>
      </c>
      <c r="J438" s="2" t="s">
        <v>1779</v>
      </c>
      <c r="K438" s="2">
        <v>21</v>
      </c>
      <c r="L438" s="2">
        <v>10</v>
      </c>
      <c r="M438" s="2">
        <v>0</v>
      </c>
      <c r="N438" s="2">
        <v>6</v>
      </c>
      <c r="O438" s="2">
        <v>0</v>
      </c>
      <c r="P438" s="2">
        <v>5</v>
      </c>
      <c r="Q438" s="2" t="s">
        <v>2519</v>
      </c>
      <c r="R438" s="2" t="s">
        <v>2520</v>
      </c>
      <c r="S438" s="4">
        <v>44837</v>
      </c>
    </row>
    <row r="439" spans="1:19" ht="12.5" x14ac:dyDescent="0.25">
      <c r="A439" s="14" t="str">
        <f>HYPERLINK("https://gerandofalcoes.my.salesforce.com/0014X00002VKCucQAH", "0014X00002VKCucQAH")</f>
        <v>0014X00002VKCucQAH</v>
      </c>
      <c r="B439" s="2" t="s">
        <v>2944</v>
      </c>
      <c r="C439" s="2" t="s">
        <v>423</v>
      </c>
      <c r="D439" s="2" t="s">
        <v>2</v>
      </c>
      <c r="E439" s="2">
        <v>30</v>
      </c>
      <c r="F439" s="2">
        <v>0</v>
      </c>
      <c r="G439" s="2">
        <v>2</v>
      </c>
      <c r="H439" s="2">
        <v>300</v>
      </c>
      <c r="I439" s="2">
        <v>60</v>
      </c>
      <c r="J439" s="2" t="s">
        <v>1779</v>
      </c>
      <c r="K439" s="2">
        <v>31</v>
      </c>
      <c r="L439" s="2">
        <v>15</v>
      </c>
      <c r="M439" s="2">
        <v>0</v>
      </c>
      <c r="N439" s="2">
        <v>6</v>
      </c>
      <c r="O439" s="2">
        <v>5</v>
      </c>
      <c r="P439" s="2">
        <v>5</v>
      </c>
      <c r="Q439" s="2" t="s">
        <v>2945</v>
      </c>
      <c r="R439" s="2" t="s">
        <v>2946</v>
      </c>
      <c r="S439" s="4">
        <v>44837</v>
      </c>
    </row>
    <row r="440" spans="1:19" ht="12.5" x14ac:dyDescent="0.25">
      <c r="A440" s="14" t="str">
        <f>HYPERLINK("https://gerandofalcoes.my.salesforce.com/0014X00002VKCpQQAX", "0014X00002VKCpQQAX")</f>
        <v>0014X00002VKCpQQAX</v>
      </c>
      <c r="B440" s="2" t="s">
        <v>2004</v>
      </c>
      <c r="C440" s="2" t="s">
        <v>423</v>
      </c>
      <c r="D440" s="2" t="s">
        <v>2</v>
      </c>
      <c r="E440" s="2">
        <v>54</v>
      </c>
      <c r="F440" s="2">
        <v>0</v>
      </c>
      <c r="G440" s="2">
        <v>6</v>
      </c>
      <c r="H440" s="2">
        <v>14000</v>
      </c>
      <c r="I440" s="2">
        <v>125</v>
      </c>
      <c r="J440" s="2" t="s">
        <v>1671</v>
      </c>
      <c r="K440" s="2">
        <v>45</v>
      </c>
      <c r="L440" s="2">
        <v>20</v>
      </c>
      <c r="M440" s="2">
        <v>0</v>
      </c>
      <c r="N440" s="2">
        <v>10</v>
      </c>
      <c r="O440" s="2">
        <v>5</v>
      </c>
      <c r="P440" s="2">
        <v>10</v>
      </c>
      <c r="Q440" s="2" t="s">
        <v>2005</v>
      </c>
      <c r="R440" s="2" t="s">
        <v>2006</v>
      </c>
      <c r="S440" s="4">
        <v>44837</v>
      </c>
    </row>
    <row r="441" spans="1:19" ht="12.5" x14ac:dyDescent="0.25">
      <c r="A441" s="14" t="str">
        <f>HYPERLINK("https://gerandofalcoes.my.salesforce.com/0014X00002VKCqEQAX", "0014X00002VKCqEQAX")</f>
        <v>0014X00002VKCqEQAX</v>
      </c>
      <c r="B441" s="2" t="s">
        <v>2349</v>
      </c>
      <c r="C441" s="2" t="s">
        <v>423</v>
      </c>
      <c r="D441" s="2" t="s">
        <v>2</v>
      </c>
      <c r="E441" s="2">
        <v>27</v>
      </c>
      <c r="F441" s="2">
        <v>0</v>
      </c>
      <c r="G441" s="2">
        <v>6</v>
      </c>
      <c r="H441" s="2">
        <v>18500</v>
      </c>
      <c r="I441" s="2">
        <v>116</v>
      </c>
      <c r="J441" s="2" t="s">
        <v>1671</v>
      </c>
      <c r="K441" s="2">
        <v>40</v>
      </c>
      <c r="L441" s="2">
        <v>15</v>
      </c>
      <c r="M441" s="2">
        <v>0</v>
      </c>
      <c r="N441" s="2">
        <v>10</v>
      </c>
      <c r="O441" s="2">
        <v>5</v>
      </c>
      <c r="P441" s="2">
        <v>10</v>
      </c>
      <c r="Q441" s="2" t="s">
        <v>2350</v>
      </c>
      <c r="R441" s="2" t="s">
        <v>2351</v>
      </c>
      <c r="S441" s="4">
        <v>44837</v>
      </c>
    </row>
    <row r="442" spans="1:19" ht="12.5" x14ac:dyDescent="0.25">
      <c r="A442" s="14" t="str">
        <f>HYPERLINK("https://gerandofalcoes.my.salesforce.com/0014X00002VKCuMQAX", "0014X00002VKCuMQAX")</f>
        <v>0014X00002VKCuMQAX</v>
      </c>
      <c r="B442" s="2" t="s">
        <v>2947</v>
      </c>
      <c r="C442" s="2" t="s">
        <v>423</v>
      </c>
      <c r="D442" s="2" t="s">
        <v>2</v>
      </c>
      <c r="E442" s="2">
        <v>43</v>
      </c>
      <c r="F442" s="2">
        <v>0</v>
      </c>
      <c r="G442" s="2">
        <v>7</v>
      </c>
      <c r="H442" s="2">
        <v>75</v>
      </c>
      <c r="I442" s="2">
        <v>358</v>
      </c>
      <c r="J442" s="2" t="s">
        <v>1671</v>
      </c>
      <c r="K442" s="2">
        <v>45</v>
      </c>
      <c r="L442" s="2">
        <v>15</v>
      </c>
      <c r="M442" s="2">
        <v>0</v>
      </c>
      <c r="N442" s="2">
        <v>10</v>
      </c>
      <c r="O442" s="2">
        <v>5</v>
      </c>
      <c r="P442" s="2">
        <v>15</v>
      </c>
      <c r="Q442" s="2" t="s">
        <v>2948</v>
      </c>
      <c r="R442" s="2" t="s">
        <v>2949</v>
      </c>
      <c r="S442" s="4">
        <v>44837</v>
      </c>
    </row>
    <row r="443" spans="1:19" ht="12.5" x14ac:dyDescent="0.25">
      <c r="A443" s="14" t="str">
        <f>HYPERLINK("https://gerandofalcoes.my.salesforce.com/0014X00002VKCqhQAH", "0014X00002VKCqhQAH")</f>
        <v>0014X00002VKCqhQAH</v>
      </c>
      <c r="B443" s="2" t="s">
        <v>2786</v>
      </c>
      <c r="C443" s="2" t="s">
        <v>423</v>
      </c>
      <c r="D443" s="2" t="s">
        <v>2</v>
      </c>
      <c r="E443" s="2">
        <v>48</v>
      </c>
      <c r="F443" s="2">
        <v>0</v>
      </c>
      <c r="G443" s="2">
        <v>4</v>
      </c>
      <c r="H443" s="2">
        <v>150</v>
      </c>
      <c r="I443" s="2">
        <v>255</v>
      </c>
      <c r="J443" s="2" t="s">
        <v>1671</v>
      </c>
      <c r="K443" s="2">
        <v>42</v>
      </c>
      <c r="L443" s="2">
        <v>15</v>
      </c>
      <c r="M443" s="2">
        <v>0</v>
      </c>
      <c r="N443" s="2">
        <v>10</v>
      </c>
      <c r="O443" s="2">
        <v>5</v>
      </c>
      <c r="P443" s="2">
        <v>12</v>
      </c>
      <c r="Q443" s="2" t="s">
        <v>2787</v>
      </c>
      <c r="R443" s="2" t="s">
        <v>2788</v>
      </c>
      <c r="S443" s="4">
        <v>44837</v>
      </c>
    </row>
    <row r="444" spans="1:19" ht="12.5" x14ac:dyDescent="0.25">
      <c r="A444" s="14" t="str">
        <f>HYPERLINK("https://gerandofalcoes.my.salesforce.com/0014X00002VKCqDQAX", "0014X00002VKCqDQAX")</f>
        <v>0014X00002VKCqDQAX</v>
      </c>
      <c r="B444" s="2" t="s">
        <v>2078</v>
      </c>
      <c r="C444" s="2" t="s">
        <v>423</v>
      </c>
      <c r="D444" s="2" t="s">
        <v>2</v>
      </c>
      <c r="E444" s="2">
        <v>36</v>
      </c>
      <c r="F444" s="2">
        <v>0</v>
      </c>
      <c r="G444" s="2">
        <v>3</v>
      </c>
      <c r="H444" s="2">
        <v>60000</v>
      </c>
      <c r="I444" s="2">
        <v>75</v>
      </c>
      <c r="J444" s="2" t="s">
        <v>1779</v>
      </c>
      <c r="K444" s="2">
        <v>38</v>
      </c>
      <c r="L444" s="2">
        <v>15</v>
      </c>
      <c r="M444" s="2">
        <v>0</v>
      </c>
      <c r="N444" s="2">
        <v>8</v>
      </c>
      <c r="O444" s="2">
        <v>10</v>
      </c>
      <c r="P444" s="2">
        <v>5</v>
      </c>
      <c r="Q444" s="2" t="s">
        <v>2079</v>
      </c>
      <c r="R444" s="2" t="s">
        <v>2080</v>
      </c>
      <c r="S444" s="4">
        <v>44837</v>
      </c>
    </row>
    <row r="445" spans="1:19" ht="12.5" x14ac:dyDescent="0.25">
      <c r="A445" s="14" t="str">
        <f>HYPERLINK("https://gerandofalcoes.my.salesforce.com/0014X00002VKCplQAH", "0014X00002VKCplQAH")</f>
        <v>0014X00002VKCplQAH</v>
      </c>
      <c r="B445" s="2" t="s">
        <v>2081</v>
      </c>
      <c r="C445" s="2" t="s">
        <v>423</v>
      </c>
      <c r="D445" s="2" t="s">
        <v>2</v>
      </c>
      <c r="E445" s="2">
        <v>36</v>
      </c>
      <c r="F445" s="2">
        <v>20</v>
      </c>
      <c r="G445" s="2">
        <v>2</v>
      </c>
      <c r="H445" s="2">
        <v>300000</v>
      </c>
      <c r="I445" s="2">
        <v>50</v>
      </c>
      <c r="J445" s="2" t="s">
        <v>1671</v>
      </c>
      <c r="K445" s="2">
        <v>58</v>
      </c>
      <c r="L445" s="2">
        <v>15</v>
      </c>
      <c r="M445" s="2">
        <v>12</v>
      </c>
      <c r="N445" s="2">
        <v>6</v>
      </c>
      <c r="O445" s="2">
        <v>20</v>
      </c>
      <c r="P445" s="2">
        <v>5</v>
      </c>
      <c r="Q445" s="2" t="s">
        <v>2082</v>
      </c>
      <c r="R445" s="2" t="s">
        <v>2083</v>
      </c>
      <c r="S445" s="4">
        <v>44837</v>
      </c>
    </row>
    <row r="446" spans="1:19" ht="12.5" x14ac:dyDescent="0.25">
      <c r="A446" s="14" t="str">
        <f>HYPERLINK("https://gerandofalcoes.my.salesforce.com/0014X00002VKCqKQAX", "0014X00002VKCqKQAX")</f>
        <v>0014X00002VKCqKQAX</v>
      </c>
      <c r="B446" s="2" t="s">
        <v>2919</v>
      </c>
      <c r="C446" s="2" t="s">
        <v>423</v>
      </c>
      <c r="D446" s="2" t="s">
        <v>2</v>
      </c>
      <c r="E446" s="2">
        <v>21</v>
      </c>
      <c r="F446" s="2">
        <v>0</v>
      </c>
      <c r="G446" s="2">
        <v>3</v>
      </c>
      <c r="H446" s="2">
        <v>70000</v>
      </c>
      <c r="I446" s="2">
        <v>0</v>
      </c>
      <c r="J446" s="2" t="s">
        <v>1779</v>
      </c>
      <c r="K446" s="2">
        <v>28</v>
      </c>
      <c r="L446" s="2">
        <v>10</v>
      </c>
      <c r="M446" s="2">
        <v>0</v>
      </c>
      <c r="N446" s="2">
        <v>8</v>
      </c>
      <c r="O446" s="2">
        <v>10</v>
      </c>
      <c r="P446" s="2">
        <v>0</v>
      </c>
      <c r="Q446" s="2" t="s">
        <v>2920</v>
      </c>
      <c r="R446" s="2" t="s">
        <v>2921</v>
      </c>
      <c r="S446" s="4">
        <v>44837</v>
      </c>
    </row>
    <row r="447" spans="1:19" ht="12.5" x14ac:dyDescent="0.25">
      <c r="A447" s="14" t="str">
        <f>HYPERLINK("https://gerandofalcoes.my.salesforce.com/0014X00002VKCq4QAH", "0014X00002VKCq4QAH")</f>
        <v>0014X00002VKCq4QAH</v>
      </c>
      <c r="B447" s="2" t="s">
        <v>1980</v>
      </c>
      <c r="C447" s="2" t="s">
        <v>423</v>
      </c>
      <c r="D447" s="2" t="s">
        <v>2</v>
      </c>
      <c r="E447" s="2">
        <v>39</v>
      </c>
      <c r="F447" s="2">
        <v>0</v>
      </c>
      <c r="G447" s="2">
        <v>3</v>
      </c>
      <c r="H447" s="2">
        <v>30000</v>
      </c>
      <c r="I447" s="2">
        <v>560</v>
      </c>
      <c r="J447" s="2" t="s">
        <v>1671</v>
      </c>
      <c r="K447" s="2">
        <v>53</v>
      </c>
      <c r="L447" s="2">
        <v>15</v>
      </c>
      <c r="M447" s="2">
        <v>0</v>
      </c>
      <c r="N447" s="2">
        <v>8</v>
      </c>
      <c r="O447" s="2">
        <v>10</v>
      </c>
      <c r="P447" s="2">
        <v>20</v>
      </c>
      <c r="Q447" s="2" t="s">
        <v>1981</v>
      </c>
      <c r="R447" s="2" t="s">
        <v>1982</v>
      </c>
      <c r="S447" s="4">
        <v>44837</v>
      </c>
    </row>
    <row r="448" spans="1:19" ht="12.5" x14ac:dyDescent="0.25">
      <c r="A448" s="14" t="str">
        <f>HYPERLINK("https://gerandofalcoes.my.salesforce.com/0014X00002VKCpfQAH", "0014X00002VKCpfQAH")</f>
        <v>0014X00002VKCpfQAH</v>
      </c>
      <c r="B448" s="2" t="s">
        <v>1868</v>
      </c>
      <c r="C448" s="2" t="s">
        <v>423</v>
      </c>
      <c r="D448" s="2" t="s">
        <v>2</v>
      </c>
      <c r="E448" s="2">
        <v>40</v>
      </c>
      <c r="F448" s="2">
        <v>0</v>
      </c>
      <c r="G448" s="2">
        <v>2</v>
      </c>
      <c r="H448" s="2">
        <v>100</v>
      </c>
      <c r="I448" s="2">
        <v>77</v>
      </c>
      <c r="J448" s="2" t="s">
        <v>1779</v>
      </c>
      <c r="K448" s="2">
        <v>31</v>
      </c>
      <c r="L448" s="2">
        <v>15</v>
      </c>
      <c r="M448" s="2">
        <v>0</v>
      </c>
      <c r="N448" s="2">
        <v>6</v>
      </c>
      <c r="O448" s="2">
        <v>5</v>
      </c>
      <c r="P448" s="2">
        <v>5</v>
      </c>
      <c r="Q448" s="2" t="s">
        <v>1869</v>
      </c>
      <c r="R448" s="2" t="s">
        <v>1870</v>
      </c>
      <c r="S448" s="4">
        <v>44837</v>
      </c>
    </row>
    <row r="449" spans="1:19" ht="12.5" x14ac:dyDescent="0.25">
      <c r="A449" s="14" t="str">
        <f>HYPERLINK("https://gerandofalcoes.my.salesforce.com/0014X00002VKCtKQAX", "0014X00002VKCtKQAX")</f>
        <v>0014X00002VKCtKQAX</v>
      </c>
      <c r="B449" s="2" t="s">
        <v>2828</v>
      </c>
      <c r="C449" s="2" t="s">
        <v>423</v>
      </c>
      <c r="D449" s="2" t="s">
        <v>2</v>
      </c>
      <c r="E449" s="2">
        <v>25</v>
      </c>
      <c r="F449" s="2">
        <v>8</v>
      </c>
      <c r="G449" s="2">
        <v>2</v>
      </c>
      <c r="H449" s="2">
        <v>3000</v>
      </c>
      <c r="I449" s="2">
        <v>12</v>
      </c>
      <c r="J449" s="2" t="s">
        <v>1671</v>
      </c>
      <c r="K449" s="2">
        <v>41</v>
      </c>
      <c r="L449" s="2">
        <v>15</v>
      </c>
      <c r="M449" s="2">
        <v>10</v>
      </c>
      <c r="N449" s="2">
        <v>6</v>
      </c>
      <c r="O449" s="2">
        <v>5</v>
      </c>
      <c r="P449" s="2">
        <v>5</v>
      </c>
      <c r="Q449" s="2" t="s">
        <v>2829</v>
      </c>
      <c r="R449" s="2" t="s">
        <v>2829</v>
      </c>
      <c r="S449" s="4">
        <v>44837</v>
      </c>
    </row>
    <row r="450" spans="1:19" ht="12.5" x14ac:dyDescent="0.25">
      <c r="A450" s="14" t="str">
        <f>HYPERLINK("https://gerandofalcoes.my.salesforce.com/0014X00002VKCtmQAH", "0014X00002VKCtmQAH")</f>
        <v>0014X00002VKCtmQAH</v>
      </c>
      <c r="B450" s="2" t="s">
        <v>2571</v>
      </c>
      <c r="C450" s="2" t="s">
        <v>423</v>
      </c>
      <c r="D450" s="2" t="s">
        <v>2</v>
      </c>
      <c r="E450" s="2">
        <v>20</v>
      </c>
      <c r="F450" s="2">
        <v>0</v>
      </c>
      <c r="G450" s="2">
        <v>2</v>
      </c>
      <c r="H450" s="2">
        <v>30000</v>
      </c>
      <c r="I450" s="2">
        <v>0</v>
      </c>
      <c r="J450" s="2" t="s">
        <v>1779</v>
      </c>
      <c r="K450" s="2">
        <v>26</v>
      </c>
      <c r="L450" s="2">
        <v>10</v>
      </c>
      <c r="M450" s="2">
        <v>0</v>
      </c>
      <c r="N450" s="2">
        <v>6</v>
      </c>
      <c r="O450" s="2">
        <v>10</v>
      </c>
      <c r="P450" s="2">
        <v>0</v>
      </c>
      <c r="Q450" s="2" t="s">
        <v>2572</v>
      </c>
      <c r="R450" s="2" t="s">
        <v>2572</v>
      </c>
      <c r="S450" s="4">
        <v>44837</v>
      </c>
    </row>
    <row r="451" spans="1:19" ht="12.5" x14ac:dyDescent="0.25">
      <c r="A451" s="14" t="str">
        <f>HYPERLINK("https://gerandofalcoes.my.salesforce.com/0014X00002VKCq0QAH", "0014X00002VKCq0QAH")</f>
        <v>0014X00002VKCq0QAH</v>
      </c>
      <c r="B451" s="2" t="s">
        <v>2930</v>
      </c>
      <c r="C451" s="2" t="s">
        <v>423</v>
      </c>
      <c r="D451" s="2" t="s">
        <v>2</v>
      </c>
      <c r="E451" s="2">
        <v>6</v>
      </c>
      <c r="F451" s="2">
        <v>2</v>
      </c>
      <c r="G451" s="2">
        <v>3</v>
      </c>
      <c r="H451" s="2">
        <v>929000</v>
      </c>
      <c r="I451" s="2">
        <v>300</v>
      </c>
      <c r="J451" s="2" t="s">
        <v>1671</v>
      </c>
      <c r="K451" s="2">
        <v>63</v>
      </c>
      <c r="L451" s="2">
        <v>10</v>
      </c>
      <c r="M451" s="2">
        <v>5</v>
      </c>
      <c r="N451" s="2">
        <v>8</v>
      </c>
      <c r="O451" s="2">
        <v>25</v>
      </c>
      <c r="P451" s="2">
        <v>15</v>
      </c>
      <c r="Q451" s="2" t="s">
        <v>2931</v>
      </c>
      <c r="R451" s="2" t="s">
        <v>2932</v>
      </c>
      <c r="S451" s="4">
        <v>44837</v>
      </c>
    </row>
    <row r="452" spans="1:19" ht="12.5" x14ac:dyDescent="0.25">
      <c r="A452" s="14" t="str">
        <f>HYPERLINK("https://gerandofalcoes.my.salesforce.com/0014X00002VKCrRQAX", "0014X00002VKCrRQAX")</f>
        <v>0014X00002VKCrRQAX</v>
      </c>
      <c r="B452" s="2" t="s">
        <v>1864</v>
      </c>
      <c r="C452" s="2" t="s">
        <v>423</v>
      </c>
      <c r="D452" s="2" t="s">
        <v>2</v>
      </c>
      <c r="E452" s="2">
        <v>43</v>
      </c>
      <c r="F452" s="2">
        <v>0</v>
      </c>
      <c r="G452" s="2">
        <v>2</v>
      </c>
      <c r="H452" s="2">
        <v>5000</v>
      </c>
      <c r="I452" s="2">
        <v>598</v>
      </c>
      <c r="J452" s="2" t="s">
        <v>1671</v>
      </c>
      <c r="K452" s="2">
        <v>46</v>
      </c>
      <c r="L452" s="2">
        <v>15</v>
      </c>
      <c r="M452" s="2">
        <v>0</v>
      </c>
      <c r="N452" s="2">
        <v>6</v>
      </c>
      <c r="O452" s="2">
        <v>5</v>
      </c>
      <c r="P452" s="2">
        <v>20</v>
      </c>
      <c r="Q452" s="2" t="s">
        <v>1865</v>
      </c>
      <c r="R452" s="2" t="s">
        <v>1866</v>
      </c>
      <c r="S452" s="4">
        <v>44837</v>
      </c>
    </row>
    <row r="453" spans="1:19" ht="12.5" x14ac:dyDescent="0.25">
      <c r="A453" s="14" t="str">
        <f>HYPERLINK("https://gerandofalcoes.my.salesforce.com/0014X00002VKCutQAH", "0014X00002VKCutQAH")</f>
        <v>0014X00002VKCutQAH</v>
      </c>
      <c r="B453" s="2" t="s">
        <v>2205</v>
      </c>
      <c r="C453" s="2" t="s">
        <v>423</v>
      </c>
      <c r="D453" s="2" t="s">
        <v>2</v>
      </c>
      <c r="E453" s="2">
        <v>45</v>
      </c>
      <c r="F453" s="2">
        <v>8</v>
      </c>
      <c r="G453" s="2">
        <v>6</v>
      </c>
      <c r="H453" s="2">
        <v>145143</v>
      </c>
      <c r="I453" s="2">
        <v>65</v>
      </c>
      <c r="J453" s="2" t="s">
        <v>1671</v>
      </c>
      <c r="K453" s="2">
        <v>55</v>
      </c>
      <c r="L453" s="2">
        <v>15</v>
      </c>
      <c r="M453" s="2">
        <v>10</v>
      </c>
      <c r="N453" s="2">
        <v>10</v>
      </c>
      <c r="O453" s="2">
        <v>15</v>
      </c>
      <c r="P453" s="2">
        <v>5</v>
      </c>
      <c r="Q453" s="2" t="s">
        <v>2206</v>
      </c>
      <c r="R453" s="2" t="s">
        <v>2207</v>
      </c>
      <c r="S453" s="4">
        <v>44837</v>
      </c>
    </row>
    <row r="454" spans="1:19" ht="12.5" x14ac:dyDescent="0.25">
      <c r="A454" s="14" t="str">
        <f>HYPERLINK("https://gerandofalcoes.my.salesforce.com/0014X00002VKCpgQAH", "0014X00002VKCpgQAH")</f>
        <v>0014X00002VKCpgQAH</v>
      </c>
      <c r="B454" s="2" t="s">
        <v>2898</v>
      </c>
      <c r="C454" s="2" t="s">
        <v>423</v>
      </c>
      <c r="D454" s="2" t="s">
        <v>2</v>
      </c>
      <c r="E454" s="2">
        <v>29</v>
      </c>
      <c r="F454" s="2">
        <v>1</v>
      </c>
      <c r="G454" s="2">
        <v>2</v>
      </c>
      <c r="H454" s="2">
        <v>3000</v>
      </c>
      <c r="I454" s="2">
        <v>50</v>
      </c>
      <c r="J454" s="2" t="s">
        <v>1779</v>
      </c>
      <c r="K454" s="2">
        <v>36</v>
      </c>
      <c r="L454" s="2">
        <v>15</v>
      </c>
      <c r="M454" s="2">
        <v>5</v>
      </c>
      <c r="N454" s="2">
        <v>6</v>
      </c>
      <c r="O454" s="2">
        <v>5</v>
      </c>
      <c r="P454" s="2">
        <v>5</v>
      </c>
      <c r="Q454" s="2" t="s">
        <v>2899</v>
      </c>
      <c r="R454" s="2" t="s">
        <v>2899</v>
      </c>
      <c r="S454" s="4">
        <v>44837</v>
      </c>
    </row>
    <row r="455" spans="1:19" ht="12.5" x14ac:dyDescent="0.25">
      <c r="A455" s="14" t="str">
        <f>HYPERLINK("https://gerandofalcoes.my.salesforce.com/0014X00002VKCtGQAX", "0014X00002VKCtGQAX")</f>
        <v>0014X00002VKCtGQAX</v>
      </c>
      <c r="B455" s="2" t="s">
        <v>2459</v>
      </c>
      <c r="C455" s="2" t="s">
        <v>423</v>
      </c>
      <c r="D455" s="2" t="s">
        <v>2</v>
      </c>
      <c r="E455" s="2">
        <v>23</v>
      </c>
      <c r="F455" s="2">
        <v>0</v>
      </c>
      <c r="G455" s="2">
        <v>4</v>
      </c>
      <c r="H455" s="2">
        <v>2000</v>
      </c>
      <c r="I455" s="2">
        <v>90</v>
      </c>
      <c r="J455" s="2" t="s">
        <v>1779</v>
      </c>
      <c r="K455" s="2">
        <v>35</v>
      </c>
      <c r="L455" s="2">
        <v>10</v>
      </c>
      <c r="M455" s="2">
        <v>0</v>
      </c>
      <c r="N455" s="2">
        <v>10</v>
      </c>
      <c r="O455" s="2">
        <v>5</v>
      </c>
      <c r="P455" s="2">
        <v>10</v>
      </c>
      <c r="Q455" s="2" t="s">
        <v>2460</v>
      </c>
      <c r="R455" s="2" t="s">
        <v>2461</v>
      </c>
      <c r="S455" s="4">
        <v>44837</v>
      </c>
    </row>
    <row r="456" spans="1:19" ht="12.5" x14ac:dyDescent="0.25">
      <c r="A456" s="14" t="str">
        <f>HYPERLINK("https://gerandofalcoes.my.salesforce.com/0014P00003YSp8vQAD", "0014P00003YSp8vQAD")</f>
        <v>0014P00003YSp8vQAD</v>
      </c>
      <c r="B456" s="2" t="s">
        <v>2019</v>
      </c>
      <c r="C456" s="2" t="s">
        <v>423</v>
      </c>
      <c r="D456" s="2" t="s">
        <v>2</v>
      </c>
      <c r="E456" s="2">
        <v>38</v>
      </c>
      <c r="F456" s="2">
        <v>2</v>
      </c>
      <c r="G456" s="2">
        <v>2</v>
      </c>
      <c r="H456" s="2">
        <v>5000</v>
      </c>
      <c r="I456" s="2">
        <v>0</v>
      </c>
      <c r="J456" s="2" t="s">
        <v>1779</v>
      </c>
      <c r="K456" s="2">
        <v>31</v>
      </c>
      <c r="L456" s="2">
        <v>15</v>
      </c>
      <c r="M456" s="2">
        <v>5</v>
      </c>
      <c r="N456" s="2">
        <v>6</v>
      </c>
      <c r="O456" s="2">
        <v>5</v>
      </c>
      <c r="P456" s="2">
        <v>0</v>
      </c>
      <c r="Q456" s="2" t="s">
        <v>2020</v>
      </c>
      <c r="R456" s="2" t="s">
        <v>2021</v>
      </c>
      <c r="S456" s="4">
        <v>44837</v>
      </c>
    </row>
    <row r="457" spans="1:19" ht="12.5" x14ac:dyDescent="0.25">
      <c r="A457" s="14" t="str">
        <f>HYPERLINK("https://gerandofalcoes.my.salesforce.com/0014P00003YSp8wQAD", "0014P00003YSp8wQAD")</f>
        <v>0014P00003YSp8wQAD</v>
      </c>
      <c r="B457" s="2" t="s">
        <v>2686</v>
      </c>
      <c r="C457" s="2" t="s">
        <v>423</v>
      </c>
      <c r="D457" s="2" t="s">
        <v>2</v>
      </c>
      <c r="E457" s="2">
        <v>16</v>
      </c>
      <c r="F457" s="2">
        <v>8</v>
      </c>
      <c r="G457" s="2">
        <v>2</v>
      </c>
      <c r="H457" s="2">
        <v>55000</v>
      </c>
      <c r="I457" s="2">
        <v>3000</v>
      </c>
      <c r="J457" s="2" t="s">
        <v>1671</v>
      </c>
      <c r="K457" s="2">
        <v>56</v>
      </c>
      <c r="L457" s="2">
        <v>10</v>
      </c>
      <c r="M457" s="2">
        <v>10</v>
      </c>
      <c r="N457" s="2">
        <v>6</v>
      </c>
      <c r="O457" s="2">
        <v>10</v>
      </c>
      <c r="P457" s="2">
        <v>20</v>
      </c>
      <c r="Q457" s="2" t="s">
        <v>2687</v>
      </c>
      <c r="R457" s="2" t="s">
        <v>2688</v>
      </c>
      <c r="S457" s="4">
        <v>44837</v>
      </c>
    </row>
    <row r="458" spans="1:19" ht="12.5" x14ac:dyDescent="0.25">
      <c r="A458" s="14" t="str">
        <f>HYPERLINK("https://gerandofalcoes.my.salesforce.com/0014P00003YSp8yQAD", "0014P00003YSp8yQAD")</f>
        <v>0014P00003YSp8yQAD</v>
      </c>
      <c r="B458" s="2" t="s">
        <v>2536</v>
      </c>
      <c r="C458" s="2" t="s">
        <v>423</v>
      </c>
      <c r="D458" s="2" t="s">
        <v>2</v>
      </c>
      <c r="E458" s="2">
        <v>21</v>
      </c>
      <c r="F458" s="2">
        <v>2</v>
      </c>
      <c r="G458" s="2">
        <v>2</v>
      </c>
      <c r="H458" s="2">
        <v>0</v>
      </c>
      <c r="I458" s="2">
        <v>0</v>
      </c>
      <c r="J458" s="2" t="s">
        <v>1779</v>
      </c>
      <c r="K458" s="2">
        <v>21</v>
      </c>
      <c r="L458" s="2">
        <v>10</v>
      </c>
      <c r="M458" s="2">
        <v>5</v>
      </c>
      <c r="N458" s="2">
        <v>6</v>
      </c>
      <c r="O458" s="2">
        <v>0</v>
      </c>
      <c r="P458" s="2">
        <v>0</v>
      </c>
      <c r="Q458" s="2" t="s">
        <v>2537</v>
      </c>
      <c r="R458" s="2" t="s">
        <v>2538</v>
      </c>
      <c r="S458" s="4">
        <v>44837</v>
      </c>
    </row>
    <row r="459" spans="1:19" ht="12.5" x14ac:dyDescent="0.25">
      <c r="A459" s="14" t="str">
        <f>HYPERLINK("https://gerandofalcoes.my.salesforce.com/0014P00003YSp8zQAD", "0014P00003YSp8zQAD")</f>
        <v>0014P00003YSp8zQAD</v>
      </c>
      <c r="B459" s="2" t="s">
        <v>2087</v>
      </c>
      <c r="C459" s="2" t="s">
        <v>423</v>
      </c>
      <c r="D459" s="2" t="s">
        <v>2</v>
      </c>
      <c r="E459" s="2">
        <v>29</v>
      </c>
      <c r="F459" s="2">
        <v>10</v>
      </c>
      <c r="G459" s="2">
        <v>2</v>
      </c>
      <c r="H459" s="2">
        <v>11000</v>
      </c>
      <c r="I459" s="2">
        <v>120</v>
      </c>
      <c r="J459" s="2" t="s">
        <v>1671</v>
      </c>
      <c r="K459" s="2">
        <v>46</v>
      </c>
      <c r="L459" s="2">
        <v>15</v>
      </c>
      <c r="M459" s="2">
        <v>10</v>
      </c>
      <c r="N459" s="2">
        <v>6</v>
      </c>
      <c r="O459" s="2">
        <v>5</v>
      </c>
      <c r="P459" s="2">
        <v>10</v>
      </c>
      <c r="Q459" s="2" t="s">
        <v>2088</v>
      </c>
      <c r="R459" s="2" t="s">
        <v>2089</v>
      </c>
      <c r="S459" s="4">
        <v>44837</v>
      </c>
    </row>
    <row r="460" spans="1:19" ht="12.5" x14ac:dyDescent="0.25">
      <c r="A460" s="14" t="str">
        <f>HYPERLINK("https://gerandofalcoes.my.salesforce.com/0014P00003YSp90QAD", "0014P00003YSp90QAD")</f>
        <v>0014P00003YSp90QAD</v>
      </c>
      <c r="B460" s="2" t="s">
        <v>2175</v>
      </c>
      <c r="C460" s="2" t="s">
        <v>423</v>
      </c>
      <c r="D460" s="2" t="s">
        <v>2</v>
      </c>
      <c r="E460" s="2">
        <v>33</v>
      </c>
      <c r="F460" s="2">
        <v>41</v>
      </c>
      <c r="G460" s="2">
        <v>4</v>
      </c>
      <c r="H460" s="2">
        <v>0</v>
      </c>
      <c r="I460" s="2">
        <v>98</v>
      </c>
      <c r="J460" s="2" t="s">
        <v>1671</v>
      </c>
      <c r="K460" s="2">
        <v>50</v>
      </c>
      <c r="L460" s="2">
        <v>15</v>
      </c>
      <c r="M460" s="2">
        <v>15</v>
      </c>
      <c r="N460" s="2">
        <v>10</v>
      </c>
      <c r="O460" s="2">
        <v>0</v>
      </c>
      <c r="P460" s="2">
        <v>10</v>
      </c>
      <c r="Q460" s="2" t="s">
        <v>2176</v>
      </c>
      <c r="R460" s="2" t="s">
        <v>2177</v>
      </c>
      <c r="S460" s="4">
        <v>44837</v>
      </c>
    </row>
    <row r="461" spans="1:19" ht="12.5" x14ac:dyDescent="0.25">
      <c r="A461" s="14" t="str">
        <f>HYPERLINK("https://gerandofalcoes.my.salesforce.com/0014P00003YSp91QAD", "0014P00003YSp91QAD")</f>
        <v>0014P00003YSp91QAD</v>
      </c>
      <c r="B461" s="2" t="s">
        <v>2697</v>
      </c>
      <c r="C461" s="2" t="s">
        <v>423</v>
      </c>
      <c r="D461" s="2" t="s">
        <v>2</v>
      </c>
      <c r="E461" s="2">
        <v>19</v>
      </c>
      <c r="F461" s="2">
        <v>8</v>
      </c>
      <c r="G461" s="2">
        <v>2</v>
      </c>
      <c r="H461" s="2">
        <v>15000</v>
      </c>
      <c r="I461" s="2">
        <v>150</v>
      </c>
      <c r="J461" s="2" t="s">
        <v>1671</v>
      </c>
      <c r="K461" s="2">
        <v>43</v>
      </c>
      <c r="L461" s="2">
        <v>10</v>
      </c>
      <c r="M461" s="2">
        <v>10</v>
      </c>
      <c r="N461" s="2">
        <v>6</v>
      </c>
      <c r="O461" s="2">
        <v>5</v>
      </c>
      <c r="P461" s="2">
        <v>12</v>
      </c>
      <c r="Q461" s="2" t="s">
        <v>2698</v>
      </c>
      <c r="R461" s="2" t="s">
        <v>2699</v>
      </c>
      <c r="S461" s="4">
        <v>44837</v>
      </c>
    </row>
    <row r="462" spans="1:19" ht="12.5" x14ac:dyDescent="0.25">
      <c r="A462" s="14" t="str">
        <f>HYPERLINK("https://gerandofalcoes.my.salesforce.com/0014P00003YSp92QAD", "0014P00003YSp92QAD")</f>
        <v>0014P00003YSp92QAD</v>
      </c>
      <c r="B462" s="2" t="s">
        <v>1892</v>
      </c>
      <c r="C462" s="2" t="s">
        <v>423</v>
      </c>
      <c r="D462" s="2" t="s">
        <v>2</v>
      </c>
      <c r="E462" s="2">
        <v>37</v>
      </c>
      <c r="F462" s="2">
        <v>2</v>
      </c>
      <c r="G462" s="2">
        <v>2</v>
      </c>
      <c r="H462" s="2">
        <v>1000</v>
      </c>
      <c r="I462" s="2">
        <v>195</v>
      </c>
      <c r="J462" s="2" t="s">
        <v>1671</v>
      </c>
      <c r="K462" s="2">
        <v>43</v>
      </c>
      <c r="L462" s="2">
        <v>15</v>
      </c>
      <c r="M462" s="2">
        <v>5</v>
      </c>
      <c r="N462" s="2">
        <v>6</v>
      </c>
      <c r="O462" s="2">
        <v>5</v>
      </c>
      <c r="P462" s="2">
        <v>12</v>
      </c>
      <c r="Q462" s="2" t="s">
        <v>1893</v>
      </c>
      <c r="R462" s="2" t="s">
        <v>1894</v>
      </c>
      <c r="S462" s="4">
        <v>44837</v>
      </c>
    </row>
    <row r="463" spans="1:19" ht="12.5" x14ac:dyDescent="0.25">
      <c r="A463" s="14" t="str">
        <f>HYPERLINK("https://gerandofalcoes.my.salesforce.com/0014P00003YSp94QAD", "0014P00003YSp94QAD")</f>
        <v>0014P00003YSp94QAD</v>
      </c>
      <c r="B463" s="2" t="s">
        <v>2131</v>
      </c>
      <c r="C463" s="2" t="s">
        <v>423</v>
      </c>
      <c r="D463" s="2" t="s">
        <v>2</v>
      </c>
      <c r="E463" s="2">
        <v>34</v>
      </c>
      <c r="F463" s="2">
        <v>0</v>
      </c>
      <c r="G463" s="2">
        <v>2</v>
      </c>
      <c r="H463" s="2">
        <v>25000</v>
      </c>
      <c r="I463" s="2">
        <v>600</v>
      </c>
      <c r="J463" s="2" t="s">
        <v>1671</v>
      </c>
      <c r="K463" s="2">
        <v>51</v>
      </c>
      <c r="L463" s="2">
        <v>15</v>
      </c>
      <c r="M463" s="2">
        <v>0</v>
      </c>
      <c r="N463" s="2">
        <v>6</v>
      </c>
      <c r="O463" s="2">
        <v>10</v>
      </c>
      <c r="P463" s="2">
        <v>20</v>
      </c>
      <c r="Q463" s="2" t="s">
        <v>2132</v>
      </c>
      <c r="R463" s="2" t="s">
        <v>2132</v>
      </c>
      <c r="S463" s="4">
        <v>44837</v>
      </c>
    </row>
    <row r="464" spans="1:19" ht="12.5" x14ac:dyDescent="0.25">
      <c r="A464" s="14" t="str">
        <f>HYPERLINK("https://gerandofalcoes.my.salesforce.com/0014P00003YSp95QAD", "0014P00003YSp95QAD")</f>
        <v>0014P00003YSp95QAD</v>
      </c>
      <c r="B464" s="2" t="s">
        <v>1861</v>
      </c>
      <c r="C464" s="2" t="s">
        <v>423</v>
      </c>
      <c r="D464" s="2" t="s">
        <v>2</v>
      </c>
      <c r="E464" s="2">
        <v>36</v>
      </c>
      <c r="F464" s="2">
        <v>8</v>
      </c>
      <c r="G464" s="2">
        <v>2</v>
      </c>
      <c r="H464" s="2">
        <v>12000</v>
      </c>
      <c r="I464" s="2">
        <v>19</v>
      </c>
      <c r="J464" s="2" t="s">
        <v>1671</v>
      </c>
      <c r="K464" s="2">
        <v>41</v>
      </c>
      <c r="L464" s="2">
        <v>15</v>
      </c>
      <c r="M464" s="2">
        <v>10</v>
      </c>
      <c r="N464" s="2">
        <v>6</v>
      </c>
      <c r="O464" s="2">
        <v>5</v>
      </c>
      <c r="P464" s="2">
        <v>5</v>
      </c>
      <c r="Q464" s="2" t="s">
        <v>1862</v>
      </c>
      <c r="R464" s="2" t="s">
        <v>1863</v>
      </c>
      <c r="S464" s="4">
        <v>44837</v>
      </c>
    </row>
    <row r="465" spans="1:19" ht="12.5" x14ac:dyDescent="0.25">
      <c r="A465" s="14" t="str">
        <f>HYPERLINK("https://gerandofalcoes.my.salesforce.com/0014P00003YSp97QAD", "0014P00003YSp97QAD")</f>
        <v>0014P00003YSp97QAD</v>
      </c>
      <c r="B465" s="2" t="s">
        <v>2013</v>
      </c>
      <c r="C465" s="2" t="s">
        <v>423</v>
      </c>
      <c r="D465" s="2" t="s">
        <v>2</v>
      </c>
      <c r="E465" s="2">
        <v>38</v>
      </c>
      <c r="F465" s="2">
        <v>5</v>
      </c>
      <c r="G465" s="2">
        <v>3</v>
      </c>
      <c r="H465" s="2">
        <v>900000</v>
      </c>
      <c r="I465" s="2">
        <v>450</v>
      </c>
      <c r="J465" s="2" t="s">
        <v>1650</v>
      </c>
      <c r="K465" s="2">
        <v>73</v>
      </c>
      <c r="L465" s="2">
        <v>15</v>
      </c>
      <c r="M465" s="2">
        <v>5</v>
      </c>
      <c r="N465" s="2">
        <v>8</v>
      </c>
      <c r="O465" s="2">
        <v>25</v>
      </c>
      <c r="P465" s="2">
        <v>20</v>
      </c>
      <c r="Q465" s="2" t="s">
        <v>2014</v>
      </c>
      <c r="R465" s="2" t="s">
        <v>2015</v>
      </c>
      <c r="S465" s="4">
        <v>44837</v>
      </c>
    </row>
    <row r="466" spans="1:19" ht="12.5" x14ac:dyDescent="0.25">
      <c r="A466" s="14" t="str">
        <f>HYPERLINK("https://gerandofalcoes.my.salesforce.com/0014P00003YSp98QAD", "0014P00003YSp98QAD")</f>
        <v>0014P00003YSp98QAD</v>
      </c>
      <c r="B466" s="2" t="s">
        <v>2010</v>
      </c>
      <c r="C466" s="2" t="s">
        <v>423</v>
      </c>
      <c r="D466" s="2" t="s">
        <v>2</v>
      </c>
      <c r="E466" s="2">
        <v>38</v>
      </c>
      <c r="F466" s="2">
        <v>5</v>
      </c>
      <c r="G466" s="2">
        <v>2</v>
      </c>
      <c r="H466" s="2">
        <v>15000</v>
      </c>
      <c r="I466" s="2">
        <v>0</v>
      </c>
      <c r="J466" s="2" t="s">
        <v>1779</v>
      </c>
      <c r="K466" s="2">
        <v>31</v>
      </c>
      <c r="L466" s="2">
        <v>15</v>
      </c>
      <c r="M466" s="2">
        <v>5</v>
      </c>
      <c r="N466" s="2">
        <v>6</v>
      </c>
      <c r="O466" s="2">
        <v>5</v>
      </c>
      <c r="P466" s="2">
        <v>0</v>
      </c>
      <c r="Q466" s="2" t="s">
        <v>2011</v>
      </c>
      <c r="R466" s="2" t="s">
        <v>7210</v>
      </c>
      <c r="S466" s="4">
        <v>44837</v>
      </c>
    </row>
    <row r="467" spans="1:19" ht="12.5" x14ac:dyDescent="0.25">
      <c r="A467" s="14" t="str">
        <f>HYPERLINK("https://gerandofalcoes.my.salesforce.com/0014P00003YSp99QAD", "0014P00003YSp99QAD")</f>
        <v>0014P00003YSp99QAD</v>
      </c>
      <c r="B467" s="2" t="s">
        <v>1695</v>
      </c>
      <c r="C467" s="2" t="s">
        <v>423</v>
      </c>
      <c r="D467" s="2" t="s">
        <v>2</v>
      </c>
      <c r="E467" s="2">
        <v>41</v>
      </c>
      <c r="F467" s="2">
        <v>0</v>
      </c>
      <c r="G467" s="2">
        <v>3</v>
      </c>
      <c r="H467" s="2">
        <v>63964</v>
      </c>
      <c r="I467" s="2">
        <v>260</v>
      </c>
      <c r="J467" s="2" t="s">
        <v>1671</v>
      </c>
      <c r="K467" s="2">
        <v>45</v>
      </c>
      <c r="L467" s="2">
        <v>15</v>
      </c>
      <c r="M467" s="2">
        <v>0</v>
      </c>
      <c r="N467" s="2">
        <v>8</v>
      </c>
      <c r="O467" s="2">
        <v>10</v>
      </c>
      <c r="P467" s="2">
        <v>12</v>
      </c>
      <c r="Q467" s="2" t="s">
        <v>1696</v>
      </c>
      <c r="R467" s="2" t="s">
        <v>1697</v>
      </c>
      <c r="S467" s="4">
        <v>44837</v>
      </c>
    </row>
    <row r="468" spans="1:19" ht="12.5" x14ac:dyDescent="0.25">
      <c r="A468" s="14" t="str">
        <f>HYPERLINK("https://gerandofalcoes.my.salesforce.com/0014P00003YSp9AQAT", "0014P00003YSp9AQAT")</f>
        <v>0014P00003YSp9AQAT</v>
      </c>
      <c r="B468" s="2" t="s">
        <v>1957</v>
      </c>
      <c r="C468" s="2" t="s">
        <v>423</v>
      </c>
      <c r="D468" s="2" t="s">
        <v>2</v>
      </c>
      <c r="E468" s="2">
        <v>37</v>
      </c>
      <c r="F468" s="2">
        <v>0</v>
      </c>
      <c r="G468" s="2">
        <v>2</v>
      </c>
      <c r="H468" s="2">
        <v>1000</v>
      </c>
      <c r="I468" s="2">
        <v>40</v>
      </c>
      <c r="J468" s="2" t="s">
        <v>1779</v>
      </c>
      <c r="K468" s="2">
        <v>31</v>
      </c>
      <c r="L468" s="2">
        <v>15</v>
      </c>
      <c r="M468" s="2">
        <v>0</v>
      </c>
      <c r="N468" s="2">
        <v>6</v>
      </c>
      <c r="O468" s="2">
        <v>5</v>
      </c>
      <c r="P468" s="2">
        <v>5</v>
      </c>
      <c r="Q468" s="2" t="s">
        <v>1958</v>
      </c>
      <c r="R468" s="2" t="s">
        <v>1958</v>
      </c>
      <c r="S468" s="4">
        <v>44837</v>
      </c>
    </row>
    <row r="469" spans="1:19" ht="12.5" x14ac:dyDescent="0.25">
      <c r="A469" s="14" t="str">
        <f>HYPERLINK("https://gerandofalcoes.my.salesforce.com/0014P00003YSp9BQAT", "0014P00003YSp9BQAT")</f>
        <v>0014P00003YSp9BQAT</v>
      </c>
      <c r="B469" s="2" t="s">
        <v>2839</v>
      </c>
      <c r="C469" s="2" t="s">
        <v>423</v>
      </c>
      <c r="D469" s="2" t="s">
        <v>2</v>
      </c>
      <c r="E469" s="2">
        <v>11</v>
      </c>
      <c r="F469" s="2">
        <v>24</v>
      </c>
      <c r="G469" s="2">
        <v>4</v>
      </c>
      <c r="H469" s="2">
        <v>200</v>
      </c>
      <c r="I469" s="2">
        <v>112</v>
      </c>
      <c r="J469" s="2" t="s">
        <v>1671</v>
      </c>
      <c r="K469" s="2">
        <v>47</v>
      </c>
      <c r="L469" s="2">
        <v>10</v>
      </c>
      <c r="M469" s="2">
        <v>12</v>
      </c>
      <c r="N469" s="2">
        <v>10</v>
      </c>
      <c r="O469" s="2">
        <v>5</v>
      </c>
      <c r="P469" s="2">
        <v>10</v>
      </c>
      <c r="Q469" s="2" t="s">
        <v>2840</v>
      </c>
      <c r="R469" s="2" t="s">
        <v>2841</v>
      </c>
      <c r="S469" s="4">
        <v>44837</v>
      </c>
    </row>
    <row r="470" spans="1:19" ht="12.5" x14ac:dyDescent="0.25">
      <c r="A470" s="14" t="str">
        <f>HYPERLINK("https://gerandofalcoes.my.salesforce.com/0014P00003YSp9CQAT", "0014P00003YSp9CQAT")</f>
        <v>0014P00003YSp9CQAT</v>
      </c>
      <c r="B470" s="2" t="s">
        <v>2103</v>
      </c>
      <c r="C470" s="2" t="s">
        <v>423</v>
      </c>
      <c r="D470" s="2" t="s">
        <v>2</v>
      </c>
      <c r="E470" s="2">
        <v>35</v>
      </c>
      <c r="F470" s="2">
        <v>1</v>
      </c>
      <c r="G470" s="2">
        <v>2</v>
      </c>
      <c r="H470" s="2">
        <v>120000</v>
      </c>
      <c r="I470" s="2">
        <v>100</v>
      </c>
      <c r="J470" s="2" t="s">
        <v>1671</v>
      </c>
      <c r="K470" s="2">
        <v>51</v>
      </c>
      <c r="L470" s="2">
        <v>15</v>
      </c>
      <c r="M470" s="2">
        <v>5</v>
      </c>
      <c r="N470" s="2">
        <v>6</v>
      </c>
      <c r="O470" s="2">
        <v>15</v>
      </c>
      <c r="P470" s="2">
        <v>10</v>
      </c>
      <c r="Q470" s="2" t="s">
        <v>2104</v>
      </c>
      <c r="R470" s="2" t="s">
        <v>2105</v>
      </c>
      <c r="S470" s="4">
        <v>44837</v>
      </c>
    </row>
    <row r="471" spans="1:19" ht="12.5" x14ac:dyDescent="0.25">
      <c r="A471" s="14" t="str">
        <f>HYPERLINK("https://gerandofalcoes.my.salesforce.com/0014P00003YSp9DQAT", "0014P00003YSp9DQAT")</f>
        <v>0014P00003YSp9DQAT</v>
      </c>
      <c r="B471" s="2" t="s">
        <v>2539</v>
      </c>
      <c r="C471" s="2" t="s">
        <v>1684</v>
      </c>
      <c r="D471" s="2" t="s">
        <v>2</v>
      </c>
      <c r="E471" s="2">
        <v>21</v>
      </c>
      <c r="F471" s="2">
        <v>1</v>
      </c>
      <c r="G471" s="2">
        <v>0</v>
      </c>
      <c r="H471" s="2">
        <v>0</v>
      </c>
      <c r="I471" s="2">
        <v>0</v>
      </c>
      <c r="J471" s="2" t="s">
        <v>1779</v>
      </c>
      <c r="K471" s="2">
        <v>15</v>
      </c>
      <c r="L471" s="2">
        <v>10</v>
      </c>
      <c r="M471" s="2">
        <v>5</v>
      </c>
      <c r="N471" s="2">
        <v>0</v>
      </c>
      <c r="O471" s="2">
        <v>0</v>
      </c>
      <c r="P471" s="2">
        <v>0</v>
      </c>
      <c r="Q471" s="2" t="s">
        <v>2540</v>
      </c>
      <c r="R471" s="2" t="s">
        <v>2540</v>
      </c>
      <c r="S471" s="4">
        <v>44837</v>
      </c>
    </row>
    <row r="472" spans="1:19" ht="12.5" x14ac:dyDescent="0.25">
      <c r="A472" s="14" t="str">
        <f>HYPERLINK("https://gerandofalcoes.my.salesforce.com/0014P00003YSp9EQAT", "0014P00003YSp9EQAT")</f>
        <v>0014P00003YSp9EQAT</v>
      </c>
      <c r="B472" s="2" t="s">
        <v>2279</v>
      </c>
      <c r="C472" s="2" t="s">
        <v>423</v>
      </c>
      <c r="D472" s="2" t="s">
        <v>2</v>
      </c>
      <c r="E472" s="2">
        <v>38</v>
      </c>
      <c r="F472" s="2">
        <v>2</v>
      </c>
      <c r="G472" s="2">
        <v>2</v>
      </c>
      <c r="H472" s="2">
        <v>30000</v>
      </c>
      <c r="I472" s="2">
        <v>150</v>
      </c>
      <c r="J472" s="2" t="s">
        <v>1671</v>
      </c>
      <c r="K472" s="2">
        <v>48</v>
      </c>
      <c r="L472" s="2">
        <v>15</v>
      </c>
      <c r="M472" s="2">
        <v>5</v>
      </c>
      <c r="N472" s="2">
        <v>6</v>
      </c>
      <c r="O472" s="2">
        <v>10</v>
      </c>
      <c r="P472" s="2">
        <v>12</v>
      </c>
      <c r="Q472" s="2" t="s">
        <v>2280</v>
      </c>
      <c r="R472" s="2" t="s">
        <v>2281</v>
      </c>
      <c r="S472" s="4">
        <v>44837</v>
      </c>
    </row>
    <row r="473" spans="1:19" ht="12.5" x14ac:dyDescent="0.25">
      <c r="A473" s="14" t="str">
        <f>HYPERLINK("https://gerandofalcoes.my.salesforce.com/0014P00003YSp9FQAT", "0014P00003YSp9FQAT")</f>
        <v>0014P00003YSp9FQAT</v>
      </c>
      <c r="B473" s="2" t="s">
        <v>1972</v>
      </c>
      <c r="C473" s="2" t="s">
        <v>423</v>
      </c>
      <c r="D473" s="2" t="s">
        <v>2</v>
      </c>
      <c r="E473" s="2">
        <v>43</v>
      </c>
      <c r="F473" s="2">
        <v>7</v>
      </c>
      <c r="G473" s="2">
        <v>4</v>
      </c>
      <c r="H473" s="2">
        <v>200000</v>
      </c>
      <c r="I473" s="2">
        <v>100</v>
      </c>
      <c r="J473" s="2" t="s">
        <v>1671</v>
      </c>
      <c r="K473" s="2">
        <v>60</v>
      </c>
      <c r="L473" s="2">
        <v>15</v>
      </c>
      <c r="M473" s="2">
        <v>10</v>
      </c>
      <c r="N473" s="2">
        <v>10</v>
      </c>
      <c r="O473" s="2">
        <v>15</v>
      </c>
      <c r="P473" s="2">
        <v>10</v>
      </c>
      <c r="Q473" s="2" t="s">
        <v>1973</v>
      </c>
      <c r="R473" s="2" t="s">
        <v>1974</v>
      </c>
      <c r="S473" s="4">
        <v>44837</v>
      </c>
    </row>
    <row r="474" spans="1:19" ht="12.5" x14ac:dyDescent="0.25">
      <c r="A474" s="14" t="str">
        <f>HYPERLINK("https://gerandofalcoes.my.salesforce.com/0014P00003YSp9HQAT", "0014P00003YSp9HQAT")</f>
        <v>0014P00003YSp9HQAT</v>
      </c>
      <c r="B474" s="2" t="s">
        <v>2147</v>
      </c>
      <c r="C474" s="2" t="s">
        <v>423</v>
      </c>
      <c r="D474" s="2" t="s">
        <v>2</v>
      </c>
      <c r="E474" s="2">
        <v>20</v>
      </c>
      <c r="F474" s="2">
        <v>0</v>
      </c>
      <c r="G474" s="2">
        <v>2</v>
      </c>
      <c r="H474" s="2">
        <v>2500</v>
      </c>
      <c r="I474" s="2">
        <v>77</v>
      </c>
      <c r="J474" s="2" t="s">
        <v>1779</v>
      </c>
      <c r="K474" s="2">
        <v>26</v>
      </c>
      <c r="L474" s="2">
        <v>10</v>
      </c>
      <c r="M474" s="2">
        <v>0</v>
      </c>
      <c r="N474" s="2">
        <v>6</v>
      </c>
      <c r="O474" s="2">
        <v>5</v>
      </c>
      <c r="P474" s="2">
        <v>5</v>
      </c>
      <c r="Q474" s="2" t="s">
        <v>2148</v>
      </c>
      <c r="R474" s="2" t="s">
        <v>2149</v>
      </c>
      <c r="S474" s="4">
        <v>44837</v>
      </c>
    </row>
    <row r="475" spans="1:19" ht="12.5" x14ac:dyDescent="0.25">
      <c r="A475" s="14" t="str">
        <f>HYPERLINK("https://gerandofalcoes.my.salesforce.com/0014P00003YSp9IQAT", "0014P00003YSp9IQAT")</f>
        <v>0014P00003YSp9IQAT</v>
      </c>
      <c r="B475" s="2" t="s">
        <v>2425</v>
      </c>
      <c r="C475" s="2" t="s">
        <v>1684</v>
      </c>
      <c r="D475" s="2" t="s">
        <v>2</v>
      </c>
      <c r="E475" s="2">
        <v>25</v>
      </c>
      <c r="F475" s="2">
        <v>0</v>
      </c>
      <c r="G475" s="2">
        <v>0</v>
      </c>
      <c r="H475" s="2">
        <v>0</v>
      </c>
      <c r="I475" s="2">
        <v>0</v>
      </c>
      <c r="J475" s="2" t="s">
        <v>1779</v>
      </c>
      <c r="K475" s="2">
        <v>15</v>
      </c>
      <c r="L475" s="2">
        <v>15</v>
      </c>
      <c r="M475" s="2">
        <v>0</v>
      </c>
      <c r="N475" s="2">
        <v>0</v>
      </c>
      <c r="O475" s="2">
        <v>0</v>
      </c>
      <c r="P475" s="2">
        <v>0</v>
      </c>
      <c r="Q475" s="2" t="s">
        <v>2426</v>
      </c>
      <c r="R475" s="2" t="s">
        <v>2427</v>
      </c>
      <c r="S475" s="4">
        <v>44837</v>
      </c>
    </row>
    <row r="476" spans="1:19" ht="12.5" x14ac:dyDescent="0.25">
      <c r="A476" s="14" t="str">
        <f>HYPERLINK("https://gerandofalcoes.my.salesforce.com/0014P00003YSp9JQAT", "0014P00003YSp9JQAT")</f>
        <v>0014P00003YSp9JQAT</v>
      </c>
      <c r="B476" s="2" t="s">
        <v>2046</v>
      </c>
      <c r="C476" s="2" t="s">
        <v>423</v>
      </c>
      <c r="D476" s="2" t="s">
        <v>2</v>
      </c>
      <c r="E476" s="2">
        <v>37</v>
      </c>
      <c r="F476" s="2">
        <v>4</v>
      </c>
      <c r="G476" s="2">
        <v>4</v>
      </c>
      <c r="H476" s="2">
        <v>125000</v>
      </c>
      <c r="I476" s="2">
        <v>150</v>
      </c>
      <c r="J476" s="2" t="s">
        <v>1671</v>
      </c>
      <c r="K476" s="2">
        <v>57</v>
      </c>
      <c r="L476" s="2">
        <v>15</v>
      </c>
      <c r="M476" s="2">
        <v>5</v>
      </c>
      <c r="N476" s="2">
        <v>10</v>
      </c>
      <c r="O476" s="2">
        <v>15</v>
      </c>
      <c r="P476" s="2">
        <v>12</v>
      </c>
      <c r="Q476" s="2" t="s">
        <v>2047</v>
      </c>
      <c r="R476" s="2" t="s">
        <v>2048</v>
      </c>
      <c r="S476" s="4">
        <v>44837</v>
      </c>
    </row>
    <row r="477" spans="1:19" ht="12.5" x14ac:dyDescent="0.25">
      <c r="A477" s="14" t="str">
        <f>HYPERLINK("https://gerandofalcoes.my.salesforce.com/0014P00003YSp9LQAT", "0014P00003YSp9LQAT")</f>
        <v>0014P00003YSp9LQAT</v>
      </c>
      <c r="B477" s="2" t="s">
        <v>1908</v>
      </c>
      <c r="C477" s="2" t="s">
        <v>423</v>
      </c>
      <c r="D477" s="2" t="s">
        <v>2</v>
      </c>
      <c r="E477" s="2">
        <v>43</v>
      </c>
      <c r="F477" s="2">
        <v>16</v>
      </c>
      <c r="G477" s="2">
        <v>6</v>
      </c>
      <c r="H477" s="2">
        <v>153000</v>
      </c>
      <c r="I477" s="2">
        <v>487</v>
      </c>
      <c r="J477" s="2" t="s">
        <v>1650</v>
      </c>
      <c r="K477" s="2">
        <v>72</v>
      </c>
      <c r="L477" s="2">
        <v>15</v>
      </c>
      <c r="M477" s="2">
        <v>12</v>
      </c>
      <c r="N477" s="2">
        <v>10</v>
      </c>
      <c r="O477" s="2">
        <v>15</v>
      </c>
      <c r="P477" s="2">
        <v>20</v>
      </c>
      <c r="Q477" s="2" t="s">
        <v>1909</v>
      </c>
      <c r="R477" s="2" t="s">
        <v>1909</v>
      </c>
      <c r="S477" s="4">
        <v>44837</v>
      </c>
    </row>
    <row r="478" spans="1:19" ht="12.5" x14ac:dyDescent="0.25">
      <c r="A478" s="14" t="str">
        <f>HYPERLINK("https://gerandofalcoes.my.salesforce.com/0014P00003YSp9MQAT", "0014P00003YSp9MQAT")</f>
        <v>0014P00003YSp9MQAT</v>
      </c>
      <c r="B478" s="2" t="s">
        <v>1887</v>
      </c>
      <c r="C478" s="2" t="s">
        <v>423</v>
      </c>
      <c r="D478" s="2" t="s">
        <v>2</v>
      </c>
      <c r="E478" s="2">
        <v>44</v>
      </c>
      <c r="F478" s="2">
        <v>2</v>
      </c>
      <c r="G478" s="2">
        <v>2</v>
      </c>
      <c r="H478" s="2">
        <v>9000</v>
      </c>
      <c r="I478" s="2">
        <v>30</v>
      </c>
      <c r="J478" s="2" t="s">
        <v>1779</v>
      </c>
      <c r="K478" s="2">
        <v>36</v>
      </c>
      <c r="L478" s="2">
        <v>15</v>
      </c>
      <c r="M478" s="2">
        <v>5</v>
      </c>
      <c r="N478" s="2">
        <v>6</v>
      </c>
      <c r="O478" s="2">
        <v>5</v>
      </c>
      <c r="P478" s="2">
        <v>5</v>
      </c>
      <c r="Q478" s="2" t="s">
        <v>1888</v>
      </c>
      <c r="R478" s="2" t="s">
        <v>1888</v>
      </c>
      <c r="S478" s="4">
        <v>44837</v>
      </c>
    </row>
    <row r="479" spans="1:19" ht="12.5" x14ac:dyDescent="0.25">
      <c r="A479" s="14" t="str">
        <f>HYPERLINK("https://gerandofalcoes.my.salesforce.com/0014P00003YSp9NQAT", "0014P00003YSp9NQAT")</f>
        <v>0014P00003YSp9NQAT</v>
      </c>
      <c r="B479" s="2" t="s">
        <v>2275</v>
      </c>
      <c r="C479" s="2" t="s">
        <v>423</v>
      </c>
      <c r="D479" s="2" t="s">
        <v>2</v>
      </c>
      <c r="E479" s="2">
        <v>30</v>
      </c>
      <c r="F479" s="2">
        <v>0</v>
      </c>
      <c r="G479" s="2">
        <v>2</v>
      </c>
      <c r="H479" s="2">
        <v>11000</v>
      </c>
      <c r="I479" s="2">
        <v>600</v>
      </c>
      <c r="J479" s="2" t="s">
        <v>1671</v>
      </c>
      <c r="K479" s="2">
        <v>46</v>
      </c>
      <c r="L479" s="2">
        <v>15</v>
      </c>
      <c r="M479" s="2">
        <v>0</v>
      </c>
      <c r="N479" s="2">
        <v>6</v>
      </c>
      <c r="O479" s="2">
        <v>5</v>
      </c>
      <c r="P479" s="2">
        <v>20</v>
      </c>
      <c r="Q479" s="2" t="s">
        <v>7188</v>
      </c>
      <c r="R479" s="2" t="s">
        <v>2276</v>
      </c>
      <c r="S479" s="4">
        <v>44837</v>
      </c>
    </row>
    <row r="480" spans="1:19" ht="12.5" x14ac:dyDescent="0.25">
      <c r="A480" s="14" t="str">
        <f>HYPERLINK("https://gerandofalcoes.my.salesforce.com/0014P00003YSp9OQAT", "0014P00003YSp9OQAT")</f>
        <v>0014P00003YSp9OQAT</v>
      </c>
      <c r="B480" s="2" t="s">
        <v>2593</v>
      </c>
      <c r="C480" s="2" t="s">
        <v>423</v>
      </c>
      <c r="D480" s="2" t="s">
        <v>2</v>
      </c>
      <c r="E480" s="2">
        <v>19</v>
      </c>
      <c r="F480" s="2">
        <v>0</v>
      </c>
      <c r="G480" s="2">
        <v>8</v>
      </c>
      <c r="H480" s="2">
        <v>15000</v>
      </c>
      <c r="I480" s="2">
        <v>958</v>
      </c>
      <c r="J480" s="2" t="s">
        <v>1671</v>
      </c>
      <c r="K480" s="2">
        <v>45</v>
      </c>
      <c r="L480" s="2">
        <v>10</v>
      </c>
      <c r="M480" s="2">
        <v>0</v>
      </c>
      <c r="N480" s="2">
        <v>10</v>
      </c>
      <c r="O480" s="2">
        <v>5</v>
      </c>
      <c r="P480" s="2">
        <v>20</v>
      </c>
      <c r="Q480" s="2" t="s">
        <v>2594</v>
      </c>
      <c r="R480" s="2" t="s">
        <v>2595</v>
      </c>
      <c r="S480" s="4">
        <v>44837</v>
      </c>
    </row>
    <row r="481" spans="1:19" ht="12.5" x14ac:dyDescent="0.25">
      <c r="A481" s="14" t="str">
        <f>HYPERLINK("https://gerandofalcoes.my.salesforce.com/0014P00003YSp9PQAT", "0014P00003YSp9PQAT")</f>
        <v>0014P00003YSp9PQAT</v>
      </c>
      <c r="B481" s="2" t="s">
        <v>2312</v>
      </c>
      <c r="C481" s="2" t="s">
        <v>423</v>
      </c>
      <c r="D481" s="2" t="s">
        <v>2</v>
      </c>
      <c r="E481" s="2">
        <v>29</v>
      </c>
      <c r="F481" s="2">
        <v>1</v>
      </c>
      <c r="G481" s="2">
        <v>2</v>
      </c>
      <c r="H481" s="2">
        <v>161520</v>
      </c>
      <c r="I481" s="2">
        <v>3085</v>
      </c>
      <c r="J481" s="2" t="s">
        <v>1671</v>
      </c>
      <c r="K481" s="2">
        <v>61</v>
      </c>
      <c r="L481" s="2">
        <v>15</v>
      </c>
      <c r="M481" s="2">
        <v>5</v>
      </c>
      <c r="N481" s="2">
        <v>6</v>
      </c>
      <c r="O481" s="2">
        <v>15</v>
      </c>
      <c r="P481" s="2">
        <v>20</v>
      </c>
      <c r="Q481" s="2" t="s">
        <v>2313</v>
      </c>
      <c r="R481" s="2" t="s">
        <v>2313</v>
      </c>
      <c r="S481" s="4">
        <v>44837</v>
      </c>
    </row>
    <row r="482" spans="1:19" ht="12.5" x14ac:dyDescent="0.25">
      <c r="A482" s="14" t="str">
        <f>HYPERLINK("https://gerandofalcoes.my.salesforce.com/0014P00003YSp9TQAT", "0014P00003YSp9TQAT")</f>
        <v>0014P00003YSp9TQAT</v>
      </c>
      <c r="B482" s="2" t="s">
        <v>2194</v>
      </c>
      <c r="C482" s="2" t="s">
        <v>423</v>
      </c>
      <c r="D482" s="2" t="s">
        <v>2</v>
      </c>
      <c r="E482" s="2">
        <v>33</v>
      </c>
      <c r="F482" s="2">
        <v>0</v>
      </c>
      <c r="G482" s="2">
        <v>5</v>
      </c>
      <c r="H482" s="2">
        <v>25650</v>
      </c>
      <c r="I482" s="2">
        <v>200</v>
      </c>
      <c r="J482" s="2" t="s">
        <v>1671</v>
      </c>
      <c r="K482" s="2">
        <v>47</v>
      </c>
      <c r="L482" s="2">
        <v>15</v>
      </c>
      <c r="M482" s="2">
        <v>0</v>
      </c>
      <c r="N482" s="2">
        <v>10</v>
      </c>
      <c r="O482" s="2">
        <v>10</v>
      </c>
      <c r="P482" s="2">
        <v>12</v>
      </c>
      <c r="Q482" s="2" t="s">
        <v>2195</v>
      </c>
      <c r="R482" s="2" t="s">
        <v>2196</v>
      </c>
      <c r="S482" s="4">
        <v>44837</v>
      </c>
    </row>
    <row r="483" spans="1:19" ht="12.5" x14ac:dyDescent="0.25">
      <c r="A483" s="14" t="str">
        <f>HYPERLINK("https://gerandofalcoes.my.salesforce.com/0014P00003YSp9UQAT", "0014P00003YSp9UQAT")</f>
        <v>0014P00003YSp9UQAT</v>
      </c>
      <c r="B483" s="2" t="s">
        <v>2133</v>
      </c>
      <c r="C483" s="2" t="s">
        <v>423</v>
      </c>
      <c r="D483" s="2" t="s">
        <v>2</v>
      </c>
      <c r="E483" s="2">
        <v>34</v>
      </c>
      <c r="F483" s="2">
        <v>39</v>
      </c>
      <c r="G483" s="2">
        <v>2</v>
      </c>
      <c r="H483" s="2">
        <v>2000</v>
      </c>
      <c r="I483" s="2">
        <v>280</v>
      </c>
      <c r="J483" s="2" t="s">
        <v>1671</v>
      </c>
      <c r="K483" s="2">
        <v>53</v>
      </c>
      <c r="L483" s="2">
        <v>15</v>
      </c>
      <c r="M483" s="2">
        <v>15</v>
      </c>
      <c r="N483" s="2">
        <v>6</v>
      </c>
      <c r="O483" s="2">
        <v>5</v>
      </c>
      <c r="P483" s="2">
        <v>12</v>
      </c>
      <c r="Q483" s="2" t="s">
        <v>2134</v>
      </c>
      <c r="R483" s="2" t="s">
        <v>2135</v>
      </c>
      <c r="S483" s="4">
        <v>44837</v>
      </c>
    </row>
    <row r="484" spans="1:19" ht="12.5" x14ac:dyDescent="0.25">
      <c r="A484" s="14" t="str">
        <f>HYPERLINK("https://gerandofalcoes.my.salesforce.com/0014P00003YSp9WQAT", "0014P00003YSp9WQAT")</f>
        <v>0014P00003YSp9WQAT</v>
      </c>
      <c r="B484" s="2" t="s">
        <v>2286</v>
      </c>
      <c r="C484" s="2" t="s">
        <v>423</v>
      </c>
      <c r="D484" s="2" t="s">
        <v>2</v>
      </c>
      <c r="E484" s="2">
        <v>35</v>
      </c>
      <c r="F484" s="2">
        <v>0</v>
      </c>
      <c r="G484" s="2">
        <v>4</v>
      </c>
      <c r="H484" s="2">
        <v>0</v>
      </c>
      <c r="I484" s="2">
        <v>450</v>
      </c>
      <c r="J484" s="2" t="s">
        <v>1671</v>
      </c>
      <c r="K484" s="2">
        <v>45</v>
      </c>
      <c r="L484" s="2">
        <v>15</v>
      </c>
      <c r="M484" s="2">
        <v>0</v>
      </c>
      <c r="N484" s="2">
        <v>10</v>
      </c>
      <c r="O484" s="2">
        <v>0</v>
      </c>
      <c r="P484" s="2">
        <v>20</v>
      </c>
      <c r="Q484" s="2" t="s">
        <v>2287</v>
      </c>
      <c r="R484" s="2" t="s">
        <v>2287</v>
      </c>
      <c r="S484" s="4">
        <v>44837</v>
      </c>
    </row>
    <row r="485" spans="1:19" ht="12.5" x14ac:dyDescent="0.25">
      <c r="A485" s="14" t="str">
        <f>HYPERLINK("https://gerandofalcoes.my.salesforce.com/0014P00003YSp9XQAT", "0014P00003YSp9XQAT")</f>
        <v>0014P00003YSp9XQAT</v>
      </c>
      <c r="B485" s="2" t="s">
        <v>1833</v>
      </c>
      <c r="C485" s="2" t="s">
        <v>423</v>
      </c>
      <c r="D485" s="2" t="s">
        <v>2</v>
      </c>
      <c r="E485" s="2">
        <v>46</v>
      </c>
      <c r="F485" s="2">
        <v>53</v>
      </c>
      <c r="G485" s="2">
        <v>13</v>
      </c>
      <c r="H485" s="2">
        <v>3643229</v>
      </c>
      <c r="I485" s="2">
        <v>500</v>
      </c>
      <c r="J485" s="2" t="s">
        <v>1654</v>
      </c>
      <c r="K485" s="2">
        <v>85</v>
      </c>
      <c r="L485" s="2">
        <v>15</v>
      </c>
      <c r="M485" s="2">
        <v>15</v>
      </c>
      <c r="N485" s="2">
        <v>10</v>
      </c>
      <c r="O485" s="2">
        <v>25</v>
      </c>
      <c r="P485" s="2">
        <v>20</v>
      </c>
      <c r="Q485" s="2" t="s">
        <v>1834</v>
      </c>
      <c r="R485" s="2"/>
      <c r="S485" s="4">
        <v>44837</v>
      </c>
    </row>
    <row r="486" spans="1:19" ht="12.5" x14ac:dyDescent="0.25">
      <c r="A486" s="14" t="str">
        <f>HYPERLINK("https://gerandofalcoes.my.salesforce.com/0014P00003YSp9YQAT", "0014P00003YSp9YQAT")</f>
        <v>0014P00003YSp9YQAT</v>
      </c>
      <c r="B486" s="2" t="s">
        <v>2203</v>
      </c>
      <c r="C486" s="2" t="s">
        <v>423</v>
      </c>
      <c r="D486" s="2" t="s">
        <v>2</v>
      </c>
      <c r="E486" s="2">
        <v>32</v>
      </c>
      <c r="F486" s="2">
        <v>0</v>
      </c>
      <c r="G486" s="2">
        <v>2</v>
      </c>
      <c r="H486" s="2">
        <v>7000</v>
      </c>
      <c r="I486" s="2">
        <v>518</v>
      </c>
      <c r="J486" s="2" t="s">
        <v>1671</v>
      </c>
      <c r="K486" s="2">
        <v>46</v>
      </c>
      <c r="L486" s="2">
        <v>15</v>
      </c>
      <c r="M486" s="2">
        <v>0</v>
      </c>
      <c r="N486" s="2">
        <v>6</v>
      </c>
      <c r="O486" s="2">
        <v>5</v>
      </c>
      <c r="P486" s="2">
        <v>20</v>
      </c>
      <c r="Q486" s="2" t="s">
        <v>2204</v>
      </c>
      <c r="R486" s="2" t="s">
        <v>2204</v>
      </c>
      <c r="S486" s="4">
        <v>44837</v>
      </c>
    </row>
    <row r="487" spans="1:19" ht="12.5" x14ac:dyDescent="0.25">
      <c r="A487" s="14" t="str">
        <f>HYPERLINK("https://gerandofalcoes.my.salesforce.com/0014P00003YSp9ZQAT", "0014P00003YSp9ZQAT")</f>
        <v>0014P00003YSp9ZQAT</v>
      </c>
      <c r="B487" s="2" t="s">
        <v>2381</v>
      </c>
      <c r="C487" s="2" t="s">
        <v>1800</v>
      </c>
      <c r="D487" s="2" t="s">
        <v>2</v>
      </c>
      <c r="E487" s="2">
        <v>26</v>
      </c>
      <c r="F487" s="2">
        <v>2</v>
      </c>
      <c r="G487" s="2">
        <v>0</v>
      </c>
      <c r="H487" s="2">
        <v>0</v>
      </c>
      <c r="I487" s="2">
        <v>0</v>
      </c>
      <c r="J487" s="2" t="s">
        <v>1779</v>
      </c>
      <c r="K487" s="2">
        <v>20</v>
      </c>
      <c r="L487" s="2">
        <v>15</v>
      </c>
      <c r="M487" s="2">
        <v>5</v>
      </c>
      <c r="N487" s="2">
        <v>0</v>
      </c>
      <c r="O487" s="2">
        <v>0</v>
      </c>
      <c r="P487" s="2">
        <v>0</v>
      </c>
      <c r="Q487" s="2" t="s">
        <v>2382</v>
      </c>
      <c r="R487" s="2" t="s">
        <v>2383</v>
      </c>
      <c r="S487" s="4">
        <v>44837</v>
      </c>
    </row>
    <row r="488" spans="1:19" ht="12.5" x14ac:dyDescent="0.25">
      <c r="A488" s="14" t="str">
        <f>HYPERLINK("https://gerandofalcoes.my.salesforce.com/0014P00003YSp9aQAD", "0014P00003YSp9aQAD")</f>
        <v>0014P00003YSp9aQAD</v>
      </c>
      <c r="B488" s="2" t="s">
        <v>2249</v>
      </c>
      <c r="C488" s="2" t="s">
        <v>423</v>
      </c>
      <c r="D488" s="2" t="s">
        <v>2</v>
      </c>
      <c r="E488" s="2">
        <v>33</v>
      </c>
      <c r="F488" s="2">
        <v>0</v>
      </c>
      <c r="G488" s="2">
        <v>2</v>
      </c>
      <c r="H488" s="2">
        <v>2000</v>
      </c>
      <c r="I488" s="2">
        <v>200</v>
      </c>
      <c r="J488" s="2" t="s">
        <v>1779</v>
      </c>
      <c r="K488" s="2">
        <v>38</v>
      </c>
      <c r="L488" s="2">
        <v>15</v>
      </c>
      <c r="M488" s="2">
        <v>0</v>
      </c>
      <c r="N488" s="2">
        <v>6</v>
      </c>
      <c r="O488" s="2">
        <v>5</v>
      </c>
      <c r="P488" s="2">
        <v>12</v>
      </c>
      <c r="Q488" s="2" t="s">
        <v>2250</v>
      </c>
      <c r="R488" s="2" t="s">
        <v>2251</v>
      </c>
      <c r="S488" s="4">
        <v>44837</v>
      </c>
    </row>
    <row r="489" spans="1:19" ht="12.5" x14ac:dyDescent="0.25">
      <c r="A489" s="14" t="str">
        <f>HYPERLINK("https://gerandofalcoes.my.salesforce.com/0014P00003YSp9bQAD", "0014P00003YSp9bQAD")</f>
        <v>0014P00003YSp9bQAD</v>
      </c>
      <c r="B489" s="2" t="s">
        <v>2016</v>
      </c>
      <c r="C489" s="2" t="s">
        <v>423</v>
      </c>
      <c r="D489" s="2" t="s">
        <v>2</v>
      </c>
      <c r="E489" s="2">
        <v>38</v>
      </c>
      <c r="F489" s="2">
        <v>8</v>
      </c>
      <c r="G489" s="2">
        <v>3</v>
      </c>
      <c r="H489" s="2">
        <v>400216</v>
      </c>
      <c r="I489" s="2">
        <v>340</v>
      </c>
      <c r="J489" s="2" t="s">
        <v>1650</v>
      </c>
      <c r="K489" s="2">
        <v>68</v>
      </c>
      <c r="L489" s="2">
        <v>15</v>
      </c>
      <c r="M489" s="2">
        <v>10</v>
      </c>
      <c r="N489" s="2">
        <v>8</v>
      </c>
      <c r="O489" s="2">
        <v>20</v>
      </c>
      <c r="P489" s="2">
        <v>15</v>
      </c>
      <c r="Q489" s="2" t="s">
        <v>2017</v>
      </c>
      <c r="R489" s="2" t="s">
        <v>2018</v>
      </c>
      <c r="S489" s="4">
        <v>44837</v>
      </c>
    </row>
    <row r="490" spans="1:19" ht="12.5" x14ac:dyDescent="0.25">
      <c r="A490" s="14" t="str">
        <f>HYPERLINK("https://gerandofalcoes.my.salesforce.com/0014P00003YSp9cQAD", "0014P00003YSp9cQAD")</f>
        <v>0014P00003YSp9cQAD</v>
      </c>
      <c r="B490" s="2" t="s">
        <v>2603</v>
      </c>
      <c r="C490" s="2" t="s">
        <v>423</v>
      </c>
      <c r="D490" s="2" t="s">
        <v>2</v>
      </c>
      <c r="E490" s="2">
        <v>19</v>
      </c>
      <c r="F490" s="2">
        <v>2</v>
      </c>
      <c r="G490" s="2">
        <v>4</v>
      </c>
      <c r="H490" s="2">
        <v>2000</v>
      </c>
      <c r="I490" s="2">
        <v>60</v>
      </c>
      <c r="J490" s="2" t="s">
        <v>1779</v>
      </c>
      <c r="K490" s="2">
        <v>35</v>
      </c>
      <c r="L490" s="2">
        <v>10</v>
      </c>
      <c r="M490" s="2">
        <v>5</v>
      </c>
      <c r="N490" s="2">
        <v>10</v>
      </c>
      <c r="O490" s="2">
        <v>5</v>
      </c>
      <c r="P490" s="2">
        <v>5</v>
      </c>
      <c r="Q490" s="2" t="s">
        <v>2604</v>
      </c>
      <c r="R490" s="2" t="s">
        <v>2605</v>
      </c>
      <c r="S490" s="4">
        <v>44837</v>
      </c>
    </row>
    <row r="491" spans="1:19" ht="12.5" x14ac:dyDescent="0.25">
      <c r="A491" s="14" t="str">
        <f>HYPERLINK("https://gerandofalcoes.my.salesforce.com/0014P00003YSp9dQAD", "0014P00003YSp9dQAD")</f>
        <v>0014P00003YSp9dQAD</v>
      </c>
      <c r="B491" s="2" t="s">
        <v>2691</v>
      </c>
      <c r="C491" s="2" t="s">
        <v>423</v>
      </c>
      <c r="D491" s="2" t="s">
        <v>2</v>
      </c>
      <c r="E491" s="2">
        <v>16</v>
      </c>
      <c r="F491" s="2">
        <v>0</v>
      </c>
      <c r="G491" s="2">
        <v>2</v>
      </c>
      <c r="H491" s="2">
        <v>10000</v>
      </c>
      <c r="I491" s="2">
        <v>0</v>
      </c>
      <c r="J491" s="2" t="s">
        <v>1779</v>
      </c>
      <c r="K491" s="2">
        <v>21</v>
      </c>
      <c r="L491" s="2">
        <v>10</v>
      </c>
      <c r="M491" s="2">
        <v>0</v>
      </c>
      <c r="N491" s="2">
        <v>6</v>
      </c>
      <c r="O491" s="2">
        <v>5</v>
      </c>
      <c r="P491" s="2">
        <v>0</v>
      </c>
      <c r="Q491" s="2" t="s">
        <v>2692</v>
      </c>
      <c r="R491" s="2" t="s">
        <v>2693</v>
      </c>
      <c r="S491" s="4">
        <v>44837</v>
      </c>
    </row>
    <row r="492" spans="1:19" ht="12.5" x14ac:dyDescent="0.25">
      <c r="A492" s="14" t="str">
        <f>HYPERLINK("https://gerandofalcoes.my.salesforce.com/0014P00003YSp9eQAD", "0014P00003YSp9eQAD")</f>
        <v>0014P00003YSp9eQAD</v>
      </c>
      <c r="B492" s="2" t="s">
        <v>2084</v>
      </c>
      <c r="C492" s="2" t="s">
        <v>423</v>
      </c>
      <c r="D492" s="2" t="s">
        <v>2</v>
      </c>
      <c r="E492" s="2">
        <v>36</v>
      </c>
      <c r="F492" s="2">
        <v>4</v>
      </c>
      <c r="G492" s="2">
        <v>4</v>
      </c>
      <c r="H492" s="2">
        <v>270000</v>
      </c>
      <c r="I492" s="2">
        <v>0</v>
      </c>
      <c r="J492" s="2" t="s">
        <v>1671</v>
      </c>
      <c r="K492" s="2">
        <v>45</v>
      </c>
      <c r="L492" s="2">
        <v>15</v>
      </c>
      <c r="M492" s="2">
        <v>5</v>
      </c>
      <c r="N492" s="2">
        <v>10</v>
      </c>
      <c r="O492" s="2">
        <v>15</v>
      </c>
      <c r="P492" s="2">
        <v>0</v>
      </c>
      <c r="Q492" s="2" t="s">
        <v>2085</v>
      </c>
      <c r="R492" s="2" t="s">
        <v>2086</v>
      </c>
      <c r="S492" s="4">
        <v>44837</v>
      </c>
    </row>
    <row r="493" spans="1:19" ht="12.5" x14ac:dyDescent="0.25">
      <c r="A493" s="14" t="str">
        <f>HYPERLINK("https://gerandofalcoes.my.salesforce.com/0014P00003YSp9RQAT", "0014P00003YSp9RQAT")</f>
        <v>0014P00003YSp9RQAT</v>
      </c>
      <c r="B493" s="2" t="s">
        <v>2208</v>
      </c>
      <c r="C493" s="2" t="s">
        <v>423</v>
      </c>
      <c r="D493" s="2" t="s">
        <v>2</v>
      </c>
      <c r="E493" s="2">
        <v>32</v>
      </c>
      <c r="F493" s="2">
        <v>0</v>
      </c>
      <c r="G493" s="2">
        <v>4</v>
      </c>
      <c r="H493" s="2">
        <v>45000</v>
      </c>
      <c r="I493" s="2">
        <v>1700</v>
      </c>
      <c r="J493" s="2" t="s">
        <v>1671</v>
      </c>
      <c r="K493" s="2">
        <v>55</v>
      </c>
      <c r="L493" s="2">
        <v>15</v>
      </c>
      <c r="M493" s="2">
        <v>0</v>
      </c>
      <c r="N493" s="2">
        <v>10</v>
      </c>
      <c r="O493" s="2">
        <v>10</v>
      </c>
      <c r="P493" s="2">
        <v>20</v>
      </c>
      <c r="Q493" s="2" t="s">
        <v>2209</v>
      </c>
      <c r="R493" s="2" t="s">
        <v>2210</v>
      </c>
      <c r="S493" s="4">
        <v>44837</v>
      </c>
    </row>
    <row r="494" spans="1:19" ht="12.5" x14ac:dyDescent="0.25">
      <c r="A494" s="14" t="str">
        <f>HYPERLINK("https://gerandofalcoes.my.salesforce.com/0014P00003YSp9SQAT", "0014P00003YSp9SQAT")</f>
        <v>0014P00003YSp9SQAT</v>
      </c>
      <c r="B494" s="2" t="s">
        <v>1844</v>
      </c>
      <c r="C494" s="2" t="s">
        <v>423</v>
      </c>
      <c r="D494" s="2" t="s">
        <v>2</v>
      </c>
      <c r="E494" s="2">
        <v>20</v>
      </c>
      <c r="F494" s="2">
        <v>3</v>
      </c>
      <c r="G494" s="2">
        <v>4</v>
      </c>
      <c r="H494" s="2">
        <v>21200</v>
      </c>
      <c r="I494" s="2">
        <v>240</v>
      </c>
      <c r="J494" s="2" t="s">
        <v>1671</v>
      </c>
      <c r="K494" s="2">
        <v>42</v>
      </c>
      <c r="L494" s="2">
        <v>10</v>
      </c>
      <c r="M494" s="2">
        <v>5</v>
      </c>
      <c r="N494" s="2">
        <v>10</v>
      </c>
      <c r="O494" s="2">
        <v>5</v>
      </c>
      <c r="P494" s="2">
        <v>12</v>
      </c>
      <c r="Q494" s="2" t="s">
        <v>1845</v>
      </c>
      <c r="R494" s="2" t="s">
        <v>1846</v>
      </c>
      <c r="S494" s="4">
        <v>44837</v>
      </c>
    </row>
    <row r="495" spans="1:19" ht="12.5" x14ac:dyDescent="0.25">
      <c r="A495" s="14" t="str">
        <f>HYPERLINK("https://gerandofalcoes.my.salesforce.com/0014P00003YSp9fQAD", "0014P00003YSp9fQAD")</f>
        <v>0014P00003YSp9fQAD</v>
      </c>
      <c r="B495" s="2" t="s">
        <v>2436</v>
      </c>
      <c r="C495" s="2" t="s">
        <v>423</v>
      </c>
      <c r="D495" s="2" t="s">
        <v>2</v>
      </c>
      <c r="E495" s="2">
        <v>36</v>
      </c>
      <c r="F495" s="2">
        <v>0</v>
      </c>
      <c r="G495" s="2">
        <v>2</v>
      </c>
      <c r="H495" s="2">
        <v>20</v>
      </c>
      <c r="I495" s="2">
        <v>0</v>
      </c>
      <c r="J495" s="2" t="s">
        <v>1779</v>
      </c>
      <c r="K495" s="2">
        <v>26</v>
      </c>
      <c r="L495" s="2">
        <v>15</v>
      </c>
      <c r="M495" s="2">
        <v>0</v>
      </c>
      <c r="N495" s="2">
        <v>6</v>
      </c>
      <c r="O495" s="2">
        <v>5</v>
      </c>
      <c r="P495" s="2">
        <v>0</v>
      </c>
      <c r="Q495" s="2" t="s">
        <v>2437</v>
      </c>
      <c r="R495" s="2" t="s">
        <v>2437</v>
      </c>
      <c r="S495" s="4">
        <v>44837</v>
      </c>
    </row>
    <row r="496" spans="1:19" ht="12.5" x14ac:dyDescent="0.25">
      <c r="A496" s="14" t="str">
        <f>HYPERLINK("https://gerandofalcoes.my.salesforce.com/0014P00003YSp9gQAD", "0014P00003YSp9gQAD")</f>
        <v>0014P00003YSp9gQAD</v>
      </c>
      <c r="B496" s="2" t="s">
        <v>2559</v>
      </c>
      <c r="C496" s="2" t="s">
        <v>423</v>
      </c>
      <c r="D496" s="2" t="s">
        <v>2</v>
      </c>
      <c r="E496" s="2">
        <v>20</v>
      </c>
      <c r="F496" s="2">
        <v>5</v>
      </c>
      <c r="G496" s="2">
        <v>2</v>
      </c>
      <c r="H496" s="2">
        <v>2000</v>
      </c>
      <c r="I496" s="2">
        <v>50</v>
      </c>
      <c r="J496" s="2" t="s">
        <v>1779</v>
      </c>
      <c r="K496" s="2">
        <v>31</v>
      </c>
      <c r="L496" s="2">
        <v>10</v>
      </c>
      <c r="M496" s="2">
        <v>5</v>
      </c>
      <c r="N496" s="2">
        <v>6</v>
      </c>
      <c r="O496" s="2">
        <v>5</v>
      </c>
      <c r="P496" s="2">
        <v>5</v>
      </c>
      <c r="Q496" s="2" t="s">
        <v>2560</v>
      </c>
      <c r="R496" s="2" t="s">
        <v>2561</v>
      </c>
      <c r="S496" s="4">
        <v>44837</v>
      </c>
    </row>
    <row r="497" spans="1:19" ht="12.5" x14ac:dyDescent="0.25">
      <c r="A497" s="14" t="str">
        <f>HYPERLINK("https://gerandofalcoes.my.salesforce.com/0014P00003YSp9hQAD", "0014P00003YSp9hQAD")</f>
        <v>0014P00003YSp9hQAD</v>
      </c>
      <c r="B497" s="2" t="s">
        <v>2433</v>
      </c>
      <c r="C497" s="2" t="s">
        <v>423</v>
      </c>
      <c r="D497" s="2" t="s">
        <v>2</v>
      </c>
      <c r="E497" s="2">
        <v>15</v>
      </c>
      <c r="F497" s="2">
        <v>15</v>
      </c>
      <c r="G497" s="2">
        <v>2</v>
      </c>
      <c r="H497" s="2">
        <v>11874</v>
      </c>
      <c r="I497" s="2">
        <v>130</v>
      </c>
      <c r="J497" s="2" t="s">
        <v>1671</v>
      </c>
      <c r="K497" s="2">
        <v>43</v>
      </c>
      <c r="L497" s="2">
        <v>10</v>
      </c>
      <c r="M497" s="2">
        <v>12</v>
      </c>
      <c r="N497" s="2">
        <v>6</v>
      </c>
      <c r="O497" s="2">
        <v>5</v>
      </c>
      <c r="P497" s="2">
        <v>10</v>
      </c>
      <c r="Q497" s="2" t="s">
        <v>2434</v>
      </c>
      <c r="R497" s="2" t="s">
        <v>2435</v>
      </c>
      <c r="S497" s="4">
        <v>44837</v>
      </c>
    </row>
    <row r="498" spans="1:19" ht="12.5" x14ac:dyDescent="0.25">
      <c r="A498" s="14" t="str">
        <f>HYPERLINK("https://gerandofalcoes.my.salesforce.com/0014P00003YSp9iQAD", "0014P00003YSp9iQAD")</f>
        <v>0014P00003YSp9iQAD</v>
      </c>
      <c r="B498" s="2" t="s">
        <v>2253</v>
      </c>
      <c r="C498" s="2" t="s">
        <v>423</v>
      </c>
      <c r="D498" s="2" t="s">
        <v>2</v>
      </c>
      <c r="E498" s="2">
        <v>36</v>
      </c>
      <c r="F498" s="2">
        <v>0</v>
      </c>
      <c r="G498" s="2">
        <v>2</v>
      </c>
      <c r="H498" s="2">
        <v>15155</v>
      </c>
      <c r="I498" s="2">
        <v>200</v>
      </c>
      <c r="J498" s="2" t="s">
        <v>1779</v>
      </c>
      <c r="K498" s="2">
        <v>38</v>
      </c>
      <c r="L498" s="2">
        <v>15</v>
      </c>
      <c r="M498" s="2">
        <v>0</v>
      </c>
      <c r="N498" s="2">
        <v>6</v>
      </c>
      <c r="O498" s="2">
        <v>5</v>
      </c>
      <c r="P498" s="2">
        <v>12</v>
      </c>
      <c r="Q498" s="2" t="s">
        <v>2254</v>
      </c>
      <c r="R498" s="2" t="s">
        <v>2255</v>
      </c>
      <c r="S498" s="4">
        <v>44837</v>
      </c>
    </row>
    <row r="499" spans="1:19" ht="12.5" x14ac:dyDescent="0.25">
      <c r="A499" s="14" t="str">
        <f>HYPERLINK("https://gerandofalcoes.my.salesforce.com/0014P00003YSp9jQAD", "0014P00003YSp9jQAD")</f>
        <v>0014P00003YSp9jQAD</v>
      </c>
      <c r="B499" s="2" t="s">
        <v>2270</v>
      </c>
      <c r="C499" s="2" t="s">
        <v>423</v>
      </c>
      <c r="D499" s="2" t="s">
        <v>2</v>
      </c>
      <c r="E499" s="2">
        <v>30</v>
      </c>
      <c r="F499" s="2">
        <v>1</v>
      </c>
      <c r="G499" s="2">
        <v>2</v>
      </c>
      <c r="H499" s="2">
        <v>15000</v>
      </c>
      <c r="I499" s="2">
        <v>400</v>
      </c>
      <c r="J499" s="2" t="s">
        <v>1671</v>
      </c>
      <c r="K499" s="2">
        <v>46</v>
      </c>
      <c r="L499" s="2">
        <v>15</v>
      </c>
      <c r="M499" s="2">
        <v>5</v>
      </c>
      <c r="N499" s="2">
        <v>6</v>
      </c>
      <c r="O499" s="2">
        <v>5</v>
      </c>
      <c r="P499" s="2">
        <v>15</v>
      </c>
      <c r="Q499" s="2" t="s">
        <v>2271</v>
      </c>
      <c r="R499" s="2" t="s">
        <v>2271</v>
      </c>
      <c r="S499" s="4">
        <v>44837</v>
      </c>
    </row>
    <row r="500" spans="1:19" ht="12.5" x14ac:dyDescent="0.25">
      <c r="A500" s="14" t="str">
        <f>HYPERLINK("https://gerandofalcoes.my.salesforce.com/0014P00003YSp9kQAD", "0014P00003YSp9kQAD")</f>
        <v>0014P00003YSp9kQAD</v>
      </c>
      <c r="B500" s="2" t="s">
        <v>1852</v>
      </c>
      <c r="C500" s="2" t="s">
        <v>423</v>
      </c>
      <c r="D500" s="2" t="s">
        <v>2</v>
      </c>
      <c r="E500" s="2">
        <v>29</v>
      </c>
      <c r="F500" s="2">
        <v>8</v>
      </c>
      <c r="G500" s="2">
        <v>3</v>
      </c>
      <c r="H500" s="2">
        <v>160000</v>
      </c>
      <c r="I500" s="2">
        <v>9</v>
      </c>
      <c r="J500" s="2" t="s">
        <v>1671</v>
      </c>
      <c r="K500" s="2">
        <v>53</v>
      </c>
      <c r="L500" s="2">
        <v>15</v>
      </c>
      <c r="M500" s="2">
        <v>10</v>
      </c>
      <c r="N500" s="2">
        <v>8</v>
      </c>
      <c r="O500" s="2">
        <v>15</v>
      </c>
      <c r="P500" s="2">
        <v>5</v>
      </c>
      <c r="Q500" s="2" t="s">
        <v>1853</v>
      </c>
      <c r="R500" s="2" t="s">
        <v>1854</v>
      </c>
      <c r="S500" s="4">
        <v>44837</v>
      </c>
    </row>
    <row r="501" spans="1:19" ht="12.5" x14ac:dyDescent="0.25">
      <c r="A501" s="14" t="str">
        <f>HYPERLINK("https://gerandofalcoes.my.salesforce.com/0014P00003YSp9lQAD", "0014P00003YSp9lQAD")</f>
        <v>0014P00003YSp9lQAD</v>
      </c>
      <c r="B501" s="2" t="s">
        <v>2573</v>
      </c>
      <c r="C501" s="2" t="s">
        <v>423</v>
      </c>
      <c r="D501" s="2" t="s">
        <v>2</v>
      </c>
      <c r="E501" s="2">
        <v>20</v>
      </c>
      <c r="F501" s="2">
        <v>8</v>
      </c>
      <c r="G501" s="2">
        <v>2</v>
      </c>
      <c r="H501" s="2">
        <v>12000</v>
      </c>
      <c r="I501" s="2">
        <v>242</v>
      </c>
      <c r="J501" s="2" t="s">
        <v>1671</v>
      </c>
      <c r="K501" s="2">
        <v>43</v>
      </c>
      <c r="L501" s="2">
        <v>10</v>
      </c>
      <c r="M501" s="2">
        <v>10</v>
      </c>
      <c r="N501" s="2">
        <v>6</v>
      </c>
      <c r="O501" s="2">
        <v>5</v>
      </c>
      <c r="P501" s="2">
        <v>12</v>
      </c>
      <c r="Q501" s="2" t="s">
        <v>2574</v>
      </c>
      <c r="R501" s="2" t="s">
        <v>2575</v>
      </c>
      <c r="S501" s="4">
        <v>44837</v>
      </c>
    </row>
    <row r="502" spans="1:19" ht="12.5" x14ac:dyDescent="0.25">
      <c r="A502" s="14" t="str">
        <f>HYPERLINK("https://gerandofalcoes.my.salesforce.com/0014P00003YSp9mQAD", "0014P00003YSp9mQAD")</f>
        <v>0014P00003YSp9mQAD</v>
      </c>
      <c r="B502" s="2" t="s">
        <v>1665</v>
      </c>
      <c r="C502" s="2" t="s">
        <v>423</v>
      </c>
      <c r="D502" s="2" t="s">
        <v>27</v>
      </c>
      <c r="E502" s="2">
        <v>38</v>
      </c>
      <c r="F502" s="2">
        <v>15</v>
      </c>
      <c r="G502" s="2">
        <v>6</v>
      </c>
      <c r="H502" s="2">
        <v>1000000</v>
      </c>
      <c r="I502" s="2">
        <v>767</v>
      </c>
      <c r="J502" s="2" t="s">
        <v>1654</v>
      </c>
      <c r="K502" s="2">
        <v>82</v>
      </c>
      <c r="L502" s="2">
        <v>15</v>
      </c>
      <c r="M502" s="2">
        <v>12</v>
      </c>
      <c r="N502" s="2">
        <v>10</v>
      </c>
      <c r="O502" s="2">
        <v>25</v>
      </c>
      <c r="P502" s="2">
        <v>20</v>
      </c>
      <c r="Q502" s="2" t="s">
        <v>1666</v>
      </c>
      <c r="R502" s="2" t="s">
        <v>1667</v>
      </c>
      <c r="S502" s="4">
        <v>44837</v>
      </c>
    </row>
    <row r="503" spans="1:19" ht="12.5" x14ac:dyDescent="0.25">
      <c r="A503" s="14" t="str">
        <f>HYPERLINK("https://gerandofalcoes.my.salesforce.com/0014P00003YSp9qQAD", "0014P00003YSp9qQAD")</f>
        <v>0014P00003YSp9qQAD</v>
      </c>
      <c r="B503" s="2" t="s">
        <v>2792</v>
      </c>
      <c r="C503" s="2" t="s">
        <v>423</v>
      </c>
      <c r="D503" s="2" t="s">
        <v>2</v>
      </c>
      <c r="E503" s="2">
        <v>13</v>
      </c>
      <c r="F503" s="2">
        <v>0</v>
      </c>
      <c r="G503" s="2">
        <v>4</v>
      </c>
      <c r="H503" s="2">
        <v>3000</v>
      </c>
      <c r="I503" s="2">
        <v>60</v>
      </c>
      <c r="J503" s="2" t="s">
        <v>1779</v>
      </c>
      <c r="K503" s="2">
        <v>30</v>
      </c>
      <c r="L503" s="2">
        <v>10</v>
      </c>
      <c r="M503" s="2">
        <v>0</v>
      </c>
      <c r="N503" s="2">
        <v>10</v>
      </c>
      <c r="O503" s="2">
        <v>5</v>
      </c>
      <c r="P503" s="2">
        <v>5</v>
      </c>
      <c r="Q503" s="2" t="s">
        <v>2793</v>
      </c>
      <c r="R503" s="2" t="s">
        <v>2794</v>
      </c>
      <c r="S503" s="4">
        <v>44837</v>
      </c>
    </row>
    <row r="504" spans="1:19" ht="12.5" x14ac:dyDescent="0.25">
      <c r="A504" s="14" t="str">
        <f>HYPERLINK("https://gerandofalcoes.my.salesforce.com/0014P00003YSp9rQAD", "0014P00003YSp9rQAD")</f>
        <v>0014P00003YSp9rQAD</v>
      </c>
      <c r="B504" s="2" t="s">
        <v>2070</v>
      </c>
      <c r="C504" s="2" t="s">
        <v>423</v>
      </c>
      <c r="D504" s="2" t="s">
        <v>2</v>
      </c>
      <c r="E504" s="2">
        <v>36</v>
      </c>
      <c r="F504" s="2">
        <v>7</v>
      </c>
      <c r="G504" s="2">
        <v>3</v>
      </c>
      <c r="H504" s="2">
        <v>0</v>
      </c>
      <c r="I504" s="2">
        <v>120</v>
      </c>
      <c r="J504" s="2" t="s">
        <v>1671</v>
      </c>
      <c r="K504" s="2">
        <v>43</v>
      </c>
      <c r="L504" s="2">
        <v>15</v>
      </c>
      <c r="M504" s="2">
        <v>10</v>
      </c>
      <c r="N504" s="2">
        <v>8</v>
      </c>
      <c r="O504" s="2">
        <v>0</v>
      </c>
      <c r="P504" s="2">
        <v>10</v>
      </c>
      <c r="Q504" s="2" t="s">
        <v>2071</v>
      </c>
      <c r="R504" s="2" t="s">
        <v>2072</v>
      </c>
      <c r="S504" s="4">
        <v>44837</v>
      </c>
    </row>
    <row r="505" spans="1:19" ht="12.5" x14ac:dyDescent="0.25">
      <c r="A505" s="14" t="str">
        <f>HYPERLINK("https://gerandofalcoes.my.salesforce.com/0014P00003YSp9tQAD", "0014P00003YSp9tQAD")</f>
        <v>0014P00003YSp9tQAD</v>
      </c>
      <c r="B505" s="2" t="s">
        <v>2022</v>
      </c>
      <c r="C505" s="2" t="s">
        <v>1684</v>
      </c>
      <c r="D505" s="2" t="s">
        <v>2</v>
      </c>
      <c r="E505" s="2">
        <v>38</v>
      </c>
      <c r="F505" s="2">
        <v>0</v>
      </c>
      <c r="G505" s="2">
        <v>0</v>
      </c>
      <c r="H505" s="2">
        <v>0</v>
      </c>
      <c r="I505" s="2">
        <v>0</v>
      </c>
      <c r="J505" s="2" t="s">
        <v>1779</v>
      </c>
      <c r="K505" s="2">
        <v>15</v>
      </c>
      <c r="L505" s="2">
        <v>15</v>
      </c>
      <c r="M505" s="2">
        <v>0</v>
      </c>
      <c r="N505" s="2">
        <v>0</v>
      </c>
      <c r="O505" s="2">
        <v>0</v>
      </c>
      <c r="P505" s="2">
        <v>0</v>
      </c>
      <c r="Q505" s="2" t="s">
        <v>2023</v>
      </c>
      <c r="R505" s="2" t="s">
        <v>2024</v>
      </c>
      <c r="S505" s="4">
        <v>44837</v>
      </c>
    </row>
    <row r="506" spans="1:19" ht="12.5" x14ac:dyDescent="0.25">
      <c r="A506" s="14" t="str">
        <f>HYPERLINK("https://gerandofalcoes.my.salesforce.com/0014P00003YSp9vQAD", "0014P00003YSp9vQAD")</f>
        <v>0014P00003YSp9vQAD</v>
      </c>
      <c r="B506" s="2" t="s">
        <v>2884</v>
      </c>
      <c r="C506" s="2" t="s">
        <v>423</v>
      </c>
      <c r="D506" s="2" t="s">
        <v>2</v>
      </c>
      <c r="E506" s="2">
        <v>9</v>
      </c>
      <c r="F506" s="2">
        <v>0</v>
      </c>
      <c r="G506" s="2">
        <v>2</v>
      </c>
      <c r="H506" s="2">
        <v>11000</v>
      </c>
      <c r="I506" s="2">
        <v>400</v>
      </c>
      <c r="J506" s="2" t="s">
        <v>1779</v>
      </c>
      <c r="K506" s="2">
        <v>36</v>
      </c>
      <c r="L506" s="2">
        <v>10</v>
      </c>
      <c r="M506" s="2">
        <v>0</v>
      </c>
      <c r="N506" s="2">
        <v>6</v>
      </c>
      <c r="O506" s="2">
        <v>5</v>
      </c>
      <c r="P506" s="2">
        <v>15</v>
      </c>
      <c r="Q506" s="2" t="s">
        <v>2885</v>
      </c>
      <c r="R506" s="2" t="s">
        <v>2886</v>
      </c>
      <c r="S506" s="4">
        <v>44837</v>
      </c>
    </row>
    <row r="507" spans="1:19" ht="12.5" x14ac:dyDescent="0.25">
      <c r="A507" s="14" t="str">
        <f>HYPERLINK("https://gerandofalcoes.my.salesforce.com/0014P00003YSp9wQAD", "0014P00003YSp9wQAD")</f>
        <v>0014P00003YSp9wQAD</v>
      </c>
      <c r="B507" s="2" t="s">
        <v>2497</v>
      </c>
      <c r="C507" s="2" t="s">
        <v>423</v>
      </c>
      <c r="D507" s="2" t="s">
        <v>2</v>
      </c>
      <c r="E507" s="2">
        <v>25</v>
      </c>
      <c r="F507" s="2">
        <v>6</v>
      </c>
      <c r="G507" s="2">
        <v>2</v>
      </c>
      <c r="H507" s="2">
        <v>15000</v>
      </c>
      <c r="I507" s="2">
        <v>19</v>
      </c>
      <c r="J507" s="2" t="s">
        <v>1671</v>
      </c>
      <c r="K507" s="2">
        <v>41</v>
      </c>
      <c r="L507" s="2">
        <v>15</v>
      </c>
      <c r="M507" s="2">
        <v>10</v>
      </c>
      <c r="N507" s="2">
        <v>6</v>
      </c>
      <c r="O507" s="2">
        <v>5</v>
      </c>
      <c r="P507" s="2">
        <v>5</v>
      </c>
      <c r="Q507" s="2" t="s">
        <v>2498</v>
      </c>
      <c r="R507" s="2" t="s">
        <v>2498</v>
      </c>
      <c r="S507" s="4">
        <v>44837</v>
      </c>
    </row>
    <row r="508" spans="1:19" ht="12.5" x14ac:dyDescent="0.25">
      <c r="A508" s="14" t="str">
        <f>HYPERLINK("https://gerandofalcoes.my.salesforce.com/0014P00003YSpA0QAL", "0014P00003YSpA0QAL")</f>
        <v>0014P00003YSpA0QAL</v>
      </c>
      <c r="B508" s="2" t="s">
        <v>2734</v>
      </c>
      <c r="C508" s="2" t="s">
        <v>423</v>
      </c>
      <c r="D508" s="2" t="s">
        <v>2</v>
      </c>
      <c r="E508" s="2">
        <v>8</v>
      </c>
      <c r="F508" s="2">
        <v>10</v>
      </c>
      <c r="G508" s="2">
        <v>2</v>
      </c>
      <c r="H508" s="2">
        <v>20000</v>
      </c>
      <c r="I508" s="2">
        <v>163</v>
      </c>
      <c r="J508" s="2" t="s">
        <v>1671</v>
      </c>
      <c r="K508" s="2">
        <v>43</v>
      </c>
      <c r="L508" s="2">
        <v>10</v>
      </c>
      <c r="M508" s="2">
        <v>10</v>
      </c>
      <c r="N508" s="2">
        <v>6</v>
      </c>
      <c r="O508" s="2">
        <v>5</v>
      </c>
      <c r="P508" s="2">
        <v>12</v>
      </c>
      <c r="Q508" s="2" t="s">
        <v>2735</v>
      </c>
      <c r="R508" s="2" t="s">
        <v>2736</v>
      </c>
      <c r="S508" s="4">
        <v>44837</v>
      </c>
    </row>
    <row r="509" spans="1:19" ht="12.5" x14ac:dyDescent="0.25">
      <c r="A509" s="14" t="str">
        <f>HYPERLINK("https://gerandofalcoes.my.salesforce.com/0014P00003YSpA1QAL", "0014P00003YSpA1QAL")</f>
        <v>0014P00003YSpA1QAL</v>
      </c>
      <c r="B509" s="2" t="s">
        <v>2238</v>
      </c>
      <c r="C509" s="2" t="s">
        <v>423</v>
      </c>
      <c r="D509" s="2" t="s">
        <v>2</v>
      </c>
      <c r="E509" s="2">
        <v>31</v>
      </c>
      <c r="F509" s="2">
        <v>0</v>
      </c>
      <c r="G509" s="2">
        <v>2</v>
      </c>
      <c r="H509" s="2">
        <v>50000</v>
      </c>
      <c r="I509" s="2">
        <v>41</v>
      </c>
      <c r="J509" s="2" t="s">
        <v>1779</v>
      </c>
      <c r="K509" s="2">
        <v>36</v>
      </c>
      <c r="L509" s="2">
        <v>15</v>
      </c>
      <c r="M509" s="2">
        <v>0</v>
      </c>
      <c r="N509" s="2">
        <v>6</v>
      </c>
      <c r="O509" s="2">
        <v>10</v>
      </c>
      <c r="P509" s="2">
        <v>5</v>
      </c>
      <c r="Q509" s="2" t="s">
        <v>2239</v>
      </c>
      <c r="R509" s="2" t="s">
        <v>2239</v>
      </c>
      <c r="S509" s="4">
        <v>44837</v>
      </c>
    </row>
    <row r="510" spans="1:19" ht="12.5" x14ac:dyDescent="0.25">
      <c r="A510" s="14" t="str">
        <f>HYPERLINK("https://gerandofalcoes.my.salesforce.com/0014P00003YSpA2QAL", "0014P00003YSpA2QAL")</f>
        <v>0014P00003YSpA2QAL</v>
      </c>
      <c r="B510" s="2" t="s">
        <v>2469</v>
      </c>
      <c r="C510" s="2" t="s">
        <v>423</v>
      </c>
      <c r="D510" s="2" t="s">
        <v>2</v>
      </c>
      <c r="E510" s="2">
        <v>23</v>
      </c>
      <c r="F510" s="2">
        <v>0</v>
      </c>
      <c r="G510" s="2">
        <v>2</v>
      </c>
      <c r="H510" s="2">
        <v>12000</v>
      </c>
      <c r="I510" s="2">
        <v>306</v>
      </c>
      <c r="J510" s="2" t="s">
        <v>1779</v>
      </c>
      <c r="K510" s="2">
        <v>36</v>
      </c>
      <c r="L510" s="2">
        <v>10</v>
      </c>
      <c r="M510" s="2">
        <v>0</v>
      </c>
      <c r="N510" s="2">
        <v>6</v>
      </c>
      <c r="O510" s="2">
        <v>5</v>
      </c>
      <c r="P510" s="2">
        <v>15</v>
      </c>
      <c r="Q510" s="2" t="s">
        <v>2470</v>
      </c>
      <c r="R510" s="2" t="s">
        <v>2471</v>
      </c>
      <c r="S510" s="4">
        <v>44837</v>
      </c>
    </row>
    <row r="511" spans="1:19" ht="12.5" x14ac:dyDescent="0.25">
      <c r="A511" s="14" t="str">
        <f>HYPERLINK("https://gerandofalcoes.my.salesforce.com/0014P00003YSpA3QAL", "0014P00003YSpA3QAL")</f>
        <v>0014P00003YSpA3QAL</v>
      </c>
      <c r="B511" s="2" t="s">
        <v>1910</v>
      </c>
      <c r="C511" s="2" t="s">
        <v>423</v>
      </c>
      <c r="D511" s="2" t="s">
        <v>2</v>
      </c>
      <c r="E511" s="2">
        <v>43</v>
      </c>
      <c r="F511" s="2">
        <v>10</v>
      </c>
      <c r="G511" s="2">
        <v>2</v>
      </c>
      <c r="H511" s="2">
        <v>15000</v>
      </c>
      <c r="I511" s="2">
        <v>100</v>
      </c>
      <c r="J511" s="2" t="s">
        <v>1671</v>
      </c>
      <c r="K511" s="2">
        <v>46</v>
      </c>
      <c r="L511" s="2">
        <v>15</v>
      </c>
      <c r="M511" s="2">
        <v>10</v>
      </c>
      <c r="N511" s="2">
        <v>6</v>
      </c>
      <c r="O511" s="2">
        <v>5</v>
      </c>
      <c r="P511" s="2">
        <v>10</v>
      </c>
      <c r="Q511" s="2" t="s">
        <v>1911</v>
      </c>
      <c r="R511" s="2" t="s">
        <v>1912</v>
      </c>
      <c r="S511" s="4">
        <v>44837</v>
      </c>
    </row>
    <row r="512" spans="1:19" ht="12.5" x14ac:dyDescent="0.25">
      <c r="A512" s="14" t="str">
        <f>HYPERLINK("https://gerandofalcoes.my.salesforce.com/0014P00003YSpA5QAL", "0014P00003YSpA5QAL")</f>
        <v>0014P00003YSpA5QAL</v>
      </c>
      <c r="B512" s="2" t="s">
        <v>1983</v>
      </c>
      <c r="C512" s="2" t="s">
        <v>423</v>
      </c>
      <c r="D512" s="2" t="s">
        <v>2</v>
      </c>
      <c r="E512" s="2">
        <v>39</v>
      </c>
      <c r="F512" s="2">
        <v>2</v>
      </c>
      <c r="G512" s="2">
        <v>5</v>
      </c>
      <c r="H512" s="2">
        <v>90000</v>
      </c>
      <c r="I512" s="2">
        <v>350</v>
      </c>
      <c r="J512" s="2" t="s">
        <v>1671</v>
      </c>
      <c r="K512" s="2">
        <v>55</v>
      </c>
      <c r="L512" s="2">
        <v>15</v>
      </c>
      <c r="M512" s="2">
        <v>5</v>
      </c>
      <c r="N512" s="2">
        <v>10</v>
      </c>
      <c r="O512" s="2">
        <v>10</v>
      </c>
      <c r="P512" s="2">
        <v>15</v>
      </c>
      <c r="Q512" s="2" t="s">
        <v>1984</v>
      </c>
      <c r="R512" s="2" t="s">
        <v>1985</v>
      </c>
      <c r="S512" s="4">
        <v>44837</v>
      </c>
    </row>
    <row r="513" spans="1:19" ht="12.5" x14ac:dyDescent="0.25">
      <c r="A513" s="14" t="str">
        <f>HYPERLINK("https://gerandofalcoes.my.salesforce.com/0014P00003YSpA7QAL", "0014P00003YSpA7QAL")</f>
        <v>0014P00003YSpA7QAL</v>
      </c>
      <c r="B513" s="2" t="s">
        <v>2818</v>
      </c>
      <c r="C513" s="2" t="s">
        <v>423</v>
      </c>
      <c r="D513" s="2" t="s">
        <v>2</v>
      </c>
      <c r="E513" s="2">
        <v>36</v>
      </c>
      <c r="F513" s="2">
        <v>1</v>
      </c>
      <c r="G513" s="2">
        <v>2</v>
      </c>
      <c r="H513" s="2">
        <v>30000</v>
      </c>
      <c r="I513" s="2">
        <v>0</v>
      </c>
      <c r="J513" s="2" t="s">
        <v>1779</v>
      </c>
      <c r="K513" s="2">
        <v>36</v>
      </c>
      <c r="L513" s="2">
        <v>15</v>
      </c>
      <c r="M513" s="2">
        <v>5</v>
      </c>
      <c r="N513" s="2">
        <v>6</v>
      </c>
      <c r="O513" s="2">
        <v>10</v>
      </c>
      <c r="P513" s="2">
        <v>0</v>
      </c>
      <c r="Q513" s="2" t="s">
        <v>2819</v>
      </c>
      <c r="R513" s="2" t="s">
        <v>2819</v>
      </c>
      <c r="S513" s="4">
        <v>44837</v>
      </c>
    </row>
    <row r="514" spans="1:19" ht="12.5" x14ac:dyDescent="0.25">
      <c r="A514" s="14" t="str">
        <f>HYPERLINK("https://gerandofalcoes.my.salesforce.com/0014P00003YSpA8QAL", "0014P00003YSpA8QAL")</f>
        <v>0014P00003YSpA8QAL</v>
      </c>
      <c r="B514" s="2" t="s">
        <v>2647</v>
      </c>
      <c r="C514" s="2" t="s">
        <v>423</v>
      </c>
      <c r="D514" s="2" t="s">
        <v>2</v>
      </c>
      <c r="E514" s="2">
        <v>18</v>
      </c>
      <c r="F514" s="2">
        <v>0</v>
      </c>
      <c r="G514" s="2">
        <v>2</v>
      </c>
      <c r="H514" s="2">
        <v>0</v>
      </c>
      <c r="I514" s="2">
        <v>0</v>
      </c>
      <c r="J514" s="2" t="s">
        <v>1779</v>
      </c>
      <c r="K514" s="2">
        <v>16</v>
      </c>
      <c r="L514" s="2">
        <v>10</v>
      </c>
      <c r="M514" s="2">
        <v>0</v>
      </c>
      <c r="N514" s="2">
        <v>6</v>
      </c>
      <c r="O514" s="2">
        <v>0</v>
      </c>
      <c r="P514" s="2">
        <v>0</v>
      </c>
      <c r="Q514" s="2" t="s">
        <v>2648</v>
      </c>
      <c r="R514" s="2" t="s">
        <v>2648</v>
      </c>
      <c r="S514" s="4">
        <v>44837</v>
      </c>
    </row>
    <row r="515" spans="1:19" ht="12.5" x14ac:dyDescent="0.25">
      <c r="A515" s="14" t="str">
        <f>HYPERLINK("https://gerandofalcoes.my.salesforce.com/0014P00003YSp9xQAD", "0014P00003YSp9xQAD")</f>
        <v>0014P00003YSp9xQAD</v>
      </c>
      <c r="B515" s="2" t="s">
        <v>2330</v>
      </c>
      <c r="C515" s="2" t="s">
        <v>423</v>
      </c>
      <c r="D515" s="2" t="s">
        <v>2</v>
      </c>
      <c r="E515" s="2">
        <v>28</v>
      </c>
      <c r="F515" s="2">
        <v>0</v>
      </c>
      <c r="G515" s="2">
        <v>2</v>
      </c>
      <c r="H515" s="2">
        <v>120000</v>
      </c>
      <c r="I515" s="2">
        <v>29</v>
      </c>
      <c r="J515" s="2" t="s">
        <v>1671</v>
      </c>
      <c r="K515" s="2">
        <v>41</v>
      </c>
      <c r="L515" s="2">
        <v>15</v>
      </c>
      <c r="M515" s="2">
        <v>0</v>
      </c>
      <c r="N515" s="2">
        <v>6</v>
      </c>
      <c r="O515" s="2">
        <v>15</v>
      </c>
      <c r="P515" s="2">
        <v>5</v>
      </c>
      <c r="Q515" s="2"/>
      <c r="R515" s="2" t="s">
        <v>2331</v>
      </c>
      <c r="S515" s="4">
        <v>44837</v>
      </c>
    </row>
    <row r="516" spans="1:19" ht="12.5" x14ac:dyDescent="0.25">
      <c r="A516" s="14" t="str">
        <f>HYPERLINK("https://gerandofalcoes.my.salesforce.com/0014P00003YSpA9QAL", "0014P00003YSpA9QAL")</f>
        <v>0014P00003YSpA9QAL</v>
      </c>
      <c r="B516" s="2" t="s">
        <v>1835</v>
      </c>
      <c r="C516" s="2" t="s">
        <v>423</v>
      </c>
      <c r="D516" s="2" t="s">
        <v>2</v>
      </c>
      <c r="E516" s="2">
        <v>31</v>
      </c>
      <c r="F516" s="2">
        <v>0</v>
      </c>
      <c r="G516" s="2">
        <v>7</v>
      </c>
      <c r="H516" s="2">
        <v>29668</v>
      </c>
      <c r="I516" s="2">
        <v>175</v>
      </c>
      <c r="J516" s="2" t="s">
        <v>1671</v>
      </c>
      <c r="K516" s="2">
        <v>47</v>
      </c>
      <c r="L516" s="2">
        <v>15</v>
      </c>
      <c r="M516" s="2">
        <v>0</v>
      </c>
      <c r="N516" s="2">
        <v>10</v>
      </c>
      <c r="O516" s="2">
        <v>10</v>
      </c>
      <c r="P516" s="2">
        <v>12</v>
      </c>
      <c r="Q516" s="2" t="s">
        <v>1836</v>
      </c>
      <c r="R516" s="2" t="s">
        <v>7152</v>
      </c>
      <c r="S516" s="4">
        <v>44837</v>
      </c>
    </row>
    <row r="517" spans="1:19" ht="12.5" x14ac:dyDescent="0.25">
      <c r="A517" s="14" t="str">
        <f>HYPERLINK("https://gerandofalcoes.my.salesforce.com/0014P00003YSpAAQA1", "0014P00003YSpAAQA1")</f>
        <v>0014P00003YSpAAQA1</v>
      </c>
      <c r="B517" s="2" t="s">
        <v>2428</v>
      </c>
      <c r="C517" s="2" t="s">
        <v>1684</v>
      </c>
      <c r="D517" s="2" t="s">
        <v>2</v>
      </c>
      <c r="E517" s="2">
        <v>25</v>
      </c>
      <c r="F517" s="2">
        <v>0</v>
      </c>
      <c r="G517" s="2">
        <v>0</v>
      </c>
      <c r="H517" s="2">
        <v>0</v>
      </c>
      <c r="I517" s="2">
        <v>0</v>
      </c>
      <c r="J517" s="2" t="s">
        <v>1779</v>
      </c>
      <c r="K517" s="2">
        <v>15</v>
      </c>
      <c r="L517" s="2">
        <v>15</v>
      </c>
      <c r="M517" s="2">
        <v>0</v>
      </c>
      <c r="N517" s="2">
        <v>0</v>
      </c>
      <c r="O517" s="2">
        <v>0</v>
      </c>
      <c r="P517" s="2">
        <v>0</v>
      </c>
      <c r="Q517" s="2" t="s">
        <v>2429</v>
      </c>
      <c r="R517" s="2" t="s">
        <v>2430</v>
      </c>
      <c r="S517" s="4">
        <v>44837</v>
      </c>
    </row>
    <row r="518" spans="1:19" ht="12.5" x14ac:dyDescent="0.25">
      <c r="A518" s="14" t="str">
        <f>HYPERLINK("https://gerandofalcoes.my.salesforce.com/0014P00003YSp9yQAD", "0014P00003YSp9yQAD")</f>
        <v>0014P00003YSp9yQAD</v>
      </c>
      <c r="B518" s="2" t="s">
        <v>2007</v>
      </c>
      <c r="C518" s="2" t="s">
        <v>423</v>
      </c>
      <c r="D518" s="2" t="s">
        <v>2</v>
      </c>
      <c r="E518" s="2">
        <v>38</v>
      </c>
      <c r="F518" s="2">
        <v>63</v>
      </c>
      <c r="G518" s="2">
        <v>3</v>
      </c>
      <c r="H518" s="2">
        <v>750106</v>
      </c>
      <c r="I518" s="2">
        <v>900</v>
      </c>
      <c r="J518" s="2" t="s">
        <v>1650</v>
      </c>
      <c r="K518" s="2">
        <v>78</v>
      </c>
      <c r="L518" s="2">
        <v>15</v>
      </c>
      <c r="M518" s="2">
        <v>15</v>
      </c>
      <c r="N518" s="2">
        <v>8</v>
      </c>
      <c r="O518" s="2">
        <v>20</v>
      </c>
      <c r="P518" s="2">
        <v>20</v>
      </c>
      <c r="Q518" s="2" t="s">
        <v>2008</v>
      </c>
      <c r="R518" s="2" t="s">
        <v>2009</v>
      </c>
      <c r="S518" s="4">
        <v>44837</v>
      </c>
    </row>
    <row r="519" spans="1:19" ht="12.5" x14ac:dyDescent="0.25">
      <c r="A519" s="14" t="str">
        <f>HYPERLINK("https://gerandofalcoes.my.salesforce.com/0014P00003YSp9zQAD", "0014P00003YSp9zQAD")</f>
        <v>0014P00003YSp9zQAD</v>
      </c>
      <c r="B519" s="2" t="s">
        <v>1776</v>
      </c>
      <c r="C519" s="2" t="s">
        <v>423</v>
      </c>
      <c r="D519" s="2" t="s">
        <v>2</v>
      </c>
      <c r="E519" s="2">
        <v>34</v>
      </c>
      <c r="F519" s="2">
        <v>0</v>
      </c>
      <c r="G519" s="2">
        <v>2</v>
      </c>
      <c r="H519" s="2">
        <v>120000</v>
      </c>
      <c r="I519" s="2">
        <v>450</v>
      </c>
      <c r="J519" s="2" t="s">
        <v>1671</v>
      </c>
      <c r="K519" s="2">
        <v>56</v>
      </c>
      <c r="L519" s="2">
        <v>15</v>
      </c>
      <c r="M519" s="2">
        <v>0</v>
      </c>
      <c r="N519" s="2">
        <v>6</v>
      </c>
      <c r="O519" s="2">
        <v>15</v>
      </c>
      <c r="P519" s="2">
        <v>20</v>
      </c>
      <c r="Q519" s="2" t="s">
        <v>1777</v>
      </c>
      <c r="R519" s="2" t="s">
        <v>1777</v>
      </c>
      <c r="S519" s="4">
        <v>44837</v>
      </c>
    </row>
    <row r="520" spans="1:19" ht="12.5" x14ac:dyDescent="0.25">
      <c r="A520" s="14" t="str">
        <f>HYPERLINK("https://gerandofalcoes.my.salesforce.com/0014P00003YSpACQA1", "0014P00003YSpACQA1")</f>
        <v>0014P00003YSpACQA1</v>
      </c>
      <c r="B520" s="2" t="s">
        <v>2601</v>
      </c>
      <c r="C520" s="2" t="s">
        <v>423</v>
      </c>
      <c r="D520" s="2" t="s">
        <v>2</v>
      </c>
      <c r="E520" s="2">
        <v>19</v>
      </c>
      <c r="F520" s="2">
        <v>2</v>
      </c>
      <c r="G520" s="2">
        <v>2</v>
      </c>
      <c r="H520" s="2">
        <v>0</v>
      </c>
      <c r="I520" s="2">
        <v>120</v>
      </c>
      <c r="J520" s="2" t="s">
        <v>1779</v>
      </c>
      <c r="K520" s="2">
        <v>31</v>
      </c>
      <c r="L520" s="2">
        <v>10</v>
      </c>
      <c r="M520" s="2">
        <v>5</v>
      </c>
      <c r="N520" s="2">
        <v>6</v>
      </c>
      <c r="O520" s="2">
        <v>0</v>
      </c>
      <c r="P520" s="2">
        <v>10</v>
      </c>
      <c r="Q520" s="2" t="s">
        <v>2602</v>
      </c>
      <c r="R520" s="2" t="s">
        <v>2602</v>
      </c>
      <c r="S520" s="4">
        <v>44837</v>
      </c>
    </row>
    <row r="521" spans="1:19" ht="12.5" x14ac:dyDescent="0.25">
      <c r="A521" s="14" t="str">
        <f>HYPERLINK("https://gerandofalcoes.my.salesforce.com/0014P00003YSpADQA1", "0014P00003YSpADQA1")</f>
        <v>0014P00003YSpADQA1</v>
      </c>
      <c r="B521" s="2" t="s">
        <v>1736</v>
      </c>
      <c r="C521" s="2" t="s">
        <v>423</v>
      </c>
      <c r="D521" s="2" t="s">
        <v>2</v>
      </c>
      <c r="E521" s="2">
        <v>41</v>
      </c>
      <c r="F521" s="2">
        <v>10</v>
      </c>
      <c r="G521" s="2">
        <v>4</v>
      </c>
      <c r="H521" s="2">
        <v>296560</v>
      </c>
      <c r="I521" s="2">
        <v>71</v>
      </c>
      <c r="J521" s="2" t="s">
        <v>1671</v>
      </c>
      <c r="K521" s="2">
        <v>55</v>
      </c>
      <c r="L521" s="2">
        <v>15</v>
      </c>
      <c r="M521" s="2">
        <v>10</v>
      </c>
      <c r="N521" s="2">
        <v>10</v>
      </c>
      <c r="O521" s="2">
        <v>15</v>
      </c>
      <c r="P521" s="2">
        <v>5</v>
      </c>
      <c r="Q521" s="2" t="s">
        <v>1737</v>
      </c>
      <c r="R521" s="2" t="s">
        <v>1737</v>
      </c>
      <c r="S521" s="4">
        <v>44837</v>
      </c>
    </row>
    <row r="522" spans="1:19" ht="12.5" x14ac:dyDescent="0.25">
      <c r="A522" s="14" t="str">
        <f>HYPERLINK("https://gerandofalcoes.my.salesforce.com/0014P00003YSpAEQA1", "0014P00003YSpAEQA1")</f>
        <v>0014P00003YSpAEQA1</v>
      </c>
      <c r="B522" s="2" t="s">
        <v>2962</v>
      </c>
      <c r="C522" s="2" t="s">
        <v>423</v>
      </c>
      <c r="D522" s="2" t="s">
        <v>2</v>
      </c>
      <c r="E522" s="2">
        <v>17</v>
      </c>
      <c r="F522" s="2">
        <v>0</v>
      </c>
      <c r="G522" s="2">
        <v>5</v>
      </c>
      <c r="H522" s="2">
        <v>13000</v>
      </c>
      <c r="I522" s="2">
        <v>302</v>
      </c>
      <c r="J522" s="2" t="s">
        <v>1671</v>
      </c>
      <c r="K522" s="2">
        <v>40</v>
      </c>
      <c r="L522" s="2">
        <v>10</v>
      </c>
      <c r="M522" s="2">
        <v>0</v>
      </c>
      <c r="N522" s="2">
        <v>10</v>
      </c>
      <c r="O522" s="2">
        <v>5</v>
      </c>
      <c r="P522" s="2">
        <v>15</v>
      </c>
      <c r="Q522" s="2" t="s">
        <v>2963</v>
      </c>
      <c r="R522" s="2" t="s">
        <v>2964</v>
      </c>
      <c r="S522" s="4">
        <v>44837</v>
      </c>
    </row>
    <row r="523" spans="1:19" ht="12.5" x14ac:dyDescent="0.25">
      <c r="A523" s="14" t="str">
        <f>HYPERLINK("https://gerandofalcoes.my.salesforce.com/0014P00003YSpAFQA1", "0014P00003YSpAFQA1")</f>
        <v>0014P00003YSpAFQA1</v>
      </c>
      <c r="B523" s="2" t="s">
        <v>2191</v>
      </c>
      <c r="C523" s="2" t="s">
        <v>1684</v>
      </c>
      <c r="D523" s="2" t="s">
        <v>2</v>
      </c>
      <c r="E523" s="2">
        <v>33</v>
      </c>
      <c r="F523" s="2">
        <v>3</v>
      </c>
      <c r="G523" s="2">
        <v>0</v>
      </c>
      <c r="H523" s="2">
        <v>0</v>
      </c>
      <c r="I523" s="2">
        <v>0</v>
      </c>
      <c r="J523" s="2" t="s">
        <v>1779</v>
      </c>
      <c r="K523" s="2">
        <v>20</v>
      </c>
      <c r="L523" s="2">
        <v>15</v>
      </c>
      <c r="M523" s="2">
        <v>5</v>
      </c>
      <c r="N523" s="2">
        <v>0</v>
      </c>
      <c r="O523" s="2">
        <v>0</v>
      </c>
      <c r="P523" s="2">
        <v>0</v>
      </c>
      <c r="Q523" s="2" t="s">
        <v>2192</v>
      </c>
      <c r="R523" s="2" t="s">
        <v>2193</v>
      </c>
      <c r="S523" s="4">
        <v>44837</v>
      </c>
    </row>
    <row r="524" spans="1:19" ht="12.5" x14ac:dyDescent="0.25">
      <c r="A524" s="14" t="str">
        <f>HYPERLINK("https://gerandofalcoes.my.salesforce.com/0014P00003YSpAGQA1", "0014P00003YSpAGQA1")</f>
        <v>0014P00003YSpAGQA1</v>
      </c>
      <c r="B524" s="2" t="s">
        <v>2850</v>
      </c>
      <c r="C524" s="2" t="s">
        <v>423</v>
      </c>
      <c r="D524" s="2" t="s">
        <v>2</v>
      </c>
      <c r="E524" s="2">
        <v>20</v>
      </c>
      <c r="F524" s="2">
        <v>0</v>
      </c>
      <c r="G524" s="2">
        <v>3</v>
      </c>
      <c r="H524" s="2">
        <v>47469</v>
      </c>
      <c r="I524" s="2">
        <v>500</v>
      </c>
      <c r="J524" s="2" t="s">
        <v>1671</v>
      </c>
      <c r="K524" s="2">
        <v>48</v>
      </c>
      <c r="L524" s="2">
        <v>10</v>
      </c>
      <c r="M524" s="2">
        <v>0</v>
      </c>
      <c r="N524" s="2">
        <v>8</v>
      </c>
      <c r="O524" s="2">
        <v>10</v>
      </c>
      <c r="P524" s="2">
        <v>20</v>
      </c>
      <c r="Q524" s="2" t="s">
        <v>2851</v>
      </c>
      <c r="R524" s="2" t="s">
        <v>2852</v>
      </c>
      <c r="S524" s="4">
        <v>44837</v>
      </c>
    </row>
    <row r="525" spans="1:19" ht="12.5" x14ac:dyDescent="0.25">
      <c r="A525" s="14" t="str">
        <f>HYPERLINK("https://gerandofalcoes.my.salesforce.com/0014P00003YSpAHQA1", "0014P00003YSpAHQA1")</f>
        <v>0014P00003YSpAHQA1</v>
      </c>
      <c r="B525" s="2" t="s">
        <v>1881</v>
      </c>
      <c r="C525" s="2" t="s">
        <v>423</v>
      </c>
      <c r="D525" s="2" t="s">
        <v>2</v>
      </c>
      <c r="E525" s="2">
        <v>28</v>
      </c>
      <c r="F525" s="2">
        <v>34</v>
      </c>
      <c r="G525" s="2">
        <v>3</v>
      </c>
      <c r="H525" s="2">
        <v>250000</v>
      </c>
      <c r="I525" s="2">
        <v>42</v>
      </c>
      <c r="J525" s="2" t="s">
        <v>1671</v>
      </c>
      <c r="K525" s="2">
        <v>58</v>
      </c>
      <c r="L525" s="2">
        <v>15</v>
      </c>
      <c r="M525" s="2">
        <v>15</v>
      </c>
      <c r="N525" s="2">
        <v>8</v>
      </c>
      <c r="O525" s="2">
        <v>15</v>
      </c>
      <c r="P525" s="2">
        <v>5</v>
      </c>
      <c r="Q525" s="2" t="s">
        <v>1882</v>
      </c>
      <c r="R525" s="2" t="s">
        <v>1882</v>
      </c>
      <c r="S525" s="4">
        <v>44837</v>
      </c>
    </row>
    <row r="526" spans="1:19" ht="12.5" x14ac:dyDescent="0.25">
      <c r="A526" s="14" t="str">
        <f>HYPERLINK("https://gerandofalcoes.my.salesforce.com/0014P00003YSpAIQA1", "0014P00003YSpAIQA1")</f>
        <v>0014P00003YSpAIQA1</v>
      </c>
      <c r="B526" s="2" t="s">
        <v>1810</v>
      </c>
      <c r="C526" s="2" t="s">
        <v>423</v>
      </c>
      <c r="D526" s="2" t="s">
        <v>2</v>
      </c>
      <c r="E526" s="2">
        <v>41</v>
      </c>
      <c r="F526" s="2">
        <v>0</v>
      </c>
      <c r="G526" s="2">
        <v>4</v>
      </c>
      <c r="H526" s="2">
        <v>32000</v>
      </c>
      <c r="I526" s="2">
        <v>150</v>
      </c>
      <c r="J526" s="2" t="s">
        <v>1671</v>
      </c>
      <c r="K526" s="2">
        <v>47</v>
      </c>
      <c r="L526" s="2">
        <v>15</v>
      </c>
      <c r="M526" s="2">
        <v>0</v>
      </c>
      <c r="N526" s="2">
        <v>10</v>
      </c>
      <c r="O526" s="2">
        <v>10</v>
      </c>
      <c r="P526" s="2">
        <v>12</v>
      </c>
      <c r="Q526" s="2" t="s">
        <v>1811</v>
      </c>
      <c r="R526" s="2" t="s">
        <v>1812</v>
      </c>
      <c r="S526" s="4">
        <v>44837</v>
      </c>
    </row>
    <row r="527" spans="1:19" ht="12.5" x14ac:dyDescent="0.25">
      <c r="A527" s="14" t="str">
        <f>HYPERLINK("https://gerandofalcoes.my.salesforce.com/0014P00003YSpAJQA1", "0014P00003YSpAJQA1")</f>
        <v>0014P00003YSpAJQA1</v>
      </c>
      <c r="B527" s="2" t="s">
        <v>1822</v>
      </c>
      <c r="C527" s="2" t="s">
        <v>423</v>
      </c>
      <c r="D527" s="2" t="s">
        <v>2</v>
      </c>
      <c r="E527" s="2">
        <v>39</v>
      </c>
      <c r="F527" s="2">
        <v>3</v>
      </c>
      <c r="G527" s="2">
        <v>5</v>
      </c>
      <c r="H527" s="2">
        <v>44000</v>
      </c>
      <c r="I527" s="2">
        <v>200</v>
      </c>
      <c r="J527" s="2" t="s">
        <v>1671</v>
      </c>
      <c r="K527" s="2">
        <v>52</v>
      </c>
      <c r="L527" s="2">
        <v>15</v>
      </c>
      <c r="M527" s="2">
        <v>5</v>
      </c>
      <c r="N527" s="2">
        <v>10</v>
      </c>
      <c r="O527" s="2">
        <v>10</v>
      </c>
      <c r="P527" s="2">
        <v>12</v>
      </c>
      <c r="Q527" s="2" t="s">
        <v>1823</v>
      </c>
      <c r="R527" s="2" t="s">
        <v>1823</v>
      </c>
      <c r="S527" s="4">
        <v>44837</v>
      </c>
    </row>
    <row r="528" spans="1:19" ht="12.5" x14ac:dyDescent="0.25">
      <c r="A528" s="14" t="str">
        <f>HYPERLINK("https://gerandofalcoes.my.salesforce.com/0014P00003YSpAKQA1", "0014P00003YSpAKQA1")</f>
        <v>0014P00003YSpAKQA1</v>
      </c>
      <c r="B528" s="2" t="s">
        <v>2245</v>
      </c>
      <c r="C528" s="2" t="s">
        <v>423</v>
      </c>
      <c r="D528" s="2" t="s">
        <v>2</v>
      </c>
      <c r="E528" s="2">
        <v>31</v>
      </c>
      <c r="F528" s="2">
        <v>0</v>
      </c>
      <c r="G528" s="2">
        <v>2</v>
      </c>
      <c r="H528" s="2">
        <v>15000</v>
      </c>
      <c r="I528" s="2">
        <v>0</v>
      </c>
      <c r="J528" s="2" t="s">
        <v>1779</v>
      </c>
      <c r="K528" s="2">
        <v>26</v>
      </c>
      <c r="L528" s="2">
        <v>15</v>
      </c>
      <c r="M528" s="2">
        <v>0</v>
      </c>
      <c r="N528" s="2">
        <v>6</v>
      </c>
      <c r="O528" s="2">
        <v>5</v>
      </c>
      <c r="P528" s="2">
        <v>0</v>
      </c>
      <c r="Q528" s="2" t="s">
        <v>2246</v>
      </c>
      <c r="R528" s="2" t="s">
        <v>2246</v>
      </c>
      <c r="S528" s="4">
        <v>44837</v>
      </c>
    </row>
    <row r="529" spans="1:19" ht="12.5" x14ac:dyDescent="0.25">
      <c r="A529" s="14" t="str">
        <f>HYPERLINK("https://gerandofalcoes.my.salesforce.com/0014P00003YSpALQA1", "0014P00003YSpALQA1")</f>
        <v>0014P00003YSpALQA1</v>
      </c>
      <c r="B529" s="2" t="s">
        <v>2106</v>
      </c>
      <c r="C529" s="2" t="s">
        <v>423</v>
      </c>
      <c r="D529" s="2" t="s">
        <v>2</v>
      </c>
      <c r="E529" s="2">
        <v>35</v>
      </c>
      <c r="F529" s="2">
        <v>7</v>
      </c>
      <c r="G529" s="2">
        <v>6</v>
      </c>
      <c r="H529" s="2">
        <v>83455</v>
      </c>
      <c r="I529" s="2">
        <v>81</v>
      </c>
      <c r="J529" s="2" t="s">
        <v>1671</v>
      </c>
      <c r="K529" s="2">
        <v>55</v>
      </c>
      <c r="L529" s="2">
        <v>15</v>
      </c>
      <c r="M529" s="2">
        <v>10</v>
      </c>
      <c r="N529" s="2">
        <v>10</v>
      </c>
      <c r="O529" s="2">
        <v>10</v>
      </c>
      <c r="P529" s="2">
        <v>10</v>
      </c>
      <c r="Q529" s="2" t="s">
        <v>2107</v>
      </c>
      <c r="R529" s="2" t="s">
        <v>2108</v>
      </c>
      <c r="S529" s="4">
        <v>44837</v>
      </c>
    </row>
    <row r="530" spans="1:19" ht="12.5" x14ac:dyDescent="0.25">
      <c r="A530" s="14" t="str">
        <f>HYPERLINK("https://gerandofalcoes.my.salesforce.com/0014P00003YSpAMQA1", "0014P00003YSpAMQA1")</f>
        <v>0014P00003YSpAMQA1</v>
      </c>
      <c r="B530" s="2" t="s">
        <v>2240</v>
      </c>
      <c r="C530" s="2" t="s">
        <v>423</v>
      </c>
      <c r="D530" s="2" t="s">
        <v>2</v>
      </c>
      <c r="E530" s="2">
        <v>31</v>
      </c>
      <c r="F530" s="2">
        <v>0</v>
      </c>
      <c r="G530" s="2">
        <v>2</v>
      </c>
      <c r="H530" s="2">
        <v>8000</v>
      </c>
      <c r="I530" s="2">
        <v>21</v>
      </c>
      <c r="J530" s="2" t="s">
        <v>1779</v>
      </c>
      <c r="K530" s="2">
        <v>31</v>
      </c>
      <c r="L530" s="2">
        <v>15</v>
      </c>
      <c r="M530" s="2">
        <v>0</v>
      </c>
      <c r="N530" s="2">
        <v>6</v>
      </c>
      <c r="O530" s="2">
        <v>5</v>
      </c>
      <c r="P530" s="2">
        <v>5</v>
      </c>
      <c r="Q530" s="2" t="s">
        <v>2241</v>
      </c>
      <c r="R530" s="2" t="s">
        <v>2242</v>
      </c>
      <c r="S530" s="4">
        <v>44837</v>
      </c>
    </row>
    <row r="531" spans="1:19" ht="12.5" x14ac:dyDescent="0.25">
      <c r="A531" s="14" t="str">
        <f>HYPERLINK("https://gerandofalcoes.my.salesforce.com/0014P00003YSpA6QAL", "0014P00003YSpA6QAL")</f>
        <v>0014P00003YSpA6QAL</v>
      </c>
      <c r="B531" s="2" t="s">
        <v>2060</v>
      </c>
      <c r="C531" s="2" t="s">
        <v>423</v>
      </c>
      <c r="D531" s="2" t="s">
        <v>2</v>
      </c>
      <c r="E531" s="2">
        <v>37</v>
      </c>
      <c r="F531" s="2">
        <v>27</v>
      </c>
      <c r="G531" s="2">
        <v>3</v>
      </c>
      <c r="H531" s="2">
        <v>132000</v>
      </c>
      <c r="I531" s="2">
        <v>0</v>
      </c>
      <c r="J531" s="2" t="s">
        <v>1671</v>
      </c>
      <c r="K531" s="2">
        <v>50</v>
      </c>
      <c r="L531" s="2">
        <v>15</v>
      </c>
      <c r="M531" s="2">
        <v>12</v>
      </c>
      <c r="N531" s="2">
        <v>8</v>
      </c>
      <c r="O531" s="2">
        <v>15</v>
      </c>
      <c r="P531" s="2">
        <v>0</v>
      </c>
      <c r="Q531" s="2" t="s">
        <v>2061</v>
      </c>
      <c r="R531" s="2" t="s">
        <v>2061</v>
      </c>
      <c r="S531" s="4">
        <v>44837</v>
      </c>
    </row>
    <row r="532" spans="1:19" ht="12.5" x14ac:dyDescent="0.25">
      <c r="A532" s="14" t="str">
        <f>HYPERLINK("https://gerandofalcoes.my.salesforce.com/0014P00003YSpP9QAL", "0014P00003YSpP9QAL")</f>
        <v>0014P00003YSpP9QAL</v>
      </c>
      <c r="B532" s="2" t="s">
        <v>2752</v>
      </c>
      <c r="C532" s="2" t="s">
        <v>423</v>
      </c>
      <c r="D532" s="2" t="s">
        <v>2</v>
      </c>
      <c r="E532" s="2">
        <v>14</v>
      </c>
      <c r="F532" s="2">
        <v>0</v>
      </c>
      <c r="G532" s="2">
        <v>2</v>
      </c>
      <c r="H532" s="2">
        <v>24000</v>
      </c>
      <c r="I532" s="2">
        <v>489</v>
      </c>
      <c r="J532" s="2" t="s">
        <v>1671</v>
      </c>
      <c r="K532" s="2">
        <v>41</v>
      </c>
      <c r="L532" s="2">
        <v>10</v>
      </c>
      <c r="M532" s="2">
        <v>0</v>
      </c>
      <c r="N532" s="2">
        <v>6</v>
      </c>
      <c r="O532" s="2">
        <v>5</v>
      </c>
      <c r="P532" s="2">
        <v>20</v>
      </c>
      <c r="Q532" s="2" t="s">
        <v>2753</v>
      </c>
      <c r="R532" s="2" t="s">
        <v>2754</v>
      </c>
      <c r="S532" s="4">
        <v>44837</v>
      </c>
    </row>
    <row r="533" spans="1:19" ht="12.5" x14ac:dyDescent="0.25">
      <c r="A533" s="14" t="str">
        <f>HYPERLINK("https://gerandofalcoes.my.salesforce.com/0014P00003AN2GIQA1", "0014P00003AN2GIQA1")</f>
        <v>0014P00003AN2GIQA1</v>
      </c>
      <c r="B533" s="2" t="s">
        <v>1661</v>
      </c>
      <c r="C533" s="2" t="s">
        <v>423</v>
      </c>
      <c r="D533" s="2" t="s">
        <v>27</v>
      </c>
      <c r="E533" s="2">
        <v>95</v>
      </c>
      <c r="F533" s="2">
        <v>5</v>
      </c>
      <c r="G533" s="2">
        <v>3</v>
      </c>
      <c r="H533" s="2">
        <v>133580.48000000001</v>
      </c>
      <c r="I533" s="2">
        <v>82</v>
      </c>
      <c r="J533" s="2" t="s">
        <v>1650</v>
      </c>
      <c r="K533" s="2">
        <v>68</v>
      </c>
      <c r="L533" s="2">
        <v>30</v>
      </c>
      <c r="M533" s="2">
        <v>5</v>
      </c>
      <c r="N533" s="2">
        <v>8</v>
      </c>
      <c r="O533" s="2">
        <v>15</v>
      </c>
      <c r="P533" s="2">
        <v>10</v>
      </c>
      <c r="Q533" s="2" t="s">
        <v>31</v>
      </c>
      <c r="R533" s="2" t="s">
        <v>1662</v>
      </c>
      <c r="S533" s="4">
        <v>44837</v>
      </c>
    </row>
    <row r="534" spans="1:19" ht="12.5" x14ac:dyDescent="0.25">
      <c r="A534" s="14" t="str">
        <f>HYPERLINK("https://gerandofalcoes.my.salesforce.com/0014P00003AN2GJQA1", "0014P00003AN2GJQA1")</f>
        <v>0014P00003AN2GJQA1</v>
      </c>
      <c r="B534" s="2" t="s">
        <v>1720</v>
      </c>
      <c r="C534" s="2" t="s">
        <v>423</v>
      </c>
      <c r="D534" s="2" t="s">
        <v>27</v>
      </c>
      <c r="E534" s="2">
        <v>76</v>
      </c>
      <c r="F534" s="2">
        <v>10</v>
      </c>
      <c r="G534" s="2">
        <v>2</v>
      </c>
      <c r="H534" s="2">
        <v>786451.23</v>
      </c>
      <c r="I534" s="2">
        <v>99</v>
      </c>
      <c r="J534" s="2" t="s">
        <v>1650</v>
      </c>
      <c r="K534" s="2">
        <v>71</v>
      </c>
      <c r="L534" s="2">
        <v>25</v>
      </c>
      <c r="M534" s="2">
        <v>10</v>
      </c>
      <c r="N534" s="2">
        <v>6</v>
      </c>
      <c r="O534" s="2">
        <v>20</v>
      </c>
      <c r="P534" s="2">
        <v>10</v>
      </c>
      <c r="Q534" s="2" t="s">
        <v>35</v>
      </c>
      <c r="R534" s="2" t="s">
        <v>1721</v>
      </c>
      <c r="S534" s="4">
        <v>44837</v>
      </c>
    </row>
    <row r="535" spans="1:19" ht="12.5" x14ac:dyDescent="0.25">
      <c r="A535" s="14" t="str">
        <f>HYPERLINK("https://gerandofalcoes.my.salesforce.com/0014P00003AN2GKQA1", "0014P00003AN2GKQA1")</f>
        <v>0014P00003AN2GKQA1</v>
      </c>
      <c r="B535" s="2" t="s">
        <v>1687</v>
      </c>
      <c r="C535" s="2" t="s">
        <v>423</v>
      </c>
      <c r="D535" s="2" t="s">
        <v>27</v>
      </c>
      <c r="E535" s="2">
        <v>85</v>
      </c>
      <c r="F535" s="2">
        <v>22</v>
      </c>
      <c r="G535" s="2">
        <v>5</v>
      </c>
      <c r="H535" s="2">
        <v>1314918.45</v>
      </c>
      <c r="I535" s="2">
        <v>358</v>
      </c>
      <c r="J535" s="2" t="s">
        <v>1654</v>
      </c>
      <c r="K535" s="2">
        <v>87</v>
      </c>
      <c r="L535" s="2">
        <v>25</v>
      </c>
      <c r="M535" s="2">
        <v>12</v>
      </c>
      <c r="N535" s="2">
        <v>10</v>
      </c>
      <c r="O535" s="2">
        <v>25</v>
      </c>
      <c r="P535" s="2">
        <v>15</v>
      </c>
      <c r="Q535" s="2" t="s">
        <v>28</v>
      </c>
      <c r="R535" s="2" t="s">
        <v>28</v>
      </c>
      <c r="S535" s="4">
        <v>44837</v>
      </c>
    </row>
    <row r="536" spans="1:19" ht="12.5" x14ac:dyDescent="0.25">
      <c r="A536" s="14" t="str">
        <f>HYPERLINK("https://gerandofalcoes.my.salesforce.com/0014P00003AN2GLQA1", "0014P00003AN2GLQA1")</f>
        <v>0014P00003AN2GLQA1</v>
      </c>
      <c r="B536" s="2" t="s">
        <v>1691</v>
      </c>
      <c r="C536" s="2" t="s">
        <v>423</v>
      </c>
      <c r="D536" s="2" t="s">
        <v>27</v>
      </c>
      <c r="E536" s="2">
        <v>85</v>
      </c>
      <c r="F536" s="2">
        <v>13</v>
      </c>
      <c r="G536" s="2">
        <v>4</v>
      </c>
      <c r="H536" s="2">
        <v>154904.04</v>
      </c>
      <c r="I536" s="2">
        <v>172</v>
      </c>
      <c r="J536" s="2" t="s">
        <v>1650</v>
      </c>
      <c r="K536" s="2">
        <v>74</v>
      </c>
      <c r="L536" s="2">
        <v>25</v>
      </c>
      <c r="M536" s="2">
        <v>12</v>
      </c>
      <c r="N536" s="2">
        <v>10</v>
      </c>
      <c r="O536" s="2">
        <v>15</v>
      </c>
      <c r="P536" s="2">
        <v>12</v>
      </c>
      <c r="Q536" s="2" t="s">
        <v>29</v>
      </c>
      <c r="R536" s="2" t="s">
        <v>29</v>
      </c>
      <c r="S536" s="4">
        <v>44837</v>
      </c>
    </row>
    <row r="537" spans="1:19" ht="12.5" x14ac:dyDescent="0.25">
      <c r="A537" s="14" t="str">
        <f>HYPERLINK("https://gerandofalcoes.my.salesforce.com/0014P00003AN2GMQA1", "0014P00003AN2GMQA1")</f>
        <v>0014P00003AN2GMQA1</v>
      </c>
      <c r="B537" s="2" t="s">
        <v>1730</v>
      </c>
      <c r="C537" s="2" t="s">
        <v>423</v>
      </c>
      <c r="D537" s="2" t="s">
        <v>27</v>
      </c>
      <c r="E537" s="2">
        <v>71</v>
      </c>
      <c r="F537" s="2">
        <v>7</v>
      </c>
      <c r="G537" s="2">
        <v>2</v>
      </c>
      <c r="H537" s="2">
        <v>225804.57</v>
      </c>
      <c r="I537" s="2">
        <v>93</v>
      </c>
      <c r="J537" s="2" t="s">
        <v>1671</v>
      </c>
      <c r="K537" s="2">
        <v>61</v>
      </c>
      <c r="L537" s="2">
        <v>20</v>
      </c>
      <c r="M537" s="2">
        <v>10</v>
      </c>
      <c r="N537" s="2">
        <v>6</v>
      </c>
      <c r="O537" s="2">
        <v>15</v>
      </c>
      <c r="P537" s="2">
        <v>10</v>
      </c>
      <c r="Q537" s="2" t="s">
        <v>39</v>
      </c>
      <c r="R537" s="2" t="s">
        <v>39</v>
      </c>
      <c r="S537" s="4">
        <v>44837</v>
      </c>
    </row>
    <row r="538" spans="1:19" ht="12.5" x14ac:dyDescent="0.25">
      <c r="A538" s="14" t="str">
        <f>HYPERLINK("https://gerandofalcoes.my.salesforce.com/0014P00003AN2GNQA1", "0014P00003AN2GNQA1")</f>
        <v>0014P00003AN2GNQA1</v>
      </c>
      <c r="B538" s="2" t="s">
        <v>1655</v>
      </c>
      <c r="C538" s="2" t="s">
        <v>423</v>
      </c>
      <c r="D538" s="2" t="s">
        <v>27</v>
      </c>
      <c r="E538" s="2">
        <v>96</v>
      </c>
      <c r="F538" s="2">
        <v>22</v>
      </c>
      <c r="G538" s="2">
        <v>4</v>
      </c>
      <c r="H538" s="2">
        <v>392688.36</v>
      </c>
      <c r="I538" s="2">
        <v>341</v>
      </c>
      <c r="J538" s="2" t="s">
        <v>1654</v>
      </c>
      <c r="K538" s="2">
        <v>87</v>
      </c>
      <c r="L538" s="2">
        <v>30</v>
      </c>
      <c r="M538" s="2">
        <v>12</v>
      </c>
      <c r="N538" s="2">
        <v>10</v>
      </c>
      <c r="O538" s="2">
        <v>20</v>
      </c>
      <c r="P538" s="2">
        <v>15</v>
      </c>
      <c r="Q538" s="2" t="s">
        <v>43</v>
      </c>
      <c r="R538" s="2" t="s">
        <v>43</v>
      </c>
      <c r="S538" s="4">
        <v>44837</v>
      </c>
    </row>
    <row r="539" spans="1:19" ht="12.5" x14ac:dyDescent="0.25">
      <c r="A539" s="14" t="str">
        <f>HYPERLINK("https://gerandofalcoes.my.salesforce.com/0014P00003AN2GOQA1", "0014P00003AN2GOQA1")</f>
        <v>0014P00003AN2GOQA1</v>
      </c>
      <c r="B539" s="2" t="s">
        <v>1710</v>
      </c>
      <c r="C539" s="2" t="s">
        <v>423</v>
      </c>
      <c r="D539" s="2" t="s">
        <v>27</v>
      </c>
      <c r="E539" s="2">
        <v>79</v>
      </c>
      <c r="F539" s="2">
        <v>10</v>
      </c>
      <c r="G539" s="2">
        <v>3</v>
      </c>
      <c r="H539" s="2">
        <v>230836.02</v>
      </c>
      <c r="I539" s="2">
        <v>124</v>
      </c>
      <c r="J539" s="2" t="s">
        <v>1650</v>
      </c>
      <c r="K539" s="2">
        <v>68</v>
      </c>
      <c r="L539" s="2">
        <v>25</v>
      </c>
      <c r="M539" s="2">
        <v>10</v>
      </c>
      <c r="N539" s="2">
        <v>8</v>
      </c>
      <c r="O539" s="2">
        <v>15</v>
      </c>
      <c r="P539" s="2">
        <v>10</v>
      </c>
      <c r="Q539" s="2" t="s">
        <v>46</v>
      </c>
      <c r="R539" s="2" t="s">
        <v>1711</v>
      </c>
      <c r="S539" s="4">
        <v>44837</v>
      </c>
    </row>
    <row r="540" spans="1:19" ht="12.5" x14ac:dyDescent="0.25">
      <c r="A540" s="14" t="str">
        <f>HYPERLINK("https://gerandofalcoes.my.salesforce.com/0014P00003AN2GPQA1", "0014P00003AN2GPQA1")</f>
        <v>0014P00003AN2GPQA1</v>
      </c>
      <c r="B540" s="2" t="s">
        <v>1653</v>
      </c>
      <c r="C540" s="2" t="s">
        <v>423</v>
      </c>
      <c r="D540" s="2" t="s">
        <v>27</v>
      </c>
      <c r="E540" s="2">
        <v>97</v>
      </c>
      <c r="F540" s="2">
        <v>33</v>
      </c>
      <c r="G540" s="2">
        <v>4</v>
      </c>
      <c r="H540" s="2">
        <v>1500734.93</v>
      </c>
      <c r="I540" s="2">
        <v>378</v>
      </c>
      <c r="J540" s="2" t="s">
        <v>1654</v>
      </c>
      <c r="K540" s="2">
        <v>95</v>
      </c>
      <c r="L540" s="2">
        <v>30</v>
      </c>
      <c r="M540" s="2">
        <v>15</v>
      </c>
      <c r="N540" s="2">
        <v>10</v>
      </c>
      <c r="O540" s="2">
        <v>25</v>
      </c>
      <c r="P540" s="2">
        <v>15</v>
      </c>
      <c r="Q540" s="2" t="s">
        <v>36</v>
      </c>
      <c r="R540" s="2" t="s">
        <v>553</v>
      </c>
      <c r="S540" s="4">
        <v>44837</v>
      </c>
    </row>
    <row r="541" spans="1:19" ht="12.5" x14ac:dyDescent="0.25">
      <c r="A541" s="14" t="str">
        <f>HYPERLINK("https://gerandofalcoes.my.salesforce.com/0014P00003AN2etQAD", "0014P00003AN2etQAD")</f>
        <v>0014P00003AN2etQAD</v>
      </c>
      <c r="B541" s="2" t="s">
        <v>2288</v>
      </c>
      <c r="C541" s="2" t="s">
        <v>423</v>
      </c>
      <c r="D541" s="2" t="s">
        <v>2</v>
      </c>
      <c r="E541" s="2">
        <v>85</v>
      </c>
      <c r="F541" s="2">
        <v>10</v>
      </c>
      <c r="G541" s="2">
        <v>5</v>
      </c>
      <c r="H541" s="2">
        <v>880000</v>
      </c>
      <c r="I541" s="2">
        <v>245</v>
      </c>
      <c r="J541" s="2" t="s">
        <v>1654</v>
      </c>
      <c r="K541" s="2">
        <v>82</v>
      </c>
      <c r="L541" s="2">
        <v>25</v>
      </c>
      <c r="M541" s="2">
        <v>10</v>
      </c>
      <c r="N541" s="2">
        <v>10</v>
      </c>
      <c r="O541" s="2">
        <v>25</v>
      </c>
      <c r="P541" s="2">
        <v>12</v>
      </c>
      <c r="Q541" s="2"/>
      <c r="R541" s="2" t="s">
        <v>572</v>
      </c>
      <c r="S541" s="4">
        <v>44837</v>
      </c>
    </row>
    <row r="542" spans="1:19" ht="12.5" x14ac:dyDescent="0.25">
      <c r="A542" s="14" t="str">
        <f>HYPERLINK("https://gerandofalcoes.my.salesforce.com/0014P00003AN2h4QAD", "0014P00003AN2h4QAD")</f>
        <v>0014P00003AN2h4QAD</v>
      </c>
      <c r="B542" s="2" t="s">
        <v>1698</v>
      </c>
      <c r="C542" s="2" t="s">
        <v>423</v>
      </c>
      <c r="D542" s="2" t="s">
        <v>2</v>
      </c>
      <c r="E542" s="2">
        <v>78</v>
      </c>
      <c r="F542" s="2">
        <v>10</v>
      </c>
      <c r="G542" s="2">
        <v>6</v>
      </c>
      <c r="H542" s="2">
        <v>305700</v>
      </c>
      <c r="I542" s="2">
        <v>75</v>
      </c>
      <c r="J542" s="2" t="s">
        <v>1650</v>
      </c>
      <c r="K542" s="2">
        <v>70</v>
      </c>
      <c r="L542" s="2">
        <v>25</v>
      </c>
      <c r="M542" s="2">
        <v>10</v>
      </c>
      <c r="N542" s="2">
        <v>10</v>
      </c>
      <c r="O542" s="2">
        <v>20</v>
      </c>
      <c r="P542" s="2">
        <v>5</v>
      </c>
      <c r="Q542" s="2"/>
      <c r="R542" s="2" t="s">
        <v>595</v>
      </c>
      <c r="S542" s="4">
        <v>44837</v>
      </c>
    </row>
    <row r="543" spans="1:19" ht="12.5" x14ac:dyDescent="0.25">
      <c r="A543" s="14" t="str">
        <f>HYPERLINK("https://gerandofalcoes.my.salesforce.com/0014P00003AN2h5QAD", "0014P00003AN2h5QAD")</f>
        <v>0014P00003AN2h5QAD</v>
      </c>
      <c r="B543" s="2" t="s">
        <v>1660</v>
      </c>
      <c r="C543" s="2" t="s">
        <v>423</v>
      </c>
      <c r="D543" s="2" t="s">
        <v>27</v>
      </c>
      <c r="E543" s="2">
        <v>95</v>
      </c>
      <c r="F543" s="2">
        <v>25</v>
      </c>
      <c r="G543" s="2">
        <v>3</v>
      </c>
      <c r="H543" s="2">
        <v>1106859.57</v>
      </c>
      <c r="I543" s="2">
        <v>164</v>
      </c>
      <c r="J543" s="2" t="s">
        <v>1654</v>
      </c>
      <c r="K543" s="2">
        <v>87</v>
      </c>
      <c r="L543" s="2">
        <v>30</v>
      </c>
      <c r="M543" s="2">
        <v>12</v>
      </c>
      <c r="N543" s="2">
        <v>8</v>
      </c>
      <c r="O543" s="2">
        <v>25</v>
      </c>
      <c r="P543" s="2">
        <v>12</v>
      </c>
      <c r="Q543" s="2" t="s">
        <v>54</v>
      </c>
      <c r="R543" s="2" t="s">
        <v>54</v>
      </c>
      <c r="S543" s="4">
        <v>44837</v>
      </c>
    </row>
    <row r="544" spans="1:19" ht="12.5" x14ac:dyDescent="0.25">
      <c r="A544" s="14" t="str">
        <f>HYPERLINK("https://gerandofalcoes.my.salesforce.com/0014P00003AN2h6QAD", "0014P00003AN2h6QAD")</f>
        <v>0014P00003AN2h6QAD</v>
      </c>
      <c r="B544" s="2" t="s">
        <v>1649</v>
      </c>
      <c r="C544" s="2" t="s">
        <v>423</v>
      </c>
      <c r="D544" s="2" t="s">
        <v>27</v>
      </c>
      <c r="E544" s="2">
        <v>98</v>
      </c>
      <c r="F544" s="2">
        <v>13</v>
      </c>
      <c r="G544" s="2">
        <v>3</v>
      </c>
      <c r="H544" s="2">
        <v>245092.99</v>
      </c>
      <c r="I544" s="2">
        <v>182</v>
      </c>
      <c r="J544" s="2" t="s">
        <v>1650</v>
      </c>
      <c r="K544" s="2">
        <v>77</v>
      </c>
      <c r="L544" s="2">
        <v>30</v>
      </c>
      <c r="M544" s="2">
        <v>12</v>
      </c>
      <c r="N544" s="2">
        <v>8</v>
      </c>
      <c r="O544" s="2">
        <v>15</v>
      </c>
      <c r="P544" s="2">
        <v>12</v>
      </c>
      <c r="Q544" s="2" t="s">
        <v>1651</v>
      </c>
      <c r="R544" s="2" t="s">
        <v>1652</v>
      </c>
      <c r="S544" s="4">
        <v>44837</v>
      </c>
    </row>
    <row r="545" spans="1:19" ht="12.5" x14ac:dyDescent="0.25">
      <c r="A545" s="14" t="str">
        <f>HYPERLINK("https://gerandofalcoes.my.salesforce.com/0014P00003AN2h7QAD", "0014P00003AN2h7QAD")</f>
        <v>0014P00003AN2h7QAD</v>
      </c>
      <c r="B545" s="2" t="s">
        <v>2988</v>
      </c>
      <c r="C545" s="2" t="s">
        <v>1684</v>
      </c>
      <c r="D545" s="2" t="s">
        <v>2</v>
      </c>
      <c r="E545" s="2"/>
      <c r="F545" s="2">
        <v>0</v>
      </c>
      <c r="G545" s="2">
        <v>0</v>
      </c>
      <c r="H545" s="2">
        <v>0</v>
      </c>
      <c r="I545" s="2">
        <v>130</v>
      </c>
      <c r="J545" s="2" t="s">
        <v>1779</v>
      </c>
      <c r="K545" s="2">
        <v>10</v>
      </c>
      <c r="L545" s="2">
        <v>0</v>
      </c>
      <c r="M545" s="2">
        <v>0</v>
      </c>
      <c r="N545" s="2">
        <v>0</v>
      </c>
      <c r="O545" s="2">
        <v>0</v>
      </c>
      <c r="P545" s="2">
        <v>10</v>
      </c>
      <c r="Q545" s="2"/>
      <c r="R545" s="2" t="s">
        <v>602</v>
      </c>
      <c r="S545" s="4">
        <v>44837</v>
      </c>
    </row>
    <row r="546" spans="1:19" ht="12.5" x14ac:dyDescent="0.25">
      <c r="A546" s="14" t="str">
        <f>HYPERLINK("https://gerandofalcoes.my.salesforce.com/0014P00003AN6yVQAT", "0014P00003AN6yVQAT")</f>
        <v>0014P00003AN6yVQAT</v>
      </c>
      <c r="B546" s="2" t="s">
        <v>1798</v>
      </c>
      <c r="C546" s="2" t="s">
        <v>423</v>
      </c>
      <c r="D546" s="2" t="s">
        <v>2</v>
      </c>
      <c r="E546" s="2">
        <v>68</v>
      </c>
      <c r="F546" s="2">
        <v>0</v>
      </c>
      <c r="G546" s="2">
        <v>3</v>
      </c>
      <c r="H546" s="2">
        <v>25000</v>
      </c>
      <c r="I546" s="2">
        <v>120</v>
      </c>
      <c r="J546" s="2" t="s">
        <v>1671</v>
      </c>
      <c r="K546" s="2">
        <v>48</v>
      </c>
      <c r="L546" s="2">
        <v>20</v>
      </c>
      <c r="M546" s="2">
        <v>0</v>
      </c>
      <c r="N546" s="2">
        <v>8</v>
      </c>
      <c r="O546" s="2">
        <v>10</v>
      </c>
      <c r="P546" s="2">
        <v>10</v>
      </c>
      <c r="Q546" s="2"/>
      <c r="R546" s="2" t="s">
        <v>560</v>
      </c>
      <c r="S546" s="4">
        <v>44837</v>
      </c>
    </row>
    <row r="547" spans="1:19" ht="12.5" x14ac:dyDescent="0.25">
      <c r="A547" s="14" t="str">
        <f>HYPERLINK("https://gerandofalcoes.my.salesforce.com/0014P00003AN72DQAT", "0014P00003AN72DQAT")</f>
        <v>0014P00003AN72DQAT</v>
      </c>
      <c r="B547" s="2" t="s">
        <v>1722</v>
      </c>
      <c r="C547" s="2" t="s">
        <v>423</v>
      </c>
      <c r="D547" s="2" t="s">
        <v>2</v>
      </c>
      <c r="E547" s="2">
        <v>74</v>
      </c>
      <c r="F547" s="2">
        <v>35</v>
      </c>
      <c r="G547" s="2">
        <v>5</v>
      </c>
      <c r="H547" s="2">
        <v>1000000</v>
      </c>
      <c r="I547" s="2">
        <v>506</v>
      </c>
      <c r="J547" s="2" t="s">
        <v>1654</v>
      </c>
      <c r="K547" s="2">
        <v>90</v>
      </c>
      <c r="L547" s="2">
        <v>20</v>
      </c>
      <c r="M547" s="2">
        <v>15</v>
      </c>
      <c r="N547" s="2">
        <v>10</v>
      </c>
      <c r="O547" s="2">
        <v>25</v>
      </c>
      <c r="P547" s="2">
        <v>20</v>
      </c>
      <c r="Q547" s="2"/>
      <c r="R547" s="2" t="s">
        <v>565</v>
      </c>
      <c r="S547" s="4">
        <v>44837</v>
      </c>
    </row>
    <row r="548" spans="1:19" ht="12.5" x14ac:dyDescent="0.25">
      <c r="A548" s="14" t="str">
        <f>HYPERLINK("https://gerandofalcoes.my.salesforce.com/0014P00003AN76yQAD", "0014P00003AN76yQAD")</f>
        <v>0014P00003AN76yQAD</v>
      </c>
      <c r="B548" s="2" t="s">
        <v>49</v>
      </c>
      <c r="C548" s="2" t="s">
        <v>423</v>
      </c>
      <c r="D548" s="2" t="s">
        <v>27</v>
      </c>
      <c r="E548" s="2">
        <v>43</v>
      </c>
      <c r="F548" s="2">
        <v>6</v>
      </c>
      <c r="G548" s="2">
        <v>2</v>
      </c>
      <c r="H548" s="2">
        <v>80000</v>
      </c>
      <c r="I548" s="2">
        <v>80</v>
      </c>
      <c r="J548" s="2" t="s">
        <v>1671</v>
      </c>
      <c r="K548" s="2">
        <v>51</v>
      </c>
      <c r="L548" s="2">
        <v>15</v>
      </c>
      <c r="M548" s="2">
        <v>10</v>
      </c>
      <c r="N548" s="2">
        <v>6</v>
      </c>
      <c r="O548" s="2">
        <v>10</v>
      </c>
      <c r="P548" s="2">
        <v>10</v>
      </c>
      <c r="Q548" s="2" t="s">
        <v>537</v>
      </c>
      <c r="R548" s="2" t="s">
        <v>537</v>
      </c>
      <c r="S548" s="4">
        <v>44837</v>
      </c>
    </row>
    <row r="549" spans="1:19" ht="12.5" x14ac:dyDescent="0.25">
      <c r="A549" s="14" t="str">
        <f>HYPERLINK("https://gerandofalcoes.my.salesforce.com/0014P00003ERUfsQAH", "0014P00003ERUfsQAH")</f>
        <v>0014P00003ERUfsQAH</v>
      </c>
      <c r="B549" s="2" t="s">
        <v>1668</v>
      </c>
      <c r="C549" s="2" t="s">
        <v>423</v>
      </c>
      <c r="D549" s="2" t="s">
        <v>27</v>
      </c>
      <c r="E549" s="2">
        <v>91</v>
      </c>
      <c r="F549" s="2">
        <v>30</v>
      </c>
      <c r="G549" s="2">
        <v>4</v>
      </c>
      <c r="H549" s="2">
        <v>155230.70000000001</v>
      </c>
      <c r="I549" s="2">
        <v>782</v>
      </c>
      <c r="J549" s="2" t="s">
        <v>1654</v>
      </c>
      <c r="K549" s="2">
        <v>87</v>
      </c>
      <c r="L549" s="2">
        <v>30</v>
      </c>
      <c r="M549" s="2">
        <v>12</v>
      </c>
      <c r="N549" s="2">
        <v>10</v>
      </c>
      <c r="O549" s="2">
        <v>15</v>
      </c>
      <c r="P549" s="2">
        <v>20</v>
      </c>
      <c r="Q549" s="2" t="s">
        <v>73</v>
      </c>
      <c r="R549" s="2" t="s">
        <v>73</v>
      </c>
      <c r="S549" s="4">
        <v>44837</v>
      </c>
    </row>
    <row r="550" spans="1:19" ht="12.5" x14ac:dyDescent="0.25">
      <c r="A550" s="14" t="str">
        <f>HYPERLINK("https://gerandofalcoes.my.salesforce.com/0014P00003ERakHQAT", "0014P00003ERakHQAT")</f>
        <v>0014P00003ERakHQAT</v>
      </c>
      <c r="B550" s="2" t="s">
        <v>2983</v>
      </c>
      <c r="C550" s="2" t="s">
        <v>1684</v>
      </c>
      <c r="D550" s="2" t="s">
        <v>2</v>
      </c>
      <c r="E550" s="2"/>
      <c r="F550" s="2">
        <v>0</v>
      </c>
      <c r="G550" s="2">
        <v>0</v>
      </c>
      <c r="H550" s="2">
        <v>0</v>
      </c>
      <c r="I550" s="2">
        <v>300</v>
      </c>
      <c r="J550" s="2" t="s">
        <v>1779</v>
      </c>
      <c r="K550" s="2">
        <v>15</v>
      </c>
      <c r="L550" s="2">
        <v>0</v>
      </c>
      <c r="M550" s="2">
        <v>0</v>
      </c>
      <c r="N550" s="2">
        <v>0</v>
      </c>
      <c r="O550" s="2">
        <v>0</v>
      </c>
      <c r="P550" s="2">
        <v>15</v>
      </c>
      <c r="Q550" s="2"/>
      <c r="R550" s="2" t="s">
        <v>2984</v>
      </c>
      <c r="S550" s="4">
        <v>44837</v>
      </c>
    </row>
    <row r="551" spans="1:19" ht="12.5" x14ac:dyDescent="0.25">
      <c r="A551" s="14" t="str">
        <f>HYPERLINK("https://gerandofalcoes.my.salesforce.com/0014P00003ERavoQAD", "0014P00003ERavoQAD")</f>
        <v>0014P00003ERavoQAD</v>
      </c>
      <c r="B551" s="2" t="s">
        <v>77</v>
      </c>
      <c r="C551" s="2" t="s">
        <v>423</v>
      </c>
      <c r="D551" s="2" t="s">
        <v>27</v>
      </c>
      <c r="E551" s="2">
        <v>86</v>
      </c>
      <c r="F551" s="2">
        <v>5</v>
      </c>
      <c r="G551" s="2">
        <v>4</v>
      </c>
      <c r="H551" s="2">
        <v>275378.40000000002</v>
      </c>
      <c r="I551" s="2">
        <v>184</v>
      </c>
      <c r="J551" s="2" t="s">
        <v>1650</v>
      </c>
      <c r="K551" s="2">
        <v>67</v>
      </c>
      <c r="L551" s="2">
        <v>25</v>
      </c>
      <c r="M551" s="2">
        <v>5</v>
      </c>
      <c r="N551" s="2">
        <v>10</v>
      </c>
      <c r="O551" s="2">
        <v>15</v>
      </c>
      <c r="P551" s="2">
        <v>12</v>
      </c>
      <c r="Q551" s="2" t="s">
        <v>78</v>
      </c>
      <c r="R551" s="2" t="s">
        <v>78</v>
      </c>
      <c r="S551" s="4">
        <v>44837</v>
      </c>
    </row>
    <row r="552" spans="1:19" ht="12.5" x14ac:dyDescent="0.25">
      <c r="A552" s="14" t="str">
        <f>HYPERLINK("https://gerandofalcoes.my.salesforce.com/0014P00003MjNTIQA3", "0014P00003MjNTIQA3")</f>
        <v>0014P00003MjNTIQA3</v>
      </c>
      <c r="B552" s="2" t="s">
        <v>2976</v>
      </c>
      <c r="C552" s="2" t="s">
        <v>423</v>
      </c>
      <c r="D552" s="2" t="s">
        <v>66</v>
      </c>
      <c r="E552" s="2">
        <v>0</v>
      </c>
      <c r="F552" s="2">
        <v>10</v>
      </c>
      <c r="G552" s="2">
        <v>0</v>
      </c>
      <c r="H552" s="2">
        <v>0</v>
      </c>
      <c r="I552" s="2">
        <v>0</v>
      </c>
      <c r="J552" s="2" t="s">
        <v>1779</v>
      </c>
      <c r="K552" s="2">
        <v>10</v>
      </c>
      <c r="L552" s="2">
        <v>0</v>
      </c>
      <c r="M552" s="2">
        <v>10</v>
      </c>
      <c r="N552" s="2">
        <v>0</v>
      </c>
      <c r="O552" s="2">
        <v>0</v>
      </c>
      <c r="P552" s="2">
        <v>0</v>
      </c>
      <c r="Q552" s="2"/>
      <c r="R552" s="2" t="s">
        <v>862</v>
      </c>
      <c r="S552" s="4">
        <v>44837</v>
      </c>
    </row>
    <row r="553" spans="1:19" ht="12.5" x14ac:dyDescent="0.25">
      <c r="A553" s="14" t="str">
        <f>HYPERLINK("https://gerandofalcoes.my.salesforce.com/0014P00003MjOsqQAF", "0014P00003MjOsqQAF")</f>
        <v>0014P00003MjOsqQAF</v>
      </c>
      <c r="B553" s="2" t="s">
        <v>2977</v>
      </c>
      <c r="C553" s="2" t="s">
        <v>1684</v>
      </c>
      <c r="D553" s="2" t="s">
        <v>66</v>
      </c>
      <c r="E553" s="2">
        <v>0</v>
      </c>
      <c r="F553" s="2">
        <v>6</v>
      </c>
      <c r="G553" s="2">
        <v>1</v>
      </c>
      <c r="H553" s="2">
        <v>0</v>
      </c>
      <c r="I553" s="2">
        <v>0</v>
      </c>
      <c r="J553" s="2" t="s">
        <v>1779</v>
      </c>
      <c r="K553" s="2">
        <v>14</v>
      </c>
      <c r="L553" s="2">
        <v>0</v>
      </c>
      <c r="M553" s="2">
        <v>10</v>
      </c>
      <c r="N553" s="2">
        <v>4</v>
      </c>
      <c r="O553" s="2">
        <v>0</v>
      </c>
      <c r="P553" s="2">
        <v>0</v>
      </c>
      <c r="Q553" s="2" t="s">
        <v>71</v>
      </c>
      <c r="R553" s="2" t="s">
        <v>870</v>
      </c>
      <c r="S553" s="4">
        <v>44837</v>
      </c>
    </row>
    <row r="554" spans="1:19" ht="12.5" x14ac:dyDescent="0.25">
      <c r="A554" s="14" t="str">
        <f>HYPERLINK("https://gerandofalcoes.my.salesforce.com/0014P00003MjR9oQAF", "0014P00003MjR9oQAF")</f>
        <v>0014P00003MjR9oQAF</v>
      </c>
      <c r="B554" s="2" t="s">
        <v>2978</v>
      </c>
      <c r="C554" s="2" t="s">
        <v>423</v>
      </c>
      <c r="D554" s="2" t="s">
        <v>66</v>
      </c>
      <c r="E554" s="2">
        <v>0</v>
      </c>
      <c r="F554" s="2">
        <v>23</v>
      </c>
      <c r="G554" s="2">
        <v>1</v>
      </c>
      <c r="H554" s="2">
        <v>0</v>
      </c>
      <c r="I554" s="2">
        <v>0</v>
      </c>
      <c r="J554" s="2" t="s">
        <v>1779</v>
      </c>
      <c r="K554" s="2">
        <v>16</v>
      </c>
      <c r="L554" s="2">
        <v>0</v>
      </c>
      <c r="M554" s="2">
        <v>12</v>
      </c>
      <c r="N554" s="2">
        <v>4</v>
      </c>
      <c r="O554" s="2">
        <v>0</v>
      </c>
      <c r="P554" s="2">
        <v>0</v>
      </c>
      <c r="Q554" s="2" t="s">
        <v>67</v>
      </c>
      <c r="R554" s="2" t="s">
        <v>2979</v>
      </c>
      <c r="S554" s="4">
        <v>44837</v>
      </c>
    </row>
    <row r="555" spans="1:19" ht="12.5" x14ac:dyDescent="0.25">
      <c r="A555" s="14" t="str">
        <f>HYPERLINK("https://gerandofalcoes.my.salesforce.com/0014X00002VKCp5QAH", "0014X00002VKCp5QAH")</f>
        <v>0014X00002VKCp5QAH</v>
      </c>
      <c r="B555" s="2" t="s">
        <v>2289</v>
      </c>
      <c r="C555" s="2" t="s">
        <v>423</v>
      </c>
      <c r="D555" s="2" t="s">
        <v>2</v>
      </c>
      <c r="E555" s="2">
        <v>29</v>
      </c>
      <c r="F555" s="2">
        <v>0</v>
      </c>
      <c r="G555" s="2">
        <v>8</v>
      </c>
      <c r="H555" s="2">
        <v>52000</v>
      </c>
      <c r="I555" s="2">
        <v>250</v>
      </c>
      <c r="J555" s="2" t="s">
        <v>1671</v>
      </c>
      <c r="K555" s="2">
        <v>47</v>
      </c>
      <c r="L555" s="2">
        <v>15</v>
      </c>
      <c r="M555" s="2">
        <v>0</v>
      </c>
      <c r="N555" s="2">
        <v>10</v>
      </c>
      <c r="O555" s="2">
        <v>10</v>
      </c>
      <c r="P555" s="2">
        <v>12</v>
      </c>
      <c r="Q555" s="2" t="s">
        <v>2290</v>
      </c>
      <c r="R555" s="2" t="s">
        <v>2291</v>
      </c>
      <c r="S555" s="4">
        <v>44837</v>
      </c>
    </row>
    <row r="556" spans="1:19" ht="12.5" x14ac:dyDescent="0.25">
      <c r="A556" s="14" t="str">
        <f>HYPERLINK("https://gerandofalcoes.my.salesforce.com/0014X00002VKCqlQAH", "0014X00002VKCqlQAH")</f>
        <v>0014X00002VKCqlQAH</v>
      </c>
      <c r="B556" s="2" t="s">
        <v>1741</v>
      </c>
      <c r="C556" s="2" t="s">
        <v>423</v>
      </c>
      <c r="D556" s="2" t="s">
        <v>2</v>
      </c>
      <c r="E556" s="2">
        <v>71</v>
      </c>
      <c r="F556" s="2">
        <v>5</v>
      </c>
      <c r="G556" s="2">
        <v>5</v>
      </c>
      <c r="H556" s="2">
        <v>38000</v>
      </c>
      <c r="I556" s="2">
        <v>100</v>
      </c>
      <c r="J556" s="2" t="s">
        <v>1671</v>
      </c>
      <c r="K556" s="2">
        <v>55</v>
      </c>
      <c r="L556" s="2">
        <v>20</v>
      </c>
      <c r="M556" s="2">
        <v>5</v>
      </c>
      <c r="N556" s="2">
        <v>10</v>
      </c>
      <c r="O556" s="2">
        <v>10</v>
      </c>
      <c r="P556" s="2">
        <v>10</v>
      </c>
      <c r="Q556" s="2" t="s">
        <v>1742</v>
      </c>
      <c r="R556" s="2" t="s">
        <v>1743</v>
      </c>
      <c r="S556" s="4">
        <v>44837</v>
      </c>
    </row>
    <row r="557" spans="1:19" ht="12.5" x14ac:dyDescent="0.25">
      <c r="A557" s="14" t="str">
        <f>HYPERLINK("https://gerandofalcoes.my.salesforce.com/0014X00002VKCqaQAH", "0014X00002VKCqaQAH")</f>
        <v>0014X00002VKCqaQAH</v>
      </c>
      <c r="B557" s="2" t="s">
        <v>2277</v>
      </c>
      <c r="C557" s="2" t="s">
        <v>423</v>
      </c>
      <c r="D557" s="2" t="s">
        <v>2</v>
      </c>
      <c r="E557" s="2">
        <v>30</v>
      </c>
      <c r="F557" s="2">
        <v>0</v>
      </c>
      <c r="G557" s="2">
        <v>2</v>
      </c>
      <c r="H557" s="2">
        <v>0</v>
      </c>
      <c r="I557" s="2">
        <v>10</v>
      </c>
      <c r="J557" s="2" t="s">
        <v>1779</v>
      </c>
      <c r="K557" s="2">
        <v>26</v>
      </c>
      <c r="L557" s="2">
        <v>15</v>
      </c>
      <c r="M557" s="2">
        <v>0</v>
      </c>
      <c r="N557" s="2">
        <v>6</v>
      </c>
      <c r="O557" s="2">
        <v>0</v>
      </c>
      <c r="P557" s="2">
        <v>5</v>
      </c>
      <c r="Q557" s="2"/>
      <c r="R557" s="2" t="s">
        <v>2278</v>
      </c>
      <c r="S557" s="4">
        <v>44837</v>
      </c>
    </row>
    <row r="558" spans="1:19" ht="12.5" x14ac:dyDescent="0.25">
      <c r="A558" s="14" t="str">
        <f>HYPERLINK("https://gerandofalcoes.my.salesforce.com/0014X00002VKCqvQAH", "0014X00002VKCqvQAH")</f>
        <v>0014X00002VKCqvQAH</v>
      </c>
      <c r="B558" s="2" t="s">
        <v>2261</v>
      </c>
      <c r="C558" s="2" t="s">
        <v>423</v>
      </c>
      <c r="D558" s="2" t="s">
        <v>2</v>
      </c>
      <c r="E558" s="2">
        <v>30</v>
      </c>
      <c r="F558" s="2">
        <v>0</v>
      </c>
      <c r="G558" s="2">
        <v>3</v>
      </c>
      <c r="H558" s="2">
        <v>10000</v>
      </c>
      <c r="I558" s="2">
        <v>300</v>
      </c>
      <c r="J558" s="2" t="s">
        <v>1671</v>
      </c>
      <c r="K558" s="2">
        <v>43</v>
      </c>
      <c r="L558" s="2">
        <v>15</v>
      </c>
      <c r="M558" s="2">
        <v>0</v>
      </c>
      <c r="N558" s="2">
        <v>8</v>
      </c>
      <c r="O558" s="2">
        <v>5</v>
      </c>
      <c r="P558" s="2">
        <v>15</v>
      </c>
      <c r="Q558" s="2" t="s">
        <v>2262</v>
      </c>
      <c r="R558" s="2" t="s">
        <v>2263</v>
      </c>
      <c r="S558" s="4">
        <v>44837</v>
      </c>
    </row>
    <row r="559" spans="1:19" ht="12.5" x14ac:dyDescent="0.25">
      <c r="A559" s="14" t="str">
        <f>HYPERLINK("https://gerandofalcoes.my.salesforce.com/0014X00002VKCtpQAH", "0014X00002VKCtpQAH")</f>
        <v>0014X00002VKCtpQAH</v>
      </c>
      <c r="B559" s="2" t="s">
        <v>2616</v>
      </c>
      <c r="C559" s="2" t="s">
        <v>423</v>
      </c>
      <c r="D559" s="2" t="s">
        <v>2</v>
      </c>
      <c r="E559" s="2">
        <v>19</v>
      </c>
      <c r="F559" s="2">
        <v>0</v>
      </c>
      <c r="G559" s="2">
        <v>2</v>
      </c>
      <c r="H559" s="2">
        <v>0</v>
      </c>
      <c r="I559" s="2">
        <v>0</v>
      </c>
      <c r="J559" s="2" t="s">
        <v>1779</v>
      </c>
      <c r="K559" s="2">
        <v>16</v>
      </c>
      <c r="L559" s="2">
        <v>10</v>
      </c>
      <c r="M559" s="2">
        <v>0</v>
      </c>
      <c r="N559" s="2">
        <v>6</v>
      </c>
      <c r="O559" s="2">
        <v>0</v>
      </c>
      <c r="P559" s="2">
        <v>0</v>
      </c>
      <c r="Q559" s="2" t="s">
        <v>2617</v>
      </c>
      <c r="R559" s="2" t="s">
        <v>2618</v>
      </c>
      <c r="S559" s="4">
        <v>44837</v>
      </c>
    </row>
    <row r="560" spans="1:19" ht="12.5" x14ac:dyDescent="0.25">
      <c r="A560" s="14" t="str">
        <f>HYPERLINK("https://gerandofalcoes.my.salesforce.com/0014X00002VKCpkQAH", "0014X00002VKCpkQAH")</f>
        <v>0014X00002VKCpkQAH</v>
      </c>
      <c r="B560" s="2" t="s">
        <v>2096</v>
      </c>
      <c r="C560" s="2" t="s">
        <v>423</v>
      </c>
      <c r="D560" s="2" t="s">
        <v>2</v>
      </c>
      <c r="E560" s="2">
        <v>35</v>
      </c>
      <c r="F560" s="2">
        <v>15</v>
      </c>
      <c r="G560" s="2">
        <v>4</v>
      </c>
      <c r="H560" s="2">
        <v>78000</v>
      </c>
      <c r="I560" s="2">
        <v>240</v>
      </c>
      <c r="J560" s="2" t="s">
        <v>1671</v>
      </c>
      <c r="K560" s="2">
        <v>59</v>
      </c>
      <c r="L560" s="2">
        <v>15</v>
      </c>
      <c r="M560" s="2">
        <v>12</v>
      </c>
      <c r="N560" s="2">
        <v>10</v>
      </c>
      <c r="O560" s="2">
        <v>10</v>
      </c>
      <c r="P560" s="2">
        <v>12</v>
      </c>
      <c r="Q560" s="2" t="s">
        <v>2097</v>
      </c>
      <c r="R560" s="2" t="s">
        <v>2097</v>
      </c>
      <c r="S560" s="4">
        <v>44837</v>
      </c>
    </row>
    <row r="561" spans="1:19" ht="12.5" x14ac:dyDescent="0.25">
      <c r="A561" s="14" t="str">
        <f>HYPERLINK("https://gerandofalcoes.my.salesforce.com/0014X00002VKCs5QAH", "0014X00002VKCs5QAH")</f>
        <v>0014X00002VKCs5QAH</v>
      </c>
      <c r="B561" s="2" t="s">
        <v>2588</v>
      </c>
      <c r="C561" s="2" t="s">
        <v>423</v>
      </c>
      <c r="D561" s="2" t="s">
        <v>2</v>
      </c>
      <c r="E561" s="2">
        <v>42</v>
      </c>
      <c r="F561" s="2">
        <v>0</v>
      </c>
      <c r="G561" s="2">
        <v>2</v>
      </c>
      <c r="H561" s="2">
        <v>49600</v>
      </c>
      <c r="I561" s="2">
        <v>350</v>
      </c>
      <c r="J561" s="2" t="s">
        <v>1671</v>
      </c>
      <c r="K561" s="2">
        <v>46</v>
      </c>
      <c r="L561" s="2">
        <v>15</v>
      </c>
      <c r="M561" s="2">
        <v>0</v>
      </c>
      <c r="N561" s="2">
        <v>6</v>
      </c>
      <c r="O561" s="2">
        <v>10</v>
      </c>
      <c r="P561" s="2">
        <v>15</v>
      </c>
      <c r="Q561" s="2" t="s">
        <v>2589</v>
      </c>
      <c r="R561" s="2" t="s">
        <v>2590</v>
      </c>
      <c r="S561" s="4">
        <v>44837</v>
      </c>
    </row>
    <row r="562" spans="1:19" ht="12.5" x14ac:dyDescent="0.25">
      <c r="A562" s="14" t="str">
        <f>HYPERLINK("https://gerandofalcoes.my.salesforce.com/0014X00002VKCqjQAH", "0014X00002VKCqjQAH")</f>
        <v>0014X00002VKCqjQAH</v>
      </c>
      <c r="B562" s="2" t="s">
        <v>2683</v>
      </c>
      <c r="C562" s="2" t="s">
        <v>423</v>
      </c>
      <c r="D562" s="2" t="s">
        <v>2</v>
      </c>
      <c r="E562" s="2">
        <v>23</v>
      </c>
      <c r="F562" s="2">
        <v>0</v>
      </c>
      <c r="G562" s="2">
        <v>5</v>
      </c>
      <c r="H562" s="2">
        <v>9632</v>
      </c>
      <c r="I562" s="2">
        <v>200</v>
      </c>
      <c r="J562" s="2" t="s">
        <v>1779</v>
      </c>
      <c r="K562" s="2">
        <v>37</v>
      </c>
      <c r="L562" s="2">
        <v>10</v>
      </c>
      <c r="M562" s="2">
        <v>0</v>
      </c>
      <c r="N562" s="2">
        <v>10</v>
      </c>
      <c r="O562" s="2">
        <v>5</v>
      </c>
      <c r="P562" s="2">
        <v>12</v>
      </c>
      <c r="Q562" s="2" t="s">
        <v>2684</v>
      </c>
      <c r="R562" s="2" t="s">
        <v>2685</v>
      </c>
      <c r="S562" s="4">
        <v>44837</v>
      </c>
    </row>
    <row r="563" spans="1:19" ht="12.5" x14ac:dyDescent="0.25">
      <c r="A563" s="14" t="str">
        <f>HYPERLINK("https://gerandofalcoes.my.salesforce.com/0014X00002VKCqoQAH", "0014X00002VKCqoQAH")</f>
        <v>0014X00002VKCqoQAH</v>
      </c>
      <c r="B563" s="2" t="s">
        <v>2076</v>
      </c>
      <c r="C563" s="2" t="s">
        <v>423</v>
      </c>
      <c r="D563" s="2" t="s">
        <v>2</v>
      </c>
      <c r="E563" s="2">
        <v>36</v>
      </c>
      <c r="F563" s="2">
        <v>1</v>
      </c>
      <c r="G563" s="2">
        <v>7</v>
      </c>
      <c r="H563" s="2">
        <v>13800</v>
      </c>
      <c r="I563" s="2">
        <v>100</v>
      </c>
      <c r="J563" s="2" t="s">
        <v>1671</v>
      </c>
      <c r="K563" s="2">
        <v>45</v>
      </c>
      <c r="L563" s="2">
        <v>15</v>
      </c>
      <c r="M563" s="2">
        <v>5</v>
      </c>
      <c r="N563" s="2">
        <v>10</v>
      </c>
      <c r="O563" s="2">
        <v>5</v>
      </c>
      <c r="P563" s="2">
        <v>10</v>
      </c>
      <c r="Q563" s="2" t="s">
        <v>2077</v>
      </c>
      <c r="R563" s="2" t="s">
        <v>2077</v>
      </c>
      <c r="S563" s="4">
        <v>44837</v>
      </c>
    </row>
    <row r="564" spans="1:19" ht="12.5" x14ac:dyDescent="0.25">
      <c r="A564" s="14" t="str">
        <f>HYPERLINK("https://gerandofalcoes.my.salesforce.com/0014X00002VKCujQAH", "0014X00002VKCujQAH")</f>
        <v>0014X00002VKCujQAH</v>
      </c>
      <c r="B564" s="2" t="s">
        <v>1838</v>
      </c>
      <c r="C564" s="2" t="s">
        <v>423</v>
      </c>
      <c r="D564" s="2" t="s">
        <v>2</v>
      </c>
      <c r="E564" s="2">
        <v>74</v>
      </c>
      <c r="F564" s="2">
        <v>4</v>
      </c>
      <c r="G564" s="2">
        <v>4</v>
      </c>
      <c r="H564" s="2">
        <v>500000</v>
      </c>
      <c r="I564" s="2">
        <v>80</v>
      </c>
      <c r="J564" s="2" t="s">
        <v>1650</v>
      </c>
      <c r="K564" s="2">
        <v>65</v>
      </c>
      <c r="L564" s="2">
        <v>20</v>
      </c>
      <c r="M564" s="2">
        <v>5</v>
      </c>
      <c r="N564" s="2">
        <v>10</v>
      </c>
      <c r="O564" s="2">
        <v>20</v>
      </c>
      <c r="P564" s="2">
        <v>10</v>
      </c>
      <c r="Q564" s="2" t="s">
        <v>1839</v>
      </c>
      <c r="R564" s="2" t="s">
        <v>1840</v>
      </c>
      <c r="S564" s="4">
        <v>44837</v>
      </c>
    </row>
    <row r="565" spans="1:19" ht="12.5" x14ac:dyDescent="0.25">
      <c r="A565" s="14" t="str">
        <f>HYPERLINK("https://gerandofalcoes.my.salesforce.com/0014X00002VKCqOQAX", "0014X00002VKCqOQAX")</f>
        <v>0014X00002VKCqOQAX</v>
      </c>
      <c r="B565" s="2" t="s">
        <v>2521</v>
      </c>
      <c r="C565" s="2" t="s">
        <v>423</v>
      </c>
      <c r="D565" s="2" t="s">
        <v>2</v>
      </c>
      <c r="E565" s="2">
        <v>21</v>
      </c>
      <c r="F565" s="2">
        <v>2</v>
      </c>
      <c r="G565" s="2">
        <v>2</v>
      </c>
      <c r="H565" s="2">
        <v>0</v>
      </c>
      <c r="I565" s="2">
        <v>70</v>
      </c>
      <c r="J565" s="2" t="s">
        <v>1779</v>
      </c>
      <c r="K565" s="2">
        <v>26</v>
      </c>
      <c r="L565" s="2">
        <v>10</v>
      </c>
      <c r="M565" s="2">
        <v>5</v>
      </c>
      <c r="N565" s="2">
        <v>6</v>
      </c>
      <c r="O565" s="2">
        <v>0</v>
      </c>
      <c r="P565" s="2">
        <v>5</v>
      </c>
      <c r="Q565" s="2" t="s">
        <v>2522</v>
      </c>
      <c r="R565" s="2" t="s">
        <v>2522</v>
      </c>
      <c r="S565" s="4">
        <v>44837</v>
      </c>
    </row>
    <row r="566" spans="1:19" ht="12.5" x14ac:dyDescent="0.25">
      <c r="A566" s="14" t="str">
        <f>HYPERLINK("https://gerandofalcoes.my.salesforce.com/0014P00003Ck7X8QAJ", "0014P00003Ck7X8QAJ")</f>
        <v>0014P00003Ck7X8QAJ</v>
      </c>
      <c r="B566" s="2" t="s">
        <v>2809</v>
      </c>
      <c r="C566" s="2" t="s">
        <v>423</v>
      </c>
      <c r="D566" s="2" t="s">
        <v>2</v>
      </c>
      <c r="E566" s="2">
        <v>11</v>
      </c>
      <c r="F566" s="2">
        <v>0</v>
      </c>
      <c r="G566" s="2">
        <v>1</v>
      </c>
      <c r="H566" s="2">
        <v>300000</v>
      </c>
      <c r="I566" s="2">
        <v>50</v>
      </c>
      <c r="J566" s="2" t="s">
        <v>1779</v>
      </c>
      <c r="K566" s="2">
        <v>39</v>
      </c>
      <c r="L566" s="2">
        <v>10</v>
      </c>
      <c r="M566" s="2">
        <v>0</v>
      </c>
      <c r="N566" s="2">
        <v>4</v>
      </c>
      <c r="O566" s="2">
        <v>20</v>
      </c>
      <c r="P566" s="2">
        <v>5</v>
      </c>
      <c r="Q566" s="2"/>
      <c r="R566" s="2" t="s">
        <v>891</v>
      </c>
      <c r="S566" s="4">
        <v>44837</v>
      </c>
    </row>
    <row r="567" spans="1:19" ht="12.5" x14ac:dyDescent="0.25">
      <c r="A567" s="14" t="str">
        <f>HYPERLINK("https://gerandofalcoes.my.salesforce.com/0014X00002VKCuiQAH", "0014X00002VKCuiQAH")</f>
        <v>0014X00002VKCuiQAH</v>
      </c>
      <c r="B567" s="2" t="s">
        <v>1902</v>
      </c>
      <c r="C567" s="2" t="s">
        <v>423</v>
      </c>
      <c r="D567" s="2" t="s">
        <v>2</v>
      </c>
      <c r="E567" s="2">
        <v>51</v>
      </c>
      <c r="F567" s="2">
        <v>17</v>
      </c>
      <c r="G567" s="2">
        <v>4</v>
      </c>
      <c r="H567" s="2">
        <v>545789</v>
      </c>
      <c r="I567" s="2">
        <v>0</v>
      </c>
      <c r="J567" s="2" t="s">
        <v>1671</v>
      </c>
      <c r="K567" s="2">
        <v>62</v>
      </c>
      <c r="L567" s="2">
        <v>20</v>
      </c>
      <c r="M567" s="2">
        <v>12</v>
      </c>
      <c r="N567" s="2">
        <v>10</v>
      </c>
      <c r="O567" s="2">
        <v>20</v>
      </c>
      <c r="P567" s="2">
        <v>0</v>
      </c>
      <c r="Q567" s="2" t="s">
        <v>1903</v>
      </c>
      <c r="R567" s="2" t="s">
        <v>1904</v>
      </c>
      <c r="S567" s="4">
        <v>44837</v>
      </c>
    </row>
    <row r="568" spans="1:19" ht="12.5" x14ac:dyDescent="0.25">
      <c r="A568" s="14" t="str">
        <f>HYPERLINK("https://gerandofalcoes.my.salesforce.com/0014X00002VKCqJQAX", "0014X00002VKCqJQAX")</f>
        <v>0014X00002VKCqJQAX</v>
      </c>
      <c r="B568" s="2" t="s">
        <v>7178</v>
      </c>
      <c r="C568" s="2" t="s">
        <v>423</v>
      </c>
      <c r="D568" s="2" t="s">
        <v>2</v>
      </c>
      <c r="E568" s="2">
        <v>27</v>
      </c>
      <c r="F568" s="2">
        <v>0</v>
      </c>
      <c r="G568" s="2">
        <v>3</v>
      </c>
      <c r="H568" s="2">
        <v>1350</v>
      </c>
      <c r="I568" s="2">
        <v>120</v>
      </c>
      <c r="J568" s="2" t="s">
        <v>1779</v>
      </c>
      <c r="K568" s="2">
        <v>38</v>
      </c>
      <c r="L568" s="2">
        <v>15</v>
      </c>
      <c r="M568" s="2">
        <v>0</v>
      </c>
      <c r="N568" s="2">
        <v>8</v>
      </c>
      <c r="O568" s="2">
        <v>5</v>
      </c>
      <c r="P568" s="2">
        <v>10</v>
      </c>
      <c r="Q568" s="2" t="s">
        <v>2869</v>
      </c>
      <c r="R568" s="2" t="s">
        <v>2870</v>
      </c>
      <c r="S568" s="4">
        <v>44837</v>
      </c>
    </row>
    <row r="569" spans="1:19" ht="12.5" x14ac:dyDescent="0.25">
      <c r="A569" s="14" t="str">
        <f>HYPERLINK("https://gerandofalcoes.my.salesforce.com/0014X00002VKCu7QAH", "0014X00002VKCu7QAH")</f>
        <v>0014X00002VKCu7QAH</v>
      </c>
      <c r="B569" s="2" t="s">
        <v>2777</v>
      </c>
      <c r="C569" s="2" t="s">
        <v>423</v>
      </c>
      <c r="D569" s="2" t="s">
        <v>2</v>
      </c>
      <c r="E569" s="2">
        <v>20</v>
      </c>
      <c r="F569" s="2">
        <v>4</v>
      </c>
      <c r="G569" s="2">
        <v>5</v>
      </c>
      <c r="H569" s="2">
        <v>515000</v>
      </c>
      <c r="I569" s="2">
        <v>0</v>
      </c>
      <c r="J569" s="2" t="s">
        <v>1671</v>
      </c>
      <c r="K569" s="2">
        <v>45</v>
      </c>
      <c r="L569" s="2">
        <v>10</v>
      </c>
      <c r="M569" s="2">
        <v>5</v>
      </c>
      <c r="N569" s="2">
        <v>10</v>
      </c>
      <c r="O569" s="2">
        <v>20</v>
      </c>
      <c r="P569" s="2">
        <v>0</v>
      </c>
      <c r="Q569" s="2" t="s">
        <v>2778</v>
      </c>
      <c r="R569" s="2" t="s">
        <v>2779</v>
      </c>
      <c r="S569" s="4">
        <v>44837</v>
      </c>
    </row>
    <row r="570" spans="1:19" ht="12.5" x14ac:dyDescent="0.25">
      <c r="A570" s="14" t="str">
        <f>HYPERLINK("https://gerandofalcoes.my.salesforce.com/0014X00002VKCs0QAH", "0014X00002VKCs0QAH")</f>
        <v>0014X00002VKCs0QAH</v>
      </c>
      <c r="B570" s="2" t="s">
        <v>1918</v>
      </c>
      <c r="C570" s="2" t="s">
        <v>423</v>
      </c>
      <c r="D570" s="2" t="s">
        <v>2</v>
      </c>
      <c r="E570" s="2">
        <v>24</v>
      </c>
      <c r="F570" s="2">
        <v>0</v>
      </c>
      <c r="G570" s="2">
        <v>2</v>
      </c>
      <c r="H570" s="2">
        <v>10000</v>
      </c>
      <c r="I570" s="2">
        <v>220</v>
      </c>
      <c r="J570" s="2" t="s">
        <v>1779</v>
      </c>
      <c r="K570" s="2">
        <v>33</v>
      </c>
      <c r="L570" s="2">
        <v>10</v>
      </c>
      <c r="M570" s="2">
        <v>0</v>
      </c>
      <c r="N570" s="2">
        <v>6</v>
      </c>
      <c r="O570" s="2">
        <v>5</v>
      </c>
      <c r="P570" s="2">
        <v>12</v>
      </c>
      <c r="Q570" s="2" t="s">
        <v>1919</v>
      </c>
      <c r="R570" s="2" t="s">
        <v>1920</v>
      </c>
      <c r="S570" s="4">
        <v>44837</v>
      </c>
    </row>
    <row r="571" spans="1:19" ht="12.5" x14ac:dyDescent="0.25">
      <c r="A571" s="14" t="str">
        <f>HYPERLINK("https://gerandofalcoes.my.salesforce.com/0014X00002VKCq8QAH", "0014X00002VKCq8QAH")</f>
        <v>0014X00002VKCq8QAH</v>
      </c>
      <c r="B571" s="2" t="s">
        <v>7179</v>
      </c>
      <c r="C571" s="2" t="s">
        <v>423</v>
      </c>
      <c r="D571" s="2" t="s">
        <v>2</v>
      </c>
      <c r="E571" s="2">
        <v>15</v>
      </c>
      <c r="F571" s="2">
        <v>0</v>
      </c>
      <c r="G571" s="2">
        <v>3</v>
      </c>
      <c r="H571" s="2">
        <v>7000</v>
      </c>
      <c r="I571" s="2">
        <v>70</v>
      </c>
      <c r="J571" s="2" t="s">
        <v>1779</v>
      </c>
      <c r="K571" s="2">
        <v>28</v>
      </c>
      <c r="L571" s="2">
        <v>10</v>
      </c>
      <c r="M571" s="2">
        <v>0</v>
      </c>
      <c r="N571" s="2">
        <v>8</v>
      </c>
      <c r="O571" s="2">
        <v>5</v>
      </c>
      <c r="P571" s="2">
        <v>5</v>
      </c>
      <c r="Q571" s="2" t="s">
        <v>2722</v>
      </c>
      <c r="R571" s="2" t="s">
        <v>2723</v>
      </c>
      <c r="S571" s="4">
        <v>44837</v>
      </c>
    </row>
    <row r="572" spans="1:19" ht="12.5" x14ac:dyDescent="0.25">
      <c r="A572" s="14" t="str">
        <f>HYPERLINK("https://gerandofalcoes.my.salesforce.com/0014X00002VKCpuQAH", "0014X00002VKCpuQAH")</f>
        <v>0014X00002VKCpuQAH</v>
      </c>
      <c r="B572" s="2" t="s">
        <v>2387</v>
      </c>
      <c r="C572" s="2" t="s">
        <v>423</v>
      </c>
      <c r="D572" s="2" t="s">
        <v>2</v>
      </c>
      <c r="E572" s="2">
        <v>36</v>
      </c>
      <c r="F572" s="2">
        <v>0</v>
      </c>
      <c r="G572" s="2">
        <v>2</v>
      </c>
      <c r="H572" s="2">
        <v>0</v>
      </c>
      <c r="I572" s="2">
        <v>50</v>
      </c>
      <c r="J572" s="2" t="s">
        <v>1779</v>
      </c>
      <c r="K572" s="2">
        <v>26</v>
      </c>
      <c r="L572" s="2">
        <v>15</v>
      </c>
      <c r="M572" s="2">
        <v>0</v>
      </c>
      <c r="N572" s="2">
        <v>6</v>
      </c>
      <c r="O572" s="2">
        <v>0</v>
      </c>
      <c r="P572" s="2">
        <v>5</v>
      </c>
      <c r="Q572" s="2" t="s">
        <v>2388</v>
      </c>
      <c r="R572" s="2" t="s">
        <v>2389</v>
      </c>
      <c r="S572" s="4">
        <v>44837</v>
      </c>
    </row>
    <row r="573" spans="1:19" ht="12.5" x14ac:dyDescent="0.25">
      <c r="A573" s="14" t="str">
        <f>HYPERLINK("https://gerandofalcoes.my.salesforce.com/0014X00002VKCp1QAH", "0014X00002VKCp1QAH")</f>
        <v>0014X00002VKCp1QAH</v>
      </c>
      <c r="B573" s="2" t="s">
        <v>2223</v>
      </c>
      <c r="C573" s="2" t="s">
        <v>423</v>
      </c>
      <c r="D573" s="2" t="s">
        <v>2</v>
      </c>
      <c r="E573" s="2">
        <v>32</v>
      </c>
      <c r="F573" s="2">
        <v>5</v>
      </c>
      <c r="G573" s="2">
        <v>9</v>
      </c>
      <c r="H573" s="2">
        <v>12000</v>
      </c>
      <c r="I573" s="2">
        <v>60</v>
      </c>
      <c r="J573" s="2" t="s">
        <v>1671</v>
      </c>
      <c r="K573" s="2">
        <v>40</v>
      </c>
      <c r="L573" s="2">
        <v>15</v>
      </c>
      <c r="M573" s="2">
        <v>5</v>
      </c>
      <c r="N573" s="2">
        <v>10</v>
      </c>
      <c r="O573" s="2">
        <v>5</v>
      </c>
      <c r="P573" s="2">
        <v>5</v>
      </c>
      <c r="Q573" s="2" t="s">
        <v>2224</v>
      </c>
      <c r="R573" s="2" t="s">
        <v>2224</v>
      </c>
      <c r="S573" s="4">
        <v>44837</v>
      </c>
    </row>
    <row r="574" spans="1:19" ht="12.5" x14ac:dyDescent="0.25">
      <c r="A574" s="14" t="str">
        <f>HYPERLINK("https://gerandofalcoes.my.salesforce.com/0014X00002VKCtzQAH", "0014X00002VKCtzQAH")</f>
        <v>0014X00002VKCtzQAH</v>
      </c>
      <c r="B574" s="2" t="s">
        <v>2557</v>
      </c>
      <c r="C574" s="2" t="s">
        <v>423</v>
      </c>
      <c r="D574" s="2" t="s">
        <v>2</v>
      </c>
      <c r="E574" s="2">
        <v>20</v>
      </c>
      <c r="F574" s="2">
        <v>0</v>
      </c>
      <c r="G574" s="2">
        <v>2</v>
      </c>
      <c r="H574" s="2">
        <v>1200</v>
      </c>
      <c r="I574" s="2">
        <v>50</v>
      </c>
      <c r="J574" s="2" t="s">
        <v>1779</v>
      </c>
      <c r="K574" s="2">
        <v>26</v>
      </c>
      <c r="L574" s="2">
        <v>10</v>
      </c>
      <c r="M574" s="2">
        <v>0</v>
      </c>
      <c r="N574" s="2">
        <v>6</v>
      </c>
      <c r="O574" s="2">
        <v>5</v>
      </c>
      <c r="P574" s="2">
        <v>5</v>
      </c>
      <c r="Q574" s="2" t="s">
        <v>2558</v>
      </c>
      <c r="R574" s="2" t="s">
        <v>2558</v>
      </c>
      <c r="S574" s="4">
        <v>44837</v>
      </c>
    </row>
    <row r="575" spans="1:19" ht="12.5" x14ac:dyDescent="0.25">
      <c r="A575" s="14" t="str">
        <f>HYPERLINK("https://gerandofalcoes.my.salesforce.com/0014X00002VKCoyQAH", "0014X00002VKCoyQAH")</f>
        <v>0014X00002VKCoyQAH</v>
      </c>
      <c r="B575" s="2" t="s">
        <v>1935</v>
      </c>
      <c r="C575" s="2" t="s">
        <v>423</v>
      </c>
      <c r="D575" s="2" t="s">
        <v>2</v>
      </c>
      <c r="E575" s="2">
        <v>45</v>
      </c>
      <c r="F575" s="2">
        <v>1</v>
      </c>
      <c r="G575" s="2">
        <v>3</v>
      </c>
      <c r="H575" s="2">
        <v>36000</v>
      </c>
      <c r="I575" s="2">
        <v>198</v>
      </c>
      <c r="J575" s="2" t="s">
        <v>1671</v>
      </c>
      <c r="K575" s="2">
        <v>50</v>
      </c>
      <c r="L575" s="2">
        <v>15</v>
      </c>
      <c r="M575" s="2">
        <v>5</v>
      </c>
      <c r="N575" s="2">
        <v>8</v>
      </c>
      <c r="O575" s="2">
        <v>10</v>
      </c>
      <c r="P575" s="2">
        <v>12</v>
      </c>
      <c r="Q575" s="2" t="s">
        <v>1936</v>
      </c>
      <c r="R575" s="2" t="s">
        <v>1937</v>
      </c>
      <c r="S575" s="4">
        <v>44837</v>
      </c>
    </row>
    <row r="576" spans="1:19" ht="12.5" x14ac:dyDescent="0.25">
      <c r="A576" s="14" t="str">
        <f>HYPERLINK("https://gerandofalcoes.my.salesforce.com/0014X00002VKCs4QAH", "0014X00002VKCs4QAH")</f>
        <v>0014X00002VKCs4QAH</v>
      </c>
      <c r="B576" s="2" t="s">
        <v>2487</v>
      </c>
      <c r="C576" s="2" t="s">
        <v>423</v>
      </c>
      <c r="D576" s="2" t="s">
        <v>2</v>
      </c>
      <c r="E576" s="2">
        <v>22</v>
      </c>
      <c r="F576" s="2">
        <v>0</v>
      </c>
      <c r="G576" s="2">
        <v>2</v>
      </c>
      <c r="H576" s="2">
        <v>0</v>
      </c>
      <c r="I576" s="2">
        <v>10</v>
      </c>
      <c r="J576" s="2" t="s">
        <v>1779</v>
      </c>
      <c r="K576" s="2">
        <v>21</v>
      </c>
      <c r="L576" s="2">
        <v>10</v>
      </c>
      <c r="M576" s="2">
        <v>0</v>
      </c>
      <c r="N576" s="2">
        <v>6</v>
      </c>
      <c r="O576" s="2">
        <v>0</v>
      </c>
      <c r="P576" s="2">
        <v>5</v>
      </c>
      <c r="Q576" s="2" t="s">
        <v>2488</v>
      </c>
      <c r="R576" s="2" t="s">
        <v>2489</v>
      </c>
      <c r="S576" s="4">
        <v>44837</v>
      </c>
    </row>
    <row r="577" spans="1:19" ht="12.5" x14ac:dyDescent="0.25">
      <c r="A577" s="14" t="str">
        <f>HYPERLINK("https://gerandofalcoes.my.salesforce.com/0014X00002VKCpEQAX", "0014X00002VKCpEQAX")</f>
        <v>0014X00002VKCpEQAX</v>
      </c>
      <c r="B577" s="2" t="s">
        <v>2404</v>
      </c>
      <c r="C577" s="2" t="s">
        <v>423</v>
      </c>
      <c r="D577" s="2" t="s">
        <v>2</v>
      </c>
      <c r="E577" s="2">
        <v>25</v>
      </c>
      <c r="F577" s="2">
        <v>11</v>
      </c>
      <c r="G577" s="2">
        <v>5</v>
      </c>
      <c r="H577" s="2">
        <v>12000</v>
      </c>
      <c r="I577" s="2">
        <v>80</v>
      </c>
      <c r="J577" s="2" t="s">
        <v>1671</v>
      </c>
      <c r="K577" s="2">
        <v>52</v>
      </c>
      <c r="L577" s="2">
        <v>15</v>
      </c>
      <c r="M577" s="2">
        <v>12</v>
      </c>
      <c r="N577" s="2">
        <v>10</v>
      </c>
      <c r="O577" s="2">
        <v>5</v>
      </c>
      <c r="P577" s="2">
        <v>10</v>
      </c>
      <c r="Q577" s="2" t="s">
        <v>2405</v>
      </c>
      <c r="R577" s="2" t="s">
        <v>2406</v>
      </c>
      <c r="S577" s="4">
        <v>44837</v>
      </c>
    </row>
    <row r="578" spans="1:19" ht="12.5" x14ac:dyDescent="0.25">
      <c r="A578" s="14" t="str">
        <f>HYPERLINK("https://gerandofalcoes.my.salesforce.com/0014X00002VKCrKQAX", "0014X00002VKCrKQAX")</f>
        <v>0014X00002VKCrKQAX</v>
      </c>
      <c r="B578" s="2" t="s">
        <v>2562</v>
      </c>
      <c r="C578" s="2" t="s">
        <v>423</v>
      </c>
      <c r="D578" s="2" t="s">
        <v>2</v>
      </c>
      <c r="E578" s="2">
        <v>20</v>
      </c>
      <c r="F578" s="2">
        <v>7</v>
      </c>
      <c r="G578" s="2">
        <v>5</v>
      </c>
      <c r="H578" s="2">
        <v>2000</v>
      </c>
      <c r="I578" s="2">
        <v>20</v>
      </c>
      <c r="J578" s="2" t="s">
        <v>1671</v>
      </c>
      <c r="K578" s="2">
        <v>40</v>
      </c>
      <c r="L578" s="2">
        <v>10</v>
      </c>
      <c r="M578" s="2">
        <v>10</v>
      </c>
      <c r="N578" s="2">
        <v>10</v>
      </c>
      <c r="O578" s="2">
        <v>5</v>
      </c>
      <c r="P578" s="2">
        <v>5</v>
      </c>
      <c r="Q578" s="2" t="s">
        <v>2563</v>
      </c>
      <c r="R578" s="2" t="s">
        <v>2564</v>
      </c>
      <c r="S578" s="4">
        <v>44837</v>
      </c>
    </row>
    <row r="579" spans="1:19" ht="12.5" x14ac:dyDescent="0.25">
      <c r="A579" s="14" t="str">
        <f>HYPERLINK("https://gerandofalcoes.my.salesforce.com/0014X00002VKCt6QAH", "0014X00002VKCt6QAH")</f>
        <v>0014X00002VKCt6QAH</v>
      </c>
      <c r="B579" s="2" t="s">
        <v>2531</v>
      </c>
      <c r="C579" s="2" t="s">
        <v>423</v>
      </c>
      <c r="D579" s="2" t="s">
        <v>2</v>
      </c>
      <c r="E579" s="2">
        <v>21</v>
      </c>
      <c r="F579" s="2">
        <v>15</v>
      </c>
      <c r="G579" s="2">
        <v>3</v>
      </c>
      <c r="H579" s="2">
        <v>4500</v>
      </c>
      <c r="I579" s="2">
        <v>10</v>
      </c>
      <c r="J579" s="2" t="s">
        <v>1671</v>
      </c>
      <c r="K579" s="2">
        <v>40</v>
      </c>
      <c r="L579" s="2">
        <v>10</v>
      </c>
      <c r="M579" s="2">
        <v>12</v>
      </c>
      <c r="N579" s="2">
        <v>8</v>
      </c>
      <c r="O579" s="2">
        <v>5</v>
      </c>
      <c r="P579" s="2">
        <v>5</v>
      </c>
      <c r="Q579" s="2" t="s">
        <v>2532</v>
      </c>
      <c r="R579" s="2" t="s">
        <v>2533</v>
      </c>
      <c r="S579" s="4">
        <v>44837</v>
      </c>
    </row>
    <row r="580" spans="1:19" ht="12.5" x14ac:dyDescent="0.25">
      <c r="A580" s="14" t="str">
        <f>HYPERLINK("https://gerandofalcoes.my.salesforce.com/0014X00002VKCq6QAH", "0014X00002VKCq6QAH")</f>
        <v>0014X00002VKCq6QAH</v>
      </c>
      <c r="B580" s="2" t="s">
        <v>1773</v>
      </c>
      <c r="C580" s="2" t="s">
        <v>423</v>
      </c>
      <c r="D580" s="2" t="s">
        <v>2</v>
      </c>
      <c r="E580" s="2">
        <v>54</v>
      </c>
      <c r="F580" s="2">
        <v>0</v>
      </c>
      <c r="G580" s="2">
        <v>2</v>
      </c>
      <c r="H580" s="2">
        <v>102605</v>
      </c>
      <c r="I580" s="2">
        <v>115</v>
      </c>
      <c r="J580" s="2" t="s">
        <v>1671</v>
      </c>
      <c r="K580" s="2">
        <v>51</v>
      </c>
      <c r="L580" s="2">
        <v>20</v>
      </c>
      <c r="M580" s="2">
        <v>0</v>
      </c>
      <c r="N580" s="2">
        <v>6</v>
      </c>
      <c r="O580" s="2">
        <v>15</v>
      </c>
      <c r="P580" s="2">
        <v>10</v>
      </c>
      <c r="Q580" s="2" t="s">
        <v>1774</v>
      </c>
      <c r="R580" s="2" t="s">
        <v>1775</v>
      </c>
      <c r="S580" s="4">
        <v>44837</v>
      </c>
    </row>
    <row r="581" spans="1:19" ht="12.5" x14ac:dyDescent="0.25">
      <c r="A581" s="14" t="str">
        <f>HYPERLINK("https://gerandofalcoes.my.salesforce.com/0014X00002VKCqBQAX", "0014X00002VKCqBQAX")</f>
        <v>0014X00002VKCqBQAX</v>
      </c>
      <c r="B581" s="2" t="s">
        <v>1949</v>
      </c>
      <c r="C581" s="2" t="s">
        <v>423</v>
      </c>
      <c r="D581" s="2" t="s">
        <v>2</v>
      </c>
      <c r="E581" s="2">
        <v>41</v>
      </c>
      <c r="F581" s="2">
        <v>6</v>
      </c>
      <c r="G581" s="2">
        <v>3</v>
      </c>
      <c r="H581" s="2">
        <v>48000</v>
      </c>
      <c r="I581" s="2">
        <v>345</v>
      </c>
      <c r="J581" s="2" t="s">
        <v>1671</v>
      </c>
      <c r="K581" s="2">
        <v>58</v>
      </c>
      <c r="L581" s="2">
        <v>15</v>
      </c>
      <c r="M581" s="2">
        <v>10</v>
      </c>
      <c r="N581" s="2">
        <v>8</v>
      </c>
      <c r="O581" s="2">
        <v>10</v>
      </c>
      <c r="P581" s="2">
        <v>15</v>
      </c>
      <c r="Q581" s="2" t="s">
        <v>1950</v>
      </c>
      <c r="R581" s="2" t="s">
        <v>1951</v>
      </c>
      <c r="S581" s="4">
        <v>44837</v>
      </c>
    </row>
    <row r="582" spans="1:19" ht="12.5" x14ac:dyDescent="0.25">
      <c r="A582" s="14" t="str">
        <f>HYPERLINK("https://gerandofalcoes.my.salesforce.com/0014X00002VKCu2QAH", "0014X00002VKCu2QAH")</f>
        <v>0014X00002VKCu2QAH</v>
      </c>
      <c r="B582" s="2" t="s">
        <v>2810</v>
      </c>
      <c r="C582" s="2" t="s">
        <v>423</v>
      </c>
      <c r="D582" s="2" t="s">
        <v>2</v>
      </c>
      <c r="E582" s="2">
        <v>41</v>
      </c>
      <c r="F582" s="2">
        <v>0</v>
      </c>
      <c r="G582" s="2">
        <v>2</v>
      </c>
      <c r="H582" s="2">
        <v>3</v>
      </c>
      <c r="I582" s="2">
        <v>600</v>
      </c>
      <c r="J582" s="2" t="s">
        <v>1671</v>
      </c>
      <c r="K582" s="2">
        <v>46</v>
      </c>
      <c r="L582" s="2">
        <v>15</v>
      </c>
      <c r="M582" s="2">
        <v>0</v>
      </c>
      <c r="N582" s="2">
        <v>6</v>
      </c>
      <c r="O582" s="2">
        <v>5</v>
      </c>
      <c r="P582" s="2">
        <v>20</v>
      </c>
      <c r="Q582" s="2" t="s">
        <v>2811</v>
      </c>
      <c r="R582" s="2" t="s">
        <v>2812</v>
      </c>
      <c r="S582" s="4">
        <v>44837</v>
      </c>
    </row>
    <row r="583" spans="1:19" ht="12.5" x14ac:dyDescent="0.25">
      <c r="A583" s="14" t="str">
        <f>HYPERLINK("https://gerandofalcoes.my.salesforce.com/0014X00002VKCsCQAX", "0014X00002VKCsCQAX")</f>
        <v>0014X00002VKCsCQAX</v>
      </c>
      <c r="B583" s="2" t="s">
        <v>2826</v>
      </c>
      <c r="C583" s="2" t="s">
        <v>423</v>
      </c>
      <c r="D583" s="2" t="s">
        <v>2</v>
      </c>
      <c r="E583" s="2">
        <v>41</v>
      </c>
      <c r="F583" s="2">
        <v>0</v>
      </c>
      <c r="G583" s="2">
        <v>2</v>
      </c>
      <c r="H583" s="2">
        <v>250</v>
      </c>
      <c r="I583" s="2">
        <v>100</v>
      </c>
      <c r="J583" s="2" t="s">
        <v>1779</v>
      </c>
      <c r="K583" s="2">
        <v>36</v>
      </c>
      <c r="L583" s="2">
        <v>15</v>
      </c>
      <c r="M583" s="2">
        <v>0</v>
      </c>
      <c r="N583" s="2">
        <v>6</v>
      </c>
      <c r="O583" s="2">
        <v>5</v>
      </c>
      <c r="P583" s="2">
        <v>10</v>
      </c>
      <c r="Q583" s="2" t="s">
        <v>2827</v>
      </c>
      <c r="R583" s="2" t="s">
        <v>2827</v>
      </c>
      <c r="S583" s="4">
        <v>44837</v>
      </c>
    </row>
    <row r="584" spans="1:19" ht="12.5" x14ac:dyDescent="0.25">
      <c r="A584" s="14" t="str">
        <f>HYPERLINK("https://gerandofalcoes.my.salesforce.com/0014X00002VKCseQAH", "0014X00002VKCseQAH")</f>
        <v>0014X00002VKCseQAH</v>
      </c>
      <c r="B584" s="2" t="s">
        <v>2516</v>
      </c>
      <c r="C584" s="2" t="s">
        <v>423</v>
      </c>
      <c r="D584" s="2" t="s">
        <v>2</v>
      </c>
      <c r="E584" s="2">
        <v>21</v>
      </c>
      <c r="F584" s="2">
        <v>0</v>
      </c>
      <c r="G584" s="2">
        <v>4</v>
      </c>
      <c r="H584" s="2">
        <v>6000</v>
      </c>
      <c r="I584" s="2">
        <v>100</v>
      </c>
      <c r="J584" s="2" t="s">
        <v>1779</v>
      </c>
      <c r="K584" s="2">
        <v>35</v>
      </c>
      <c r="L584" s="2">
        <v>10</v>
      </c>
      <c r="M584" s="2">
        <v>0</v>
      </c>
      <c r="N584" s="2">
        <v>10</v>
      </c>
      <c r="O584" s="2">
        <v>5</v>
      </c>
      <c r="P584" s="2">
        <v>10</v>
      </c>
      <c r="Q584" s="2" t="s">
        <v>2517</v>
      </c>
      <c r="R584" s="2" t="s">
        <v>2517</v>
      </c>
      <c r="S584" s="4">
        <v>44837</v>
      </c>
    </row>
    <row r="585" spans="1:19" ht="12.5" x14ac:dyDescent="0.25">
      <c r="A585" s="14" t="str">
        <f>HYPERLINK("https://gerandofalcoes.my.salesforce.com/0014X00002VKCscQAH", "0014X00002VKCscQAH")</f>
        <v>0014X00002VKCscQAH</v>
      </c>
      <c r="B585" s="2" t="s">
        <v>2771</v>
      </c>
      <c r="C585" s="2" t="s">
        <v>423</v>
      </c>
      <c r="D585" s="2" t="s">
        <v>2</v>
      </c>
      <c r="E585" s="2">
        <v>38</v>
      </c>
      <c r="F585" s="2">
        <v>6</v>
      </c>
      <c r="G585" s="2">
        <v>2</v>
      </c>
      <c r="H585" s="2">
        <v>12</v>
      </c>
      <c r="I585" s="2">
        <v>238</v>
      </c>
      <c r="J585" s="2" t="s">
        <v>1671</v>
      </c>
      <c r="K585" s="2">
        <v>48</v>
      </c>
      <c r="L585" s="2">
        <v>15</v>
      </c>
      <c r="M585" s="2">
        <v>10</v>
      </c>
      <c r="N585" s="2">
        <v>6</v>
      </c>
      <c r="O585" s="2">
        <v>5</v>
      </c>
      <c r="P585" s="2">
        <v>12</v>
      </c>
      <c r="Q585" s="2" t="s">
        <v>2772</v>
      </c>
      <c r="R585" s="2" t="s">
        <v>2773</v>
      </c>
      <c r="S585" s="4">
        <v>44837</v>
      </c>
    </row>
    <row r="586" spans="1:19" ht="12.5" x14ac:dyDescent="0.25">
      <c r="A586" s="14" t="str">
        <f>HYPERLINK("https://gerandofalcoes.my.salesforce.com/0014X00002VKCt1QAH", "0014X00002VKCt1QAH")</f>
        <v>0014X00002VKCt1QAH</v>
      </c>
      <c r="B586" s="2" t="s">
        <v>2452</v>
      </c>
      <c r="C586" s="2" t="s">
        <v>423</v>
      </c>
      <c r="D586" s="2" t="s">
        <v>2</v>
      </c>
      <c r="E586" s="2">
        <v>57</v>
      </c>
      <c r="F586" s="2">
        <v>0</v>
      </c>
      <c r="G586" s="2">
        <v>4</v>
      </c>
      <c r="H586" s="2">
        <v>2000</v>
      </c>
      <c r="I586" s="2">
        <v>40</v>
      </c>
      <c r="J586" s="2" t="s">
        <v>1671</v>
      </c>
      <c r="K586" s="2">
        <v>40</v>
      </c>
      <c r="L586" s="2">
        <v>20</v>
      </c>
      <c r="M586" s="2">
        <v>0</v>
      </c>
      <c r="N586" s="2">
        <v>10</v>
      </c>
      <c r="O586" s="2">
        <v>5</v>
      </c>
      <c r="P586" s="2">
        <v>5</v>
      </c>
      <c r="Q586" s="2" t="s">
        <v>2453</v>
      </c>
      <c r="R586" s="2" t="s">
        <v>2453</v>
      </c>
      <c r="S586" s="4">
        <v>44837</v>
      </c>
    </row>
    <row r="587" spans="1:19" ht="12.5" x14ac:dyDescent="0.25">
      <c r="A587" s="14" t="str">
        <f>HYPERLINK("https://gerandofalcoes.my.salesforce.com/0014X00002VKCpyQAH", "0014X00002VKCpyQAH")</f>
        <v>0014X00002VKCpyQAH</v>
      </c>
      <c r="B587" s="2" t="s">
        <v>2340</v>
      </c>
      <c r="C587" s="2" t="s">
        <v>423</v>
      </c>
      <c r="D587" s="2" t="s">
        <v>2</v>
      </c>
      <c r="E587" s="2">
        <v>22</v>
      </c>
      <c r="F587" s="2">
        <v>0</v>
      </c>
      <c r="G587" s="2">
        <v>3</v>
      </c>
      <c r="H587" s="2">
        <v>12700</v>
      </c>
      <c r="I587" s="2">
        <v>156</v>
      </c>
      <c r="J587" s="2" t="s">
        <v>1779</v>
      </c>
      <c r="K587" s="2">
        <v>35</v>
      </c>
      <c r="L587" s="2">
        <v>10</v>
      </c>
      <c r="M587" s="2">
        <v>0</v>
      </c>
      <c r="N587" s="2">
        <v>8</v>
      </c>
      <c r="O587" s="2">
        <v>5</v>
      </c>
      <c r="P587" s="2">
        <v>12</v>
      </c>
      <c r="Q587" s="2" t="s">
        <v>2341</v>
      </c>
      <c r="R587" s="2" t="s">
        <v>2342</v>
      </c>
      <c r="S587" s="4">
        <v>44837</v>
      </c>
    </row>
    <row r="588" spans="1:19" ht="12.5" x14ac:dyDescent="0.25">
      <c r="A588" s="14" t="str">
        <f>HYPERLINK("https://gerandofalcoes.my.salesforce.com/0014X00002VKCstQAH", "0014X00002VKCstQAH")</f>
        <v>0014X00002VKCstQAH</v>
      </c>
      <c r="B588" s="2" t="s">
        <v>2259</v>
      </c>
      <c r="C588" s="2" t="s">
        <v>423</v>
      </c>
      <c r="D588" s="2" t="s">
        <v>2</v>
      </c>
      <c r="E588" s="2">
        <v>27</v>
      </c>
      <c r="F588" s="2">
        <v>2</v>
      </c>
      <c r="G588" s="2">
        <v>3</v>
      </c>
      <c r="H588" s="2">
        <v>3000</v>
      </c>
      <c r="I588" s="2">
        <v>162</v>
      </c>
      <c r="J588" s="2" t="s">
        <v>1671</v>
      </c>
      <c r="K588" s="2">
        <v>45</v>
      </c>
      <c r="L588" s="2">
        <v>15</v>
      </c>
      <c r="M588" s="2">
        <v>5</v>
      </c>
      <c r="N588" s="2">
        <v>8</v>
      </c>
      <c r="O588" s="2">
        <v>5</v>
      </c>
      <c r="P588" s="2">
        <v>12</v>
      </c>
      <c r="Q588" s="2" t="s">
        <v>2260</v>
      </c>
      <c r="R588" s="2" t="s">
        <v>2260</v>
      </c>
      <c r="S588" s="4">
        <v>44837</v>
      </c>
    </row>
    <row r="589" spans="1:19" ht="12.5" x14ac:dyDescent="0.25">
      <c r="A589" s="14" t="str">
        <f>HYPERLINK("https://gerandofalcoes.my.salesforce.com/0014X00002VKCqyQAH", "0014X00002VKCqyQAH")</f>
        <v>0014X00002VKCqyQAH</v>
      </c>
      <c r="B589" s="2" t="s">
        <v>7189</v>
      </c>
      <c r="C589" s="2" t="s">
        <v>423</v>
      </c>
      <c r="D589" s="2" t="s">
        <v>2</v>
      </c>
      <c r="E589" s="2">
        <v>40</v>
      </c>
      <c r="F589" s="2">
        <v>20</v>
      </c>
      <c r="G589" s="2">
        <v>3</v>
      </c>
      <c r="H589" s="2">
        <v>5000</v>
      </c>
      <c r="I589" s="2">
        <v>130</v>
      </c>
      <c r="J589" s="2" t="s">
        <v>1671</v>
      </c>
      <c r="K589" s="2">
        <v>50</v>
      </c>
      <c r="L589" s="2">
        <v>15</v>
      </c>
      <c r="M589" s="2">
        <v>12</v>
      </c>
      <c r="N589" s="2">
        <v>8</v>
      </c>
      <c r="O589" s="2">
        <v>5</v>
      </c>
      <c r="P589" s="2">
        <v>10</v>
      </c>
      <c r="Q589" s="2" t="s">
        <v>3808</v>
      </c>
      <c r="R589" s="2" t="s">
        <v>3809</v>
      </c>
      <c r="S589" s="4">
        <v>44837</v>
      </c>
    </row>
    <row r="590" spans="1:19" ht="12.5" x14ac:dyDescent="0.25">
      <c r="A590" s="14" t="str">
        <f>HYPERLINK("https://gerandofalcoes.my.salesforce.com/0014X00002bBlAJQA0", "0014X00002bBlAJQA0")</f>
        <v>0014X00002bBlAJQA0</v>
      </c>
      <c r="B590" s="2" t="s">
        <v>7211</v>
      </c>
      <c r="C590" s="2"/>
      <c r="D590" s="2" t="s">
        <v>2</v>
      </c>
      <c r="E590" s="2">
        <v>40</v>
      </c>
      <c r="F590" s="2">
        <v>10</v>
      </c>
      <c r="G590" s="2">
        <v>6</v>
      </c>
      <c r="H590" s="2">
        <v>90000</v>
      </c>
      <c r="I590" s="2">
        <v>110</v>
      </c>
      <c r="J590" s="2" t="s">
        <v>1671</v>
      </c>
      <c r="K590" s="2">
        <v>55</v>
      </c>
      <c r="L590" s="2">
        <v>15</v>
      </c>
      <c r="M590" s="2">
        <v>10</v>
      </c>
      <c r="N590" s="2">
        <v>10</v>
      </c>
      <c r="O590" s="2">
        <v>10</v>
      </c>
      <c r="P590" s="2">
        <v>10</v>
      </c>
      <c r="Q590" s="2"/>
      <c r="R590" s="2"/>
      <c r="S590" s="4">
        <v>44910</v>
      </c>
    </row>
    <row r="591" spans="1:19" ht="12.5" x14ac:dyDescent="0.25">
      <c r="A591" s="14" t="str">
        <f>HYPERLINK("https://gerandofalcoes.my.salesforce.com/0014P00003YSp7jQAD", "0014P00003YSp7jQAD")</f>
        <v>0014P00003YSp7jQAD</v>
      </c>
      <c r="B591" s="2" t="s">
        <v>3000</v>
      </c>
      <c r="C591" s="2" t="s">
        <v>1684</v>
      </c>
      <c r="D591" s="2" t="s">
        <v>2</v>
      </c>
      <c r="E591" s="2">
        <v>41</v>
      </c>
      <c r="F591" s="2">
        <v>12</v>
      </c>
      <c r="G591" s="2">
        <v>3</v>
      </c>
      <c r="H591" s="2">
        <v>200000</v>
      </c>
      <c r="I591" s="2">
        <v>0</v>
      </c>
      <c r="J591" s="2" t="s">
        <v>1671</v>
      </c>
      <c r="K591" s="2">
        <v>50</v>
      </c>
      <c r="L591" s="2">
        <v>15</v>
      </c>
      <c r="M591" s="2">
        <v>12</v>
      </c>
      <c r="N591" s="2">
        <v>8</v>
      </c>
      <c r="O591" s="2">
        <v>15</v>
      </c>
      <c r="P591" s="2">
        <v>0</v>
      </c>
      <c r="Q591" s="2" t="s">
        <v>3001</v>
      </c>
      <c r="R591" s="2"/>
      <c r="S591" s="4">
        <v>44911</v>
      </c>
    </row>
    <row r="592" spans="1:19" ht="12.5" x14ac:dyDescent="0.25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</sheetData>
  <pageMargins left="0.511811024" right="0.511811024" top="0.78740157499999996" bottom="0.78740157499999996" header="0.31496062000000002" footer="0.31496062000000002"/>
  <pageSetup paperSize="9" orientation="portrait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E1101"/>
  <sheetViews>
    <sheetView workbookViewId="0">
      <pane ySplit="1" topLeftCell="A2" activePane="bottomLeft" state="frozen"/>
      <selection pane="bottomLeft" activeCell="B3" sqref="B3"/>
    </sheetView>
  </sheetViews>
  <sheetFormatPr defaultColWidth="12.6328125" defaultRowHeight="15.75" customHeight="1" x14ac:dyDescent="0.25"/>
  <cols>
    <col min="1" max="1" width="20.81640625" customWidth="1"/>
    <col min="5" max="5" width="32" customWidth="1"/>
  </cols>
  <sheetData>
    <row r="1" spans="1:5" ht="15.75" customHeight="1" x14ac:dyDescent="0.35">
      <c r="A1" s="7" t="s">
        <v>1614</v>
      </c>
      <c r="B1" s="7" t="s">
        <v>1615</v>
      </c>
      <c r="C1" s="7" t="s">
        <v>1616</v>
      </c>
      <c r="D1" s="7" t="s">
        <v>1617</v>
      </c>
      <c r="E1" s="7" t="s">
        <v>1618</v>
      </c>
    </row>
    <row r="2" spans="1:5" ht="39" x14ac:dyDescent="0.3">
      <c r="A2" s="8">
        <v>44544.545153136569</v>
      </c>
      <c r="B2" s="9" t="s">
        <v>1619</v>
      </c>
      <c r="C2" s="10" t="s">
        <v>1620</v>
      </c>
      <c r="D2" s="11" t="s">
        <v>1621</v>
      </c>
      <c r="E2" s="9" t="s">
        <v>1622</v>
      </c>
    </row>
    <row r="3" spans="1:5" ht="39" x14ac:dyDescent="0.3">
      <c r="A3" s="8">
        <v>44544.545153136569</v>
      </c>
      <c r="B3" s="9" t="s">
        <v>1623</v>
      </c>
      <c r="C3" s="10" t="s">
        <v>1624</v>
      </c>
      <c r="D3" s="11" t="s">
        <v>1621</v>
      </c>
      <c r="E3" s="9" t="s">
        <v>1622</v>
      </c>
    </row>
    <row r="4" spans="1:5" ht="39" x14ac:dyDescent="0.3">
      <c r="A4" s="8">
        <v>44544.242727106481</v>
      </c>
      <c r="B4" s="9" t="s">
        <v>1619</v>
      </c>
      <c r="C4" s="10" t="s">
        <v>1620</v>
      </c>
      <c r="D4" s="11" t="s">
        <v>1621</v>
      </c>
      <c r="E4" s="9" t="s">
        <v>1622</v>
      </c>
    </row>
    <row r="5" spans="1:5" ht="39" x14ac:dyDescent="0.3">
      <c r="A5" s="8">
        <v>44544.242727106481</v>
      </c>
      <c r="B5" s="9" t="s">
        <v>1623</v>
      </c>
      <c r="C5" s="10" t="s">
        <v>1624</v>
      </c>
      <c r="D5" s="11" t="s">
        <v>1621</v>
      </c>
      <c r="E5" s="9" t="s">
        <v>1622</v>
      </c>
    </row>
    <row r="6" spans="1:5" ht="39" x14ac:dyDescent="0.3">
      <c r="A6" s="8">
        <v>44543.242716805558</v>
      </c>
      <c r="B6" s="9" t="s">
        <v>1619</v>
      </c>
      <c r="C6" s="10" t="s">
        <v>1620</v>
      </c>
      <c r="D6" s="11" t="s">
        <v>1621</v>
      </c>
      <c r="E6" s="9" t="s">
        <v>1622</v>
      </c>
    </row>
    <row r="7" spans="1:5" ht="39" x14ac:dyDescent="0.3">
      <c r="A7" s="8">
        <v>44543.242716805558</v>
      </c>
      <c r="B7" s="9" t="s">
        <v>1623</v>
      </c>
      <c r="C7" s="10" t="s">
        <v>1624</v>
      </c>
      <c r="D7" s="11" t="s">
        <v>1621</v>
      </c>
      <c r="E7" s="9" t="s">
        <v>1622</v>
      </c>
    </row>
    <row r="8" spans="1:5" ht="39" x14ac:dyDescent="0.3">
      <c r="A8" s="8">
        <v>44542.24271820602</v>
      </c>
      <c r="B8" s="9" t="s">
        <v>1619</v>
      </c>
      <c r="C8" s="10" t="s">
        <v>1620</v>
      </c>
      <c r="D8" s="11" t="s">
        <v>1621</v>
      </c>
      <c r="E8" s="9" t="s">
        <v>1622</v>
      </c>
    </row>
    <row r="9" spans="1:5" ht="39" x14ac:dyDescent="0.3">
      <c r="A9" s="8">
        <v>44542.24271820602</v>
      </c>
      <c r="B9" s="9" t="s">
        <v>1623</v>
      </c>
      <c r="C9" s="10" t="s">
        <v>1624</v>
      </c>
      <c r="D9" s="11" t="s">
        <v>1621</v>
      </c>
      <c r="E9" s="9" t="s">
        <v>1622</v>
      </c>
    </row>
    <row r="10" spans="1:5" ht="39" x14ac:dyDescent="0.3">
      <c r="A10" s="8">
        <v>44541.242719375005</v>
      </c>
      <c r="B10" s="9" t="s">
        <v>1619</v>
      </c>
      <c r="C10" s="10" t="s">
        <v>1620</v>
      </c>
      <c r="D10" s="11" t="s">
        <v>1621</v>
      </c>
      <c r="E10" s="9" t="s">
        <v>1622</v>
      </c>
    </row>
    <row r="11" spans="1:5" ht="39" x14ac:dyDescent="0.3">
      <c r="A11" s="8">
        <v>44541.242719375005</v>
      </c>
      <c r="B11" s="9" t="s">
        <v>1623</v>
      </c>
      <c r="C11" s="10" t="s">
        <v>1624</v>
      </c>
      <c r="D11" s="11" t="s">
        <v>1621</v>
      </c>
      <c r="E11" s="9" t="s">
        <v>1622</v>
      </c>
    </row>
    <row r="12" spans="1:5" ht="39" x14ac:dyDescent="0.3">
      <c r="A12" s="8">
        <v>44540.242718009264</v>
      </c>
      <c r="B12" s="9" t="s">
        <v>1619</v>
      </c>
      <c r="C12" s="10" t="s">
        <v>1620</v>
      </c>
      <c r="D12" s="11" t="s">
        <v>1621</v>
      </c>
      <c r="E12" s="9" t="s">
        <v>1622</v>
      </c>
    </row>
    <row r="13" spans="1:5" ht="39" x14ac:dyDescent="0.3">
      <c r="A13" s="8">
        <v>44540.242718009264</v>
      </c>
      <c r="B13" s="9" t="s">
        <v>1623</v>
      </c>
      <c r="C13" s="10" t="s">
        <v>1624</v>
      </c>
      <c r="D13" s="11" t="s">
        <v>1621</v>
      </c>
      <c r="E13" s="9" t="s">
        <v>1622</v>
      </c>
    </row>
    <row r="14" spans="1:5" ht="39" x14ac:dyDescent="0.3">
      <c r="A14" s="8">
        <v>44539.242718912035</v>
      </c>
      <c r="B14" s="9" t="s">
        <v>1619</v>
      </c>
      <c r="C14" s="10" t="s">
        <v>1620</v>
      </c>
      <c r="D14" s="11" t="s">
        <v>1621</v>
      </c>
      <c r="E14" s="9" t="s">
        <v>1622</v>
      </c>
    </row>
    <row r="15" spans="1:5" ht="39" x14ac:dyDescent="0.3">
      <c r="A15" s="8">
        <v>44539.242718912035</v>
      </c>
      <c r="B15" s="9" t="s">
        <v>1623</v>
      </c>
      <c r="C15" s="10" t="s">
        <v>1624</v>
      </c>
      <c r="D15" s="11" t="s">
        <v>1621</v>
      </c>
      <c r="E15" s="9" t="s">
        <v>1622</v>
      </c>
    </row>
    <row r="16" spans="1:5" ht="39" x14ac:dyDescent="0.3">
      <c r="A16" s="8">
        <v>44538.24271903935</v>
      </c>
      <c r="B16" s="9" t="s">
        <v>1619</v>
      </c>
      <c r="C16" s="10" t="s">
        <v>1620</v>
      </c>
      <c r="D16" s="11" t="s">
        <v>1621</v>
      </c>
      <c r="E16" s="9" t="s">
        <v>1622</v>
      </c>
    </row>
    <row r="17" spans="1:5" ht="39" x14ac:dyDescent="0.3">
      <c r="A17" s="8">
        <v>44538.24271903935</v>
      </c>
      <c r="B17" s="9" t="s">
        <v>1623</v>
      </c>
      <c r="C17" s="10" t="s">
        <v>1624</v>
      </c>
      <c r="D17" s="11" t="s">
        <v>1621</v>
      </c>
      <c r="E17" s="9" t="s">
        <v>1622</v>
      </c>
    </row>
    <row r="18" spans="1:5" ht="39" x14ac:dyDescent="0.3">
      <c r="A18" s="8">
        <v>44537.242720949071</v>
      </c>
      <c r="B18" s="9" t="s">
        <v>1619</v>
      </c>
      <c r="C18" s="10" t="s">
        <v>1620</v>
      </c>
      <c r="D18" s="11" t="s">
        <v>1621</v>
      </c>
      <c r="E18" s="9" t="s">
        <v>1622</v>
      </c>
    </row>
    <row r="19" spans="1:5" ht="39" x14ac:dyDescent="0.3">
      <c r="A19" s="8">
        <v>44537.242720949071</v>
      </c>
      <c r="B19" s="9" t="s">
        <v>1623</v>
      </c>
      <c r="C19" s="10" t="s">
        <v>1624</v>
      </c>
      <c r="D19" s="11" t="s">
        <v>1621</v>
      </c>
      <c r="E19" s="9" t="s">
        <v>1622</v>
      </c>
    </row>
    <row r="20" spans="1:5" ht="39" x14ac:dyDescent="0.3">
      <c r="A20" s="8">
        <v>44536.242718807873</v>
      </c>
      <c r="B20" s="9" t="s">
        <v>1619</v>
      </c>
      <c r="C20" s="10" t="s">
        <v>1620</v>
      </c>
      <c r="D20" s="11" t="s">
        <v>1621</v>
      </c>
      <c r="E20" s="9" t="s">
        <v>1622</v>
      </c>
    </row>
    <row r="21" spans="1:5" ht="39" x14ac:dyDescent="0.3">
      <c r="A21" s="8">
        <v>44536.242718807873</v>
      </c>
      <c r="B21" s="9" t="s">
        <v>1623</v>
      </c>
      <c r="C21" s="10" t="s">
        <v>1624</v>
      </c>
      <c r="D21" s="11" t="s">
        <v>1621</v>
      </c>
      <c r="E21" s="9" t="s">
        <v>1622</v>
      </c>
    </row>
    <row r="22" spans="1:5" ht="39" x14ac:dyDescent="0.3">
      <c r="A22" s="8">
        <v>44535.242724479162</v>
      </c>
      <c r="B22" s="9" t="s">
        <v>1619</v>
      </c>
      <c r="C22" s="10" t="s">
        <v>1620</v>
      </c>
      <c r="D22" s="11" t="s">
        <v>1621</v>
      </c>
      <c r="E22" s="9" t="s">
        <v>1622</v>
      </c>
    </row>
    <row r="23" spans="1:5" ht="39" x14ac:dyDescent="0.3">
      <c r="A23" s="8">
        <v>44535.242724479162</v>
      </c>
      <c r="B23" s="9" t="s">
        <v>1623</v>
      </c>
      <c r="C23" s="10" t="s">
        <v>1624</v>
      </c>
      <c r="D23" s="11" t="s">
        <v>1621</v>
      </c>
      <c r="E23" s="9" t="s">
        <v>1622</v>
      </c>
    </row>
    <row r="24" spans="1:5" ht="39" x14ac:dyDescent="0.3">
      <c r="A24" s="8">
        <v>44534.242726261575</v>
      </c>
      <c r="B24" s="9" t="s">
        <v>1619</v>
      </c>
      <c r="C24" s="10" t="s">
        <v>1620</v>
      </c>
      <c r="D24" s="11" t="s">
        <v>1621</v>
      </c>
      <c r="E24" s="9" t="s">
        <v>1622</v>
      </c>
    </row>
    <row r="25" spans="1:5" ht="39" x14ac:dyDescent="0.3">
      <c r="A25" s="8">
        <v>44534.242726261575</v>
      </c>
      <c r="B25" s="9" t="s">
        <v>1623</v>
      </c>
      <c r="C25" s="10" t="s">
        <v>1624</v>
      </c>
      <c r="D25" s="11" t="s">
        <v>1621</v>
      </c>
      <c r="E25" s="9" t="s">
        <v>1622</v>
      </c>
    </row>
    <row r="26" spans="1:5" ht="39" x14ac:dyDescent="0.3">
      <c r="A26" s="8">
        <v>44533.242717615736</v>
      </c>
      <c r="B26" s="9" t="s">
        <v>1619</v>
      </c>
      <c r="C26" s="10" t="s">
        <v>1620</v>
      </c>
      <c r="D26" s="11" t="s">
        <v>1621</v>
      </c>
      <c r="E26" s="9" t="s">
        <v>1622</v>
      </c>
    </row>
    <row r="27" spans="1:5" ht="39" x14ac:dyDescent="0.3">
      <c r="A27" s="8">
        <v>44533.242717615736</v>
      </c>
      <c r="B27" s="9" t="s">
        <v>1623</v>
      </c>
      <c r="C27" s="10" t="s">
        <v>1624</v>
      </c>
      <c r="D27" s="11" t="s">
        <v>1621</v>
      </c>
      <c r="E27" s="9" t="s">
        <v>1622</v>
      </c>
    </row>
    <row r="28" spans="1:5" ht="39" x14ac:dyDescent="0.3">
      <c r="A28" s="8">
        <v>44532.242717962959</v>
      </c>
      <c r="B28" s="9" t="s">
        <v>1619</v>
      </c>
      <c r="C28" s="10" t="s">
        <v>1620</v>
      </c>
      <c r="D28" s="11" t="s">
        <v>1621</v>
      </c>
      <c r="E28" s="9" t="s">
        <v>1622</v>
      </c>
    </row>
    <row r="29" spans="1:5" ht="39" x14ac:dyDescent="0.3">
      <c r="A29" s="8">
        <v>44532.242717962959</v>
      </c>
      <c r="B29" s="9" t="s">
        <v>1623</v>
      </c>
      <c r="C29" s="10" t="s">
        <v>1624</v>
      </c>
      <c r="D29" s="11" t="s">
        <v>1621</v>
      </c>
      <c r="E29" s="9" t="s">
        <v>1622</v>
      </c>
    </row>
    <row r="30" spans="1:5" ht="39" x14ac:dyDescent="0.3">
      <c r="A30" s="8">
        <v>44531.24271914352</v>
      </c>
      <c r="B30" s="9" t="s">
        <v>1619</v>
      </c>
      <c r="C30" s="10" t="s">
        <v>1620</v>
      </c>
      <c r="D30" s="11" t="s">
        <v>1621</v>
      </c>
      <c r="E30" s="9" t="s">
        <v>1622</v>
      </c>
    </row>
    <row r="31" spans="1:5" ht="39" x14ac:dyDescent="0.3">
      <c r="A31" s="8">
        <v>44531.24271914352</v>
      </c>
      <c r="B31" s="9" t="s">
        <v>1623</v>
      </c>
      <c r="C31" s="10" t="s">
        <v>1624</v>
      </c>
      <c r="D31" s="11" t="s">
        <v>1621</v>
      </c>
      <c r="E31" s="9" t="s">
        <v>1622</v>
      </c>
    </row>
    <row r="32" spans="1:5" ht="39" x14ac:dyDescent="0.3">
      <c r="A32" s="8">
        <v>44530.242717743051</v>
      </c>
      <c r="B32" s="9" t="s">
        <v>1619</v>
      </c>
      <c r="C32" s="10" t="s">
        <v>1620</v>
      </c>
      <c r="D32" s="11" t="s">
        <v>1621</v>
      </c>
      <c r="E32" s="9" t="s">
        <v>1622</v>
      </c>
    </row>
    <row r="33" spans="1:5" ht="39" x14ac:dyDescent="0.3">
      <c r="A33" s="8">
        <v>44530.242717743051</v>
      </c>
      <c r="B33" s="9" t="s">
        <v>1623</v>
      </c>
      <c r="C33" s="10" t="s">
        <v>1624</v>
      </c>
      <c r="D33" s="11" t="s">
        <v>1621</v>
      </c>
      <c r="E33" s="9" t="s">
        <v>1622</v>
      </c>
    </row>
    <row r="34" spans="1:5" ht="39" x14ac:dyDescent="0.3">
      <c r="A34" s="8">
        <v>44529.242718981477</v>
      </c>
      <c r="B34" s="9" t="s">
        <v>1619</v>
      </c>
      <c r="C34" s="10" t="s">
        <v>1620</v>
      </c>
      <c r="D34" s="11" t="s">
        <v>1621</v>
      </c>
      <c r="E34" s="9" t="s">
        <v>1622</v>
      </c>
    </row>
    <row r="35" spans="1:5" ht="39" x14ac:dyDescent="0.3">
      <c r="A35" s="8">
        <v>44529.242718981477</v>
      </c>
      <c r="B35" s="9" t="s">
        <v>1623</v>
      </c>
      <c r="C35" s="10" t="s">
        <v>1624</v>
      </c>
      <c r="D35" s="11" t="s">
        <v>1621</v>
      </c>
      <c r="E35" s="9" t="s">
        <v>1622</v>
      </c>
    </row>
    <row r="36" spans="1:5" ht="39" x14ac:dyDescent="0.3">
      <c r="A36" s="8">
        <v>44528.242718298614</v>
      </c>
      <c r="B36" s="9" t="s">
        <v>1619</v>
      </c>
      <c r="C36" s="10" t="s">
        <v>1620</v>
      </c>
      <c r="D36" s="11" t="s">
        <v>1621</v>
      </c>
      <c r="E36" s="9" t="s">
        <v>1622</v>
      </c>
    </row>
    <row r="37" spans="1:5" ht="39" x14ac:dyDescent="0.3">
      <c r="A37" s="8">
        <v>44528.242718298614</v>
      </c>
      <c r="B37" s="9" t="s">
        <v>1623</v>
      </c>
      <c r="C37" s="10" t="s">
        <v>1624</v>
      </c>
      <c r="D37" s="11" t="s">
        <v>1621</v>
      </c>
      <c r="E37" s="9" t="s">
        <v>1622</v>
      </c>
    </row>
    <row r="38" spans="1:5" ht="39" x14ac:dyDescent="0.3">
      <c r="A38" s="8">
        <v>44527.242718020832</v>
      </c>
      <c r="B38" s="9" t="s">
        <v>1619</v>
      </c>
      <c r="C38" s="10" t="s">
        <v>1620</v>
      </c>
      <c r="D38" s="11" t="s">
        <v>1621</v>
      </c>
      <c r="E38" s="9" t="s">
        <v>1622</v>
      </c>
    </row>
    <row r="39" spans="1:5" ht="39" x14ac:dyDescent="0.3">
      <c r="A39" s="8">
        <v>44527.242718020832</v>
      </c>
      <c r="B39" s="9" t="s">
        <v>1623</v>
      </c>
      <c r="C39" s="10" t="s">
        <v>1624</v>
      </c>
      <c r="D39" s="11" t="s">
        <v>1621</v>
      </c>
      <c r="E39" s="9" t="s">
        <v>1622</v>
      </c>
    </row>
    <row r="40" spans="1:5" ht="39" x14ac:dyDescent="0.3">
      <c r="A40" s="8">
        <v>44526.242725671298</v>
      </c>
      <c r="B40" s="9" t="s">
        <v>1619</v>
      </c>
      <c r="C40" s="10" t="s">
        <v>1620</v>
      </c>
      <c r="D40" s="11" t="s">
        <v>1621</v>
      </c>
      <c r="E40" s="9" t="s">
        <v>1622</v>
      </c>
    </row>
    <row r="41" spans="1:5" ht="39" x14ac:dyDescent="0.3">
      <c r="A41" s="8">
        <v>44526.242725671298</v>
      </c>
      <c r="B41" s="9" t="s">
        <v>1623</v>
      </c>
      <c r="C41" s="10" t="s">
        <v>1624</v>
      </c>
      <c r="D41" s="11" t="s">
        <v>1621</v>
      </c>
      <c r="E41" s="9" t="s">
        <v>1622</v>
      </c>
    </row>
    <row r="42" spans="1:5" ht="39" x14ac:dyDescent="0.3">
      <c r="A42" s="8">
        <v>44525.242715682871</v>
      </c>
      <c r="B42" s="9" t="s">
        <v>1619</v>
      </c>
      <c r="C42" s="10" t="s">
        <v>1620</v>
      </c>
      <c r="D42" s="11" t="s">
        <v>1621</v>
      </c>
      <c r="E42" s="9" t="s">
        <v>1622</v>
      </c>
    </row>
    <row r="43" spans="1:5" ht="39" x14ac:dyDescent="0.3">
      <c r="A43" s="8">
        <v>44525.242715682871</v>
      </c>
      <c r="B43" s="9" t="s">
        <v>1623</v>
      </c>
      <c r="C43" s="10" t="s">
        <v>1624</v>
      </c>
      <c r="D43" s="11" t="s">
        <v>1621</v>
      </c>
      <c r="E43" s="9" t="s">
        <v>1622</v>
      </c>
    </row>
    <row r="44" spans="1:5" ht="39" x14ac:dyDescent="0.3">
      <c r="A44" s="8">
        <v>44524.242717777779</v>
      </c>
      <c r="B44" s="9" t="s">
        <v>1619</v>
      </c>
      <c r="C44" s="10" t="s">
        <v>1620</v>
      </c>
      <c r="D44" s="11" t="s">
        <v>1621</v>
      </c>
      <c r="E44" s="9" t="s">
        <v>1622</v>
      </c>
    </row>
    <row r="45" spans="1:5" ht="39" x14ac:dyDescent="0.3">
      <c r="A45" s="8">
        <v>44524.242717777779</v>
      </c>
      <c r="B45" s="9" t="s">
        <v>1623</v>
      </c>
      <c r="C45" s="10" t="s">
        <v>1624</v>
      </c>
      <c r="D45" s="11" t="s">
        <v>1621</v>
      </c>
      <c r="E45" s="9" t="s">
        <v>1622</v>
      </c>
    </row>
    <row r="46" spans="1:5" ht="39" x14ac:dyDescent="0.3">
      <c r="A46" s="8">
        <v>44523.242717407411</v>
      </c>
      <c r="B46" s="9" t="s">
        <v>1619</v>
      </c>
      <c r="C46" s="10" t="s">
        <v>1620</v>
      </c>
      <c r="D46" s="11" t="s">
        <v>1621</v>
      </c>
      <c r="E46" s="9" t="s">
        <v>1622</v>
      </c>
    </row>
    <row r="47" spans="1:5" ht="39" x14ac:dyDescent="0.3">
      <c r="A47" s="8">
        <v>44523.242717407411</v>
      </c>
      <c r="B47" s="9" t="s">
        <v>1623</v>
      </c>
      <c r="C47" s="10" t="s">
        <v>1624</v>
      </c>
      <c r="D47" s="11" t="s">
        <v>1621</v>
      </c>
      <c r="E47" s="9" t="s">
        <v>1622</v>
      </c>
    </row>
    <row r="48" spans="1:5" ht="39" x14ac:dyDescent="0.3">
      <c r="A48" s="8">
        <v>44522.242717789355</v>
      </c>
      <c r="B48" s="9" t="s">
        <v>1619</v>
      </c>
      <c r="C48" s="10" t="s">
        <v>1620</v>
      </c>
      <c r="D48" s="11" t="s">
        <v>1621</v>
      </c>
      <c r="E48" s="9" t="s">
        <v>1622</v>
      </c>
    </row>
    <row r="49" spans="1:5" ht="39" x14ac:dyDescent="0.3">
      <c r="A49" s="8">
        <v>44522.242717789355</v>
      </c>
      <c r="B49" s="9" t="s">
        <v>1623</v>
      </c>
      <c r="C49" s="10" t="s">
        <v>1624</v>
      </c>
      <c r="D49" s="11" t="s">
        <v>1621</v>
      </c>
      <c r="E49" s="9" t="s">
        <v>1622</v>
      </c>
    </row>
    <row r="50" spans="1:5" ht="39" x14ac:dyDescent="0.3">
      <c r="A50" s="8">
        <v>44521.242716747685</v>
      </c>
      <c r="B50" s="9" t="s">
        <v>1619</v>
      </c>
      <c r="C50" s="10" t="s">
        <v>1620</v>
      </c>
      <c r="D50" s="11" t="s">
        <v>1621</v>
      </c>
      <c r="E50" s="9" t="s">
        <v>1622</v>
      </c>
    </row>
    <row r="51" spans="1:5" ht="39" x14ac:dyDescent="0.3">
      <c r="A51" s="8">
        <v>44521.242716747685</v>
      </c>
      <c r="B51" s="9" t="s">
        <v>1623</v>
      </c>
      <c r="C51" s="10" t="s">
        <v>1624</v>
      </c>
      <c r="D51" s="11" t="s">
        <v>1621</v>
      </c>
      <c r="E51" s="9" t="s">
        <v>1622</v>
      </c>
    </row>
    <row r="52" spans="1:5" ht="39" x14ac:dyDescent="0.3">
      <c r="A52" s="8">
        <v>44520.242717222223</v>
      </c>
      <c r="B52" s="9" t="s">
        <v>1619</v>
      </c>
      <c r="C52" s="10" t="s">
        <v>1620</v>
      </c>
      <c r="D52" s="11" t="s">
        <v>1621</v>
      </c>
      <c r="E52" s="9" t="s">
        <v>1622</v>
      </c>
    </row>
    <row r="53" spans="1:5" ht="39" x14ac:dyDescent="0.3">
      <c r="A53" s="8">
        <v>44520.242717222223</v>
      </c>
      <c r="B53" s="9" t="s">
        <v>1623</v>
      </c>
      <c r="C53" s="10" t="s">
        <v>1624</v>
      </c>
      <c r="D53" s="11" t="s">
        <v>1621</v>
      </c>
      <c r="E53" s="9" t="s">
        <v>1622</v>
      </c>
    </row>
    <row r="54" spans="1:5" ht="39" x14ac:dyDescent="0.3">
      <c r="A54" s="8">
        <v>44519.242717106477</v>
      </c>
      <c r="B54" s="9" t="s">
        <v>1619</v>
      </c>
      <c r="C54" s="10" t="s">
        <v>1620</v>
      </c>
      <c r="D54" s="11" t="s">
        <v>1621</v>
      </c>
      <c r="E54" s="9" t="s">
        <v>1622</v>
      </c>
    </row>
    <row r="55" spans="1:5" ht="39" x14ac:dyDescent="0.3">
      <c r="A55" s="8">
        <v>44519.242717106477</v>
      </c>
      <c r="B55" s="9" t="s">
        <v>1623</v>
      </c>
      <c r="C55" s="10" t="s">
        <v>1624</v>
      </c>
      <c r="D55" s="11" t="s">
        <v>1621</v>
      </c>
      <c r="E55" s="9" t="s">
        <v>1622</v>
      </c>
    </row>
    <row r="56" spans="1:5" ht="39" x14ac:dyDescent="0.3">
      <c r="A56" s="8">
        <v>44518.242716261579</v>
      </c>
      <c r="B56" s="9" t="s">
        <v>1619</v>
      </c>
      <c r="C56" s="10" t="s">
        <v>1620</v>
      </c>
      <c r="D56" s="11" t="s">
        <v>1621</v>
      </c>
      <c r="E56" s="9" t="s">
        <v>1622</v>
      </c>
    </row>
    <row r="57" spans="1:5" ht="39" x14ac:dyDescent="0.3">
      <c r="A57" s="8">
        <v>44518.242716261579</v>
      </c>
      <c r="B57" s="9" t="s">
        <v>1623</v>
      </c>
      <c r="C57" s="10" t="s">
        <v>1624</v>
      </c>
      <c r="D57" s="11" t="s">
        <v>1621</v>
      </c>
      <c r="E57" s="9" t="s">
        <v>1622</v>
      </c>
    </row>
    <row r="58" spans="1:5" ht="39" x14ac:dyDescent="0.3">
      <c r="A58" s="8">
        <v>44517.242717476853</v>
      </c>
      <c r="B58" s="9" t="s">
        <v>1619</v>
      </c>
      <c r="C58" s="10" t="s">
        <v>1620</v>
      </c>
      <c r="D58" s="11" t="s">
        <v>1621</v>
      </c>
      <c r="E58" s="9" t="s">
        <v>1622</v>
      </c>
    </row>
    <row r="59" spans="1:5" ht="39" x14ac:dyDescent="0.3">
      <c r="A59" s="8">
        <v>44517.242717476853</v>
      </c>
      <c r="B59" s="9" t="s">
        <v>1623</v>
      </c>
      <c r="C59" s="10" t="s">
        <v>1624</v>
      </c>
      <c r="D59" s="11" t="s">
        <v>1621</v>
      </c>
      <c r="E59" s="9" t="s">
        <v>1622</v>
      </c>
    </row>
    <row r="60" spans="1:5" ht="39" x14ac:dyDescent="0.3">
      <c r="A60" s="8">
        <v>44516.242719745365</v>
      </c>
      <c r="B60" s="9" t="s">
        <v>1619</v>
      </c>
      <c r="C60" s="10" t="s">
        <v>1620</v>
      </c>
      <c r="D60" s="11" t="s">
        <v>1621</v>
      </c>
      <c r="E60" s="9" t="s">
        <v>1622</v>
      </c>
    </row>
    <row r="61" spans="1:5" ht="39" x14ac:dyDescent="0.3">
      <c r="A61" s="8">
        <v>44516.242719745365</v>
      </c>
      <c r="B61" s="9" t="s">
        <v>1623</v>
      </c>
      <c r="C61" s="10" t="s">
        <v>1624</v>
      </c>
      <c r="D61" s="11" t="s">
        <v>1621</v>
      </c>
      <c r="E61" s="9" t="s">
        <v>1622</v>
      </c>
    </row>
    <row r="62" spans="1:5" ht="39" x14ac:dyDescent="0.3">
      <c r="A62" s="8">
        <v>44515.242716736117</v>
      </c>
      <c r="B62" s="9" t="s">
        <v>1619</v>
      </c>
      <c r="C62" s="10" t="s">
        <v>1620</v>
      </c>
      <c r="D62" s="11" t="s">
        <v>1621</v>
      </c>
      <c r="E62" s="9" t="s">
        <v>1622</v>
      </c>
    </row>
    <row r="63" spans="1:5" ht="39" x14ac:dyDescent="0.3">
      <c r="A63" s="8">
        <v>44515.242716736117</v>
      </c>
      <c r="B63" s="9" t="s">
        <v>1623</v>
      </c>
      <c r="C63" s="10" t="s">
        <v>1624</v>
      </c>
      <c r="D63" s="11" t="s">
        <v>1621</v>
      </c>
      <c r="E63" s="9" t="s">
        <v>1622</v>
      </c>
    </row>
    <row r="64" spans="1:5" ht="39" x14ac:dyDescent="0.3">
      <c r="A64" s="8">
        <v>44514.242719467591</v>
      </c>
      <c r="B64" s="9" t="s">
        <v>1619</v>
      </c>
      <c r="C64" s="10" t="s">
        <v>1620</v>
      </c>
      <c r="D64" s="11" t="s">
        <v>1621</v>
      </c>
      <c r="E64" s="9" t="s">
        <v>1622</v>
      </c>
    </row>
    <row r="65" spans="1:5" ht="39" x14ac:dyDescent="0.3">
      <c r="A65" s="8">
        <v>44514.242719467591</v>
      </c>
      <c r="B65" s="9" t="s">
        <v>1623</v>
      </c>
      <c r="C65" s="10" t="s">
        <v>1624</v>
      </c>
      <c r="D65" s="11" t="s">
        <v>1621</v>
      </c>
      <c r="E65" s="9" t="s">
        <v>1622</v>
      </c>
    </row>
    <row r="66" spans="1:5" ht="39" x14ac:dyDescent="0.3">
      <c r="A66" s="8">
        <v>44513.242718530091</v>
      </c>
      <c r="B66" s="9" t="s">
        <v>1619</v>
      </c>
      <c r="C66" s="10" t="s">
        <v>1620</v>
      </c>
      <c r="D66" s="11" t="s">
        <v>1621</v>
      </c>
      <c r="E66" s="9" t="s">
        <v>1622</v>
      </c>
    </row>
    <row r="67" spans="1:5" ht="39" x14ac:dyDescent="0.3">
      <c r="A67" s="8">
        <v>44513.242718530091</v>
      </c>
      <c r="B67" s="9" t="s">
        <v>1623</v>
      </c>
      <c r="C67" s="10" t="s">
        <v>1624</v>
      </c>
      <c r="D67" s="11" t="s">
        <v>1621</v>
      </c>
      <c r="E67" s="9" t="s">
        <v>1622</v>
      </c>
    </row>
    <row r="68" spans="1:5" ht="39" x14ac:dyDescent="0.3">
      <c r="A68" s="8">
        <v>44512.242718715279</v>
      </c>
      <c r="B68" s="9" t="s">
        <v>1619</v>
      </c>
      <c r="C68" s="10" t="s">
        <v>1620</v>
      </c>
      <c r="D68" s="11" t="s">
        <v>1621</v>
      </c>
      <c r="E68" s="9" t="s">
        <v>1622</v>
      </c>
    </row>
    <row r="69" spans="1:5" ht="39" x14ac:dyDescent="0.3">
      <c r="A69" s="8">
        <v>44512.242718715279</v>
      </c>
      <c r="B69" s="9" t="s">
        <v>1623</v>
      </c>
      <c r="C69" s="10" t="s">
        <v>1624</v>
      </c>
      <c r="D69" s="11" t="s">
        <v>1621</v>
      </c>
      <c r="E69" s="9" t="s">
        <v>1622</v>
      </c>
    </row>
    <row r="70" spans="1:5" ht="39" x14ac:dyDescent="0.3">
      <c r="A70" s="8">
        <v>44511.242717118061</v>
      </c>
      <c r="B70" s="9" t="s">
        <v>1619</v>
      </c>
      <c r="C70" s="10" t="s">
        <v>1620</v>
      </c>
      <c r="D70" s="11" t="s">
        <v>1621</v>
      </c>
      <c r="E70" s="9" t="s">
        <v>1622</v>
      </c>
    </row>
    <row r="71" spans="1:5" ht="39" x14ac:dyDescent="0.3">
      <c r="A71" s="8">
        <v>44511.242717118061</v>
      </c>
      <c r="B71" s="9" t="s">
        <v>1623</v>
      </c>
      <c r="C71" s="10" t="s">
        <v>1624</v>
      </c>
      <c r="D71" s="11" t="s">
        <v>1621</v>
      </c>
      <c r="E71" s="9" t="s">
        <v>1622</v>
      </c>
    </row>
    <row r="72" spans="1:5" ht="39" x14ac:dyDescent="0.3">
      <c r="A72" s="8">
        <v>44510.242717407411</v>
      </c>
      <c r="B72" s="9" t="s">
        <v>1619</v>
      </c>
      <c r="C72" s="10" t="s">
        <v>1620</v>
      </c>
      <c r="D72" s="11" t="s">
        <v>1621</v>
      </c>
      <c r="E72" s="9" t="s">
        <v>1622</v>
      </c>
    </row>
    <row r="73" spans="1:5" ht="39" x14ac:dyDescent="0.3">
      <c r="A73" s="8">
        <v>44510.242717407411</v>
      </c>
      <c r="B73" s="9" t="s">
        <v>1623</v>
      </c>
      <c r="C73" s="10" t="s">
        <v>1624</v>
      </c>
      <c r="D73" s="11" t="s">
        <v>1621</v>
      </c>
      <c r="E73" s="9" t="s">
        <v>1622</v>
      </c>
    </row>
    <row r="74" spans="1:5" ht="39" x14ac:dyDescent="0.3">
      <c r="A74" s="8">
        <v>44509.242719976857</v>
      </c>
      <c r="B74" s="9" t="s">
        <v>1619</v>
      </c>
      <c r="C74" s="10" t="s">
        <v>1620</v>
      </c>
      <c r="D74" s="11" t="s">
        <v>1621</v>
      </c>
      <c r="E74" s="9" t="s">
        <v>1622</v>
      </c>
    </row>
    <row r="75" spans="1:5" ht="39" x14ac:dyDescent="0.3">
      <c r="A75" s="8">
        <v>44509.242719976857</v>
      </c>
      <c r="B75" s="9" t="s">
        <v>1623</v>
      </c>
      <c r="C75" s="10" t="s">
        <v>1624</v>
      </c>
      <c r="D75" s="11" t="s">
        <v>1621</v>
      </c>
      <c r="E75" s="9" t="s">
        <v>1622</v>
      </c>
    </row>
    <row r="76" spans="1:5" ht="39" x14ac:dyDescent="0.3">
      <c r="A76" s="8">
        <v>44508.242718460649</v>
      </c>
      <c r="B76" s="9" t="s">
        <v>1619</v>
      </c>
      <c r="C76" s="10" t="s">
        <v>1620</v>
      </c>
      <c r="D76" s="11" t="s">
        <v>1621</v>
      </c>
      <c r="E76" s="9" t="s">
        <v>1622</v>
      </c>
    </row>
    <row r="77" spans="1:5" ht="39" x14ac:dyDescent="0.3">
      <c r="A77" s="8">
        <v>44508.242718460649</v>
      </c>
      <c r="B77" s="9" t="s">
        <v>1623</v>
      </c>
      <c r="C77" s="10" t="s">
        <v>1624</v>
      </c>
      <c r="D77" s="11" t="s">
        <v>1621</v>
      </c>
      <c r="E77" s="9" t="s">
        <v>1622</v>
      </c>
    </row>
    <row r="78" spans="1:5" ht="39" x14ac:dyDescent="0.3">
      <c r="A78" s="8">
        <v>44507.201050636577</v>
      </c>
      <c r="B78" s="9" t="s">
        <v>1619</v>
      </c>
      <c r="C78" s="10" t="s">
        <v>1620</v>
      </c>
      <c r="D78" s="11" t="s">
        <v>1621</v>
      </c>
      <c r="E78" s="9" t="s">
        <v>1622</v>
      </c>
    </row>
    <row r="79" spans="1:5" ht="39" x14ac:dyDescent="0.3">
      <c r="A79" s="8">
        <v>44507.201050636577</v>
      </c>
      <c r="B79" s="9" t="s">
        <v>1623</v>
      </c>
      <c r="C79" s="10" t="s">
        <v>1624</v>
      </c>
      <c r="D79" s="11" t="s">
        <v>1621</v>
      </c>
      <c r="E79" s="9" t="s">
        <v>1622</v>
      </c>
    </row>
    <row r="80" spans="1:5" ht="39" x14ac:dyDescent="0.3">
      <c r="A80" s="8">
        <v>44506.201050914351</v>
      </c>
      <c r="B80" s="9" t="s">
        <v>1619</v>
      </c>
      <c r="C80" s="10" t="s">
        <v>1620</v>
      </c>
      <c r="D80" s="11" t="s">
        <v>1621</v>
      </c>
      <c r="E80" s="9" t="s">
        <v>1622</v>
      </c>
    </row>
    <row r="81" spans="1:5" ht="39" x14ac:dyDescent="0.3">
      <c r="A81" s="8">
        <v>44506.201050914351</v>
      </c>
      <c r="B81" s="9" t="s">
        <v>1623</v>
      </c>
      <c r="C81" s="10" t="s">
        <v>1624</v>
      </c>
      <c r="D81" s="11" t="s">
        <v>1621</v>
      </c>
      <c r="E81" s="9" t="s">
        <v>1622</v>
      </c>
    </row>
    <row r="82" spans="1:5" ht="39" x14ac:dyDescent="0.3">
      <c r="A82" s="8">
        <v>44505.201050057869</v>
      </c>
      <c r="B82" s="9" t="s">
        <v>1619</v>
      </c>
      <c r="C82" s="10" t="s">
        <v>1620</v>
      </c>
      <c r="D82" s="11" t="s">
        <v>1621</v>
      </c>
      <c r="E82" s="9" t="s">
        <v>1622</v>
      </c>
    </row>
    <row r="83" spans="1:5" ht="39" x14ac:dyDescent="0.3">
      <c r="A83" s="8">
        <v>44505.201050057869</v>
      </c>
      <c r="B83" s="9" t="s">
        <v>1623</v>
      </c>
      <c r="C83" s="10" t="s">
        <v>1624</v>
      </c>
      <c r="D83" s="11" t="s">
        <v>1621</v>
      </c>
      <c r="E83" s="9" t="s">
        <v>1622</v>
      </c>
    </row>
    <row r="84" spans="1:5" ht="39" x14ac:dyDescent="0.3">
      <c r="A84" s="8">
        <v>44504.201052303237</v>
      </c>
      <c r="B84" s="9" t="s">
        <v>1619</v>
      </c>
      <c r="C84" s="10" t="s">
        <v>1620</v>
      </c>
      <c r="D84" s="11" t="s">
        <v>1621</v>
      </c>
      <c r="E84" s="9" t="s">
        <v>1622</v>
      </c>
    </row>
    <row r="85" spans="1:5" ht="39" x14ac:dyDescent="0.3">
      <c r="A85" s="8">
        <v>44504.201052303237</v>
      </c>
      <c r="B85" s="9" t="s">
        <v>1623</v>
      </c>
      <c r="C85" s="10" t="s">
        <v>1624</v>
      </c>
      <c r="D85" s="11" t="s">
        <v>1621</v>
      </c>
      <c r="E85" s="9" t="s">
        <v>1622</v>
      </c>
    </row>
    <row r="86" spans="1:5" ht="39" x14ac:dyDescent="0.3">
      <c r="A86" s="8">
        <v>44503.201049988427</v>
      </c>
      <c r="B86" s="9" t="s">
        <v>1619</v>
      </c>
      <c r="C86" s="10" t="s">
        <v>1620</v>
      </c>
      <c r="D86" s="11" t="s">
        <v>1621</v>
      </c>
      <c r="E86" s="9" t="s">
        <v>1622</v>
      </c>
    </row>
    <row r="87" spans="1:5" ht="39" x14ac:dyDescent="0.3">
      <c r="A87" s="8">
        <v>44503.201049988427</v>
      </c>
      <c r="B87" s="9" t="s">
        <v>1623</v>
      </c>
      <c r="C87" s="10" t="s">
        <v>1624</v>
      </c>
      <c r="D87" s="11" t="s">
        <v>1621</v>
      </c>
      <c r="E87" s="9" t="s">
        <v>1622</v>
      </c>
    </row>
    <row r="88" spans="1:5" ht="39" x14ac:dyDescent="0.3">
      <c r="A88" s="8">
        <v>44502.20105048611</v>
      </c>
      <c r="B88" s="9" t="s">
        <v>1619</v>
      </c>
      <c r="C88" s="10" t="s">
        <v>1620</v>
      </c>
      <c r="D88" s="11" t="s">
        <v>1621</v>
      </c>
      <c r="E88" s="9" t="s">
        <v>1622</v>
      </c>
    </row>
    <row r="89" spans="1:5" ht="39" x14ac:dyDescent="0.3">
      <c r="A89" s="8">
        <v>44502.20105048611</v>
      </c>
      <c r="B89" s="9" t="s">
        <v>1623</v>
      </c>
      <c r="C89" s="10" t="s">
        <v>1624</v>
      </c>
      <c r="D89" s="11" t="s">
        <v>1621</v>
      </c>
      <c r="E89" s="9" t="s">
        <v>1622</v>
      </c>
    </row>
    <row r="90" spans="1:5" ht="39" x14ac:dyDescent="0.3">
      <c r="A90" s="8">
        <v>44501.201050474541</v>
      </c>
      <c r="B90" s="9" t="s">
        <v>1619</v>
      </c>
      <c r="C90" s="10" t="s">
        <v>1620</v>
      </c>
      <c r="D90" s="11" t="s">
        <v>1621</v>
      </c>
      <c r="E90" s="9" t="s">
        <v>1622</v>
      </c>
    </row>
    <row r="91" spans="1:5" ht="39" x14ac:dyDescent="0.3">
      <c r="A91" s="8">
        <v>44501.201050474541</v>
      </c>
      <c r="B91" s="9" t="s">
        <v>1623</v>
      </c>
      <c r="C91" s="10" t="s">
        <v>1624</v>
      </c>
      <c r="D91" s="11" t="s">
        <v>1621</v>
      </c>
      <c r="E91" s="9" t="s">
        <v>1622</v>
      </c>
    </row>
    <row r="92" spans="1:5" ht="39" x14ac:dyDescent="0.3">
      <c r="A92" s="8">
        <v>44500.201049733798</v>
      </c>
      <c r="B92" s="9" t="s">
        <v>1619</v>
      </c>
      <c r="C92" s="10" t="s">
        <v>1620</v>
      </c>
      <c r="D92" s="11" t="s">
        <v>1621</v>
      </c>
      <c r="E92" s="9" t="s">
        <v>1622</v>
      </c>
    </row>
    <row r="93" spans="1:5" ht="39" x14ac:dyDescent="0.3">
      <c r="A93" s="8">
        <v>44500.201049733798</v>
      </c>
      <c r="B93" s="9" t="s">
        <v>1623</v>
      </c>
      <c r="C93" s="10" t="s">
        <v>1624</v>
      </c>
      <c r="D93" s="11" t="s">
        <v>1621</v>
      </c>
      <c r="E93" s="9" t="s">
        <v>1622</v>
      </c>
    </row>
    <row r="94" spans="1:5" ht="39" x14ac:dyDescent="0.3">
      <c r="A94" s="8">
        <v>44499.201049178242</v>
      </c>
      <c r="B94" s="9" t="s">
        <v>1619</v>
      </c>
      <c r="C94" s="10" t="s">
        <v>1620</v>
      </c>
      <c r="D94" s="11" t="s">
        <v>1621</v>
      </c>
      <c r="E94" s="9" t="s">
        <v>1622</v>
      </c>
    </row>
    <row r="95" spans="1:5" ht="39" x14ac:dyDescent="0.3">
      <c r="A95" s="8">
        <v>44499.201049178242</v>
      </c>
      <c r="B95" s="9" t="s">
        <v>1623</v>
      </c>
      <c r="C95" s="10" t="s">
        <v>1624</v>
      </c>
      <c r="D95" s="11" t="s">
        <v>1621</v>
      </c>
      <c r="E95" s="9" t="s">
        <v>1622</v>
      </c>
    </row>
    <row r="96" spans="1:5" ht="39" x14ac:dyDescent="0.3">
      <c r="A96" s="8">
        <v>44498.201053287034</v>
      </c>
      <c r="B96" s="9" t="s">
        <v>1619</v>
      </c>
      <c r="C96" s="10" t="s">
        <v>1620</v>
      </c>
      <c r="D96" s="11" t="s">
        <v>1621</v>
      </c>
      <c r="E96" s="9" t="s">
        <v>1622</v>
      </c>
    </row>
    <row r="97" spans="1:5" ht="39" x14ac:dyDescent="0.3">
      <c r="A97" s="8">
        <v>44498.201053287034</v>
      </c>
      <c r="B97" s="9" t="s">
        <v>1623</v>
      </c>
      <c r="C97" s="10" t="s">
        <v>1624</v>
      </c>
      <c r="D97" s="11" t="s">
        <v>1621</v>
      </c>
      <c r="E97" s="9" t="s">
        <v>1622</v>
      </c>
    </row>
    <row r="98" spans="1:5" ht="39" x14ac:dyDescent="0.3">
      <c r="A98" s="8">
        <v>44497.201051099539</v>
      </c>
      <c r="B98" s="9" t="s">
        <v>1619</v>
      </c>
      <c r="C98" s="10" t="s">
        <v>1620</v>
      </c>
      <c r="D98" s="11" t="s">
        <v>1621</v>
      </c>
      <c r="E98" s="9" t="s">
        <v>1622</v>
      </c>
    </row>
    <row r="99" spans="1:5" ht="39" x14ac:dyDescent="0.3">
      <c r="A99" s="8">
        <v>44497.201051099539</v>
      </c>
      <c r="B99" s="9" t="s">
        <v>1623</v>
      </c>
      <c r="C99" s="10" t="s">
        <v>1624</v>
      </c>
      <c r="D99" s="11" t="s">
        <v>1621</v>
      </c>
      <c r="E99" s="9" t="s">
        <v>1622</v>
      </c>
    </row>
    <row r="100" spans="1:5" ht="39" x14ac:dyDescent="0.3">
      <c r="A100" s="8">
        <v>44496.201051597222</v>
      </c>
      <c r="B100" s="9" t="s">
        <v>1619</v>
      </c>
      <c r="C100" s="10" t="s">
        <v>1620</v>
      </c>
      <c r="D100" s="11" t="s">
        <v>1621</v>
      </c>
      <c r="E100" s="9" t="s">
        <v>1622</v>
      </c>
    </row>
    <row r="101" spans="1:5" ht="39" x14ac:dyDescent="0.3">
      <c r="A101" s="8">
        <v>44496.201051597222</v>
      </c>
      <c r="B101" s="9" t="s">
        <v>1623</v>
      </c>
      <c r="C101" s="10" t="s">
        <v>1624</v>
      </c>
      <c r="D101" s="11" t="s">
        <v>1621</v>
      </c>
      <c r="E101" s="9" t="s">
        <v>1622</v>
      </c>
    </row>
    <row r="102" spans="1:5" ht="13" x14ac:dyDescent="0.3">
      <c r="A102" s="9"/>
      <c r="B102" s="9"/>
      <c r="C102" s="10"/>
      <c r="D102" s="9"/>
      <c r="E102" s="9"/>
    </row>
    <row r="103" spans="1:5" ht="13" x14ac:dyDescent="0.3">
      <c r="A103" s="9"/>
      <c r="B103" s="9"/>
      <c r="C103" s="10"/>
      <c r="D103" s="9"/>
      <c r="E103" s="9"/>
    </row>
    <row r="104" spans="1:5" ht="13" x14ac:dyDescent="0.3">
      <c r="A104" s="9"/>
      <c r="B104" s="9"/>
      <c r="C104" s="10"/>
      <c r="D104" s="9"/>
      <c r="E104" s="9"/>
    </row>
    <row r="105" spans="1:5" ht="13" x14ac:dyDescent="0.3">
      <c r="A105" s="9"/>
      <c r="B105" s="9"/>
      <c r="C105" s="10"/>
      <c r="D105" s="9"/>
      <c r="E105" s="9"/>
    </row>
    <row r="106" spans="1:5" ht="13" x14ac:dyDescent="0.3">
      <c r="A106" s="9"/>
      <c r="B106" s="9"/>
      <c r="C106" s="10"/>
      <c r="D106" s="9"/>
      <c r="E106" s="9"/>
    </row>
    <row r="107" spans="1:5" ht="13" x14ac:dyDescent="0.3">
      <c r="A107" s="9"/>
      <c r="B107" s="9"/>
      <c r="C107" s="10"/>
      <c r="D107" s="9"/>
      <c r="E107" s="9"/>
    </row>
    <row r="108" spans="1:5" ht="13" x14ac:dyDescent="0.3">
      <c r="A108" s="9"/>
      <c r="B108" s="9"/>
      <c r="C108" s="10"/>
      <c r="D108" s="9"/>
      <c r="E108" s="9"/>
    </row>
    <row r="109" spans="1:5" ht="13" x14ac:dyDescent="0.3">
      <c r="A109" s="9"/>
      <c r="B109" s="9"/>
      <c r="C109" s="10"/>
      <c r="D109" s="9"/>
      <c r="E109" s="9"/>
    </row>
    <row r="110" spans="1:5" ht="13" x14ac:dyDescent="0.3">
      <c r="A110" s="9"/>
      <c r="B110" s="9"/>
      <c r="C110" s="10"/>
      <c r="D110" s="9"/>
      <c r="E110" s="9"/>
    </row>
    <row r="111" spans="1:5" ht="13" x14ac:dyDescent="0.3">
      <c r="A111" s="9"/>
      <c r="B111" s="9"/>
      <c r="C111" s="10"/>
      <c r="D111" s="9"/>
      <c r="E111" s="9"/>
    </row>
    <row r="112" spans="1:5" ht="13" x14ac:dyDescent="0.3">
      <c r="A112" s="9"/>
      <c r="B112" s="9"/>
      <c r="C112" s="10"/>
      <c r="D112" s="9"/>
      <c r="E112" s="9"/>
    </row>
    <row r="113" spans="1:5" ht="13" x14ac:dyDescent="0.3">
      <c r="A113" s="9"/>
      <c r="B113" s="9"/>
      <c r="C113" s="10"/>
      <c r="D113" s="9"/>
      <c r="E113" s="9"/>
    </row>
    <row r="114" spans="1:5" ht="13" x14ac:dyDescent="0.3">
      <c r="A114" s="9"/>
      <c r="B114" s="9"/>
      <c r="C114" s="10"/>
      <c r="D114" s="9"/>
      <c r="E114" s="9"/>
    </row>
    <row r="115" spans="1:5" ht="13" x14ac:dyDescent="0.3">
      <c r="A115" s="9"/>
      <c r="B115" s="9"/>
      <c r="C115" s="10"/>
      <c r="D115" s="9"/>
      <c r="E115" s="9"/>
    </row>
    <row r="116" spans="1:5" ht="13" x14ac:dyDescent="0.3">
      <c r="A116" s="9"/>
      <c r="B116" s="9"/>
      <c r="C116" s="10"/>
      <c r="D116" s="9"/>
      <c r="E116" s="9"/>
    </row>
    <row r="117" spans="1:5" ht="13" x14ac:dyDescent="0.3">
      <c r="A117" s="9"/>
      <c r="B117" s="9"/>
      <c r="C117" s="10"/>
      <c r="D117" s="9"/>
      <c r="E117" s="9"/>
    </row>
    <row r="118" spans="1:5" ht="13" x14ac:dyDescent="0.3">
      <c r="A118" s="9"/>
      <c r="B118" s="9"/>
      <c r="C118" s="10"/>
      <c r="D118" s="9"/>
      <c r="E118" s="9"/>
    </row>
    <row r="119" spans="1:5" ht="13" x14ac:dyDescent="0.3">
      <c r="A119" s="9"/>
      <c r="B119" s="9"/>
      <c r="C119" s="10"/>
      <c r="D119" s="9"/>
      <c r="E119" s="9"/>
    </row>
    <row r="120" spans="1:5" ht="13" x14ac:dyDescent="0.3">
      <c r="A120" s="9"/>
      <c r="B120" s="9"/>
      <c r="C120" s="10"/>
      <c r="D120" s="9"/>
      <c r="E120" s="9"/>
    </row>
    <row r="121" spans="1:5" ht="13" x14ac:dyDescent="0.3">
      <c r="A121" s="9"/>
      <c r="B121" s="9"/>
      <c r="C121" s="10"/>
      <c r="D121" s="9"/>
      <c r="E121" s="9"/>
    </row>
    <row r="122" spans="1:5" ht="13" x14ac:dyDescent="0.3">
      <c r="A122" s="9"/>
      <c r="B122" s="9"/>
      <c r="C122" s="10"/>
      <c r="D122" s="9"/>
      <c r="E122" s="9"/>
    </row>
    <row r="123" spans="1:5" ht="13" x14ac:dyDescent="0.3">
      <c r="A123" s="9"/>
      <c r="B123" s="9"/>
      <c r="C123" s="10"/>
      <c r="D123" s="9"/>
      <c r="E123" s="9"/>
    </row>
    <row r="124" spans="1:5" ht="13" x14ac:dyDescent="0.3">
      <c r="A124" s="9"/>
      <c r="B124" s="9"/>
      <c r="C124" s="10"/>
      <c r="D124" s="9"/>
      <c r="E124" s="9"/>
    </row>
    <row r="125" spans="1:5" ht="13" x14ac:dyDescent="0.3">
      <c r="A125" s="9"/>
      <c r="B125" s="9"/>
      <c r="C125" s="10"/>
      <c r="D125" s="9"/>
      <c r="E125" s="9"/>
    </row>
    <row r="126" spans="1:5" ht="13" x14ac:dyDescent="0.3">
      <c r="A126" s="9"/>
      <c r="B126" s="9"/>
      <c r="C126" s="10"/>
      <c r="D126" s="9"/>
      <c r="E126" s="9"/>
    </row>
    <row r="127" spans="1:5" ht="13" x14ac:dyDescent="0.3">
      <c r="A127" s="9"/>
      <c r="B127" s="9"/>
      <c r="C127" s="10"/>
      <c r="D127" s="9"/>
      <c r="E127" s="9"/>
    </row>
    <row r="128" spans="1:5" ht="13" x14ac:dyDescent="0.3">
      <c r="A128" s="9"/>
      <c r="B128" s="9"/>
      <c r="C128" s="10"/>
      <c r="D128" s="9"/>
      <c r="E128" s="9"/>
    </row>
    <row r="129" spans="1:5" ht="13" x14ac:dyDescent="0.3">
      <c r="A129" s="9"/>
      <c r="B129" s="9"/>
      <c r="C129" s="10"/>
      <c r="D129" s="9"/>
      <c r="E129" s="9"/>
    </row>
    <row r="130" spans="1:5" ht="13" x14ac:dyDescent="0.3">
      <c r="A130" s="9"/>
      <c r="B130" s="9"/>
      <c r="C130" s="10"/>
      <c r="D130" s="9"/>
      <c r="E130" s="9"/>
    </row>
    <row r="131" spans="1:5" ht="13" x14ac:dyDescent="0.3">
      <c r="A131" s="9"/>
      <c r="B131" s="9"/>
      <c r="C131" s="10"/>
      <c r="D131" s="9"/>
      <c r="E131" s="9"/>
    </row>
    <row r="132" spans="1:5" ht="13" x14ac:dyDescent="0.3">
      <c r="A132" s="9"/>
      <c r="B132" s="9"/>
      <c r="C132" s="10"/>
      <c r="D132" s="9"/>
      <c r="E132" s="9"/>
    </row>
    <row r="133" spans="1:5" ht="13" x14ac:dyDescent="0.3">
      <c r="A133" s="9"/>
      <c r="B133" s="9"/>
      <c r="C133" s="10"/>
      <c r="D133" s="9"/>
      <c r="E133" s="9"/>
    </row>
    <row r="134" spans="1:5" ht="13" x14ac:dyDescent="0.3">
      <c r="A134" s="9"/>
      <c r="B134" s="9"/>
      <c r="C134" s="10"/>
      <c r="D134" s="9"/>
      <c r="E134" s="9"/>
    </row>
    <row r="135" spans="1:5" ht="13" x14ac:dyDescent="0.3">
      <c r="A135" s="9"/>
      <c r="B135" s="9"/>
      <c r="C135" s="10"/>
      <c r="D135" s="9"/>
      <c r="E135" s="9"/>
    </row>
    <row r="136" spans="1:5" ht="13" x14ac:dyDescent="0.3">
      <c r="A136" s="9"/>
      <c r="B136" s="9"/>
      <c r="C136" s="10"/>
      <c r="D136" s="9"/>
      <c r="E136" s="9"/>
    </row>
    <row r="137" spans="1:5" ht="13" x14ac:dyDescent="0.3">
      <c r="A137" s="9"/>
      <c r="B137" s="9"/>
      <c r="C137" s="10"/>
      <c r="D137" s="9"/>
      <c r="E137" s="9"/>
    </row>
    <row r="138" spans="1:5" ht="13" x14ac:dyDescent="0.3">
      <c r="A138" s="9"/>
      <c r="B138" s="9"/>
      <c r="C138" s="10"/>
      <c r="D138" s="9"/>
      <c r="E138" s="9"/>
    </row>
    <row r="139" spans="1:5" ht="13" x14ac:dyDescent="0.3">
      <c r="A139" s="9"/>
      <c r="B139" s="9"/>
      <c r="C139" s="10"/>
      <c r="D139" s="9"/>
      <c r="E139" s="9"/>
    </row>
    <row r="140" spans="1:5" ht="13" x14ac:dyDescent="0.3">
      <c r="A140" s="9"/>
      <c r="B140" s="9"/>
      <c r="C140" s="10"/>
      <c r="D140" s="9"/>
      <c r="E140" s="9"/>
    </row>
    <row r="141" spans="1:5" ht="13" x14ac:dyDescent="0.3">
      <c r="A141" s="9"/>
      <c r="B141" s="9"/>
      <c r="C141" s="10"/>
      <c r="D141" s="9"/>
      <c r="E141" s="9"/>
    </row>
    <row r="142" spans="1:5" ht="13" x14ac:dyDescent="0.3">
      <c r="A142" s="9"/>
      <c r="B142" s="9"/>
      <c r="C142" s="10"/>
      <c r="D142" s="9"/>
      <c r="E142" s="9"/>
    </row>
    <row r="143" spans="1:5" ht="13" x14ac:dyDescent="0.3">
      <c r="A143" s="9"/>
      <c r="B143" s="9"/>
      <c r="C143" s="10"/>
      <c r="D143" s="9"/>
      <c r="E143" s="9"/>
    </row>
    <row r="144" spans="1:5" ht="13" x14ac:dyDescent="0.3">
      <c r="A144" s="9"/>
      <c r="B144" s="9"/>
      <c r="C144" s="10"/>
      <c r="D144" s="9"/>
      <c r="E144" s="9"/>
    </row>
    <row r="145" spans="1:5" ht="13" x14ac:dyDescent="0.3">
      <c r="A145" s="9"/>
      <c r="B145" s="9"/>
      <c r="C145" s="10"/>
      <c r="D145" s="9"/>
      <c r="E145" s="9"/>
    </row>
    <row r="146" spans="1:5" ht="13" x14ac:dyDescent="0.3">
      <c r="A146" s="9"/>
      <c r="B146" s="9"/>
      <c r="C146" s="10"/>
      <c r="D146" s="9"/>
      <c r="E146" s="9"/>
    </row>
    <row r="147" spans="1:5" ht="13" x14ac:dyDescent="0.3">
      <c r="A147" s="9"/>
      <c r="B147" s="9"/>
      <c r="C147" s="10"/>
      <c r="D147" s="9"/>
      <c r="E147" s="9"/>
    </row>
    <row r="148" spans="1:5" ht="13" x14ac:dyDescent="0.3">
      <c r="A148" s="9"/>
      <c r="B148" s="9"/>
      <c r="C148" s="10"/>
      <c r="D148" s="9"/>
      <c r="E148" s="9"/>
    </row>
    <row r="149" spans="1:5" ht="13" x14ac:dyDescent="0.3">
      <c r="A149" s="9"/>
      <c r="B149" s="9"/>
      <c r="C149" s="10"/>
      <c r="D149" s="9"/>
      <c r="E149" s="9"/>
    </row>
    <row r="150" spans="1:5" ht="13" x14ac:dyDescent="0.3">
      <c r="A150" s="9"/>
      <c r="B150" s="9"/>
      <c r="C150" s="10"/>
      <c r="D150" s="9"/>
      <c r="E150" s="9"/>
    </row>
    <row r="151" spans="1:5" ht="13" x14ac:dyDescent="0.3">
      <c r="A151" s="9"/>
      <c r="B151" s="9"/>
      <c r="C151" s="10"/>
      <c r="D151" s="9"/>
      <c r="E151" s="9"/>
    </row>
    <row r="152" spans="1:5" ht="13" x14ac:dyDescent="0.3">
      <c r="A152" s="9"/>
      <c r="B152" s="9"/>
      <c r="C152" s="10"/>
      <c r="D152" s="9"/>
      <c r="E152" s="9"/>
    </row>
    <row r="153" spans="1:5" ht="13" x14ac:dyDescent="0.3">
      <c r="A153" s="9"/>
      <c r="B153" s="9"/>
      <c r="C153" s="10"/>
      <c r="D153" s="9"/>
      <c r="E153" s="9"/>
    </row>
    <row r="154" spans="1:5" ht="13" x14ac:dyDescent="0.3">
      <c r="A154" s="9"/>
      <c r="B154" s="9"/>
      <c r="C154" s="10"/>
      <c r="D154" s="9"/>
      <c r="E154" s="9"/>
    </row>
    <row r="155" spans="1:5" ht="13" x14ac:dyDescent="0.3">
      <c r="A155" s="9"/>
      <c r="B155" s="9"/>
      <c r="C155" s="10"/>
      <c r="D155" s="9"/>
      <c r="E155" s="9"/>
    </row>
    <row r="156" spans="1:5" ht="13" x14ac:dyDescent="0.3">
      <c r="A156" s="9"/>
      <c r="B156" s="9"/>
      <c r="C156" s="10"/>
      <c r="D156" s="9"/>
      <c r="E156" s="9"/>
    </row>
    <row r="157" spans="1:5" ht="13" x14ac:dyDescent="0.3">
      <c r="A157" s="9"/>
      <c r="B157" s="9"/>
      <c r="C157" s="10"/>
      <c r="D157" s="9"/>
      <c r="E157" s="9"/>
    </row>
    <row r="158" spans="1:5" ht="13" x14ac:dyDescent="0.3">
      <c r="A158" s="9"/>
      <c r="B158" s="9"/>
      <c r="C158" s="10"/>
      <c r="D158" s="9"/>
      <c r="E158" s="9"/>
    </row>
    <row r="159" spans="1:5" ht="13" x14ac:dyDescent="0.3">
      <c r="A159" s="9"/>
      <c r="B159" s="9"/>
      <c r="C159" s="10"/>
      <c r="D159" s="9"/>
      <c r="E159" s="9"/>
    </row>
    <row r="160" spans="1:5" ht="13" x14ac:dyDescent="0.3">
      <c r="A160" s="9"/>
      <c r="B160" s="9"/>
      <c r="C160" s="10"/>
      <c r="D160" s="9"/>
      <c r="E160" s="9"/>
    </row>
    <row r="161" spans="1:5" ht="13" x14ac:dyDescent="0.3">
      <c r="A161" s="9"/>
      <c r="B161" s="9"/>
      <c r="C161" s="10"/>
      <c r="D161" s="9"/>
      <c r="E161" s="9"/>
    </row>
    <row r="162" spans="1:5" ht="13" x14ac:dyDescent="0.3">
      <c r="A162" s="9"/>
      <c r="B162" s="9"/>
      <c r="C162" s="10"/>
      <c r="D162" s="9"/>
      <c r="E162" s="9"/>
    </row>
    <row r="163" spans="1:5" ht="13" x14ac:dyDescent="0.3">
      <c r="A163" s="9"/>
      <c r="B163" s="9"/>
      <c r="C163" s="10"/>
      <c r="D163" s="9"/>
      <c r="E163" s="9"/>
    </row>
    <row r="164" spans="1:5" ht="13" x14ac:dyDescent="0.3">
      <c r="A164" s="9"/>
      <c r="B164" s="9"/>
      <c r="C164" s="10"/>
      <c r="D164" s="9"/>
      <c r="E164" s="9"/>
    </row>
    <row r="165" spans="1:5" ht="13" x14ac:dyDescent="0.3">
      <c r="A165" s="9"/>
      <c r="B165" s="9"/>
      <c r="C165" s="10"/>
      <c r="D165" s="9"/>
      <c r="E165" s="9"/>
    </row>
    <row r="166" spans="1:5" ht="13" x14ac:dyDescent="0.3">
      <c r="A166" s="9"/>
      <c r="B166" s="9"/>
      <c r="C166" s="10"/>
      <c r="D166" s="9"/>
      <c r="E166" s="9"/>
    </row>
    <row r="167" spans="1:5" ht="13" x14ac:dyDescent="0.3">
      <c r="A167" s="9"/>
      <c r="B167" s="9"/>
      <c r="C167" s="10"/>
      <c r="D167" s="9"/>
      <c r="E167" s="9"/>
    </row>
    <row r="168" spans="1:5" ht="13" x14ac:dyDescent="0.3">
      <c r="A168" s="9"/>
      <c r="B168" s="9"/>
      <c r="C168" s="10"/>
      <c r="D168" s="9"/>
      <c r="E168" s="9"/>
    </row>
    <row r="169" spans="1:5" ht="13" x14ac:dyDescent="0.3">
      <c r="A169" s="9"/>
      <c r="B169" s="9"/>
      <c r="C169" s="10"/>
      <c r="D169" s="9"/>
      <c r="E169" s="9"/>
    </row>
    <row r="170" spans="1:5" ht="13" x14ac:dyDescent="0.3">
      <c r="A170" s="9"/>
      <c r="B170" s="9"/>
      <c r="C170" s="10"/>
      <c r="D170" s="9"/>
      <c r="E170" s="9"/>
    </row>
    <row r="171" spans="1:5" ht="13" x14ac:dyDescent="0.3">
      <c r="A171" s="9"/>
      <c r="B171" s="9"/>
      <c r="C171" s="10"/>
      <c r="D171" s="9"/>
      <c r="E171" s="9"/>
    </row>
    <row r="172" spans="1:5" ht="13" x14ac:dyDescent="0.3">
      <c r="A172" s="9"/>
      <c r="B172" s="9"/>
      <c r="C172" s="10"/>
      <c r="D172" s="9"/>
      <c r="E172" s="9"/>
    </row>
    <row r="173" spans="1:5" ht="13" x14ac:dyDescent="0.3">
      <c r="A173" s="9"/>
      <c r="B173" s="9"/>
      <c r="C173" s="10"/>
      <c r="D173" s="9"/>
      <c r="E173" s="9"/>
    </row>
    <row r="174" spans="1:5" ht="13" x14ac:dyDescent="0.3">
      <c r="A174" s="9"/>
      <c r="B174" s="9"/>
      <c r="C174" s="10"/>
      <c r="D174" s="9"/>
      <c r="E174" s="9"/>
    </row>
    <row r="175" spans="1:5" ht="13" x14ac:dyDescent="0.3">
      <c r="A175" s="9"/>
      <c r="B175" s="9"/>
      <c r="C175" s="10"/>
      <c r="D175" s="9"/>
      <c r="E175" s="9"/>
    </row>
    <row r="176" spans="1:5" ht="13" x14ac:dyDescent="0.3">
      <c r="A176" s="9"/>
      <c r="B176" s="9"/>
      <c r="C176" s="10"/>
      <c r="D176" s="9"/>
      <c r="E176" s="9"/>
    </row>
    <row r="177" spans="1:5" ht="13" x14ac:dyDescent="0.3">
      <c r="A177" s="9"/>
      <c r="B177" s="9"/>
      <c r="C177" s="10"/>
      <c r="D177" s="9"/>
      <c r="E177" s="9"/>
    </row>
    <row r="178" spans="1:5" ht="13" x14ac:dyDescent="0.3">
      <c r="A178" s="9"/>
      <c r="B178" s="9"/>
      <c r="C178" s="10"/>
      <c r="D178" s="9"/>
      <c r="E178" s="9"/>
    </row>
    <row r="179" spans="1:5" ht="13" x14ac:dyDescent="0.3">
      <c r="A179" s="9"/>
      <c r="B179" s="9"/>
      <c r="C179" s="10"/>
      <c r="D179" s="9"/>
      <c r="E179" s="9"/>
    </row>
    <row r="180" spans="1:5" ht="13" x14ac:dyDescent="0.3">
      <c r="A180" s="9"/>
      <c r="B180" s="9"/>
      <c r="C180" s="10"/>
      <c r="D180" s="9"/>
      <c r="E180" s="9"/>
    </row>
    <row r="181" spans="1:5" ht="13" x14ac:dyDescent="0.3">
      <c r="A181" s="9"/>
      <c r="B181" s="9"/>
      <c r="C181" s="10"/>
      <c r="D181" s="9"/>
      <c r="E181" s="9"/>
    </row>
    <row r="182" spans="1:5" ht="13" x14ac:dyDescent="0.3">
      <c r="A182" s="9"/>
      <c r="B182" s="9"/>
      <c r="C182" s="10"/>
      <c r="D182" s="9"/>
      <c r="E182" s="9"/>
    </row>
    <row r="183" spans="1:5" ht="13" x14ac:dyDescent="0.3">
      <c r="A183" s="9"/>
      <c r="B183" s="9"/>
      <c r="C183" s="10"/>
      <c r="D183" s="9"/>
      <c r="E183" s="9"/>
    </row>
    <row r="184" spans="1:5" ht="13" x14ac:dyDescent="0.3">
      <c r="A184" s="9"/>
      <c r="B184" s="9"/>
      <c r="C184" s="10"/>
      <c r="D184" s="9"/>
      <c r="E184" s="9"/>
    </row>
    <row r="185" spans="1:5" ht="13" x14ac:dyDescent="0.3">
      <c r="A185" s="9"/>
      <c r="B185" s="9"/>
      <c r="C185" s="10"/>
      <c r="D185" s="9"/>
      <c r="E185" s="9"/>
    </row>
    <row r="186" spans="1:5" ht="13" x14ac:dyDescent="0.3">
      <c r="A186" s="9"/>
      <c r="B186" s="9"/>
      <c r="C186" s="10"/>
      <c r="D186" s="9"/>
      <c r="E186" s="9"/>
    </row>
    <row r="187" spans="1:5" ht="13" x14ac:dyDescent="0.3">
      <c r="A187" s="9"/>
      <c r="B187" s="9"/>
      <c r="C187" s="10"/>
      <c r="D187" s="9"/>
      <c r="E187" s="9"/>
    </row>
    <row r="188" spans="1:5" ht="13" x14ac:dyDescent="0.3">
      <c r="A188" s="9"/>
      <c r="B188" s="9"/>
      <c r="C188" s="10"/>
      <c r="D188" s="9"/>
      <c r="E188" s="9"/>
    </row>
    <row r="189" spans="1:5" ht="13" x14ac:dyDescent="0.3">
      <c r="A189" s="9"/>
      <c r="B189" s="9"/>
      <c r="C189" s="10"/>
      <c r="D189" s="9"/>
      <c r="E189" s="9"/>
    </row>
    <row r="190" spans="1:5" ht="13" x14ac:dyDescent="0.3">
      <c r="A190" s="9"/>
      <c r="B190" s="9"/>
      <c r="C190" s="10"/>
      <c r="D190" s="9"/>
      <c r="E190" s="9"/>
    </row>
    <row r="191" spans="1:5" ht="13" x14ac:dyDescent="0.3">
      <c r="A191" s="9"/>
      <c r="B191" s="9"/>
      <c r="C191" s="10"/>
      <c r="D191" s="9"/>
      <c r="E191" s="9"/>
    </row>
    <row r="192" spans="1:5" ht="13" x14ac:dyDescent="0.3">
      <c r="A192" s="9"/>
      <c r="B192" s="9"/>
      <c r="C192" s="10"/>
      <c r="D192" s="9"/>
      <c r="E192" s="9"/>
    </row>
    <row r="193" spans="1:5" ht="13" x14ac:dyDescent="0.3">
      <c r="A193" s="9"/>
      <c r="B193" s="9"/>
      <c r="C193" s="10"/>
      <c r="D193" s="9"/>
      <c r="E193" s="9"/>
    </row>
    <row r="194" spans="1:5" ht="13" x14ac:dyDescent="0.3">
      <c r="A194" s="9"/>
      <c r="B194" s="9"/>
      <c r="C194" s="10"/>
      <c r="D194" s="9"/>
      <c r="E194" s="9"/>
    </row>
    <row r="195" spans="1:5" ht="13" x14ac:dyDescent="0.3">
      <c r="A195" s="9"/>
      <c r="B195" s="9"/>
      <c r="C195" s="10"/>
      <c r="D195" s="9"/>
      <c r="E195" s="9"/>
    </row>
    <row r="196" spans="1:5" ht="13" x14ac:dyDescent="0.3">
      <c r="A196" s="9"/>
      <c r="B196" s="9"/>
      <c r="C196" s="10"/>
      <c r="D196" s="9"/>
      <c r="E196" s="9"/>
    </row>
    <row r="197" spans="1:5" ht="13" x14ac:dyDescent="0.3">
      <c r="A197" s="9"/>
      <c r="B197" s="9"/>
      <c r="C197" s="10"/>
      <c r="D197" s="9"/>
      <c r="E197" s="9"/>
    </row>
    <row r="198" spans="1:5" ht="13" x14ac:dyDescent="0.3">
      <c r="A198" s="9"/>
      <c r="B198" s="9"/>
      <c r="C198" s="10"/>
      <c r="D198" s="9"/>
      <c r="E198" s="9"/>
    </row>
    <row r="199" spans="1:5" ht="13" x14ac:dyDescent="0.3">
      <c r="A199" s="9"/>
      <c r="B199" s="9"/>
      <c r="C199" s="10"/>
      <c r="D199" s="9"/>
      <c r="E199" s="9"/>
    </row>
    <row r="200" spans="1:5" ht="13" x14ac:dyDescent="0.3">
      <c r="A200" s="9"/>
      <c r="B200" s="9"/>
      <c r="C200" s="10"/>
      <c r="D200" s="9"/>
      <c r="E200" s="9"/>
    </row>
    <row r="201" spans="1:5" ht="13" x14ac:dyDescent="0.3">
      <c r="A201" s="9"/>
      <c r="B201" s="9"/>
      <c r="C201" s="10"/>
      <c r="D201" s="9"/>
      <c r="E201" s="9"/>
    </row>
    <row r="202" spans="1:5" ht="13" x14ac:dyDescent="0.3">
      <c r="A202" s="9"/>
      <c r="B202" s="9"/>
      <c r="C202" s="10"/>
      <c r="D202" s="9"/>
      <c r="E202" s="9"/>
    </row>
    <row r="203" spans="1:5" ht="13" x14ac:dyDescent="0.3">
      <c r="A203" s="9"/>
      <c r="B203" s="9"/>
      <c r="C203" s="10"/>
      <c r="D203" s="9"/>
      <c r="E203" s="9"/>
    </row>
    <row r="204" spans="1:5" ht="13" x14ac:dyDescent="0.3">
      <c r="A204" s="9"/>
      <c r="B204" s="9"/>
      <c r="C204" s="10"/>
      <c r="D204" s="9"/>
      <c r="E204" s="9"/>
    </row>
    <row r="205" spans="1:5" ht="13" x14ac:dyDescent="0.3">
      <c r="A205" s="9"/>
      <c r="B205" s="9"/>
      <c r="C205" s="10"/>
      <c r="D205" s="9"/>
      <c r="E205" s="9"/>
    </row>
    <row r="206" spans="1:5" ht="13" x14ac:dyDescent="0.3">
      <c r="A206" s="9"/>
      <c r="B206" s="9"/>
      <c r="C206" s="10"/>
      <c r="D206" s="9"/>
      <c r="E206" s="9"/>
    </row>
    <row r="207" spans="1:5" ht="13" x14ac:dyDescent="0.3">
      <c r="A207" s="9"/>
      <c r="B207" s="9"/>
      <c r="C207" s="10"/>
      <c r="D207" s="9"/>
      <c r="E207" s="9"/>
    </row>
    <row r="208" spans="1:5" ht="13" x14ac:dyDescent="0.3">
      <c r="A208" s="9"/>
      <c r="B208" s="9"/>
      <c r="C208" s="10"/>
      <c r="D208" s="9"/>
      <c r="E208" s="9"/>
    </row>
    <row r="209" spans="1:5" ht="13" x14ac:dyDescent="0.3">
      <c r="A209" s="9"/>
      <c r="B209" s="9"/>
      <c r="C209" s="10"/>
      <c r="D209" s="9"/>
      <c r="E209" s="9"/>
    </row>
    <row r="210" spans="1:5" ht="13" x14ac:dyDescent="0.3">
      <c r="A210" s="9"/>
      <c r="B210" s="9"/>
      <c r="C210" s="10"/>
      <c r="D210" s="9"/>
      <c r="E210" s="9"/>
    </row>
    <row r="211" spans="1:5" ht="13" x14ac:dyDescent="0.3">
      <c r="A211" s="9"/>
      <c r="B211" s="9"/>
      <c r="C211" s="10"/>
      <c r="D211" s="9"/>
      <c r="E211" s="9"/>
    </row>
    <row r="212" spans="1:5" ht="13" x14ac:dyDescent="0.3">
      <c r="A212" s="9"/>
      <c r="B212" s="9"/>
      <c r="C212" s="10"/>
      <c r="D212" s="9"/>
      <c r="E212" s="9"/>
    </row>
    <row r="213" spans="1:5" ht="13" x14ac:dyDescent="0.3">
      <c r="A213" s="9"/>
      <c r="B213" s="9"/>
      <c r="C213" s="10"/>
      <c r="D213" s="9"/>
      <c r="E213" s="9"/>
    </row>
    <row r="214" spans="1:5" ht="13" x14ac:dyDescent="0.3">
      <c r="A214" s="9"/>
      <c r="B214" s="9"/>
      <c r="C214" s="10"/>
      <c r="D214" s="9"/>
      <c r="E214" s="9"/>
    </row>
    <row r="215" spans="1:5" ht="13" x14ac:dyDescent="0.3">
      <c r="A215" s="9"/>
      <c r="B215" s="9"/>
      <c r="C215" s="10"/>
      <c r="D215" s="9"/>
      <c r="E215" s="9"/>
    </row>
    <row r="216" spans="1:5" ht="13" x14ac:dyDescent="0.3">
      <c r="A216" s="9"/>
      <c r="B216" s="9"/>
      <c r="C216" s="10"/>
      <c r="D216" s="9"/>
      <c r="E216" s="9"/>
    </row>
    <row r="217" spans="1:5" ht="13" x14ac:dyDescent="0.3">
      <c r="A217" s="9"/>
      <c r="B217" s="9"/>
      <c r="C217" s="10"/>
      <c r="D217" s="9"/>
      <c r="E217" s="9"/>
    </row>
    <row r="218" spans="1:5" ht="13" x14ac:dyDescent="0.3">
      <c r="A218" s="9"/>
      <c r="B218" s="9"/>
      <c r="C218" s="10"/>
      <c r="D218" s="9"/>
      <c r="E218" s="9"/>
    </row>
    <row r="219" spans="1:5" ht="13" x14ac:dyDescent="0.3">
      <c r="A219" s="9"/>
      <c r="B219" s="9"/>
      <c r="C219" s="10"/>
      <c r="D219" s="9"/>
      <c r="E219" s="9"/>
    </row>
    <row r="220" spans="1:5" ht="13" x14ac:dyDescent="0.3">
      <c r="A220" s="9"/>
      <c r="B220" s="9"/>
      <c r="C220" s="10"/>
      <c r="D220" s="9"/>
      <c r="E220" s="9"/>
    </row>
    <row r="221" spans="1:5" ht="13" x14ac:dyDescent="0.3">
      <c r="A221" s="9"/>
      <c r="B221" s="9"/>
      <c r="C221" s="10"/>
      <c r="D221" s="9"/>
      <c r="E221" s="9"/>
    </row>
    <row r="222" spans="1:5" ht="13" x14ac:dyDescent="0.3">
      <c r="A222" s="9"/>
      <c r="B222" s="9"/>
      <c r="C222" s="10"/>
      <c r="D222" s="9"/>
      <c r="E222" s="9"/>
    </row>
    <row r="223" spans="1:5" ht="13" x14ac:dyDescent="0.3">
      <c r="A223" s="9"/>
      <c r="B223" s="9"/>
      <c r="C223" s="10"/>
      <c r="D223" s="9"/>
      <c r="E223" s="9"/>
    </row>
    <row r="224" spans="1:5" ht="13" x14ac:dyDescent="0.3">
      <c r="A224" s="9"/>
      <c r="B224" s="9"/>
      <c r="C224" s="10"/>
      <c r="D224" s="9"/>
      <c r="E224" s="9"/>
    </row>
    <row r="225" spans="1:5" ht="13" x14ac:dyDescent="0.3">
      <c r="A225" s="9"/>
      <c r="B225" s="9"/>
      <c r="C225" s="10"/>
      <c r="D225" s="9"/>
      <c r="E225" s="9"/>
    </row>
    <row r="226" spans="1:5" ht="13" x14ac:dyDescent="0.3">
      <c r="A226" s="9"/>
      <c r="B226" s="9"/>
      <c r="C226" s="10"/>
      <c r="D226" s="9"/>
      <c r="E226" s="9"/>
    </row>
    <row r="227" spans="1:5" ht="13" x14ac:dyDescent="0.3">
      <c r="A227" s="9"/>
      <c r="B227" s="9"/>
      <c r="C227" s="10"/>
      <c r="D227" s="9"/>
      <c r="E227" s="9"/>
    </row>
    <row r="228" spans="1:5" ht="13" x14ac:dyDescent="0.3">
      <c r="A228" s="9"/>
      <c r="B228" s="9"/>
      <c r="C228" s="10"/>
      <c r="D228" s="9"/>
      <c r="E228" s="9"/>
    </row>
    <row r="229" spans="1:5" ht="13" x14ac:dyDescent="0.3">
      <c r="A229" s="9"/>
      <c r="B229" s="9"/>
      <c r="C229" s="10"/>
      <c r="D229" s="9"/>
      <c r="E229" s="9"/>
    </row>
    <row r="230" spans="1:5" ht="13" x14ac:dyDescent="0.3">
      <c r="A230" s="9"/>
      <c r="B230" s="9"/>
      <c r="C230" s="10"/>
      <c r="D230" s="9"/>
      <c r="E230" s="9"/>
    </row>
    <row r="231" spans="1:5" ht="13" x14ac:dyDescent="0.3">
      <c r="A231" s="9"/>
      <c r="B231" s="9"/>
      <c r="C231" s="10"/>
      <c r="D231" s="9"/>
      <c r="E231" s="9"/>
    </row>
    <row r="232" spans="1:5" ht="13" x14ac:dyDescent="0.3">
      <c r="A232" s="9"/>
      <c r="B232" s="9"/>
      <c r="C232" s="10"/>
      <c r="D232" s="9"/>
      <c r="E232" s="9"/>
    </row>
    <row r="233" spans="1:5" ht="13" x14ac:dyDescent="0.3">
      <c r="A233" s="9"/>
      <c r="B233" s="9"/>
      <c r="C233" s="10"/>
      <c r="D233" s="9"/>
      <c r="E233" s="9"/>
    </row>
    <row r="234" spans="1:5" ht="13" x14ac:dyDescent="0.3">
      <c r="A234" s="9"/>
      <c r="B234" s="9"/>
      <c r="C234" s="10"/>
      <c r="D234" s="9"/>
      <c r="E234" s="9"/>
    </row>
    <row r="235" spans="1:5" ht="13" x14ac:dyDescent="0.3">
      <c r="A235" s="9"/>
      <c r="B235" s="9"/>
      <c r="C235" s="10"/>
      <c r="D235" s="9"/>
      <c r="E235" s="9"/>
    </row>
    <row r="236" spans="1:5" ht="13" x14ac:dyDescent="0.3">
      <c r="A236" s="9"/>
      <c r="B236" s="9"/>
      <c r="C236" s="10"/>
      <c r="D236" s="9"/>
      <c r="E236" s="9"/>
    </row>
    <row r="237" spans="1:5" ht="13" x14ac:dyDescent="0.3">
      <c r="A237" s="9"/>
      <c r="B237" s="9"/>
      <c r="C237" s="10"/>
      <c r="D237" s="9"/>
      <c r="E237" s="9"/>
    </row>
    <row r="238" spans="1:5" ht="13" x14ac:dyDescent="0.3">
      <c r="A238" s="9"/>
      <c r="B238" s="9"/>
      <c r="C238" s="10"/>
      <c r="D238" s="9"/>
      <c r="E238" s="9"/>
    </row>
    <row r="239" spans="1:5" ht="13" x14ac:dyDescent="0.3">
      <c r="A239" s="9"/>
      <c r="B239" s="9"/>
      <c r="C239" s="10"/>
      <c r="D239" s="9"/>
      <c r="E239" s="9"/>
    </row>
    <row r="240" spans="1:5" ht="13" x14ac:dyDescent="0.3">
      <c r="A240" s="9"/>
      <c r="B240" s="9"/>
      <c r="C240" s="10"/>
      <c r="D240" s="9"/>
      <c r="E240" s="9"/>
    </row>
    <row r="241" spans="1:5" ht="13" x14ac:dyDescent="0.3">
      <c r="A241" s="9"/>
      <c r="B241" s="9"/>
      <c r="C241" s="10"/>
      <c r="D241" s="9"/>
      <c r="E241" s="9"/>
    </row>
    <row r="242" spans="1:5" ht="13" x14ac:dyDescent="0.3">
      <c r="A242" s="9"/>
      <c r="B242" s="9"/>
      <c r="C242" s="10"/>
      <c r="D242" s="9"/>
      <c r="E242" s="9"/>
    </row>
    <row r="243" spans="1:5" ht="13" x14ac:dyDescent="0.3">
      <c r="A243" s="9"/>
      <c r="B243" s="9"/>
      <c r="C243" s="10"/>
      <c r="D243" s="9"/>
      <c r="E243" s="9"/>
    </row>
    <row r="244" spans="1:5" ht="13" x14ac:dyDescent="0.3">
      <c r="A244" s="9"/>
      <c r="B244" s="9"/>
      <c r="C244" s="10"/>
      <c r="D244" s="9"/>
      <c r="E244" s="9"/>
    </row>
    <row r="245" spans="1:5" ht="13" x14ac:dyDescent="0.3">
      <c r="A245" s="9"/>
      <c r="B245" s="9"/>
      <c r="C245" s="10"/>
      <c r="D245" s="9"/>
      <c r="E245" s="9"/>
    </row>
    <row r="246" spans="1:5" ht="13" x14ac:dyDescent="0.3">
      <c r="A246" s="9"/>
      <c r="B246" s="9"/>
      <c r="C246" s="10"/>
      <c r="D246" s="9"/>
      <c r="E246" s="9"/>
    </row>
    <row r="247" spans="1:5" ht="13" x14ac:dyDescent="0.3">
      <c r="A247" s="9"/>
      <c r="B247" s="9"/>
      <c r="C247" s="10"/>
      <c r="D247" s="9"/>
      <c r="E247" s="9"/>
    </row>
    <row r="248" spans="1:5" ht="13" x14ac:dyDescent="0.3">
      <c r="A248" s="9"/>
      <c r="B248" s="9"/>
      <c r="C248" s="10"/>
      <c r="D248" s="9"/>
      <c r="E248" s="9"/>
    </row>
    <row r="249" spans="1:5" ht="13" x14ac:dyDescent="0.3">
      <c r="A249" s="9"/>
      <c r="B249" s="9"/>
      <c r="C249" s="10"/>
      <c r="D249" s="9"/>
      <c r="E249" s="9"/>
    </row>
    <row r="250" spans="1:5" ht="13" x14ac:dyDescent="0.3">
      <c r="A250" s="9"/>
      <c r="B250" s="9"/>
      <c r="C250" s="10"/>
      <c r="D250" s="9"/>
      <c r="E250" s="9"/>
    </row>
    <row r="251" spans="1:5" ht="13" x14ac:dyDescent="0.3">
      <c r="A251" s="9"/>
      <c r="B251" s="9"/>
      <c r="C251" s="10"/>
      <c r="D251" s="9"/>
      <c r="E251" s="9"/>
    </row>
    <row r="252" spans="1:5" ht="13" x14ac:dyDescent="0.3">
      <c r="A252" s="9"/>
      <c r="B252" s="9"/>
      <c r="C252" s="10"/>
      <c r="D252" s="9"/>
      <c r="E252" s="9"/>
    </row>
    <row r="253" spans="1:5" ht="13" x14ac:dyDescent="0.3">
      <c r="A253" s="9"/>
      <c r="B253" s="9"/>
      <c r="C253" s="10"/>
      <c r="D253" s="9"/>
      <c r="E253" s="9"/>
    </row>
    <row r="254" spans="1:5" ht="13" x14ac:dyDescent="0.3">
      <c r="A254" s="9"/>
      <c r="B254" s="9"/>
      <c r="C254" s="10"/>
      <c r="D254" s="9"/>
      <c r="E254" s="9"/>
    </row>
    <row r="255" spans="1:5" ht="13" x14ac:dyDescent="0.3">
      <c r="A255" s="9"/>
      <c r="B255" s="9"/>
      <c r="C255" s="10"/>
      <c r="D255" s="9"/>
      <c r="E255" s="9"/>
    </row>
    <row r="256" spans="1:5" ht="13" x14ac:dyDescent="0.3">
      <c r="A256" s="9"/>
      <c r="B256" s="9"/>
      <c r="C256" s="10"/>
      <c r="D256" s="9"/>
      <c r="E256" s="9"/>
    </row>
    <row r="257" spans="1:5" ht="13" x14ac:dyDescent="0.3">
      <c r="A257" s="9"/>
      <c r="B257" s="9"/>
      <c r="C257" s="10"/>
      <c r="D257" s="9"/>
      <c r="E257" s="9"/>
    </row>
    <row r="258" spans="1:5" ht="13" x14ac:dyDescent="0.3">
      <c r="A258" s="9"/>
      <c r="B258" s="9"/>
      <c r="C258" s="10"/>
      <c r="D258" s="9"/>
      <c r="E258" s="9"/>
    </row>
    <row r="259" spans="1:5" ht="13" x14ac:dyDescent="0.3">
      <c r="A259" s="9"/>
      <c r="B259" s="9"/>
      <c r="C259" s="10"/>
      <c r="D259" s="9"/>
      <c r="E259" s="9"/>
    </row>
    <row r="260" spans="1:5" ht="13" x14ac:dyDescent="0.3">
      <c r="A260" s="9"/>
      <c r="B260" s="9"/>
      <c r="C260" s="10"/>
      <c r="D260" s="9"/>
      <c r="E260" s="9"/>
    </row>
    <row r="261" spans="1:5" ht="13" x14ac:dyDescent="0.3">
      <c r="A261" s="9"/>
      <c r="B261" s="9"/>
      <c r="C261" s="10"/>
      <c r="D261" s="9"/>
      <c r="E261" s="9"/>
    </row>
    <row r="262" spans="1:5" ht="13" x14ac:dyDescent="0.3">
      <c r="A262" s="9"/>
      <c r="B262" s="9"/>
      <c r="C262" s="10"/>
      <c r="D262" s="9"/>
      <c r="E262" s="9"/>
    </row>
    <row r="263" spans="1:5" ht="13" x14ac:dyDescent="0.3">
      <c r="A263" s="9"/>
      <c r="B263" s="9"/>
      <c r="C263" s="10"/>
      <c r="D263" s="9"/>
      <c r="E263" s="9"/>
    </row>
    <row r="264" spans="1:5" ht="13" x14ac:dyDescent="0.3">
      <c r="A264" s="9"/>
      <c r="B264" s="9"/>
      <c r="C264" s="10"/>
      <c r="D264" s="9"/>
      <c r="E264" s="9"/>
    </row>
    <row r="265" spans="1:5" ht="13" x14ac:dyDescent="0.3">
      <c r="A265" s="9"/>
      <c r="B265" s="9"/>
      <c r="C265" s="10"/>
      <c r="D265" s="9"/>
      <c r="E265" s="9"/>
    </row>
    <row r="266" spans="1:5" ht="13" x14ac:dyDescent="0.3">
      <c r="A266" s="9"/>
      <c r="B266" s="9"/>
      <c r="C266" s="10"/>
      <c r="D266" s="9"/>
      <c r="E266" s="9"/>
    </row>
    <row r="267" spans="1:5" ht="13" x14ac:dyDescent="0.3">
      <c r="A267" s="9"/>
      <c r="B267" s="9"/>
      <c r="C267" s="10"/>
      <c r="D267" s="9"/>
      <c r="E267" s="9"/>
    </row>
    <row r="268" spans="1:5" ht="13" x14ac:dyDescent="0.3">
      <c r="A268" s="9"/>
      <c r="B268" s="9"/>
      <c r="C268" s="10"/>
      <c r="D268" s="9"/>
      <c r="E268" s="9"/>
    </row>
    <row r="269" spans="1:5" ht="13" x14ac:dyDescent="0.3">
      <c r="A269" s="9"/>
      <c r="B269" s="9"/>
      <c r="C269" s="10"/>
      <c r="D269" s="9"/>
      <c r="E269" s="9"/>
    </row>
    <row r="270" spans="1:5" ht="13" x14ac:dyDescent="0.3">
      <c r="A270" s="9"/>
      <c r="B270" s="9"/>
      <c r="C270" s="10"/>
      <c r="D270" s="9"/>
      <c r="E270" s="9"/>
    </row>
    <row r="271" spans="1:5" ht="13" x14ac:dyDescent="0.3">
      <c r="A271" s="9"/>
      <c r="B271" s="9"/>
      <c r="C271" s="10"/>
      <c r="D271" s="9"/>
      <c r="E271" s="9"/>
    </row>
    <row r="272" spans="1:5" ht="13" x14ac:dyDescent="0.3">
      <c r="A272" s="9"/>
      <c r="B272" s="9"/>
      <c r="C272" s="10"/>
      <c r="D272" s="9"/>
      <c r="E272" s="9"/>
    </row>
    <row r="273" spans="1:5" ht="13" x14ac:dyDescent="0.3">
      <c r="A273" s="9"/>
      <c r="B273" s="9"/>
      <c r="C273" s="10"/>
      <c r="D273" s="9"/>
      <c r="E273" s="9"/>
    </row>
    <row r="274" spans="1:5" ht="13" x14ac:dyDescent="0.3">
      <c r="A274" s="9"/>
      <c r="B274" s="9"/>
      <c r="C274" s="10"/>
      <c r="D274" s="9"/>
      <c r="E274" s="9"/>
    </row>
    <row r="275" spans="1:5" ht="13" x14ac:dyDescent="0.3">
      <c r="A275" s="9"/>
      <c r="B275" s="9"/>
      <c r="C275" s="10"/>
      <c r="D275" s="9"/>
      <c r="E275" s="9"/>
    </row>
    <row r="276" spans="1:5" ht="13" x14ac:dyDescent="0.3">
      <c r="A276" s="9"/>
      <c r="B276" s="9"/>
      <c r="C276" s="10"/>
      <c r="D276" s="9"/>
      <c r="E276" s="9"/>
    </row>
    <row r="277" spans="1:5" ht="13" x14ac:dyDescent="0.3">
      <c r="A277" s="9"/>
      <c r="B277" s="9"/>
      <c r="C277" s="10"/>
      <c r="D277" s="9"/>
      <c r="E277" s="9"/>
    </row>
    <row r="278" spans="1:5" ht="13" x14ac:dyDescent="0.3">
      <c r="A278" s="9"/>
      <c r="B278" s="9"/>
      <c r="C278" s="10"/>
      <c r="D278" s="9"/>
      <c r="E278" s="9"/>
    </row>
    <row r="279" spans="1:5" ht="13" x14ac:dyDescent="0.3">
      <c r="A279" s="9"/>
      <c r="B279" s="9"/>
      <c r="C279" s="10"/>
      <c r="D279" s="9"/>
      <c r="E279" s="9"/>
    </row>
    <row r="280" spans="1:5" ht="13" x14ac:dyDescent="0.3">
      <c r="A280" s="9"/>
      <c r="B280" s="9"/>
      <c r="C280" s="10"/>
      <c r="D280" s="9"/>
      <c r="E280" s="9"/>
    </row>
    <row r="281" spans="1:5" ht="13" x14ac:dyDescent="0.3">
      <c r="A281" s="9"/>
      <c r="B281" s="9"/>
      <c r="C281" s="10"/>
      <c r="D281" s="9"/>
      <c r="E281" s="9"/>
    </row>
    <row r="282" spans="1:5" ht="13" x14ac:dyDescent="0.3">
      <c r="A282" s="9"/>
      <c r="B282" s="9"/>
      <c r="C282" s="10"/>
      <c r="D282" s="9"/>
      <c r="E282" s="9"/>
    </row>
    <row r="283" spans="1:5" ht="13" x14ac:dyDescent="0.3">
      <c r="A283" s="9"/>
      <c r="B283" s="9"/>
      <c r="C283" s="10"/>
      <c r="D283" s="9"/>
      <c r="E283" s="9"/>
    </row>
    <row r="284" spans="1:5" ht="13" x14ac:dyDescent="0.3">
      <c r="A284" s="9"/>
      <c r="B284" s="9"/>
      <c r="C284" s="10"/>
      <c r="D284" s="9"/>
      <c r="E284" s="9"/>
    </row>
    <row r="285" spans="1:5" ht="13" x14ac:dyDescent="0.3">
      <c r="A285" s="9"/>
      <c r="B285" s="9"/>
      <c r="C285" s="10"/>
      <c r="D285" s="9"/>
      <c r="E285" s="9"/>
    </row>
    <row r="286" spans="1:5" ht="13" x14ac:dyDescent="0.3">
      <c r="A286" s="9"/>
      <c r="B286" s="9"/>
      <c r="C286" s="10"/>
      <c r="D286" s="9"/>
      <c r="E286" s="9"/>
    </row>
    <row r="287" spans="1:5" ht="13" x14ac:dyDescent="0.3">
      <c r="A287" s="9"/>
      <c r="B287" s="9"/>
      <c r="C287" s="10"/>
      <c r="D287" s="9"/>
      <c r="E287" s="9"/>
    </row>
    <row r="288" spans="1:5" ht="13" x14ac:dyDescent="0.3">
      <c r="A288" s="9"/>
      <c r="B288" s="9"/>
      <c r="C288" s="10"/>
      <c r="D288" s="9"/>
      <c r="E288" s="9"/>
    </row>
    <row r="289" spans="1:5" ht="13" x14ac:dyDescent="0.3">
      <c r="A289" s="9"/>
      <c r="B289" s="9"/>
      <c r="C289" s="10"/>
      <c r="D289" s="9"/>
      <c r="E289" s="9"/>
    </row>
    <row r="290" spans="1:5" ht="13" x14ac:dyDescent="0.3">
      <c r="A290" s="9"/>
      <c r="B290" s="9"/>
      <c r="C290" s="10"/>
      <c r="D290" s="9"/>
      <c r="E290" s="9"/>
    </row>
    <row r="291" spans="1:5" ht="13" x14ac:dyDescent="0.3">
      <c r="A291" s="9"/>
      <c r="B291" s="9"/>
      <c r="C291" s="10"/>
      <c r="D291" s="9"/>
      <c r="E291" s="9"/>
    </row>
    <row r="292" spans="1:5" ht="13" x14ac:dyDescent="0.3">
      <c r="A292" s="9"/>
      <c r="B292" s="9"/>
      <c r="C292" s="10"/>
      <c r="D292" s="9"/>
      <c r="E292" s="9"/>
    </row>
    <row r="293" spans="1:5" ht="13" x14ac:dyDescent="0.3">
      <c r="A293" s="9"/>
      <c r="B293" s="9"/>
      <c r="C293" s="10"/>
      <c r="D293" s="9"/>
      <c r="E293" s="9"/>
    </row>
    <row r="294" spans="1:5" ht="13" x14ac:dyDescent="0.3">
      <c r="A294" s="9"/>
      <c r="B294" s="9"/>
      <c r="C294" s="10"/>
      <c r="D294" s="9"/>
      <c r="E294" s="9"/>
    </row>
    <row r="295" spans="1:5" ht="13" x14ac:dyDescent="0.3">
      <c r="A295" s="9"/>
      <c r="B295" s="9"/>
      <c r="C295" s="10"/>
      <c r="D295" s="9"/>
      <c r="E295" s="9"/>
    </row>
    <row r="296" spans="1:5" ht="13" x14ac:dyDescent="0.3">
      <c r="A296" s="9"/>
      <c r="B296" s="9"/>
      <c r="C296" s="10"/>
      <c r="D296" s="9"/>
      <c r="E296" s="9"/>
    </row>
    <row r="297" spans="1:5" ht="13" x14ac:dyDescent="0.3">
      <c r="A297" s="9"/>
      <c r="B297" s="9"/>
      <c r="C297" s="10"/>
      <c r="D297" s="9"/>
      <c r="E297" s="9"/>
    </row>
    <row r="298" spans="1:5" ht="13" x14ac:dyDescent="0.3">
      <c r="A298" s="9"/>
      <c r="B298" s="9"/>
      <c r="C298" s="10"/>
      <c r="D298" s="9"/>
      <c r="E298" s="9"/>
    </row>
    <row r="299" spans="1:5" ht="13" x14ac:dyDescent="0.3">
      <c r="A299" s="9"/>
      <c r="B299" s="9"/>
      <c r="C299" s="10"/>
      <c r="D299" s="9"/>
      <c r="E299" s="9"/>
    </row>
    <row r="300" spans="1:5" ht="13" x14ac:dyDescent="0.3">
      <c r="A300" s="9"/>
      <c r="B300" s="9"/>
      <c r="C300" s="10"/>
      <c r="D300" s="9"/>
      <c r="E300" s="9"/>
    </row>
    <row r="301" spans="1:5" ht="13" x14ac:dyDescent="0.3">
      <c r="A301" s="9"/>
      <c r="B301" s="9"/>
      <c r="C301" s="10"/>
      <c r="D301" s="9"/>
      <c r="E301" s="9"/>
    </row>
    <row r="302" spans="1:5" ht="13" x14ac:dyDescent="0.3">
      <c r="A302" s="9"/>
      <c r="B302" s="9"/>
      <c r="C302" s="10"/>
      <c r="D302" s="9"/>
      <c r="E302" s="9"/>
    </row>
    <row r="303" spans="1:5" ht="13" x14ac:dyDescent="0.3">
      <c r="A303" s="9"/>
      <c r="B303" s="9"/>
      <c r="C303" s="10"/>
      <c r="D303" s="9"/>
      <c r="E303" s="9"/>
    </row>
    <row r="304" spans="1:5" ht="13" x14ac:dyDescent="0.3">
      <c r="A304" s="9"/>
      <c r="B304" s="9"/>
      <c r="C304" s="10"/>
      <c r="D304" s="9"/>
      <c r="E304" s="9"/>
    </row>
    <row r="305" spans="1:5" ht="13" x14ac:dyDescent="0.3">
      <c r="A305" s="9"/>
      <c r="B305" s="9"/>
      <c r="C305" s="10"/>
      <c r="D305" s="9"/>
      <c r="E305" s="9"/>
    </row>
    <row r="306" spans="1:5" ht="13" x14ac:dyDescent="0.3">
      <c r="A306" s="9"/>
      <c r="B306" s="9"/>
      <c r="C306" s="10"/>
      <c r="D306" s="9"/>
      <c r="E306" s="9"/>
    </row>
    <row r="307" spans="1:5" ht="13" x14ac:dyDescent="0.3">
      <c r="A307" s="9"/>
      <c r="B307" s="9"/>
      <c r="C307" s="10"/>
      <c r="D307" s="9"/>
      <c r="E307" s="9"/>
    </row>
    <row r="308" spans="1:5" ht="13" x14ac:dyDescent="0.3">
      <c r="A308" s="9"/>
      <c r="B308" s="9"/>
      <c r="C308" s="10"/>
      <c r="D308" s="9"/>
      <c r="E308" s="9"/>
    </row>
    <row r="309" spans="1:5" ht="13" x14ac:dyDescent="0.3">
      <c r="A309" s="9"/>
      <c r="B309" s="9"/>
      <c r="C309" s="10"/>
      <c r="D309" s="9"/>
      <c r="E309" s="9"/>
    </row>
    <row r="310" spans="1:5" ht="13" x14ac:dyDescent="0.3">
      <c r="A310" s="9"/>
      <c r="B310" s="9"/>
      <c r="C310" s="10"/>
      <c r="D310" s="9"/>
      <c r="E310" s="9"/>
    </row>
    <row r="311" spans="1:5" ht="13" x14ac:dyDescent="0.3">
      <c r="A311" s="9"/>
      <c r="B311" s="9"/>
      <c r="C311" s="10"/>
      <c r="D311" s="9"/>
      <c r="E311" s="9"/>
    </row>
    <row r="312" spans="1:5" ht="13" x14ac:dyDescent="0.3">
      <c r="A312" s="9"/>
      <c r="B312" s="9"/>
      <c r="C312" s="10"/>
      <c r="D312" s="9"/>
      <c r="E312" s="9"/>
    </row>
    <row r="313" spans="1:5" ht="13" x14ac:dyDescent="0.3">
      <c r="A313" s="9"/>
      <c r="B313" s="9"/>
      <c r="C313" s="10"/>
      <c r="D313" s="9"/>
      <c r="E313" s="9"/>
    </row>
    <row r="314" spans="1:5" ht="13" x14ac:dyDescent="0.3">
      <c r="A314" s="9"/>
      <c r="B314" s="9"/>
      <c r="C314" s="10"/>
      <c r="D314" s="9"/>
      <c r="E314" s="9"/>
    </row>
    <row r="315" spans="1:5" ht="13" x14ac:dyDescent="0.3">
      <c r="A315" s="9"/>
      <c r="B315" s="9"/>
      <c r="C315" s="10"/>
      <c r="D315" s="9"/>
      <c r="E315" s="9"/>
    </row>
    <row r="316" spans="1:5" ht="13" x14ac:dyDescent="0.3">
      <c r="A316" s="9"/>
      <c r="B316" s="9"/>
      <c r="C316" s="10"/>
      <c r="D316" s="9"/>
      <c r="E316" s="9"/>
    </row>
    <row r="317" spans="1:5" ht="13" x14ac:dyDescent="0.3">
      <c r="A317" s="9"/>
      <c r="B317" s="9"/>
      <c r="C317" s="10"/>
      <c r="D317" s="9"/>
      <c r="E317" s="9"/>
    </row>
    <row r="318" spans="1:5" ht="13" x14ac:dyDescent="0.3">
      <c r="A318" s="9"/>
      <c r="B318" s="9"/>
      <c r="C318" s="10"/>
      <c r="D318" s="9"/>
      <c r="E318" s="9"/>
    </row>
    <row r="319" spans="1:5" ht="13" x14ac:dyDescent="0.3">
      <c r="A319" s="9"/>
      <c r="B319" s="9"/>
      <c r="C319" s="10"/>
      <c r="D319" s="9"/>
      <c r="E319" s="9"/>
    </row>
    <row r="320" spans="1:5" ht="13" x14ac:dyDescent="0.3">
      <c r="A320" s="9"/>
      <c r="B320" s="9"/>
      <c r="C320" s="10"/>
      <c r="D320" s="9"/>
      <c r="E320" s="9"/>
    </row>
    <row r="321" spans="1:5" ht="13" x14ac:dyDescent="0.3">
      <c r="A321" s="9"/>
      <c r="B321" s="9"/>
      <c r="C321" s="10"/>
      <c r="D321" s="9"/>
      <c r="E321" s="9"/>
    </row>
    <row r="322" spans="1:5" ht="13" x14ac:dyDescent="0.3">
      <c r="A322" s="9"/>
      <c r="B322" s="9"/>
      <c r="C322" s="10"/>
      <c r="D322" s="9"/>
      <c r="E322" s="9"/>
    </row>
    <row r="323" spans="1:5" ht="13" x14ac:dyDescent="0.3">
      <c r="A323" s="9"/>
      <c r="B323" s="9"/>
      <c r="C323" s="10"/>
      <c r="D323" s="9"/>
      <c r="E323" s="9"/>
    </row>
    <row r="324" spans="1:5" ht="13" x14ac:dyDescent="0.3">
      <c r="A324" s="9"/>
      <c r="B324" s="9"/>
      <c r="C324" s="10"/>
      <c r="D324" s="9"/>
      <c r="E324" s="9"/>
    </row>
    <row r="325" spans="1:5" ht="13" x14ac:dyDescent="0.3">
      <c r="A325" s="9"/>
      <c r="B325" s="9"/>
      <c r="C325" s="10"/>
      <c r="D325" s="9"/>
      <c r="E325" s="9"/>
    </row>
    <row r="326" spans="1:5" ht="13" x14ac:dyDescent="0.3">
      <c r="A326" s="9"/>
      <c r="B326" s="9"/>
      <c r="C326" s="10"/>
      <c r="D326" s="9"/>
      <c r="E326" s="9"/>
    </row>
    <row r="327" spans="1:5" ht="13" x14ac:dyDescent="0.3">
      <c r="A327" s="9"/>
      <c r="B327" s="9"/>
      <c r="C327" s="10"/>
      <c r="D327" s="9"/>
      <c r="E327" s="9"/>
    </row>
    <row r="328" spans="1:5" ht="13" x14ac:dyDescent="0.3">
      <c r="A328" s="9"/>
      <c r="B328" s="9"/>
      <c r="C328" s="10"/>
      <c r="D328" s="9"/>
      <c r="E328" s="9"/>
    </row>
    <row r="329" spans="1:5" ht="13" x14ac:dyDescent="0.3">
      <c r="A329" s="9"/>
      <c r="B329" s="9"/>
      <c r="C329" s="10"/>
      <c r="D329" s="9"/>
      <c r="E329" s="9"/>
    </row>
    <row r="330" spans="1:5" ht="13" x14ac:dyDescent="0.3">
      <c r="A330" s="9"/>
      <c r="B330" s="9"/>
      <c r="C330" s="10"/>
      <c r="D330" s="9"/>
      <c r="E330" s="9"/>
    </row>
    <row r="331" spans="1:5" ht="13" x14ac:dyDescent="0.3">
      <c r="A331" s="9"/>
      <c r="B331" s="9"/>
      <c r="C331" s="10"/>
      <c r="D331" s="9"/>
      <c r="E331" s="9"/>
    </row>
    <row r="332" spans="1:5" ht="13" x14ac:dyDescent="0.3">
      <c r="A332" s="9"/>
      <c r="B332" s="9"/>
      <c r="C332" s="10"/>
      <c r="D332" s="9"/>
      <c r="E332" s="9"/>
    </row>
    <row r="333" spans="1:5" ht="13" x14ac:dyDescent="0.3">
      <c r="A333" s="9"/>
      <c r="B333" s="9"/>
      <c r="C333" s="10"/>
      <c r="D333" s="9"/>
      <c r="E333" s="9"/>
    </row>
    <row r="334" spans="1:5" ht="13" x14ac:dyDescent="0.3">
      <c r="A334" s="9"/>
      <c r="B334" s="9"/>
      <c r="C334" s="10"/>
      <c r="D334" s="9"/>
      <c r="E334" s="9"/>
    </row>
    <row r="335" spans="1:5" ht="13" x14ac:dyDescent="0.3">
      <c r="A335" s="9"/>
      <c r="B335" s="9"/>
      <c r="C335" s="10"/>
      <c r="D335" s="9"/>
      <c r="E335" s="9"/>
    </row>
    <row r="336" spans="1:5" ht="13" x14ac:dyDescent="0.3">
      <c r="A336" s="9"/>
      <c r="B336" s="9"/>
      <c r="C336" s="10"/>
      <c r="D336" s="9"/>
      <c r="E336" s="9"/>
    </row>
    <row r="337" spans="1:5" ht="13" x14ac:dyDescent="0.3">
      <c r="A337" s="9"/>
      <c r="B337" s="9"/>
      <c r="C337" s="10"/>
      <c r="D337" s="9"/>
      <c r="E337" s="9"/>
    </row>
    <row r="338" spans="1:5" ht="13" x14ac:dyDescent="0.3">
      <c r="A338" s="9"/>
      <c r="B338" s="9"/>
      <c r="C338" s="10"/>
      <c r="D338" s="9"/>
      <c r="E338" s="9"/>
    </row>
    <row r="339" spans="1:5" ht="13" x14ac:dyDescent="0.3">
      <c r="A339" s="9"/>
      <c r="B339" s="9"/>
      <c r="C339" s="10"/>
      <c r="D339" s="9"/>
      <c r="E339" s="9"/>
    </row>
    <row r="340" spans="1:5" ht="13" x14ac:dyDescent="0.3">
      <c r="A340" s="9"/>
      <c r="B340" s="9"/>
      <c r="C340" s="10"/>
      <c r="D340" s="9"/>
      <c r="E340" s="9"/>
    </row>
    <row r="341" spans="1:5" ht="13" x14ac:dyDescent="0.3">
      <c r="A341" s="9"/>
      <c r="B341" s="9"/>
      <c r="C341" s="10"/>
      <c r="D341" s="9"/>
      <c r="E341" s="9"/>
    </row>
    <row r="342" spans="1:5" ht="13" x14ac:dyDescent="0.3">
      <c r="A342" s="9"/>
      <c r="B342" s="9"/>
      <c r="C342" s="10"/>
      <c r="D342" s="9"/>
      <c r="E342" s="9"/>
    </row>
    <row r="343" spans="1:5" ht="13" x14ac:dyDescent="0.3">
      <c r="A343" s="9"/>
      <c r="B343" s="9"/>
      <c r="C343" s="10"/>
      <c r="D343" s="9"/>
      <c r="E343" s="9"/>
    </row>
    <row r="344" spans="1:5" ht="13" x14ac:dyDescent="0.3">
      <c r="A344" s="9"/>
      <c r="B344" s="9"/>
      <c r="C344" s="10"/>
      <c r="D344" s="9"/>
      <c r="E344" s="9"/>
    </row>
    <row r="345" spans="1:5" ht="13" x14ac:dyDescent="0.3">
      <c r="A345" s="9"/>
      <c r="B345" s="9"/>
      <c r="C345" s="10"/>
      <c r="D345" s="9"/>
      <c r="E345" s="9"/>
    </row>
    <row r="346" spans="1:5" ht="13" x14ac:dyDescent="0.3">
      <c r="A346" s="9"/>
      <c r="B346" s="9"/>
      <c r="C346" s="10"/>
      <c r="D346" s="9"/>
      <c r="E346" s="9"/>
    </row>
    <row r="347" spans="1:5" ht="13" x14ac:dyDescent="0.3">
      <c r="A347" s="9"/>
      <c r="B347" s="9"/>
      <c r="C347" s="10"/>
      <c r="D347" s="9"/>
      <c r="E347" s="9"/>
    </row>
    <row r="348" spans="1:5" ht="13" x14ac:dyDescent="0.3">
      <c r="A348" s="9"/>
      <c r="B348" s="9"/>
      <c r="C348" s="10"/>
      <c r="D348" s="9"/>
      <c r="E348" s="9"/>
    </row>
    <row r="349" spans="1:5" ht="13" x14ac:dyDescent="0.3">
      <c r="A349" s="9"/>
      <c r="B349" s="9"/>
      <c r="C349" s="10"/>
      <c r="D349" s="9"/>
      <c r="E349" s="9"/>
    </row>
    <row r="350" spans="1:5" ht="13" x14ac:dyDescent="0.3">
      <c r="A350" s="9"/>
      <c r="B350" s="9"/>
      <c r="C350" s="10"/>
      <c r="D350" s="9"/>
      <c r="E350" s="9"/>
    </row>
    <row r="351" spans="1:5" ht="13" x14ac:dyDescent="0.3">
      <c r="A351" s="9"/>
      <c r="B351" s="9"/>
      <c r="C351" s="10"/>
      <c r="D351" s="9"/>
      <c r="E351" s="9"/>
    </row>
    <row r="352" spans="1:5" ht="13" x14ac:dyDescent="0.3">
      <c r="A352" s="9"/>
      <c r="B352" s="9"/>
      <c r="C352" s="10"/>
      <c r="D352" s="9"/>
      <c r="E352" s="9"/>
    </row>
    <row r="353" spans="1:5" ht="13" x14ac:dyDescent="0.3">
      <c r="A353" s="9"/>
      <c r="B353" s="9"/>
      <c r="C353" s="10"/>
      <c r="D353" s="9"/>
      <c r="E353" s="9"/>
    </row>
    <row r="354" spans="1:5" ht="13" x14ac:dyDescent="0.3">
      <c r="A354" s="9"/>
      <c r="B354" s="9"/>
      <c r="C354" s="10"/>
      <c r="D354" s="9"/>
      <c r="E354" s="9"/>
    </row>
    <row r="355" spans="1:5" ht="13" x14ac:dyDescent="0.3">
      <c r="A355" s="9"/>
      <c r="B355" s="9"/>
      <c r="C355" s="10"/>
      <c r="D355" s="9"/>
      <c r="E355" s="9"/>
    </row>
    <row r="356" spans="1:5" ht="13" x14ac:dyDescent="0.3">
      <c r="A356" s="9"/>
      <c r="B356" s="9"/>
      <c r="C356" s="10"/>
      <c r="D356" s="9"/>
      <c r="E356" s="9"/>
    </row>
    <row r="357" spans="1:5" ht="13" x14ac:dyDescent="0.3">
      <c r="A357" s="9"/>
      <c r="B357" s="9"/>
      <c r="C357" s="10"/>
      <c r="D357" s="9"/>
      <c r="E357" s="9"/>
    </row>
    <row r="358" spans="1:5" ht="13" x14ac:dyDescent="0.3">
      <c r="A358" s="9"/>
      <c r="B358" s="9"/>
      <c r="C358" s="10"/>
      <c r="D358" s="9"/>
      <c r="E358" s="9"/>
    </row>
    <row r="359" spans="1:5" ht="13" x14ac:dyDescent="0.3">
      <c r="A359" s="9"/>
      <c r="B359" s="9"/>
      <c r="C359" s="10"/>
      <c r="D359" s="9"/>
      <c r="E359" s="9"/>
    </row>
    <row r="360" spans="1:5" ht="13" x14ac:dyDescent="0.3">
      <c r="A360" s="9"/>
      <c r="B360" s="9"/>
      <c r="C360" s="10"/>
      <c r="D360" s="9"/>
      <c r="E360" s="9"/>
    </row>
    <row r="361" spans="1:5" ht="13" x14ac:dyDescent="0.3">
      <c r="A361" s="9"/>
      <c r="B361" s="9"/>
      <c r="C361" s="10"/>
      <c r="D361" s="9"/>
      <c r="E361" s="9"/>
    </row>
    <row r="362" spans="1:5" ht="13" x14ac:dyDescent="0.3">
      <c r="A362" s="9"/>
      <c r="B362" s="9"/>
      <c r="C362" s="10"/>
      <c r="D362" s="9"/>
      <c r="E362" s="9"/>
    </row>
    <row r="363" spans="1:5" ht="13" x14ac:dyDescent="0.3">
      <c r="A363" s="9"/>
      <c r="B363" s="9"/>
      <c r="C363" s="10"/>
      <c r="D363" s="9"/>
      <c r="E363" s="9"/>
    </row>
    <row r="364" spans="1:5" ht="13" x14ac:dyDescent="0.3">
      <c r="A364" s="9"/>
      <c r="B364" s="9"/>
      <c r="C364" s="10"/>
      <c r="D364" s="9"/>
      <c r="E364" s="9"/>
    </row>
    <row r="365" spans="1:5" ht="13" x14ac:dyDescent="0.3">
      <c r="A365" s="9"/>
      <c r="B365" s="9"/>
      <c r="C365" s="10"/>
      <c r="D365" s="9"/>
      <c r="E365" s="9"/>
    </row>
    <row r="366" spans="1:5" ht="13" x14ac:dyDescent="0.3">
      <c r="A366" s="9"/>
      <c r="B366" s="9"/>
      <c r="C366" s="10"/>
      <c r="D366" s="9"/>
      <c r="E366" s="9"/>
    </row>
    <row r="367" spans="1:5" ht="13" x14ac:dyDescent="0.3">
      <c r="A367" s="9"/>
      <c r="B367" s="9"/>
      <c r="C367" s="10"/>
      <c r="D367" s="9"/>
      <c r="E367" s="9"/>
    </row>
    <row r="368" spans="1:5" ht="13" x14ac:dyDescent="0.3">
      <c r="A368" s="9"/>
      <c r="B368" s="9"/>
      <c r="C368" s="10"/>
      <c r="D368" s="9"/>
      <c r="E368" s="9"/>
    </row>
    <row r="369" spans="1:5" ht="13" x14ac:dyDescent="0.3">
      <c r="A369" s="9"/>
      <c r="B369" s="9"/>
      <c r="C369" s="10"/>
      <c r="D369" s="9"/>
      <c r="E369" s="9"/>
    </row>
    <row r="370" spans="1:5" ht="13" x14ac:dyDescent="0.3">
      <c r="A370" s="9"/>
      <c r="B370" s="9"/>
      <c r="C370" s="10"/>
      <c r="D370" s="9"/>
      <c r="E370" s="9"/>
    </row>
    <row r="371" spans="1:5" ht="13" x14ac:dyDescent="0.3">
      <c r="A371" s="9"/>
      <c r="B371" s="9"/>
      <c r="C371" s="10"/>
      <c r="D371" s="9"/>
      <c r="E371" s="9"/>
    </row>
    <row r="372" spans="1:5" ht="13" x14ac:dyDescent="0.3">
      <c r="A372" s="9"/>
      <c r="B372" s="9"/>
      <c r="C372" s="10"/>
      <c r="D372" s="9"/>
      <c r="E372" s="9"/>
    </row>
    <row r="373" spans="1:5" ht="13" x14ac:dyDescent="0.3">
      <c r="A373" s="9"/>
      <c r="B373" s="9"/>
      <c r="C373" s="10"/>
      <c r="D373" s="9"/>
      <c r="E373" s="9"/>
    </row>
    <row r="374" spans="1:5" ht="13" x14ac:dyDescent="0.3">
      <c r="A374" s="9"/>
      <c r="B374" s="9"/>
      <c r="C374" s="10"/>
      <c r="D374" s="9"/>
      <c r="E374" s="9"/>
    </row>
    <row r="375" spans="1:5" ht="13" x14ac:dyDescent="0.3">
      <c r="A375" s="9"/>
      <c r="B375" s="9"/>
      <c r="C375" s="10"/>
      <c r="D375" s="9"/>
      <c r="E375" s="9"/>
    </row>
    <row r="376" spans="1:5" ht="13" x14ac:dyDescent="0.3">
      <c r="A376" s="9"/>
      <c r="B376" s="9"/>
      <c r="C376" s="10"/>
      <c r="D376" s="9"/>
      <c r="E376" s="9"/>
    </row>
    <row r="377" spans="1:5" ht="13" x14ac:dyDescent="0.3">
      <c r="A377" s="9"/>
      <c r="B377" s="9"/>
      <c r="C377" s="10"/>
      <c r="D377" s="9"/>
      <c r="E377" s="9"/>
    </row>
    <row r="378" spans="1:5" ht="13" x14ac:dyDescent="0.3">
      <c r="A378" s="9"/>
      <c r="B378" s="9"/>
      <c r="C378" s="10"/>
      <c r="D378" s="9"/>
      <c r="E378" s="9"/>
    </row>
    <row r="379" spans="1:5" ht="13" x14ac:dyDescent="0.3">
      <c r="A379" s="9"/>
      <c r="B379" s="9"/>
      <c r="C379" s="10"/>
      <c r="D379" s="9"/>
      <c r="E379" s="9"/>
    </row>
    <row r="380" spans="1:5" ht="13" x14ac:dyDescent="0.3">
      <c r="A380" s="9"/>
      <c r="B380" s="9"/>
      <c r="C380" s="10"/>
      <c r="D380" s="9"/>
      <c r="E380" s="9"/>
    </row>
    <row r="381" spans="1:5" ht="13" x14ac:dyDescent="0.3">
      <c r="A381" s="9"/>
      <c r="B381" s="9"/>
      <c r="C381" s="10"/>
      <c r="D381" s="9"/>
      <c r="E381" s="9"/>
    </row>
    <row r="382" spans="1:5" ht="13" x14ac:dyDescent="0.3">
      <c r="A382" s="9"/>
      <c r="B382" s="9"/>
      <c r="C382" s="10"/>
      <c r="D382" s="9"/>
      <c r="E382" s="9"/>
    </row>
    <row r="383" spans="1:5" ht="13" x14ac:dyDescent="0.3">
      <c r="A383" s="9"/>
      <c r="B383" s="9"/>
      <c r="C383" s="10"/>
      <c r="D383" s="9"/>
      <c r="E383" s="9"/>
    </row>
    <row r="384" spans="1:5" ht="13" x14ac:dyDescent="0.3">
      <c r="A384" s="9"/>
      <c r="B384" s="9"/>
      <c r="C384" s="10"/>
      <c r="D384" s="9"/>
      <c r="E384" s="9"/>
    </row>
    <row r="385" spans="1:5" ht="13" x14ac:dyDescent="0.3">
      <c r="A385" s="9"/>
      <c r="B385" s="9"/>
      <c r="C385" s="10"/>
      <c r="D385" s="9"/>
      <c r="E385" s="9"/>
    </row>
    <row r="386" spans="1:5" ht="13" x14ac:dyDescent="0.3">
      <c r="A386" s="9"/>
      <c r="B386" s="9"/>
      <c r="C386" s="10"/>
      <c r="D386" s="9"/>
      <c r="E386" s="9"/>
    </row>
    <row r="387" spans="1:5" ht="13" x14ac:dyDescent="0.3">
      <c r="A387" s="9"/>
      <c r="B387" s="9"/>
      <c r="C387" s="10"/>
      <c r="D387" s="9"/>
      <c r="E387" s="9"/>
    </row>
    <row r="388" spans="1:5" ht="13" x14ac:dyDescent="0.3">
      <c r="A388" s="9"/>
      <c r="B388" s="9"/>
      <c r="C388" s="10"/>
      <c r="D388" s="9"/>
      <c r="E388" s="9"/>
    </row>
    <row r="389" spans="1:5" ht="13" x14ac:dyDescent="0.3">
      <c r="A389" s="9"/>
      <c r="B389" s="9"/>
      <c r="C389" s="10"/>
      <c r="D389" s="9"/>
      <c r="E389" s="9"/>
    </row>
    <row r="390" spans="1:5" ht="13" x14ac:dyDescent="0.3">
      <c r="A390" s="9"/>
      <c r="B390" s="9"/>
      <c r="C390" s="10"/>
      <c r="D390" s="9"/>
      <c r="E390" s="9"/>
    </row>
    <row r="391" spans="1:5" ht="13" x14ac:dyDescent="0.3">
      <c r="A391" s="9"/>
      <c r="B391" s="9"/>
      <c r="C391" s="10"/>
      <c r="D391" s="9"/>
      <c r="E391" s="9"/>
    </row>
    <row r="392" spans="1:5" ht="13" x14ac:dyDescent="0.3">
      <c r="A392" s="9"/>
      <c r="B392" s="9"/>
      <c r="C392" s="10"/>
      <c r="D392" s="9"/>
      <c r="E392" s="9"/>
    </row>
    <row r="393" spans="1:5" ht="13" x14ac:dyDescent="0.3">
      <c r="A393" s="9"/>
      <c r="B393" s="9"/>
      <c r="C393" s="10"/>
      <c r="D393" s="9"/>
      <c r="E393" s="9"/>
    </row>
    <row r="394" spans="1:5" ht="13" x14ac:dyDescent="0.3">
      <c r="A394" s="9"/>
      <c r="B394" s="9"/>
      <c r="C394" s="10"/>
      <c r="D394" s="9"/>
      <c r="E394" s="9"/>
    </row>
    <row r="395" spans="1:5" ht="13" x14ac:dyDescent="0.3">
      <c r="A395" s="9"/>
      <c r="B395" s="9"/>
      <c r="C395" s="10"/>
      <c r="D395" s="9"/>
      <c r="E395" s="9"/>
    </row>
    <row r="396" spans="1:5" ht="13" x14ac:dyDescent="0.3">
      <c r="A396" s="9"/>
      <c r="B396" s="9"/>
      <c r="C396" s="10"/>
      <c r="D396" s="9"/>
      <c r="E396" s="9"/>
    </row>
    <row r="397" spans="1:5" ht="13" x14ac:dyDescent="0.3">
      <c r="A397" s="9"/>
      <c r="B397" s="9"/>
      <c r="C397" s="10"/>
      <c r="D397" s="9"/>
      <c r="E397" s="9"/>
    </row>
    <row r="398" spans="1:5" ht="13" x14ac:dyDescent="0.3">
      <c r="A398" s="9"/>
      <c r="B398" s="9"/>
      <c r="C398" s="10"/>
      <c r="D398" s="9"/>
      <c r="E398" s="9"/>
    </row>
    <row r="399" spans="1:5" ht="13" x14ac:dyDescent="0.3">
      <c r="A399" s="9"/>
      <c r="B399" s="9"/>
      <c r="C399" s="10"/>
      <c r="D399" s="9"/>
      <c r="E399" s="9"/>
    </row>
    <row r="400" spans="1:5" ht="13" x14ac:dyDescent="0.3">
      <c r="A400" s="9"/>
      <c r="B400" s="9"/>
      <c r="C400" s="10"/>
      <c r="D400" s="9"/>
      <c r="E400" s="9"/>
    </row>
    <row r="401" spans="1:5" ht="13" x14ac:dyDescent="0.3">
      <c r="A401" s="9"/>
      <c r="B401" s="9"/>
      <c r="C401" s="10"/>
      <c r="D401" s="9"/>
      <c r="E401" s="9"/>
    </row>
    <row r="402" spans="1:5" ht="13" x14ac:dyDescent="0.3">
      <c r="A402" s="9"/>
      <c r="B402" s="9"/>
      <c r="C402" s="10"/>
      <c r="D402" s="9"/>
      <c r="E402" s="9"/>
    </row>
    <row r="403" spans="1:5" ht="13" x14ac:dyDescent="0.3">
      <c r="A403" s="9"/>
      <c r="B403" s="9"/>
      <c r="C403" s="10"/>
      <c r="D403" s="9"/>
      <c r="E403" s="9"/>
    </row>
    <row r="404" spans="1:5" ht="13" x14ac:dyDescent="0.3">
      <c r="A404" s="9"/>
      <c r="B404" s="9"/>
      <c r="C404" s="10"/>
      <c r="D404" s="9"/>
      <c r="E404" s="9"/>
    </row>
    <row r="405" spans="1:5" ht="13" x14ac:dyDescent="0.3">
      <c r="A405" s="9"/>
      <c r="B405" s="9"/>
      <c r="C405" s="10"/>
      <c r="D405" s="9"/>
      <c r="E405" s="9"/>
    </row>
    <row r="406" spans="1:5" ht="13" x14ac:dyDescent="0.3">
      <c r="A406" s="9"/>
      <c r="B406" s="9"/>
      <c r="C406" s="10"/>
      <c r="D406" s="9"/>
      <c r="E406" s="9"/>
    </row>
    <row r="407" spans="1:5" ht="13" x14ac:dyDescent="0.3">
      <c r="A407" s="9"/>
      <c r="B407" s="9"/>
      <c r="C407" s="10"/>
      <c r="D407" s="9"/>
      <c r="E407" s="9"/>
    </row>
    <row r="408" spans="1:5" ht="13" x14ac:dyDescent="0.3">
      <c r="A408" s="9"/>
      <c r="B408" s="9"/>
      <c r="C408" s="10"/>
      <c r="D408" s="9"/>
      <c r="E408" s="9"/>
    </row>
    <row r="409" spans="1:5" ht="13" x14ac:dyDescent="0.3">
      <c r="A409" s="9"/>
      <c r="B409" s="9"/>
      <c r="C409" s="10"/>
      <c r="D409" s="9"/>
      <c r="E409" s="9"/>
    </row>
    <row r="410" spans="1:5" ht="13" x14ac:dyDescent="0.3">
      <c r="A410" s="9"/>
      <c r="B410" s="9"/>
      <c r="C410" s="10"/>
      <c r="D410" s="9"/>
      <c r="E410" s="9"/>
    </row>
    <row r="411" spans="1:5" ht="13" x14ac:dyDescent="0.3">
      <c r="A411" s="9"/>
      <c r="B411" s="9"/>
      <c r="C411" s="10"/>
      <c r="D411" s="9"/>
      <c r="E411" s="9"/>
    </row>
    <row r="412" spans="1:5" ht="13" x14ac:dyDescent="0.3">
      <c r="A412" s="9"/>
      <c r="B412" s="9"/>
      <c r="C412" s="10"/>
      <c r="D412" s="9"/>
      <c r="E412" s="9"/>
    </row>
    <row r="413" spans="1:5" ht="13" x14ac:dyDescent="0.3">
      <c r="A413" s="9"/>
      <c r="B413" s="9"/>
      <c r="C413" s="10"/>
      <c r="D413" s="9"/>
      <c r="E413" s="9"/>
    </row>
    <row r="414" spans="1:5" ht="13" x14ac:dyDescent="0.3">
      <c r="A414" s="9"/>
      <c r="B414" s="9"/>
      <c r="C414" s="10"/>
      <c r="D414" s="9"/>
      <c r="E414" s="9"/>
    </row>
    <row r="415" spans="1:5" ht="13" x14ac:dyDescent="0.3">
      <c r="A415" s="9"/>
      <c r="B415" s="9"/>
      <c r="C415" s="10"/>
      <c r="D415" s="9"/>
      <c r="E415" s="9"/>
    </row>
    <row r="416" spans="1:5" ht="13" x14ac:dyDescent="0.3">
      <c r="A416" s="9"/>
      <c r="B416" s="9"/>
      <c r="C416" s="10"/>
      <c r="D416" s="9"/>
      <c r="E416" s="9"/>
    </row>
    <row r="417" spans="1:5" ht="13" x14ac:dyDescent="0.3">
      <c r="A417" s="9"/>
      <c r="B417" s="9"/>
      <c r="C417" s="10"/>
      <c r="D417" s="9"/>
      <c r="E417" s="9"/>
    </row>
    <row r="418" spans="1:5" ht="13" x14ac:dyDescent="0.3">
      <c r="A418" s="9"/>
      <c r="B418" s="9"/>
      <c r="C418" s="10"/>
      <c r="D418" s="9"/>
      <c r="E418" s="9"/>
    </row>
    <row r="419" spans="1:5" ht="13" x14ac:dyDescent="0.3">
      <c r="A419" s="9"/>
      <c r="B419" s="9"/>
      <c r="C419" s="10"/>
      <c r="D419" s="9"/>
      <c r="E419" s="9"/>
    </row>
    <row r="420" spans="1:5" ht="13" x14ac:dyDescent="0.3">
      <c r="A420" s="9"/>
      <c r="B420" s="9"/>
      <c r="C420" s="10"/>
      <c r="D420" s="9"/>
      <c r="E420" s="9"/>
    </row>
    <row r="421" spans="1:5" ht="13" x14ac:dyDescent="0.3">
      <c r="A421" s="9"/>
      <c r="B421" s="9"/>
      <c r="C421" s="10"/>
      <c r="D421" s="9"/>
      <c r="E421" s="9"/>
    </row>
    <row r="422" spans="1:5" ht="13" x14ac:dyDescent="0.3">
      <c r="A422" s="9"/>
      <c r="B422" s="9"/>
      <c r="C422" s="10"/>
      <c r="D422" s="9"/>
      <c r="E422" s="9"/>
    </row>
    <row r="423" spans="1:5" ht="13" x14ac:dyDescent="0.3">
      <c r="A423" s="9"/>
      <c r="B423" s="9"/>
      <c r="C423" s="10"/>
      <c r="D423" s="9"/>
      <c r="E423" s="9"/>
    </row>
    <row r="424" spans="1:5" ht="13" x14ac:dyDescent="0.3">
      <c r="A424" s="9"/>
      <c r="B424" s="9"/>
      <c r="C424" s="10"/>
      <c r="D424" s="9"/>
      <c r="E424" s="9"/>
    </row>
    <row r="425" spans="1:5" ht="13" x14ac:dyDescent="0.3">
      <c r="A425" s="9"/>
      <c r="B425" s="9"/>
      <c r="C425" s="10"/>
      <c r="D425" s="9"/>
      <c r="E425" s="9"/>
    </row>
    <row r="426" spans="1:5" ht="13" x14ac:dyDescent="0.3">
      <c r="A426" s="9"/>
      <c r="B426" s="9"/>
      <c r="C426" s="10"/>
      <c r="D426" s="9"/>
      <c r="E426" s="9"/>
    </row>
    <row r="427" spans="1:5" ht="13" x14ac:dyDescent="0.3">
      <c r="A427" s="9"/>
      <c r="B427" s="9"/>
      <c r="C427" s="10"/>
      <c r="D427" s="9"/>
      <c r="E427" s="9"/>
    </row>
    <row r="428" spans="1:5" ht="13" x14ac:dyDescent="0.3">
      <c r="A428" s="9"/>
      <c r="B428" s="9"/>
      <c r="C428" s="10"/>
      <c r="D428" s="9"/>
      <c r="E428" s="9"/>
    </row>
    <row r="429" spans="1:5" ht="13" x14ac:dyDescent="0.3">
      <c r="A429" s="9"/>
      <c r="B429" s="9"/>
      <c r="C429" s="10"/>
      <c r="D429" s="9"/>
      <c r="E429" s="9"/>
    </row>
    <row r="430" spans="1:5" ht="13" x14ac:dyDescent="0.3">
      <c r="A430" s="9"/>
      <c r="B430" s="9"/>
      <c r="C430" s="10"/>
      <c r="D430" s="9"/>
      <c r="E430" s="9"/>
    </row>
    <row r="431" spans="1:5" ht="13" x14ac:dyDescent="0.3">
      <c r="A431" s="9"/>
      <c r="B431" s="9"/>
      <c r="C431" s="10"/>
      <c r="D431" s="9"/>
      <c r="E431" s="9"/>
    </row>
    <row r="432" spans="1:5" ht="13" x14ac:dyDescent="0.3">
      <c r="A432" s="9"/>
      <c r="B432" s="9"/>
      <c r="C432" s="10"/>
      <c r="D432" s="9"/>
      <c r="E432" s="9"/>
    </row>
    <row r="433" spans="1:5" ht="13" x14ac:dyDescent="0.3">
      <c r="A433" s="9"/>
      <c r="B433" s="9"/>
      <c r="C433" s="10"/>
      <c r="D433" s="9"/>
      <c r="E433" s="9"/>
    </row>
    <row r="434" spans="1:5" ht="13" x14ac:dyDescent="0.3">
      <c r="A434" s="9"/>
      <c r="B434" s="9"/>
      <c r="C434" s="10"/>
      <c r="D434" s="9"/>
      <c r="E434" s="9"/>
    </row>
    <row r="435" spans="1:5" ht="13" x14ac:dyDescent="0.3">
      <c r="A435" s="9"/>
      <c r="B435" s="9"/>
      <c r="C435" s="10"/>
      <c r="D435" s="9"/>
      <c r="E435" s="9"/>
    </row>
    <row r="436" spans="1:5" ht="13" x14ac:dyDescent="0.3">
      <c r="A436" s="9"/>
      <c r="B436" s="9"/>
      <c r="C436" s="10"/>
      <c r="D436" s="9"/>
      <c r="E436" s="9"/>
    </row>
    <row r="437" spans="1:5" ht="13" x14ac:dyDescent="0.3">
      <c r="A437" s="9"/>
      <c r="B437" s="9"/>
      <c r="C437" s="10"/>
      <c r="D437" s="9"/>
      <c r="E437" s="9"/>
    </row>
    <row r="438" spans="1:5" ht="13" x14ac:dyDescent="0.3">
      <c r="A438" s="9"/>
      <c r="B438" s="9"/>
      <c r="C438" s="10"/>
      <c r="D438" s="9"/>
      <c r="E438" s="9"/>
    </row>
    <row r="439" spans="1:5" ht="13" x14ac:dyDescent="0.3">
      <c r="A439" s="9"/>
      <c r="B439" s="9"/>
      <c r="C439" s="10"/>
      <c r="D439" s="9"/>
      <c r="E439" s="9"/>
    </row>
    <row r="440" spans="1:5" ht="13" x14ac:dyDescent="0.3">
      <c r="A440" s="9"/>
      <c r="B440" s="9"/>
      <c r="C440" s="10"/>
      <c r="D440" s="9"/>
      <c r="E440" s="9"/>
    </row>
    <row r="441" spans="1:5" ht="13" x14ac:dyDescent="0.3">
      <c r="A441" s="9"/>
      <c r="B441" s="9"/>
      <c r="C441" s="10"/>
      <c r="D441" s="9"/>
      <c r="E441" s="9"/>
    </row>
    <row r="442" spans="1:5" ht="13" x14ac:dyDescent="0.3">
      <c r="A442" s="9"/>
      <c r="B442" s="9"/>
      <c r="C442" s="10"/>
      <c r="D442" s="9"/>
      <c r="E442" s="9"/>
    </row>
    <row r="443" spans="1:5" ht="13" x14ac:dyDescent="0.3">
      <c r="A443" s="9"/>
      <c r="B443" s="9"/>
      <c r="C443" s="10"/>
      <c r="D443" s="9"/>
      <c r="E443" s="9"/>
    </row>
    <row r="444" spans="1:5" ht="13" x14ac:dyDescent="0.3">
      <c r="A444" s="9"/>
      <c r="B444" s="9"/>
      <c r="C444" s="10"/>
      <c r="D444" s="9"/>
      <c r="E444" s="9"/>
    </row>
    <row r="445" spans="1:5" ht="13" x14ac:dyDescent="0.3">
      <c r="A445" s="9"/>
      <c r="B445" s="9"/>
      <c r="C445" s="10"/>
      <c r="D445" s="9"/>
      <c r="E445" s="9"/>
    </row>
    <row r="446" spans="1:5" ht="13" x14ac:dyDescent="0.3">
      <c r="A446" s="9"/>
      <c r="B446" s="9"/>
      <c r="C446" s="10"/>
      <c r="D446" s="9"/>
      <c r="E446" s="9"/>
    </row>
    <row r="447" spans="1:5" ht="13" x14ac:dyDescent="0.3">
      <c r="A447" s="9"/>
      <c r="B447" s="9"/>
      <c r="C447" s="10"/>
      <c r="D447" s="9"/>
      <c r="E447" s="9"/>
    </row>
    <row r="448" spans="1:5" ht="13" x14ac:dyDescent="0.3">
      <c r="A448" s="9"/>
      <c r="B448" s="9"/>
      <c r="C448" s="10"/>
      <c r="D448" s="9"/>
      <c r="E448" s="9"/>
    </row>
    <row r="449" spans="1:5" ht="13" x14ac:dyDescent="0.3">
      <c r="A449" s="9"/>
      <c r="B449" s="9"/>
      <c r="C449" s="10"/>
      <c r="D449" s="9"/>
      <c r="E449" s="9"/>
    </row>
    <row r="450" spans="1:5" ht="13" x14ac:dyDescent="0.3">
      <c r="A450" s="9"/>
      <c r="B450" s="9"/>
      <c r="C450" s="10"/>
      <c r="D450" s="9"/>
      <c r="E450" s="9"/>
    </row>
    <row r="451" spans="1:5" ht="13" x14ac:dyDescent="0.3">
      <c r="A451" s="9"/>
      <c r="B451" s="9"/>
      <c r="C451" s="10"/>
      <c r="D451" s="9"/>
      <c r="E451" s="9"/>
    </row>
    <row r="452" spans="1:5" ht="13" x14ac:dyDescent="0.3">
      <c r="A452" s="9"/>
      <c r="B452" s="9"/>
      <c r="C452" s="10"/>
      <c r="D452" s="9"/>
      <c r="E452" s="9"/>
    </row>
    <row r="453" spans="1:5" ht="13" x14ac:dyDescent="0.3">
      <c r="A453" s="9"/>
      <c r="B453" s="9"/>
      <c r="C453" s="10"/>
      <c r="D453" s="9"/>
      <c r="E453" s="9"/>
    </row>
    <row r="454" spans="1:5" ht="13" x14ac:dyDescent="0.3">
      <c r="A454" s="9"/>
      <c r="B454" s="9"/>
      <c r="C454" s="10"/>
      <c r="D454" s="9"/>
      <c r="E454" s="9"/>
    </row>
    <row r="455" spans="1:5" ht="13" x14ac:dyDescent="0.3">
      <c r="A455" s="9"/>
      <c r="B455" s="9"/>
      <c r="C455" s="10"/>
      <c r="D455" s="9"/>
      <c r="E455" s="9"/>
    </row>
    <row r="456" spans="1:5" ht="13" x14ac:dyDescent="0.3">
      <c r="A456" s="9"/>
      <c r="B456" s="9"/>
      <c r="C456" s="10"/>
      <c r="D456" s="9"/>
      <c r="E456" s="9"/>
    </row>
    <row r="457" spans="1:5" ht="13" x14ac:dyDescent="0.3">
      <c r="A457" s="9"/>
      <c r="B457" s="9"/>
      <c r="C457" s="10"/>
      <c r="D457" s="9"/>
      <c r="E457" s="9"/>
    </row>
    <row r="458" spans="1:5" ht="13" x14ac:dyDescent="0.3">
      <c r="A458" s="9"/>
      <c r="B458" s="9"/>
      <c r="C458" s="10"/>
      <c r="D458" s="9"/>
      <c r="E458" s="9"/>
    </row>
    <row r="459" spans="1:5" ht="13" x14ac:dyDescent="0.3">
      <c r="A459" s="9"/>
      <c r="B459" s="9"/>
      <c r="C459" s="10"/>
      <c r="D459" s="9"/>
      <c r="E459" s="9"/>
    </row>
    <row r="460" spans="1:5" ht="13" x14ac:dyDescent="0.3">
      <c r="A460" s="9"/>
      <c r="B460" s="9"/>
      <c r="C460" s="10"/>
      <c r="D460" s="9"/>
      <c r="E460" s="9"/>
    </row>
    <row r="461" spans="1:5" ht="13" x14ac:dyDescent="0.3">
      <c r="A461" s="9"/>
      <c r="B461" s="9"/>
      <c r="C461" s="10"/>
      <c r="D461" s="9"/>
      <c r="E461" s="9"/>
    </row>
    <row r="462" spans="1:5" ht="13" x14ac:dyDescent="0.3">
      <c r="A462" s="9"/>
      <c r="B462" s="9"/>
      <c r="C462" s="10"/>
      <c r="D462" s="9"/>
      <c r="E462" s="9"/>
    </row>
    <row r="463" spans="1:5" ht="13" x14ac:dyDescent="0.3">
      <c r="A463" s="9"/>
      <c r="B463" s="9"/>
      <c r="C463" s="10"/>
      <c r="D463" s="9"/>
      <c r="E463" s="9"/>
    </row>
    <row r="464" spans="1:5" ht="13" x14ac:dyDescent="0.3">
      <c r="A464" s="9"/>
      <c r="B464" s="9"/>
      <c r="C464" s="10"/>
      <c r="D464" s="9"/>
      <c r="E464" s="9"/>
    </row>
    <row r="465" spans="1:5" ht="13" x14ac:dyDescent="0.3">
      <c r="A465" s="9"/>
      <c r="B465" s="9"/>
      <c r="C465" s="10"/>
      <c r="D465" s="9"/>
      <c r="E465" s="9"/>
    </row>
    <row r="466" spans="1:5" ht="13" x14ac:dyDescent="0.3">
      <c r="A466" s="9"/>
      <c r="B466" s="9"/>
      <c r="C466" s="10"/>
      <c r="D466" s="9"/>
      <c r="E466" s="9"/>
    </row>
    <row r="467" spans="1:5" ht="13" x14ac:dyDescent="0.3">
      <c r="A467" s="9"/>
      <c r="B467" s="9"/>
      <c r="C467" s="10"/>
      <c r="D467" s="9"/>
      <c r="E467" s="9"/>
    </row>
    <row r="468" spans="1:5" ht="13" x14ac:dyDescent="0.3">
      <c r="A468" s="9"/>
      <c r="B468" s="9"/>
      <c r="C468" s="10"/>
      <c r="D468" s="9"/>
      <c r="E468" s="9"/>
    </row>
    <row r="469" spans="1:5" ht="13" x14ac:dyDescent="0.3">
      <c r="A469" s="9"/>
      <c r="B469" s="9"/>
      <c r="C469" s="10"/>
      <c r="D469" s="9"/>
      <c r="E469" s="9"/>
    </row>
    <row r="470" spans="1:5" ht="13" x14ac:dyDescent="0.3">
      <c r="A470" s="9"/>
      <c r="B470" s="9"/>
      <c r="C470" s="10"/>
      <c r="D470" s="9"/>
      <c r="E470" s="9"/>
    </row>
    <row r="471" spans="1:5" ht="13" x14ac:dyDescent="0.3">
      <c r="A471" s="9"/>
      <c r="B471" s="9"/>
      <c r="C471" s="10"/>
      <c r="D471" s="9"/>
      <c r="E471" s="9"/>
    </row>
    <row r="472" spans="1:5" ht="13" x14ac:dyDescent="0.3">
      <c r="A472" s="9"/>
      <c r="B472" s="9"/>
      <c r="C472" s="10"/>
      <c r="D472" s="9"/>
      <c r="E472" s="9"/>
    </row>
    <row r="473" spans="1:5" ht="13" x14ac:dyDescent="0.3">
      <c r="A473" s="9"/>
      <c r="B473" s="9"/>
      <c r="C473" s="10"/>
      <c r="D473" s="9"/>
      <c r="E473" s="9"/>
    </row>
    <row r="474" spans="1:5" ht="13" x14ac:dyDescent="0.3">
      <c r="A474" s="9"/>
      <c r="B474" s="9"/>
      <c r="C474" s="10"/>
      <c r="D474" s="9"/>
      <c r="E474" s="9"/>
    </row>
    <row r="475" spans="1:5" ht="13" x14ac:dyDescent="0.3">
      <c r="A475" s="9"/>
      <c r="B475" s="9"/>
      <c r="C475" s="10"/>
      <c r="D475" s="9"/>
      <c r="E475" s="9"/>
    </row>
    <row r="476" spans="1:5" ht="13" x14ac:dyDescent="0.3">
      <c r="A476" s="9"/>
      <c r="B476" s="9"/>
      <c r="C476" s="10"/>
      <c r="D476" s="9"/>
      <c r="E476" s="9"/>
    </row>
    <row r="477" spans="1:5" ht="13" x14ac:dyDescent="0.3">
      <c r="A477" s="9"/>
      <c r="B477" s="9"/>
      <c r="C477" s="10"/>
      <c r="D477" s="9"/>
      <c r="E477" s="9"/>
    </row>
    <row r="478" spans="1:5" ht="13" x14ac:dyDescent="0.3">
      <c r="A478" s="9"/>
      <c r="B478" s="9"/>
      <c r="C478" s="10"/>
      <c r="D478" s="9"/>
      <c r="E478" s="9"/>
    </row>
    <row r="479" spans="1:5" ht="13" x14ac:dyDescent="0.3">
      <c r="A479" s="9"/>
      <c r="B479" s="9"/>
      <c r="C479" s="10"/>
      <c r="D479" s="9"/>
      <c r="E479" s="9"/>
    </row>
    <row r="480" spans="1:5" ht="13" x14ac:dyDescent="0.3">
      <c r="A480" s="9"/>
      <c r="B480" s="9"/>
      <c r="C480" s="10"/>
      <c r="D480" s="9"/>
      <c r="E480" s="9"/>
    </row>
    <row r="481" spans="1:5" ht="13" x14ac:dyDescent="0.3">
      <c r="A481" s="9"/>
      <c r="B481" s="9"/>
      <c r="C481" s="10"/>
      <c r="D481" s="9"/>
      <c r="E481" s="9"/>
    </row>
    <row r="482" spans="1:5" ht="13" x14ac:dyDescent="0.3">
      <c r="A482" s="9"/>
      <c r="B482" s="9"/>
      <c r="C482" s="10"/>
      <c r="D482" s="9"/>
      <c r="E482" s="9"/>
    </row>
    <row r="483" spans="1:5" ht="13" x14ac:dyDescent="0.3">
      <c r="A483" s="9"/>
      <c r="B483" s="9"/>
      <c r="C483" s="10"/>
      <c r="D483" s="9"/>
      <c r="E483" s="9"/>
    </row>
    <row r="484" spans="1:5" ht="13" x14ac:dyDescent="0.3">
      <c r="A484" s="9"/>
      <c r="B484" s="9"/>
      <c r="C484" s="10"/>
      <c r="D484" s="9"/>
      <c r="E484" s="9"/>
    </row>
    <row r="485" spans="1:5" ht="13" x14ac:dyDescent="0.3">
      <c r="A485" s="9"/>
      <c r="B485" s="9"/>
      <c r="C485" s="10"/>
      <c r="D485" s="9"/>
      <c r="E485" s="9"/>
    </row>
    <row r="486" spans="1:5" ht="13" x14ac:dyDescent="0.3">
      <c r="A486" s="9"/>
      <c r="B486" s="9"/>
      <c r="C486" s="10"/>
      <c r="D486" s="9"/>
      <c r="E486" s="9"/>
    </row>
    <row r="487" spans="1:5" ht="13" x14ac:dyDescent="0.3">
      <c r="A487" s="9"/>
      <c r="B487" s="9"/>
      <c r="C487" s="10"/>
      <c r="D487" s="9"/>
      <c r="E487" s="9"/>
    </row>
    <row r="488" spans="1:5" ht="13" x14ac:dyDescent="0.3">
      <c r="A488" s="9"/>
      <c r="B488" s="9"/>
      <c r="C488" s="10"/>
      <c r="D488" s="9"/>
      <c r="E488" s="9"/>
    </row>
    <row r="489" spans="1:5" ht="13" x14ac:dyDescent="0.3">
      <c r="A489" s="9"/>
      <c r="B489" s="9"/>
      <c r="C489" s="10"/>
      <c r="D489" s="9"/>
      <c r="E489" s="9"/>
    </row>
    <row r="490" spans="1:5" ht="13" x14ac:dyDescent="0.3">
      <c r="A490" s="9"/>
      <c r="B490" s="9"/>
      <c r="C490" s="10"/>
      <c r="D490" s="9"/>
      <c r="E490" s="9"/>
    </row>
    <row r="491" spans="1:5" ht="13" x14ac:dyDescent="0.3">
      <c r="A491" s="9"/>
      <c r="B491" s="9"/>
      <c r="C491" s="10"/>
      <c r="D491" s="9"/>
      <c r="E491" s="9"/>
    </row>
    <row r="492" spans="1:5" ht="13" x14ac:dyDescent="0.3">
      <c r="A492" s="9"/>
      <c r="B492" s="9"/>
      <c r="C492" s="10"/>
      <c r="D492" s="9"/>
      <c r="E492" s="9"/>
    </row>
    <row r="493" spans="1:5" ht="13" x14ac:dyDescent="0.3">
      <c r="A493" s="9"/>
      <c r="B493" s="9"/>
      <c r="C493" s="10"/>
      <c r="D493" s="9"/>
      <c r="E493" s="9"/>
    </row>
    <row r="494" spans="1:5" ht="13" x14ac:dyDescent="0.3">
      <c r="A494" s="9"/>
      <c r="B494" s="9"/>
      <c r="C494" s="10"/>
      <c r="D494" s="9"/>
      <c r="E494" s="9"/>
    </row>
    <row r="495" spans="1:5" ht="13" x14ac:dyDescent="0.3">
      <c r="A495" s="9"/>
      <c r="B495" s="9"/>
      <c r="C495" s="10"/>
      <c r="D495" s="9"/>
      <c r="E495" s="9"/>
    </row>
    <row r="496" spans="1:5" ht="13" x14ac:dyDescent="0.3">
      <c r="A496" s="9"/>
      <c r="B496" s="9"/>
      <c r="C496" s="10"/>
      <c r="D496" s="9"/>
      <c r="E496" s="9"/>
    </row>
    <row r="497" spans="1:5" ht="13" x14ac:dyDescent="0.3">
      <c r="A497" s="9"/>
      <c r="B497" s="9"/>
      <c r="C497" s="10"/>
      <c r="D497" s="9"/>
      <c r="E497" s="9"/>
    </row>
    <row r="498" spans="1:5" ht="13" x14ac:dyDescent="0.3">
      <c r="A498" s="9"/>
      <c r="B498" s="9"/>
      <c r="C498" s="10"/>
      <c r="D498" s="9"/>
      <c r="E498" s="9"/>
    </row>
    <row r="499" spans="1:5" ht="13" x14ac:dyDescent="0.3">
      <c r="A499" s="9"/>
      <c r="B499" s="9"/>
      <c r="C499" s="10"/>
      <c r="D499" s="9"/>
      <c r="E499" s="9"/>
    </row>
    <row r="500" spans="1:5" ht="13" x14ac:dyDescent="0.3">
      <c r="A500" s="9"/>
      <c r="B500" s="9"/>
      <c r="C500" s="10"/>
      <c r="D500" s="9"/>
      <c r="E500" s="9"/>
    </row>
    <row r="501" spans="1:5" ht="13" x14ac:dyDescent="0.3">
      <c r="A501" s="9"/>
      <c r="B501" s="9"/>
      <c r="C501" s="10"/>
      <c r="D501" s="9"/>
      <c r="E501" s="9"/>
    </row>
    <row r="502" spans="1:5" ht="13" x14ac:dyDescent="0.3">
      <c r="A502" s="9"/>
      <c r="B502" s="9"/>
      <c r="C502" s="10"/>
      <c r="D502" s="9"/>
      <c r="E502" s="9"/>
    </row>
    <row r="503" spans="1:5" ht="13" x14ac:dyDescent="0.3">
      <c r="A503" s="9"/>
      <c r="B503" s="9"/>
      <c r="C503" s="10"/>
      <c r="D503" s="9"/>
      <c r="E503" s="9"/>
    </row>
    <row r="504" spans="1:5" ht="13" x14ac:dyDescent="0.3">
      <c r="A504" s="9"/>
      <c r="B504" s="9"/>
      <c r="C504" s="10"/>
      <c r="D504" s="9"/>
      <c r="E504" s="9"/>
    </row>
    <row r="505" spans="1:5" ht="13" x14ac:dyDescent="0.3">
      <c r="A505" s="9"/>
      <c r="B505" s="9"/>
      <c r="C505" s="10"/>
      <c r="D505" s="9"/>
      <c r="E505" s="9"/>
    </row>
    <row r="506" spans="1:5" ht="13" x14ac:dyDescent="0.3">
      <c r="A506" s="9"/>
      <c r="B506" s="9"/>
      <c r="C506" s="10"/>
      <c r="D506" s="9"/>
      <c r="E506" s="9"/>
    </row>
    <row r="507" spans="1:5" ht="13" x14ac:dyDescent="0.3">
      <c r="A507" s="9"/>
      <c r="B507" s="9"/>
      <c r="C507" s="10"/>
      <c r="D507" s="9"/>
      <c r="E507" s="9"/>
    </row>
    <row r="508" spans="1:5" ht="13" x14ac:dyDescent="0.3">
      <c r="A508" s="9"/>
      <c r="B508" s="9"/>
      <c r="C508" s="10"/>
      <c r="D508" s="9"/>
      <c r="E508" s="9"/>
    </row>
    <row r="509" spans="1:5" ht="13" x14ac:dyDescent="0.3">
      <c r="A509" s="9"/>
      <c r="B509" s="9"/>
      <c r="C509" s="10"/>
      <c r="D509" s="9"/>
      <c r="E509" s="9"/>
    </row>
    <row r="510" spans="1:5" ht="13" x14ac:dyDescent="0.3">
      <c r="A510" s="9"/>
      <c r="B510" s="9"/>
      <c r="C510" s="10"/>
      <c r="D510" s="9"/>
      <c r="E510" s="9"/>
    </row>
    <row r="511" spans="1:5" ht="13" x14ac:dyDescent="0.3">
      <c r="A511" s="9"/>
      <c r="B511" s="9"/>
      <c r="C511" s="10"/>
      <c r="D511" s="9"/>
      <c r="E511" s="9"/>
    </row>
    <row r="512" spans="1:5" ht="13" x14ac:dyDescent="0.3">
      <c r="A512" s="9"/>
      <c r="B512" s="9"/>
      <c r="C512" s="10"/>
      <c r="D512" s="9"/>
      <c r="E512" s="9"/>
    </row>
    <row r="513" spans="1:5" ht="13" x14ac:dyDescent="0.3">
      <c r="A513" s="9"/>
      <c r="B513" s="9"/>
      <c r="C513" s="10"/>
      <c r="D513" s="9"/>
      <c r="E513" s="9"/>
    </row>
    <row r="514" spans="1:5" ht="13" x14ac:dyDescent="0.3">
      <c r="A514" s="9"/>
      <c r="B514" s="9"/>
      <c r="C514" s="10"/>
      <c r="D514" s="9"/>
      <c r="E514" s="9"/>
    </row>
    <row r="515" spans="1:5" ht="13" x14ac:dyDescent="0.3">
      <c r="A515" s="9"/>
      <c r="B515" s="9"/>
      <c r="C515" s="10"/>
      <c r="D515" s="9"/>
      <c r="E515" s="9"/>
    </row>
    <row r="516" spans="1:5" ht="13" x14ac:dyDescent="0.3">
      <c r="A516" s="9"/>
      <c r="B516" s="9"/>
      <c r="C516" s="10"/>
      <c r="D516" s="9"/>
      <c r="E516" s="9"/>
    </row>
    <row r="517" spans="1:5" ht="13" x14ac:dyDescent="0.3">
      <c r="A517" s="9"/>
      <c r="B517" s="9"/>
      <c r="C517" s="10"/>
      <c r="D517" s="9"/>
      <c r="E517" s="9"/>
    </row>
    <row r="518" spans="1:5" ht="13" x14ac:dyDescent="0.3">
      <c r="A518" s="9"/>
      <c r="B518" s="9"/>
      <c r="C518" s="10"/>
      <c r="D518" s="9"/>
      <c r="E518" s="9"/>
    </row>
    <row r="519" spans="1:5" ht="13" x14ac:dyDescent="0.3">
      <c r="A519" s="9"/>
      <c r="B519" s="9"/>
      <c r="C519" s="10"/>
      <c r="D519" s="9"/>
      <c r="E519" s="9"/>
    </row>
    <row r="520" spans="1:5" ht="13" x14ac:dyDescent="0.3">
      <c r="A520" s="9"/>
      <c r="B520" s="9"/>
      <c r="C520" s="10"/>
      <c r="D520" s="9"/>
      <c r="E520" s="9"/>
    </row>
    <row r="521" spans="1:5" ht="13" x14ac:dyDescent="0.3">
      <c r="A521" s="9"/>
      <c r="B521" s="9"/>
      <c r="C521" s="10"/>
      <c r="D521" s="9"/>
      <c r="E521" s="9"/>
    </row>
    <row r="522" spans="1:5" ht="13" x14ac:dyDescent="0.3">
      <c r="A522" s="9"/>
      <c r="B522" s="9"/>
      <c r="C522" s="10"/>
      <c r="D522" s="9"/>
      <c r="E522" s="9"/>
    </row>
    <row r="523" spans="1:5" ht="13" x14ac:dyDescent="0.3">
      <c r="A523" s="9"/>
      <c r="B523" s="9"/>
      <c r="C523" s="10"/>
      <c r="D523" s="9"/>
      <c r="E523" s="9"/>
    </row>
    <row r="524" spans="1:5" ht="13" x14ac:dyDescent="0.3">
      <c r="A524" s="9"/>
      <c r="B524" s="9"/>
      <c r="C524" s="10"/>
      <c r="D524" s="9"/>
      <c r="E524" s="9"/>
    </row>
    <row r="525" spans="1:5" ht="13" x14ac:dyDescent="0.3">
      <c r="A525" s="9"/>
      <c r="B525" s="9"/>
      <c r="C525" s="10"/>
      <c r="D525" s="9"/>
      <c r="E525" s="9"/>
    </row>
    <row r="526" spans="1:5" ht="13" x14ac:dyDescent="0.3">
      <c r="A526" s="9"/>
      <c r="B526" s="9"/>
      <c r="C526" s="10"/>
      <c r="D526" s="9"/>
      <c r="E526" s="9"/>
    </row>
    <row r="527" spans="1:5" ht="13" x14ac:dyDescent="0.3">
      <c r="A527" s="9"/>
      <c r="B527" s="9"/>
      <c r="C527" s="10"/>
      <c r="D527" s="9"/>
      <c r="E527" s="9"/>
    </row>
    <row r="528" spans="1:5" ht="13" x14ac:dyDescent="0.3">
      <c r="A528" s="9"/>
      <c r="B528" s="9"/>
      <c r="C528" s="10"/>
      <c r="D528" s="9"/>
      <c r="E528" s="9"/>
    </row>
    <row r="529" spans="1:5" ht="13" x14ac:dyDescent="0.3">
      <c r="A529" s="9"/>
      <c r="B529" s="9"/>
      <c r="C529" s="10"/>
      <c r="D529" s="9"/>
      <c r="E529" s="9"/>
    </row>
    <row r="530" spans="1:5" ht="13" x14ac:dyDescent="0.3">
      <c r="A530" s="9"/>
      <c r="B530" s="9"/>
      <c r="C530" s="10"/>
      <c r="D530" s="9"/>
      <c r="E530" s="9"/>
    </row>
    <row r="531" spans="1:5" ht="13" x14ac:dyDescent="0.3">
      <c r="A531" s="9"/>
      <c r="B531" s="9"/>
      <c r="C531" s="10"/>
      <c r="D531" s="9"/>
      <c r="E531" s="9"/>
    </row>
    <row r="532" spans="1:5" ht="13" x14ac:dyDescent="0.3">
      <c r="A532" s="9"/>
      <c r="B532" s="9"/>
      <c r="C532" s="10"/>
      <c r="D532" s="9"/>
      <c r="E532" s="9"/>
    </row>
    <row r="533" spans="1:5" ht="13" x14ac:dyDescent="0.3">
      <c r="A533" s="9"/>
      <c r="B533" s="9"/>
      <c r="C533" s="10"/>
      <c r="D533" s="9"/>
      <c r="E533" s="9"/>
    </row>
    <row r="534" spans="1:5" ht="13" x14ac:dyDescent="0.3">
      <c r="A534" s="9"/>
      <c r="B534" s="9"/>
      <c r="C534" s="10"/>
      <c r="D534" s="9"/>
      <c r="E534" s="9"/>
    </row>
    <row r="535" spans="1:5" ht="13" x14ac:dyDescent="0.3">
      <c r="A535" s="9"/>
      <c r="B535" s="9"/>
      <c r="C535" s="10"/>
      <c r="D535" s="9"/>
      <c r="E535" s="9"/>
    </row>
    <row r="536" spans="1:5" ht="13" x14ac:dyDescent="0.3">
      <c r="A536" s="9"/>
      <c r="B536" s="9"/>
      <c r="C536" s="10"/>
      <c r="D536" s="9"/>
      <c r="E536" s="9"/>
    </row>
    <row r="537" spans="1:5" ht="13" x14ac:dyDescent="0.3">
      <c r="A537" s="9"/>
      <c r="B537" s="9"/>
      <c r="C537" s="10"/>
      <c r="D537" s="9"/>
      <c r="E537" s="9"/>
    </row>
    <row r="538" spans="1:5" ht="13" x14ac:dyDescent="0.3">
      <c r="A538" s="9"/>
      <c r="B538" s="9"/>
      <c r="C538" s="10"/>
      <c r="D538" s="9"/>
      <c r="E538" s="9"/>
    </row>
    <row r="539" spans="1:5" ht="13" x14ac:dyDescent="0.3">
      <c r="A539" s="9"/>
      <c r="B539" s="9"/>
      <c r="C539" s="10"/>
      <c r="D539" s="9"/>
      <c r="E539" s="9"/>
    </row>
    <row r="540" spans="1:5" ht="13" x14ac:dyDescent="0.3">
      <c r="A540" s="9"/>
      <c r="B540" s="9"/>
      <c r="C540" s="10"/>
      <c r="D540" s="9"/>
      <c r="E540" s="9"/>
    </row>
    <row r="541" spans="1:5" ht="13" x14ac:dyDescent="0.3">
      <c r="A541" s="9"/>
      <c r="B541" s="9"/>
      <c r="C541" s="10"/>
      <c r="D541" s="9"/>
      <c r="E541" s="9"/>
    </row>
    <row r="542" spans="1:5" ht="13" x14ac:dyDescent="0.3">
      <c r="A542" s="9"/>
      <c r="B542" s="9"/>
      <c r="C542" s="10"/>
      <c r="D542" s="9"/>
      <c r="E542" s="9"/>
    </row>
    <row r="543" spans="1:5" ht="13" x14ac:dyDescent="0.3">
      <c r="A543" s="9"/>
      <c r="B543" s="9"/>
      <c r="C543" s="10"/>
      <c r="D543" s="9"/>
      <c r="E543" s="9"/>
    </row>
    <row r="544" spans="1:5" ht="13" x14ac:dyDescent="0.3">
      <c r="A544" s="9"/>
      <c r="B544" s="9"/>
      <c r="C544" s="10"/>
      <c r="D544" s="9"/>
      <c r="E544" s="9"/>
    </row>
    <row r="545" spans="1:5" ht="13" x14ac:dyDescent="0.3">
      <c r="A545" s="9"/>
      <c r="B545" s="9"/>
      <c r="C545" s="10"/>
      <c r="D545" s="9"/>
      <c r="E545" s="9"/>
    </row>
    <row r="546" spans="1:5" ht="13" x14ac:dyDescent="0.3">
      <c r="A546" s="9"/>
      <c r="B546" s="9"/>
      <c r="C546" s="10"/>
      <c r="D546" s="9"/>
      <c r="E546" s="9"/>
    </row>
    <row r="547" spans="1:5" ht="13" x14ac:dyDescent="0.3">
      <c r="A547" s="9"/>
      <c r="B547" s="9"/>
      <c r="C547" s="10"/>
      <c r="D547" s="9"/>
      <c r="E547" s="9"/>
    </row>
    <row r="548" spans="1:5" ht="13" x14ac:dyDescent="0.3">
      <c r="A548" s="9"/>
      <c r="B548" s="9"/>
      <c r="C548" s="10"/>
      <c r="D548" s="9"/>
      <c r="E548" s="9"/>
    </row>
    <row r="549" spans="1:5" ht="13" x14ac:dyDescent="0.3">
      <c r="A549" s="9"/>
      <c r="B549" s="9"/>
      <c r="C549" s="10"/>
      <c r="D549" s="9"/>
      <c r="E549" s="9"/>
    </row>
    <row r="550" spans="1:5" ht="13" x14ac:dyDescent="0.3">
      <c r="A550" s="9"/>
      <c r="B550" s="9"/>
      <c r="C550" s="10"/>
      <c r="D550" s="9"/>
      <c r="E550" s="9"/>
    </row>
    <row r="551" spans="1:5" ht="13" x14ac:dyDescent="0.3">
      <c r="A551" s="9"/>
      <c r="B551" s="9"/>
      <c r="C551" s="10"/>
      <c r="D551" s="9"/>
      <c r="E551" s="9"/>
    </row>
    <row r="552" spans="1:5" ht="13" x14ac:dyDescent="0.3">
      <c r="A552" s="9"/>
      <c r="B552" s="9"/>
      <c r="C552" s="10"/>
      <c r="D552" s="9"/>
      <c r="E552" s="9"/>
    </row>
    <row r="553" spans="1:5" ht="13" x14ac:dyDescent="0.3">
      <c r="A553" s="9"/>
      <c r="B553" s="9"/>
      <c r="C553" s="10"/>
      <c r="D553" s="9"/>
      <c r="E553" s="9"/>
    </row>
    <row r="554" spans="1:5" ht="13" x14ac:dyDescent="0.3">
      <c r="A554" s="9"/>
      <c r="B554" s="9"/>
      <c r="C554" s="10"/>
      <c r="D554" s="9"/>
      <c r="E554" s="9"/>
    </row>
    <row r="555" spans="1:5" ht="13" x14ac:dyDescent="0.3">
      <c r="A555" s="9"/>
      <c r="B555" s="9"/>
      <c r="C555" s="10"/>
      <c r="D555" s="9"/>
      <c r="E555" s="9"/>
    </row>
    <row r="556" spans="1:5" ht="13" x14ac:dyDescent="0.3">
      <c r="A556" s="9"/>
      <c r="B556" s="9"/>
      <c r="C556" s="10"/>
      <c r="D556" s="9"/>
      <c r="E556" s="9"/>
    </row>
    <row r="557" spans="1:5" ht="13" x14ac:dyDescent="0.3">
      <c r="A557" s="9"/>
      <c r="B557" s="9"/>
      <c r="C557" s="10"/>
      <c r="D557" s="9"/>
      <c r="E557" s="9"/>
    </row>
    <row r="558" spans="1:5" ht="13" x14ac:dyDescent="0.3">
      <c r="A558" s="9"/>
      <c r="B558" s="9"/>
      <c r="C558" s="10"/>
      <c r="D558" s="9"/>
      <c r="E558" s="9"/>
    </row>
    <row r="559" spans="1:5" ht="13" x14ac:dyDescent="0.3">
      <c r="A559" s="9"/>
      <c r="B559" s="9"/>
      <c r="C559" s="10"/>
      <c r="D559" s="9"/>
      <c r="E559" s="9"/>
    </row>
    <row r="560" spans="1:5" ht="13" x14ac:dyDescent="0.3">
      <c r="A560" s="9"/>
      <c r="B560" s="9"/>
      <c r="C560" s="10"/>
      <c r="D560" s="9"/>
      <c r="E560" s="9"/>
    </row>
    <row r="561" spans="1:5" ht="13" x14ac:dyDescent="0.3">
      <c r="A561" s="9"/>
      <c r="B561" s="9"/>
      <c r="C561" s="10"/>
      <c r="D561" s="9"/>
      <c r="E561" s="9"/>
    </row>
    <row r="562" spans="1:5" ht="13" x14ac:dyDescent="0.3">
      <c r="A562" s="9"/>
      <c r="B562" s="9"/>
      <c r="C562" s="10"/>
      <c r="D562" s="9"/>
      <c r="E562" s="9"/>
    </row>
    <row r="563" spans="1:5" ht="13" x14ac:dyDescent="0.3">
      <c r="A563" s="9"/>
      <c r="B563" s="9"/>
      <c r="C563" s="10"/>
      <c r="D563" s="9"/>
      <c r="E563" s="9"/>
    </row>
    <row r="564" spans="1:5" ht="13" x14ac:dyDescent="0.3">
      <c r="A564" s="9"/>
      <c r="B564" s="9"/>
      <c r="C564" s="10"/>
      <c r="D564" s="9"/>
      <c r="E564" s="9"/>
    </row>
    <row r="565" spans="1:5" ht="13" x14ac:dyDescent="0.3">
      <c r="A565" s="9"/>
      <c r="B565" s="9"/>
      <c r="C565" s="10"/>
      <c r="D565" s="9"/>
      <c r="E565" s="9"/>
    </row>
    <row r="566" spans="1:5" ht="13" x14ac:dyDescent="0.3">
      <c r="A566" s="9"/>
      <c r="B566" s="9"/>
      <c r="C566" s="10"/>
      <c r="D566" s="9"/>
      <c r="E566" s="9"/>
    </row>
    <row r="567" spans="1:5" ht="13" x14ac:dyDescent="0.3">
      <c r="A567" s="9"/>
      <c r="B567" s="9"/>
      <c r="C567" s="10"/>
      <c r="D567" s="9"/>
      <c r="E567" s="9"/>
    </row>
    <row r="568" spans="1:5" ht="13" x14ac:dyDescent="0.3">
      <c r="A568" s="9"/>
      <c r="B568" s="9"/>
      <c r="C568" s="10"/>
      <c r="D568" s="9"/>
      <c r="E568" s="9"/>
    </row>
    <row r="569" spans="1:5" ht="13" x14ac:dyDescent="0.3">
      <c r="A569" s="9"/>
      <c r="B569" s="9"/>
      <c r="C569" s="10"/>
      <c r="D569" s="9"/>
      <c r="E569" s="9"/>
    </row>
    <row r="570" spans="1:5" ht="13" x14ac:dyDescent="0.3">
      <c r="A570" s="9"/>
      <c r="B570" s="9"/>
      <c r="C570" s="10"/>
      <c r="D570" s="9"/>
      <c r="E570" s="9"/>
    </row>
    <row r="571" spans="1:5" ht="13" x14ac:dyDescent="0.3">
      <c r="A571" s="9"/>
      <c r="B571" s="9"/>
      <c r="C571" s="10"/>
      <c r="D571" s="9"/>
      <c r="E571" s="9"/>
    </row>
    <row r="572" spans="1:5" ht="13" x14ac:dyDescent="0.3">
      <c r="A572" s="9"/>
      <c r="B572" s="9"/>
      <c r="C572" s="10"/>
      <c r="D572" s="9"/>
      <c r="E572" s="9"/>
    </row>
    <row r="573" spans="1:5" ht="13" x14ac:dyDescent="0.3">
      <c r="A573" s="9"/>
      <c r="B573" s="9"/>
      <c r="C573" s="10"/>
      <c r="D573" s="9"/>
      <c r="E573" s="9"/>
    </row>
    <row r="574" spans="1:5" ht="13" x14ac:dyDescent="0.3">
      <c r="A574" s="9"/>
      <c r="B574" s="9"/>
      <c r="C574" s="10"/>
      <c r="D574" s="9"/>
      <c r="E574" s="9"/>
    </row>
    <row r="575" spans="1:5" ht="13" x14ac:dyDescent="0.3">
      <c r="A575" s="9"/>
      <c r="B575" s="9"/>
      <c r="C575" s="10"/>
      <c r="D575" s="9"/>
      <c r="E575" s="9"/>
    </row>
    <row r="576" spans="1:5" ht="13" x14ac:dyDescent="0.3">
      <c r="A576" s="9"/>
      <c r="B576" s="9"/>
      <c r="C576" s="10"/>
      <c r="D576" s="9"/>
      <c r="E576" s="9"/>
    </row>
    <row r="577" spans="1:5" ht="13" x14ac:dyDescent="0.3">
      <c r="A577" s="9"/>
      <c r="B577" s="9"/>
      <c r="C577" s="10"/>
      <c r="D577" s="9"/>
      <c r="E577" s="9"/>
    </row>
    <row r="578" spans="1:5" ht="13" x14ac:dyDescent="0.3">
      <c r="A578" s="9"/>
      <c r="B578" s="9"/>
      <c r="C578" s="10"/>
      <c r="D578" s="9"/>
      <c r="E578" s="9"/>
    </row>
    <row r="579" spans="1:5" ht="13" x14ac:dyDescent="0.3">
      <c r="A579" s="9"/>
      <c r="B579" s="9"/>
      <c r="C579" s="10"/>
      <c r="D579" s="9"/>
      <c r="E579" s="9"/>
    </row>
    <row r="580" spans="1:5" ht="13" x14ac:dyDescent="0.3">
      <c r="A580" s="9"/>
      <c r="B580" s="9"/>
      <c r="C580" s="10"/>
      <c r="D580" s="9"/>
      <c r="E580" s="9"/>
    </row>
    <row r="581" spans="1:5" ht="13" x14ac:dyDescent="0.3">
      <c r="A581" s="9"/>
      <c r="B581" s="9"/>
      <c r="C581" s="10"/>
      <c r="D581" s="9"/>
      <c r="E581" s="9"/>
    </row>
    <row r="582" spans="1:5" ht="13" x14ac:dyDescent="0.3">
      <c r="A582" s="9"/>
      <c r="B582" s="9"/>
      <c r="C582" s="10"/>
      <c r="D582" s="9"/>
      <c r="E582" s="9"/>
    </row>
    <row r="583" spans="1:5" ht="13" x14ac:dyDescent="0.3">
      <c r="A583" s="9"/>
      <c r="B583" s="9"/>
      <c r="C583" s="10"/>
      <c r="D583" s="9"/>
      <c r="E583" s="9"/>
    </row>
    <row r="584" spans="1:5" ht="13" x14ac:dyDescent="0.3">
      <c r="A584" s="9"/>
      <c r="B584" s="9"/>
      <c r="C584" s="10"/>
      <c r="D584" s="9"/>
      <c r="E584" s="9"/>
    </row>
    <row r="585" spans="1:5" ht="13" x14ac:dyDescent="0.3">
      <c r="A585" s="9"/>
      <c r="B585" s="9"/>
      <c r="C585" s="10"/>
      <c r="D585" s="9"/>
      <c r="E585" s="9"/>
    </row>
    <row r="586" spans="1:5" ht="13" x14ac:dyDescent="0.3">
      <c r="A586" s="9"/>
      <c r="B586" s="9"/>
      <c r="C586" s="10"/>
      <c r="D586" s="9"/>
      <c r="E586" s="9"/>
    </row>
    <row r="587" spans="1:5" ht="13" x14ac:dyDescent="0.3">
      <c r="A587" s="9"/>
      <c r="B587" s="9"/>
      <c r="C587" s="10"/>
      <c r="D587" s="9"/>
      <c r="E587" s="9"/>
    </row>
    <row r="588" spans="1:5" ht="13" x14ac:dyDescent="0.3">
      <c r="A588" s="9"/>
      <c r="B588" s="9"/>
      <c r="C588" s="10"/>
      <c r="D588" s="9"/>
      <c r="E588" s="9"/>
    </row>
    <row r="589" spans="1:5" ht="13" x14ac:dyDescent="0.3">
      <c r="A589" s="9"/>
      <c r="B589" s="9"/>
      <c r="C589" s="10"/>
      <c r="D589" s="9"/>
      <c r="E589" s="9"/>
    </row>
    <row r="590" spans="1:5" ht="13" x14ac:dyDescent="0.3">
      <c r="A590" s="9"/>
      <c r="B590" s="9"/>
      <c r="C590" s="10"/>
      <c r="D590" s="9"/>
      <c r="E590" s="9"/>
    </row>
    <row r="591" spans="1:5" ht="13" x14ac:dyDescent="0.3">
      <c r="A591" s="9"/>
      <c r="B591" s="9"/>
      <c r="C591" s="10"/>
      <c r="D591" s="9"/>
      <c r="E591" s="9"/>
    </row>
    <row r="592" spans="1:5" ht="13" x14ac:dyDescent="0.3">
      <c r="A592" s="9"/>
      <c r="B592" s="9"/>
      <c r="C592" s="10"/>
      <c r="D592" s="9"/>
      <c r="E592" s="9"/>
    </row>
    <row r="593" spans="1:5" ht="13" x14ac:dyDescent="0.3">
      <c r="A593" s="9"/>
      <c r="B593" s="9"/>
      <c r="C593" s="10"/>
      <c r="D593" s="9"/>
      <c r="E593" s="9"/>
    </row>
    <row r="594" spans="1:5" ht="13" x14ac:dyDescent="0.3">
      <c r="A594" s="9"/>
      <c r="B594" s="9"/>
      <c r="C594" s="10"/>
      <c r="D594" s="9"/>
      <c r="E594" s="9"/>
    </row>
    <row r="595" spans="1:5" ht="13" x14ac:dyDescent="0.3">
      <c r="A595" s="9"/>
      <c r="B595" s="9"/>
      <c r="C595" s="10"/>
      <c r="D595" s="9"/>
      <c r="E595" s="9"/>
    </row>
    <row r="596" spans="1:5" ht="13" x14ac:dyDescent="0.3">
      <c r="A596" s="9"/>
      <c r="B596" s="9"/>
      <c r="C596" s="10"/>
      <c r="D596" s="9"/>
      <c r="E596" s="9"/>
    </row>
    <row r="597" spans="1:5" ht="13" x14ac:dyDescent="0.3">
      <c r="A597" s="9"/>
      <c r="B597" s="9"/>
      <c r="C597" s="10"/>
      <c r="D597" s="9"/>
      <c r="E597" s="9"/>
    </row>
    <row r="598" spans="1:5" ht="13" x14ac:dyDescent="0.3">
      <c r="A598" s="9"/>
      <c r="B598" s="9"/>
      <c r="C598" s="10"/>
      <c r="D598" s="9"/>
      <c r="E598" s="9"/>
    </row>
    <row r="599" spans="1:5" ht="13" x14ac:dyDescent="0.3">
      <c r="A599" s="9"/>
      <c r="B599" s="9"/>
      <c r="C599" s="10"/>
      <c r="D599" s="9"/>
      <c r="E599" s="9"/>
    </row>
    <row r="600" spans="1:5" ht="13" x14ac:dyDescent="0.3">
      <c r="A600" s="9"/>
      <c r="B600" s="9"/>
      <c r="C600" s="10"/>
      <c r="D600" s="9"/>
      <c r="E600" s="9"/>
    </row>
    <row r="601" spans="1:5" ht="13" x14ac:dyDescent="0.3">
      <c r="A601" s="9"/>
      <c r="B601" s="9"/>
      <c r="C601" s="10"/>
      <c r="D601" s="9"/>
      <c r="E601" s="9"/>
    </row>
    <row r="602" spans="1:5" ht="13" x14ac:dyDescent="0.3">
      <c r="A602" s="9"/>
      <c r="B602" s="9"/>
      <c r="C602" s="10"/>
      <c r="D602" s="9"/>
      <c r="E602" s="9"/>
    </row>
    <row r="603" spans="1:5" ht="13" x14ac:dyDescent="0.3">
      <c r="A603" s="9"/>
      <c r="B603" s="9"/>
      <c r="C603" s="10"/>
      <c r="D603" s="9"/>
      <c r="E603" s="9"/>
    </row>
    <row r="604" spans="1:5" ht="13" x14ac:dyDescent="0.3">
      <c r="A604" s="9"/>
      <c r="B604" s="9"/>
      <c r="C604" s="10"/>
      <c r="D604" s="9"/>
      <c r="E604" s="9"/>
    </row>
    <row r="605" spans="1:5" ht="13" x14ac:dyDescent="0.3">
      <c r="A605" s="9"/>
      <c r="B605" s="9"/>
      <c r="C605" s="10"/>
      <c r="D605" s="9"/>
      <c r="E605" s="9"/>
    </row>
    <row r="606" spans="1:5" ht="13" x14ac:dyDescent="0.3">
      <c r="A606" s="9"/>
      <c r="B606" s="9"/>
      <c r="C606" s="10"/>
      <c r="D606" s="9"/>
      <c r="E606" s="9"/>
    </row>
    <row r="607" spans="1:5" ht="13" x14ac:dyDescent="0.3">
      <c r="A607" s="9"/>
      <c r="B607" s="9"/>
      <c r="C607" s="10"/>
      <c r="D607" s="9"/>
      <c r="E607" s="9"/>
    </row>
    <row r="608" spans="1:5" ht="13" x14ac:dyDescent="0.3">
      <c r="A608" s="9"/>
      <c r="B608" s="9"/>
      <c r="C608" s="10"/>
      <c r="D608" s="9"/>
      <c r="E608" s="9"/>
    </row>
    <row r="609" spans="1:5" ht="13" x14ac:dyDescent="0.3">
      <c r="A609" s="9"/>
      <c r="B609" s="9"/>
      <c r="C609" s="10"/>
      <c r="D609" s="9"/>
      <c r="E609" s="9"/>
    </row>
    <row r="610" spans="1:5" ht="13" x14ac:dyDescent="0.3">
      <c r="A610" s="9"/>
      <c r="B610" s="9"/>
      <c r="C610" s="10"/>
      <c r="D610" s="9"/>
      <c r="E610" s="9"/>
    </row>
    <row r="611" spans="1:5" ht="13" x14ac:dyDescent="0.3">
      <c r="A611" s="9"/>
      <c r="B611" s="9"/>
      <c r="C611" s="10"/>
      <c r="D611" s="9"/>
      <c r="E611" s="9"/>
    </row>
    <row r="612" spans="1:5" ht="13" x14ac:dyDescent="0.3">
      <c r="A612" s="9"/>
      <c r="B612" s="9"/>
      <c r="C612" s="10"/>
      <c r="D612" s="9"/>
      <c r="E612" s="9"/>
    </row>
    <row r="613" spans="1:5" ht="13" x14ac:dyDescent="0.3">
      <c r="A613" s="9"/>
      <c r="B613" s="9"/>
      <c r="C613" s="10"/>
      <c r="D613" s="9"/>
      <c r="E613" s="9"/>
    </row>
    <row r="614" spans="1:5" ht="13" x14ac:dyDescent="0.3">
      <c r="A614" s="9"/>
      <c r="B614" s="9"/>
      <c r="C614" s="10"/>
      <c r="D614" s="9"/>
      <c r="E614" s="9"/>
    </row>
    <row r="615" spans="1:5" ht="13" x14ac:dyDescent="0.3">
      <c r="A615" s="9"/>
      <c r="B615" s="9"/>
      <c r="C615" s="10"/>
      <c r="D615" s="9"/>
      <c r="E615" s="9"/>
    </row>
    <row r="616" spans="1:5" ht="13" x14ac:dyDescent="0.3">
      <c r="A616" s="9"/>
      <c r="B616" s="9"/>
      <c r="C616" s="10"/>
      <c r="D616" s="9"/>
      <c r="E616" s="9"/>
    </row>
    <row r="617" spans="1:5" ht="13" x14ac:dyDescent="0.3">
      <c r="A617" s="9"/>
      <c r="B617" s="9"/>
      <c r="C617" s="10"/>
      <c r="D617" s="9"/>
      <c r="E617" s="9"/>
    </row>
    <row r="618" spans="1:5" ht="13" x14ac:dyDescent="0.3">
      <c r="A618" s="9"/>
      <c r="B618" s="9"/>
      <c r="C618" s="10"/>
      <c r="D618" s="9"/>
      <c r="E618" s="9"/>
    </row>
    <row r="619" spans="1:5" ht="13" x14ac:dyDescent="0.3">
      <c r="A619" s="9"/>
      <c r="B619" s="9"/>
      <c r="C619" s="10"/>
      <c r="D619" s="9"/>
      <c r="E619" s="9"/>
    </row>
    <row r="620" spans="1:5" ht="13" x14ac:dyDescent="0.3">
      <c r="A620" s="9"/>
      <c r="B620" s="9"/>
      <c r="C620" s="10"/>
      <c r="D620" s="9"/>
      <c r="E620" s="9"/>
    </row>
    <row r="621" spans="1:5" ht="13" x14ac:dyDescent="0.3">
      <c r="A621" s="9"/>
      <c r="B621" s="9"/>
      <c r="C621" s="10"/>
      <c r="D621" s="9"/>
      <c r="E621" s="9"/>
    </row>
    <row r="622" spans="1:5" ht="13" x14ac:dyDescent="0.3">
      <c r="A622" s="9"/>
      <c r="B622" s="9"/>
      <c r="C622" s="10"/>
      <c r="D622" s="9"/>
      <c r="E622" s="9"/>
    </row>
    <row r="623" spans="1:5" ht="13" x14ac:dyDescent="0.3">
      <c r="A623" s="9"/>
      <c r="B623" s="9"/>
      <c r="C623" s="10"/>
      <c r="D623" s="9"/>
      <c r="E623" s="9"/>
    </row>
    <row r="624" spans="1:5" ht="13" x14ac:dyDescent="0.3">
      <c r="A624" s="9"/>
      <c r="B624" s="9"/>
      <c r="C624" s="10"/>
      <c r="D624" s="9"/>
      <c r="E624" s="9"/>
    </row>
    <row r="625" spans="1:5" ht="13" x14ac:dyDescent="0.3">
      <c r="A625" s="9"/>
      <c r="B625" s="9"/>
      <c r="C625" s="10"/>
      <c r="D625" s="9"/>
      <c r="E625" s="9"/>
    </row>
    <row r="626" spans="1:5" ht="13" x14ac:dyDescent="0.3">
      <c r="A626" s="9"/>
      <c r="B626" s="9"/>
      <c r="C626" s="10"/>
      <c r="D626" s="9"/>
      <c r="E626" s="9"/>
    </row>
    <row r="627" spans="1:5" ht="13" x14ac:dyDescent="0.3">
      <c r="A627" s="9"/>
      <c r="B627" s="9"/>
      <c r="C627" s="10"/>
      <c r="D627" s="9"/>
      <c r="E627" s="9"/>
    </row>
    <row r="628" spans="1:5" ht="13" x14ac:dyDescent="0.3">
      <c r="A628" s="9"/>
      <c r="B628" s="9"/>
      <c r="C628" s="10"/>
      <c r="D628" s="9"/>
      <c r="E628" s="9"/>
    </row>
    <row r="629" spans="1:5" ht="13" x14ac:dyDescent="0.3">
      <c r="A629" s="9"/>
      <c r="B629" s="9"/>
      <c r="C629" s="10"/>
      <c r="D629" s="9"/>
      <c r="E629" s="9"/>
    </row>
    <row r="630" spans="1:5" ht="13" x14ac:dyDescent="0.3">
      <c r="A630" s="9"/>
      <c r="B630" s="9"/>
      <c r="C630" s="10"/>
      <c r="D630" s="9"/>
      <c r="E630" s="9"/>
    </row>
    <row r="631" spans="1:5" ht="13" x14ac:dyDescent="0.3">
      <c r="A631" s="9"/>
      <c r="B631" s="9"/>
      <c r="C631" s="10"/>
      <c r="D631" s="9"/>
      <c r="E631" s="9"/>
    </row>
    <row r="632" spans="1:5" ht="13" x14ac:dyDescent="0.3">
      <c r="A632" s="9"/>
      <c r="B632" s="9"/>
      <c r="C632" s="10"/>
      <c r="D632" s="9"/>
      <c r="E632" s="9"/>
    </row>
    <row r="633" spans="1:5" ht="13" x14ac:dyDescent="0.3">
      <c r="A633" s="9"/>
      <c r="B633" s="9"/>
      <c r="C633" s="10"/>
      <c r="D633" s="9"/>
      <c r="E633" s="9"/>
    </row>
    <row r="634" spans="1:5" ht="13" x14ac:dyDescent="0.3">
      <c r="A634" s="9"/>
      <c r="B634" s="9"/>
      <c r="C634" s="10"/>
      <c r="D634" s="9"/>
      <c r="E634" s="9"/>
    </row>
    <row r="635" spans="1:5" ht="13" x14ac:dyDescent="0.3">
      <c r="A635" s="9"/>
      <c r="B635" s="9"/>
      <c r="C635" s="10"/>
      <c r="D635" s="9"/>
      <c r="E635" s="9"/>
    </row>
    <row r="636" spans="1:5" ht="13" x14ac:dyDescent="0.3">
      <c r="A636" s="9"/>
      <c r="B636" s="9"/>
      <c r="C636" s="10"/>
      <c r="D636" s="9"/>
      <c r="E636" s="9"/>
    </row>
    <row r="637" spans="1:5" ht="13" x14ac:dyDescent="0.3">
      <c r="A637" s="9"/>
      <c r="B637" s="9"/>
      <c r="C637" s="10"/>
      <c r="D637" s="9"/>
      <c r="E637" s="9"/>
    </row>
    <row r="638" spans="1:5" ht="13" x14ac:dyDescent="0.3">
      <c r="A638" s="9"/>
      <c r="B638" s="9"/>
      <c r="C638" s="10"/>
      <c r="D638" s="9"/>
      <c r="E638" s="9"/>
    </row>
    <row r="639" spans="1:5" ht="13" x14ac:dyDescent="0.3">
      <c r="A639" s="9"/>
      <c r="B639" s="9"/>
      <c r="C639" s="10"/>
      <c r="D639" s="9"/>
      <c r="E639" s="9"/>
    </row>
    <row r="640" spans="1:5" ht="13" x14ac:dyDescent="0.3">
      <c r="A640" s="9"/>
      <c r="B640" s="9"/>
      <c r="C640" s="10"/>
      <c r="D640" s="9"/>
      <c r="E640" s="9"/>
    </row>
    <row r="641" spans="1:5" ht="13" x14ac:dyDescent="0.3">
      <c r="A641" s="9"/>
      <c r="B641" s="9"/>
      <c r="C641" s="10"/>
      <c r="D641" s="9"/>
      <c r="E641" s="9"/>
    </row>
    <row r="642" spans="1:5" ht="13" x14ac:dyDescent="0.3">
      <c r="A642" s="9"/>
      <c r="B642" s="9"/>
      <c r="C642" s="10"/>
      <c r="D642" s="9"/>
      <c r="E642" s="9"/>
    </row>
    <row r="643" spans="1:5" ht="13" x14ac:dyDescent="0.3">
      <c r="A643" s="9"/>
      <c r="B643" s="9"/>
      <c r="C643" s="10"/>
      <c r="D643" s="9"/>
      <c r="E643" s="9"/>
    </row>
    <row r="644" spans="1:5" ht="13" x14ac:dyDescent="0.3">
      <c r="A644" s="9"/>
      <c r="B644" s="9"/>
      <c r="C644" s="10"/>
      <c r="D644" s="9"/>
      <c r="E644" s="9"/>
    </row>
    <row r="645" spans="1:5" ht="13" x14ac:dyDescent="0.3">
      <c r="A645" s="9"/>
      <c r="B645" s="9"/>
      <c r="C645" s="10"/>
      <c r="D645" s="9"/>
      <c r="E645" s="9"/>
    </row>
    <row r="646" spans="1:5" ht="13" x14ac:dyDescent="0.3">
      <c r="A646" s="9"/>
      <c r="B646" s="9"/>
      <c r="C646" s="10"/>
      <c r="D646" s="9"/>
      <c r="E646" s="9"/>
    </row>
    <row r="647" spans="1:5" ht="13" x14ac:dyDescent="0.3">
      <c r="A647" s="9"/>
      <c r="B647" s="9"/>
      <c r="C647" s="10"/>
      <c r="D647" s="9"/>
      <c r="E647" s="9"/>
    </row>
    <row r="648" spans="1:5" ht="13" x14ac:dyDescent="0.3">
      <c r="A648" s="9"/>
      <c r="B648" s="9"/>
      <c r="C648" s="10"/>
      <c r="D648" s="9"/>
      <c r="E648" s="9"/>
    </row>
    <row r="649" spans="1:5" ht="13" x14ac:dyDescent="0.3">
      <c r="A649" s="9"/>
      <c r="B649" s="9"/>
      <c r="C649" s="10"/>
      <c r="D649" s="9"/>
      <c r="E649" s="9"/>
    </row>
    <row r="650" spans="1:5" ht="13" x14ac:dyDescent="0.3">
      <c r="A650" s="9"/>
      <c r="B650" s="9"/>
      <c r="C650" s="10"/>
      <c r="D650" s="9"/>
      <c r="E650" s="9"/>
    </row>
    <row r="651" spans="1:5" ht="13" x14ac:dyDescent="0.3">
      <c r="A651" s="9"/>
      <c r="B651" s="9"/>
      <c r="C651" s="10"/>
      <c r="D651" s="9"/>
      <c r="E651" s="9"/>
    </row>
    <row r="652" spans="1:5" ht="13" x14ac:dyDescent="0.3">
      <c r="A652" s="9"/>
      <c r="B652" s="9"/>
      <c r="C652" s="10"/>
      <c r="D652" s="9"/>
      <c r="E652" s="9"/>
    </row>
    <row r="653" spans="1:5" ht="13" x14ac:dyDescent="0.3">
      <c r="A653" s="9"/>
      <c r="B653" s="9"/>
      <c r="C653" s="10"/>
      <c r="D653" s="9"/>
      <c r="E653" s="9"/>
    </row>
    <row r="654" spans="1:5" ht="13" x14ac:dyDescent="0.3">
      <c r="A654" s="9"/>
      <c r="B654" s="9"/>
      <c r="C654" s="10"/>
      <c r="D654" s="9"/>
      <c r="E654" s="9"/>
    </row>
    <row r="655" spans="1:5" ht="13" x14ac:dyDescent="0.3">
      <c r="A655" s="9"/>
      <c r="B655" s="9"/>
      <c r="C655" s="10"/>
      <c r="D655" s="9"/>
      <c r="E655" s="9"/>
    </row>
    <row r="656" spans="1:5" ht="13" x14ac:dyDescent="0.3">
      <c r="A656" s="9"/>
      <c r="B656" s="9"/>
      <c r="C656" s="10"/>
      <c r="D656" s="9"/>
      <c r="E656" s="9"/>
    </row>
    <row r="657" spans="1:5" ht="13" x14ac:dyDescent="0.3">
      <c r="A657" s="9"/>
      <c r="B657" s="9"/>
      <c r="C657" s="10"/>
      <c r="D657" s="9"/>
      <c r="E657" s="9"/>
    </row>
    <row r="658" spans="1:5" ht="13" x14ac:dyDescent="0.3">
      <c r="A658" s="9"/>
      <c r="B658" s="9"/>
      <c r="C658" s="10"/>
      <c r="D658" s="9"/>
      <c r="E658" s="9"/>
    </row>
    <row r="659" spans="1:5" ht="13" x14ac:dyDescent="0.3">
      <c r="A659" s="9"/>
      <c r="B659" s="9"/>
      <c r="C659" s="10"/>
      <c r="D659" s="9"/>
      <c r="E659" s="9"/>
    </row>
    <row r="660" spans="1:5" ht="13" x14ac:dyDescent="0.3">
      <c r="A660" s="9"/>
      <c r="B660" s="9"/>
      <c r="C660" s="10"/>
      <c r="D660" s="9"/>
      <c r="E660" s="9"/>
    </row>
    <row r="661" spans="1:5" ht="13" x14ac:dyDescent="0.3">
      <c r="A661" s="9"/>
      <c r="B661" s="9"/>
      <c r="C661" s="10"/>
      <c r="D661" s="9"/>
      <c r="E661" s="9"/>
    </row>
    <row r="662" spans="1:5" ht="13" x14ac:dyDescent="0.3">
      <c r="A662" s="9"/>
      <c r="B662" s="9"/>
      <c r="C662" s="10"/>
      <c r="D662" s="9"/>
      <c r="E662" s="9"/>
    </row>
    <row r="663" spans="1:5" ht="13" x14ac:dyDescent="0.3">
      <c r="A663" s="9"/>
      <c r="B663" s="9"/>
      <c r="C663" s="10"/>
      <c r="D663" s="9"/>
      <c r="E663" s="9"/>
    </row>
    <row r="664" spans="1:5" ht="13" x14ac:dyDescent="0.3">
      <c r="A664" s="9"/>
      <c r="B664" s="9"/>
      <c r="C664" s="10"/>
      <c r="D664" s="9"/>
      <c r="E664" s="9"/>
    </row>
    <row r="665" spans="1:5" ht="13" x14ac:dyDescent="0.3">
      <c r="A665" s="9"/>
      <c r="B665" s="9"/>
      <c r="C665" s="10"/>
      <c r="D665" s="9"/>
      <c r="E665" s="9"/>
    </row>
    <row r="666" spans="1:5" ht="13" x14ac:dyDescent="0.3">
      <c r="A666" s="9"/>
      <c r="B666" s="9"/>
      <c r="C666" s="10"/>
      <c r="D666" s="9"/>
      <c r="E666" s="9"/>
    </row>
    <row r="667" spans="1:5" ht="13" x14ac:dyDescent="0.3">
      <c r="A667" s="9"/>
      <c r="B667" s="9"/>
      <c r="C667" s="10"/>
      <c r="D667" s="9"/>
      <c r="E667" s="9"/>
    </row>
    <row r="668" spans="1:5" ht="13" x14ac:dyDescent="0.3">
      <c r="A668" s="9"/>
      <c r="B668" s="9"/>
      <c r="C668" s="10"/>
      <c r="D668" s="9"/>
      <c r="E668" s="9"/>
    </row>
    <row r="669" spans="1:5" ht="13" x14ac:dyDescent="0.3">
      <c r="A669" s="9"/>
      <c r="B669" s="9"/>
      <c r="C669" s="10"/>
      <c r="D669" s="9"/>
      <c r="E669" s="9"/>
    </row>
    <row r="670" spans="1:5" ht="13" x14ac:dyDescent="0.3">
      <c r="A670" s="9"/>
      <c r="B670" s="9"/>
      <c r="C670" s="10"/>
      <c r="D670" s="9"/>
      <c r="E670" s="9"/>
    </row>
    <row r="671" spans="1:5" ht="13" x14ac:dyDescent="0.3">
      <c r="A671" s="9"/>
      <c r="B671" s="9"/>
      <c r="C671" s="10"/>
      <c r="D671" s="9"/>
      <c r="E671" s="9"/>
    </row>
    <row r="672" spans="1:5" ht="13" x14ac:dyDescent="0.3">
      <c r="A672" s="9"/>
      <c r="B672" s="9"/>
      <c r="C672" s="10"/>
      <c r="D672" s="9"/>
      <c r="E672" s="9"/>
    </row>
    <row r="673" spans="1:5" ht="13" x14ac:dyDescent="0.3">
      <c r="A673" s="9"/>
      <c r="B673" s="9"/>
      <c r="C673" s="10"/>
      <c r="D673" s="9"/>
      <c r="E673" s="9"/>
    </row>
    <row r="674" spans="1:5" ht="13" x14ac:dyDescent="0.3">
      <c r="A674" s="9"/>
      <c r="B674" s="9"/>
      <c r="C674" s="10"/>
      <c r="D674" s="9"/>
      <c r="E674" s="9"/>
    </row>
    <row r="675" spans="1:5" ht="13" x14ac:dyDescent="0.3">
      <c r="A675" s="9"/>
      <c r="B675" s="9"/>
      <c r="C675" s="10"/>
      <c r="D675" s="9"/>
      <c r="E675" s="9"/>
    </row>
    <row r="676" spans="1:5" ht="13" x14ac:dyDescent="0.3">
      <c r="A676" s="9"/>
      <c r="B676" s="9"/>
      <c r="C676" s="10"/>
      <c r="D676" s="9"/>
      <c r="E676" s="9"/>
    </row>
    <row r="677" spans="1:5" ht="13" x14ac:dyDescent="0.3">
      <c r="A677" s="9"/>
      <c r="B677" s="9"/>
      <c r="C677" s="10"/>
      <c r="D677" s="9"/>
      <c r="E677" s="9"/>
    </row>
    <row r="678" spans="1:5" ht="13" x14ac:dyDescent="0.3">
      <c r="A678" s="9"/>
      <c r="B678" s="9"/>
      <c r="C678" s="10"/>
      <c r="D678" s="9"/>
      <c r="E678" s="9"/>
    </row>
    <row r="679" spans="1:5" ht="13" x14ac:dyDescent="0.3">
      <c r="A679" s="9"/>
      <c r="B679" s="9"/>
      <c r="C679" s="10"/>
      <c r="D679" s="9"/>
      <c r="E679" s="9"/>
    </row>
    <row r="680" spans="1:5" ht="13" x14ac:dyDescent="0.3">
      <c r="A680" s="9"/>
      <c r="B680" s="9"/>
      <c r="C680" s="10"/>
      <c r="D680" s="9"/>
      <c r="E680" s="9"/>
    </row>
    <row r="681" spans="1:5" ht="13" x14ac:dyDescent="0.3">
      <c r="A681" s="9"/>
      <c r="B681" s="9"/>
      <c r="C681" s="10"/>
      <c r="D681" s="9"/>
      <c r="E681" s="9"/>
    </row>
    <row r="682" spans="1:5" ht="13" x14ac:dyDescent="0.3">
      <c r="A682" s="9"/>
      <c r="B682" s="9"/>
      <c r="C682" s="10"/>
      <c r="D682" s="9"/>
      <c r="E682" s="9"/>
    </row>
    <row r="683" spans="1:5" ht="13" x14ac:dyDescent="0.3">
      <c r="A683" s="9"/>
      <c r="B683" s="9"/>
      <c r="C683" s="10"/>
      <c r="D683" s="9"/>
      <c r="E683" s="9"/>
    </row>
    <row r="684" spans="1:5" ht="13" x14ac:dyDescent="0.3">
      <c r="A684" s="9"/>
      <c r="B684" s="9"/>
      <c r="C684" s="10"/>
      <c r="D684" s="9"/>
      <c r="E684" s="9"/>
    </row>
    <row r="685" spans="1:5" ht="13" x14ac:dyDescent="0.3">
      <c r="A685" s="9"/>
      <c r="B685" s="9"/>
      <c r="C685" s="10"/>
      <c r="D685" s="9"/>
      <c r="E685" s="9"/>
    </row>
    <row r="686" spans="1:5" ht="13" x14ac:dyDescent="0.3">
      <c r="A686" s="9"/>
      <c r="B686" s="9"/>
      <c r="C686" s="10"/>
      <c r="D686" s="9"/>
      <c r="E686" s="9"/>
    </row>
    <row r="687" spans="1:5" ht="13" x14ac:dyDescent="0.3">
      <c r="A687" s="9"/>
      <c r="B687" s="9"/>
      <c r="C687" s="10"/>
      <c r="D687" s="9"/>
      <c r="E687" s="9"/>
    </row>
    <row r="688" spans="1:5" ht="13" x14ac:dyDescent="0.3">
      <c r="A688" s="9"/>
      <c r="B688" s="9"/>
      <c r="C688" s="10"/>
      <c r="D688" s="9"/>
      <c r="E688" s="9"/>
    </row>
    <row r="689" spans="1:5" ht="13" x14ac:dyDescent="0.3">
      <c r="A689" s="9"/>
      <c r="B689" s="9"/>
      <c r="C689" s="10"/>
      <c r="D689" s="9"/>
      <c r="E689" s="9"/>
    </row>
    <row r="690" spans="1:5" ht="13" x14ac:dyDescent="0.3">
      <c r="A690" s="9"/>
      <c r="B690" s="9"/>
      <c r="C690" s="10"/>
      <c r="D690" s="9"/>
      <c r="E690" s="9"/>
    </row>
    <row r="691" spans="1:5" ht="13" x14ac:dyDescent="0.3">
      <c r="A691" s="9"/>
      <c r="B691" s="9"/>
      <c r="C691" s="10"/>
      <c r="D691" s="9"/>
      <c r="E691" s="9"/>
    </row>
    <row r="692" spans="1:5" ht="13" x14ac:dyDescent="0.3">
      <c r="A692" s="9"/>
      <c r="B692" s="9"/>
      <c r="C692" s="10"/>
      <c r="D692" s="9"/>
      <c r="E692" s="9"/>
    </row>
    <row r="693" spans="1:5" ht="13" x14ac:dyDescent="0.3">
      <c r="A693" s="9"/>
      <c r="B693" s="9"/>
      <c r="C693" s="10"/>
      <c r="D693" s="9"/>
      <c r="E693" s="9"/>
    </row>
    <row r="694" spans="1:5" ht="13" x14ac:dyDescent="0.3">
      <c r="A694" s="9"/>
      <c r="B694" s="9"/>
      <c r="C694" s="10"/>
      <c r="D694" s="9"/>
      <c r="E694" s="9"/>
    </row>
    <row r="695" spans="1:5" ht="13" x14ac:dyDescent="0.3">
      <c r="A695" s="9"/>
      <c r="B695" s="9"/>
      <c r="C695" s="10"/>
      <c r="D695" s="9"/>
      <c r="E695" s="9"/>
    </row>
    <row r="696" spans="1:5" ht="13" x14ac:dyDescent="0.3">
      <c r="A696" s="9"/>
      <c r="B696" s="9"/>
      <c r="C696" s="10"/>
      <c r="D696" s="9"/>
      <c r="E696" s="9"/>
    </row>
    <row r="697" spans="1:5" ht="13" x14ac:dyDescent="0.3">
      <c r="A697" s="9"/>
      <c r="B697" s="9"/>
      <c r="C697" s="10"/>
      <c r="D697" s="9"/>
      <c r="E697" s="9"/>
    </row>
    <row r="698" spans="1:5" ht="13" x14ac:dyDescent="0.3">
      <c r="A698" s="9"/>
      <c r="B698" s="9"/>
      <c r="C698" s="10"/>
      <c r="D698" s="9"/>
      <c r="E698" s="9"/>
    </row>
    <row r="699" spans="1:5" ht="13" x14ac:dyDescent="0.3">
      <c r="A699" s="9"/>
      <c r="B699" s="9"/>
      <c r="C699" s="10"/>
      <c r="D699" s="9"/>
      <c r="E699" s="9"/>
    </row>
    <row r="700" spans="1:5" ht="13" x14ac:dyDescent="0.3">
      <c r="A700" s="9"/>
      <c r="B700" s="9"/>
      <c r="C700" s="10"/>
      <c r="D700" s="9"/>
      <c r="E700" s="9"/>
    </row>
    <row r="701" spans="1:5" ht="13" x14ac:dyDescent="0.3">
      <c r="A701" s="9"/>
      <c r="B701" s="9"/>
      <c r="C701" s="10"/>
      <c r="D701" s="9"/>
      <c r="E701" s="9"/>
    </row>
    <row r="702" spans="1:5" ht="13" x14ac:dyDescent="0.3">
      <c r="A702" s="9"/>
      <c r="B702" s="9"/>
      <c r="C702" s="10"/>
      <c r="D702" s="9"/>
      <c r="E702" s="9"/>
    </row>
    <row r="703" spans="1:5" ht="13" x14ac:dyDescent="0.3">
      <c r="A703" s="9"/>
      <c r="B703" s="9"/>
      <c r="C703" s="10"/>
      <c r="D703" s="9"/>
      <c r="E703" s="9"/>
    </row>
    <row r="704" spans="1:5" ht="13" x14ac:dyDescent="0.3">
      <c r="A704" s="9"/>
      <c r="B704" s="9"/>
      <c r="C704" s="10"/>
      <c r="D704" s="9"/>
      <c r="E704" s="9"/>
    </row>
    <row r="705" spans="1:5" ht="13" x14ac:dyDescent="0.3">
      <c r="A705" s="9"/>
      <c r="B705" s="9"/>
      <c r="C705" s="10"/>
      <c r="D705" s="9"/>
      <c r="E705" s="9"/>
    </row>
    <row r="706" spans="1:5" ht="13" x14ac:dyDescent="0.3">
      <c r="A706" s="9"/>
      <c r="B706" s="9"/>
      <c r="C706" s="10"/>
      <c r="D706" s="9"/>
      <c r="E706" s="9"/>
    </row>
    <row r="707" spans="1:5" ht="13" x14ac:dyDescent="0.3">
      <c r="A707" s="9"/>
      <c r="B707" s="9"/>
      <c r="C707" s="10"/>
      <c r="D707" s="9"/>
      <c r="E707" s="9"/>
    </row>
    <row r="708" spans="1:5" ht="13" x14ac:dyDescent="0.3">
      <c r="A708" s="9"/>
      <c r="B708" s="9"/>
      <c r="C708" s="10"/>
      <c r="D708" s="9"/>
      <c r="E708" s="9"/>
    </row>
    <row r="709" spans="1:5" ht="13" x14ac:dyDescent="0.3">
      <c r="A709" s="9"/>
      <c r="B709" s="9"/>
      <c r="C709" s="10"/>
      <c r="D709" s="9"/>
      <c r="E709" s="9"/>
    </row>
    <row r="710" spans="1:5" ht="13" x14ac:dyDescent="0.3">
      <c r="A710" s="9"/>
      <c r="B710" s="9"/>
      <c r="C710" s="10"/>
      <c r="D710" s="9"/>
      <c r="E710" s="9"/>
    </row>
    <row r="711" spans="1:5" ht="13" x14ac:dyDescent="0.3">
      <c r="A711" s="9"/>
      <c r="B711" s="9"/>
      <c r="C711" s="10"/>
      <c r="D711" s="9"/>
      <c r="E711" s="9"/>
    </row>
    <row r="712" spans="1:5" ht="13" x14ac:dyDescent="0.3">
      <c r="A712" s="9"/>
      <c r="B712" s="9"/>
      <c r="C712" s="10"/>
      <c r="D712" s="9"/>
      <c r="E712" s="9"/>
    </row>
    <row r="713" spans="1:5" ht="13" x14ac:dyDescent="0.3">
      <c r="A713" s="9"/>
      <c r="B713" s="9"/>
      <c r="C713" s="10"/>
      <c r="D713" s="9"/>
      <c r="E713" s="9"/>
    </row>
    <row r="714" spans="1:5" ht="13" x14ac:dyDescent="0.3">
      <c r="A714" s="9"/>
      <c r="B714" s="9"/>
      <c r="C714" s="10"/>
      <c r="D714" s="9"/>
      <c r="E714" s="9"/>
    </row>
    <row r="715" spans="1:5" ht="13" x14ac:dyDescent="0.3">
      <c r="A715" s="9"/>
      <c r="B715" s="9"/>
      <c r="C715" s="10"/>
      <c r="D715" s="9"/>
      <c r="E715" s="9"/>
    </row>
    <row r="716" spans="1:5" ht="13" x14ac:dyDescent="0.3">
      <c r="A716" s="9"/>
      <c r="B716" s="9"/>
      <c r="C716" s="10"/>
      <c r="D716" s="9"/>
      <c r="E716" s="9"/>
    </row>
    <row r="717" spans="1:5" ht="13" x14ac:dyDescent="0.3">
      <c r="A717" s="9"/>
      <c r="B717" s="9"/>
      <c r="C717" s="10"/>
      <c r="D717" s="9"/>
      <c r="E717" s="9"/>
    </row>
    <row r="718" spans="1:5" ht="13" x14ac:dyDescent="0.3">
      <c r="A718" s="9"/>
      <c r="B718" s="9"/>
      <c r="C718" s="10"/>
      <c r="D718" s="9"/>
      <c r="E718" s="9"/>
    </row>
    <row r="719" spans="1:5" ht="13" x14ac:dyDescent="0.3">
      <c r="A719" s="9"/>
      <c r="B719" s="9"/>
      <c r="C719" s="10"/>
      <c r="D719" s="9"/>
      <c r="E719" s="9"/>
    </row>
    <row r="720" spans="1:5" ht="13" x14ac:dyDescent="0.3">
      <c r="A720" s="9"/>
      <c r="B720" s="9"/>
      <c r="C720" s="10"/>
      <c r="D720" s="9"/>
      <c r="E720" s="9"/>
    </row>
    <row r="721" spans="1:5" ht="13" x14ac:dyDescent="0.3">
      <c r="A721" s="9"/>
      <c r="B721" s="9"/>
      <c r="C721" s="10"/>
      <c r="D721" s="9"/>
      <c r="E721" s="9"/>
    </row>
    <row r="722" spans="1:5" ht="13" x14ac:dyDescent="0.3">
      <c r="A722" s="9"/>
      <c r="B722" s="9"/>
      <c r="C722" s="10"/>
      <c r="D722" s="9"/>
      <c r="E722" s="9"/>
    </row>
    <row r="723" spans="1:5" ht="13" x14ac:dyDescent="0.3">
      <c r="A723" s="9"/>
      <c r="B723" s="9"/>
      <c r="C723" s="10"/>
      <c r="D723" s="9"/>
      <c r="E723" s="9"/>
    </row>
    <row r="724" spans="1:5" ht="13" x14ac:dyDescent="0.3">
      <c r="A724" s="9"/>
      <c r="B724" s="9"/>
      <c r="C724" s="10"/>
      <c r="D724" s="9"/>
      <c r="E724" s="9"/>
    </row>
    <row r="725" spans="1:5" ht="13" x14ac:dyDescent="0.3">
      <c r="A725" s="9"/>
      <c r="B725" s="9"/>
      <c r="C725" s="10"/>
      <c r="D725" s="9"/>
      <c r="E725" s="9"/>
    </row>
    <row r="726" spans="1:5" ht="13" x14ac:dyDescent="0.3">
      <c r="A726" s="9"/>
      <c r="B726" s="9"/>
      <c r="C726" s="10"/>
      <c r="D726" s="9"/>
      <c r="E726" s="9"/>
    </row>
    <row r="727" spans="1:5" ht="13" x14ac:dyDescent="0.3">
      <c r="A727" s="9"/>
      <c r="B727" s="9"/>
      <c r="C727" s="10"/>
      <c r="D727" s="9"/>
      <c r="E727" s="9"/>
    </row>
    <row r="728" spans="1:5" ht="13" x14ac:dyDescent="0.3">
      <c r="A728" s="9"/>
      <c r="B728" s="9"/>
      <c r="C728" s="10"/>
      <c r="D728" s="9"/>
      <c r="E728" s="9"/>
    </row>
    <row r="729" spans="1:5" ht="13" x14ac:dyDescent="0.3">
      <c r="A729" s="9"/>
      <c r="B729" s="9"/>
      <c r="C729" s="10"/>
      <c r="D729" s="9"/>
      <c r="E729" s="9"/>
    </row>
    <row r="730" spans="1:5" ht="13" x14ac:dyDescent="0.3">
      <c r="A730" s="9"/>
      <c r="B730" s="9"/>
      <c r="C730" s="10"/>
      <c r="D730" s="9"/>
      <c r="E730" s="9"/>
    </row>
    <row r="731" spans="1:5" ht="13" x14ac:dyDescent="0.3">
      <c r="A731" s="9"/>
      <c r="B731" s="9"/>
      <c r="C731" s="10"/>
      <c r="D731" s="9"/>
      <c r="E731" s="9"/>
    </row>
    <row r="732" spans="1:5" ht="13" x14ac:dyDescent="0.3">
      <c r="A732" s="9"/>
      <c r="B732" s="9"/>
      <c r="C732" s="10"/>
      <c r="D732" s="9"/>
      <c r="E732" s="9"/>
    </row>
    <row r="733" spans="1:5" ht="13" x14ac:dyDescent="0.3">
      <c r="A733" s="9"/>
      <c r="B733" s="9"/>
      <c r="C733" s="10"/>
      <c r="D733" s="9"/>
      <c r="E733" s="9"/>
    </row>
    <row r="734" spans="1:5" ht="13" x14ac:dyDescent="0.3">
      <c r="A734" s="9"/>
      <c r="B734" s="9"/>
      <c r="C734" s="10"/>
      <c r="D734" s="9"/>
      <c r="E734" s="9"/>
    </row>
    <row r="735" spans="1:5" ht="13" x14ac:dyDescent="0.3">
      <c r="A735" s="9"/>
      <c r="B735" s="9"/>
      <c r="C735" s="10"/>
      <c r="D735" s="9"/>
      <c r="E735" s="9"/>
    </row>
    <row r="736" spans="1:5" ht="13" x14ac:dyDescent="0.3">
      <c r="A736" s="9"/>
      <c r="B736" s="9"/>
      <c r="C736" s="10"/>
      <c r="D736" s="9"/>
      <c r="E736" s="9"/>
    </row>
    <row r="737" spans="1:5" ht="13" x14ac:dyDescent="0.3">
      <c r="A737" s="9"/>
      <c r="B737" s="9"/>
      <c r="C737" s="10"/>
      <c r="D737" s="9"/>
      <c r="E737" s="9"/>
    </row>
    <row r="738" spans="1:5" ht="13" x14ac:dyDescent="0.3">
      <c r="A738" s="9"/>
      <c r="B738" s="9"/>
      <c r="C738" s="10"/>
      <c r="D738" s="9"/>
      <c r="E738" s="9"/>
    </row>
    <row r="739" spans="1:5" ht="13" x14ac:dyDescent="0.3">
      <c r="A739" s="9"/>
      <c r="B739" s="9"/>
      <c r="C739" s="10"/>
      <c r="D739" s="9"/>
      <c r="E739" s="9"/>
    </row>
    <row r="740" spans="1:5" ht="13" x14ac:dyDescent="0.3">
      <c r="A740" s="9"/>
      <c r="B740" s="9"/>
      <c r="C740" s="10"/>
      <c r="D740" s="9"/>
      <c r="E740" s="9"/>
    </row>
    <row r="741" spans="1:5" ht="13" x14ac:dyDescent="0.3">
      <c r="A741" s="9"/>
      <c r="B741" s="9"/>
      <c r="C741" s="10"/>
      <c r="D741" s="9"/>
      <c r="E741" s="9"/>
    </row>
    <row r="742" spans="1:5" ht="13" x14ac:dyDescent="0.3">
      <c r="A742" s="9"/>
      <c r="B742" s="9"/>
      <c r="C742" s="10"/>
      <c r="D742" s="9"/>
      <c r="E742" s="9"/>
    </row>
    <row r="743" spans="1:5" ht="13" x14ac:dyDescent="0.3">
      <c r="A743" s="9"/>
      <c r="B743" s="9"/>
      <c r="C743" s="10"/>
      <c r="D743" s="9"/>
      <c r="E743" s="9"/>
    </row>
    <row r="744" spans="1:5" ht="13" x14ac:dyDescent="0.3">
      <c r="A744" s="9"/>
      <c r="B744" s="9"/>
      <c r="C744" s="10"/>
      <c r="D744" s="9"/>
      <c r="E744" s="9"/>
    </row>
    <row r="745" spans="1:5" ht="13" x14ac:dyDescent="0.3">
      <c r="A745" s="9"/>
      <c r="B745" s="9"/>
      <c r="C745" s="10"/>
      <c r="D745" s="9"/>
      <c r="E745" s="9"/>
    </row>
    <row r="746" spans="1:5" ht="13" x14ac:dyDescent="0.3">
      <c r="A746" s="9"/>
      <c r="B746" s="9"/>
      <c r="C746" s="10"/>
      <c r="D746" s="9"/>
      <c r="E746" s="9"/>
    </row>
    <row r="747" spans="1:5" ht="13" x14ac:dyDescent="0.3">
      <c r="A747" s="9"/>
      <c r="B747" s="9"/>
      <c r="C747" s="10"/>
      <c r="D747" s="9"/>
      <c r="E747" s="9"/>
    </row>
    <row r="748" spans="1:5" ht="13" x14ac:dyDescent="0.3">
      <c r="A748" s="9"/>
      <c r="B748" s="9"/>
      <c r="C748" s="10"/>
      <c r="D748" s="9"/>
      <c r="E748" s="9"/>
    </row>
    <row r="749" spans="1:5" ht="13" x14ac:dyDescent="0.3">
      <c r="A749" s="9"/>
      <c r="B749" s="9"/>
      <c r="C749" s="10"/>
      <c r="D749" s="9"/>
      <c r="E749" s="9"/>
    </row>
    <row r="750" spans="1:5" ht="13" x14ac:dyDescent="0.3">
      <c r="A750" s="9"/>
      <c r="B750" s="9"/>
      <c r="C750" s="10"/>
      <c r="D750" s="9"/>
      <c r="E750" s="9"/>
    </row>
    <row r="751" spans="1:5" ht="13" x14ac:dyDescent="0.3">
      <c r="A751" s="9"/>
      <c r="B751" s="9"/>
      <c r="C751" s="10"/>
      <c r="D751" s="9"/>
      <c r="E751" s="9"/>
    </row>
    <row r="752" spans="1:5" ht="13" x14ac:dyDescent="0.3">
      <c r="A752" s="9"/>
      <c r="B752" s="9"/>
      <c r="C752" s="10"/>
      <c r="D752" s="9"/>
      <c r="E752" s="9"/>
    </row>
    <row r="753" spans="1:5" ht="13" x14ac:dyDescent="0.3">
      <c r="A753" s="9"/>
      <c r="B753" s="9"/>
      <c r="C753" s="10"/>
      <c r="D753" s="9"/>
      <c r="E753" s="9"/>
    </row>
    <row r="754" spans="1:5" ht="13" x14ac:dyDescent="0.3">
      <c r="A754" s="9"/>
      <c r="B754" s="9"/>
      <c r="C754" s="10"/>
      <c r="D754" s="9"/>
      <c r="E754" s="9"/>
    </row>
    <row r="755" spans="1:5" ht="13" x14ac:dyDescent="0.3">
      <c r="A755" s="9"/>
      <c r="B755" s="9"/>
      <c r="C755" s="10"/>
      <c r="D755" s="9"/>
      <c r="E755" s="9"/>
    </row>
    <row r="756" spans="1:5" ht="13" x14ac:dyDescent="0.3">
      <c r="A756" s="9"/>
      <c r="B756" s="9"/>
      <c r="C756" s="10"/>
      <c r="D756" s="9"/>
      <c r="E756" s="9"/>
    </row>
    <row r="757" spans="1:5" ht="13" x14ac:dyDescent="0.3">
      <c r="A757" s="9"/>
      <c r="B757" s="9"/>
      <c r="C757" s="10"/>
      <c r="D757" s="9"/>
      <c r="E757" s="9"/>
    </row>
    <row r="758" spans="1:5" ht="13" x14ac:dyDescent="0.3">
      <c r="A758" s="9"/>
      <c r="B758" s="9"/>
      <c r="C758" s="10"/>
      <c r="D758" s="9"/>
      <c r="E758" s="9"/>
    </row>
    <row r="759" spans="1:5" ht="13" x14ac:dyDescent="0.3">
      <c r="A759" s="9"/>
      <c r="B759" s="9"/>
      <c r="C759" s="10"/>
      <c r="D759" s="9"/>
      <c r="E759" s="9"/>
    </row>
    <row r="760" spans="1:5" ht="13" x14ac:dyDescent="0.3">
      <c r="A760" s="9"/>
      <c r="B760" s="9"/>
      <c r="C760" s="10"/>
      <c r="D760" s="9"/>
      <c r="E760" s="9"/>
    </row>
    <row r="761" spans="1:5" ht="13" x14ac:dyDescent="0.3">
      <c r="A761" s="9"/>
      <c r="B761" s="9"/>
      <c r="C761" s="10"/>
      <c r="D761" s="9"/>
      <c r="E761" s="9"/>
    </row>
    <row r="762" spans="1:5" ht="13" x14ac:dyDescent="0.3">
      <c r="A762" s="9"/>
      <c r="B762" s="9"/>
      <c r="C762" s="10"/>
      <c r="D762" s="9"/>
      <c r="E762" s="9"/>
    </row>
    <row r="763" spans="1:5" ht="13" x14ac:dyDescent="0.3">
      <c r="A763" s="9"/>
      <c r="B763" s="9"/>
      <c r="C763" s="10"/>
      <c r="D763" s="9"/>
      <c r="E763" s="9"/>
    </row>
    <row r="764" spans="1:5" ht="13" x14ac:dyDescent="0.3">
      <c r="A764" s="9"/>
      <c r="B764" s="9"/>
      <c r="C764" s="10"/>
      <c r="D764" s="9"/>
      <c r="E764" s="9"/>
    </row>
    <row r="765" spans="1:5" ht="13" x14ac:dyDescent="0.3">
      <c r="A765" s="9"/>
      <c r="B765" s="9"/>
      <c r="C765" s="10"/>
      <c r="D765" s="9"/>
      <c r="E765" s="9"/>
    </row>
    <row r="766" spans="1:5" ht="13" x14ac:dyDescent="0.3">
      <c r="A766" s="9"/>
      <c r="B766" s="9"/>
      <c r="C766" s="10"/>
      <c r="D766" s="9"/>
      <c r="E766" s="9"/>
    </row>
    <row r="767" spans="1:5" ht="13" x14ac:dyDescent="0.3">
      <c r="A767" s="9"/>
      <c r="B767" s="9"/>
      <c r="C767" s="10"/>
      <c r="D767" s="9"/>
      <c r="E767" s="9"/>
    </row>
    <row r="768" spans="1:5" ht="13" x14ac:dyDescent="0.3">
      <c r="A768" s="9"/>
      <c r="B768" s="9"/>
      <c r="C768" s="10"/>
      <c r="D768" s="9"/>
      <c r="E768" s="9"/>
    </row>
    <row r="769" spans="1:5" ht="13" x14ac:dyDescent="0.3">
      <c r="A769" s="9"/>
      <c r="B769" s="9"/>
      <c r="C769" s="10"/>
      <c r="D769" s="9"/>
      <c r="E769" s="9"/>
    </row>
    <row r="770" spans="1:5" ht="13" x14ac:dyDescent="0.3">
      <c r="A770" s="9"/>
      <c r="B770" s="9"/>
      <c r="C770" s="10"/>
      <c r="D770" s="9"/>
      <c r="E770" s="9"/>
    </row>
    <row r="771" spans="1:5" ht="13" x14ac:dyDescent="0.3">
      <c r="A771" s="9"/>
      <c r="B771" s="9"/>
      <c r="C771" s="10"/>
      <c r="D771" s="9"/>
      <c r="E771" s="9"/>
    </row>
    <row r="772" spans="1:5" ht="13" x14ac:dyDescent="0.3">
      <c r="A772" s="9"/>
      <c r="B772" s="9"/>
      <c r="C772" s="10"/>
      <c r="D772" s="9"/>
      <c r="E772" s="9"/>
    </row>
    <row r="773" spans="1:5" ht="13" x14ac:dyDescent="0.3">
      <c r="A773" s="9"/>
      <c r="B773" s="9"/>
      <c r="C773" s="10"/>
      <c r="D773" s="9"/>
      <c r="E773" s="9"/>
    </row>
    <row r="774" spans="1:5" ht="13" x14ac:dyDescent="0.3">
      <c r="A774" s="9"/>
      <c r="B774" s="9"/>
      <c r="C774" s="10"/>
      <c r="D774" s="9"/>
      <c r="E774" s="9"/>
    </row>
    <row r="775" spans="1:5" ht="13" x14ac:dyDescent="0.3">
      <c r="A775" s="9"/>
      <c r="B775" s="9"/>
      <c r="C775" s="10"/>
      <c r="D775" s="9"/>
      <c r="E775" s="9"/>
    </row>
    <row r="776" spans="1:5" ht="13" x14ac:dyDescent="0.3">
      <c r="A776" s="9"/>
      <c r="B776" s="9"/>
      <c r="C776" s="10"/>
      <c r="D776" s="9"/>
      <c r="E776" s="9"/>
    </row>
    <row r="777" spans="1:5" ht="13" x14ac:dyDescent="0.3">
      <c r="A777" s="9"/>
      <c r="B777" s="9"/>
      <c r="C777" s="10"/>
      <c r="D777" s="9"/>
      <c r="E777" s="9"/>
    </row>
    <row r="778" spans="1:5" ht="13" x14ac:dyDescent="0.3">
      <c r="A778" s="9"/>
      <c r="B778" s="9"/>
      <c r="C778" s="10"/>
      <c r="D778" s="9"/>
      <c r="E778" s="9"/>
    </row>
    <row r="779" spans="1:5" ht="13" x14ac:dyDescent="0.3">
      <c r="A779" s="9"/>
      <c r="B779" s="9"/>
      <c r="C779" s="10"/>
      <c r="D779" s="9"/>
      <c r="E779" s="9"/>
    </row>
    <row r="780" spans="1:5" ht="13" x14ac:dyDescent="0.3">
      <c r="A780" s="9"/>
      <c r="B780" s="9"/>
      <c r="C780" s="10"/>
      <c r="D780" s="9"/>
      <c r="E780" s="9"/>
    </row>
    <row r="781" spans="1:5" ht="13" x14ac:dyDescent="0.3">
      <c r="A781" s="9"/>
      <c r="B781" s="9"/>
      <c r="C781" s="10"/>
      <c r="D781" s="9"/>
      <c r="E781" s="9"/>
    </row>
    <row r="782" spans="1:5" ht="13" x14ac:dyDescent="0.3">
      <c r="A782" s="9"/>
      <c r="B782" s="9"/>
      <c r="C782" s="10"/>
      <c r="D782" s="9"/>
      <c r="E782" s="9"/>
    </row>
    <row r="783" spans="1:5" ht="13" x14ac:dyDescent="0.3">
      <c r="A783" s="9"/>
      <c r="B783" s="9"/>
      <c r="C783" s="10"/>
      <c r="D783" s="9"/>
      <c r="E783" s="9"/>
    </row>
    <row r="784" spans="1:5" ht="13" x14ac:dyDescent="0.3">
      <c r="A784" s="9"/>
      <c r="B784" s="9"/>
      <c r="C784" s="10"/>
      <c r="D784" s="9"/>
      <c r="E784" s="9"/>
    </row>
    <row r="785" spans="1:5" ht="13" x14ac:dyDescent="0.3">
      <c r="A785" s="9"/>
      <c r="B785" s="9"/>
      <c r="C785" s="10"/>
      <c r="D785" s="9"/>
      <c r="E785" s="9"/>
    </row>
    <row r="786" spans="1:5" ht="13" x14ac:dyDescent="0.3">
      <c r="A786" s="9"/>
      <c r="B786" s="9"/>
      <c r="C786" s="10"/>
      <c r="D786" s="9"/>
      <c r="E786" s="9"/>
    </row>
    <row r="787" spans="1:5" ht="13" x14ac:dyDescent="0.3">
      <c r="A787" s="9"/>
      <c r="B787" s="9"/>
      <c r="C787" s="10"/>
      <c r="D787" s="9"/>
      <c r="E787" s="9"/>
    </row>
    <row r="788" spans="1:5" ht="13" x14ac:dyDescent="0.3">
      <c r="A788" s="9"/>
      <c r="B788" s="9"/>
      <c r="C788" s="10"/>
      <c r="D788" s="9"/>
      <c r="E788" s="9"/>
    </row>
    <row r="789" spans="1:5" ht="13" x14ac:dyDescent="0.3">
      <c r="A789" s="9"/>
      <c r="B789" s="9"/>
      <c r="C789" s="10"/>
      <c r="D789" s="9"/>
      <c r="E789" s="9"/>
    </row>
    <row r="790" spans="1:5" ht="13" x14ac:dyDescent="0.3">
      <c r="A790" s="9"/>
      <c r="B790" s="9"/>
      <c r="C790" s="10"/>
      <c r="D790" s="9"/>
      <c r="E790" s="9"/>
    </row>
    <row r="791" spans="1:5" ht="13" x14ac:dyDescent="0.3">
      <c r="A791" s="9"/>
      <c r="B791" s="9"/>
      <c r="C791" s="10"/>
      <c r="D791" s="9"/>
      <c r="E791" s="9"/>
    </row>
    <row r="792" spans="1:5" ht="13" x14ac:dyDescent="0.3">
      <c r="A792" s="9"/>
      <c r="B792" s="9"/>
      <c r="C792" s="10"/>
      <c r="D792" s="9"/>
      <c r="E792" s="9"/>
    </row>
    <row r="793" spans="1:5" ht="13" x14ac:dyDescent="0.3">
      <c r="A793" s="9"/>
      <c r="B793" s="9"/>
      <c r="C793" s="10"/>
      <c r="D793" s="9"/>
      <c r="E793" s="9"/>
    </row>
    <row r="794" spans="1:5" ht="13" x14ac:dyDescent="0.3">
      <c r="A794" s="9"/>
      <c r="B794" s="9"/>
      <c r="C794" s="10"/>
      <c r="D794" s="9"/>
      <c r="E794" s="9"/>
    </row>
    <row r="795" spans="1:5" ht="13" x14ac:dyDescent="0.3">
      <c r="A795" s="9"/>
      <c r="B795" s="9"/>
      <c r="C795" s="10"/>
      <c r="D795" s="9"/>
      <c r="E795" s="9"/>
    </row>
    <row r="796" spans="1:5" ht="13" x14ac:dyDescent="0.3">
      <c r="A796" s="9"/>
      <c r="B796" s="9"/>
      <c r="C796" s="10"/>
      <c r="D796" s="9"/>
      <c r="E796" s="9"/>
    </row>
    <row r="797" spans="1:5" ht="13" x14ac:dyDescent="0.3">
      <c r="A797" s="9"/>
      <c r="B797" s="9"/>
      <c r="C797" s="10"/>
      <c r="D797" s="9"/>
      <c r="E797" s="9"/>
    </row>
    <row r="798" spans="1:5" ht="13" x14ac:dyDescent="0.3">
      <c r="A798" s="9"/>
      <c r="B798" s="9"/>
      <c r="C798" s="10"/>
      <c r="D798" s="9"/>
      <c r="E798" s="9"/>
    </row>
    <row r="799" spans="1:5" ht="13" x14ac:dyDescent="0.3">
      <c r="A799" s="9"/>
      <c r="B799" s="9"/>
      <c r="C799" s="10"/>
      <c r="D799" s="9"/>
      <c r="E799" s="9"/>
    </row>
    <row r="800" spans="1:5" ht="13" x14ac:dyDescent="0.3">
      <c r="A800" s="9"/>
      <c r="B800" s="9"/>
      <c r="C800" s="10"/>
      <c r="D800" s="9"/>
      <c r="E800" s="9"/>
    </row>
    <row r="801" spans="1:5" ht="13" x14ac:dyDescent="0.3">
      <c r="A801" s="9"/>
      <c r="B801" s="9"/>
      <c r="C801" s="10"/>
      <c r="D801" s="9"/>
      <c r="E801" s="9"/>
    </row>
    <row r="802" spans="1:5" ht="13" x14ac:dyDescent="0.3">
      <c r="A802" s="9"/>
      <c r="B802" s="9"/>
      <c r="C802" s="10"/>
      <c r="D802" s="9"/>
      <c r="E802" s="9"/>
    </row>
    <row r="803" spans="1:5" ht="13" x14ac:dyDescent="0.3">
      <c r="A803" s="9"/>
      <c r="B803" s="9"/>
      <c r="C803" s="10"/>
      <c r="D803" s="9"/>
      <c r="E803" s="9"/>
    </row>
    <row r="804" spans="1:5" ht="13" x14ac:dyDescent="0.3">
      <c r="A804" s="9"/>
      <c r="B804" s="9"/>
      <c r="C804" s="10"/>
      <c r="D804" s="9"/>
      <c r="E804" s="9"/>
    </row>
    <row r="805" spans="1:5" ht="13" x14ac:dyDescent="0.3">
      <c r="A805" s="9"/>
      <c r="B805" s="9"/>
      <c r="C805" s="10"/>
      <c r="D805" s="9"/>
      <c r="E805" s="9"/>
    </row>
    <row r="806" spans="1:5" ht="13" x14ac:dyDescent="0.3">
      <c r="A806" s="9"/>
      <c r="B806" s="9"/>
      <c r="C806" s="10"/>
      <c r="D806" s="9"/>
      <c r="E806" s="9"/>
    </row>
    <row r="807" spans="1:5" ht="13" x14ac:dyDescent="0.3">
      <c r="A807" s="9"/>
      <c r="B807" s="9"/>
      <c r="C807" s="10"/>
      <c r="D807" s="9"/>
      <c r="E807" s="9"/>
    </row>
    <row r="808" spans="1:5" ht="13" x14ac:dyDescent="0.3">
      <c r="A808" s="9"/>
      <c r="B808" s="9"/>
      <c r="C808" s="10"/>
      <c r="D808" s="9"/>
      <c r="E808" s="9"/>
    </row>
    <row r="809" spans="1:5" ht="13" x14ac:dyDescent="0.3">
      <c r="A809" s="9"/>
      <c r="B809" s="9"/>
      <c r="C809" s="10"/>
      <c r="D809" s="9"/>
      <c r="E809" s="9"/>
    </row>
    <row r="810" spans="1:5" ht="13" x14ac:dyDescent="0.3">
      <c r="A810" s="9"/>
      <c r="B810" s="9"/>
      <c r="C810" s="10"/>
      <c r="D810" s="9"/>
      <c r="E810" s="9"/>
    </row>
    <row r="811" spans="1:5" ht="13" x14ac:dyDescent="0.3">
      <c r="A811" s="9"/>
      <c r="B811" s="9"/>
      <c r="C811" s="10"/>
      <c r="D811" s="9"/>
      <c r="E811" s="9"/>
    </row>
    <row r="812" spans="1:5" ht="13" x14ac:dyDescent="0.3">
      <c r="A812" s="9"/>
      <c r="B812" s="9"/>
      <c r="C812" s="10"/>
      <c r="D812" s="9"/>
      <c r="E812" s="9"/>
    </row>
    <row r="813" spans="1:5" ht="13" x14ac:dyDescent="0.3">
      <c r="A813" s="9"/>
      <c r="B813" s="9"/>
      <c r="C813" s="10"/>
      <c r="D813" s="9"/>
      <c r="E813" s="9"/>
    </row>
    <row r="814" spans="1:5" ht="13" x14ac:dyDescent="0.3">
      <c r="A814" s="9"/>
      <c r="B814" s="9"/>
      <c r="C814" s="10"/>
      <c r="D814" s="9"/>
      <c r="E814" s="9"/>
    </row>
    <row r="815" spans="1:5" ht="13" x14ac:dyDescent="0.3">
      <c r="A815" s="9"/>
      <c r="B815" s="9"/>
      <c r="C815" s="10"/>
      <c r="D815" s="9"/>
      <c r="E815" s="9"/>
    </row>
    <row r="816" spans="1:5" ht="13" x14ac:dyDescent="0.3">
      <c r="A816" s="9"/>
      <c r="B816" s="9"/>
      <c r="C816" s="10"/>
      <c r="D816" s="9"/>
      <c r="E816" s="9"/>
    </row>
    <row r="817" spans="1:5" ht="13" x14ac:dyDescent="0.3">
      <c r="A817" s="9"/>
      <c r="B817" s="9"/>
      <c r="C817" s="10"/>
      <c r="D817" s="9"/>
      <c r="E817" s="9"/>
    </row>
    <row r="818" spans="1:5" ht="13" x14ac:dyDescent="0.3">
      <c r="A818" s="9"/>
      <c r="B818" s="9"/>
      <c r="C818" s="10"/>
      <c r="D818" s="9"/>
      <c r="E818" s="9"/>
    </row>
    <row r="819" spans="1:5" ht="13" x14ac:dyDescent="0.3">
      <c r="A819" s="9"/>
      <c r="B819" s="9"/>
      <c r="C819" s="10"/>
      <c r="D819" s="9"/>
      <c r="E819" s="9"/>
    </row>
    <row r="820" spans="1:5" ht="13" x14ac:dyDescent="0.3">
      <c r="A820" s="9"/>
      <c r="B820" s="9"/>
      <c r="C820" s="10"/>
      <c r="D820" s="9"/>
      <c r="E820" s="9"/>
    </row>
    <row r="821" spans="1:5" ht="13" x14ac:dyDescent="0.3">
      <c r="A821" s="9"/>
      <c r="B821" s="9"/>
      <c r="C821" s="10"/>
      <c r="D821" s="9"/>
      <c r="E821" s="9"/>
    </row>
    <row r="822" spans="1:5" ht="13" x14ac:dyDescent="0.3">
      <c r="A822" s="9"/>
      <c r="B822" s="9"/>
      <c r="C822" s="10"/>
      <c r="D822" s="9"/>
      <c r="E822" s="9"/>
    </row>
    <row r="823" spans="1:5" ht="13" x14ac:dyDescent="0.3">
      <c r="A823" s="9"/>
      <c r="B823" s="9"/>
      <c r="C823" s="10"/>
      <c r="D823" s="9"/>
      <c r="E823" s="9"/>
    </row>
    <row r="824" spans="1:5" ht="13" x14ac:dyDescent="0.3">
      <c r="A824" s="9"/>
      <c r="B824" s="9"/>
      <c r="C824" s="10"/>
      <c r="D824" s="9"/>
      <c r="E824" s="9"/>
    </row>
    <row r="825" spans="1:5" ht="13" x14ac:dyDescent="0.3">
      <c r="A825" s="9"/>
      <c r="B825" s="9"/>
      <c r="C825" s="10"/>
      <c r="D825" s="9"/>
      <c r="E825" s="9"/>
    </row>
    <row r="826" spans="1:5" ht="13" x14ac:dyDescent="0.3">
      <c r="A826" s="9"/>
      <c r="B826" s="9"/>
      <c r="C826" s="10"/>
      <c r="D826" s="9"/>
      <c r="E826" s="9"/>
    </row>
    <row r="827" spans="1:5" ht="13" x14ac:dyDescent="0.3">
      <c r="A827" s="9"/>
      <c r="B827" s="9"/>
      <c r="C827" s="10"/>
      <c r="D827" s="9"/>
      <c r="E827" s="9"/>
    </row>
    <row r="828" spans="1:5" ht="13" x14ac:dyDescent="0.3">
      <c r="A828" s="9"/>
      <c r="B828" s="9"/>
      <c r="C828" s="10"/>
      <c r="D828" s="9"/>
      <c r="E828" s="9"/>
    </row>
    <row r="829" spans="1:5" ht="13" x14ac:dyDescent="0.3">
      <c r="A829" s="9"/>
      <c r="B829" s="9"/>
      <c r="C829" s="10"/>
      <c r="D829" s="9"/>
      <c r="E829" s="9"/>
    </row>
    <row r="830" spans="1:5" ht="13" x14ac:dyDescent="0.3">
      <c r="A830" s="9"/>
      <c r="B830" s="9"/>
      <c r="C830" s="10"/>
      <c r="D830" s="9"/>
      <c r="E830" s="9"/>
    </row>
    <row r="831" spans="1:5" ht="13" x14ac:dyDescent="0.3">
      <c r="A831" s="9"/>
      <c r="B831" s="9"/>
      <c r="C831" s="10"/>
      <c r="D831" s="9"/>
      <c r="E831" s="9"/>
    </row>
    <row r="832" spans="1:5" ht="13" x14ac:dyDescent="0.3">
      <c r="A832" s="9"/>
      <c r="B832" s="9"/>
      <c r="C832" s="10"/>
      <c r="D832" s="9"/>
      <c r="E832" s="9"/>
    </row>
    <row r="833" spans="1:5" ht="13" x14ac:dyDescent="0.3">
      <c r="A833" s="9"/>
      <c r="B833" s="9"/>
      <c r="C833" s="10"/>
      <c r="D833" s="9"/>
      <c r="E833" s="9"/>
    </row>
    <row r="834" spans="1:5" ht="13" x14ac:dyDescent="0.3">
      <c r="A834" s="9"/>
      <c r="B834" s="9"/>
      <c r="C834" s="10"/>
      <c r="D834" s="9"/>
      <c r="E834" s="9"/>
    </row>
    <row r="835" spans="1:5" ht="13" x14ac:dyDescent="0.3">
      <c r="A835" s="9"/>
      <c r="B835" s="9"/>
      <c r="C835" s="10"/>
      <c r="D835" s="9"/>
      <c r="E835" s="9"/>
    </row>
    <row r="836" spans="1:5" ht="13" x14ac:dyDescent="0.3">
      <c r="A836" s="9"/>
      <c r="B836" s="9"/>
      <c r="C836" s="10"/>
      <c r="D836" s="9"/>
      <c r="E836" s="9"/>
    </row>
    <row r="837" spans="1:5" ht="13" x14ac:dyDescent="0.3">
      <c r="A837" s="9"/>
      <c r="B837" s="9"/>
      <c r="C837" s="10"/>
      <c r="D837" s="9"/>
      <c r="E837" s="9"/>
    </row>
    <row r="838" spans="1:5" ht="13" x14ac:dyDescent="0.3">
      <c r="A838" s="9"/>
      <c r="B838" s="9"/>
      <c r="C838" s="10"/>
      <c r="D838" s="9"/>
      <c r="E838" s="9"/>
    </row>
    <row r="839" spans="1:5" ht="13" x14ac:dyDescent="0.3">
      <c r="A839" s="9"/>
      <c r="B839" s="9"/>
      <c r="C839" s="10"/>
      <c r="D839" s="9"/>
      <c r="E839" s="9"/>
    </row>
    <row r="840" spans="1:5" ht="13" x14ac:dyDescent="0.3">
      <c r="A840" s="9"/>
      <c r="B840" s="9"/>
      <c r="C840" s="10"/>
      <c r="D840" s="9"/>
      <c r="E840" s="9"/>
    </row>
    <row r="841" spans="1:5" ht="13" x14ac:dyDescent="0.3">
      <c r="A841" s="9"/>
      <c r="B841" s="9"/>
      <c r="C841" s="10"/>
      <c r="D841" s="9"/>
      <c r="E841" s="9"/>
    </row>
    <row r="842" spans="1:5" ht="13" x14ac:dyDescent="0.3">
      <c r="A842" s="9"/>
      <c r="B842" s="9"/>
      <c r="C842" s="10"/>
      <c r="D842" s="9"/>
      <c r="E842" s="9"/>
    </row>
    <row r="843" spans="1:5" ht="13" x14ac:dyDescent="0.3">
      <c r="A843" s="9"/>
      <c r="B843" s="9"/>
      <c r="C843" s="10"/>
      <c r="D843" s="9"/>
      <c r="E843" s="9"/>
    </row>
    <row r="844" spans="1:5" ht="13" x14ac:dyDescent="0.3">
      <c r="A844" s="9"/>
      <c r="B844" s="9"/>
      <c r="C844" s="10"/>
      <c r="D844" s="9"/>
      <c r="E844" s="9"/>
    </row>
    <row r="845" spans="1:5" ht="13" x14ac:dyDescent="0.3">
      <c r="A845" s="9"/>
      <c r="B845" s="9"/>
      <c r="C845" s="10"/>
      <c r="D845" s="9"/>
      <c r="E845" s="9"/>
    </row>
    <row r="846" spans="1:5" ht="13" x14ac:dyDescent="0.3">
      <c r="A846" s="9"/>
      <c r="B846" s="9"/>
      <c r="C846" s="10"/>
      <c r="D846" s="9"/>
      <c r="E846" s="9"/>
    </row>
    <row r="847" spans="1:5" ht="13" x14ac:dyDescent="0.3">
      <c r="A847" s="9"/>
      <c r="B847" s="9"/>
      <c r="C847" s="10"/>
      <c r="D847" s="9"/>
      <c r="E847" s="9"/>
    </row>
    <row r="848" spans="1:5" ht="13" x14ac:dyDescent="0.3">
      <c r="A848" s="9"/>
      <c r="B848" s="9"/>
      <c r="C848" s="10"/>
      <c r="D848" s="9"/>
      <c r="E848" s="9"/>
    </row>
    <row r="849" spans="1:5" ht="13" x14ac:dyDescent="0.3">
      <c r="A849" s="9"/>
      <c r="B849" s="9"/>
      <c r="C849" s="10"/>
      <c r="D849" s="9"/>
      <c r="E849" s="9"/>
    </row>
    <row r="850" spans="1:5" ht="13" x14ac:dyDescent="0.3">
      <c r="A850" s="9"/>
      <c r="B850" s="9"/>
      <c r="C850" s="10"/>
      <c r="D850" s="9"/>
      <c r="E850" s="9"/>
    </row>
    <row r="851" spans="1:5" ht="13" x14ac:dyDescent="0.3">
      <c r="A851" s="9"/>
      <c r="B851" s="9"/>
      <c r="C851" s="10"/>
      <c r="D851" s="9"/>
      <c r="E851" s="9"/>
    </row>
    <row r="852" spans="1:5" ht="13" x14ac:dyDescent="0.3">
      <c r="A852" s="9"/>
      <c r="B852" s="9"/>
      <c r="C852" s="10"/>
      <c r="D852" s="9"/>
      <c r="E852" s="9"/>
    </row>
    <row r="853" spans="1:5" ht="13" x14ac:dyDescent="0.3">
      <c r="A853" s="9"/>
      <c r="B853" s="9"/>
      <c r="C853" s="10"/>
      <c r="D853" s="9"/>
      <c r="E853" s="9"/>
    </row>
    <row r="854" spans="1:5" ht="13" x14ac:dyDescent="0.3">
      <c r="A854" s="9"/>
      <c r="B854" s="9"/>
      <c r="C854" s="10"/>
      <c r="D854" s="9"/>
      <c r="E854" s="9"/>
    </row>
    <row r="855" spans="1:5" ht="13" x14ac:dyDescent="0.3">
      <c r="A855" s="9"/>
      <c r="B855" s="9"/>
      <c r="C855" s="10"/>
      <c r="D855" s="9"/>
      <c r="E855" s="9"/>
    </row>
    <row r="856" spans="1:5" ht="13" x14ac:dyDescent="0.3">
      <c r="A856" s="9"/>
      <c r="B856" s="9"/>
      <c r="C856" s="10"/>
      <c r="D856" s="9"/>
      <c r="E856" s="9"/>
    </row>
    <row r="857" spans="1:5" ht="13" x14ac:dyDescent="0.3">
      <c r="A857" s="9"/>
      <c r="B857" s="9"/>
      <c r="C857" s="10"/>
      <c r="D857" s="9"/>
      <c r="E857" s="9"/>
    </row>
    <row r="858" spans="1:5" ht="13" x14ac:dyDescent="0.3">
      <c r="A858" s="9"/>
      <c r="B858" s="9"/>
      <c r="C858" s="10"/>
      <c r="D858" s="9"/>
      <c r="E858" s="9"/>
    </row>
    <row r="859" spans="1:5" ht="13" x14ac:dyDescent="0.3">
      <c r="A859" s="9"/>
      <c r="B859" s="9"/>
      <c r="C859" s="10"/>
      <c r="D859" s="9"/>
      <c r="E859" s="9"/>
    </row>
    <row r="860" spans="1:5" ht="13" x14ac:dyDescent="0.3">
      <c r="A860" s="9"/>
      <c r="B860" s="9"/>
      <c r="C860" s="10"/>
      <c r="D860" s="9"/>
      <c r="E860" s="9"/>
    </row>
    <row r="861" spans="1:5" ht="13" x14ac:dyDescent="0.3">
      <c r="A861" s="9"/>
      <c r="B861" s="9"/>
      <c r="C861" s="10"/>
      <c r="D861" s="9"/>
      <c r="E861" s="9"/>
    </row>
    <row r="862" spans="1:5" ht="13" x14ac:dyDescent="0.3">
      <c r="A862" s="9"/>
      <c r="B862" s="9"/>
      <c r="C862" s="10"/>
      <c r="D862" s="9"/>
      <c r="E862" s="9"/>
    </row>
    <row r="863" spans="1:5" ht="13" x14ac:dyDescent="0.3">
      <c r="A863" s="9"/>
      <c r="B863" s="9"/>
      <c r="C863" s="10"/>
      <c r="D863" s="9"/>
      <c r="E863" s="9"/>
    </row>
    <row r="864" spans="1:5" ht="13" x14ac:dyDescent="0.3">
      <c r="A864" s="9"/>
      <c r="B864" s="9"/>
      <c r="C864" s="10"/>
      <c r="D864" s="9"/>
      <c r="E864" s="9"/>
    </row>
    <row r="865" spans="1:5" ht="13" x14ac:dyDescent="0.3">
      <c r="A865" s="9"/>
      <c r="B865" s="9"/>
      <c r="C865" s="10"/>
      <c r="D865" s="9"/>
      <c r="E865" s="9"/>
    </row>
    <row r="866" spans="1:5" ht="13" x14ac:dyDescent="0.3">
      <c r="A866" s="9"/>
      <c r="B866" s="9"/>
      <c r="C866" s="10"/>
      <c r="D866" s="9"/>
      <c r="E866" s="9"/>
    </row>
    <row r="867" spans="1:5" ht="13" x14ac:dyDescent="0.3">
      <c r="A867" s="9"/>
      <c r="B867" s="9"/>
      <c r="C867" s="10"/>
      <c r="D867" s="9"/>
      <c r="E867" s="9"/>
    </row>
    <row r="868" spans="1:5" ht="13" x14ac:dyDescent="0.3">
      <c r="A868" s="9"/>
      <c r="B868" s="9"/>
      <c r="C868" s="10"/>
      <c r="D868" s="9"/>
      <c r="E868" s="9"/>
    </row>
    <row r="869" spans="1:5" ht="13" x14ac:dyDescent="0.3">
      <c r="A869" s="9"/>
      <c r="B869" s="9"/>
      <c r="C869" s="10"/>
      <c r="D869" s="9"/>
      <c r="E869" s="9"/>
    </row>
    <row r="870" spans="1:5" ht="13" x14ac:dyDescent="0.3">
      <c r="A870" s="9"/>
      <c r="B870" s="9"/>
      <c r="C870" s="10"/>
      <c r="D870" s="9"/>
      <c r="E870" s="9"/>
    </row>
    <row r="871" spans="1:5" ht="13" x14ac:dyDescent="0.3">
      <c r="A871" s="9"/>
      <c r="B871" s="9"/>
      <c r="C871" s="10"/>
      <c r="D871" s="9"/>
      <c r="E871" s="9"/>
    </row>
    <row r="872" spans="1:5" ht="13" x14ac:dyDescent="0.3">
      <c r="A872" s="9"/>
      <c r="B872" s="9"/>
      <c r="C872" s="10"/>
      <c r="D872" s="9"/>
      <c r="E872" s="9"/>
    </row>
    <row r="873" spans="1:5" ht="13" x14ac:dyDescent="0.3">
      <c r="A873" s="9"/>
      <c r="B873" s="9"/>
      <c r="C873" s="10"/>
      <c r="D873" s="9"/>
      <c r="E873" s="9"/>
    </row>
    <row r="874" spans="1:5" ht="13" x14ac:dyDescent="0.3">
      <c r="A874" s="9"/>
      <c r="B874" s="9"/>
      <c r="C874" s="10"/>
      <c r="D874" s="9"/>
      <c r="E874" s="9"/>
    </row>
    <row r="875" spans="1:5" ht="13" x14ac:dyDescent="0.3">
      <c r="A875" s="9"/>
      <c r="B875" s="9"/>
      <c r="C875" s="10"/>
      <c r="D875" s="9"/>
      <c r="E875" s="9"/>
    </row>
    <row r="876" spans="1:5" ht="13" x14ac:dyDescent="0.3">
      <c r="A876" s="9"/>
      <c r="B876" s="9"/>
      <c r="C876" s="10"/>
      <c r="D876" s="9"/>
      <c r="E876" s="9"/>
    </row>
    <row r="877" spans="1:5" ht="13" x14ac:dyDescent="0.3">
      <c r="A877" s="9"/>
      <c r="B877" s="9"/>
      <c r="C877" s="10"/>
      <c r="D877" s="9"/>
      <c r="E877" s="9"/>
    </row>
    <row r="878" spans="1:5" ht="13" x14ac:dyDescent="0.3">
      <c r="A878" s="9"/>
      <c r="B878" s="9"/>
      <c r="C878" s="10"/>
      <c r="D878" s="9"/>
      <c r="E878" s="9"/>
    </row>
    <row r="879" spans="1:5" ht="13" x14ac:dyDescent="0.3">
      <c r="A879" s="9"/>
      <c r="B879" s="9"/>
      <c r="C879" s="10"/>
      <c r="D879" s="9"/>
      <c r="E879" s="9"/>
    </row>
    <row r="880" spans="1:5" ht="13" x14ac:dyDescent="0.3">
      <c r="A880" s="9"/>
      <c r="B880" s="9"/>
      <c r="C880" s="10"/>
      <c r="D880" s="9"/>
      <c r="E880" s="9"/>
    </row>
    <row r="881" spans="1:5" ht="13" x14ac:dyDescent="0.3">
      <c r="A881" s="9"/>
      <c r="B881" s="9"/>
      <c r="C881" s="10"/>
      <c r="D881" s="9"/>
      <c r="E881" s="9"/>
    </row>
    <row r="882" spans="1:5" ht="13" x14ac:dyDescent="0.3">
      <c r="A882" s="9"/>
      <c r="B882" s="9"/>
      <c r="C882" s="10"/>
      <c r="D882" s="9"/>
      <c r="E882" s="9"/>
    </row>
    <row r="883" spans="1:5" ht="13" x14ac:dyDescent="0.3">
      <c r="A883" s="9"/>
      <c r="B883" s="9"/>
      <c r="C883" s="10"/>
      <c r="D883" s="9"/>
      <c r="E883" s="9"/>
    </row>
    <row r="884" spans="1:5" ht="13" x14ac:dyDescent="0.3">
      <c r="A884" s="9"/>
      <c r="B884" s="9"/>
      <c r="C884" s="10"/>
      <c r="D884" s="9"/>
      <c r="E884" s="9"/>
    </row>
    <row r="885" spans="1:5" ht="13" x14ac:dyDescent="0.3">
      <c r="A885" s="9"/>
      <c r="B885" s="9"/>
      <c r="C885" s="10"/>
      <c r="D885" s="9"/>
      <c r="E885" s="9"/>
    </row>
    <row r="886" spans="1:5" ht="13" x14ac:dyDescent="0.3">
      <c r="A886" s="9"/>
      <c r="B886" s="9"/>
      <c r="C886" s="10"/>
      <c r="D886" s="9"/>
      <c r="E886" s="9"/>
    </row>
    <row r="887" spans="1:5" ht="13" x14ac:dyDescent="0.3">
      <c r="A887" s="9"/>
      <c r="B887" s="9"/>
      <c r="C887" s="10"/>
      <c r="D887" s="9"/>
      <c r="E887" s="9"/>
    </row>
    <row r="888" spans="1:5" ht="13" x14ac:dyDescent="0.3">
      <c r="A888" s="9"/>
      <c r="B888" s="9"/>
      <c r="C888" s="10"/>
      <c r="D888" s="9"/>
      <c r="E888" s="9"/>
    </row>
    <row r="889" spans="1:5" ht="13" x14ac:dyDescent="0.3">
      <c r="A889" s="9"/>
      <c r="B889" s="9"/>
      <c r="C889" s="10"/>
      <c r="D889" s="9"/>
      <c r="E889" s="9"/>
    </row>
    <row r="890" spans="1:5" ht="13" x14ac:dyDescent="0.3">
      <c r="A890" s="9"/>
      <c r="B890" s="9"/>
      <c r="C890" s="10"/>
      <c r="D890" s="9"/>
      <c r="E890" s="9"/>
    </row>
    <row r="891" spans="1:5" ht="13" x14ac:dyDescent="0.3">
      <c r="A891" s="9"/>
      <c r="B891" s="9"/>
      <c r="C891" s="10"/>
      <c r="D891" s="9"/>
      <c r="E891" s="9"/>
    </row>
    <row r="892" spans="1:5" ht="13" x14ac:dyDescent="0.3">
      <c r="A892" s="9"/>
      <c r="B892" s="9"/>
      <c r="C892" s="10"/>
      <c r="D892" s="9"/>
      <c r="E892" s="9"/>
    </row>
    <row r="893" spans="1:5" ht="13" x14ac:dyDescent="0.3">
      <c r="A893" s="9"/>
      <c r="B893" s="9"/>
      <c r="C893" s="10"/>
      <c r="D893" s="9"/>
      <c r="E893" s="9"/>
    </row>
    <row r="894" spans="1:5" ht="13" x14ac:dyDescent="0.3">
      <c r="A894" s="9"/>
      <c r="B894" s="9"/>
      <c r="C894" s="10"/>
      <c r="D894" s="9"/>
      <c r="E894" s="9"/>
    </row>
    <row r="895" spans="1:5" ht="13" x14ac:dyDescent="0.3">
      <c r="A895" s="9"/>
      <c r="B895" s="9"/>
      <c r="C895" s="10"/>
      <c r="D895" s="9"/>
      <c r="E895" s="9"/>
    </row>
    <row r="896" spans="1:5" ht="13" x14ac:dyDescent="0.3">
      <c r="A896" s="9"/>
      <c r="B896" s="9"/>
      <c r="C896" s="10"/>
      <c r="D896" s="9"/>
      <c r="E896" s="9"/>
    </row>
    <row r="897" spans="1:5" ht="13" x14ac:dyDescent="0.3">
      <c r="A897" s="9"/>
      <c r="B897" s="9"/>
      <c r="C897" s="10"/>
      <c r="D897" s="9"/>
      <c r="E897" s="9"/>
    </row>
    <row r="898" spans="1:5" ht="13" x14ac:dyDescent="0.3">
      <c r="A898" s="9"/>
      <c r="B898" s="9"/>
      <c r="C898" s="10"/>
      <c r="D898" s="9"/>
      <c r="E898" s="9"/>
    </row>
    <row r="899" spans="1:5" ht="13" x14ac:dyDescent="0.3">
      <c r="A899" s="9"/>
      <c r="B899" s="9"/>
      <c r="C899" s="10"/>
      <c r="D899" s="9"/>
      <c r="E899" s="9"/>
    </row>
    <row r="900" spans="1:5" ht="13" x14ac:dyDescent="0.3">
      <c r="A900" s="9"/>
      <c r="B900" s="9"/>
      <c r="C900" s="10"/>
      <c r="D900" s="9"/>
      <c r="E900" s="9"/>
    </row>
    <row r="901" spans="1:5" ht="13" x14ac:dyDescent="0.3">
      <c r="A901" s="9"/>
      <c r="B901" s="9"/>
      <c r="C901" s="10"/>
      <c r="D901" s="9"/>
      <c r="E901" s="9"/>
    </row>
    <row r="902" spans="1:5" ht="13" x14ac:dyDescent="0.3">
      <c r="A902" s="9"/>
      <c r="B902" s="9"/>
      <c r="C902" s="10"/>
      <c r="D902" s="9"/>
      <c r="E902" s="9"/>
    </row>
    <row r="903" spans="1:5" ht="13" x14ac:dyDescent="0.3">
      <c r="A903" s="9"/>
      <c r="B903" s="9"/>
      <c r="C903" s="10"/>
      <c r="D903" s="9"/>
      <c r="E903" s="9"/>
    </row>
    <row r="904" spans="1:5" ht="13" x14ac:dyDescent="0.3">
      <c r="A904" s="9"/>
      <c r="B904" s="9"/>
      <c r="C904" s="10"/>
      <c r="D904" s="9"/>
      <c r="E904" s="9"/>
    </row>
    <row r="905" spans="1:5" ht="13" x14ac:dyDescent="0.3">
      <c r="A905" s="9"/>
      <c r="B905" s="9"/>
      <c r="C905" s="10"/>
      <c r="D905" s="9"/>
      <c r="E905" s="9"/>
    </row>
    <row r="906" spans="1:5" ht="13" x14ac:dyDescent="0.3">
      <c r="A906" s="9"/>
      <c r="B906" s="9"/>
      <c r="C906" s="10"/>
      <c r="D906" s="9"/>
      <c r="E906" s="9"/>
    </row>
    <row r="907" spans="1:5" ht="13" x14ac:dyDescent="0.3">
      <c r="A907" s="9"/>
      <c r="B907" s="9"/>
      <c r="C907" s="10"/>
      <c r="D907" s="9"/>
      <c r="E907" s="9"/>
    </row>
    <row r="908" spans="1:5" ht="13" x14ac:dyDescent="0.3">
      <c r="A908" s="9"/>
      <c r="B908" s="9"/>
      <c r="C908" s="10"/>
      <c r="D908" s="9"/>
      <c r="E908" s="9"/>
    </row>
    <row r="909" spans="1:5" ht="13" x14ac:dyDescent="0.3">
      <c r="A909" s="9"/>
      <c r="B909" s="9"/>
      <c r="C909" s="10"/>
      <c r="D909" s="9"/>
      <c r="E909" s="9"/>
    </row>
    <row r="910" spans="1:5" ht="13" x14ac:dyDescent="0.3">
      <c r="A910" s="9"/>
      <c r="B910" s="9"/>
      <c r="C910" s="10"/>
      <c r="D910" s="9"/>
      <c r="E910" s="9"/>
    </row>
    <row r="911" spans="1:5" ht="13" x14ac:dyDescent="0.3">
      <c r="A911" s="9"/>
      <c r="B911" s="9"/>
      <c r="C911" s="10"/>
      <c r="D911" s="9"/>
      <c r="E911" s="9"/>
    </row>
    <row r="912" spans="1:5" ht="13" x14ac:dyDescent="0.3">
      <c r="A912" s="9"/>
      <c r="B912" s="9"/>
      <c r="C912" s="10"/>
      <c r="D912" s="9"/>
      <c r="E912" s="9"/>
    </row>
    <row r="913" spans="1:5" ht="13" x14ac:dyDescent="0.3">
      <c r="A913" s="9"/>
      <c r="B913" s="9"/>
      <c r="C913" s="10"/>
      <c r="D913" s="9"/>
      <c r="E913" s="9"/>
    </row>
    <row r="914" spans="1:5" ht="13" x14ac:dyDescent="0.3">
      <c r="A914" s="9"/>
      <c r="B914" s="9"/>
      <c r="C914" s="10"/>
      <c r="D914" s="9"/>
      <c r="E914" s="9"/>
    </row>
    <row r="915" spans="1:5" ht="13" x14ac:dyDescent="0.3">
      <c r="A915" s="9"/>
      <c r="B915" s="9"/>
      <c r="C915" s="10"/>
      <c r="D915" s="9"/>
      <c r="E915" s="9"/>
    </row>
    <row r="916" spans="1:5" ht="13" x14ac:dyDescent="0.3">
      <c r="A916" s="9"/>
      <c r="B916" s="9"/>
      <c r="C916" s="10"/>
      <c r="D916" s="9"/>
      <c r="E916" s="9"/>
    </row>
    <row r="917" spans="1:5" ht="13" x14ac:dyDescent="0.3">
      <c r="A917" s="9"/>
      <c r="B917" s="9"/>
      <c r="C917" s="10"/>
      <c r="D917" s="9"/>
      <c r="E917" s="9"/>
    </row>
    <row r="918" spans="1:5" ht="13" x14ac:dyDescent="0.3">
      <c r="A918" s="9"/>
      <c r="B918" s="9"/>
      <c r="C918" s="10"/>
      <c r="D918" s="9"/>
      <c r="E918" s="9"/>
    </row>
    <row r="919" spans="1:5" ht="13" x14ac:dyDescent="0.3">
      <c r="A919" s="9"/>
      <c r="B919" s="9"/>
      <c r="C919" s="10"/>
      <c r="D919" s="9"/>
      <c r="E919" s="9"/>
    </row>
    <row r="920" spans="1:5" ht="13" x14ac:dyDescent="0.3">
      <c r="A920" s="9"/>
      <c r="B920" s="9"/>
      <c r="C920" s="10"/>
      <c r="D920" s="9"/>
      <c r="E920" s="9"/>
    </row>
    <row r="921" spans="1:5" ht="13" x14ac:dyDescent="0.3">
      <c r="A921" s="9"/>
      <c r="B921" s="9"/>
      <c r="C921" s="10"/>
      <c r="D921" s="9"/>
      <c r="E921" s="9"/>
    </row>
    <row r="922" spans="1:5" ht="13" x14ac:dyDescent="0.3">
      <c r="A922" s="9"/>
      <c r="B922" s="9"/>
      <c r="C922" s="10"/>
      <c r="D922" s="9"/>
      <c r="E922" s="9"/>
    </row>
    <row r="923" spans="1:5" ht="13" x14ac:dyDescent="0.3">
      <c r="A923" s="9"/>
      <c r="B923" s="9"/>
      <c r="C923" s="10"/>
      <c r="D923" s="9"/>
      <c r="E923" s="9"/>
    </row>
    <row r="924" spans="1:5" ht="13" x14ac:dyDescent="0.3">
      <c r="A924" s="9"/>
      <c r="B924" s="9"/>
      <c r="C924" s="10"/>
      <c r="D924" s="9"/>
      <c r="E924" s="9"/>
    </row>
    <row r="925" spans="1:5" ht="13" x14ac:dyDescent="0.3">
      <c r="A925" s="9"/>
      <c r="B925" s="9"/>
      <c r="C925" s="10"/>
      <c r="D925" s="9"/>
      <c r="E925" s="9"/>
    </row>
    <row r="926" spans="1:5" ht="13" x14ac:dyDescent="0.3">
      <c r="A926" s="9"/>
      <c r="B926" s="9"/>
      <c r="C926" s="10"/>
      <c r="D926" s="9"/>
      <c r="E926" s="9"/>
    </row>
    <row r="927" spans="1:5" ht="13" x14ac:dyDescent="0.3">
      <c r="A927" s="9"/>
      <c r="B927" s="9"/>
      <c r="C927" s="10"/>
      <c r="D927" s="9"/>
      <c r="E927" s="9"/>
    </row>
    <row r="928" spans="1:5" ht="13" x14ac:dyDescent="0.3">
      <c r="A928" s="9"/>
      <c r="B928" s="9"/>
      <c r="C928" s="10"/>
      <c r="D928" s="9"/>
      <c r="E928" s="9"/>
    </row>
    <row r="929" spans="1:5" ht="13" x14ac:dyDescent="0.3">
      <c r="A929" s="9"/>
      <c r="B929" s="9"/>
      <c r="C929" s="10"/>
      <c r="D929" s="9"/>
      <c r="E929" s="9"/>
    </row>
    <row r="930" spans="1:5" ht="13" x14ac:dyDescent="0.3">
      <c r="A930" s="9"/>
      <c r="B930" s="9"/>
      <c r="C930" s="10"/>
      <c r="D930" s="9"/>
      <c r="E930" s="9"/>
    </row>
    <row r="931" spans="1:5" ht="13" x14ac:dyDescent="0.3">
      <c r="A931" s="9"/>
      <c r="B931" s="9"/>
      <c r="C931" s="10"/>
      <c r="D931" s="9"/>
      <c r="E931" s="9"/>
    </row>
    <row r="932" spans="1:5" ht="13" x14ac:dyDescent="0.3">
      <c r="A932" s="9"/>
      <c r="B932" s="9"/>
      <c r="C932" s="10"/>
      <c r="D932" s="9"/>
      <c r="E932" s="9"/>
    </row>
    <row r="933" spans="1:5" ht="13" x14ac:dyDescent="0.3">
      <c r="A933" s="9"/>
      <c r="B933" s="9"/>
      <c r="C933" s="10"/>
      <c r="D933" s="9"/>
      <c r="E933" s="9"/>
    </row>
    <row r="934" spans="1:5" ht="13" x14ac:dyDescent="0.3">
      <c r="A934" s="9"/>
      <c r="B934" s="9"/>
      <c r="C934" s="10"/>
      <c r="D934" s="9"/>
      <c r="E934" s="9"/>
    </row>
    <row r="935" spans="1:5" ht="13" x14ac:dyDescent="0.3">
      <c r="A935" s="9"/>
      <c r="B935" s="9"/>
      <c r="C935" s="10"/>
      <c r="D935" s="9"/>
      <c r="E935" s="9"/>
    </row>
    <row r="936" spans="1:5" ht="13" x14ac:dyDescent="0.3">
      <c r="A936" s="9"/>
      <c r="B936" s="9"/>
      <c r="C936" s="10"/>
      <c r="D936" s="9"/>
      <c r="E936" s="9"/>
    </row>
    <row r="937" spans="1:5" ht="13" x14ac:dyDescent="0.3">
      <c r="A937" s="9"/>
      <c r="B937" s="9"/>
      <c r="C937" s="10"/>
      <c r="D937" s="9"/>
      <c r="E937" s="9"/>
    </row>
    <row r="938" spans="1:5" ht="13" x14ac:dyDescent="0.3">
      <c r="A938" s="9"/>
      <c r="B938" s="9"/>
      <c r="C938" s="10"/>
      <c r="D938" s="9"/>
      <c r="E938" s="9"/>
    </row>
    <row r="939" spans="1:5" ht="13" x14ac:dyDescent="0.3">
      <c r="A939" s="9"/>
      <c r="B939" s="9"/>
      <c r="C939" s="10"/>
      <c r="D939" s="9"/>
      <c r="E939" s="9"/>
    </row>
    <row r="940" spans="1:5" ht="13" x14ac:dyDescent="0.3">
      <c r="A940" s="9"/>
      <c r="B940" s="9"/>
      <c r="C940" s="10"/>
      <c r="D940" s="9"/>
      <c r="E940" s="9"/>
    </row>
    <row r="941" spans="1:5" ht="13" x14ac:dyDescent="0.3">
      <c r="A941" s="9"/>
      <c r="B941" s="9"/>
      <c r="C941" s="10"/>
      <c r="D941" s="9"/>
      <c r="E941" s="9"/>
    </row>
    <row r="942" spans="1:5" ht="13" x14ac:dyDescent="0.3">
      <c r="A942" s="9"/>
      <c r="B942" s="9"/>
      <c r="C942" s="10"/>
      <c r="D942" s="9"/>
      <c r="E942" s="9"/>
    </row>
    <row r="943" spans="1:5" ht="13" x14ac:dyDescent="0.3">
      <c r="A943" s="9"/>
      <c r="B943" s="9"/>
      <c r="C943" s="10"/>
      <c r="D943" s="9"/>
      <c r="E943" s="9"/>
    </row>
    <row r="944" spans="1:5" ht="13" x14ac:dyDescent="0.3">
      <c r="A944" s="9"/>
      <c r="B944" s="9"/>
      <c r="C944" s="10"/>
      <c r="D944" s="9"/>
      <c r="E944" s="9"/>
    </row>
    <row r="945" spans="1:5" ht="13" x14ac:dyDescent="0.3">
      <c r="A945" s="9"/>
      <c r="B945" s="9"/>
      <c r="C945" s="10"/>
      <c r="D945" s="9"/>
      <c r="E945" s="9"/>
    </row>
    <row r="946" spans="1:5" ht="13" x14ac:dyDescent="0.3">
      <c r="A946" s="9"/>
      <c r="B946" s="9"/>
      <c r="C946" s="10"/>
      <c r="D946" s="9"/>
      <c r="E946" s="9"/>
    </row>
    <row r="947" spans="1:5" ht="13" x14ac:dyDescent="0.3">
      <c r="A947" s="9"/>
      <c r="B947" s="9"/>
      <c r="C947" s="10"/>
      <c r="D947" s="9"/>
      <c r="E947" s="9"/>
    </row>
    <row r="948" spans="1:5" ht="13" x14ac:dyDescent="0.3">
      <c r="A948" s="9"/>
      <c r="B948" s="9"/>
      <c r="C948" s="10"/>
      <c r="D948" s="9"/>
      <c r="E948" s="9"/>
    </row>
    <row r="949" spans="1:5" ht="13" x14ac:dyDescent="0.3">
      <c r="A949" s="9"/>
      <c r="B949" s="9"/>
      <c r="C949" s="10"/>
      <c r="D949" s="9"/>
      <c r="E949" s="9"/>
    </row>
    <row r="950" spans="1:5" ht="13" x14ac:dyDescent="0.3">
      <c r="A950" s="9"/>
      <c r="B950" s="9"/>
      <c r="C950" s="10"/>
      <c r="D950" s="9"/>
      <c r="E950" s="9"/>
    </row>
    <row r="951" spans="1:5" ht="13" x14ac:dyDescent="0.3">
      <c r="A951" s="9"/>
      <c r="B951" s="9"/>
      <c r="C951" s="10"/>
      <c r="D951" s="9"/>
      <c r="E951" s="9"/>
    </row>
    <row r="952" spans="1:5" ht="13" x14ac:dyDescent="0.3">
      <c r="A952" s="9"/>
      <c r="B952" s="9"/>
      <c r="C952" s="10"/>
      <c r="D952" s="9"/>
      <c r="E952" s="9"/>
    </row>
    <row r="953" spans="1:5" ht="13" x14ac:dyDescent="0.3">
      <c r="A953" s="9"/>
      <c r="B953" s="9"/>
      <c r="C953" s="10"/>
      <c r="D953" s="9"/>
      <c r="E953" s="9"/>
    </row>
    <row r="954" spans="1:5" ht="13" x14ac:dyDescent="0.3">
      <c r="A954" s="9"/>
      <c r="B954" s="9"/>
      <c r="C954" s="10"/>
      <c r="D954" s="9"/>
      <c r="E954" s="9"/>
    </row>
    <row r="955" spans="1:5" ht="13" x14ac:dyDescent="0.3">
      <c r="A955" s="9"/>
      <c r="B955" s="9"/>
      <c r="C955" s="10"/>
      <c r="D955" s="9"/>
      <c r="E955" s="9"/>
    </row>
    <row r="956" spans="1:5" ht="13" x14ac:dyDescent="0.3">
      <c r="A956" s="9"/>
      <c r="B956" s="9"/>
      <c r="C956" s="10"/>
      <c r="D956" s="9"/>
      <c r="E956" s="9"/>
    </row>
    <row r="957" spans="1:5" ht="13" x14ac:dyDescent="0.3">
      <c r="A957" s="9"/>
      <c r="B957" s="9"/>
      <c r="C957" s="10"/>
      <c r="D957" s="9"/>
      <c r="E957" s="9"/>
    </row>
    <row r="958" spans="1:5" ht="13" x14ac:dyDescent="0.3">
      <c r="A958" s="9"/>
      <c r="B958" s="9"/>
      <c r="C958" s="10"/>
      <c r="D958" s="9"/>
      <c r="E958" s="9"/>
    </row>
    <row r="959" spans="1:5" ht="13" x14ac:dyDescent="0.3">
      <c r="A959" s="9"/>
      <c r="B959" s="9"/>
      <c r="C959" s="10"/>
      <c r="D959" s="9"/>
      <c r="E959" s="9"/>
    </row>
    <row r="960" spans="1:5" ht="13" x14ac:dyDescent="0.3">
      <c r="A960" s="9"/>
      <c r="B960" s="9"/>
      <c r="C960" s="10"/>
      <c r="D960" s="9"/>
      <c r="E960" s="9"/>
    </row>
    <row r="961" spans="1:5" ht="13" x14ac:dyDescent="0.3">
      <c r="A961" s="9"/>
      <c r="B961" s="9"/>
      <c r="C961" s="10"/>
      <c r="D961" s="9"/>
      <c r="E961" s="9"/>
    </row>
    <row r="962" spans="1:5" ht="13" x14ac:dyDescent="0.3">
      <c r="A962" s="9"/>
      <c r="B962" s="9"/>
      <c r="C962" s="10"/>
      <c r="D962" s="9"/>
      <c r="E962" s="9"/>
    </row>
    <row r="963" spans="1:5" ht="13" x14ac:dyDescent="0.3">
      <c r="A963" s="9"/>
      <c r="B963" s="9"/>
      <c r="C963" s="10"/>
      <c r="D963" s="9"/>
      <c r="E963" s="9"/>
    </row>
    <row r="964" spans="1:5" ht="13" x14ac:dyDescent="0.3">
      <c r="A964" s="9"/>
      <c r="B964" s="9"/>
      <c r="C964" s="10"/>
      <c r="D964" s="9"/>
      <c r="E964" s="9"/>
    </row>
    <row r="965" spans="1:5" ht="13" x14ac:dyDescent="0.3">
      <c r="A965" s="9"/>
      <c r="B965" s="9"/>
      <c r="C965" s="10"/>
      <c r="D965" s="9"/>
      <c r="E965" s="9"/>
    </row>
    <row r="966" spans="1:5" ht="13" x14ac:dyDescent="0.3">
      <c r="A966" s="9"/>
      <c r="B966" s="9"/>
      <c r="C966" s="10"/>
      <c r="D966" s="9"/>
      <c r="E966" s="9"/>
    </row>
    <row r="967" spans="1:5" ht="13" x14ac:dyDescent="0.3">
      <c r="A967" s="9"/>
      <c r="B967" s="9"/>
      <c r="C967" s="10"/>
      <c r="D967" s="9"/>
      <c r="E967" s="9"/>
    </row>
    <row r="968" spans="1:5" ht="13" x14ac:dyDescent="0.3">
      <c r="A968" s="9"/>
      <c r="B968" s="9"/>
      <c r="C968" s="10"/>
      <c r="D968" s="9"/>
      <c r="E968" s="9"/>
    </row>
    <row r="969" spans="1:5" ht="13" x14ac:dyDescent="0.3">
      <c r="A969" s="9"/>
      <c r="B969" s="9"/>
      <c r="C969" s="10"/>
      <c r="D969" s="9"/>
      <c r="E969" s="9"/>
    </row>
    <row r="970" spans="1:5" ht="13" x14ac:dyDescent="0.3">
      <c r="A970" s="9"/>
      <c r="B970" s="9"/>
      <c r="C970" s="10"/>
      <c r="D970" s="9"/>
      <c r="E970" s="9"/>
    </row>
    <row r="971" spans="1:5" ht="13" x14ac:dyDescent="0.3">
      <c r="A971" s="9"/>
      <c r="B971" s="9"/>
      <c r="C971" s="10"/>
      <c r="D971" s="9"/>
      <c r="E971" s="9"/>
    </row>
    <row r="972" spans="1:5" ht="13" x14ac:dyDescent="0.3">
      <c r="A972" s="9"/>
      <c r="B972" s="9"/>
      <c r="C972" s="10"/>
      <c r="D972" s="9"/>
      <c r="E972" s="9"/>
    </row>
    <row r="973" spans="1:5" ht="13" x14ac:dyDescent="0.3">
      <c r="A973" s="9"/>
      <c r="B973" s="9"/>
      <c r="C973" s="10"/>
      <c r="D973" s="9"/>
      <c r="E973" s="9"/>
    </row>
    <row r="974" spans="1:5" ht="13" x14ac:dyDescent="0.3">
      <c r="A974" s="9"/>
      <c r="B974" s="9"/>
      <c r="C974" s="10"/>
      <c r="D974" s="9"/>
      <c r="E974" s="9"/>
    </row>
    <row r="975" spans="1:5" ht="13" x14ac:dyDescent="0.3">
      <c r="A975" s="9"/>
      <c r="B975" s="9"/>
      <c r="C975" s="10"/>
      <c r="D975" s="9"/>
      <c r="E975" s="9"/>
    </row>
    <row r="976" spans="1:5" ht="13" x14ac:dyDescent="0.3">
      <c r="A976" s="9"/>
      <c r="B976" s="9"/>
      <c r="C976" s="10"/>
      <c r="D976" s="9"/>
      <c r="E976" s="9"/>
    </row>
    <row r="977" spans="1:5" ht="13" x14ac:dyDescent="0.3">
      <c r="A977" s="9"/>
      <c r="B977" s="9"/>
      <c r="C977" s="10"/>
      <c r="D977" s="9"/>
      <c r="E977" s="9"/>
    </row>
    <row r="978" spans="1:5" ht="13" x14ac:dyDescent="0.3">
      <c r="A978" s="9"/>
      <c r="B978" s="9"/>
      <c r="C978" s="10"/>
      <c r="D978" s="9"/>
      <c r="E978" s="9"/>
    </row>
    <row r="979" spans="1:5" ht="13" x14ac:dyDescent="0.3">
      <c r="A979" s="9"/>
      <c r="B979" s="9"/>
      <c r="C979" s="10"/>
      <c r="D979" s="9"/>
      <c r="E979" s="9"/>
    </row>
    <row r="980" spans="1:5" ht="13" x14ac:dyDescent="0.3">
      <c r="A980" s="9"/>
      <c r="B980" s="9"/>
      <c r="C980" s="10"/>
      <c r="D980" s="9"/>
      <c r="E980" s="9"/>
    </row>
    <row r="981" spans="1:5" ht="13" x14ac:dyDescent="0.3">
      <c r="A981" s="9"/>
      <c r="B981" s="9"/>
      <c r="C981" s="10"/>
      <c r="D981" s="9"/>
      <c r="E981" s="9"/>
    </row>
    <row r="982" spans="1:5" ht="13" x14ac:dyDescent="0.3">
      <c r="A982" s="9"/>
      <c r="B982" s="9"/>
      <c r="C982" s="10"/>
      <c r="D982" s="9"/>
      <c r="E982" s="9"/>
    </row>
    <row r="983" spans="1:5" ht="13" x14ac:dyDescent="0.3">
      <c r="A983" s="9"/>
      <c r="B983" s="9"/>
      <c r="C983" s="10"/>
      <c r="D983" s="9"/>
      <c r="E983" s="9"/>
    </row>
    <row r="984" spans="1:5" ht="13" x14ac:dyDescent="0.3">
      <c r="A984" s="9"/>
      <c r="B984" s="9"/>
      <c r="C984" s="10"/>
      <c r="D984" s="9"/>
      <c r="E984" s="9"/>
    </row>
    <row r="985" spans="1:5" ht="13" x14ac:dyDescent="0.3">
      <c r="A985" s="9"/>
      <c r="B985" s="9"/>
      <c r="C985" s="10"/>
      <c r="D985" s="9"/>
      <c r="E985" s="9"/>
    </row>
    <row r="986" spans="1:5" ht="13" x14ac:dyDescent="0.3">
      <c r="A986" s="9"/>
      <c r="B986" s="9"/>
      <c r="C986" s="10"/>
      <c r="D986" s="9"/>
      <c r="E986" s="9"/>
    </row>
    <row r="987" spans="1:5" ht="13" x14ac:dyDescent="0.3">
      <c r="A987" s="9"/>
      <c r="B987" s="9"/>
      <c r="C987" s="10"/>
      <c r="D987" s="9"/>
      <c r="E987" s="9"/>
    </row>
    <row r="988" spans="1:5" ht="13" x14ac:dyDescent="0.3">
      <c r="A988" s="9"/>
      <c r="B988" s="9"/>
      <c r="C988" s="10"/>
      <c r="D988" s="9"/>
      <c r="E988" s="9"/>
    </row>
    <row r="989" spans="1:5" ht="13" x14ac:dyDescent="0.3">
      <c r="A989" s="9"/>
      <c r="B989" s="9"/>
      <c r="C989" s="10"/>
      <c r="D989" s="9"/>
      <c r="E989" s="9"/>
    </row>
    <row r="990" spans="1:5" ht="13" x14ac:dyDescent="0.3">
      <c r="A990" s="9"/>
      <c r="B990" s="9"/>
      <c r="C990" s="10"/>
      <c r="D990" s="9"/>
      <c r="E990" s="9"/>
    </row>
    <row r="991" spans="1:5" ht="13" x14ac:dyDescent="0.3">
      <c r="A991" s="9"/>
      <c r="B991" s="9"/>
      <c r="C991" s="10"/>
      <c r="D991" s="9"/>
      <c r="E991" s="9"/>
    </row>
    <row r="992" spans="1:5" ht="13" x14ac:dyDescent="0.3">
      <c r="A992" s="9"/>
      <c r="B992" s="9"/>
      <c r="C992" s="10"/>
      <c r="D992" s="9"/>
      <c r="E992" s="9"/>
    </row>
    <row r="993" spans="1:5" ht="13" x14ac:dyDescent="0.3">
      <c r="A993" s="9"/>
      <c r="B993" s="9"/>
      <c r="C993" s="10"/>
      <c r="D993" s="9"/>
      <c r="E993" s="9"/>
    </row>
    <row r="994" spans="1:5" ht="13" x14ac:dyDescent="0.3">
      <c r="A994" s="9"/>
      <c r="B994" s="9"/>
      <c r="C994" s="10"/>
      <c r="D994" s="9"/>
      <c r="E994" s="9"/>
    </row>
    <row r="995" spans="1:5" ht="13" x14ac:dyDescent="0.3">
      <c r="A995" s="9"/>
      <c r="B995" s="9"/>
      <c r="C995" s="10"/>
      <c r="D995" s="9"/>
      <c r="E995" s="9"/>
    </row>
    <row r="996" spans="1:5" ht="13" x14ac:dyDescent="0.3">
      <c r="A996" s="9"/>
      <c r="B996" s="9"/>
      <c r="C996" s="10"/>
      <c r="D996" s="9"/>
      <c r="E996" s="9"/>
    </row>
    <row r="997" spans="1:5" ht="13" x14ac:dyDescent="0.3">
      <c r="A997" s="9"/>
      <c r="B997" s="9"/>
      <c r="C997" s="10"/>
      <c r="D997" s="9"/>
      <c r="E997" s="9"/>
    </row>
    <row r="998" spans="1:5" ht="13" x14ac:dyDescent="0.3">
      <c r="A998" s="9"/>
      <c r="B998" s="9"/>
      <c r="C998" s="10"/>
      <c r="D998" s="9"/>
      <c r="E998" s="9"/>
    </row>
    <row r="999" spans="1:5" ht="13" x14ac:dyDescent="0.3">
      <c r="A999" s="9"/>
      <c r="B999" s="9"/>
      <c r="C999" s="10"/>
      <c r="D999" s="9"/>
      <c r="E999" s="9"/>
    </row>
    <row r="1000" spans="1:5" ht="13" x14ac:dyDescent="0.3">
      <c r="A1000" s="9"/>
      <c r="B1000" s="9"/>
      <c r="C1000" s="10"/>
      <c r="D1000" s="9"/>
      <c r="E1000" s="9"/>
    </row>
    <row r="1001" spans="1:5" ht="13" x14ac:dyDescent="0.3">
      <c r="A1001" s="9"/>
      <c r="B1001" s="9"/>
      <c r="C1001" s="10"/>
      <c r="D1001" s="9"/>
      <c r="E1001" s="9"/>
    </row>
    <row r="1002" spans="1:5" ht="13" x14ac:dyDescent="0.3">
      <c r="A1002" s="9"/>
      <c r="B1002" s="9"/>
      <c r="C1002" s="10"/>
      <c r="D1002" s="9"/>
      <c r="E1002" s="9"/>
    </row>
    <row r="1003" spans="1:5" ht="13" x14ac:dyDescent="0.3">
      <c r="A1003" s="9"/>
      <c r="B1003" s="9"/>
      <c r="C1003" s="10"/>
      <c r="D1003" s="9"/>
      <c r="E1003" s="9"/>
    </row>
    <row r="1004" spans="1:5" ht="13" x14ac:dyDescent="0.3">
      <c r="A1004" s="9"/>
      <c r="B1004" s="9"/>
      <c r="C1004" s="10"/>
      <c r="D1004" s="9"/>
      <c r="E1004" s="9"/>
    </row>
    <row r="1005" spans="1:5" ht="13" x14ac:dyDescent="0.3">
      <c r="A1005" s="9"/>
      <c r="B1005" s="9"/>
      <c r="C1005" s="10"/>
      <c r="D1005" s="9"/>
      <c r="E1005" s="9"/>
    </row>
    <row r="1006" spans="1:5" ht="13" x14ac:dyDescent="0.3">
      <c r="A1006" s="9"/>
      <c r="B1006" s="9"/>
      <c r="C1006" s="10"/>
      <c r="D1006" s="9"/>
      <c r="E1006" s="9"/>
    </row>
    <row r="1007" spans="1:5" ht="13" x14ac:dyDescent="0.3">
      <c r="A1007" s="9"/>
      <c r="B1007" s="9"/>
      <c r="C1007" s="10"/>
      <c r="D1007" s="9"/>
      <c r="E1007" s="9"/>
    </row>
    <row r="1008" spans="1:5" ht="13" x14ac:dyDescent="0.3">
      <c r="A1008" s="9"/>
      <c r="B1008" s="9"/>
      <c r="C1008" s="10"/>
      <c r="D1008" s="9"/>
      <c r="E1008" s="9"/>
    </row>
    <row r="1009" spans="1:5" ht="13" x14ac:dyDescent="0.3">
      <c r="A1009" s="9"/>
      <c r="B1009" s="9"/>
      <c r="C1009" s="10"/>
      <c r="D1009" s="9"/>
      <c r="E1009" s="9"/>
    </row>
    <row r="1010" spans="1:5" ht="13" x14ac:dyDescent="0.3">
      <c r="A1010" s="9"/>
      <c r="B1010" s="9"/>
      <c r="C1010" s="10"/>
      <c r="D1010" s="9"/>
      <c r="E1010" s="9"/>
    </row>
    <row r="1011" spans="1:5" ht="13" x14ac:dyDescent="0.3">
      <c r="A1011" s="9"/>
      <c r="B1011" s="9"/>
      <c r="C1011" s="10"/>
      <c r="D1011" s="9"/>
      <c r="E1011" s="9"/>
    </row>
    <row r="1012" spans="1:5" ht="13" x14ac:dyDescent="0.3">
      <c r="A1012" s="9"/>
      <c r="B1012" s="9"/>
      <c r="C1012" s="10"/>
      <c r="D1012" s="9"/>
      <c r="E1012" s="9"/>
    </row>
    <row r="1013" spans="1:5" ht="13" x14ac:dyDescent="0.3">
      <c r="A1013" s="9"/>
      <c r="B1013" s="9"/>
      <c r="C1013" s="10"/>
      <c r="D1013" s="9"/>
      <c r="E1013" s="9"/>
    </row>
    <row r="1014" spans="1:5" ht="13" x14ac:dyDescent="0.3">
      <c r="A1014" s="9"/>
      <c r="B1014" s="9"/>
      <c r="C1014" s="10"/>
      <c r="D1014" s="9"/>
      <c r="E1014" s="9"/>
    </row>
    <row r="1015" spans="1:5" ht="13" x14ac:dyDescent="0.3">
      <c r="A1015" s="9"/>
      <c r="B1015" s="9"/>
      <c r="C1015" s="10"/>
      <c r="D1015" s="9"/>
      <c r="E1015" s="9"/>
    </row>
    <row r="1016" spans="1:5" ht="13" x14ac:dyDescent="0.3">
      <c r="A1016" s="9"/>
      <c r="B1016" s="9"/>
      <c r="C1016" s="10"/>
      <c r="D1016" s="9"/>
      <c r="E1016" s="9"/>
    </row>
    <row r="1017" spans="1:5" ht="13" x14ac:dyDescent="0.3">
      <c r="A1017" s="9"/>
      <c r="B1017" s="9"/>
      <c r="C1017" s="10"/>
      <c r="D1017" s="9"/>
      <c r="E1017" s="9"/>
    </row>
    <row r="1018" spans="1:5" ht="13" x14ac:dyDescent="0.3">
      <c r="A1018" s="9"/>
      <c r="B1018" s="9"/>
      <c r="C1018" s="10"/>
      <c r="D1018" s="9"/>
      <c r="E1018" s="9"/>
    </row>
    <row r="1019" spans="1:5" ht="13" x14ac:dyDescent="0.3">
      <c r="A1019" s="9"/>
      <c r="B1019" s="9"/>
      <c r="C1019" s="10"/>
      <c r="D1019" s="9"/>
      <c r="E1019" s="9"/>
    </row>
    <row r="1020" spans="1:5" ht="13" x14ac:dyDescent="0.3">
      <c r="A1020" s="9"/>
      <c r="B1020" s="9"/>
      <c r="C1020" s="10"/>
      <c r="D1020" s="9"/>
      <c r="E1020" s="9"/>
    </row>
    <row r="1021" spans="1:5" ht="13" x14ac:dyDescent="0.3">
      <c r="A1021" s="9"/>
      <c r="B1021" s="9"/>
      <c r="C1021" s="10"/>
      <c r="D1021" s="9"/>
      <c r="E1021" s="9"/>
    </row>
    <row r="1022" spans="1:5" ht="13" x14ac:dyDescent="0.3">
      <c r="A1022" s="9"/>
      <c r="B1022" s="9"/>
      <c r="C1022" s="10"/>
      <c r="D1022" s="9"/>
      <c r="E1022" s="9"/>
    </row>
    <row r="1023" spans="1:5" ht="13" x14ac:dyDescent="0.3">
      <c r="A1023" s="9"/>
      <c r="B1023" s="9"/>
      <c r="C1023" s="10"/>
      <c r="D1023" s="9"/>
      <c r="E1023" s="9"/>
    </row>
    <row r="1024" spans="1:5" ht="13" x14ac:dyDescent="0.3">
      <c r="A1024" s="9"/>
      <c r="B1024" s="9"/>
      <c r="C1024" s="10"/>
      <c r="D1024" s="9"/>
      <c r="E1024" s="9"/>
    </row>
    <row r="1025" spans="1:5" ht="13" x14ac:dyDescent="0.3">
      <c r="A1025" s="9"/>
      <c r="B1025" s="9"/>
      <c r="C1025" s="10"/>
      <c r="D1025" s="9"/>
      <c r="E1025" s="9"/>
    </row>
    <row r="1026" spans="1:5" ht="13" x14ac:dyDescent="0.3">
      <c r="A1026" s="9"/>
      <c r="B1026" s="9"/>
      <c r="C1026" s="10"/>
      <c r="D1026" s="9"/>
      <c r="E1026" s="9"/>
    </row>
    <row r="1027" spans="1:5" ht="13" x14ac:dyDescent="0.3">
      <c r="A1027" s="9"/>
      <c r="B1027" s="9"/>
      <c r="C1027" s="10"/>
      <c r="D1027" s="9"/>
      <c r="E1027" s="9"/>
    </row>
    <row r="1028" spans="1:5" ht="13" x14ac:dyDescent="0.3">
      <c r="A1028" s="9"/>
      <c r="B1028" s="9"/>
      <c r="C1028" s="10"/>
      <c r="D1028" s="9"/>
      <c r="E1028" s="9"/>
    </row>
    <row r="1029" spans="1:5" ht="13" x14ac:dyDescent="0.3">
      <c r="A1029" s="9"/>
      <c r="B1029" s="9"/>
      <c r="C1029" s="10"/>
      <c r="D1029" s="9"/>
      <c r="E1029" s="9"/>
    </row>
    <row r="1030" spans="1:5" ht="13" x14ac:dyDescent="0.3">
      <c r="A1030" s="9"/>
      <c r="B1030" s="9"/>
      <c r="C1030" s="10"/>
      <c r="D1030" s="9"/>
      <c r="E1030" s="9"/>
    </row>
    <row r="1031" spans="1:5" ht="13" x14ac:dyDescent="0.3">
      <c r="A1031" s="9"/>
      <c r="B1031" s="9"/>
      <c r="C1031" s="10"/>
      <c r="D1031" s="9"/>
      <c r="E1031" s="9"/>
    </row>
    <row r="1032" spans="1:5" ht="13" x14ac:dyDescent="0.3">
      <c r="A1032" s="9"/>
      <c r="B1032" s="9"/>
      <c r="C1032" s="10"/>
      <c r="D1032" s="9"/>
      <c r="E1032" s="9"/>
    </row>
    <row r="1033" spans="1:5" ht="13" x14ac:dyDescent="0.3">
      <c r="A1033" s="9"/>
      <c r="B1033" s="9"/>
      <c r="C1033" s="10"/>
      <c r="D1033" s="9"/>
      <c r="E1033" s="9"/>
    </row>
    <row r="1034" spans="1:5" ht="13" x14ac:dyDescent="0.3">
      <c r="A1034" s="9"/>
      <c r="B1034" s="9"/>
      <c r="C1034" s="10"/>
      <c r="D1034" s="9"/>
      <c r="E1034" s="9"/>
    </row>
    <row r="1035" spans="1:5" ht="13" x14ac:dyDescent="0.3">
      <c r="A1035" s="9"/>
      <c r="B1035" s="9"/>
      <c r="C1035" s="10"/>
      <c r="D1035" s="9"/>
      <c r="E1035" s="9"/>
    </row>
    <row r="1036" spans="1:5" ht="13" x14ac:dyDescent="0.3">
      <c r="A1036" s="9"/>
      <c r="B1036" s="9"/>
      <c r="C1036" s="10"/>
      <c r="D1036" s="9"/>
      <c r="E1036" s="9"/>
    </row>
    <row r="1037" spans="1:5" ht="13" x14ac:dyDescent="0.3">
      <c r="A1037" s="9"/>
      <c r="B1037" s="9"/>
      <c r="C1037" s="10"/>
      <c r="D1037" s="9"/>
      <c r="E1037" s="9"/>
    </row>
    <row r="1038" spans="1:5" ht="13" x14ac:dyDescent="0.3">
      <c r="A1038" s="9"/>
      <c r="B1038" s="9"/>
      <c r="C1038" s="10"/>
      <c r="D1038" s="9"/>
      <c r="E1038" s="9"/>
    </row>
    <row r="1039" spans="1:5" ht="13" x14ac:dyDescent="0.3">
      <c r="A1039" s="9"/>
      <c r="B1039" s="9"/>
      <c r="C1039" s="10"/>
      <c r="D1039" s="9"/>
      <c r="E1039" s="9"/>
    </row>
    <row r="1040" spans="1:5" ht="13" x14ac:dyDescent="0.3">
      <c r="A1040" s="9"/>
      <c r="B1040" s="9"/>
      <c r="C1040" s="10"/>
      <c r="D1040" s="9"/>
      <c r="E1040" s="9"/>
    </row>
    <row r="1041" spans="1:5" ht="13" x14ac:dyDescent="0.3">
      <c r="A1041" s="9"/>
      <c r="B1041" s="9"/>
      <c r="C1041" s="10"/>
      <c r="D1041" s="9"/>
      <c r="E1041" s="9"/>
    </row>
    <row r="1042" spans="1:5" ht="13" x14ac:dyDescent="0.3">
      <c r="A1042" s="9"/>
      <c r="B1042" s="9"/>
      <c r="C1042" s="10"/>
      <c r="D1042" s="9"/>
      <c r="E1042" s="9"/>
    </row>
    <row r="1043" spans="1:5" ht="13" x14ac:dyDescent="0.3">
      <c r="A1043" s="9"/>
      <c r="B1043" s="9"/>
      <c r="C1043" s="10"/>
      <c r="D1043" s="9"/>
      <c r="E1043" s="9"/>
    </row>
    <row r="1044" spans="1:5" ht="13" x14ac:dyDescent="0.3">
      <c r="A1044" s="9"/>
      <c r="B1044" s="9"/>
      <c r="C1044" s="10"/>
      <c r="D1044" s="9"/>
      <c r="E1044" s="9"/>
    </row>
    <row r="1045" spans="1:5" ht="13" x14ac:dyDescent="0.3">
      <c r="A1045" s="9"/>
      <c r="B1045" s="9"/>
      <c r="C1045" s="10"/>
      <c r="D1045" s="9"/>
      <c r="E1045" s="9"/>
    </row>
    <row r="1046" spans="1:5" ht="13" x14ac:dyDescent="0.3">
      <c r="A1046" s="9"/>
      <c r="B1046" s="9"/>
      <c r="C1046" s="10"/>
      <c r="D1046" s="9"/>
      <c r="E1046" s="9"/>
    </row>
    <row r="1047" spans="1:5" ht="13" x14ac:dyDescent="0.3">
      <c r="A1047" s="9"/>
      <c r="B1047" s="9"/>
      <c r="C1047" s="10"/>
      <c r="D1047" s="9"/>
      <c r="E1047" s="9"/>
    </row>
    <row r="1048" spans="1:5" ht="13" x14ac:dyDescent="0.3">
      <c r="A1048" s="9"/>
      <c r="B1048" s="9"/>
      <c r="C1048" s="10"/>
      <c r="D1048" s="9"/>
      <c r="E1048" s="9"/>
    </row>
    <row r="1049" spans="1:5" ht="13" x14ac:dyDescent="0.3">
      <c r="A1049" s="9"/>
      <c r="B1049" s="9"/>
      <c r="C1049" s="10"/>
      <c r="D1049" s="9"/>
      <c r="E1049" s="9"/>
    </row>
    <row r="1050" spans="1:5" ht="13" x14ac:dyDescent="0.3">
      <c r="A1050" s="9"/>
      <c r="B1050" s="9"/>
      <c r="C1050" s="10"/>
      <c r="D1050" s="9"/>
      <c r="E1050" s="9"/>
    </row>
    <row r="1051" spans="1:5" ht="13" x14ac:dyDescent="0.3">
      <c r="A1051" s="9"/>
      <c r="B1051" s="9"/>
      <c r="C1051" s="10"/>
      <c r="D1051" s="9"/>
      <c r="E1051" s="9"/>
    </row>
    <row r="1052" spans="1:5" ht="13" x14ac:dyDescent="0.3">
      <c r="A1052" s="9"/>
      <c r="B1052" s="9"/>
      <c r="C1052" s="10"/>
      <c r="D1052" s="9"/>
      <c r="E1052" s="9"/>
    </row>
    <row r="1053" spans="1:5" ht="13" x14ac:dyDescent="0.3">
      <c r="A1053" s="9"/>
      <c r="B1053" s="9"/>
      <c r="C1053" s="10"/>
      <c r="D1053" s="9"/>
      <c r="E1053" s="9"/>
    </row>
    <row r="1054" spans="1:5" ht="13" x14ac:dyDescent="0.3">
      <c r="A1054" s="9"/>
      <c r="B1054" s="9"/>
      <c r="C1054" s="10"/>
      <c r="D1054" s="9"/>
      <c r="E1054" s="9"/>
    </row>
    <row r="1055" spans="1:5" ht="13" x14ac:dyDescent="0.3">
      <c r="A1055" s="9"/>
      <c r="B1055" s="9"/>
      <c r="C1055" s="10"/>
      <c r="D1055" s="9"/>
      <c r="E1055" s="9"/>
    </row>
    <row r="1056" spans="1:5" ht="13" x14ac:dyDescent="0.3">
      <c r="A1056" s="9"/>
      <c r="B1056" s="9"/>
      <c r="C1056" s="10"/>
      <c r="D1056" s="9"/>
      <c r="E1056" s="9"/>
    </row>
    <row r="1057" spans="1:5" ht="13" x14ac:dyDescent="0.3">
      <c r="A1057" s="9"/>
      <c r="B1057" s="9"/>
      <c r="C1057" s="10"/>
      <c r="D1057" s="9"/>
      <c r="E1057" s="9"/>
    </row>
    <row r="1058" spans="1:5" ht="13" x14ac:dyDescent="0.3">
      <c r="A1058" s="9"/>
      <c r="B1058" s="9"/>
      <c r="C1058" s="10"/>
      <c r="D1058" s="9"/>
      <c r="E1058" s="9"/>
    </row>
    <row r="1059" spans="1:5" ht="13" x14ac:dyDescent="0.3">
      <c r="A1059" s="9"/>
      <c r="B1059" s="9"/>
      <c r="C1059" s="10"/>
      <c r="D1059" s="9"/>
      <c r="E1059" s="9"/>
    </row>
    <row r="1060" spans="1:5" ht="13" x14ac:dyDescent="0.3">
      <c r="A1060" s="9"/>
      <c r="B1060" s="9"/>
      <c r="C1060" s="10"/>
      <c r="D1060" s="9"/>
      <c r="E1060" s="9"/>
    </row>
    <row r="1061" spans="1:5" ht="13" x14ac:dyDescent="0.3">
      <c r="A1061" s="9"/>
      <c r="B1061" s="9"/>
      <c r="C1061" s="10"/>
      <c r="D1061" s="9"/>
      <c r="E1061" s="9"/>
    </row>
    <row r="1062" spans="1:5" ht="13" x14ac:dyDescent="0.3">
      <c r="A1062" s="9"/>
      <c r="B1062" s="9"/>
      <c r="C1062" s="10"/>
      <c r="D1062" s="9"/>
      <c r="E1062" s="9"/>
    </row>
    <row r="1063" spans="1:5" ht="13" x14ac:dyDescent="0.3">
      <c r="A1063" s="9"/>
      <c r="B1063" s="9"/>
      <c r="C1063" s="10"/>
      <c r="D1063" s="9"/>
      <c r="E1063" s="9"/>
    </row>
    <row r="1064" spans="1:5" ht="13" x14ac:dyDescent="0.3">
      <c r="A1064" s="9"/>
      <c r="B1064" s="9"/>
      <c r="C1064" s="10"/>
      <c r="D1064" s="9"/>
      <c r="E1064" s="9"/>
    </row>
    <row r="1065" spans="1:5" ht="13" x14ac:dyDescent="0.3">
      <c r="A1065" s="9"/>
      <c r="B1065" s="9"/>
      <c r="C1065" s="10"/>
      <c r="D1065" s="9"/>
      <c r="E1065" s="9"/>
    </row>
    <row r="1066" spans="1:5" ht="13" x14ac:dyDescent="0.3">
      <c r="A1066" s="9"/>
      <c r="B1066" s="9"/>
      <c r="C1066" s="10"/>
      <c r="D1066" s="9"/>
      <c r="E1066" s="9"/>
    </row>
    <row r="1067" spans="1:5" ht="13" x14ac:dyDescent="0.3">
      <c r="A1067" s="9"/>
      <c r="B1067" s="9"/>
      <c r="C1067" s="10"/>
      <c r="D1067" s="9"/>
      <c r="E1067" s="9"/>
    </row>
    <row r="1068" spans="1:5" ht="13" x14ac:dyDescent="0.3">
      <c r="A1068" s="9"/>
      <c r="B1068" s="9"/>
      <c r="C1068" s="10"/>
      <c r="D1068" s="9"/>
      <c r="E1068" s="9"/>
    </row>
    <row r="1069" spans="1:5" ht="13" x14ac:dyDescent="0.3">
      <c r="A1069" s="9"/>
      <c r="B1069" s="9"/>
      <c r="C1069" s="10"/>
      <c r="D1069" s="9"/>
      <c r="E1069" s="9"/>
    </row>
    <row r="1070" spans="1:5" ht="13" x14ac:dyDescent="0.3">
      <c r="A1070" s="9"/>
      <c r="B1070" s="9"/>
      <c r="C1070" s="10"/>
      <c r="D1070" s="9"/>
      <c r="E1070" s="9"/>
    </row>
    <row r="1071" spans="1:5" ht="13" x14ac:dyDescent="0.3">
      <c r="A1071" s="9"/>
      <c r="B1071" s="9"/>
      <c r="C1071" s="10"/>
      <c r="D1071" s="9"/>
      <c r="E1071" s="9"/>
    </row>
    <row r="1072" spans="1:5" ht="13" x14ac:dyDescent="0.3">
      <c r="A1072" s="9"/>
      <c r="B1072" s="9"/>
      <c r="C1072" s="10"/>
      <c r="D1072" s="9"/>
      <c r="E1072" s="9"/>
    </row>
    <row r="1073" spans="1:5" ht="13" x14ac:dyDescent="0.3">
      <c r="A1073" s="9"/>
      <c r="B1073" s="9"/>
      <c r="C1073" s="10"/>
      <c r="D1073" s="9"/>
      <c r="E1073" s="9"/>
    </row>
    <row r="1074" spans="1:5" ht="13" x14ac:dyDescent="0.3">
      <c r="A1074" s="9"/>
      <c r="B1074" s="9"/>
      <c r="C1074" s="10"/>
      <c r="D1074" s="9"/>
      <c r="E1074" s="9"/>
    </row>
    <row r="1075" spans="1:5" ht="13" x14ac:dyDescent="0.3">
      <c r="A1075" s="9"/>
      <c r="B1075" s="9"/>
      <c r="C1075" s="10"/>
      <c r="D1075" s="9"/>
      <c r="E1075" s="9"/>
    </row>
    <row r="1076" spans="1:5" ht="13" x14ac:dyDescent="0.3">
      <c r="A1076" s="9"/>
      <c r="B1076" s="9"/>
      <c r="C1076" s="10"/>
      <c r="D1076" s="9"/>
      <c r="E1076" s="9"/>
    </row>
    <row r="1077" spans="1:5" ht="13" x14ac:dyDescent="0.3">
      <c r="A1077" s="9"/>
      <c r="B1077" s="9"/>
      <c r="C1077" s="10"/>
      <c r="D1077" s="9"/>
      <c r="E1077" s="9"/>
    </row>
    <row r="1078" spans="1:5" ht="13" x14ac:dyDescent="0.3">
      <c r="A1078" s="9"/>
      <c r="B1078" s="9"/>
      <c r="C1078" s="10"/>
      <c r="D1078" s="9"/>
      <c r="E1078" s="9"/>
    </row>
    <row r="1079" spans="1:5" ht="13" x14ac:dyDescent="0.3">
      <c r="A1079" s="9"/>
      <c r="B1079" s="9"/>
      <c r="C1079" s="10"/>
      <c r="D1079" s="9"/>
      <c r="E1079" s="9"/>
    </row>
    <row r="1080" spans="1:5" ht="13" x14ac:dyDescent="0.3">
      <c r="A1080" s="9"/>
      <c r="B1080" s="9"/>
      <c r="C1080" s="10"/>
      <c r="D1080" s="9"/>
      <c r="E1080" s="9"/>
    </row>
    <row r="1081" spans="1:5" ht="13" x14ac:dyDescent="0.3">
      <c r="A1081" s="9"/>
      <c r="B1081" s="9"/>
      <c r="C1081" s="10"/>
      <c r="D1081" s="9"/>
      <c r="E1081" s="9"/>
    </row>
    <row r="1082" spans="1:5" ht="13" x14ac:dyDescent="0.3">
      <c r="A1082" s="9"/>
      <c r="B1082" s="9"/>
      <c r="C1082" s="10"/>
      <c r="D1082" s="9"/>
      <c r="E1082" s="9"/>
    </row>
    <row r="1083" spans="1:5" ht="13" x14ac:dyDescent="0.3">
      <c r="A1083" s="9"/>
      <c r="B1083" s="9"/>
      <c r="C1083" s="10"/>
      <c r="D1083" s="9"/>
      <c r="E1083" s="9"/>
    </row>
    <row r="1084" spans="1:5" ht="13" x14ac:dyDescent="0.3">
      <c r="A1084" s="9"/>
      <c r="B1084" s="9"/>
      <c r="C1084" s="10"/>
      <c r="D1084" s="9"/>
      <c r="E1084" s="9"/>
    </row>
    <row r="1085" spans="1:5" ht="13" x14ac:dyDescent="0.3">
      <c r="A1085" s="9"/>
      <c r="B1085" s="9"/>
      <c r="C1085" s="10"/>
      <c r="D1085" s="9"/>
      <c r="E1085" s="9"/>
    </row>
    <row r="1086" spans="1:5" ht="13" x14ac:dyDescent="0.3">
      <c r="A1086" s="9"/>
      <c r="B1086" s="9"/>
      <c r="C1086" s="10"/>
      <c r="D1086" s="9"/>
      <c r="E1086" s="9"/>
    </row>
    <row r="1087" spans="1:5" ht="13" x14ac:dyDescent="0.3">
      <c r="A1087" s="9"/>
      <c r="B1087" s="9"/>
      <c r="C1087" s="10"/>
      <c r="D1087" s="9"/>
      <c r="E1087" s="9"/>
    </row>
    <row r="1088" spans="1:5" ht="13" x14ac:dyDescent="0.3">
      <c r="A1088" s="9"/>
      <c r="B1088" s="9"/>
      <c r="C1088" s="10"/>
      <c r="D1088" s="9"/>
      <c r="E1088" s="9"/>
    </row>
    <row r="1089" spans="1:5" ht="13" x14ac:dyDescent="0.3">
      <c r="A1089" s="9"/>
      <c r="B1089" s="9"/>
      <c r="C1089" s="10"/>
      <c r="D1089" s="9"/>
      <c r="E1089" s="9"/>
    </row>
    <row r="1090" spans="1:5" ht="13" x14ac:dyDescent="0.3">
      <c r="A1090" s="9"/>
      <c r="B1090" s="9"/>
      <c r="C1090" s="10"/>
      <c r="D1090" s="9"/>
      <c r="E1090" s="9"/>
    </row>
    <row r="1091" spans="1:5" ht="13" x14ac:dyDescent="0.3">
      <c r="A1091" s="9"/>
      <c r="B1091" s="9"/>
      <c r="C1091" s="10"/>
      <c r="D1091" s="9"/>
      <c r="E1091" s="9"/>
    </row>
    <row r="1092" spans="1:5" ht="13" x14ac:dyDescent="0.3">
      <c r="A1092" s="9"/>
      <c r="B1092" s="9"/>
      <c r="C1092" s="10"/>
      <c r="D1092" s="9"/>
      <c r="E1092" s="9"/>
    </row>
    <row r="1093" spans="1:5" ht="13" x14ac:dyDescent="0.3">
      <c r="A1093" s="9"/>
      <c r="B1093" s="9"/>
      <c r="C1093" s="10"/>
      <c r="D1093" s="9"/>
      <c r="E1093" s="9"/>
    </row>
    <row r="1094" spans="1:5" ht="13" x14ac:dyDescent="0.3">
      <c r="A1094" s="9"/>
      <c r="B1094" s="9"/>
      <c r="C1094" s="10"/>
      <c r="D1094" s="9"/>
      <c r="E1094" s="9"/>
    </row>
    <row r="1095" spans="1:5" ht="13" x14ac:dyDescent="0.3">
      <c r="A1095" s="9"/>
      <c r="B1095" s="9"/>
      <c r="C1095" s="10"/>
      <c r="D1095" s="9"/>
      <c r="E1095" s="9"/>
    </row>
    <row r="1096" spans="1:5" ht="13" x14ac:dyDescent="0.3">
      <c r="A1096" s="9"/>
      <c r="B1096" s="9"/>
      <c r="C1096" s="10"/>
      <c r="D1096" s="9"/>
      <c r="E1096" s="9"/>
    </row>
    <row r="1097" spans="1:5" ht="13" x14ac:dyDescent="0.3">
      <c r="A1097" s="9"/>
      <c r="B1097" s="9"/>
      <c r="C1097" s="10"/>
      <c r="D1097" s="9"/>
      <c r="E1097" s="9"/>
    </row>
    <row r="1098" spans="1:5" ht="13" x14ac:dyDescent="0.3">
      <c r="A1098" s="9"/>
      <c r="B1098" s="9"/>
      <c r="C1098" s="10"/>
      <c r="D1098" s="9"/>
      <c r="E1098" s="9"/>
    </row>
    <row r="1099" spans="1:5" ht="13" x14ac:dyDescent="0.3">
      <c r="A1099" s="9"/>
      <c r="B1099" s="9"/>
      <c r="C1099" s="10"/>
      <c r="D1099" s="9"/>
      <c r="E1099" s="9"/>
    </row>
    <row r="1100" spans="1:5" ht="13" x14ac:dyDescent="0.3">
      <c r="A1100" s="9"/>
      <c r="B1100" s="9"/>
      <c r="C1100" s="10"/>
      <c r="D1100" s="9"/>
      <c r="E1100" s="9"/>
    </row>
    <row r="1101" spans="1:5" ht="13" x14ac:dyDescent="0.3">
      <c r="A1101" s="9"/>
      <c r="B1101" s="9"/>
      <c r="C1101" s="10"/>
      <c r="D1101" s="9"/>
      <c r="E1101" s="9"/>
    </row>
  </sheetData>
  <pageMargins left="0.511811024" right="0.511811024" top="0.78740157499999996" bottom="0.78740157499999996" header="0.31496062000000002" footer="0.31496062000000002"/>
  <pageSetup paperSize="9" orientation="portrait" verticalDpi="597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B1000"/>
  <sheetViews>
    <sheetView workbookViewId="0"/>
  </sheetViews>
  <sheetFormatPr defaultColWidth="12.6328125" defaultRowHeight="15.75" customHeight="1" x14ac:dyDescent="0.25"/>
  <cols>
    <col min="1" max="1" width="26.1796875" customWidth="1"/>
    <col min="2" max="2" width="29.1796875" customWidth="1"/>
    <col min="4" max="4" width="23.90625" customWidth="1"/>
    <col min="5" max="5" width="31.36328125" customWidth="1"/>
    <col min="77" max="77" width="36.36328125" customWidth="1"/>
  </cols>
  <sheetData>
    <row r="1" spans="1:2" ht="12.5" x14ac:dyDescent="0.25">
      <c r="A1" s="2" t="str">
        <f ca="1">IFERROR(__xludf.DUMMYFUNCTION("IMPORTRANGE(""1OBBKz_bEVOvdz5TyLw0xDSxVZU2d0t46Uh0PvdTtbM0"",""OFICIAL Líder e ONG - 2022!A2:BY1000"")"),"#REF!")</f>
        <v>#REF!</v>
      </c>
      <c r="B1" s="12"/>
    </row>
    <row r="2" spans="1:2" ht="12.5" hidden="1" x14ac:dyDescent="0.25"/>
    <row r="3" spans="1:2" ht="12.5" hidden="1" x14ac:dyDescent="0.25"/>
    <row r="4" spans="1:2" ht="12.5" hidden="1" x14ac:dyDescent="0.25"/>
    <row r="5" spans="1:2" ht="12.5" hidden="1" x14ac:dyDescent="0.25"/>
    <row r="6" spans="1:2" ht="12.5" hidden="1" x14ac:dyDescent="0.25"/>
    <row r="7" spans="1:2" ht="12.5" hidden="1" x14ac:dyDescent="0.25"/>
    <row r="8" spans="1:2" ht="12.5" hidden="1" x14ac:dyDescent="0.25"/>
    <row r="9" spans="1:2" ht="12.5" hidden="1" x14ac:dyDescent="0.25"/>
    <row r="10" spans="1:2" ht="12.5" hidden="1" x14ac:dyDescent="0.25"/>
    <row r="11" spans="1:2" ht="12.5" hidden="1" x14ac:dyDescent="0.25"/>
    <row r="12" spans="1:2" ht="12.5" hidden="1" x14ac:dyDescent="0.25"/>
    <row r="13" spans="1:2" ht="12.5" hidden="1" x14ac:dyDescent="0.25"/>
    <row r="14" spans="1:2" ht="12.5" hidden="1" x14ac:dyDescent="0.25"/>
    <row r="15" spans="1:2" ht="12.5" hidden="1" x14ac:dyDescent="0.25"/>
    <row r="16" spans="1:2" ht="12.5" hidden="1" x14ac:dyDescent="0.25"/>
    <row r="17" ht="12.5" hidden="1" x14ac:dyDescent="0.25"/>
    <row r="18" ht="12.5" hidden="1" x14ac:dyDescent="0.25"/>
    <row r="20" ht="12.5" hidden="1" x14ac:dyDescent="0.25"/>
    <row r="21" ht="12.5" hidden="1" x14ac:dyDescent="0.25"/>
    <row r="22" ht="12.5" hidden="1" x14ac:dyDescent="0.25"/>
    <row r="23" ht="12.5" hidden="1" x14ac:dyDescent="0.25"/>
    <row r="24" ht="12.5" hidden="1" x14ac:dyDescent="0.25"/>
    <row r="25" ht="12.5" hidden="1" x14ac:dyDescent="0.25"/>
    <row r="26" ht="12.5" hidden="1" x14ac:dyDescent="0.25"/>
    <row r="27" ht="12.5" hidden="1" x14ac:dyDescent="0.25"/>
    <row r="28" ht="12.5" hidden="1" x14ac:dyDescent="0.25"/>
    <row r="30" ht="12.5" hidden="1" x14ac:dyDescent="0.25"/>
    <row r="31" ht="12.5" hidden="1" x14ac:dyDescent="0.25"/>
    <row r="32" ht="12.5" hidden="1" x14ac:dyDescent="0.25"/>
    <row r="33" ht="12.5" hidden="1" x14ac:dyDescent="0.25"/>
    <row r="34" ht="12.5" hidden="1" x14ac:dyDescent="0.25"/>
    <row r="35" ht="12.5" hidden="1" x14ac:dyDescent="0.25"/>
    <row r="36" ht="12.5" hidden="1" x14ac:dyDescent="0.25"/>
    <row r="37" ht="12.5" hidden="1" x14ac:dyDescent="0.25"/>
    <row r="38" ht="12.5" hidden="1" x14ac:dyDescent="0.25"/>
    <row r="39" ht="12.5" hidden="1" x14ac:dyDescent="0.25"/>
    <row r="40" ht="12.5" hidden="1" x14ac:dyDescent="0.25"/>
    <row r="42" ht="12.5" hidden="1" x14ac:dyDescent="0.25"/>
    <row r="43" ht="12.5" hidden="1" x14ac:dyDescent="0.25"/>
    <row r="44" ht="12.5" hidden="1" x14ac:dyDescent="0.25"/>
    <row r="45" ht="12.5" hidden="1" x14ac:dyDescent="0.25"/>
    <row r="46" ht="12.5" hidden="1" x14ac:dyDescent="0.25"/>
    <row r="47" ht="12.5" hidden="1" x14ac:dyDescent="0.25"/>
    <row r="48" ht="12.5" hidden="1" x14ac:dyDescent="0.25"/>
    <row r="49" ht="12.5" hidden="1" x14ac:dyDescent="0.25"/>
    <row r="50" ht="12.5" hidden="1" x14ac:dyDescent="0.25"/>
    <row r="51" ht="12.5" hidden="1" x14ac:dyDescent="0.25"/>
    <row r="52" ht="12.5" hidden="1" x14ac:dyDescent="0.25"/>
    <row r="53" ht="12.5" hidden="1" x14ac:dyDescent="0.25"/>
    <row r="54" ht="12.5" hidden="1" x14ac:dyDescent="0.25"/>
    <row r="59" ht="12.5" hidden="1" x14ac:dyDescent="0.25"/>
    <row r="60" ht="12.5" hidden="1" x14ac:dyDescent="0.25"/>
    <row r="62" ht="12.5" hidden="1" x14ac:dyDescent="0.25"/>
    <row r="63" ht="12.5" hidden="1" x14ac:dyDescent="0.25"/>
    <row r="64" ht="12.5" hidden="1" x14ac:dyDescent="0.25"/>
    <row r="65" ht="12.5" hidden="1" x14ac:dyDescent="0.25"/>
    <row r="66" ht="12.5" hidden="1" x14ac:dyDescent="0.25"/>
    <row r="67" ht="12.5" hidden="1" x14ac:dyDescent="0.25"/>
    <row r="68" ht="12.5" hidden="1" x14ac:dyDescent="0.25"/>
    <row r="69" ht="12.5" hidden="1" x14ac:dyDescent="0.25"/>
    <row r="70" ht="12.5" hidden="1" x14ac:dyDescent="0.25"/>
    <row r="71" ht="12.5" hidden="1" x14ac:dyDescent="0.25"/>
    <row r="72" ht="12.5" hidden="1" x14ac:dyDescent="0.25"/>
    <row r="73" ht="12.5" hidden="1" x14ac:dyDescent="0.25"/>
    <row r="74" ht="12.5" hidden="1" x14ac:dyDescent="0.25"/>
    <row r="77" ht="12.5" hidden="1" x14ac:dyDescent="0.25"/>
    <row r="78" ht="12.5" hidden="1" x14ac:dyDescent="0.25"/>
    <row r="79" ht="12.5" hidden="1" x14ac:dyDescent="0.25"/>
    <row r="80" ht="12.5" hidden="1" x14ac:dyDescent="0.25"/>
    <row r="81" ht="12.5" hidden="1" x14ac:dyDescent="0.25"/>
    <row r="83" ht="12.5" hidden="1" x14ac:dyDescent="0.25"/>
    <row r="84" ht="12.5" hidden="1" x14ac:dyDescent="0.25"/>
    <row r="85" ht="12.5" hidden="1" x14ac:dyDescent="0.25"/>
    <row r="86" ht="12.5" hidden="1" x14ac:dyDescent="0.25"/>
    <row r="87" ht="12.5" hidden="1" x14ac:dyDescent="0.25"/>
    <row r="88" ht="12.5" hidden="1" x14ac:dyDescent="0.25"/>
    <row r="89" ht="12.5" hidden="1" x14ac:dyDescent="0.25"/>
    <row r="90" ht="12.5" hidden="1" x14ac:dyDescent="0.25"/>
    <row r="91" ht="12.5" hidden="1" x14ac:dyDescent="0.25"/>
    <row r="92" ht="12.5" hidden="1" x14ac:dyDescent="0.25"/>
    <row r="93" ht="12.5" hidden="1" x14ac:dyDescent="0.25"/>
    <row r="94" ht="12.5" hidden="1" x14ac:dyDescent="0.25"/>
    <row r="97" ht="12.5" hidden="1" x14ac:dyDescent="0.25"/>
    <row r="98" ht="12.5" hidden="1" x14ac:dyDescent="0.25"/>
    <row r="99" ht="12.5" hidden="1" x14ac:dyDescent="0.25"/>
    <row r="101" ht="12.5" hidden="1" x14ac:dyDescent="0.25"/>
    <row r="102" ht="12.5" hidden="1" x14ac:dyDescent="0.25"/>
    <row r="104" ht="12.5" hidden="1" x14ac:dyDescent="0.25"/>
    <row r="106" ht="12.5" hidden="1" x14ac:dyDescent="0.25"/>
    <row r="107" ht="12.5" hidden="1" x14ac:dyDescent="0.25"/>
    <row r="108" ht="12.5" hidden="1" x14ac:dyDescent="0.25"/>
    <row r="109" ht="12.5" hidden="1" x14ac:dyDescent="0.25"/>
    <row r="110" ht="12.5" hidden="1" x14ac:dyDescent="0.25"/>
    <row r="111" ht="12.5" hidden="1" x14ac:dyDescent="0.25"/>
    <row r="112" ht="12.5" hidden="1" x14ac:dyDescent="0.25"/>
    <row r="114" ht="12.5" hidden="1" x14ac:dyDescent="0.25"/>
    <row r="115" ht="12.5" hidden="1" x14ac:dyDescent="0.25"/>
    <row r="116" ht="12.5" hidden="1" x14ac:dyDescent="0.25"/>
    <row r="117" ht="12.5" hidden="1" x14ac:dyDescent="0.25"/>
    <row r="118" ht="12.5" hidden="1" x14ac:dyDescent="0.25"/>
    <row r="119" ht="12.5" hidden="1" x14ac:dyDescent="0.25"/>
    <row r="120" ht="12.5" hidden="1" x14ac:dyDescent="0.25"/>
    <row r="121" ht="12.5" hidden="1" x14ac:dyDescent="0.25"/>
    <row r="123" ht="12.5" hidden="1" x14ac:dyDescent="0.25"/>
    <row r="125" ht="12.5" hidden="1" x14ac:dyDescent="0.25"/>
    <row r="126" ht="12.5" hidden="1" x14ac:dyDescent="0.25"/>
    <row r="129" ht="12.5" hidden="1" x14ac:dyDescent="0.25"/>
    <row r="130" ht="12.5" hidden="1" x14ac:dyDescent="0.25"/>
    <row r="131" ht="12.5" hidden="1" x14ac:dyDescent="0.25"/>
    <row r="133" ht="12.5" hidden="1" x14ac:dyDescent="0.25"/>
    <row r="135" ht="12.5" hidden="1" x14ac:dyDescent="0.25"/>
    <row r="137" ht="12.5" hidden="1" x14ac:dyDescent="0.25"/>
    <row r="139" ht="12.5" hidden="1" x14ac:dyDescent="0.25"/>
    <row r="140" ht="12.5" hidden="1" x14ac:dyDescent="0.25"/>
    <row r="142" ht="12.5" hidden="1" x14ac:dyDescent="0.25"/>
    <row r="143" ht="12.5" hidden="1" x14ac:dyDescent="0.25"/>
    <row r="144" ht="12.5" hidden="1" x14ac:dyDescent="0.25"/>
    <row r="145" ht="12.5" hidden="1" x14ac:dyDescent="0.25"/>
    <row r="147" ht="12.5" hidden="1" x14ac:dyDescent="0.25"/>
    <row r="148" ht="12.5" hidden="1" x14ac:dyDescent="0.25"/>
    <row r="149" ht="12.5" hidden="1" x14ac:dyDescent="0.25"/>
    <row r="150" ht="12.5" hidden="1" x14ac:dyDescent="0.25"/>
    <row r="152" ht="12.5" hidden="1" x14ac:dyDescent="0.25"/>
    <row r="153" ht="12.5" hidden="1" x14ac:dyDescent="0.25"/>
    <row r="154" ht="12.5" hidden="1" x14ac:dyDescent="0.25"/>
    <row r="155" ht="12.5" hidden="1" x14ac:dyDescent="0.25"/>
    <row r="158" ht="12.5" hidden="1" x14ac:dyDescent="0.25"/>
    <row r="159" ht="12.5" hidden="1" x14ac:dyDescent="0.25"/>
    <row r="160" ht="12.5" hidden="1" x14ac:dyDescent="0.25"/>
    <row r="162" ht="12.5" hidden="1" x14ac:dyDescent="0.25"/>
    <row r="164" ht="12.5" hidden="1" x14ac:dyDescent="0.25"/>
    <row r="166" ht="12.5" hidden="1" x14ac:dyDescent="0.25"/>
    <row r="170" ht="12.5" hidden="1" x14ac:dyDescent="0.25"/>
    <row r="171" ht="12.5" hidden="1" x14ac:dyDescent="0.25"/>
    <row r="172" ht="12.5" hidden="1" x14ac:dyDescent="0.25"/>
    <row r="173" ht="12.5" hidden="1" x14ac:dyDescent="0.25"/>
    <row r="174" ht="12.5" hidden="1" x14ac:dyDescent="0.25"/>
    <row r="176" ht="12.5" hidden="1" x14ac:dyDescent="0.25"/>
    <row r="177" ht="12.5" hidden="1" x14ac:dyDescent="0.25"/>
    <row r="178" ht="12.5" hidden="1" x14ac:dyDescent="0.25"/>
    <row r="179" ht="12.5" hidden="1" x14ac:dyDescent="0.25"/>
    <row r="181" ht="12.5" hidden="1" x14ac:dyDescent="0.25"/>
    <row r="182" ht="12.5" hidden="1" x14ac:dyDescent="0.25"/>
    <row r="184" ht="12.5" hidden="1" x14ac:dyDescent="0.25"/>
    <row r="186" ht="12.5" hidden="1" x14ac:dyDescent="0.25"/>
    <row r="187" ht="12.5" hidden="1" x14ac:dyDescent="0.25"/>
    <row r="188" ht="12.5" hidden="1" x14ac:dyDescent="0.25"/>
    <row r="189" ht="12.5" hidden="1" x14ac:dyDescent="0.25"/>
    <row r="190" ht="12.5" hidden="1" x14ac:dyDescent="0.25"/>
    <row r="191" ht="12.5" hidden="1" x14ac:dyDescent="0.25"/>
    <row r="192" ht="12.5" hidden="1" x14ac:dyDescent="0.25"/>
    <row r="196" ht="12.5" hidden="1" x14ac:dyDescent="0.25"/>
    <row r="197" ht="12.5" hidden="1" x14ac:dyDescent="0.25"/>
    <row r="202" ht="12.5" hidden="1" x14ac:dyDescent="0.25"/>
    <row r="203" ht="12.5" hidden="1" x14ac:dyDescent="0.25"/>
    <row r="205" ht="12.5" hidden="1" x14ac:dyDescent="0.25"/>
    <row r="206" ht="12.5" hidden="1" x14ac:dyDescent="0.25"/>
    <row r="208" ht="12.5" hidden="1" x14ac:dyDescent="0.25"/>
    <row r="209" ht="12.5" hidden="1" x14ac:dyDescent="0.25"/>
    <row r="210" ht="12.5" hidden="1" x14ac:dyDescent="0.25"/>
    <row r="214" ht="12.5" hidden="1" x14ac:dyDescent="0.25"/>
    <row r="215" ht="12.5" hidden="1" x14ac:dyDescent="0.25"/>
    <row r="216" ht="12.5" hidden="1" x14ac:dyDescent="0.25"/>
    <row r="217" ht="12.5" hidden="1" x14ac:dyDescent="0.25"/>
    <row r="218" ht="12.5" hidden="1" x14ac:dyDescent="0.25"/>
    <row r="219" ht="12.5" hidden="1" x14ac:dyDescent="0.25"/>
    <row r="220" ht="12.5" hidden="1" x14ac:dyDescent="0.25"/>
    <row r="221" ht="12.5" hidden="1" x14ac:dyDescent="0.25"/>
    <row r="223" ht="12.5" hidden="1" x14ac:dyDescent="0.25"/>
    <row r="226" ht="12.5" hidden="1" x14ac:dyDescent="0.25"/>
    <row r="228" ht="12.5" hidden="1" x14ac:dyDescent="0.25"/>
    <row r="229" ht="12.5" hidden="1" x14ac:dyDescent="0.25"/>
    <row r="230" ht="12.5" hidden="1" x14ac:dyDescent="0.25"/>
    <row r="231" ht="12.5" hidden="1" x14ac:dyDescent="0.25"/>
    <row r="232" ht="12.5" hidden="1" x14ac:dyDescent="0.25"/>
    <row r="234" ht="12.5" hidden="1" x14ac:dyDescent="0.25"/>
    <row r="236" ht="12.5" hidden="1" x14ac:dyDescent="0.25"/>
    <row r="237" ht="12.5" hidden="1" x14ac:dyDescent="0.25"/>
    <row r="238" ht="12.5" hidden="1" x14ac:dyDescent="0.25"/>
    <row r="239" ht="12.5" hidden="1" x14ac:dyDescent="0.25"/>
    <row r="240" ht="12.5" hidden="1" x14ac:dyDescent="0.25"/>
    <row r="241" ht="12.5" hidden="1" x14ac:dyDescent="0.25"/>
    <row r="243" ht="12.5" hidden="1" x14ac:dyDescent="0.25"/>
    <row r="244" ht="12.5" hidden="1" x14ac:dyDescent="0.25"/>
    <row r="245" ht="12.5" hidden="1" x14ac:dyDescent="0.25"/>
    <row r="246" ht="12.5" hidden="1" x14ac:dyDescent="0.25"/>
    <row r="247" ht="12.5" hidden="1" x14ac:dyDescent="0.25"/>
    <row r="248" ht="12.5" hidden="1" x14ac:dyDescent="0.25"/>
    <row r="249" ht="12.5" hidden="1" x14ac:dyDescent="0.25"/>
    <row r="252" ht="12.5" hidden="1" x14ac:dyDescent="0.25"/>
    <row r="253" ht="12.5" hidden="1" x14ac:dyDescent="0.25"/>
    <row r="256" ht="12.5" hidden="1" x14ac:dyDescent="0.25"/>
    <row r="257" ht="12.5" hidden="1" x14ac:dyDescent="0.25"/>
    <row r="258" ht="12.5" hidden="1" x14ac:dyDescent="0.25"/>
    <row r="259" ht="12.5" hidden="1" x14ac:dyDescent="0.25"/>
    <row r="261" ht="12.5" hidden="1" x14ac:dyDescent="0.25"/>
    <row r="262" ht="12.5" hidden="1" x14ac:dyDescent="0.25"/>
    <row r="266" ht="12.5" hidden="1" x14ac:dyDescent="0.25"/>
    <row r="268" ht="12.5" hidden="1" x14ac:dyDescent="0.25"/>
    <row r="269" ht="12.5" hidden="1" x14ac:dyDescent="0.25"/>
    <row r="273" ht="12.5" hidden="1" x14ac:dyDescent="0.25"/>
    <row r="278" ht="12.5" hidden="1" x14ac:dyDescent="0.25"/>
    <row r="279" ht="12.5" hidden="1" x14ac:dyDescent="0.25"/>
    <row r="280" ht="12.5" hidden="1" x14ac:dyDescent="0.25"/>
    <row r="283" ht="12.5" hidden="1" x14ac:dyDescent="0.25"/>
    <row r="284" ht="12.5" hidden="1" x14ac:dyDescent="0.25"/>
    <row r="285" ht="12.5" hidden="1" x14ac:dyDescent="0.25"/>
    <row r="286" ht="12.5" hidden="1" x14ac:dyDescent="0.25"/>
    <row r="288" ht="12.5" hidden="1" x14ac:dyDescent="0.25"/>
    <row r="295" ht="12.5" hidden="1" x14ac:dyDescent="0.25"/>
    <row r="297" ht="12.5" hidden="1" x14ac:dyDescent="0.25"/>
    <row r="298" ht="12.5" hidden="1" x14ac:dyDescent="0.25"/>
    <row r="302" ht="12.5" hidden="1" x14ac:dyDescent="0.25"/>
    <row r="305" ht="12.5" hidden="1" x14ac:dyDescent="0.25"/>
    <row r="306" ht="12.5" hidden="1" x14ac:dyDescent="0.25"/>
    <row r="310" ht="12.5" hidden="1" x14ac:dyDescent="0.25"/>
    <row r="312" ht="12.5" hidden="1" x14ac:dyDescent="0.25"/>
    <row r="313" ht="12.5" hidden="1" x14ac:dyDescent="0.25"/>
    <row r="314" ht="12.5" hidden="1" x14ac:dyDescent="0.25"/>
    <row r="316" ht="12.5" hidden="1" x14ac:dyDescent="0.25"/>
    <row r="318" ht="12.5" hidden="1" x14ac:dyDescent="0.25"/>
    <row r="319" ht="12.5" hidden="1" x14ac:dyDescent="0.25"/>
    <row r="320" ht="12.5" hidden="1" x14ac:dyDescent="0.25"/>
    <row r="321" ht="12.5" hidden="1" x14ac:dyDescent="0.25"/>
    <row r="323" ht="12.5" hidden="1" x14ac:dyDescent="0.25"/>
    <row r="326" ht="12.5" hidden="1" x14ac:dyDescent="0.25"/>
    <row r="330" ht="12.5" hidden="1" x14ac:dyDescent="0.25"/>
    <row r="335" ht="12.5" hidden="1" x14ac:dyDescent="0.25"/>
    <row r="336" ht="12.5" hidden="1" x14ac:dyDescent="0.25"/>
    <row r="337" ht="12.5" hidden="1" x14ac:dyDescent="0.25"/>
    <row r="342" ht="12.5" hidden="1" x14ac:dyDescent="0.25"/>
    <row r="343" ht="12.5" hidden="1" x14ac:dyDescent="0.25"/>
    <row r="344" ht="12.5" hidden="1" x14ac:dyDescent="0.25"/>
    <row r="346" ht="12.5" hidden="1" x14ac:dyDescent="0.25"/>
    <row r="350" ht="12.5" hidden="1" x14ac:dyDescent="0.25"/>
    <row r="365" ht="12.5" hidden="1" x14ac:dyDescent="0.25"/>
    <row r="373" ht="12.5" hidden="1" x14ac:dyDescent="0.25"/>
    <row r="374" ht="12.5" hidden="1" x14ac:dyDescent="0.25"/>
    <row r="376" ht="12.5" hidden="1" x14ac:dyDescent="0.25"/>
    <row r="377" ht="12.5" hidden="1" x14ac:dyDescent="0.25"/>
    <row r="389" ht="12.5" hidden="1" x14ac:dyDescent="0.25"/>
    <row r="394" ht="12.5" hidden="1" x14ac:dyDescent="0.25"/>
    <row r="399" ht="12.5" hidden="1" x14ac:dyDescent="0.25"/>
    <row r="400" ht="12.5" hidden="1" x14ac:dyDescent="0.25"/>
    <row r="403" ht="12.5" hidden="1" x14ac:dyDescent="0.25"/>
    <row r="407" ht="12.5" hidden="1" x14ac:dyDescent="0.25"/>
    <row r="415" ht="12.5" hidden="1" x14ac:dyDescent="0.25"/>
    <row r="423" ht="12.5" hidden="1" x14ac:dyDescent="0.25"/>
    <row r="426" ht="12.5" hidden="1" x14ac:dyDescent="0.25"/>
    <row r="431" ht="12.5" hidden="1" x14ac:dyDescent="0.25"/>
    <row r="434" ht="12.5" hidden="1" x14ac:dyDescent="0.25"/>
    <row r="440" ht="12.5" hidden="1" x14ac:dyDescent="0.25"/>
    <row r="441" ht="12.5" hidden="1" x14ac:dyDescent="0.25"/>
    <row r="443" ht="12.5" hidden="1" x14ac:dyDescent="0.25"/>
    <row r="453" ht="12.5" hidden="1" x14ac:dyDescent="0.25"/>
    <row r="461" ht="12.5" hidden="1" x14ac:dyDescent="0.25"/>
    <row r="465" ht="12.5" hidden="1" x14ac:dyDescent="0.25"/>
    <row r="466" ht="12.5" hidden="1" x14ac:dyDescent="0.25"/>
    <row r="477" ht="12.5" hidden="1" x14ac:dyDescent="0.25"/>
    <row r="481" ht="12.5" hidden="1" x14ac:dyDescent="0.25"/>
    <row r="484" ht="12.5" hidden="1" x14ac:dyDescent="0.25"/>
    <row r="486" ht="12.5" hidden="1" x14ac:dyDescent="0.25"/>
    <row r="498" ht="12.5" hidden="1" x14ac:dyDescent="0.25"/>
    <row r="509" ht="12.5" hidden="1" x14ac:dyDescent="0.25"/>
    <row r="513" ht="12.5" hidden="1" x14ac:dyDescent="0.25"/>
    <row r="516" ht="12.5" hidden="1" x14ac:dyDescent="0.25"/>
    <row r="532" ht="12.5" hidden="1" x14ac:dyDescent="0.25"/>
    <row r="549" ht="12.5" hidden="1" x14ac:dyDescent="0.25"/>
    <row r="555" ht="12.5" hidden="1" x14ac:dyDescent="0.25"/>
    <row r="601" ht="12.5" hidden="1" x14ac:dyDescent="0.25"/>
    <row r="602" ht="12.5" hidden="1" x14ac:dyDescent="0.25"/>
    <row r="603" ht="12.5" hidden="1" x14ac:dyDescent="0.25"/>
    <row r="604" ht="12.5" hidden="1" x14ac:dyDescent="0.25"/>
    <row r="605" ht="12.5" hidden="1" x14ac:dyDescent="0.25"/>
    <row r="606" ht="12.5" hidden="1" x14ac:dyDescent="0.25"/>
    <row r="607" ht="12.5" hidden="1" x14ac:dyDescent="0.25"/>
    <row r="608" ht="12.5" hidden="1" x14ac:dyDescent="0.25"/>
    <row r="609" ht="12.5" hidden="1" x14ac:dyDescent="0.25"/>
    <row r="610" ht="12.5" hidden="1" x14ac:dyDescent="0.25"/>
    <row r="611" ht="12.5" hidden="1" x14ac:dyDescent="0.25"/>
    <row r="612" ht="12.5" hidden="1" x14ac:dyDescent="0.25"/>
    <row r="613" ht="12.5" hidden="1" x14ac:dyDescent="0.25"/>
    <row r="614" ht="12.5" hidden="1" x14ac:dyDescent="0.25"/>
    <row r="615" ht="12.5" hidden="1" x14ac:dyDescent="0.25"/>
    <row r="616" ht="12.5" hidden="1" x14ac:dyDescent="0.25"/>
    <row r="617" ht="12.5" hidden="1" x14ac:dyDescent="0.25"/>
    <row r="618" ht="12.5" hidden="1" x14ac:dyDescent="0.25"/>
    <row r="619" ht="12.5" hidden="1" x14ac:dyDescent="0.25"/>
    <row r="620" ht="12.5" hidden="1" x14ac:dyDescent="0.25"/>
    <row r="621" ht="12.5" hidden="1" x14ac:dyDescent="0.25"/>
    <row r="622" ht="12.5" hidden="1" x14ac:dyDescent="0.25"/>
    <row r="623" ht="12.5" hidden="1" x14ac:dyDescent="0.25"/>
    <row r="624" ht="12.5" hidden="1" x14ac:dyDescent="0.25"/>
    <row r="625" ht="12.5" hidden="1" x14ac:dyDescent="0.25"/>
    <row r="626" ht="12.5" hidden="1" x14ac:dyDescent="0.25"/>
    <row r="627" ht="12.5" hidden="1" x14ac:dyDescent="0.25"/>
    <row r="628" ht="12.5" hidden="1" x14ac:dyDescent="0.25"/>
    <row r="629" ht="12.5" hidden="1" x14ac:dyDescent="0.25"/>
    <row r="630" ht="12.5" hidden="1" x14ac:dyDescent="0.25"/>
    <row r="631" ht="12.5" hidden="1" x14ac:dyDescent="0.25"/>
    <row r="632" ht="12.5" hidden="1" x14ac:dyDescent="0.25"/>
    <row r="633" ht="12.5" hidden="1" x14ac:dyDescent="0.25"/>
    <row r="634" ht="12.5" hidden="1" x14ac:dyDescent="0.25"/>
    <row r="635" ht="12.5" hidden="1" x14ac:dyDescent="0.25"/>
    <row r="636" ht="12.5" hidden="1" x14ac:dyDescent="0.25"/>
    <row r="637" ht="12.5" hidden="1" x14ac:dyDescent="0.25"/>
    <row r="638" ht="12.5" hidden="1" x14ac:dyDescent="0.25"/>
    <row r="639" ht="12.5" hidden="1" x14ac:dyDescent="0.25"/>
    <row r="640" ht="12.5" hidden="1" x14ac:dyDescent="0.25"/>
    <row r="641" ht="12.5" hidden="1" x14ac:dyDescent="0.25"/>
    <row r="642" ht="12.5" hidden="1" x14ac:dyDescent="0.25"/>
    <row r="643" ht="12.5" hidden="1" x14ac:dyDescent="0.25"/>
    <row r="644" ht="12.5" hidden="1" x14ac:dyDescent="0.25"/>
    <row r="645" ht="12.5" hidden="1" x14ac:dyDescent="0.25"/>
    <row r="646" ht="12.5" hidden="1" x14ac:dyDescent="0.25"/>
    <row r="647" ht="12.5" hidden="1" x14ac:dyDescent="0.25"/>
    <row r="648" ht="12.5" hidden="1" x14ac:dyDescent="0.25"/>
    <row r="649" ht="12.5" hidden="1" x14ac:dyDescent="0.25"/>
    <row r="650" ht="12.5" hidden="1" x14ac:dyDescent="0.25"/>
    <row r="651" ht="12.5" hidden="1" x14ac:dyDescent="0.25"/>
    <row r="652" ht="12.5" hidden="1" x14ac:dyDescent="0.25"/>
    <row r="653" ht="12.5" hidden="1" x14ac:dyDescent="0.25"/>
    <row r="654" ht="12.5" hidden="1" x14ac:dyDescent="0.25"/>
    <row r="655" ht="12.5" hidden="1" x14ac:dyDescent="0.25"/>
    <row r="656" ht="12.5" hidden="1" x14ac:dyDescent="0.25"/>
    <row r="657" ht="12.5" hidden="1" x14ac:dyDescent="0.25"/>
    <row r="658" ht="12.5" hidden="1" x14ac:dyDescent="0.25"/>
    <row r="659" ht="12.5" hidden="1" x14ac:dyDescent="0.25"/>
    <row r="660" ht="12.5" hidden="1" x14ac:dyDescent="0.25"/>
    <row r="661" ht="12.5" hidden="1" x14ac:dyDescent="0.25"/>
    <row r="662" ht="12.5" hidden="1" x14ac:dyDescent="0.25"/>
    <row r="663" ht="12.5" hidden="1" x14ac:dyDescent="0.25"/>
    <row r="664" ht="12.5" hidden="1" x14ac:dyDescent="0.25"/>
    <row r="665" ht="12.5" hidden="1" x14ac:dyDescent="0.25"/>
    <row r="666" ht="12.5" hidden="1" x14ac:dyDescent="0.25"/>
    <row r="667" ht="12.5" hidden="1" x14ac:dyDescent="0.25"/>
    <row r="668" ht="12.5" hidden="1" x14ac:dyDescent="0.25"/>
    <row r="669" ht="12.5" hidden="1" x14ac:dyDescent="0.25"/>
    <row r="670" ht="12.5" hidden="1" x14ac:dyDescent="0.25"/>
    <row r="671" ht="12.5" hidden="1" x14ac:dyDescent="0.25"/>
    <row r="672" ht="12.5" hidden="1" x14ac:dyDescent="0.25"/>
    <row r="673" ht="12.5" hidden="1" x14ac:dyDescent="0.25"/>
    <row r="674" ht="12.5" hidden="1" x14ac:dyDescent="0.25"/>
    <row r="675" ht="12.5" hidden="1" x14ac:dyDescent="0.25"/>
    <row r="676" ht="12.5" hidden="1" x14ac:dyDescent="0.25"/>
    <row r="677" ht="12.5" hidden="1" x14ac:dyDescent="0.25"/>
    <row r="678" ht="12.5" hidden="1" x14ac:dyDescent="0.25"/>
    <row r="679" ht="12.5" hidden="1" x14ac:dyDescent="0.25"/>
    <row r="680" ht="12.5" hidden="1" x14ac:dyDescent="0.25"/>
    <row r="681" ht="12.5" hidden="1" x14ac:dyDescent="0.25"/>
    <row r="682" ht="12.5" hidden="1" x14ac:dyDescent="0.25"/>
    <row r="683" ht="12.5" hidden="1" x14ac:dyDescent="0.25"/>
    <row r="684" ht="12.5" hidden="1" x14ac:dyDescent="0.25"/>
    <row r="685" ht="12.5" hidden="1" x14ac:dyDescent="0.25"/>
    <row r="686" ht="12.5" hidden="1" x14ac:dyDescent="0.25"/>
    <row r="687" ht="12.5" hidden="1" x14ac:dyDescent="0.25"/>
    <row r="688" ht="12.5" hidden="1" x14ac:dyDescent="0.25"/>
    <row r="689" ht="12.5" hidden="1" x14ac:dyDescent="0.25"/>
    <row r="690" ht="12.5" hidden="1" x14ac:dyDescent="0.25"/>
    <row r="691" ht="12.5" hidden="1" x14ac:dyDescent="0.25"/>
    <row r="692" ht="12.5" hidden="1" x14ac:dyDescent="0.25"/>
    <row r="693" ht="12.5" hidden="1" x14ac:dyDescent="0.25"/>
    <row r="694" ht="12.5" hidden="1" x14ac:dyDescent="0.25"/>
    <row r="695" ht="12.5" hidden="1" x14ac:dyDescent="0.25"/>
    <row r="696" ht="12.5" hidden="1" x14ac:dyDescent="0.25"/>
    <row r="697" ht="12.5" hidden="1" x14ac:dyDescent="0.25"/>
    <row r="698" ht="12.5" hidden="1" x14ac:dyDescent="0.25"/>
    <row r="699" ht="12.5" hidden="1" x14ac:dyDescent="0.25"/>
    <row r="700" ht="12.5" hidden="1" x14ac:dyDescent="0.25"/>
    <row r="701" ht="12.5" hidden="1" x14ac:dyDescent="0.25"/>
    <row r="702" ht="12.5" hidden="1" x14ac:dyDescent="0.25"/>
    <row r="703" ht="12.5" hidden="1" x14ac:dyDescent="0.25"/>
    <row r="704" ht="12.5" hidden="1" x14ac:dyDescent="0.25"/>
    <row r="705" ht="12.5" hidden="1" x14ac:dyDescent="0.25"/>
    <row r="706" ht="12.5" hidden="1" x14ac:dyDescent="0.25"/>
    <row r="707" ht="12.5" hidden="1" x14ac:dyDescent="0.25"/>
    <row r="708" ht="12.5" hidden="1" x14ac:dyDescent="0.25"/>
    <row r="709" ht="12.5" hidden="1" x14ac:dyDescent="0.25"/>
    <row r="710" ht="12.5" hidden="1" x14ac:dyDescent="0.25"/>
    <row r="711" ht="12.5" hidden="1" x14ac:dyDescent="0.25"/>
    <row r="712" ht="12.5" hidden="1" x14ac:dyDescent="0.25"/>
    <row r="713" ht="12.5" hidden="1" x14ac:dyDescent="0.25"/>
    <row r="714" ht="12.5" hidden="1" x14ac:dyDescent="0.25"/>
    <row r="715" ht="12.5" hidden="1" x14ac:dyDescent="0.25"/>
    <row r="716" ht="12.5" hidden="1" x14ac:dyDescent="0.25"/>
    <row r="717" ht="12.5" hidden="1" x14ac:dyDescent="0.25"/>
    <row r="718" ht="12.5" hidden="1" x14ac:dyDescent="0.25"/>
    <row r="719" ht="12.5" hidden="1" x14ac:dyDescent="0.25"/>
    <row r="720" ht="12.5" hidden="1" x14ac:dyDescent="0.25"/>
    <row r="721" ht="12.5" hidden="1" x14ac:dyDescent="0.25"/>
    <row r="722" ht="12.5" hidden="1" x14ac:dyDescent="0.25"/>
    <row r="723" ht="12.5" hidden="1" x14ac:dyDescent="0.25"/>
    <row r="724" ht="12.5" hidden="1" x14ac:dyDescent="0.25"/>
    <row r="725" ht="12.5" hidden="1" x14ac:dyDescent="0.25"/>
    <row r="726" ht="12.5" hidden="1" x14ac:dyDescent="0.25"/>
    <row r="727" ht="12.5" hidden="1" x14ac:dyDescent="0.25"/>
    <row r="728" ht="12.5" hidden="1" x14ac:dyDescent="0.25"/>
    <row r="729" ht="12.5" hidden="1" x14ac:dyDescent="0.25"/>
    <row r="730" ht="12.5" hidden="1" x14ac:dyDescent="0.25"/>
    <row r="731" ht="12.5" hidden="1" x14ac:dyDescent="0.25"/>
    <row r="732" ht="12.5" hidden="1" x14ac:dyDescent="0.25"/>
    <row r="733" ht="12.5" hidden="1" x14ac:dyDescent="0.25"/>
    <row r="734" ht="12.5" hidden="1" x14ac:dyDescent="0.25"/>
    <row r="735" ht="12.5" hidden="1" x14ac:dyDescent="0.25"/>
    <row r="736" ht="12.5" hidden="1" x14ac:dyDescent="0.25"/>
    <row r="737" ht="12.5" hidden="1" x14ac:dyDescent="0.25"/>
    <row r="738" ht="12.5" hidden="1" x14ac:dyDescent="0.25"/>
    <row r="739" ht="12.5" hidden="1" x14ac:dyDescent="0.25"/>
    <row r="740" ht="12.5" hidden="1" x14ac:dyDescent="0.25"/>
    <row r="741" ht="12.5" hidden="1" x14ac:dyDescent="0.25"/>
    <row r="742" ht="12.5" hidden="1" x14ac:dyDescent="0.25"/>
    <row r="743" ht="12.5" hidden="1" x14ac:dyDescent="0.25"/>
    <row r="744" ht="12.5" hidden="1" x14ac:dyDescent="0.25"/>
    <row r="745" ht="12.5" hidden="1" x14ac:dyDescent="0.25"/>
    <row r="746" ht="12.5" hidden="1" x14ac:dyDescent="0.25"/>
    <row r="747" ht="12.5" hidden="1" x14ac:dyDescent="0.25"/>
    <row r="748" ht="12.5" hidden="1" x14ac:dyDescent="0.25"/>
    <row r="749" ht="12.5" hidden="1" x14ac:dyDescent="0.25"/>
    <row r="750" ht="12.5" hidden="1" x14ac:dyDescent="0.25"/>
    <row r="751" ht="12.5" hidden="1" x14ac:dyDescent="0.25"/>
    <row r="752" ht="12.5" hidden="1" x14ac:dyDescent="0.25"/>
    <row r="753" ht="12.5" hidden="1" x14ac:dyDescent="0.25"/>
    <row r="754" ht="12.5" hidden="1" x14ac:dyDescent="0.25"/>
    <row r="755" ht="12.5" hidden="1" x14ac:dyDescent="0.25"/>
    <row r="756" ht="12.5" hidden="1" x14ac:dyDescent="0.25"/>
    <row r="757" ht="12.5" hidden="1" x14ac:dyDescent="0.25"/>
    <row r="758" ht="12.5" hidden="1" x14ac:dyDescent="0.25"/>
    <row r="759" ht="12.5" hidden="1" x14ac:dyDescent="0.25"/>
    <row r="760" ht="12.5" hidden="1" x14ac:dyDescent="0.25"/>
    <row r="761" ht="12.5" hidden="1" x14ac:dyDescent="0.25"/>
    <row r="762" ht="12.5" hidden="1" x14ac:dyDescent="0.25"/>
    <row r="763" ht="12.5" hidden="1" x14ac:dyDescent="0.25"/>
    <row r="764" ht="12.5" hidden="1" x14ac:dyDescent="0.25"/>
    <row r="765" ht="12.5" hidden="1" x14ac:dyDescent="0.25"/>
    <row r="766" ht="12.5" hidden="1" x14ac:dyDescent="0.25"/>
    <row r="767" ht="12.5" hidden="1" x14ac:dyDescent="0.25"/>
    <row r="768" ht="12.5" hidden="1" x14ac:dyDescent="0.25"/>
    <row r="769" ht="12.5" hidden="1" x14ac:dyDescent="0.25"/>
    <row r="770" ht="12.5" hidden="1" x14ac:dyDescent="0.25"/>
    <row r="771" ht="12.5" hidden="1" x14ac:dyDescent="0.25"/>
    <row r="772" ht="12.5" hidden="1" x14ac:dyDescent="0.25"/>
    <row r="773" ht="12.5" hidden="1" x14ac:dyDescent="0.25"/>
    <row r="774" ht="12.5" hidden="1" x14ac:dyDescent="0.25"/>
    <row r="775" ht="12.5" hidden="1" x14ac:dyDescent="0.25"/>
    <row r="776" ht="12.5" hidden="1" x14ac:dyDescent="0.25"/>
    <row r="777" ht="12.5" hidden="1" x14ac:dyDescent="0.25"/>
    <row r="778" ht="12.5" hidden="1" x14ac:dyDescent="0.25"/>
    <row r="779" ht="12.5" hidden="1" x14ac:dyDescent="0.25"/>
    <row r="780" ht="12.5" hidden="1" x14ac:dyDescent="0.25"/>
    <row r="781" ht="12.5" hidden="1" x14ac:dyDescent="0.25"/>
    <row r="782" ht="12.5" hidden="1" x14ac:dyDescent="0.25"/>
    <row r="783" ht="12.5" hidden="1" x14ac:dyDescent="0.25"/>
    <row r="784" ht="12.5" hidden="1" x14ac:dyDescent="0.25"/>
    <row r="785" ht="12.5" hidden="1" x14ac:dyDescent="0.25"/>
    <row r="786" ht="12.5" hidden="1" x14ac:dyDescent="0.25"/>
    <row r="787" ht="12.5" hidden="1" x14ac:dyDescent="0.25"/>
    <row r="788" ht="12.5" hidden="1" x14ac:dyDescent="0.25"/>
    <row r="789" ht="12.5" hidden="1" x14ac:dyDescent="0.25"/>
    <row r="790" ht="12.5" hidden="1" x14ac:dyDescent="0.25"/>
    <row r="791" ht="12.5" hidden="1" x14ac:dyDescent="0.25"/>
    <row r="792" ht="12.5" hidden="1" x14ac:dyDescent="0.25"/>
    <row r="793" ht="12.5" hidden="1" x14ac:dyDescent="0.25"/>
    <row r="794" ht="12.5" hidden="1" x14ac:dyDescent="0.25"/>
    <row r="795" ht="12.5" hidden="1" x14ac:dyDescent="0.25"/>
    <row r="796" ht="12.5" hidden="1" x14ac:dyDescent="0.25"/>
    <row r="797" ht="12.5" hidden="1" x14ac:dyDescent="0.25"/>
    <row r="798" ht="12.5" hidden="1" x14ac:dyDescent="0.25"/>
    <row r="799" ht="12.5" hidden="1" x14ac:dyDescent="0.25"/>
    <row r="800" ht="12.5" hidden="1" x14ac:dyDescent="0.25"/>
    <row r="801" ht="12.5" hidden="1" x14ac:dyDescent="0.25"/>
    <row r="802" ht="12.5" hidden="1" x14ac:dyDescent="0.25"/>
    <row r="803" ht="12.5" hidden="1" x14ac:dyDescent="0.25"/>
    <row r="804" ht="12.5" hidden="1" x14ac:dyDescent="0.25"/>
    <row r="805" ht="12.5" hidden="1" x14ac:dyDescent="0.25"/>
    <row r="806" ht="12.5" hidden="1" x14ac:dyDescent="0.25"/>
    <row r="807" ht="12.5" hidden="1" x14ac:dyDescent="0.25"/>
    <row r="808" ht="12.5" hidden="1" x14ac:dyDescent="0.25"/>
    <row r="809" ht="12.5" hidden="1" x14ac:dyDescent="0.25"/>
    <row r="810" ht="12.5" hidden="1" x14ac:dyDescent="0.25"/>
    <row r="811" ht="12.5" hidden="1" x14ac:dyDescent="0.25"/>
    <row r="812" ht="12.5" hidden="1" x14ac:dyDescent="0.25"/>
    <row r="813" ht="12.5" hidden="1" x14ac:dyDescent="0.25"/>
    <row r="814" ht="12.5" hidden="1" x14ac:dyDescent="0.25"/>
    <row r="815" ht="12.5" hidden="1" x14ac:dyDescent="0.25"/>
    <row r="816" ht="12.5" hidden="1" x14ac:dyDescent="0.25"/>
    <row r="817" ht="12.5" hidden="1" x14ac:dyDescent="0.25"/>
    <row r="818" ht="12.5" hidden="1" x14ac:dyDescent="0.25"/>
    <row r="819" ht="12.5" hidden="1" x14ac:dyDescent="0.25"/>
    <row r="820" ht="12.5" hidden="1" x14ac:dyDescent="0.25"/>
    <row r="821" ht="12.5" hidden="1" x14ac:dyDescent="0.25"/>
    <row r="822" ht="12.5" hidden="1" x14ac:dyDescent="0.25"/>
    <row r="823" ht="12.5" hidden="1" x14ac:dyDescent="0.25"/>
    <row r="824" ht="12.5" hidden="1" x14ac:dyDescent="0.25"/>
    <row r="825" ht="12.5" hidden="1" x14ac:dyDescent="0.25"/>
    <row r="826" ht="12.5" hidden="1" x14ac:dyDescent="0.25"/>
    <row r="827" ht="12.5" hidden="1" x14ac:dyDescent="0.25"/>
    <row r="828" ht="12.5" hidden="1" x14ac:dyDescent="0.25"/>
    <row r="829" ht="12.5" hidden="1" x14ac:dyDescent="0.25"/>
    <row r="830" ht="12.5" hidden="1" x14ac:dyDescent="0.25"/>
    <row r="831" ht="12.5" hidden="1" x14ac:dyDescent="0.25"/>
    <row r="832" ht="12.5" hidden="1" x14ac:dyDescent="0.25"/>
    <row r="833" ht="12.5" hidden="1" x14ac:dyDescent="0.25"/>
    <row r="834" ht="12.5" hidden="1" x14ac:dyDescent="0.25"/>
    <row r="835" ht="12.5" hidden="1" x14ac:dyDescent="0.25"/>
    <row r="836" ht="12.5" hidden="1" x14ac:dyDescent="0.25"/>
    <row r="837" ht="12.5" hidden="1" x14ac:dyDescent="0.25"/>
    <row r="838" ht="12.5" hidden="1" x14ac:dyDescent="0.25"/>
    <row r="839" ht="12.5" hidden="1" x14ac:dyDescent="0.25"/>
    <row r="840" ht="12.5" hidden="1" x14ac:dyDescent="0.25"/>
    <row r="841" ht="12.5" hidden="1" x14ac:dyDescent="0.25"/>
    <row r="842" ht="12.5" hidden="1" x14ac:dyDescent="0.25"/>
    <row r="843" ht="12.5" hidden="1" x14ac:dyDescent="0.25"/>
    <row r="844" ht="12.5" hidden="1" x14ac:dyDescent="0.25"/>
    <row r="845" ht="12.5" hidden="1" x14ac:dyDescent="0.25"/>
    <row r="846" ht="12.5" hidden="1" x14ac:dyDescent="0.25"/>
    <row r="847" ht="12.5" hidden="1" x14ac:dyDescent="0.25"/>
    <row r="848" ht="12.5" hidden="1" x14ac:dyDescent="0.25"/>
    <row r="849" ht="12.5" hidden="1" x14ac:dyDescent="0.25"/>
    <row r="850" ht="12.5" hidden="1" x14ac:dyDescent="0.25"/>
    <row r="851" ht="12.5" hidden="1" x14ac:dyDescent="0.25"/>
    <row r="852" ht="12.5" hidden="1" x14ac:dyDescent="0.25"/>
    <row r="853" ht="12.5" hidden="1" x14ac:dyDescent="0.25"/>
    <row r="854" ht="12.5" hidden="1" x14ac:dyDescent="0.25"/>
    <row r="855" ht="12.5" hidden="1" x14ac:dyDescent="0.25"/>
    <row r="856" ht="12.5" hidden="1" x14ac:dyDescent="0.25"/>
    <row r="857" ht="12.5" hidden="1" x14ac:dyDescent="0.25"/>
    <row r="858" ht="12.5" hidden="1" x14ac:dyDescent="0.25"/>
    <row r="859" ht="12.5" hidden="1" x14ac:dyDescent="0.25"/>
    <row r="860" ht="12.5" hidden="1" x14ac:dyDescent="0.25"/>
    <row r="861" ht="12.5" hidden="1" x14ac:dyDescent="0.25"/>
    <row r="862" ht="12.5" hidden="1" x14ac:dyDescent="0.25"/>
    <row r="863" ht="12.5" hidden="1" x14ac:dyDescent="0.25"/>
    <row r="864" ht="12.5" hidden="1" x14ac:dyDescent="0.25"/>
    <row r="865" ht="12.5" hidden="1" x14ac:dyDescent="0.25"/>
    <row r="866" ht="12.5" hidden="1" x14ac:dyDescent="0.25"/>
    <row r="867" ht="12.5" hidden="1" x14ac:dyDescent="0.25"/>
    <row r="868" ht="12.5" hidden="1" x14ac:dyDescent="0.25"/>
    <row r="869" ht="12.5" hidden="1" x14ac:dyDescent="0.25"/>
    <row r="870" ht="12.5" hidden="1" x14ac:dyDescent="0.25"/>
    <row r="871" ht="12.5" hidden="1" x14ac:dyDescent="0.25"/>
    <row r="872" ht="12.5" hidden="1" x14ac:dyDescent="0.25"/>
    <row r="873" ht="12.5" hidden="1" x14ac:dyDescent="0.25"/>
    <row r="874" ht="12.5" hidden="1" x14ac:dyDescent="0.25"/>
    <row r="875" ht="12.5" hidden="1" x14ac:dyDescent="0.25"/>
    <row r="876" ht="12.5" hidden="1" x14ac:dyDescent="0.25"/>
    <row r="877" ht="12.5" hidden="1" x14ac:dyDescent="0.25"/>
    <row r="878" ht="12.5" hidden="1" x14ac:dyDescent="0.25"/>
    <row r="879" ht="12.5" hidden="1" x14ac:dyDescent="0.25"/>
    <row r="880" ht="12.5" hidden="1" x14ac:dyDescent="0.25"/>
    <row r="881" ht="12.5" hidden="1" x14ac:dyDescent="0.25"/>
    <row r="882" ht="12.5" hidden="1" x14ac:dyDescent="0.25"/>
    <row r="883" ht="12.5" hidden="1" x14ac:dyDescent="0.25"/>
    <row r="884" ht="12.5" hidden="1" x14ac:dyDescent="0.25"/>
    <row r="885" ht="12.5" hidden="1" x14ac:dyDescent="0.25"/>
    <row r="886" ht="12.5" hidden="1" x14ac:dyDescent="0.25"/>
    <row r="887" ht="12.5" hidden="1" x14ac:dyDescent="0.25"/>
    <row r="888" ht="12.5" hidden="1" x14ac:dyDescent="0.25"/>
    <row r="889" ht="12.5" hidden="1" x14ac:dyDescent="0.25"/>
    <row r="890" ht="12.5" hidden="1" x14ac:dyDescent="0.25"/>
    <row r="891" ht="12.5" hidden="1" x14ac:dyDescent="0.25"/>
    <row r="892" ht="12.5" hidden="1" x14ac:dyDescent="0.25"/>
    <row r="893" ht="12.5" hidden="1" x14ac:dyDescent="0.25"/>
    <row r="894" ht="12.5" hidden="1" x14ac:dyDescent="0.25"/>
    <row r="895" ht="12.5" hidden="1" x14ac:dyDescent="0.25"/>
    <row r="896" ht="12.5" hidden="1" x14ac:dyDescent="0.25"/>
    <row r="897" ht="12.5" hidden="1" x14ac:dyDescent="0.25"/>
    <row r="898" ht="12.5" hidden="1" x14ac:dyDescent="0.25"/>
    <row r="899" ht="12.5" hidden="1" x14ac:dyDescent="0.25"/>
    <row r="900" ht="12.5" hidden="1" x14ac:dyDescent="0.25"/>
    <row r="901" ht="12.5" hidden="1" x14ac:dyDescent="0.25"/>
    <row r="902" ht="12.5" hidden="1" x14ac:dyDescent="0.25"/>
    <row r="903" ht="12.5" hidden="1" x14ac:dyDescent="0.25"/>
    <row r="904" ht="12.5" hidden="1" x14ac:dyDescent="0.25"/>
    <row r="905" ht="12.5" hidden="1" x14ac:dyDescent="0.25"/>
    <row r="906" ht="12.5" hidden="1" x14ac:dyDescent="0.25"/>
    <row r="907" ht="12.5" hidden="1" x14ac:dyDescent="0.25"/>
    <row r="908" ht="12.5" hidden="1" x14ac:dyDescent="0.25"/>
    <row r="909" ht="12.5" hidden="1" x14ac:dyDescent="0.25"/>
    <row r="910" ht="12.5" hidden="1" x14ac:dyDescent="0.25"/>
    <row r="911" ht="12.5" hidden="1" x14ac:dyDescent="0.25"/>
    <row r="912" ht="12.5" hidden="1" x14ac:dyDescent="0.25"/>
    <row r="913" ht="12.5" hidden="1" x14ac:dyDescent="0.25"/>
    <row r="914" ht="12.5" hidden="1" x14ac:dyDescent="0.25"/>
    <row r="915" ht="12.5" hidden="1" x14ac:dyDescent="0.25"/>
    <row r="916" ht="12.5" hidden="1" x14ac:dyDescent="0.25"/>
    <row r="917" ht="12.5" hidden="1" x14ac:dyDescent="0.25"/>
    <row r="918" ht="12.5" hidden="1" x14ac:dyDescent="0.25"/>
    <row r="919" ht="12.5" hidden="1" x14ac:dyDescent="0.25"/>
    <row r="920" ht="12.5" hidden="1" x14ac:dyDescent="0.25"/>
    <row r="921" ht="12.5" hidden="1" x14ac:dyDescent="0.25"/>
    <row r="922" ht="12.5" hidden="1" x14ac:dyDescent="0.25"/>
    <row r="923" ht="12.5" hidden="1" x14ac:dyDescent="0.25"/>
    <row r="924" ht="12.5" hidden="1" x14ac:dyDescent="0.25"/>
    <row r="925" ht="12.5" hidden="1" x14ac:dyDescent="0.25"/>
    <row r="926" ht="12.5" hidden="1" x14ac:dyDescent="0.25"/>
    <row r="927" ht="12.5" hidden="1" x14ac:dyDescent="0.25"/>
    <row r="928" ht="12.5" hidden="1" x14ac:dyDescent="0.25"/>
    <row r="929" ht="12.5" hidden="1" x14ac:dyDescent="0.25"/>
    <row r="930" ht="12.5" hidden="1" x14ac:dyDescent="0.25"/>
    <row r="931" ht="12.5" hidden="1" x14ac:dyDescent="0.25"/>
    <row r="932" ht="12.5" hidden="1" x14ac:dyDescent="0.25"/>
    <row r="933" ht="12.5" hidden="1" x14ac:dyDescent="0.25"/>
    <row r="934" ht="12.5" hidden="1" x14ac:dyDescent="0.25"/>
    <row r="935" ht="12.5" hidden="1" x14ac:dyDescent="0.25"/>
    <row r="936" ht="12.5" hidden="1" x14ac:dyDescent="0.25"/>
    <row r="937" ht="12.5" hidden="1" x14ac:dyDescent="0.25"/>
    <row r="938" ht="12.5" hidden="1" x14ac:dyDescent="0.25"/>
    <row r="939" ht="12.5" hidden="1" x14ac:dyDescent="0.25"/>
    <row r="940" ht="12.5" hidden="1" x14ac:dyDescent="0.25"/>
    <row r="941" ht="12.5" hidden="1" x14ac:dyDescent="0.25"/>
    <row r="942" ht="12.5" hidden="1" x14ac:dyDescent="0.25"/>
    <row r="943" ht="12.5" hidden="1" x14ac:dyDescent="0.25"/>
    <row r="944" ht="12.5" hidden="1" x14ac:dyDescent="0.25"/>
    <row r="945" ht="12.5" hidden="1" x14ac:dyDescent="0.25"/>
    <row r="946" ht="12.5" hidden="1" x14ac:dyDescent="0.25"/>
    <row r="947" ht="12.5" hidden="1" x14ac:dyDescent="0.25"/>
    <row r="948" ht="12.5" hidden="1" x14ac:dyDescent="0.25"/>
    <row r="949" ht="12.5" hidden="1" x14ac:dyDescent="0.25"/>
    <row r="950" ht="12.5" hidden="1" x14ac:dyDescent="0.25"/>
    <row r="951" ht="12.5" hidden="1" x14ac:dyDescent="0.25"/>
    <row r="952" ht="12.5" hidden="1" x14ac:dyDescent="0.25"/>
    <row r="953" ht="12.5" hidden="1" x14ac:dyDescent="0.25"/>
    <row r="954" ht="12.5" hidden="1" x14ac:dyDescent="0.25"/>
    <row r="955" ht="12.5" hidden="1" x14ac:dyDescent="0.25"/>
    <row r="956" ht="12.5" hidden="1" x14ac:dyDescent="0.25"/>
    <row r="957" ht="12.5" hidden="1" x14ac:dyDescent="0.25"/>
    <row r="958" ht="12.5" hidden="1" x14ac:dyDescent="0.25"/>
    <row r="959" ht="12.5" hidden="1" x14ac:dyDescent="0.25"/>
    <row r="960" ht="12.5" hidden="1" x14ac:dyDescent="0.25"/>
    <row r="961" ht="12.5" hidden="1" x14ac:dyDescent="0.25"/>
    <row r="962" ht="12.5" hidden="1" x14ac:dyDescent="0.25"/>
    <row r="963" ht="12.5" hidden="1" x14ac:dyDescent="0.25"/>
    <row r="964" ht="12.5" hidden="1" x14ac:dyDescent="0.25"/>
    <row r="965" ht="12.5" hidden="1" x14ac:dyDescent="0.25"/>
    <row r="966" ht="12.5" hidden="1" x14ac:dyDescent="0.25"/>
    <row r="967" ht="12.5" hidden="1" x14ac:dyDescent="0.25"/>
    <row r="968" ht="12.5" hidden="1" x14ac:dyDescent="0.25"/>
    <row r="969" ht="12.5" hidden="1" x14ac:dyDescent="0.25"/>
    <row r="970" ht="12.5" hidden="1" x14ac:dyDescent="0.25"/>
    <row r="971" ht="12.5" hidden="1" x14ac:dyDescent="0.25"/>
    <row r="972" ht="12.5" hidden="1" x14ac:dyDescent="0.25"/>
    <row r="973" ht="12.5" hidden="1" x14ac:dyDescent="0.25"/>
    <row r="974" ht="12.5" hidden="1" x14ac:dyDescent="0.25"/>
    <row r="975" ht="12.5" hidden="1" x14ac:dyDescent="0.25"/>
    <row r="976" ht="12.5" hidden="1" x14ac:dyDescent="0.25"/>
    <row r="977" ht="12.5" hidden="1" x14ac:dyDescent="0.25"/>
    <row r="978" ht="12.5" hidden="1" x14ac:dyDescent="0.25"/>
    <row r="979" ht="12.5" hidden="1" x14ac:dyDescent="0.25"/>
    <row r="980" ht="12.5" hidden="1" x14ac:dyDescent="0.25"/>
    <row r="981" ht="12.5" hidden="1" x14ac:dyDescent="0.25"/>
    <row r="982" ht="12.5" hidden="1" x14ac:dyDescent="0.25"/>
    <row r="983" ht="12.5" hidden="1" x14ac:dyDescent="0.25"/>
    <row r="984" ht="12.5" hidden="1" x14ac:dyDescent="0.25"/>
    <row r="985" ht="12.5" hidden="1" x14ac:dyDescent="0.25"/>
    <row r="986" ht="12.5" hidden="1" x14ac:dyDescent="0.25"/>
    <row r="987" ht="12.5" hidden="1" x14ac:dyDescent="0.25"/>
    <row r="988" ht="12.5" hidden="1" x14ac:dyDescent="0.25"/>
    <row r="989" ht="12.5" hidden="1" x14ac:dyDescent="0.25"/>
    <row r="990" ht="12.5" hidden="1" x14ac:dyDescent="0.25"/>
    <row r="991" ht="12.5" hidden="1" x14ac:dyDescent="0.25"/>
    <row r="992" ht="12.5" hidden="1" x14ac:dyDescent="0.25"/>
    <row r="993" ht="12.5" hidden="1" x14ac:dyDescent="0.25"/>
    <row r="994" ht="12.5" hidden="1" x14ac:dyDescent="0.25"/>
    <row r="995" ht="12.5" hidden="1" x14ac:dyDescent="0.25"/>
    <row r="996" ht="12.5" hidden="1" x14ac:dyDescent="0.25"/>
    <row r="997" ht="12.5" hidden="1" x14ac:dyDescent="0.25"/>
    <row r="998" ht="12.5" hidden="1" x14ac:dyDescent="0.25"/>
    <row r="999" ht="12.5" hidden="1" x14ac:dyDescent="0.25"/>
    <row r="1000" ht="12.5" hidden="1" x14ac:dyDescent="0.25"/>
  </sheetData>
  <autoFilter ref="A1:BY1000" xr:uid="{00000000-0009-0000-0000-000002000000}"/>
  <pageMargins left="0.511811024" right="0.511811024" top="0.78740157499999996" bottom="0.78740157499999996" header="0.31496062000000002" footer="0.31496062000000002"/>
  <pageSetup paperSize="9" orientation="portrait" verticalDpi="597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B1000"/>
  <sheetViews>
    <sheetView workbookViewId="0"/>
  </sheetViews>
  <sheetFormatPr defaultColWidth="12.6328125" defaultRowHeight="15.75" customHeight="1" x14ac:dyDescent="0.25"/>
  <cols>
    <col min="1" max="1" width="20.453125" customWidth="1"/>
    <col min="4" max="4" width="20.453125" customWidth="1"/>
    <col min="5" max="5" width="39.453125" customWidth="1"/>
    <col min="6" max="6" width="21" customWidth="1"/>
    <col min="7" max="8" width="18.36328125" customWidth="1"/>
  </cols>
  <sheetData>
    <row r="1" spans="1:28" ht="13" x14ac:dyDescent="0.3">
      <c r="A1" s="1" t="str">
        <f ca="1">IFERROR(__xludf.DUMMYFUNCTION("IMPORTRANGE(""1OBBKz_bEVOvdz5TyLw0xDSxVZU2d0t46Uh0PvdTtbM0"",""'OFICIAL Líder e ONG - 2022'!A2:E"")"),"#REF!")</f>
        <v>#REF!</v>
      </c>
      <c r="B1" s="1"/>
      <c r="C1" s="1"/>
      <c r="D1" s="1"/>
      <c r="E1" s="1"/>
      <c r="F1" s="1" t="s">
        <v>382</v>
      </c>
      <c r="G1" s="1" t="s">
        <v>1625</v>
      </c>
      <c r="H1" s="13" t="s">
        <v>1626</v>
      </c>
      <c r="I1" s="1" t="s">
        <v>1627</v>
      </c>
      <c r="J1" s="1" t="s">
        <v>1628</v>
      </c>
      <c r="K1" s="1" t="s">
        <v>1629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5.75" customHeight="1" x14ac:dyDescent="0.25">
      <c r="F2" s="2" t="s">
        <v>1632</v>
      </c>
      <c r="G2" s="2" t="s">
        <v>1632</v>
      </c>
      <c r="H2" s="2" t="b">
        <f t="shared" ref="H2:H65" si="0">G2=B2</f>
        <v>1</v>
      </c>
      <c r="I2" s="14" t="str">
        <f>HYPERLINK("https://gerandofalcoes.my.salesforce.com/0034P000045kxjhQAA", "0034P000045kxjhQAA")</f>
        <v>0034P000045kxjhQAA</v>
      </c>
      <c r="J2" s="2" t="s">
        <v>1630</v>
      </c>
      <c r="K2" s="3" t="s">
        <v>1631</v>
      </c>
    </row>
    <row r="3" spans="1:28" ht="15.75" customHeight="1" x14ac:dyDescent="0.25">
      <c r="F3" s="2" t="s">
        <v>1632</v>
      </c>
      <c r="G3" s="2" t="s">
        <v>1632</v>
      </c>
      <c r="H3" s="2" t="b">
        <f t="shared" si="0"/>
        <v>1</v>
      </c>
      <c r="I3" s="14" t="str">
        <f>HYPERLINK("https://gerandofalcoes.my.salesforce.com/0034X0000380O4IQAU", "0034X0000380O4IQAU")</f>
        <v>0034X0000380O4IQAU</v>
      </c>
      <c r="J3" s="2" t="s">
        <v>1630</v>
      </c>
      <c r="K3" s="3" t="s">
        <v>1631</v>
      </c>
    </row>
    <row r="4" spans="1:28" ht="15.75" customHeight="1" x14ac:dyDescent="0.25">
      <c r="F4" s="2" t="s">
        <v>1632</v>
      </c>
      <c r="G4" s="2" t="s">
        <v>1632</v>
      </c>
      <c r="H4" s="2" t="b">
        <f t="shared" si="0"/>
        <v>1</v>
      </c>
      <c r="I4" s="14" t="str">
        <f>HYPERLINK("https://gerandofalcoes.my.salesforce.com/0034P000045kxkqQAA", "0034P000045kxkqQAA")</f>
        <v>0034P000045kxkqQAA</v>
      </c>
      <c r="J4" s="2" t="s">
        <v>1630</v>
      </c>
      <c r="K4" s="3" t="s">
        <v>1631</v>
      </c>
    </row>
    <row r="5" spans="1:28" ht="15.75" customHeight="1" x14ac:dyDescent="0.25">
      <c r="F5" s="2" t="s">
        <v>1632</v>
      </c>
      <c r="G5" s="2" t="s">
        <v>1632</v>
      </c>
      <c r="H5" s="2" t="b">
        <f t="shared" si="0"/>
        <v>1</v>
      </c>
      <c r="I5" s="14" t="str">
        <f>HYPERLINK("https://gerandofalcoes.my.salesforce.com/0034P00003maBV0QAM", "0034P00003maBV0QAM")</f>
        <v>0034P00003maBV0QAM</v>
      </c>
      <c r="J5" s="2" t="s">
        <v>1630</v>
      </c>
      <c r="K5" s="3" t="s">
        <v>1631</v>
      </c>
    </row>
    <row r="6" spans="1:28" ht="15.75" customHeight="1" x14ac:dyDescent="0.25">
      <c r="F6" s="2" t="s">
        <v>1632</v>
      </c>
      <c r="G6" s="2" t="s">
        <v>1632</v>
      </c>
      <c r="H6" s="2" t="b">
        <f t="shared" si="0"/>
        <v>1</v>
      </c>
      <c r="I6" s="14" t="str">
        <f>HYPERLINK("https://gerandofalcoes.my.salesforce.com/0034X0000380O15QAE", "0034X0000380O15QAE")</f>
        <v>0034X0000380O15QAE</v>
      </c>
      <c r="J6" s="2" t="s">
        <v>1630</v>
      </c>
      <c r="K6" s="3" t="s">
        <v>1631</v>
      </c>
    </row>
    <row r="7" spans="1:28" ht="15.75" customHeight="1" x14ac:dyDescent="0.25">
      <c r="F7" s="2" t="s">
        <v>1632</v>
      </c>
      <c r="G7" s="2" t="s">
        <v>1632</v>
      </c>
      <c r="H7" s="2" t="b">
        <f t="shared" si="0"/>
        <v>1</v>
      </c>
      <c r="I7" s="14" t="str">
        <f>HYPERLINK("https://gerandofalcoes.my.salesforce.com/0034P000045kxj0QAA", "0034P000045kxj0QAA")</f>
        <v>0034P000045kxj0QAA</v>
      </c>
      <c r="J7" s="2" t="s">
        <v>1630</v>
      </c>
      <c r="K7" s="3" t="s">
        <v>1631</v>
      </c>
    </row>
    <row r="8" spans="1:28" ht="15.75" customHeight="1" x14ac:dyDescent="0.25">
      <c r="F8" s="2" t="s">
        <v>1632</v>
      </c>
      <c r="G8" s="2" t="s">
        <v>1632</v>
      </c>
      <c r="H8" s="2" t="b">
        <f t="shared" si="0"/>
        <v>1</v>
      </c>
      <c r="I8" s="14" t="str">
        <f>HYPERLINK("https://gerandofalcoes.my.salesforce.com/0034X0000380O3NQAU", "0034X0000380O3NQAU")</f>
        <v>0034X0000380O3NQAU</v>
      </c>
      <c r="J8" s="2" t="s">
        <v>1630</v>
      </c>
      <c r="K8" s="3" t="s">
        <v>1631</v>
      </c>
    </row>
    <row r="9" spans="1:28" ht="15.75" customHeight="1" x14ac:dyDescent="0.25">
      <c r="F9" s="2" t="s">
        <v>1632</v>
      </c>
      <c r="G9" s="2" t="s">
        <v>1632</v>
      </c>
      <c r="H9" s="2" t="b">
        <f t="shared" si="0"/>
        <v>1</v>
      </c>
      <c r="I9" s="14" t="str">
        <f>HYPERLINK("https://gerandofalcoes.my.salesforce.com/0034X0000380O6bQAE", "0034X0000380O6bQAE")</f>
        <v>0034X0000380O6bQAE</v>
      </c>
      <c r="J9" s="2" t="s">
        <v>1630</v>
      </c>
      <c r="K9" s="3" t="s">
        <v>1631</v>
      </c>
    </row>
    <row r="10" spans="1:28" ht="15.75" customHeight="1" x14ac:dyDescent="0.25">
      <c r="F10" s="2" t="s">
        <v>1632</v>
      </c>
      <c r="G10" s="2" t="s">
        <v>1632</v>
      </c>
      <c r="H10" s="2" t="b">
        <f t="shared" si="0"/>
        <v>1</v>
      </c>
      <c r="I10" s="14" t="str">
        <f>HYPERLINK("https://gerandofalcoes.my.salesforce.com/0034P000045kxiSQAQ", "0034P000045kxiSQAQ")</f>
        <v>0034P000045kxiSQAQ</v>
      </c>
      <c r="J10" s="2" t="s">
        <v>1630</v>
      </c>
      <c r="K10" s="3" t="s">
        <v>1631</v>
      </c>
    </row>
    <row r="11" spans="1:28" ht="15.75" customHeight="1" x14ac:dyDescent="0.25">
      <c r="F11" s="2" t="s">
        <v>1632</v>
      </c>
      <c r="G11" s="2" t="s">
        <v>1632</v>
      </c>
      <c r="H11" s="2" t="b">
        <f t="shared" si="0"/>
        <v>1</v>
      </c>
      <c r="I11" s="14" t="str">
        <f>HYPERLINK("https://gerandofalcoes.my.salesforce.com/0034X0000380O0aQAE", "0034X0000380O0aQAE")</f>
        <v>0034X0000380O0aQAE</v>
      </c>
      <c r="J11" s="2" t="s">
        <v>1630</v>
      </c>
      <c r="K11" s="3" t="s">
        <v>1631</v>
      </c>
    </row>
    <row r="12" spans="1:28" ht="15.75" customHeight="1" x14ac:dyDescent="0.25">
      <c r="F12" s="2" t="s">
        <v>1632</v>
      </c>
      <c r="G12" s="2" t="s">
        <v>1632</v>
      </c>
      <c r="H12" s="2" t="b">
        <f t="shared" si="0"/>
        <v>1</v>
      </c>
      <c r="I12" s="14" t="str">
        <f>HYPERLINK("https://gerandofalcoes.my.salesforce.com/0034P000045kxkpQAA", "0034P000045kxkpQAA")</f>
        <v>0034P000045kxkpQAA</v>
      </c>
      <c r="J12" s="2" t="s">
        <v>1630</v>
      </c>
      <c r="K12" s="3" t="s">
        <v>1631</v>
      </c>
    </row>
    <row r="13" spans="1:28" ht="15.75" customHeight="1" x14ac:dyDescent="0.25">
      <c r="F13" s="2" t="s">
        <v>1632</v>
      </c>
      <c r="G13" s="2" t="s">
        <v>1632</v>
      </c>
      <c r="H13" s="2" t="b">
        <f t="shared" si="0"/>
        <v>1</v>
      </c>
      <c r="I13" s="14" t="str">
        <f>HYPERLINK("https://gerandofalcoes.my.salesforce.com/0034X0000380O5uQAE", "0034X0000380O5uQAE")</f>
        <v>0034X0000380O5uQAE</v>
      </c>
      <c r="J13" s="2" t="s">
        <v>1630</v>
      </c>
      <c r="K13" s="3" t="s">
        <v>1631</v>
      </c>
    </row>
    <row r="14" spans="1:28" ht="15.75" customHeight="1" x14ac:dyDescent="0.25">
      <c r="F14" s="2" t="s">
        <v>1632</v>
      </c>
      <c r="G14" s="2" t="s">
        <v>1632</v>
      </c>
      <c r="H14" s="2" t="b">
        <f t="shared" si="0"/>
        <v>1</v>
      </c>
      <c r="I14" s="14" t="str">
        <f>HYPERLINK("https://gerandofalcoes.my.salesforce.com/0034P000045kxiEQAQ", "0034P000045kxiEQAQ")</f>
        <v>0034P000045kxiEQAQ</v>
      </c>
      <c r="J14" s="2" t="s">
        <v>1630</v>
      </c>
      <c r="K14" s="3" t="s">
        <v>1631</v>
      </c>
    </row>
    <row r="15" spans="1:28" ht="15.75" customHeight="1" x14ac:dyDescent="0.25">
      <c r="F15" s="2" t="s">
        <v>1632</v>
      </c>
      <c r="G15" s="2" t="s">
        <v>1632</v>
      </c>
      <c r="H15" s="2" t="b">
        <f t="shared" si="0"/>
        <v>1</v>
      </c>
      <c r="I15" s="14" t="str">
        <f>HYPERLINK("https://gerandofalcoes.my.salesforce.com/0034P000045kxkYQAQ", "0034P000045kxkYQAQ")</f>
        <v>0034P000045kxkYQAQ</v>
      </c>
      <c r="J15" s="2" t="s">
        <v>1630</v>
      </c>
      <c r="K15" s="3" t="s">
        <v>1631</v>
      </c>
    </row>
    <row r="16" spans="1:28" ht="15.75" customHeight="1" x14ac:dyDescent="0.25">
      <c r="F16" s="2" t="s">
        <v>1632</v>
      </c>
      <c r="G16" s="2" t="s">
        <v>1632</v>
      </c>
      <c r="H16" s="2" t="b">
        <f t="shared" si="0"/>
        <v>1</v>
      </c>
      <c r="I16" s="14" t="str">
        <f>HYPERLINK("https://gerandofalcoes.my.salesforce.com/0034X0000315PR1QAM", "0034X0000315PR1QAM")</f>
        <v>0034X0000315PR1QAM</v>
      </c>
      <c r="J16" s="2" t="s">
        <v>1630</v>
      </c>
      <c r="K16" s="3" t="s">
        <v>1631</v>
      </c>
    </row>
    <row r="17" spans="6:11" ht="15.75" customHeight="1" x14ac:dyDescent="0.25">
      <c r="F17" s="2" t="s">
        <v>1632</v>
      </c>
      <c r="G17" s="2" t="s">
        <v>1632</v>
      </c>
      <c r="H17" s="2" t="b">
        <f t="shared" si="0"/>
        <v>1</v>
      </c>
      <c r="I17" s="14" t="str">
        <f>HYPERLINK("https://gerandofalcoes.my.salesforce.com/0034P000045kxiYQAQ", "0034P000045kxiYQAQ")</f>
        <v>0034P000045kxiYQAQ</v>
      </c>
      <c r="J17" s="2" t="s">
        <v>1630</v>
      </c>
      <c r="K17" s="3" t="s">
        <v>1631</v>
      </c>
    </row>
    <row r="18" spans="6:11" ht="15.75" customHeight="1" x14ac:dyDescent="0.25">
      <c r="F18" s="2" t="s">
        <v>1632</v>
      </c>
      <c r="G18" s="2" t="s">
        <v>1632</v>
      </c>
      <c r="H18" s="2" t="b">
        <f t="shared" si="0"/>
        <v>1</v>
      </c>
      <c r="I18" s="14" t="str">
        <f>HYPERLINK("https://gerandofalcoes.my.salesforce.com/0034P000045kxilQAA", "0034P000045kxilQAA")</f>
        <v>0034P000045kxilQAA</v>
      </c>
      <c r="J18" s="2" t="s">
        <v>1630</v>
      </c>
      <c r="K18" s="3" t="s">
        <v>1631</v>
      </c>
    </row>
    <row r="19" spans="6:11" ht="15.75" customHeight="1" x14ac:dyDescent="0.25">
      <c r="F19" s="2" t="s">
        <v>1632</v>
      </c>
      <c r="G19" s="2" t="s">
        <v>1632</v>
      </c>
      <c r="H19" s="2" t="b">
        <f t="shared" si="0"/>
        <v>1</v>
      </c>
      <c r="I19" s="14" t="str">
        <f>HYPERLINK("https://gerandofalcoes.my.salesforce.com/0034X0000380O5pQAE", "0034X0000380O5pQAE")</f>
        <v>0034X0000380O5pQAE</v>
      </c>
      <c r="J19" s="2" t="s">
        <v>1630</v>
      </c>
      <c r="K19" s="3" t="s">
        <v>1631</v>
      </c>
    </row>
    <row r="20" spans="6:11" ht="15.75" customHeight="1" x14ac:dyDescent="0.25">
      <c r="F20" s="2" t="s">
        <v>1632</v>
      </c>
      <c r="G20" s="2" t="s">
        <v>1632</v>
      </c>
      <c r="H20" s="2" t="b">
        <f t="shared" si="0"/>
        <v>1</v>
      </c>
      <c r="I20" s="14" t="str">
        <f>HYPERLINK("https://gerandofalcoes.my.salesforce.com/0034P00003maBVRQA2", "0034P00003maBVRQA2")</f>
        <v>0034P00003maBVRQA2</v>
      </c>
      <c r="J20" s="2" t="s">
        <v>1630</v>
      </c>
      <c r="K20" s="3" t="s">
        <v>1631</v>
      </c>
    </row>
    <row r="21" spans="6:11" ht="15.75" customHeight="1" x14ac:dyDescent="0.25">
      <c r="F21" s="2" t="s">
        <v>1632</v>
      </c>
      <c r="G21" s="2" t="s">
        <v>1632</v>
      </c>
      <c r="H21" s="2" t="b">
        <f t="shared" si="0"/>
        <v>1</v>
      </c>
      <c r="I21" s="14" t="str">
        <f>HYPERLINK("https://gerandofalcoes.my.salesforce.com/0034P000045kxjTQAQ", "0034P000045kxjTQAQ")</f>
        <v>0034P000045kxjTQAQ</v>
      </c>
      <c r="J21" s="2" t="s">
        <v>1630</v>
      </c>
      <c r="K21" s="3" t="s">
        <v>1631</v>
      </c>
    </row>
    <row r="22" spans="6:11" ht="12.5" x14ac:dyDescent="0.25">
      <c r="F22" s="2" t="s">
        <v>1632</v>
      </c>
      <c r="G22" s="2" t="s">
        <v>1632</v>
      </c>
      <c r="H22" s="2" t="b">
        <f t="shared" si="0"/>
        <v>1</v>
      </c>
      <c r="I22" s="14" t="str">
        <f>HYPERLINK("https://gerandofalcoes.my.salesforce.com/0034P000045kxkCQAQ", "0034P000045kxkCQAQ")</f>
        <v>0034P000045kxkCQAQ</v>
      </c>
      <c r="J22" s="2" t="s">
        <v>1630</v>
      </c>
      <c r="K22" s="3" t="s">
        <v>1631</v>
      </c>
    </row>
    <row r="23" spans="6:11" ht="12.5" x14ac:dyDescent="0.25">
      <c r="F23" s="2" t="s">
        <v>1632</v>
      </c>
      <c r="G23" s="2" t="s">
        <v>1632</v>
      </c>
      <c r="H23" s="2" t="b">
        <f t="shared" si="0"/>
        <v>1</v>
      </c>
      <c r="I23" s="14" t="str">
        <f>HYPERLINK("https://gerandofalcoes.my.salesforce.com/0034X0000380O5kQAE", "0034X0000380O5kQAE")</f>
        <v>0034X0000380O5kQAE</v>
      </c>
      <c r="J23" s="2" t="s">
        <v>1630</v>
      </c>
      <c r="K23" s="3" t="s">
        <v>1631</v>
      </c>
    </row>
    <row r="24" spans="6:11" ht="12.5" x14ac:dyDescent="0.25">
      <c r="F24" s="2" t="s">
        <v>1632</v>
      </c>
      <c r="G24" s="2" t="s">
        <v>1632</v>
      </c>
      <c r="H24" s="2" t="b">
        <f t="shared" si="0"/>
        <v>1</v>
      </c>
      <c r="I24" s="14" t="str">
        <f>HYPERLINK("https://gerandofalcoes.my.salesforce.com/0034P000043fOoGQAU", "0034P000043fOoGQAU")</f>
        <v>0034P000043fOoGQAU</v>
      </c>
      <c r="J24" s="2" t="s">
        <v>1630</v>
      </c>
      <c r="K24" s="3" t="s">
        <v>1631</v>
      </c>
    </row>
    <row r="25" spans="6:11" ht="12.5" x14ac:dyDescent="0.25">
      <c r="F25" s="2" t="s">
        <v>1632</v>
      </c>
      <c r="G25" s="2" t="s">
        <v>1632</v>
      </c>
      <c r="H25" s="2" t="b">
        <f t="shared" si="0"/>
        <v>1</v>
      </c>
      <c r="I25" s="14" t="str">
        <f>HYPERLINK("https://gerandofalcoes.my.salesforce.com/0034P000043fOnRQAU", "0034P000043fOnRQAU")</f>
        <v>0034P000043fOnRQAU</v>
      </c>
      <c r="J25" s="2" t="s">
        <v>1630</v>
      </c>
      <c r="K25" s="3" t="s">
        <v>1631</v>
      </c>
    </row>
    <row r="26" spans="6:11" ht="12.5" x14ac:dyDescent="0.25">
      <c r="F26" s="2" t="s">
        <v>1632</v>
      </c>
      <c r="G26" s="2" t="s">
        <v>1632</v>
      </c>
      <c r="H26" s="2" t="b">
        <f t="shared" si="0"/>
        <v>1</v>
      </c>
      <c r="I26" s="14" t="str">
        <f>HYPERLINK("https://gerandofalcoes.my.salesforce.com/0034X0000380O0rQAE", "0034X0000380O0rQAE")</f>
        <v>0034X0000380O0rQAE</v>
      </c>
      <c r="J26" s="2" t="s">
        <v>1630</v>
      </c>
      <c r="K26" s="3" t="s">
        <v>1631</v>
      </c>
    </row>
    <row r="27" spans="6:11" ht="12.5" x14ac:dyDescent="0.25">
      <c r="F27" s="2" t="s">
        <v>1632</v>
      </c>
      <c r="G27" s="2" t="s">
        <v>1632</v>
      </c>
      <c r="H27" s="2" t="b">
        <f t="shared" si="0"/>
        <v>1</v>
      </c>
      <c r="I27" s="14" t="str">
        <f>HYPERLINK("https://gerandofalcoes.my.salesforce.com/0034P000045kxk6QAA", "0034P000045kxk6QAA")</f>
        <v>0034P000045kxk6QAA</v>
      </c>
      <c r="J27" s="2" t="s">
        <v>1630</v>
      </c>
      <c r="K27" s="3" t="s">
        <v>1631</v>
      </c>
    </row>
    <row r="28" spans="6:11" ht="12.5" x14ac:dyDescent="0.25">
      <c r="F28" s="2" t="s">
        <v>1632</v>
      </c>
      <c r="G28" s="2" t="s">
        <v>1632</v>
      </c>
      <c r="H28" s="2" t="b">
        <f t="shared" si="0"/>
        <v>1</v>
      </c>
      <c r="I28" s="14" t="str">
        <f>HYPERLINK("https://gerandofalcoes.my.salesforce.com/0034P000045kxkHQAQ", "0034P000045kxkHQAQ")</f>
        <v>0034P000045kxkHQAQ</v>
      </c>
      <c r="J28" s="2" t="s">
        <v>1630</v>
      </c>
      <c r="K28" s="3" t="s">
        <v>1631</v>
      </c>
    </row>
    <row r="29" spans="6:11" ht="12.5" x14ac:dyDescent="0.25">
      <c r="F29" s="2" t="s">
        <v>1632</v>
      </c>
      <c r="G29" s="2" t="s">
        <v>1632</v>
      </c>
      <c r="H29" s="2" t="b">
        <f t="shared" si="0"/>
        <v>1</v>
      </c>
      <c r="I29" s="14" t="str">
        <f>HYPERLINK("https://gerandofalcoes.my.salesforce.com/0034X0000380O2qQAE", "0034X0000380O2qQAE")</f>
        <v>0034X0000380O2qQAE</v>
      </c>
      <c r="J29" s="2" t="s">
        <v>1630</v>
      </c>
      <c r="K29" s="3" t="s">
        <v>1631</v>
      </c>
    </row>
    <row r="30" spans="6:11" ht="12.5" x14ac:dyDescent="0.25">
      <c r="F30" s="2" t="s">
        <v>1632</v>
      </c>
      <c r="G30" s="2" t="s">
        <v>1632</v>
      </c>
      <c r="H30" s="2" t="b">
        <f t="shared" si="0"/>
        <v>1</v>
      </c>
      <c r="I30" s="14" t="str">
        <f>HYPERLINK("https://gerandofalcoes.my.salesforce.com/0034X0000380O4bQAE", "0034X0000380O4bQAE")</f>
        <v>0034X0000380O4bQAE</v>
      </c>
      <c r="J30" s="2" t="s">
        <v>1630</v>
      </c>
      <c r="K30" s="3" t="s">
        <v>1631</v>
      </c>
    </row>
    <row r="31" spans="6:11" ht="12.5" x14ac:dyDescent="0.25">
      <c r="F31" s="2" t="s">
        <v>1632</v>
      </c>
      <c r="G31" s="2" t="s">
        <v>1632</v>
      </c>
      <c r="H31" s="2" t="b">
        <f t="shared" si="0"/>
        <v>1</v>
      </c>
      <c r="I31" s="14" t="str">
        <f>HYPERLINK("https://gerandofalcoes.my.salesforce.com/0034X0000380O6PQAU", "0034X0000380O6PQAU")</f>
        <v>0034X0000380O6PQAU</v>
      </c>
      <c r="J31" s="2" t="s">
        <v>1630</v>
      </c>
      <c r="K31" s="3" t="s">
        <v>1631</v>
      </c>
    </row>
    <row r="32" spans="6:11" ht="12.5" x14ac:dyDescent="0.25">
      <c r="F32" s="2" t="s">
        <v>1632</v>
      </c>
      <c r="G32" s="2" t="s">
        <v>1632</v>
      </c>
      <c r="H32" s="2" t="b">
        <f t="shared" si="0"/>
        <v>1</v>
      </c>
      <c r="I32" s="14" t="str">
        <f>HYPERLINK("https://gerandofalcoes.my.salesforce.com/0034P00003maBUzQAM", "0034P00003maBUzQAM")</f>
        <v>0034P00003maBUzQAM</v>
      </c>
      <c r="J32" s="2" t="s">
        <v>1630</v>
      </c>
      <c r="K32" s="3" t="s">
        <v>1631</v>
      </c>
    </row>
    <row r="33" spans="6:11" ht="12.5" x14ac:dyDescent="0.25">
      <c r="F33" s="2" t="s">
        <v>1632</v>
      </c>
      <c r="G33" s="2" t="s">
        <v>1632</v>
      </c>
      <c r="H33" s="2" t="b">
        <f t="shared" si="0"/>
        <v>1</v>
      </c>
      <c r="I33" s="14" t="str">
        <f>HYPERLINK("https://gerandofalcoes.my.salesforce.com/0034P00003maBVnQAM", "0034P00003maBVnQAM")</f>
        <v>0034P00003maBVnQAM</v>
      </c>
      <c r="J33" s="2" t="s">
        <v>1630</v>
      </c>
      <c r="K33" s="3" t="s">
        <v>1631</v>
      </c>
    </row>
    <row r="34" spans="6:11" ht="12.5" x14ac:dyDescent="0.25">
      <c r="F34" s="2" t="s">
        <v>1632</v>
      </c>
      <c r="G34" s="2" t="s">
        <v>1632</v>
      </c>
      <c r="H34" s="2" t="b">
        <f t="shared" si="0"/>
        <v>1</v>
      </c>
      <c r="I34" s="14" t="str">
        <f>HYPERLINK("https://gerandofalcoes.my.salesforce.com/0034P000045kxjzQAA", "0034P000045kxjzQAA")</f>
        <v>0034P000045kxjzQAA</v>
      </c>
      <c r="J34" s="2" t="s">
        <v>1630</v>
      </c>
      <c r="K34" s="3" t="s">
        <v>1631</v>
      </c>
    </row>
    <row r="35" spans="6:11" ht="12.5" x14ac:dyDescent="0.25">
      <c r="F35" s="2" t="s">
        <v>1632</v>
      </c>
      <c r="G35" s="2" t="s">
        <v>1632</v>
      </c>
      <c r="H35" s="2" t="b">
        <f t="shared" si="0"/>
        <v>1</v>
      </c>
      <c r="I35" s="14" t="str">
        <f>HYPERLINK("https://gerandofalcoes.my.salesforce.com/0034P000045kxkxQAA", "0034P000045kxkxQAA")</f>
        <v>0034P000045kxkxQAA</v>
      </c>
      <c r="J35" s="2" t="s">
        <v>1630</v>
      </c>
      <c r="K35" s="3" t="s">
        <v>1631</v>
      </c>
    </row>
    <row r="36" spans="6:11" ht="12.5" x14ac:dyDescent="0.25">
      <c r="F36" s="2" t="s">
        <v>1632</v>
      </c>
      <c r="G36" s="2" t="s">
        <v>1632</v>
      </c>
      <c r="H36" s="2" t="b">
        <f t="shared" si="0"/>
        <v>1</v>
      </c>
      <c r="I36" s="14" t="str">
        <f>HYPERLINK("https://gerandofalcoes.my.salesforce.com/0034X0000380O1SQAU", "0034X0000380O1SQAU")</f>
        <v>0034X0000380O1SQAU</v>
      </c>
      <c r="J36" s="2" t="s">
        <v>1630</v>
      </c>
      <c r="K36" s="3" t="s">
        <v>1631</v>
      </c>
    </row>
    <row r="37" spans="6:11" ht="12.5" x14ac:dyDescent="0.25">
      <c r="F37" s="2" t="s">
        <v>1632</v>
      </c>
      <c r="G37" s="2" t="s">
        <v>1632</v>
      </c>
      <c r="H37" s="2" t="b">
        <f t="shared" si="0"/>
        <v>1</v>
      </c>
      <c r="I37" s="14" t="str">
        <f>HYPERLINK("https://gerandofalcoes.my.salesforce.com/0034P000045kxkhQAA", "0034P000045kxkhQAA")</f>
        <v>0034P000045kxkhQAA</v>
      </c>
      <c r="J37" s="2" t="s">
        <v>1630</v>
      </c>
      <c r="K37" s="3" t="s">
        <v>1631</v>
      </c>
    </row>
    <row r="38" spans="6:11" ht="12.5" x14ac:dyDescent="0.25">
      <c r="F38" s="2" t="s">
        <v>1632</v>
      </c>
      <c r="G38" s="2" t="s">
        <v>1632</v>
      </c>
      <c r="H38" s="2" t="b">
        <f t="shared" si="0"/>
        <v>1</v>
      </c>
      <c r="I38" s="14" t="str">
        <f>HYPERLINK("https://gerandofalcoes.my.salesforce.com/0034X0000380O5XQAU", "0034X0000380O5XQAU")</f>
        <v>0034X0000380O5XQAU</v>
      </c>
      <c r="J38" s="2" t="s">
        <v>1630</v>
      </c>
      <c r="K38" s="3" t="s">
        <v>1631</v>
      </c>
    </row>
    <row r="39" spans="6:11" ht="12.5" x14ac:dyDescent="0.25">
      <c r="F39" s="2" t="s">
        <v>1632</v>
      </c>
      <c r="G39" s="2" t="s">
        <v>1632</v>
      </c>
      <c r="H39" s="2" t="b">
        <f t="shared" si="0"/>
        <v>1</v>
      </c>
      <c r="I39" s="14" t="str">
        <f>HYPERLINK("https://gerandofalcoes.my.salesforce.com/0034X0000380O1XQAU", "0034X0000380O1XQAU")</f>
        <v>0034X0000380O1XQAU</v>
      </c>
      <c r="J39" s="2" t="s">
        <v>1630</v>
      </c>
      <c r="K39" s="3" t="s">
        <v>1631</v>
      </c>
    </row>
    <row r="40" spans="6:11" ht="12.5" x14ac:dyDescent="0.25">
      <c r="F40" s="2" t="s">
        <v>1632</v>
      </c>
      <c r="G40" s="2" t="s">
        <v>1632</v>
      </c>
      <c r="H40" s="2" t="b">
        <f t="shared" si="0"/>
        <v>1</v>
      </c>
      <c r="I40" s="14" t="str">
        <f>HYPERLINK("https://gerandofalcoes.my.salesforce.com/0034P000043fOnoQAE", "0034P000043fOnoQAE")</f>
        <v>0034P000043fOnoQAE</v>
      </c>
      <c r="J40" s="2" t="s">
        <v>1630</v>
      </c>
      <c r="K40" s="3" t="s">
        <v>1631</v>
      </c>
    </row>
    <row r="41" spans="6:11" ht="12.5" x14ac:dyDescent="0.25">
      <c r="F41" s="2" t="s">
        <v>1632</v>
      </c>
      <c r="G41" s="2" t="s">
        <v>1632</v>
      </c>
      <c r="H41" s="2" t="b">
        <f t="shared" si="0"/>
        <v>1</v>
      </c>
      <c r="I41" s="14" t="str">
        <f>HYPERLINK("https://gerandofalcoes.my.salesforce.com/0034P000043fOndQAE", "0034P000043fOndQAE")</f>
        <v>0034P000043fOndQAE</v>
      </c>
      <c r="J41" s="2" t="s">
        <v>1630</v>
      </c>
      <c r="K41" s="3" t="s">
        <v>1631</v>
      </c>
    </row>
    <row r="42" spans="6:11" ht="12.5" x14ac:dyDescent="0.25">
      <c r="F42" s="2" t="s">
        <v>1632</v>
      </c>
      <c r="G42" s="2" t="s">
        <v>1632</v>
      </c>
      <c r="H42" s="2" t="b">
        <f t="shared" si="0"/>
        <v>1</v>
      </c>
      <c r="I42" s="14" t="str">
        <f>HYPERLINK("https://gerandofalcoes.my.salesforce.com/0034X0000380O3iQAE", "0034X0000380O3iQAE")</f>
        <v>0034X0000380O3iQAE</v>
      </c>
      <c r="J42" s="2" t="s">
        <v>1630</v>
      </c>
      <c r="K42" s="3" t="s">
        <v>1631</v>
      </c>
    </row>
    <row r="43" spans="6:11" ht="12.5" x14ac:dyDescent="0.25">
      <c r="F43" s="2" t="s">
        <v>1632</v>
      </c>
      <c r="G43" s="2" t="s">
        <v>1632</v>
      </c>
      <c r="H43" s="2" t="b">
        <f t="shared" si="0"/>
        <v>1</v>
      </c>
      <c r="I43" s="14" t="str">
        <f>HYPERLINK("https://gerandofalcoes.my.salesforce.com/0034P000043fOnpQAE", "0034P000043fOnpQAE")</f>
        <v>0034P000043fOnpQAE</v>
      </c>
      <c r="J43" s="2" t="s">
        <v>1630</v>
      </c>
      <c r="K43" s="3" t="s">
        <v>1631</v>
      </c>
    </row>
    <row r="44" spans="6:11" ht="12.5" x14ac:dyDescent="0.25">
      <c r="F44" s="2" t="s">
        <v>1632</v>
      </c>
      <c r="G44" s="2" t="s">
        <v>1632</v>
      </c>
      <c r="H44" s="2" t="b">
        <f t="shared" si="0"/>
        <v>1</v>
      </c>
      <c r="I44" s="14" t="str">
        <f>HYPERLINK("https://gerandofalcoes.my.salesforce.com/0034P000045kxjUQAQ", "0034P000045kxjUQAQ")</f>
        <v>0034P000045kxjUQAQ</v>
      </c>
      <c r="J44" s="2" t="s">
        <v>1630</v>
      </c>
      <c r="K44" s="3" t="s">
        <v>1631</v>
      </c>
    </row>
    <row r="45" spans="6:11" ht="12.5" x14ac:dyDescent="0.25">
      <c r="F45" s="2" t="s">
        <v>1632</v>
      </c>
      <c r="G45" s="2" t="s">
        <v>1632</v>
      </c>
      <c r="H45" s="2" t="b">
        <f t="shared" si="0"/>
        <v>1</v>
      </c>
      <c r="I45" s="14" t="str">
        <f>HYPERLINK("https://gerandofalcoes.my.salesforce.com/0034P000045kxi5QAA", "0034P000045kxi5QAA")</f>
        <v>0034P000045kxi5QAA</v>
      </c>
      <c r="J45" s="2" t="s">
        <v>1630</v>
      </c>
      <c r="K45" s="3" t="s">
        <v>1631</v>
      </c>
    </row>
    <row r="46" spans="6:11" ht="12.5" x14ac:dyDescent="0.25">
      <c r="F46" s="2" t="s">
        <v>1632</v>
      </c>
      <c r="G46" s="2" t="s">
        <v>1632</v>
      </c>
      <c r="H46" s="2" t="b">
        <f t="shared" si="0"/>
        <v>1</v>
      </c>
      <c r="I46" s="14" t="str">
        <f>HYPERLINK("https://gerandofalcoes.my.salesforce.com/0034X0000380O5BQAU", "0034X0000380O5BQAU")</f>
        <v>0034X0000380O5BQAU</v>
      </c>
      <c r="J46" s="2" t="s">
        <v>1630</v>
      </c>
      <c r="K46" s="3" t="s">
        <v>1631</v>
      </c>
    </row>
    <row r="47" spans="6:11" ht="12.5" x14ac:dyDescent="0.25">
      <c r="F47" s="2" t="s">
        <v>1632</v>
      </c>
      <c r="G47" s="2" t="s">
        <v>1632</v>
      </c>
      <c r="H47" s="2" t="b">
        <f t="shared" si="0"/>
        <v>1</v>
      </c>
      <c r="I47" s="14" t="str">
        <f>HYPERLINK("https://gerandofalcoes.my.salesforce.com/0034P000045kxjrQAA", "0034P000045kxjrQAA")</f>
        <v>0034P000045kxjrQAA</v>
      </c>
      <c r="J47" s="2" t="s">
        <v>1630</v>
      </c>
      <c r="K47" s="3" t="s">
        <v>1631</v>
      </c>
    </row>
    <row r="48" spans="6:11" ht="12.5" x14ac:dyDescent="0.25">
      <c r="F48" s="2" t="s">
        <v>1632</v>
      </c>
      <c r="G48" s="2" t="s">
        <v>1632</v>
      </c>
      <c r="H48" s="2" t="b">
        <f t="shared" si="0"/>
        <v>1</v>
      </c>
      <c r="I48" s="14" t="str">
        <f>HYPERLINK("https://gerandofalcoes.my.salesforce.com/0034X0000380O3xQAE", "0034X0000380O3xQAE")</f>
        <v>0034X0000380O3xQAE</v>
      </c>
      <c r="J48" s="2" t="s">
        <v>1630</v>
      </c>
      <c r="K48" s="3" t="s">
        <v>1631</v>
      </c>
    </row>
    <row r="49" spans="6:11" ht="12.5" x14ac:dyDescent="0.25">
      <c r="F49" s="2" t="s">
        <v>1632</v>
      </c>
      <c r="G49" s="2" t="s">
        <v>1632</v>
      </c>
      <c r="H49" s="2" t="b">
        <f t="shared" si="0"/>
        <v>1</v>
      </c>
      <c r="I49" s="14" t="str">
        <f>HYPERLINK("https://gerandofalcoes.my.salesforce.com/0034X0000380O1QQAU", "0034X0000380O1QQAU")</f>
        <v>0034X0000380O1QQAU</v>
      </c>
      <c r="J49" s="2" t="s">
        <v>1630</v>
      </c>
      <c r="K49" s="3" t="s">
        <v>1631</v>
      </c>
    </row>
    <row r="50" spans="6:11" ht="12.5" x14ac:dyDescent="0.25">
      <c r="F50" s="2" t="s">
        <v>1632</v>
      </c>
      <c r="G50" s="2" t="s">
        <v>1632</v>
      </c>
      <c r="H50" s="2" t="b">
        <f t="shared" si="0"/>
        <v>1</v>
      </c>
      <c r="I50" s="14" t="str">
        <f>HYPERLINK("https://gerandofalcoes.my.salesforce.com/0034X0000380O5gQAE", "0034X0000380O5gQAE")</f>
        <v>0034X0000380O5gQAE</v>
      </c>
      <c r="J50" s="2" t="s">
        <v>1630</v>
      </c>
      <c r="K50" s="3" t="s">
        <v>1631</v>
      </c>
    </row>
    <row r="51" spans="6:11" ht="12.5" x14ac:dyDescent="0.25">
      <c r="F51" s="2" t="s">
        <v>1632</v>
      </c>
      <c r="G51" s="2" t="s">
        <v>1632</v>
      </c>
      <c r="H51" s="2" t="b">
        <f t="shared" si="0"/>
        <v>1</v>
      </c>
      <c r="I51" s="14" t="str">
        <f>HYPERLINK("https://gerandofalcoes.my.salesforce.com/0034P000045kxkTQAQ", "0034P000045kxkTQAQ")</f>
        <v>0034P000045kxkTQAQ</v>
      </c>
      <c r="J51" s="2" t="s">
        <v>1630</v>
      </c>
      <c r="K51" s="3" t="s">
        <v>1631</v>
      </c>
    </row>
    <row r="52" spans="6:11" ht="12.5" x14ac:dyDescent="0.25">
      <c r="F52" s="2" t="s">
        <v>1632</v>
      </c>
      <c r="G52" s="2" t="s">
        <v>1632</v>
      </c>
      <c r="H52" s="2" t="b">
        <f t="shared" si="0"/>
        <v>1</v>
      </c>
      <c r="I52" s="14" t="str">
        <f>HYPERLINK("https://gerandofalcoes.my.salesforce.com/0034P00003maBVAQA2", "0034P00003maBVAQA2")</f>
        <v>0034P00003maBVAQA2</v>
      </c>
      <c r="J52" s="2" t="s">
        <v>1630</v>
      </c>
      <c r="K52" s="3" t="s">
        <v>1631</v>
      </c>
    </row>
    <row r="53" spans="6:11" ht="12.5" x14ac:dyDescent="0.25">
      <c r="F53" s="2" t="s">
        <v>1632</v>
      </c>
      <c r="G53" s="2" t="s">
        <v>1632</v>
      </c>
      <c r="H53" s="2" t="b">
        <f t="shared" si="0"/>
        <v>1</v>
      </c>
      <c r="I53" s="14" t="str">
        <f>HYPERLINK("https://gerandofalcoes.my.salesforce.com/0034P00003maBVqQAM", "0034P00003maBVqQAM")</f>
        <v>0034P00003maBVqQAM</v>
      </c>
      <c r="J53" s="2" t="s">
        <v>1630</v>
      </c>
      <c r="K53" s="3" t="s">
        <v>1631</v>
      </c>
    </row>
    <row r="54" spans="6:11" ht="12.5" x14ac:dyDescent="0.25">
      <c r="F54" s="2" t="s">
        <v>1632</v>
      </c>
      <c r="G54" s="2" t="s">
        <v>1632</v>
      </c>
      <c r="H54" s="2" t="b">
        <f t="shared" si="0"/>
        <v>1</v>
      </c>
      <c r="I54" s="14" t="str">
        <f>HYPERLINK("https://gerandofalcoes.my.salesforce.com/0034X0000380O2zQAE", "0034X0000380O2zQAE")</f>
        <v>0034X0000380O2zQAE</v>
      </c>
      <c r="J54" s="2" t="s">
        <v>1630</v>
      </c>
      <c r="K54" s="3" t="s">
        <v>1631</v>
      </c>
    </row>
    <row r="55" spans="6:11" ht="12.5" x14ac:dyDescent="0.25">
      <c r="F55" s="2" t="s">
        <v>1632</v>
      </c>
      <c r="G55" s="2" t="s">
        <v>1632</v>
      </c>
      <c r="H55" s="2" t="b">
        <f t="shared" si="0"/>
        <v>1</v>
      </c>
      <c r="I55" s="14" t="str">
        <f>HYPERLINK("https://gerandofalcoes.my.salesforce.com/0034P00003maBVjQAM", "0034P00003maBVjQAM")</f>
        <v>0034P00003maBVjQAM</v>
      </c>
      <c r="J55" s="2" t="s">
        <v>1630</v>
      </c>
      <c r="K55" s="3" t="s">
        <v>1631</v>
      </c>
    </row>
    <row r="56" spans="6:11" ht="12.5" x14ac:dyDescent="0.25">
      <c r="F56" s="2" t="s">
        <v>1632</v>
      </c>
      <c r="G56" s="2" t="s">
        <v>1632</v>
      </c>
      <c r="H56" s="2" t="b">
        <f t="shared" si="0"/>
        <v>1</v>
      </c>
      <c r="I56" s="14" t="str">
        <f>HYPERLINK("https://gerandofalcoes.my.salesforce.com/0034P00003maBVaQAM", "0034P00003maBVaQAM")</f>
        <v>0034P00003maBVaQAM</v>
      </c>
      <c r="J56" s="2" t="s">
        <v>1630</v>
      </c>
      <c r="K56" s="3" t="s">
        <v>1631</v>
      </c>
    </row>
    <row r="57" spans="6:11" ht="12.5" x14ac:dyDescent="0.25">
      <c r="F57" s="2" t="s">
        <v>1632</v>
      </c>
      <c r="G57" s="2" t="s">
        <v>1632</v>
      </c>
      <c r="H57" s="2" t="b">
        <f t="shared" si="0"/>
        <v>1</v>
      </c>
      <c r="I57" s="14" t="str">
        <f>HYPERLINK("https://gerandofalcoes.my.salesforce.com/0034P000043fOnhQAE", "0034P000043fOnhQAE")</f>
        <v>0034P000043fOnhQAE</v>
      </c>
      <c r="J57" s="2" t="s">
        <v>1630</v>
      </c>
      <c r="K57" s="3" t="s">
        <v>1631</v>
      </c>
    </row>
    <row r="58" spans="6:11" ht="12.5" x14ac:dyDescent="0.25">
      <c r="F58" s="2" t="s">
        <v>1632</v>
      </c>
      <c r="G58" s="2" t="s">
        <v>1632</v>
      </c>
      <c r="H58" s="2" t="b">
        <f t="shared" si="0"/>
        <v>1</v>
      </c>
      <c r="I58" s="14" t="str">
        <f>HYPERLINK("https://gerandofalcoes.my.salesforce.com/0034P00003maBVCQA2", "0034P00003maBVCQA2")</f>
        <v>0034P00003maBVCQA2</v>
      </c>
      <c r="J58" s="2" t="s">
        <v>1630</v>
      </c>
      <c r="K58" s="3" t="s">
        <v>1631</v>
      </c>
    </row>
    <row r="59" spans="6:11" ht="12.5" x14ac:dyDescent="0.25">
      <c r="F59" s="2" t="s">
        <v>1632</v>
      </c>
      <c r="G59" s="2" t="s">
        <v>1632</v>
      </c>
      <c r="H59" s="2" t="b">
        <f t="shared" si="0"/>
        <v>1</v>
      </c>
      <c r="I59" s="14" t="str">
        <f>HYPERLINK("https://gerandofalcoes.my.salesforce.com/0034P000043fOnjQAE", "0034P000043fOnjQAE")</f>
        <v>0034P000043fOnjQAE</v>
      </c>
      <c r="J59" s="2" t="s">
        <v>1630</v>
      </c>
      <c r="K59" s="3" t="s">
        <v>1631</v>
      </c>
    </row>
    <row r="60" spans="6:11" ht="12.5" x14ac:dyDescent="0.25">
      <c r="F60" s="2" t="s">
        <v>1632</v>
      </c>
      <c r="G60" s="2" t="s">
        <v>1632</v>
      </c>
      <c r="H60" s="2" t="b">
        <f t="shared" si="0"/>
        <v>1</v>
      </c>
      <c r="I60" s="14" t="str">
        <f>HYPERLINK("https://gerandofalcoes.my.salesforce.com/0034X0000380O2WQAU", "0034X0000380O2WQAU")</f>
        <v>0034X0000380O2WQAU</v>
      </c>
      <c r="J60" s="2" t="s">
        <v>1630</v>
      </c>
      <c r="K60" s="3" t="s">
        <v>1631</v>
      </c>
    </row>
    <row r="61" spans="6:11" ht="12.5" x14ac:dyDescent="0.25">
      <c r="F61" s="2" t="s">
        <v>1632</v>
      </c>
      <c r="G61" s="2" t="s">
        <v>1632</v>
      </c>
      <c r="H61" s="2" t="b">
        <f t="shared" si="0"/>
        <v>1</v>
      </c>
      <c r="I61" s="14" t="str">
        <f>HYPERLINK("https://gerandofalcoes.my.salesforce.com/0034P00003maBUwQAM", "0034P00003maBUwQAM")</f>
        <v>0034P00003maBUwQAM</v>
      </c>
      <c r="J61" s="2" t="s">
        <v>1630</v>
      </c>
      <c r="K61" s="3" t="s">
        <v>1631</v>
      </c>
    </row>
    <row r="62" spans="6:11" ht="12.5" x14ac:dyDescent="0.25">
      <c r="F62" s="2" t="s">
        <v>1632</v>
      </c>
      <c r="G62" s="2" t="s">
        <v>1632</v>
      </c>
      <c r="H62" s="2" t="b">
        <f t="shared" si="0"/>
        <v>1</v>
      </c>
      <c r="I62" s="14" t="str">
        <f>HYPERLINK("https://gerandofalcoes.my.salesforce.com/0034P000043fOnYQAU", "0034P000043fOnYQAU")</f>
        <v>0034P000043fOnYQAU</v>
      </c>
      <c r="J62" s="2" t="s">
        <v>1630</v>
      </c>
      <c r="K62" s="3" t="s">
        <v>1631</v>
      </c>
    </row>
    <row r="63" spans="6:11" ht="12.5" x14ac:dyDescent="0.25">
      <c r="F63" s="2" t="s">
        <v>1632</v>
      </c>
      <c r="G63" s="2" t="s">
        <v>1632</v>
      </c>
      <c r="H63" s="2" t="b">
        <f t="shared" si="0"/>
        <v>1</v>
      </c>
      <c r="I63" s="14" t="str">
        <f>HYPERLINK("https://gerandofalcoes.my.salesforce.com/0034X0000380O0lQAE", "0034X0000380O0lQAE")</f>
        <v>0034X0000380O0lQAE</v>
      </c>
      <c r="J63" s="2" t="s">
        <v>1630</v>
      </c>
      <c r="K63" s="3" t="s">
        <v>1631</v>
      </c>
    </row>
    <row r="64" spans="6:11" ht="12.5" x14ac:dyDescent="0.25">
      <c r="F64" s="2" t="s">
        <v>1632</v>
      </c>
      <c r="G64" s="2" t="s">
        <v>1632</v>
      </c>
      <c r="H64" s="2" t="b">
        <f t="shared" si="0"/>
        <v>1</v>
      </c>
      <c r="I64" s="14" t="str">
        <f>HYPERLINK("https://gerandofalcoes.my.salesforce.com/0034P000045kxkAQAQ", "0034P000045kxkAQAQ")</f>
        <v>0034P000045kxkAQAQ</v>
      </c>
      <c r="J64" s="2" t="s">
        <v>1630</v>
      </c>
      <c r="K64" s="3" t="s">
        <v>1631</v>
      </c>
    </row>
    <row r="65" spans="6:11" ht="12.5" x14ac:dyDescent="0.25">
      <c r="F65" s="2" t="s">
        <v>1632</v>
      </c>
      <c r="G65" s="2" t="s">
        <v>1632</v>
      </c>
      <c r="H65" s="2" t="b">
        <f t="shared" si="0"/>
        <v>1</v>
      </c>
      <c r="I65" s="14" t="str">
        <f>HYPERLINK("https://gerandofalcoes.my.salesforce.com/0034P000045kxjtQAA", "0034P000045kxjtQAA")</f>
        <v>0034P000045kxjtQAA</v>
      </c>
      <c r="J65" s="2" t="s">
        <v>1630</v>
      </c>
      <c r="K65" s="3" t="s">
        <v>1631</v>
      </c>
    </row>
    <row r="66" spans="6:11" ht="12.5" x14ac:dyDescent="0.25">
      <c r="F66" s="2" t="s">
        <v>1632</v>
      </c>
      <c r="G66" s="2" t="s">
        <v>1632</v>
      </c>
      <c r="H66" s="2" t="b">
        <f t="shared" ref="H66:H129" si="1">G66=B66</f>
        <v>1</v>
      </c>
      <c r="I66" s="14" t="str">
        <f>HYPERLINK("https://gerandofalcoes.my.salesforce.com/0034X0000380O1FQAU", "0034X0000380O1FQAU")</f>
        <v>0034X0000380O1FQAU</v>
      </c>
      <c r="J66" s="2" t="s">
        <v>1630</v>
      </c>
      <c r="K66" s="3" t="s">
        <v>1631</v>
      </c>
    </row>
    <row r="67" spans="6:11" ht="12.5" x14ac:dyDescent="0.25">
      <c r="F67" s="2" t="s">
        <v>1632</v>
      </c>
      <c r="G67" s="2" t="s">
        <v>1632</v>
      </c>
      <c r="H67" s="2" t="b">
        <f t="shared" si="1"/>
        <v>1</v>
      </c>
      <c r="I67" s="14" t="str">
        <f>HYPERLINK("https://gerandofalcoes.my.salesforce.com/0034P000045kxiNQAQ", "0034P000045kxiNQAQ")</f>
        <v>0034P000045kxiNQAQ</v>
      </c>
      <c r="J67" s="2" t="s">
        <v>1630</v>
      </c>
      <c r="K67" s="3" t="s">
        <v>1631</v>
      </c>
    </row>
    <row r="68" spans="6:11" ht="12.5" x14ac:dyDescent="0.25">
      <c r="F68" s="2" t="s">
        <v>1632</v>
      </c>
      <c r="G68" s="2" t="s">
        <v>1632</v>
      </c>
      <c r="H68" s="2" t="b">
        <f t="shared" si="1"/>
        <v>1</v>
      </c>
      <c r="I68" s="14" t="str">
        <f>HYPERLINK("https://gerandofalcoes.my.salesforce.com/0034P000045kxieQAA", "0034P000045kxieQAA")</f>
        <v>0034P000045kxieQAA</v>
      </c>
      <c r="J68" s="2" t="s">
        <v>1630</v>
      </c>
      <c r="K68" s="3" t="s">
        <v>1631</v>
      </c>
    </row>
    <row r="69" spans="6:11" ht="12.5" x14ac:dyDescent="0.25">
      <c r="F69" s="2" t="s">
        <v>1632</v>
      </c>
      <c r="G69" s="2" t="s">
        <v>1632</v>
      </c>
      <c r="H69" s="2" t="b">
        <f t="shared" si="1"/>
        <v>1</v>
      </c>
      <c r="I69" s="14" t="str">
        <f>HYPERLINK("https://gerandofalcoes.my.salesforce.com/0034P000043fOoCQAU", "0034P000043fOoCQAU")</f>
        <v>0034P000043fOoCQAU</v>
      </c>
      <c r="J69" s="2" t="s">
        <v>1630</v>
      </c>
      <c r="K69" s="3" t="s">
        <v>1631</v>
      </c>
    </row>
    <row r="70" spans="6:11" ht="12.5" x14ac:dyDescent="0.25">
      <c r="F70" s="2" t="s">
        <v>1632</v>
      </c>
      <c r="G70" s="2" t="s">
        <v>1632</v>
      </c>
      <c r="H70" s="2" t="b">
        <f t="shared" si="1"/>
        <v>1</v>
      </c>
      <c r="I70" s="14" t="str">
        <f>HYPERLINK("https://gerandofalcoes.my.salesforce.com/0034X0000380O1CQAU", "0034X0000380O1CQAU")</f>
        <v>0034X0000380O1CQAU</v>
      </c>
      <c r="J70" s="2" t="s">
        <v>1630</v>
      </c>
      <c r="K70" s="3" t="s">
        <v>1631</v>
      </c>
    </row>
    <row r="71" spans="6:11" ht="12.5" x14ac:dyDescent="0.25">
      <c r="F71" s="2" t="s">
        <v>1632</v>
      </c>
      <c r="G71" s="2" t="s">
        <v>1632</v>
      </c>
      <c r="H71" s="2" t="b">
        <f t="shared" si="1"/>
        <v>1</v>
      </c>
      <c r="I71" s="14" t="str">
        <f>HYPERLINK("https://gerandofalcoes.my.salesforce.com/0034X0000315PQxQAM", "0034X0000315PQxQAM")</f>
        <v>0034X0000315PQxQAM</v>
      </c>
      <c r="J71" s="2" t="s">
        <v>1630</v>
      </c>
      <c r="K71" s="3" t="s">
        <v>1631</v>
      </c>
    </row>
    <row r="72" spans="6:11" ht="12.5" x14ac:dyDescent="0.25">
      <c r="F72" s="2" t="s">
        <v>1632</v>
      </c>
      <c r="G72" s="2" t="s">
        <v>1632</v>
      </c>
      <c r="H72" s="2" t="b">
        <f t="shared" si="1"/>
        <v>1</v>
      </c>
      <c r="I72" s="14" t="str">
        <f>HYPERLINK("https://gerandofalcoes.my.salesforce.com/0034X0000380O13QAE", "0034X0000380O13QAE")</f>
        <v>0034X0000380O13QAE</v>
      </c>
      <c r="J72" s="2" t="s">
        <v>1630</v>
      </c>
      <c r="K72" s="3" t="s">
        <v>1631</v>
      </c>
    </row>
    <row r="73" spans="6:11" ht="12.5" x14ac:dyDescent="0.25">
      <c r="F73" s="2" t="s">
        <v>1632</v>
      </c>
      <c r="G73" s="2" t="s">
        <v>1632</v>
      </c>
      <c r="H73" s="2" t="b">
        <f t="shared" si="1"/>
        <v>1</v>
      </c>
      <c r="I73" s="14" t="str">
        <f>HYPERLINK("https://gerandofalcoes.my.salesforce.com/0034X0000380O6OQAU", "0034X0000380O6OQAU")</f>
        <v>0034X0000380O6OQAU</v>
      </c>
      <c r="J73" s="2" t="s">
        <v>1630</v>
      </c>
      <c r="K73" s="3" t="s">
        <v>1631</v>
      </c>
    </row>
    <row r="74" spans="6:11" ht="12.5" x14ac:dyDescent="0.25">
      <c r="F74" s="2" t="s">
        <v>1632</v>
      </c>
      <c r="G74" s="2" t="s">
        <v>1632</v>
      </c>
      <c r="H74" s="2" t="b">
        <f t="shared" si="1"/>
        <v>1</v>
      </c>
      <c r="I74" s="14" t="str">
        <f>HYPERLINK("https://gerandofalcoes.my.salesforce.com/0034X0000380O11QAE", "0034X0000380O11QAE")</f>
        <v>0034X0000380O11QAE</v>
      </c>
      <c r="J74" s="2" t="s">
        <v>1630</v>
      </c>
      <c r="K74" s="3" t="s">
        <v>1631</v>
      </c>
    </row>
    <row r="75" spans="6:11" ht="12.5" x14ac:dyDescent="0.25">
      <c r="F75" s="2" t="s">
        <v>1632</v>
      </c>
      <c r="G75" s="2" t="s">
        <v>1632</v>
      </c>
      <c r="H75" s="2" t="b">
        <f t="shared" si="1"/>
        <v>1</v>
      </c>
      <c r="I75" s="14" t="str">
        <f>HYPERLINK("https://gerandofalcoes.my.salesforce.com/0034X0000380O5dQAE", "0034X0000380O5dQAE")</f>
        <v>0034X0000380O5dQAE</v>
      </c>
      <c r="J75" s="2" t="s">
        <v>1630</v>
      </c>
      <c r="K75" s="3" t="s">
        <v>1631</v>
      </c>
    </row>
    <row r="76" spans="6:11" ht="12.5" x14ac:dyDescent="0.25">
      <c r="F76" s="2" t="s">
        <v>1632</v>
      </c>
      <c r="G76" s="2" t="s">
        <v>1632</v>
      </c>
      <c r="H76" s="2" t="b">
        <f t="shared" si="1"/>
        <v>1</v>
      </c>
      <c r="I76" s="14" t="str">
        <f>HYPERLINK("https://gerandofalcoes.my.salesforce.com/0034P00003maBVbQAM", "0034P00003maBVbQAM")</f>
        <v>0034P00003maBVbQAM</v>
      </c>
      <c r="J76" s="2" t="s">
        <v>1630</v>
      </c>
      <c r="K76" s="3" t="s">
        <v>1631</v>
      </c>
    </row>
    <row r="77" spans="6:11" ht="12.5" x14ac:dyDescent="0.25">
      <c r="F77" s="2" t="s">
        <v>1632</v>
      </c>
      <c r="G77" s="2" t="s">
        <v>1632</v>
      </c>
      <c r="H77" s="2" t="b">
        <f t="shared" si="1"/>
        <v>1</v>
      </c>
      <c r="I77" s="14" t="str">
        <f>HYPERLINK("https://gerandofalcoes.my.salesforce.com/0034P000043fOntQAE", "0034P000043fOntQAE")</f>
        <v>0034P000043fOntQAE</v>
      </c>
      <c r="J77" s="2" t="s">
        <v>1630</v>
      </c>
      <c r="K77" s="3" t="s">
        <v>1631</v>
      </c>
    </row>
    <row r="78" spans="6:11" ht="12.5" x14ac:dyDescent="0.25">
      <c r="F78" s="2" t="s">
        <v>1632</v>
      </c>
      <c r="G78" s="2" t="s">
        <v>1632</v>
      </c>
      <c r="H78" s="2" t="b">
        <f t="shared" si="1"/>
        <v>1</v>
      </c>
      <c r="I78" s="14" t="str">
        <f>HYPERLINK("https://gerandofalcoes.my.salesforce.com/0034X0000380O2uQAE", "0034X0000380O2uQAE")</f>
        <v>0034X0000380O2uQAE</v>
      </c>
      <c r="J78" s="2" t="s">
        <v>1630</v>
      </c>
      <c r="K78" s="3" t="s">
        <v>1631</v>
      </c>
    </row>
    <row r="79" spans="6:11" ht="12.5" x14ac:dyDescent="0.25">
      <c r="F79" s="2" t="s">
        <v>1632</v>
      </c>
      <c r="G79" s="2" t="s">
        <v>1632</v>
      </c>
      <c r="H79" s="2" t="b">
        <f t="shared" si="1"/>
        <v>1</v>
      </c>
      <c r="I79" s="14" t="str">
        <f>HYPERLINK("https://gerandofalcoes.my.salesforce.com/0034P000045kxjjQAA", "0034P000045kxjjQAA")</f>
        <v>0034P000045kxjjQAA</v>
      </c>
      <c r="J79" s="2" t="s">
        <v>1630</v>
      </c>
      <c r="K79" s="3" t="s">
        <v>1631</v>
      </c>
    </row>
    <row r="80" spans="6:11" ht="12.5" x14ac:dyDescent="0.25">
      <c r="F80" s="2" t="s">
        <v>1632</v>
      </c>
      <c r="G80" s="2" t="s">
        <v>1632</v>
      </c>
      <c r="H80" s="2" t="b">
        <f t="shared" si="1"/>
        <v>1</v>
      </c>
      <c r="I80" s="14" t="str">
        <f>HYPERLINK("https://gerandofalcoes.my.salesforce.com/0034P000043fPDlQAM", "0034P000043fPDlQAM")</f>
        <v>0034P000043fPDlQAM</v>
      </c>
      <c r="J80" s="2" t="s">
        <v>1630</v>
      </c>
      <c r="K80" s="3" t="s">
        <v>1631</v>
      </c>
    </row>
    <row r="81" spans="6:11" ht="12.5" x14ac:dyDescent="0.25">
      <c r="F81" s="2" t="s">
        <v>1632</v>
      </c>
      <c r="G81" s="2" t="s">
        <v>1632</v>
      </c>
      <c r="H81" s="2" t="b">
        <f t="shared" si="1"/>
        <v>1</v>
      </c>
      <c r="I81" s="14" t="str">
        <f>HYPERLINK("https://gerandofalcoes.my.salesforce.com/0034P000045knPDQAY", "0034P000045knPDQAY")</f>
        <v>0034P000045knPDQAY</v>
      </c>
      <c r="J81" s="2" t="s">
        <v>1630</v>
      </c>
      <c r="K81" s="3" t="s">
        <v>1631</v>
      </c>
    </row>
    <row r="82" spans="6:11" ht="12.5" x14ac:dyDescent="0.25">
      <c r="F82" s="2" t="s">
        <v>1632</v>
      </c>
      <c r="G82" s="2" t="s">
        <v>1632</v>
      </c>
      <c r="H82" s="2" t="b">
        <f t="shared" si="1"/>
        <v>1</v>
      </c>
      <c r="I82" s="14" t="str">
        <f>HYPERLINK("https://gerandofalcoes.my.salesforce.com/0034X0000380O2OQAU", "0034X0000380O2OQAU")</f>
        <v>0034X0000380O2OQAU</v>
      </c>
      <c r="J82" s="2" t="s">
        <v>1630</v>
      </c>
      <c r="K82" s="3" t="s">
        <v>1631</v>
      </c>
    </row>
    <row r="83" spans="6:11" ht="12.5" x14ac:dyDescent="0.25">
      <c r="F83" s="2" t="s">
        <v>1632</v>
      </c>
      <c r="G83" s="2" t="s">
        <v>1632</v>
      </c>
      <c r="H83" s="2" t="b">
        <f t="shared" si="1"/>
        <v>1</v>
      </c>
      <c r="I83" s="14" t="str">
        <f>HYPERLINK("https://gerandofalcoes.my.salesforce.com/0034X0000380O1lQAE", "0034X0000380O1lQAE")</f>
        <v>0034X0000380O1lQAE</v>
      </c>
      <c r="J83" s="2" t="s">
        <v>1630</v>
      </c>
      <c r="K83" s="3" t="s">
        <v>1631</v>
      </c>
    </row>
    <row r="84" spans="6:11" ht="12.5" x14ac:dyDescent="0.25">
      <c r="F84" s="2" t="s">
        <v>1632</v>
      </c>
      <c r="G84" s="2" t="s">
        <v>1632</v>
      </c>
      <c r="H84" s="2" t="b">
        <f t="shared" si="1"/>
        <v>1</v>
      </c>
      <c r="I84" s="14" t="str">
        <f>HYPERLINK("https://gerandofalcoes.my.salesforce.com/0034X0000380O2mQAE", "0034X0000380O2mQAE")</f>
        <v>0034X0000380O2mQAE</v>
      </c>
      <c r="J84" s="2" t="s">
        <v>1630</v>
      </c>
      <c r="K84" s="3" t="s">
        <v>1631</v>
      </c>
    </row>
    <row r="85" spans="6:11" ht="12.5" x14ac:dyDescent="0.25">
      <c r="F85" s="2" t="s">
        <v>1632</v>
      </c>
      <c r="G85" s="2" t="s">
        <v>1632</v>
      </c>
      <c r="H85" s="2" t="b">
        <f t="shared" si="1"/>
        <v>1</v>
      </c>
      <c r="I85" s="14" t="str">
        <f>HYPERLINK("https://gerandofalcoes.my.salesforce.com/0034X000032Hs00QAC", "0034X000032Hs00QAC")</f>
        <v>0034X000032Hs00QAC</v>
      </c>
      <c r="J85" s="2" t="s">
        <v>1630</v>
      </c>
      <c r="K85" s="3" t="s">
        <v>1631</v>
      </c>
    </row>
    <row r="86" spans="6:11" ht="12.5" x14ac:dyDescent="0.25">
      <c r="F86" s="2" t="s">
        <v>1632</v>
      </c>
      <c r="G86" s="2" t="s">
        <v>1632</v>
      </c>
      <c r="H86" s="2" t="b">
        <f t="shared" si="1"/>
        <v>1</v>
      </c>
      <c r="I86" s="14" t="str">
        <f>HYPERLINK("https://gerandofalcoes.my.salesforce.com/0034X0000380O6QQAU", "0034X0000380O6QQAU")</f>
        <v>0034X0000380O6QQAU</v>
      </c>
      <c r="J86" s="2" t="s">
        <v>1630</v>
      </c>
      <c r="K86" s="3" t="s">
        <v>1631</v>
      </c>
    </row>
    <row r="87" spans="6:11" ht="12.5" x14ac:dyDescent="0.25">
      <c r="F87" s="2" t="s">
        <v>1632</v>
      </c>
      <c r="G87" s="2" t="s">
        <v>1632</v>
      </c>
      <c r="H87" s="2" t="b">
        <f t="shared" si="1"/>
        <v>1</v>
      </c>
      <c r="I87" s="14" t="str">
        <f>HYPERLINK("https://gerandofalcoes.my.salesforce.com/0034X0000380O5nQAE", "0034X0000380O5nQAE")</f>
        <v>0034X0000380O5nQAE</v>
      </c>
      <c r="J87" s="2" t="s">
        <v>1630</v>
      </c>
      <c r="K87" s="3" t="s">
        <v>1631</v>
      </c>
    </row>
    <row r="88" spans="6:11" ht="12.5" x14ac:dyDescent="0.25">
      <c r="F88" s="2" t="s">
        <v>1632</v>
      </c>
      <c r="G88" s="2" t="s">
        <v>1632</v>
      </c>
      <c r="H88" s="2" t="b">
        <f t="shared" si="1"/>
        <v>1</v>
      </c>
      <c r="I88" s="14" t="str">
        <f>HYPERLINK("https://gerandofalcoes.my.salesforce.com/0034X0000380O0nQAE", "0034X0000380O0nQAE")</f>
        <v>0034X0000380O0nQAE</v>
      </c>
      <c r="J88" s="2" t="s">
        <v>1630</v>
      </c>
      <c r="K88" s="3" t="s">
        <v>1631</v>
      </c>
    </row>
    <row r="89" spans="6:11" ht="12.5" x14ac:dyDescent="0.25">
      <c r="F89" s="2" t="s">
        <v>1632</v>
      </c>
      <c r="G89" s="2" t="s">
        <v>1632</v>
      </c>
      <c r="H89" s="2" t="b">
        <f t="shared" si="1"/>
        <v>1</v>
      </c>
      <c r="I89" s="14" t="str">
        <f>HYPERLINK("https://gerandofalcoes.my.salesforce.com/0034X0000380O3pQAE", "0034X0000380O3pQAE")</f>
        <v>0034X0000380O3pQAE</v>
      </c>
      <c r="J89" s="2" t="s">
        <v>1630</v>
      </c>
      <c r="K89" s="3" t="s">
        <v>1631</v>
      </c>
    </row>
    <row r="90" spans="6:11" ht="12.5" x14ac:dyDescent="0.25">
      <c r="F90" s="2" t="s">
        <v>1632</v>
      </c>
      <c r="G90" s="2" t="s">
        <v>1632</v>
      </c>
      <c r="H90" s="2" t="b">
        <f t="shared" si="1"/>
        <v>1</v>
      </c>
      <c r="I90" s="14" t="str">
        <f>HYPERLINK("https://gerandofalcoes.my.salesforce.com/0034P000045kxiTQAQ", "0034P000045kxiTQAQ")</f>
        <v>0034P000045kxiTQAQ</v>
      </c>
      <c r="J90" s="2" t="s">
        <v>1630</v>
      </c>
      <c r="K90" s="3" t="s">
        <v>1631</v>
      </c>
    </row>
    <row r="91" spans="6:11" ht="12.5" x14ac:dyDescent="0.25">
      <c r="F91" s="2" t="s">
        <v>1632</v>
      </c>
      <c r="G91" s="2" t="s">
        <v>1632</v>
      </c>
      <c r="H91" s="2" t="b">
        <f t="shared" si="1"/>
        <v>1</v>
      </c>
      <c r="I91" s="14" t="str">
        <f>HYPERLINK("https://gerandofalcoes.my.salesforce.com/0034X0000380O6EQAU", "0034X0000380O6EQAU")</f>
        <v>0034X0000380O6EQAU</v>
      </c>
      <c r="J91" s="2" t="s">
        <v>1630</v>
      </c>
      <c r="K91" s="3" t="s">
        <v>1631</v>
      </c>
    </row>
    <row r="92" spans="6:11" ht="12.5" x14ac:dyDescent="0.25">
      <c r="F92" s="2" t="s">
        <v>1632</v>
      </c>
      <c r="G92" s="2" t="s">
        <v>1632</v>
      </c>
      <c r="H92" s="2" t="b">
        <f t="shared" si="1"/>
        <v>1</v>
      </c>
      <c r="I92" s="14" t="str">
        <f>HYPERLINK("https://gerandofalcoes.my.salesforce.com/0034X0000390McCQAU", "0034X0000390McCQAU")</f>
        <v>0034X0000390McCQAU</v>
      </c>
      <c r="J92" s="2" t="s">
        <v>1630</v>
      </c>
      <c r="K92" s="3" t="s">
        <v>1631</v>
      </c>
    </row>
    <row r="93" spans="6:11" ht="12.5" x14ac:dyDescent="0.25">
      <c r="F93" s="2" t="s">
        <v>1632</v>
      </c>
      <c r="G93" s="2" t="s">
        <v>1632</v>
      </c>
      <c r="H93" s="2" t="b">
        <f t="shared" si="1"/>
        <v>1</v>
      </c>
      <c r="I93" s="14" t="str">
        <f>HYPERLINK("https://gerandofalcoes.my.salesforce.com/0034P00003maEuBQAU", "0034P00003maEuBQAU")</f>
        <v>0034P00003maEuBQAU</v>
      </c>
      <c r="J93" s="2" t="s">
        <v>1630</v>
      </c>
      <c r="K93" s="3" t="s">
        <v>1631</v>
      </c>
    </row>
    <row r="94" spans="6:11" ht="12.5" x14ac:dyDescent="0.25">
      <c r="F94" s="2" t="s">
        <v>1632</v>
      </c>
      <c r="G94" s="2" t="s">
        <v>1632</v>
      </c>
      <c r="H94" s="2" t="b">
        <f t="shared" si="1"/>
        <v>1</v>
      </c>
      <c r="I94" s="14" t="str">
        <f>HYPERLINK("https://gerandofalcoes.my.salesforce.com/0034X0000380O41QAE", "0034X0000380O41QAE")</f>
        <v>0034X0000380O41QAE</v>
      </c>
      <c r="J94" s="2" t="s">
        <v>1630</v>
      </c>
      <c r="K94" s="3" t="s">
        <v>1631</v>
      </c>
    </row>
    <row r="95" spans="6:11" ht="12.5" x14ac:dyDescent="0.25">
      <c r="F95" s="2" t="s">
        <v>1632</v>
      </c>
      <c r="G95" s="2" t="s">
        <v>1632</v>
      </c>
      <c r="H95" s="2" t="b">
        <f t="shared" si="1"/>
        <v>1</v>
      </c>
      <c r="I95" s="14" t="str">
        <f>HYPERLINK("https://gerandofalcoes.my.salesforce.com/0034P000043fOnsQAE", "0034P000043fOnsQAE")</f>
        <v>0034P000043fOnsQAE</v>
      </c>
      <c r="J95" s="2" t="s">
        <v>1630</v>
      </c>
      <c r="K95" s="3" t="s">
        <v>1631</v>
      </c>
    </row>
    <row r="96" spans="6:11" ht="12.5" x14ac:dyDescent="0.25">
      <c r="F96" s="2" t="s">
        <v>1632</v>
      </c>
      <c r="G96" s="2" t="s">
        <v>1632</v>
      </c>
      <c r="H96" s="2" t="b">
        <f t="shared" si="1"/>
        <v>1</v>
      </c>
      <c r="I96" s="14" t="str">
        <f>HYPERLINK("https://gerandofalcoes.my.salesforce.com/0034X0000380O6BQAU", "0034X0000380O6BQAU")</f>
        <v>0034X0000380O6BQAU</v>
      </c>
      <c r="J96" s="2" t="s">
        <v>1630</v>
      </c>
      <c r="K96" s="3" t="s">
        <v>1631</v>
      </c>
    </row>
    <row r="97" spans="6:11" ht="12.5" x14ac:dyDescent="0.25">
      <c r="F97" s="2" t="s">
        <v>1632</v>
      </c>
      <c r="G97" s="2" t="s">
        <v>1632</v>
      </c>
      <c r="H97" s="2" t="b">
        <f t="shared" si="1"/>
        <v>1</v>
      </c>
      <c r="I97" s="14" t="str">
        <f>HYPERLINK("https://gerandofalcoes.my.salesforce.com/0034X0000380O3yQAE", "0034X0000380O3yQAE")</f>
        <v>0034X0000380O3yQAE</v>
      </c>
      <c r="J97" s="2" t="s">
        <v>1630</v>
      </c>
      <c r="K97" s="3" t="s">
        <v>1631</v>
      </c>
    </row>
    <row r="98" spans="6:11" ht="12.5" x14ac:dyDescent="0.25">
      <c r="F98" s="2" t="s">
        <v>1632</v>
      </c>
      <c r="G98" s="2" t="s">
        <v>1632</v>
      </c>
      <c r="H98" s="2" t="b">
        <f t="shared" si="1"/>
        <v>1</v>
      </c>
      <c r="I98" s="14" t="str">
        <f>HYPERLINK("https://gerandofalcoes.my.salesforce.com/0034P00003maBVoQAM", "0034P00003maBVoQAM")</f>
        <v>0034P00003maBVoQAM</v>
      </c>
      <c r="J98" s="2" t="s">
        <v>1630</v>
      </c>
      <c r="K98" s="3" t="s">
        <v>1631</v>
      </c>
    </row>
    <row r="99" spans="6:11" ht="12.5" x14ac:dyDescent="0.25">
      <c r="F99" s="2" t="s">
        <v>1632</v>
      </c>
      <c r="G99" s="2" t="s">
        <v>1632</v>
      </c>
      <c r="H99" s="2" t="b">
        <f t="shared" si="1"/>
        <v>1</v>
      </c>
      <c r="I99" s="14" t="str">
        <f>HYPERLINK("https://gerandofalcoes.my.salesforce.com/0034P00003maBV5QAM", "0034P00003maBV5QAM")</f>
        <v>0034P00003maBV5QAM</v>
      </c>
      <c r="J99" s="2" t="s">
        <v>1630</v>
      </c>
      <c r="K99" s="3" t="s">
        <v>1631</v>
      </c>
    </row>
    <row r="100" spans="6:11" ht="12.5" x14ac:dyDescent="0.25">
      <c r="F100" s="2" t="s">
        <v>1632</v>
      </c>
      <c r="G100" s="2" t="s">
        <v>1632</v>
      </c>
      <c r="H100" s="2" t="b">
        <f t="shared" si="1"/>
        <v>1</v>
      </c>
      <c r="I100" s="14" t="str">
        <f>HYPERLINK("https://gerandofalcoes.my.salesforce.com/0034X0000380O65QAE", "0034X0000380O65QAE")</f>
        <v>0034X0000380O65QAE</v>
      </c>
      <c r="J100" s="2" t="s">
        <v>1630</v>
      </c>
      <c r="K100" s="3" t="s">
        <v>1631</v>
      </c>
    </row>
    <row r="101" spans="6:11" ht="12.5" x14ac:dyDescent="0.25">
      <c r="F101" s="2" t="s">
        <v>1632</v>
      </c>
      <c r="G101" s="2" t="s">
        <v>1632</v>
      </c>
      <c r="H101" s="2" t="b">
        <f t="shared" si="1"/>
        <v>1</v>
      </c>
      <c r="I101" s="14" t="str">
        <f>HYPERLINK("https://gerandofalcoes.my.salesforce.com/0034P000045kxjkQAA", "0034P000045kxjkQAA")</f>
        <v>0034P000045kxjkQAA</v>
      </c>
      <c r="J101" s="2" t="s">
        <v>1630</v>
      </c>
      <c r="K101" s="3" t="s">
        <v>1631</v>
      </c>
    </row>
    <row r="102" spans="6:11" ht="12.5" x14ac:dyDescent="0.25">
      <c r="F102" s="2" t="s">
        <v>1632</v>
      </c>
      <c r="G102" s="2" t="s">
        <v>1632</v>
      </c>
      <c r="H102" s="2" t="b">
        <f t="shared" si="1"/>
        <v>1</v>
      </c>
      <c r="I102" s="14" t="str">
        <f>HYPERLINK("https://gerandofalcoes.my.salesforce.com/0034P00003maBVmQAM", "0034P00003maBVmQAM")</f>
        <v>0034P00003maBVmQAM</v>
      </c>
      <c r="J102" s="2" t="s">
        <v>1630</v>
      </c>
      <c r="K102" s="3" t="s">
        <v>1631</v>
      </c>
    </row>
    <row r="103" spans="6:11" ht="12.5" x14ac:dyDescent="0.25">
      <c r="F103" s="2" t="s">
        <v>1632</v>
      </c>
      <c r="G103" s="2" t="s">
        <v>1632</v>
      </c>
      <c r="H103" s="2" t="b">
        <f t="shared" si="1"/>
        <v>1</v>
      </c>
      <c r="I103" s="14" t="str">
        <f>HYPERLINK("https://gerandofalcoes.my.salesforce.com/0034P000045kxk8QAA", "0034P000045kxk8QAA")</f>
        <v>0034P000045kxk8QAA</v>
      </c>
      <c r="J103" s="2" t="s">
        <v>1630</v>
      </c>
      <c r="K103" s="3" t="s">
        <v>1631</v>
      </c>
    </row>
    <row r="104" spans="6:11" ht="12.5" x14ac:dyDescent="0.25">
      <c r="F104" s="2" t="s">
        <v>1632</v>
      </c>
      <c r="G104" s="2" t="s">
        <v>1632</v>
      </c>
      <c r="H104" s="2" t="b">
        <f t="shared" si="1"/>
        <v>1</v>
      </c>
      <c r="I104" s="14" t="str">
        <f>HYPERLINK("https://gerandofalcoes.my.salesforce.com/0034P000043fOnmQAE", "0034P000043fOnmQAE")</f>
        <v>0034P000043fOnmQAE</v>
      </c>
      <c r="J104" s="2" t="s">
        <v>1630</v>
      </c>
      <c r="K104" s="3" t="s">
        <v>1631</v>
      </c>
    </row>
    <row r="105" spans="6:11" ht="12.5" x14ac:dyDescent="0.25">
      <c r="F105" s="2" t="s">
        <v>1632</v>
      </c>
      <c r="G105" s="2" t="s">
        <v>1632</v>
      </c>
      <c r="H105" s="2" t="b">
        <f t="shared" si="1"/>
        <v>1</v>
      </c>
      <c r="I105" s="14" t="str">
        <f>HYPERLINK("https://gerandofalcoes.my.salesforce.com/0034P000045kxjbQAA", "0034P000045kxjbQAA")</f>
        <v>0034P000045kxjbQAA</v>
      </c>
      <c r="J105" s="2" t="s">
        <v>1630</v>
      </c>
      <c r="K105" s="3" t="s">
        <v>1631</v>
      </c>
    </row>
    <row r="106" spans="6:11" ht="12.5" x14ac:dyDescent="0.25">
      <c r="F106" s="2" t="s">
        <v>1632</v>
      </c>
      <c r="G106" s="2" t="s">
        <v>1632</v>
      </c>
      <c r="H106" s="2" t="b">
        <f t="shared" si="1"/>
        <v>1</v>
      </c>
      <c r="I106" s="14" t="str">
        <f>HYPERLINK("https://gerandofalcoes.my.salesforce.com/0034P000045kxj5QAA", "0034P000045kxj5QAA")</f>
        <v>0034P000045kxj5QAA</v>
      </c>
      <c r="J106" s="2" t="s">
        <v>1630</v>
      </c>
      <c r="K106" s="3" t="s">
        <v>1631</v>
      </c>
    </row>
    <row r="107" spans="6:11" ht="12.5" x14ac:dyDescent="0.25">
      <c r="F107" s="2" t="s">
        <v>1632</v>
      </c>
      <c r="G107" s="2" t="s">
        <v>1632</v>
      </c>
      <c r="H107" s="2" t="b">
        <f t="shared" si="1"/>
        <v>1</v>
      </c>
      <c r="I107" s="14" t="str">
        <f>HYPERLINK("https://gerandofalcoes.my.salesforce.com/0034X0000380O3vQAE", "0034X0000380O3vQAE")</f>
        <v>0034X0000380O3vQAE</v>
      </c>
      <c r="J107" s="2" t="s">
        <v>1630</v>
      </c>
      <c r="K107" s="3" t="s">
        <v>1631</v>
      </c>
    </row>
    <row r="108" spans="6:11" ht="12.5" x14ac:dyDescent="0.25">
      <c r="F108" s="2" t="s">
        <v>1632</v>
      </c>
      <c r="G108" s="2" t="s">
        <v>1632</v>
      </c>
      <c r="H108" s="2" t="b">
        <f t="shared" si="1"/>
        <v>1</v>
      </c>
      <c r="I108" s="14" t="str">
        <f>HYPERLINK("https://gerandofalcoes.my.salesforce.com/0034P000045kxi2QAA", "0034P000045kxi2QAA")</f>
        <v>0034P000045kxi2QAA</v>
      </c>
      <c r="J108" s="2" t="s">
        <v>1630</v>
      </c>
      <c r="K108" s="3" t="s">
        <v>1631</v>
      </c>
    </row>
    <row r="109" spans="6:11" ht="12.5" x14ac:dyDescent="0.25">
      <c r="F109" s="2" t="s">
        <v>1632</v>
      </c>
      <c r="G109" s="2" t="s">
        <v>1632</v>
      </c>
      <c r="H109" s="2" t="b">
        <f t="shared" si="1"/>
        <v>1</v>
      </c>
      <c r="I109" s="14" t="str">
        <f>HYPERLINK("https://gerandofalcoes.my.salesforce.com/0034X0000380O4cQAE", "0034X0000380O4cQAE")</f>
        <v>0034X0000380O4cQAE</v>
      </c>
      <c r="J109" s="2" t="s">
        <v>1630</v>
      </c>
      <c r="K109" s="3" t="s">
        <v>1631</v>
      </c>
    </row>
    <row r="110" spans="6:11" ht="12.5" x14ac:dyDescent="0.25">
      <c r="F110" s="2" t="s">
        <v>1632</v>
      </c>
      <c r="G110" s="2" t="s">
        <v>1632</v>
      </c>
      <c r="H110" s="2" t="b">
        <f t="shared" si="1"/>
        <v>1</v>
      </c>
      <c r="I110" s="14" t="str">
        <f>HYPERLINK("https://gerandofalcoes.my.salesforce.com/0034X0000380O2vQAE", "0034X0000380O2vQAE")</f>
        <v>0034X0000380O2vQAE</v>
      </c>
      <c r="J110" s="2" t="s">
        <v>1630</v>
      </c>
      <c r="K110" s="3" t="s">
        <v>1631</v>
      </c>
    </row>
    <row r="111" spans="6:11" ht="12.5" x14ac:dyDescent="0.25">
      <c r="F111" s="2" t="s">
        <v>1632</v>
      </c>
      <c r="G111" s="2" t="s">
        <v>1632</v>
      </c>
      <c r="H111" s="2" t="b">
        <f t="shared" si="1"/>
        <v>1</v>
      </c>
      <c r="I111" s="14" t="str">
        <f>HYPERLINK("https://gerandofalcoes.my.salesforce.com/0034P000045kxkwQAA", "0034P000045kxkwQAA")</f>
        <v>0034P000045kxkwQAA</v>
      </c>
      <c r="J111" s="2" t="s">
        <v>1630</v>
      </c>
      <c r="K111" s="3" t="s">
        <v>1631</v>
      </c>
    </row>
    <row r="112" spans="6:11" ht="12.5" x14ac:dyDescent="0.25">
      <c r="F112" s="2" t="s">
        <v>1632</v>
      </c>
      <c r="G112" s="2" t="s">
        <v>1632</v>
      </c>
      <c r="H112" s="2" t="b">
        <f t="shared" si="1"/>
        <v>1</v>
      </c>
      <c r="I112" s="14" t="str">
        <f>HYPERLINK("https://gerandofalcoes.my.salesforce.com/0034P000043fOnbQAE", "0034P000043fOnbQAE")</f>
        <v>0034P000043fOnbQAE</v>
      </c>
      <c r="J112" s="2" t="s">
        <v>1630</v>
      </c>
      <c r="K112" s="3" t="s">
        <v>1631</v>
      </c>
    </row>
    <row r="113" spans="6:11" ht="12.5" x14ac:dyDescent="0.25">
      <c r="F113" s="2" t="s">
        <v>1632</v>
      </c>
      <c r="G113" s="2" t="s">
        <v>1632</v>
      </c>
      <c r="H113" s="2" t="b">
        <f t="shared" si="1"/>
        <v>1</v>
      </c>
      <c r="I113" s="14" t="str">
        <f>HYPERLINK("https://gerandofalcoes.my.salesforce.com/0034X0000380O5OQAU", "0034X0000380O5OQAU")</f>
        <v>0034X0000380O5OQAU</v>
      </c>
      <c r="J113" s="2" t="s">
        <v>1630</v>
      </c>
      <c r="K113" s="3" t="s">
        <v>1631</v>
      </c>
    </row>
    <row r="114" spans="6:11" ht="12.5" x14ac:dyDescent="0.25">
      <c r="F114" s="2" t="s">
        <v>1632</v>
      </c>
      <c r="G114" s="2" t="s">
        <v>1632</v>
      </c>
      <c r="H114" s="2" t="b">
        <f t="shared" si="1"/>
        <v>1</v>
      </c>
      <c r="I114" s="14" t="str">
        <f>HYPERLINK("https://gerandofalcoes.my.salesforce.com/0034X0000380O0oQAE", "0034X0000380O0oQAE")</f>
        <v>0034X0000380O0oQAE</v>
      </c>
      <c r="J114" s="2" t="s">
        <v>1630</v>
      </c>
      <c r="K114" s="3" t="s">
        <v>1631</v>
      </c>
    </row>
    <row r="115" spans="6:11" ht="12.5" x14ac:dyDescent="0.25">
      <c r="F115" s="2" t="s">
        <v>1632</v>
      </c>
      <c r="G115" s="2" t="s">
        <v>1632</v>
      </c>
      <c r="H115" s="2" t="b">
        <f t="shared" si="1"/>
        <v>1</v>
      </c>
      <c r="I115" s="14" t="str">
        <f>HYPERLINK("https://gerandofalcoes.my.salesforce.com/0034X0000380O0bQAE", "0034X0000380O0bQAE")</f>
        <v>0034X0000380O0bQAE</v>
      </c>
      <c r="J115" s="2" t="s">
        <v>1630</v>
      </c>
      <c r="K115" s="3" t="s">
        <v>1631</v>
      </c>
    </row>
    <row r="116" spans="6:11" ht="12.5" x14ac:dyDescent="0.25">
      <c r="F116" s="2" t="s">
        <v>1632</v>
      </c>
      <c r="G116" s="2" t="s">
        <v>1632</v>
      </c>
      <c r="H116" s="2" t="b">
        <f t="shared" si="1"/>
        <v>1</v>
      </c>
      <c r="I116" s="14" t="str">
        <f>HYPERLINK("https://gerandofalcoes.my.salesforce.com/0034X0000380O3ZQAU", "0034X0000380O3ZQAU")</f>
        <v>0034X0000380O3ZQAU</v>
      </c>
      <c r="J116" s="2" t="s">
        <v>1630</v>
      </c>
      <c r="K116" s="3" t="s">
        <v>1631</v>
      </c>
    </row>
    <row r="117" spans="6:11" ht="12.5" x14ac:dyDescent="0.25">
      <c r="F117" s="2" t="s">
        <v>1632</v>
      </c>
      <c r="G117" s="2" t="s">
        <v>1632</v>
      </c>
      <c r="H117" s="2" t="b">
        <f t="shared" si="1"/>
        <v>1</v>
      </c>
      <c r="I117" s="14" t="str">
        <f>HYPERLINK("https://gerandofalcoes.my.salesforce.com/0034X0000380O5lQAE", "0034X0000380O5lQAE")</f>
        <v>0034X0000380O5lQAE</v>
      </c>
      <c r="J117" s="2" t="s">
        <v>1630</v>
      </c>
      <c r="K117" s="3" t="s">
        <v>1631</v>
      </c>
    </row>
    <row r="118" spans="6:11" ht="12.5" x14ac:dyDescent="0.25">
      <c r="F118" s="2" t="s">
        <v>1632</v>
      </c>
      <c r="G118" s="2" t="s">
        <v>1632</v>
      </c>
      <c r="H118" s="2" t="b">
        <f t="shared" si="1"/>
        <v>1</v>
      </c>
      <c r="I118" s="14" t="str">
        <f>HYPERLINK("https://gerandofalcoes.my.salesforce.com/0034X0000380O5vQAE", "0034X0000380O5vQAE")</f>
        <v>0034X0000380O5vQAE</v>
      </c>
      <c r="J118" s="2" t="s">
        <v>1630</v>
      </c>
      <c r="K118" s="3" t="s">
        <v>1631</v>
      </c>
    </row>
    <row r="119" spans="6:11" ht="12.5" x14ac:dyDescent="0.25">
      <c r="F119" s="2" t="s">
        <v>1632</v>
      </c>
      <c r="G119" s="2" t="s">
        <v>1632</v>
      </c>
      <c r="H119" s="2" t="b">
        <f t="shared" si="1"/>
        <v>1</v>
      </c>
      <c r="I119" s="14" t="str">
        <f>HYPERLINK("https://gerandofalcoes.my.salesforce.com/0034P00003maBVBQA2", "0034P00003maBVBQA2")</f>
        <v>0034P00003maBVBQA2</v>
      </c>
      <c r="J119" s="2" t="s">
        <v>1630</v>
      </c>
      <c r="K119" s="3" t="s">
        <v>1631</v>
      </c>
    </row>
    <row r="120" spans="6:11" ht="12.5" x14ac:dyDescent="0.25">
      <c r="F120" s="2" t="s">
        <v>1632</v>
      </c>
      <c r="G120" s="2" t="s">
        <v>1632</v>
      </c>
      <c r="H120" s="2" t="b">
        <f t="shared" si="1"/>
        <v>1</v>
      </c>
      <c r="I120" s="14" t="str">
        <f>HYPERLINK("https://gerandofalcoes.my.salesforce.com/0034P000045kxjmQAA", "0034P000045kxjmQAA")</f>
        <v>0034P000045kxjmQAA</v>
      </c>
      <c r="J120" s="2" t="s">
        <v>1630</v>
      </c>
      <c r="K120" s="3" t="s">
        <v>1631</v>
      </c>
    </row>
    <row r="121" spans="6:11" ht="12.5" x14ac:dyDescent="0.25">
      <c r="F121" s="2" t="s">
        <v>1632</v>
      </c>
      <c r="G121" s="2" t="s">
        <v>1632</v>
      </c>
      <c r="H121" s="2" t="b">
        <f t="shared" si="1"/>
        <v>1</v>
      </c>
      <c r="I121" s="14" t="str">
        <f>HYPERLINK("https://gerandofalcoes.my.salesforce.com/0034P000043fOoAQAU", "0034P000043fOoAQAU")</f>
        <v>0034P000043fOoAQAU</v>
      </c>
      <c r="J121" s="2" t="s">
        <v>1630</v>
      </c>
      <c r="K121" s="3" t="s">
        <v>1631</v>
      </c>
    </row>
    <row r="122" spans="6:11" ht="12.5" x14ac:dyDescent="0.25">
      <c r="F122" s="2" t="s">
        <v>1632</v>
      </c>
      <c r="G122" s="2" t="s">
        <v>1632</v>
      </c>
      <c r="H122" s="2" t="b">
        <f t="shared" si="1"/>
        <v>1</v>
      </c>
      <c r="I122" s="14" t="str">
        <f>HYPERLINK("https://gerandofalcoes.my.salesforce.com/0034X0000380O4SQAU", "0034X0000380O4SQAU")</f>
        <v>0034X0000380O4SQAU</v>
      </c>
      <c r="J122" s="2" t="s">
        <v>1630</v>
      </c>
      <c r="K122" s="3" t="s">
        <v>1631</v>
      </c>
    </row>
    <row r="123" spans="6:11" ht="12.5" x14ac:dyDescent="0.25">
      <c r="F123" s="2" t="s">
        <v>1632</v>
      </c>
      <c r="G123" s="2" t="s">
        <v>1632</v>
      </c>
      <c r="H123" s="2" t="b">
        <f t="shared" si="1"/>
        <v>1</v>
      </c>
      <c r="I123" s="14" t="str">
        <f>HYPERLINK("https://gerandofalcoes.my.salesforce.com/0034P00003maBUxQAM", "0034P00003maBUxQAM")</f>
        <v>0034P00003maBUxQAM</v>
      </c>
      <c r="J123" s="2" t="s">
        <v>1630</v>
      </c>
      <c r="K123" s="3" t="s">
        <v>1631</v>
      </c>
    </row>
    <row r="124" spans="6:11" ht="12.5" x14ac:dyDescent="0.25">
      <c r="F124" s="2" t="s">
        <v>1632</v>
      </c>
      <c r="G124" s="2" t="s">
        <v>1632</v>
      </c>
      <c r="H124" s="2" t="b">
        <f t="shared" si="1"/>
        <v>1</v>
      </c>
      <c r="I124" s="14" t="str">
        <f>HYPERLINK("https://gerandofalcoes.my.salesforce.com/0034P000045kxiCQAQ", "0034P000045kxiCQAQ")</f>
        <v>0034P000045kxiCQAQ</v>
      </c>
      <c r="J124" s="2" t="s">
        <v>1630</v>
      </c>
      <c r="K124" s="3" t="s">
        <v>1631</v>
      </c>
    </row>
    <row r="125" spans="6:11" ht="12.5" x14ac:dyDescent="0.25">
      <c r="F125" s="2" t="s">
        <v>1632</v>
      </c>
      <c r="G125" s="2" t="s">
        <v>1632</v>
      </c>
      <c r="H125" s="2" t="b">
        <f t="shared" si="1"/>
        <v>1</v>
      </c>
      <c r="I125" s="14" t="str">
        <f>HYPERLINK("https://gerandofalcoes.my.salesforce.com/0034X0000380O4HQAU", "0034X0000380O4HQAU")</f>
        <v>0034X0000380O4HQAU</v>
      </c>
      <c r="J125" s="2" t="s">
        <v>1630</v>
      </c>
      <c r="K125" s="3" t="s">
        <v>1631</v>
      </c>
    </row>
    <row r="126" spans="6:11" ht="12.5" x14ac:dyDescent="0.25">
      <c r="F126" s="2" t="s">
        <v>1632</v>
      </c>
      <c r="G126" s="2" t="s">
        <v>1632</v>
      </c>
      <c r="H126" s="2" t="b">
        <f t="shared" si="1"/>
        <v>1</v>
      </c>
      <c r="I126" s="14" t="str">
        <f>HYPERLINK("https://gerandofalcoes.my.salesforce.com/0034X0000340kpLQAQ", "0034X0000340kpLQAQ")</f>
        <v>0034X0000340kpLQAQ</v>
      </c>
      <c r="J126" s="2" t="s">
        <v>1630</v>
      </c>
      <c r="K126" s="3" t="s">
        <v>1631</v>
      </c>
    </row>
    <row r="127" spans="6:11" ht="12.5" x14ac:dyDescent="0.25">
      <c r="F127" s="2" t="s">
        <v>1632</v>
      </c>
      <c r="G127" s="2" t="s">
        <v>1632</v>
      </c>
      <c r="H127" s="2" t="b">
        <f t="shared" si="1"/>
        <v>1</v>
      </c>
      <c r="I127" s="14" t="str">
        <f>HYPERLINK("https://gerandofalcoes.my.salesforce.com/0034P000043fOo5QAE", "0034P000043fOo5QAE")</f>
        <v>0034P000043fOo5QAE</v>
      </c>
      <c r="J127" s="2" t="s">
        <v>1630</v>
      </c>
      <c r="K127" s="3" t="s">
        <v>1631</v>
      </c>
    </row>
    <row r="128" spans="6:11" ht="12.5" x14ac:dyDescent="0.25">
      <c r="F128" s="2" t="s">
        <v>1632</v>
      </c>
      <c r="G128" s="2" t="s">
        <v>1632</v>
      </c>
      <c r="H128" s="2" t="b">
        <f t="shared" si="1"/>
        <v>1</v>
      </c>
      <c r="I128" s="14" t="str">
        <f>HYPERLINK("https://gerandofalcoes.my.salesforce.com/0034X0000380O33QAE", "0034X0000380O33QAE")</f>
        <v>0034X0000380O33QAE</v>
      </c>
      <c r="J128" s="2" t="s">
        <v>1630</v>
      </c>
      <c r="K128" s="3" t="s">
        <v>1631</v>
      </c>
    </row>
    <row r="129" spans="6:11" ht="12.5" x14ac:dyDescent="0.25">
      <c r="F129" s="2" t="s">
        <v>1632</v>
      </c>
      <c r="G129" s="2" t="s">
        <v>1632</v>
      </c>
      <c r="H129" s="2" t="b">
        <f t="shared" si="1"/>
        <v>1</v>
      </c>
      <c r="I129" s="14" t="str">
        <f>HYPERLINK("https://gerandofalcoes.my.salesforce.com/0034X0000380O3bQAE", "0034X0000380O3bQAE")</f>
        <v>0034X0000380O3bQAE</v>
      </c>
      <c r="J129" s="2" t="s">
        <v>1630</v>
      </c>
      <c r="K129" s="3" t="s">
        <v>1631</v>
      </c>
    </row>
    <row r="130" spans="6:11" ht="12.5" x14ac:dyDescent="0.25">
      <c r="F130" s="2" t="s">
        <v>1632</v>
      </c>
      <c r="G130" s="2" t="s">
        <v>1632</v>
      </c>
      <c r="H130" s="2" t="b">
        <f t="shared" ref="H130:H193" si="2">G130=B130</f>
        <v>1</v>
      </c>
      <c r="I130" s="14" t="str">
        <f>HYPERLINK("https://gerandofalcoes.my.salesforce.com/0034X0000380O1iQAE", "0034X0000380O1iQAE")</f>
        <v>0034X0000380O1iQAE</v>
      </c>
      <c r="J130" s="2" t="s">
        <v>1630</v>
      </c>
      <c r="K130" s="3" t="s">
        <v>1631</v>
      </c>
    </row>
    <row r="131" spans="6:11" ht="12.5" x14ac:dyDescent="0.25">
      <c r="F131" s="2" t="s">
        <v>1632</v>
      </c>
      <c r="G131" s="2" t="s">
        <v>1632</v>
      </c>
      <c r="H131" s="2" t="b">
        <f t="shared" si="2"/>
        <v>1</v>
      </c>
      <c r="I131" s="14" t="str">
        <f>HYPERLINK("https://gerandofalcoes.my.salesforce.com/0034X0000380O5zQAE", "0034X0000380O5zQAE")</f>
        <v>0034X0000380O5zQAE</v>
      </c>
      <c r="J131" s="2" t="s">
        <v>1630</v>
      </c>
      <c r="K131" s="3" t="s">
        <v>1631</v>
      </c>
    </row>
    <row r="132" spans="6:11" ht="12.5" x14ac:dyDescent="0.25">
      <c r="F132" s="2" t="s">
        <v>1632</v>
      </c>
      <c r="G132" s="2" t="s">
        <v>1632</v>
      </c>
      <c r="H132" s="2" t="b">
        <f t="shared" si="2"/>
        <v>1</v>
      </c>
      <c r="I132" s="14" t="str">
        <f>HYPERLINK("https://gerandofalcoes.my.salesforce.com/0034X0000380O5JQAU", "0034X0000380O5JQAU")</f>
        <v>0034X0000380O5JQAU</v>
      </c>
      <c r="J132" s="2" t="s">
        <v>1630</v>
      </c>
      <c r="K132" s="3" t="s">
        <v>1631</v>
      </c>
    </row>
    <row r="133" spans="6:11" ht="12.5" x14ac:dyDescent="0.25">
      <c r="F133" s="2" t="s">
        <v>1632</v>
      </c>
      <c r="G133" s="2" t="s">
        <v>1632</v>
      </c>
      <c r="H133" s="2" t="b">
        <f t="shared" si="2"/>
        <v>1</v>
      </c>
      <c r="I133" s="14" t="str">
        <f>HYPERLINK("https://gerandofalcoes.my.salesforce.com/0034P000045kxkLQAQ", "0034P000045kxkLQAQ")</f>
        <v>0034P000045kxkLQAQ</v>
      </c>
      <c r="J133" s="2" t="s">
        <v>1630</v>
      </c>
      <c r="K133" s="3" t="s">
        <v>1631</v>
      </c>
    </row>
    <row r="134" spans="6:11" ht="12.5" x14ac:dyDescent="0.25">
      <c r="F134" s="2" t="s">
        <v>1632</v>
      </c>
      <c r="G134" s="2" t="s">
        <v>1632</v>
      </c>
      <c r="H134" s="2" t="b">
        <f t="shared" si="2"/>
        <v>1</v>
      </c>
      <c r="I134" s="14" t="str">
        <f>HYPERLINK("https://gerandofalcoes.my.salesforce.com/0034P00003maBVPQA2", "0034P00003maBVPQA2")</f>
        <v>0034P00003maBVPQA2</v>
      </c>
      <c r="J134" s="2" t="s">
        <v>1630</v>
      </c>
      <c r="K134" s="3" t="s">
        <v>1631</v>
      </c>
    </row>
    <row r="135" spans="6:11" ht="12.5" x14ac:dyDescent="0.25">
      <c r="F135" s="2" t="s">
        <v>1632</v>
      </c>
      <c r="G135" s="2" t="s">
        <v>1632</v>
      </c>
      <c r="H135" s="2" t="b">
        <f t="shared" si="2"/>
        <v>1</v>
      </c>
      <c r="I135" s="14" t="str">
        <f>HYPERLINK("https://gerandofalcoes.my.salesforce.com/0034P000045kxiaQAA", "0034P000045kxiaQAA")</f>
        <v>0034P000045kxiaQAA</v>
      </c>
      <c r="J135" s="2" t="s">
        <v>1630</v>
      </c>
      <c r="K135" s="3" t="s">
        <v>1631</v>
      </c>
    </row>
    <row r="136" spans="6:11" ht="12.5" x14ac:dyDescent="0.25">
      <c r="F136" s="2" t="s">
        <v>1632</v>
      </c>
      <c r="G136" s="2" t="s">
        <v>1632</v>
      </c>
      <c r="H136" s="2" t="b">
        <f t="shared" si="2"/>
        <v>1</v>
      </c>
      <c r="I136" s="14" t="str">
        <f>HYPERLINK("https://gerandofalcoes.my.salesforce.com/0034P000043fOnfQAE", "0034P000043fOnfQAE")</f>
        <v>0034P000043fOnfQAE</v>
      </c>
      <c r="J136" s="2" t="s">
        <v>1630</v>
      </c>
      <c r="K136" s="3" t="s">
        <v>1631</v>
      </c>
    </row>
    <row r="137" spans="6:11" ht="12.5" x14ac:dyDescent="0.25">
      <c r="F137" s="2" t="s">
        <v>1632</v>
      </c>
      <c r="G137" s="2" t="s">
        <v>1632</v>
      </c>
      <c r="H137" s="2" t="b">
        <f t="shared" si="2"/>
        <v>1</v>
      </c>
      <c r="I137" s="14" t="str">
        <f>HYPERLINK("https://gerandofalcoes.my.salesforce.com/0034P000045kxjLQAQ", "0034P000045kxjLQAQ")</f>
        <v>0034P000045kxjLQAQ</v>
      </c>
      <c r="J137" s="2" t="s">
        <v>1630</v>
      </c>
      <c r="K137" s="3" t="s">
        <v>1631</v>
      </c>
    </row>
    <row r="138" spans="6:11" ht="12.5" x14ac:dyDescent="0.25">
      <c r="F138" s="2" t="s">
        <v>1632</v>
      </c>
      <c r="G138" s="2" t="s">
        <v>1632</v>
      </c>
      <c r="H138" s="2" t="b">
        <f t="shared" si="2"/>
        <v>1</v>
      </c>
      <c r="I138" s="14" t="str">
        <f>HYPERLINK("https://gerandofalcoes.my.salesforce.com/0034X0000380O2LQAU", "0034X0000380O2LQAU")</f>
        <v>0034X0000380O2LQAU</v>
      </c>
      <c r="J138" s="2" t="s">
        <v>1630</v>
      </c>
      <c r="K138" s="3" t="s">
        <v>1631</v>
      </c>
    </row>
    <row r="139" spans="6:11" ht="12.5" x14ac:dyDescent="0.25">
      <c r="F139" s="2" t="s">
        <v>1632</v>
      </c>
      <c r="G139" s="2" t="s">
        <v>1632</v>
      </c>
      <c r="H139" s="2" t="b">
        <f t="shared" si="2"/>
        <v>1</v>
      </c>
      <c r="I139" s="14" t="str">
        <f>HYPERLINK("https://gerandofalcoes.my.salesforce.com/0034P00003maBV4QAM", "0034P00003maBV4QAM")</f>
        <v>0034P00003maBV4QAM</v>
      </c>
      <c r="J139" s="2" t="s">
        <v>1630</v>
      </c>
      <c r="K139" s="3" t="s">
        <v>1631</v>
      </c>
    </row>
    <row r="140" spans="6:11" ht="12.5" x14ac:dyDescent="0.25">
      <c r="F140" s="2" t="s">
        <v>1632</v>
      </c>
      <c r="G140" s="2" t="s">
        <v>1632</v>
      </c>
      <c r="H140" s="2" t="b">
        <f t="shared" si="2"/>
        <v>1</v>
      </c>
      <c r="I140" s="14" t="str">
        <f>HYPERLINK("https://gerandofalcoes.my.salesforce.com/0034P000045kxjGQAQ", "0034P000045kxjGQAQ")</f>
        <v>0034P000045kxjGQAQ</v>
      </c>
      <c r="J140" s="2" t="s">
        <v>1630</v>
      </c>
      <c r="K140" s="3" t="s">
        <v>1631</v>
      </c>
    </row>
    <row r="141" spans="6:11" ht="12.5" x14ac:dyDescent="0.25">
      <c r="F141" s="2" t="s">
        <v>1632</v>
      </c>
      <c r="G141" s="2" t="s">
        <v>1632</v>
      </c>
      <c r="H141" s="2" t="b">
        <f t="shared" si="2"/>
        <v>1</v>
      </c>
      <c r="I141" s="14" t="str">
        <f>HYPERLINK("https://gerandofalcoes.my.salesforce.com/0034X000037xhcqQAA", "0034X000037xhcqQAA")</f>
        <v>0034X000037xhcqQAA</v>
      </c>
      <c r="J141" s="2" t="s">
        <v>1630</v>
      </c>
      <c r="K141" s="3" t="s">
        <v>1631</v>
      </c>
    </row>
    <row r="142" spans="6:11" ht="12.5" x14ac:dyDescent="0.25">
      <c r="F142" s="2" t="s">
        <v>1632</v>
      </c>
      <c r="G142" s="2" t="s">
        <v>1632</v>
      </c>
      <c r="H142" s="2" t="b">
        <f t="shared" si="2"/>
        <v>1</v>
      </c>
      <c r="I142" s="14" t="str">
        <f>HYPERLINK("https://gerandofalcoes.my.salesforce.com/0034X000038zvcxQAA", "0034X000038zvcxQAA")</f>
        <v>0034X000038zvcxQAA</v>
      </c>
      <c r="J142" s="2" t="s">
        <v>1630</v>
      </c>
      <c r="K142" s="3" t="s">
        <v>1631</v>
      </c>
    </row>
    <row r="143" spans="6:11" ht="12.5" x14ac:dyDescent="0.25">
      <c r="F143" s="2" t="s">
        <v>1632</v>
      </c>
      <c r="G143" s="2" t="s">
        <v>1632</v>
      </c>
      <c r="H143" s="2" t="b">
        <f t="shared" si="2"/>
        <v>1</v>
      </c>
      <c r="I143" s="14" t="str">
        <f>HYPERLINK("https://gerandofalcoes.my.salesforce.com/0034X0000380O2nQAE", "0034X0000380O2nQAE")</f>
        <v>0034X0000380O2nQAE</v>
      </c>
      <c r="J143" s="2" t="s">
        <v>1630</v>
      </c>
      <c r="K143" s="3" t="s">
        <v>1631</v>
      </c>
    </row>
    <row r="144" spans="6:11" ht="12.5" x14ac:dyDescent="0.25">
      <c r="F144" s="2" t="s">
        <v>1632</v>
      </c>
      <c r="G144" s="2" t="s">
        <v>1632</v>
      </c>
      <c r="H144" s="2" t="b">
        <f t="shared" si="2"/>
        <v>1</v>
      </c>
      <c r="I144" s="14" t="str">
        <f>HYPERLINK("https://gerandofalcoes.my.salesforce.com/0034X0000315PQzQAM", "0034X0000315PQzQAM")</f>
        <v>0034X0000315PQzQAM</v>
      </c>
      <c r="J144" s="2" t="s">
        <v>1630</v>
      </c>
      <c r="K144" s="3" t="s">
        <v>1631</v>
      </c>
    </row>
    <row r="145" spans="6:11" ht="12.5" x14ac:dyDescent="0.25">
      <c r="F145" s="2" t="s">
        <v>1632</v>
      </c>
      <c r="G145" s="2" t="s">
        <v>1632</v>
      </c>
      <c r="H145" s="2" t="b">
        <f t="shared" si="2"/>
        <v>1</v>
      </c>
      <c r="I145" s="14" t="str">
        <f>HYPERLINK("https://gerandofalcoes.my.salesforce.com/0034P000045kxkKQAQ", "0034P000045kxkKQAQ")</f>
        <v>0034P000045kxkKQAQ</v>
      </c>
      <c r="J145" s="2" t="s">
        <v>1630</v>
      </c>
      <c r="K145" s="3" t="s">
        <v>1631</v>
      </c>
    </row>
    <row r="146" spans="6:11" ht="12.5" x14ac:dyDescent="0.25">
      <c r="F146" s="2" t="s">
        <v>1632</v>
      </c>
      <c r="G146" s="2" t="s">
        <v>1632</v>
      </c>
      <c r="H146" s="2" t="b">
        <f t="shared" si="2"/>
        <v>1</v>
      </c>
      <c r="I146" s="14" t="str">
        <f>HYPERLINK("https://gerandofalcoes.my.salesforce.com/0034P00003maBVSQA2", "0034P00003maBVSQA2")</f>
        <v>0034P00003maBVSQA2</v>
      </c>
      <c r="J146" s="2" t="s">
        <v>1630</v>
      </c>
      <c r="K146" s="3" t="s">
        <v>1631</v>
      </c>
    </row>
    <row r="147" spans="6:11" ht="12.5" x14ac:dyDescent="0.25">
      <c r="F147" s="2" t="s">
        <v>1632</v>
      </c>
      <c r="G147" s="2" t="s">
        <v>1632</v>
      </c>
      <c r="H147" s="2" t="b">
        <f t="shared" si="2"/>
        <v>1</v>
      </c>
      <c r="I147" s="14" t="str">
        <f>HYPERLINK("https://gerandofalcoes.my.salesforce.com/0034P000045kxjqQAA", "0034P000045kxjqQAA")</f>
        <v>0034P000045kxjqQAA</v>
      </c>
      <c r="J147" s="2" t="s">
        <v>1630</v>
      </c>
      <c r="K147" s="3" t="s">
        <v>1631</v>
      </c>
    </row>
    <row r="148" spans="6:11" ht="12.5" x14ac:dyDescent="0.25">
      <c r="F148" s="2" t="s">
        <v>1632</v>
      </c>
      <c r="G148" s="2" t="s">
        <v>1632</v>
      </c>
      <c r="H148" s="2" t="b">
        <f t="shared" si="2"/>
        <v>1</v>
      </c>
      <c r="I148" s="14" t="str">
        <f>HYPERLINK("https://gerandofalcoes.my.salesforce.com/0034X0000380O6rQAE", "0034X0000380O6rQAE")</f>
        <v>0034X0000380O6rQAE</v>
      </c>
      <c r="J148" s="2" t="s">
        <v>1630</v>
      </c>
      <c r="K148" s="3" t="s">
        <v>1631</v>
      </c>
    </row>
    <row r="149" spans="6:11" ht="12.5" x14ac:dyDescent="0.25">
      <c r="F149" s="2" t="s">
        <v>1632</v>
      </c>
      <c r="G149" s="2" t="s">
        <v>1632</v>
      </c>
      <c r="H149" s="2" t="b">
        <f t="shared" si="2"/>
        <v>1</v>
      </c>
      <c r="I149" s="14" t="str">
        <f>HYPERLINK("https://gerandofalcoes.my.salesforce.com/0034P00003maBVYQA2", "0034P00003maBVYQA2")</f>
        <v>0034P00003maBVYQA2</v>
      </c>
      <c r="J149" s="2" t="s">
        <v>1630</v>
      </c>
      <c r="K149" s="3" t="s">
        <v>1631</v>
      </c>
    </row>
    <row r="150" spans="6:11" ht="12.5" x14ac:dyDescent="0.25">
      <c r="F150" s="2" t="s">
        <v>1632</v>
      </c>
      <c r="G150" s="2" t="s">
        <v>1632</v>
      </c>
      <c r="H150" s="2" t="b">
        <f t="shared" si="2"/>
        <v>1</v>
      </c>
      <c r="I150" s="14" t="str">
        <f>HYPERLINK("https://gerandofalcoes.my.salesforce.com/0034X0000380O3mQAE", "0034X0000380O3mQAE")</f>
        <v>0034X0000380O3mQAE</v>
      </c>
      <c r="J150" s="2" t="s">
        <v>1630</v>
      </c>
      <c r="K150" s="3" t="s">
        <v>1631</v>
      </c>
    </row>
    <row r="151" spans="6:11" ht="12.5" x14ac:dyDescent="0.25">
      <c r="F151" s="2" t="s">
        <v>1632</v>
      </c>
      <c r="G151" s="2" t="s">
        <v>1632</v>
      </c>
      <c r="H151" s="2" t="b">
        <f t="shared" si="2"/>
        <v>1</v>
      </c>
      <c r="I151" s="14" t="str">
        <f>HYPERLINK("https://gerandofalcoes.my.salesforce.com/0034X0000380O3LQAU", "0034X0000380O3LQAU")</f>
        <v>0034X0000380O3LQAU</v>
      </c>
      <c r="J151" s="2" t="s">
        <v>1630</v>
      </c>
      <c r="K151" s="3" t="s">
        <v>1631</v>
      </c>
    </row>
    <row r="152" spans="6:11" ht="12.5" x14ac:dyDescent="0.25">
      <c r="F152" s="2" t="s">
        <v>1632</v>
      </c>
      <c r="G152" s="2" t="s">
        <v>1632</v>
      </c>
      <c r="H152" s="2" t="b">
        <f t="shared" si="2"/>
        <v>1</v>
      </c>
      <c r="I152" s="14" t="str">
        <f>HYPERLINK("https://gerandofalcoes.my.salesforce.com/0034X0000380O2sQAE", "0034X0000380O2sQAE")</f>
        <v>0034X0000380O2sQAE</v>
      </c>
      <c r="J152" s="2" t="s">
        <v>1630</v>
      </c>
      <c r="K152" s="3" t="s">
        <v>1631</v>
      </c>
    </row>
    <row r="153" spans="6:11" ht="12.5" x14ac:dyDescent="0.25">
      <c r="F153" s="2" t="s">
        <v>1632</v>
      </c>
      <c r="G153" s="2" t="s">
        <v>1632</v>
      </c>
      <c r="H153" s="2" t="b">
        <f t="shared" si="2"/>
        <v>1</v>
      </c>
      <c r="I153" s="14" t="str">
        <f>HYPERLINK("https://gerandofalcoes.my.salesforce.com/0034X0000380O0mQAE", "0034X0000380O0mQAE")</f>
        <v>0034X0000380O0mQAE</v>
      </c>
      <c r="J153" s="2" t="s">
        <v>1630</v>
      </c>
      <c r="K153" s="3" t="s">
        <v>1631</v>
      </c>
    </row>
    <row r="154" spans="6:11" ht="12.5" x14ac:dyDescent="0.25">
      <c r="F154" s="2" t="s">
        <v>1632</v>
      </c>
      <c r="G154" s="2" t="s">
        <v>1632</v>
      </c>
      <c r="H154" s="2" t="b">
        <f t="shared" si="2"/>
        <v>1</v>
      </c>
      <c r="I154" s="14" t="str">
        <f>HYPERLINK("https://gerandofalcoes.my.salesforce.com/0034P000043fPDiQAM", "0034P000043fPDiQAM")</f>
        <v>0034P000043fPDiQAM</v>
      </c>
      <c r="J154" s="2" t="s">
        <v>1630</v>
      </c>
      <c r="K154" s="3" t="s">
        <v>1631</v>
      </c>
    </row>
    <row r="155" spans="6:11" ht="12.5" x14ac:dyDescent="0.25">
      <c r="F155" s="2" t="s">
        <v>1632</v>
      </c>
      <c r="G155" s="2" t="s">
        <v>1632</v>
      </c>
      <c r="H155" s="2" t="b">
        <f t="shared" si="2"/>
        <v>1</v>
      </c>
      <c r="I155" s="14" t="str">
        <f>HYPERLINK("https://gerandofalcoes.my.salesforce.com/0034P000043fOnQQAU", "0034P000043fOnQQAU")</f>
        <v>0034P000043fOnQQAU</v>
      </c>
      <c r="J155" s="2" t="s">
        <v>1630</v>
      </c>
      <c r="K155" s="3" t="s">
        <v>1631</v>
      </c>
    </row>
    <row r="156" spans="6:11" ht="12.5" x14ac:dyDescent="0.25">
      <c r="F156" s="2" t="s">
        <v>1632</v>
      </c>
      <c r="G156" s="2" t="s">
        <v>1632</v>
      </c>
      <c r="H156" s="2" t="b">
        <f t="shared" si="2"/>
        <v>1</v>
      </c>
      <c r="I156" s="14" t="str">
        <f>HYPERLINK("https://gerandofalcoes.my.salesforce.com/0034X0000380O0uQAE", "0034X0000380O0uQAE")</f>
        <v>0034X0000380O0uQAE</v>
      </c>
      <c r="J156" s="2" t="s">
        <v>1630</v>
      </c>
      <c r="K156" s="3" t="s">
        <v>1631</v>
      </c>
    </row>
    <row r="157" spans="6:11" ht="12.5" x14ac:dyDescent="0.25">
      <c r="F157" s="2" t="s">
        <v>1632</v>
      </c>
      <c r="G157" s="2" t="s">
        <v>1632</v>
      </c>
      <c r="H157" s="2" t="b">
        <f t="shared" si="2"/>
        <v>1</v>
      </c>
      <c r="I157" s="14" t="str">
        <f>HYPERLINK("https://gerandofalcoes.my.salesforce.com/0034P00003maBVIQA2", "0034P00003maBVIQA2")</f>
        <v>0034P00003maBVIQA2</v>
      </c>
      <c r="J157" s="2" t="s">
        <v>1630</v>
      </c>
      <c r="K157" s="3" t="s">
        <v>1631</v>
      </c>
    </row>
    <row r="158" spans="6:11" ht="12.5" x14ac:dyDescent="0.25">
      <c r="F158" s="2" t="s">
        <v>1632</v>
      </c>
      <c r="G158" s="2" t="s">
        <v>1632</v>
      </c>
      <c r="H158" s="2" t="b">
        <f t="shared" si="2"/>
        <v>1</v>
      </c>
      <c r="I158" s="14" t="str">
        <f>HYPERLINK("https://gerandofalcoes.my.salesforce.com/0034X0000380O0pQAE", "0034X0000380O0pQAE")</f>
        <v>0034X0000380O0pQAE</v>
      </c>
      <c r="J158" s="2" t="s">
        <v>1630</v>
      </c>
      <c r="K158" s="3" t="s">
        <v>1631</v>
      </c>
    </row>
    <row r="159" spans="6:11" ht="12.5" x14ac:dyDescent="0.25">
      <c r="F159" s="2" t="s">
        <v>1632</v>
      </c>
      <c r="G159" s="2" t="s">
        <v>1632</v>
      </c>
      <c r="H159" s="2" t="b">
        <f t="shared" si="2"/>
        <v>1</v>
      </c>
      <c r="I159" s="14" t="str">
        <f>HYPERLINK("https://gerandofalcoes.my.salesforce.com/0034P00003maBVWQA2", "0034P00003maBVWQA2")</f>
        <v>0034P00003maBVWQA2</v>
      </c>
      <c r="J159" s="2" t="s">
        <v>1630</v>
      </c>
      <c r="K159" s="3" t="s">
        <v>1631</v>
      </c>
    </row>
    <row r="160" spans="6:11" ht="12.5" x14ac:dyDescent="0.25">
      <c r="F160" s="2" t="s">
        <v>1632</v>
      </c>
      <c r="G160" s="2" t="s">
        <v>1632</v>
      </c>
      <c r="H160" s="2" t="b">
        <f t="shared" si="2"/>
        <v>1</v>
      </c>
      <c r="I160" s="14" t="str">
        <f>HYPERLINK("https://gerandofalcoes.my.salesforce.com/0034P000045kxkIQAQ", "0034P000045kxkIQAQ")</f>
        <v>0034P000045kxkIQAQ</v>
      </c>
      <c r="J160" s="2" t="s">
        <v>1630</v>
      </c>
      <c r="K160" s="3" t="s">
        <v>1631</v>
      </c>
    </row>
    <row r="161" spans="6:11" ht="12.5" x14ac:dyDescent="0.25">
      <c r="F161" s="2" t="s">
        <v>1632</v>
      </c>
      <c r="G161" s="2" t="s">
        <v>1632</v>
      </c>
      <c r="H161" s="2" t="b">
        <f t="shared" si="2"/>
        <v>1</v>
      </c>
      <c r="I161" s="14" t="str">
        <f>HYPERLINK("https://gerandofalcoes.my.salesforce.com/0034P000045kxiFQAQ", "0034P000045kxiFQAQ")</f>
        <v>0034P000045kxiFQAQ</v>
      </c>
      <c r="J161" s="2" t="s">
        <v>1630</v>
      </c>
      <c r="K161" s="3" t="s">
        <v>1631</v>
      </c>
    </row>
    <row r="162" spans="6:11" ht="12.5" x14ac:dyDescent="0.25">
      <c r="F162" s="2" t="s">
        <v>1632</v>
      </c>
      <c r="G162" s="2" t="s">
        <v>1632</v>
      </c>
      <c r="H162" s="2" t="b">
        <f t="shared" si="2"/>
        <v>1</v>
      </c>
      <c r="I162" s="14" t="str">
        <f>HYPERLINK("https://gerandofalcoes.my.salesforce.com/0034P000045kxjoQAA", "0034P000045kxjoQAA")</f>
        <v>0034P000045kxjoQAA</v>
      </c>
      <c r="J162" s="2" t="s">
        <v>1630</v>
      </c>
      <c r="K162" s="3" t="s">
        <v>1631</v>
      </c>
    </row>
    <row r="163" spans="6:11" ht="12.5" x14ac:dyDescent="0.25">
      <c r="F163" s="2" t="s">
        <v>1632</v>
      </c>
      <c r="G163" s="2" t="s">
        <v>1632</v>
      </c>
      <c r="H163" s="2" t="b">
        <f t="shared" si="2"/>
        <v>1</v>
      </c>
      <c r="I163" s="14" t="str">
        <f>HYPERLINK("https://gerandofalcoes.my.salesforce.com/0034P00003maBV6QAM", "0034P00003maBV6QAM")</f>
        <v>0034P00003maBV6QAM</v>
      </c>
      <c r="J163" s="2" t="s">
        <v>1630</v>
      </c>
      <c r="K163" s="3" t="s">
        <v>1631</v>
      </c>
    </row>
    <row r="164" spans="6:11" ht="12.5" x14ac:dyDescent="0.25">
      <c r="F164" s="2" t="s">
        <v>1632</v>
      </c>
      <c r="G164" s="2" t="s">
        <v>1632</v>
      </c>
      <c r="H164" s="2" t="b">
        <f t="shared" si="2"/>
        <v>1</v>
      </c>
      <c r="I164" s="14" t="str">
        <f>HYPERLINK("https://gerandofalcoes.my.salesforce.com/0034X0000380O4XQAU", "0034X0000380O4XQAU")</f>
        <v>0034X0000380O4XQAU</v>
      </c>
      <c r="J164" s="2" t="s">
        <v>1630</v>
      </c>
      <c r="K164" s="3" t="s">
        <v>1631</v>
      </c>
    </row>
    <row r="165" spans="6:11" ht="12.5" x14ac:dyDescent="0.25">
      <c r="F165" s="2" t="s">
        <v>1632</v>
      </c>
      <c r="G165" s="2" t="s">
        <v>1632</v>
      </c>
      <c r="H165" s="2" t="b">
        <f t="shared" si="2"/>
        <v>1</v>
      </c>
      <c r="I165" s="14" t="str">
        <f>HYPERLINK("https://gerandofalcoes.my.salesforce.com/0034X0000380O5SQAU", "0034X0000380O5SQAU")</f>
        <v>0034X0000380O5SQAU</v>
      </c>
      <c r="J165" s="2" t="s">
        <v>1630</v>
      </c>
      <c r="K165" s="3" t="s">
        <v>1631</v>
      </c>
    </row>
    <row r="166" spans="6:11" ht="12.5" x14ac:dyDescent="0.25">
      <c r="F166" s="2" t="s">
        <v>1632</v>
      </c>
      <c r="G166" s="2" t="s">
        <v>1632</v>
      </c>
      <c r="H166" s="2" t="b">
        <f t="shared" si="2"/>
        <v>1</v>
      </c>
      <c r="I166" s="14" t="str">
        <f>HYPERLINK("https://gerandofalcoes.my.salesforce.com/0034X0000380O2kQAE", "0034X0000380O2kQAE")</f>
        <v>0034X0000380O2kQAE</v>
      </c>
      <c r="J166" s="2" t="s">
        <v>1630</v>
      </c>
      <c r="K166" s="3" t="s">
        <v>1631</v>
      </c>
    </row>
    <row r="167" spans="6:11" ht="12.5" x14ac:dyDescent="0.25">
      <c r="F167" s="2" t="s">
        <v>1632</v>
      </c>
      <c r="G167" s="2" t="s">
        <v>1632</v>
      </c>
      <c r="H167" s="2" t="b">
        <f t="shared" si="2"/>
        <v>1</v>
      </c>
      <c r="I167" s="14" t="str">
        <f>HYPERLINK("https://gerandofalcoes.my.salesforce.com/0034P000045kxi8QAA", "0034P000045kxi8QAA")</f>
        <v>0034P000045kxi8QAA</v>
      </c>
      <c r="J167" s="2" t="s">
        <v>1630</v>
      </c>
      <c r="K167" s="3" t="s">
        <v>1631</v>
      </c>
    </row>
    <row r="168" spans="6:11" ht="12.5" x14ac:dyDescent="0.25">
      <c r="F168" s="2" t="s">
        <v>1632</v>
      </c>
      <c r="G168" s="2" t="s">
        <v>1632</v>
      </c>
      <c r="H168" s="2" t="b">
        <f t="shared" si="2"/>
        <v>1</v>
      </c>
      <c r="I168" s="14" t="str">
        <f>HYPERLINK("https://gerandofalcoes.my.salesforce.com/0034P000045kxkkQAA", "0034P000045kxkkQAA")</f>
        <v>0034P000045kxkkQAA</v>
      </c>
      <c r="J168" s="2" t="s">
        <v>1630</v>
      </c>
      <c r="K168" s="3" t="s">
        <v>1631</v>
      </c>
    </row>
    <row r="169" spans="6:11" ht="12.5" x14ac:dyDescent="0.25">
      <c r="F169" s="2" t="s">
        <v>1632</v>
      </c>
      <c r="G169" s="2" t="s">
        <v>1632</v>
      </c>
      <c r="H169" s="2" t="b">
        <f t="shared" si="2"/>
        <v>1</v>
      </c>
      <c r="I169" s="14" t="str">
        <f>HYPERLINK("https://gerandofalcoes.my.salesforce.com/0034X0000380O3jQAE", "0034X0000380O3jQAE")</f>
        <v>0034X0000380O3jQAE</v>
      </c>
      <c r="J169" s="2" t="s">
        <v>1630</v>
      </c>
      <c r="K169" s="3" t="s">
        <v>1631</v>
      </c>
    </row>
    <row r="170" spans="6:11" ht="12.5" x14ac:dyDescent="0.25">
      <c r="F170" s="2" t="s">
        <v>1632</v>
      </c>
      <c r="G170" s="2" t="s">
        <v>1632</v>
      </c>
      <c r="H170" s="2" t="b">
        <f t="shared" si="2"/>
        <v>1</v>
      </c>
      <c r="I170" s="14" t="str">
        <f>HYPERLINK("https://gerandofalcoes.my.salesforce.com/0034X0000380O3SQAU", "0034X0000380O3SQAU")</f>
        <v>0034X0000380O3SQAU</v>
      </c>
      <c r="J170" s="2" t="s">
        <v>1630</v>
      </c>
      <c r="K170" s="3" t="s">
        <v>1631</v>
      </c>
    </row>
    <row r="171" spans="6:11" ht="12.5" x14ac:dyDescent="0.25">
      <c r="F171" s="2" t="s">
        <v>1632</v>
      </c>
      <c r="G171" s="2" t="s">
        <v>1632</v>
      </c>
      <c r="H171" s="2" t="b">
        <f t="shared" si="2"/>
        <v>1</v>
      </c>
      <c r="I171" s="14" t="str">
        <f>HYPERLINK("https://gerandofalcoes.my.salesforce.com/0034P000045kxibQAA", "0034P000045kxibQAA")</f>
        <v>0034P000045kxibQAA</v>
      </c>
      <c r="J171" s="2" t="s">
        <v>1630</v>
      </c>
      <c r="K171" s="3" t="s">
        <v>1631</v>
      </c>
    </row>
    <row r="172" spans="6:11" ht="12.5" x14ac:dyDescent="0.25">
      <c r="F172" s="2" t="s">
        <v>1632</v>
      </c>
      <c r="G172" s="2" t="s">
        <v>1632</v>
      </c>
      <c r="H172" s="2" t="b">
        <f t="shared" si="2"/>
        <v>1</v>
      </c>
      <c r="I172" s="14" t="str">
        <f>HYPERLINK("https://gerandofalcoes.my.salesforce.com/0034X0000380O6nQAE", "0034X0000380O6nQAE")</f>
        <v>0034X0000380O6nQAE</v>
      </c>
      <c r="J172" s="2" t="s">
        <v>1630</v>
      </c>
      <c r="K172" s="3" t="s">
        <v>1631</v>
      </c>
    </row>
    <row r="173" spans="6:11" ht="12.5" x14ac:dyDescent="0.25">
      <c r="F173" s="2" t="s">
        <v>1632</v>
      </c>
      <c r="G173" s="2" t="s">
        <v>1632</v>
      </c>
      <c r="H173" s="2" t="b">
        <f t="shared" si="2"/>
        <v>1</v>
      </c>
      <c r="I173" s="14" t="str">
        <f>HYPERLINK("https://gerandofalcoes.my.salesforce.com/0034P000045kxiBQAQ", "0034P000045kxiBQAQ")</f>
        <v>0034P000045kxiBQAQ</v>
      </c>
      <c r="J173" s="2" t="s">
        <v>1630</v>
      </c>
      <c r="K173" s="3" t="s">
        <v>1631</v>
      </c>
    </row>
    <row r="174" spans="6:11" ht="12.5" x14ac:dyDescent="0.25">
      <c r="F174" s="2" t="s">
        <v>1632</v>
      </c>
      <c r="G174" s="2" t="s">
        <v>1632</v>
      </c>
      <c r="H174" s="2" t="b">
        <f t="shared" si="2"/>
        <v>1</v>
      </c>
      <c r="I174" s="14" t="str">
        <f>HYPERLINK("https://gerandofalcoes.my.salesforce.com/0034X0000380O5bQAE", "0034X0000380O5bQAE")</f>
        <v>0034X0000380O5bQAE</v>
      </c>
      <c r="J174" s="2" t="s">
        <v>1630</v>
      </c>
      <c r="K174" s="3" t="s">
        <v>1631</v>
      </c>
    </row>
    <row r="175" spans="6:11" ht="12.5" x14ac:dyDescent="0.25">
      <c r="F175" s="2" t="s">
        <v>1632</v>
      </c>
      <c r="G175" s="2" t="s">
        <v>1632</v>
      </c>
      <c r="H175" s="2" t="b">
        <f t="shared" si="2"/>
        <v>1</v>
      </c>
      <c r="I175" s="14" t="str">
        <f>HYPERLINK("https://gerandofalcoes.my.salesforce.com/0034P000045kxkDQAQ", "0034P000045kxkDQAQ")</f>
        <v>0034P000045kxkDQAQ</v>
      </c>
      <c r="J175" s="2" t="s">
        <v>1630</v>
      </c>
      <c r="K175" s="3" t="s">
        <v>1631</v>
      </c>
    </row>
    <row r="176" spans="6:11" ht="12.5" x14ac:dyDescent="0.25">
      <c r="F176" s="2" t="s">
        <v>1632</v>
      </c>
      <c r="G176" s="2" t="s">
        <v>1632</v>
      </c>
      <c r="H176" s="2" t="b">
        <f t="shared" si="2"/>
        <v>1</v>
      </c>
      <c r="I176" s="14" t="str">
        <f>HYPERLINK("https://gerandofalcoes.my.salesforce.com/0034P000045kxjHQAQ", "0034P000045kxjHQAQ")</f>
        <v>0034P000045kxjHQAQ</v>
      </c>
      <c r="J176" s="2" t="s">
        <v>1630</v>
      </c>
      <c r="K176" s="3" t="s">
        <v>1631</v>
      </c>
    </row>
    <row r="177" spans="6:11" ht="12.5" x14ac:dyDescent="0.25">
      <c r="F177" s="2" t="s">
        <v>1632</v>
      </c>
      <c r="G177" s="2" t="s">
        <v>1632</v>
      </c>
      <c r="H177" s="2" t="b">
        <f t="shared" si="2"/>
        <v>1</v>
      </c>
      <c r="I177" s="14" t="str">
        <f>HYPERLINK("https://gerandofalcoes.my.salesforce.com/0034X0000380O40QAE", "0034X0000380O40QAE")</f>
        <v>0034X0000380O40QAE</v>
      </c>
      <c r="J177" s="2" t="s">
        <v>1630</v>
      </c>
      <c r="K177" s="3" t="s">
        <v>1631</v>
      </c>
    </row>
    <row r="178" spans="6:11" ht="12.5" x14ac:dyDescent="0.25">
      <c r="F178" s="2" t="s">
        <v>1632</v>
      </c>
      <c r="G178" s="2" t="s">
        <v>1632</v>
      </c>
      <c r="H178" s="2" t="b">
        <f t="shared" si="2"/>
        <v>1</v>
      </c>
      <c r="I178" s="14" t="str">
        <f>HYPERLINK("https://gerandofalcoes.my.salesforce.com/0034P000045kxiMQAQ", "0034P000045kxiMQAQ")</f>
        <v>0034P000045kxiMQAQ</v>
      </c>
      <c r="J178" s="2" t="s">
        <v>1630</v>
      </c>
      <c r="K178" s="3" t="s">
        <v>1631</v>
      </c>
    </row>
    <row r="179" spans="6:11" ht="12.5" x14ac:dyDescent="0.25">
      <c r="F179" s="2" t="s">
        <v>1632</v>
      </c>
      <c r="G179" s="2" t="s">
        <v>1632</v>
      </c>
      <c r="H179" s="2" t="b">
        <f t="shared" si="2"/>
        <v>1</v>
      </c>
      <c r="I179" s="14" t="str">
        <f>HYPERLINK("https://gerandofalcoes.my.salesforce.com/0034P000045kxj6QAA", "0034P000045kxj6QAA")</f>
        <v>0034P000045kxj6QAA</v>
      </c>
      <c r="J179" s="2" t="s">
        <v>1630</v>
      </c>
      <c r="K179" s="3" t="s">
        <v>1631</v>
      </c>
    </row>
    <row r="180" spans="6:11" ht="12.5" x14ac:dyDescent="0.25">
      <c r="F180" s="2" t="s">
        <v>1632</v>
      </c>
      <c r="G180" s="2" t="s">
        <v>1632</v>
      </c>
      <c r="H180" s="2" t="b">
        <f t="shared" si="2"/>
        <v>1</v>
      </c>
      <c r="I180" s="14" t="str">
        <f>HYPERLINK("https://gerandofalcoes.my.salesforce.com/0034X0000380O0gQAE", "0034X0000380O0gQAE")</f>
        <v>0034X0000380O0gQAE</v>
      </c>
      <c r="J180" s="2" t="s">
        <v>1630</v>
      </c>
      <c r="K180" s="3" t="s">
        <v>1631</v>
      </c>
    </row>
    <row r="181" spans="6:11" ht="12.5" x14ac:dyDescent="0.25">
      <c r="F181" s="2" t="s">
        <v>1632</v>
      </c>
      <c r="G181" s="2" t="s">
        <v>1632</v>
      </c>
      <c r="H181" s="2" t="b">
        <f t="shared" si="2"/>
        <v>1</v>
      </c>
      <c r="I181" s="14" t="str">
        <f>HYPERLINK("https://gerandofalcoes.my.salesforce.com/0034P000043fOnZQAU", "0034P000043fOnZQAU")</f>
        <v>0034P000043fOnZQAU</v>
      </c>
      <c r="J181" s="2" t="s">
        <v>1630</v>
      </c>
      <c r="K181" s="3" t="s">
        <v>1631</v>
      </c>
    </row>
    <row r="182" spans="6:11" ht="12.5" x14ac:dyDescent="0.25">
      <c r="F182" s="2" t="s">
        <v>1632</v>
      </c>
      <c r="G182" s="2" t="s">
        <v>1632</v>
      </c>
      <c r="H182" s="2" t="b">
        <f t="shared" si="2"/>
        <v>1</v>
      </c>
      <c r="I182" s="14" t="str">
        <f>HYPERLINK("https://gerandofalcoes.my.salesforce.com/0034P000045kxkSQAQ", "0034P000045kxkSQAQ")</f>
        <v>0034P000045kxkSQAQ</v>
      </c>
      <c r="J182" s="2" t="s">
        <v>1630</v>
      </c>
      <c r="K182" s="3" t="s">
        <v>1631</v>
      </c>
    </row>
    <row r="183" spans="6:11" ht="12.5" x14ac:dyDescent="0.25">
      <c r="F183" s="2" t="s">
        <v>1632</v>
      </c>
      <c r="G183" s="2" t="s">
        <v>1632</v>
      </c>
      <c r="H183" s="2" t="b">
        <f t="shared" si="2"/>
        <v>1</v>
      </c>
      <c r="I183" s="14" t="str">
        <f>HYPERLINK("https://gerandofalcoes.my.salesforce.com/0034P000045kxiIQAQ", "0034P000045kxiIQAQ")</f>
        <v>0034P000045kxiIQAQ</v>
      </c>
      <c r="J183" s="2" t="s">
        <v>1630</v>
      </c>
      <c r="K183" s="3" t="s">
        <v>1631</v>
      </c>
    </row>
    <row r="184" spans="6:11" ht="12.5" x14ac:dyDescent="0.25">
      <c r="F184" s="2" t="s">
        <v>1632</v>
      </c>
      <c r="G184" s="2" t="s">
        <v>1632</v>
      </c>
      <c r="H184" s="2" t="b">
        <f t="shared" si="2"/>
        <v>1</v>
      </c>
      <c r="I184" s="14" t="str">
        <f>HYPERLINK("https://gerandofalcoes.my.salesforce.com/0034P000045kxjcQAA", "0034P000045kxjcQAA")</f>
        <v>0034P000045kxjcQAA</v>
      </c>
      <c r="J184" s="2" t="s">
        <v>1630</v>
      </c>
      <c r="K184" s="3" t="s">
        <v>1631</v>
      </c>
    </row>
    <row r="185" spans="6:11" ht="12.5" x14ac:dyDescent="0.25">
      <c r="F185" s="2" t="s">
        <v>1632</v>
      </c>
      <c r="G185" s="2" t="s">
        <v>1632</v>
      </c>
      <c r="H185" s="2" t="b">
        <f t="shared" si="2"/>
        <v>1</v>
      </c>
      <c r="I185" s="14" t="str">
        <f>HYPERLINK("https://gerandofalcoes.my.salesforce.com/0034X0000380O69QAE", "0034X0000380O69QAE")</f>
        <v>0034X0000380O69QAE</v>
      </c>
      <c r="J185" s="2" t="s">
        <v>1630</v>
      </c>
      <c r="K185" s="3" t="s">
        <v>1631</v>
      </c>
    </row>
    <row r="186" spans="6:11" ht="12.5" x14ac:dyDescent="0.25">
      <c r="F186" s="2" t="s">
        <v>1632</v>
      </c>
      <c r="G186" s="2" t="s">
        <v>1632</v>
      </c>
      <c r="H186" s="2" t="b">
        <f t="shared" si="2"/>
        <v>1</v>
      </c>
      <c r="I186" s="14" t="str">
        <f>HYPERLINK("https://gerandofalcoes.my.salesforce.com/0034X0000380O48QAE", "0034X0000380O48QAE")</f>
        <v>0034X0000380O48QAE</v>
      </c>
      <c r="J186" s="2" t="s">
        <v>1630</v>
      </c>
      <c r="K186" s="3" t="s">
        <v>1631</v>
      </c>
    </row>
    <row r="187" spans="6:11" ht="12.5" x14ac:dyDescent="0.25">
      <c r="F187" s="2" t="s">
        <v>1632</v>
      </c>
      <c r="G187" s="2" t="s">
        <v>1632</v>
      </c>
      <c r="H187" s="2" t="b">
        <f t="shared" si="2"/>
        <v>1</v>
      </c>
      <c r="I187" s="14" t="str">
        <f>HYPERLINK("https://gerandofalcoes.my.salesforce.com/0034X0000380O4CQAU", "0034X0000380O4CQAU")</f>
        <v>0034X0000380O4CQAU</v>
      </c>
      <c r="J187" s="2" t="s">
        <v>1630</v>
      </c>
      <c r="K187" s="3" t="s">
        <v>1631</v>
      </c>
    </row>
    <row r="188" spans="6:11" ht="12.5" x14ac:dyDescent="0.25">
      <c r="F188" s="2" t="s">
        <v>1632</v>
      </c>
      <c r="G188" s="2" t="s">
        <v>1632</v>
      </c>
      <c r="H188" s="2" t="b">
        <f t="shared" si="2"/>
        <v>1</v>
      </c>
      <c r="I188" s="14" t="str">
        <f>HYPERLINK("https://gerandofalcoes.my.salesforce.com/0034X0000380O4fQAE", "0034X0000380O4fQAE")</f>
        <v>0034X0000380O4fQAE</v>
      </c>
      <c r="J188" s="2" t="s">
        <v>1630</v>
      </c>
      <c r="K188" s="3" t="s">
        <v>1631</v>
      </c>
    </row>
    <row r="189" spans="6:11" ht="12.5" x14ac:dyDescent="0.25">
      <c r="F189" s="2" t="s">
        <v>1632</v>
      </c>
      <c r="G189" s="2" t="s">
        <v>1632</v>
      </c>
      <c r="H189" s="2" t="b">
        <f t="shared" si="2"/>
        <v>1</v>
      </c>
      <c r="I189" s="14" t="str">
        <f>HYPERLINK("https://gerandofalcoes.my.salesforce.com/0034X0000380O5eQAE", "0034X0000380O5eQAE")</f>
        <v>0034X0000380O5eQAE</v>
      </c>
      <c r="J189" s="2" t="s">
        <v>1630</v>
      </c>
      <c r="K189" s="3" t="s">
        <v>1631</v>
      </c>
    </row>
    <row r="190" spans="6:11" ht="12.5" x14ac:dyDescent="0.25">
      <c r="F190" s="2" t="s">
        <v>1632</v>
      </c>
      <c r="G190" s="2" t="s">
        <v>1632</v>
      </c>
      <c r="H190" s="2" t="b">
        <f t="shared" si="2"/>
        <v>1</v>
      </c>
      <c r="I190" s="14" t="str">
        <f>HYPERLINK("https://gerandofalcoes.my.salesforce.com/0034X0000380O6KQAU", "0034X0000380O6KQAU")</f>
        <v>0034X0000380O6KQAU</v>
      </c>
      <c r="J190" s="2" t="s">
        <v>1630</v>
      </c>
      <c r="K190" s="3" t="s">
        <v>1631</v>
      </c>
    </row>
    <row r="191" spans="6:11" ht="12.5" x14ac:dyDescent="0.25">
      <c r="F191" s="2" t="s">
        <v>1632</v>
      </c>
      <c r="G191" s="2" t="s">
        <v>1632</v>
      </c>
      <c r="H191" s="2" t="b">
        <f t="shared" si="2"/>
        <v>1</v>
      </c>
      <c r="I191" s="14" t="str">
        <f>HYPERLINK("https://gerandofalcoes.my.salesforce.com/0034P000045kxiUQAQ", "0034P000045kxiUQAQ")</f>
        <v>0034P000045kxiUQAQ</v>
      </c>
      <c r="J191" s="2" t="s">
        <v>1630</v>
      </c>
      <c r="K191" s="3" t="s">
        <v>1631</v>
      </c>
    </row>
    <row r="192" spans="6:11" ht="12.5" x14ac:dyDescent="0.25">
      <c r="F192" s="2" t="s">
        <v>1632</v>
      </c>
      <c r="G192" s="2" t="s">
        <v>1632</v>
      </c>
      <c r="H192" s="2" t="b">
        <f t="shared" si="2"/>
        <v>1</v>
      </c>
      <c r="I192" s="14" t="str">
        <f>HYPERLINK("https://gerandofalcoes.my.salesforce.com/0034P00003maBVgQAM", "0034P00003maBVgQAM")</f>
        <v>0034P00003maBVgQAM</v>
      </c>
      <c r="J192" s="2" t="s">
        <v>1630</v>
      </c>
      <c r="K192" s="3" t="s">
        <v>1631</v>
      </c>
    </row>
    <row r="193" spans="6:11" ht="12.5" x14ac:dyDescent="0.25">
      <c r="F193" s="2" t="s">
        <v>1632</v>
      </c>
      <c r="G193" s="2" t="s">
        <v>1632</v>
      </c>
      <c r="H193" s="2" t="b">
        <f t="shared" si="2"/>
        <v>1</v>
      </c>
      <c r="I193" s="14" t="str">
        <f>HYPERLINK("https://gerandofalcoes.my.salesforce.com/0034X0000380O5aQAE", "0034X0000380O5aQAE")</f>
        <v>0034X0000380O5aQAE</v>
      </c>
      <c r="J193" s="2" t="s">
        <v>1630</v>
      </c>
      <c r="K193" s="3" t="s">
        <v>1631</v>
      </c>
    </row>
    <row r="194" spans="6:11" ht="12.5" x14ac:dyDescent="0.25">
      <c r="F194" s="2" t="s">
        <v>1632</v>
      </c>
      <c r="G194" s="2" t="s">
        <v>1632</v>
      </c>
      <c r="H194" s="2" t="b">
        <f t="shared" ref="H194:H257" si="3">G194=B194</f>
        <v>1</v>
      </c>
      <c r="I194" s="14" t="str">
        <f>HYPERLINK("https://gerandofalcoes.my.salesforce.com/0034X0000380O1WQAU", "0034X0000380O1WQAU")</f>
        <v>0034X0000380O1WQAU</v>
      </c>
      <c r="J194" s="2" t="s">
        <v>1630</v>
      </c>
      <c r="K194" s="3" t="s">
        <v>1631</v>
      </c>
    </row>
    <row r="195" spans="6:11" ht="12.5" x14ac:dyDescent="0.25">
      <c r="F195" s="2" t="s">
        <v>1632</v>
      </c>
      <c r="G195" s="2" t="s">
        <v>1632</v>
      </c>
      <c r="H195" s="2" t="b">
        <f t="shared" si="3"/>
        <v>1</v>
      </c>
      <c r="I195" s="14" t="str">
        <f>HYPERLINK("https://gerandofalcoes.my.salesforce.com/0034X0000380O28QAE", "0034X0000380O28QAE")</f>
        <v>0034X0000380O28QAE</v>
      </c>
      <c r="J195" s="2" t="s">
        <v>1630</v>
      </c>
      <c r="K195" s="3" t="s">
        <v>1631</v>
      </c>
    </row>
    <row r="196" spans="6:11" ht="12.5" x14ac:dyDescent="0.25">
      <c r="F196" s="2" t="s">
        <v>1632</v>
      </c>
      <c r="G196" s="2" t="s">
        <v>1632</v>
      </c>
      <c r="H196" s="2" t="b">
        <f t="shared" si="3"/>
        <v>1</v>
      </c>
      <c r="I196" s="14" t="str">
        <f>HYPERLINK("https://gerandofalcoes.my.salesforce.com/0034P000045kxijQAA", "0034P000045kxijQAA")</f>
        <v>0034P000045kxijQAA</v>
      </c>
      <c r="J196" s="2" t="s">
        <v>1630</v>
      </c>
      <c r="K196" s="3" t="s">
        <v>1631</v>
      </c>
    </row>
    <row r="197" spans="6:11" ht="12.5" x14ac:dyDescent="0.25">
      <c r="F197" s="2" t="s">
        <v>1632</v>
      </c>
      <c r="G197" s="2" t="s">
        <v>1632</v>
      </c>
      <c r="H197" s="2" t="b">
        <f t="shared" si="3"/>
        <v>1</v>
      </c>
      <c r="I197" s="14" t="str">
        <f>HYPERLINK("https://gerandofalcoes.my.salesforce.com/0034P000045kxiZQAQ", "0034P000045kxiZQAQ")</f>
        <v>0034P000045kxiZQAQ</v>
      </c>
      <c r="J197" s="2" t="s">
        <v>1630</v>
      </c>
      <c r="K197" s="3" t="s">
        <v>1631</v>
      </c>
    </row>
    <row r="198" spans="6:11" ht="12.5" x14ac:dyDescent="0.25">
      <c r="F198" s="2" t="s">
        <v>1632</v>
      </c>
      <c r="G198" s="2" t="s">
        <v>1632</v>
      </c>
      <c r="H198" s="2" t="b">
        <f t="shared" si="3"/>
        <v>1</v>
      </c>
      <c r="I198" s="14" t="str">
        <f>HYPERLINK("https://gerandofalcoes.my.salesforce.com/0034P000043fOngQAE", "0034P000043fOngQAE")</f>
        <v>0034P000043fOngQAE</v>
      </c>
      <c r="J198" s="2" t="s">
        <v>1630</v>
      </c>
      <c r="K198" s="3" t="s">
        <v>1631</v>
      </c>
    </row>
    <row r="199" spans="6:11" ht="12.5" x14ac:dyDescent="0.25">
      <c r="F199" s="2" t="s">
        <v>1632</v>
      </c>
      <c r="G199" s="2" t="s">
        <v>1632</v>
      </c>
      <c r="H199" s="2" t="b">
        <f t="shared" si="3"/>
        <v>1</v>
      </c>
      <c r="I199" s="14" t="str">
        <f>HYPERLINK("https://gerandofalcoes.my.salesforce.com/0034P000045kxj9QAA", "0034P000045kxj9QAA")</f>
        <v>0034P000045kxj9QAA</v>
      </c>
      <c r="J199" s="2" t="s">
        <v>1630</v>
      </c>
      <c r="K199" s="3" t="s">
        <v>1631</v>
      </c>
    </row>
    <row r="200" spans="6:11" ht="12.5" x14ac:dyDescent="0.25">
      <c r="F200" s="2" t="s">
        <v>1632</v>
      </c>
      <c r="G200" s="2" t="s">
        <v>1632</v>
      </c>
      <c r="H200" s="2" t="b">
        <f t="shared" si="3"/>
        <v>1</v>
      </c>
      <c r="I200" s="14" t="str">
        <f>HYPERLINK("https://gerandofalcoes.my.salesforce.com/0034X0000380O3PQAU", "0034X0000380O3PQAU")</f>
        <v>0034X0000380O3PQAU</v>
      </c>
      <c r="J200" s="2" t="s">
        <v>1630</v>
      </c>
      <c r="K200" s="3" t="s">
        <v>1631</v>
      </c>
    </row>
    <row r="201" spans="6:11" ht="12.5" x14ac:dyDescent="0.25">
      <c r="F201" s="2" t="s">
        <v>1632</v>
      </c>
      <c r="G201" s="2" t="s">
        <v>1632</v>
      </c>
      <c r="H201" s="2" t="b">
        <f t="shared" si="3"/>
        <v>1</v>
      </c>
      <c r="I201" s="14" t="str">
        <f>HYPERLINK("https://gerandofalcoes.my.salesforce.com/0034X0000380O3FQAU", "0034X0000380O3FQAU")</f>
        <v>0034X0000380O3FQAU</v>
      </c>
      <c r="J201" s="2" t="s">
        <v>1630</v>
      </c>
      <c r="K201" s="3" t="s">
        <v>1631</v>
      </c>
    </row>
    <row r="202" spans="6:11" ht="12.5" x14ac:dyDescent="0.25">
      <c r="F202" s="2" t="s">
        <v>1632</v>
      </c>
      <c r="G202" s="2" t="s">
        <v>1632</v>
      </c>
      <c r="H202" s="2" t="b">
        <f t="shared" si="3"/>
        <v>1</v>
      </c>
      <c r="I202" s="14" t="str">
        <f>HYPERLINK("https://gerandofalcoes.my.salesforce.com/0034P000043fOoDQAU", "0034P000043fOoDQAU")</f>
        <v>0034P000043fOoDQAU</v>
      </c>
      <c r="J202" s="2" t="s">
        <v>1630</v>
      </c>
      <c r="K202" s="3" t="s">
        <v>1631</v>
      </c>
    </row>
    <row r="203" spans="6:11" ht="12.5" x14ac:dyDescent="0.25">
      <c r="F203" s="2" t="s">
        <v>1632</v>
      </c>
      <c r="G203" s="2" t="s">
        <v>1632</v>
      </c>
      <c r="H203" s="2" t="b">
        <f t="shared" si="3"/>
        <v>1</v>
      </c>
      <c r="I203" s="14" t="str">
        <f>HYPERLINK("https://gerandofalcoes.my.salesforce.com/0034X0000380O0eQAE", "0034X0000380O0eQAE")</f>
        <v>0034X0000380O0eQAE</v>
      </c>
      <c r="J203" s="2" t="s">
        <v>1630</v>
      </c>
      <c r="K203" s="3" t="s">
        <v>1631</v>
      </c>
    </row>
    <row r="204" spans="6:11" ht="12.5" x14ac:dyDescent="0.25">
      <c r="F204" s="2" t="s">
        <v>1632</v>
      </c>
      <c r="G204" s="2" t="s">
        <v>1632</v>
      </c>
      <c r="H204" s="2" t="b">
        <f t="shared" si="3"/>
        <v>1</v>
      </c>
      <c r="I204" s="14" t="str">
        <f>HYPERLINK("https://gerandofalcoes.my.salesforce.com/0034X0000380O2fQAE", "0034X0000380O2fQAE")</f>
        <v>0034X0000380O2fQAE</v>
      </c>
      <c r="J204" s="2" t="s">
        <v>1630</v>
      </c>
      <c r="K204" s="3" t="s">
        <v>1631</v>
      </c>
    </row>
    <row r="205" spans="6:11" ht="12.5" x14ac:dyDescent="0.25">
      <c r="F205" s="2" t="s">
        <v>1632</v>
      </c>
      <c r="G205" s="2" t="s">
        <v>1632</v>
      </c>
      <c r="H205" s="2" t="b">
        <f t="shared" si="3"/>
        <v>1</v>
      </c>
      <c r="I205" s="14" t="str">
        <f>HYPERLINK("https://gerandofalcoes.my.salesforce.com/0034P000043fOnrQAE", "0034P000043fOnrQAE")</f>
        <v>0034P000043fOnrQAE</v>
      </c>
      <c r="J205" s="2" t="s">
        <v>1630</v>
      </c>
      <c r="K205" s="3" t="s">
        <v>1631</v>
      </c>
    </row>
    <row r="206" spans="6:11" ht="12.5" x14ac:dyDescent="0.25">
      <c r="F206" s="2" t="s">
        <v>1632</v>
      </c>
      <c r="G206" s="2" t="s">
        <v>1632</v>
      </c>
      <c r="H206" s="2" t="b">
        <f t="shared" si="3"/>
        <v>1</v>
      </c>
      <c r="I206" s="14" t="str">
        <f>HYPERLINK("https://gerandofalcoes.my.salesforce.com/0034X0000380O2iQAE", "0034X0000380O2iQAE")</f>
        <v>0034X0000380O2iQAE</v>
      </c>
      <c r="J206" s="2" t="s">
        <v>1630</v>
      </c>
      <c r="K206" s="3" t="s">
        <v>1631</v>
      </c>
    </row>
    <row r="207" spans="6:11" ht="12.5" x14ac:dyDescent="0.25">
      <c r="F207" s="2" t="s">
        <v>1632</v>
      </c>
      <c r="G207" s="2" t="s">
        <v>1632</v>
      </c>
      <c r="H207" s="2" t="b">
        <f t="shared" si="3"/>
        <v>1</v>
      </c>
      <c r="I207" s="14" t="str">
        <f>HYPERLINK("https://gerandofalcoes.my.salesforce.com/0034X0000380O3RQAU", "0034X0000380O3RQAU")</f>
        <v>0034X0000380O3RQAU</v>
      </c>
      <c r="J207" s="2" t="s">
        <v>1630</v>
      </c>
      <c r="K207" s="3" t="s">
        <v>1631</v>
      </c>
    </row>
    <row r="208" spans="6:11" ht="12.5" x14ac:dyDescent="0.25">
      <c r="F208" s="2" t="s">
        <v>1632</v>
      </c>
      <c r="G208" s="2" t="s">
        <v>1632</v>
      </c>
      <c r="H208" s="2" t="b">
        <f t="shared" si="3"/>
        <v>1</v>
      </c>
      <c r="I208" s="14" t="str">
        <f>HYPERLINK("https://gerandofalcoes.my.salesforce.com/0034X0000380O1aQAE", "0034X0000380O1aQAE")</f>
        <v>0034X0000380O1aQAE</v>
      </c>
      <c r="J208" s="2" t="s">
        <v>1630</v>
      </c>
      <c r="K208" s="3" t="s">
        <v>1631</v>
      </c>
    </row>
    <row r="209" spans="6:11" ht="12.5" x14ac:dyDescent="0.25">
      <c r="F209" s="2" t="s">
        <v>1632</v>
      </c>
      <c r="G209" s="2" t="s">
        <v>1632</v>
      </c>
      <c r="H209" s="2" t="b">
        <f t="shared" si="3"/>
        <v>1</v>
      </c>
      <c r="I209" s="14" t="str">
        <f>HYPERLINK("https://gerandofalcoes.my.salesforce.com/0034X0000380O1JQAU", "0034X0000380O1JQAU")</f>
        <v>0034X0000380O1JQAU</v>
      </c>
      <c r="J209" s="2" t="s">
        <v>1630</v>
      </c>
      <c r="K209" s="3" t="s">
        <v>1631</v>
      </c>
    </row>
    <row r="210" spans="6:11" ht="12.5" x14ac:dyDescent="0.25">
      <c r="F210" s="2" t="s">
        <v>1632</v>
      </c>
      <c r="G210" s="2" t="s">
        <v>1632</v>
      </c>
      <c r="H210" s="2" t="b">
        <f t="shared" si="3"/>
        <v>1</v>
      </c>
      <c r="I210" s="14" t="str">
        <f>HYPERLINK("https://gerandofalcoes.my.salesforce.com/0034P000045kxiyQAA", "0034P000045kxiyQAA")</f>
        <v>0034P000045kxiyQAA</v>
      </c>
      <c r="J210" s="2" t="s">
        <v>1630</v>
      </c>
      <c r="K210" s="3" t="s">
        <v>1631</v>
      </c>
    </row>
    <row r="211" spans="6:11" ht="12.5" x14ac:dyDescent="0.25">
      <c r="F211" s="2" t="s">
        <v>1632</v>
      </c>
      <c r="G211" s="2" t="s">
        <v>1632</v>
      </c>
      <c r="H211" s="2" t="b">
        <f t="shared" si="3"/>
        <v>1</v>
      </c>
      <c r="I211" s="14" t="str">
        <f>HYPERLINK("https://gerandofalcoes.my.salesforce.com/0034P000043fPDhQAM", "0034P000043fPDhQAM")</f>
        <v>0034P000043fPDhQAM</v>
      </c>
      <c r="J211" s="2" t="s">
        <v>1630</v>
      </c>
      <c r="K211" s="3" t="s">
        <v>1631</v>
      </c>
    </row>
    <row r="212" spans="6:11" ht="12.5" x14ac:dyDescent="0.25">
      <c r="F212" s="2" t="s">
        <v>1632</v>
      </c>
      <c r="G212" s="2" t="s">
        <v>1632</v>
      </c>
      <c r="H212" s="2" t="b">
        <f t="shared" si="3"/>
        <v>1</v>
      </c>
      <c r="I212" s="14" t="str">
        <f>HYPERLINK("https://gerandofalcoes.my.salesforce.com/0034X0000380O3kQAE", "0034X0000380O3kQAE")</f>
        <v>0034X0000380O3kQAE</v>
      </c>
      <c r="J212" s="2" t="s">
        <v>1630</v>
      </c>
      <c r="K212" s="3" t="s">
        <v>1631</v>
      </c>
    </row>
    <row r="213" spans="6:11" ht="12.5" x14ac:dyDescent="0.25">
      <c r="F213" s="2" t="s">
        <v>1632</v>
      </c>
      <c r="G213" s="2" t="s">
        <v>1632</v>
      </c>
      <c r="H213" s="2" t="b">
        <f t="shared" si="3"/>
        <v>1</v>
      </c>
      <c r="I213" s="14" t="str">
        <f>HYPERLINK("https://gerandofalcoes.my.salesforce.com/0034X0000380O3gQAE", "0034X0000380O3gQAE")</f>
        <v>0034X0000380O3gQAE</v>
      </c>
      <c r="J213" s="2" t="s">
        <v>1630</v>
      </c>
      <c r="K213" s="3" t="s">
        <v>1631</v>
      </c>
    </row>
    <row r="214" spans="6:11" ht="12.5" x14ac:dyDescent="0.25">
      <c r="F214" s="2" t="s">
        <v>1632</v>
      </c>
      <c r="G214" s="2" t="s">
        <v>1632</v>
      </c>
      <c r="H214" s="2" t="b">
        <f t="shared" si="3"/>
        <v>1</v>
      </c>
      <c r="I214" s="14" t="str">
        <f>HYPERLINK("https://gerandofalcoes.my.salesforce.com/0034P000045kxklQAA", "0034P000045kxklQAA")</f>
        <v>0034P000045kxklQAA</v>
      </c>
      <c r="J214" s="2" t="s">
        <v>1630</v>
      </c>
      <c r="K214" s="3" t="s">
        <v>1631</v>
      </c>
    </row>
    <row r="215" spans="6:11" ht="12.5" x14ac:dyDescent="0.25">
      <c r="F215" s="2" t="s">
        <v>1632</v>
      </c>
      <c r="G215" s="2" t="s">
        <v>1632</v>
      </c>
      <c r="H215" s="2" t="b">
        <f t="shared" si="3"/>
        <v>1</v>
      </c>
      <c r="I215" s="14" t="str">
        <f>HYPERLINK("https://gerandofalcoes.my.salesforce.com/0034X0000380O24QAE", "0034X0000380O24QAE")</f>
        <v>0034X0000380O24QAE</v>
      </c>
      <c r="J215" s="2" t="s">
        <v>1630</v>
      </c>
      <c r="K215" s="3" t="s">
        <v>1631</v>
      </c>
    </row>
    <row r="216" spans="6:11" ht="12.5" x14ac:dyDescent="0.25">
      <c r="F216" s="2" t="s">
        <v>1632</v>
      </c>
      <c r="G216" s="2" t="s">
        <v>1632</v>
      </c>
      <c r="H216" s="2" t="b">
        <f t="shared" si="3"/>
        <v>1</v>
      </c>
      <c r="I216" s="14" t="str">
        <f>HYPERLINK("https://gerandofalcoes.my.salesforce.com/0034X0000380O3rQAE", "0034X0000380O3rQAE")</f>
        <v>0034X0000380O3rQAE</v>
      </c>
      <c r="J216" s="2" t="s">
        <v>1630</v>
      </c>
      <c r="K216" s="3" t="s">
        <v>1631</v>
      </c>
    </row>
    <row r="217" spans="6:11" ht="12.5" x14ac:dyDescent="0.25">
      <c r="F217" s="2" t="s">
        <v>1632</v>
      </c>
      <c r="G217" s="2" t="s">
        <v>1632</v>
      </c>
      <c r="H217" s="2" t="b">
        <f t="shared" si="3"/>
        <v>1</v>
      </c>
      <c r="I217" s="14" t="str">
        <f>HYPERLINK("https://gerandofalcoes.my.salesforce.com/0034X0000380O36QAE", "0034X0000380O36QAE")</f>
        <v>0034X0000380O36QAE</v>
      </c>
      <c r="J217" s="2" t="s">
        <v>1630</v>
      </c>
      <c r="K217" s="3" t="s">
        <v>1631</v>
      </c>
    </row>
    <row r="218" spans="6:11" ht="12.5" x14ac:dyDescent="0.25">
      <c r="F218" s="2" t="s">
        <v>1632</v>
      </c>
      <c r="G218" s="2" t="s">
        <v>1632</v>
      </c>
      <c r="H218" s="2" t="b">
        <f t="shared" si="3"/>
        <v>1</v>
      </c>
      <c r="I218" s="14" t="str">
        <f>HYPERLINK("https://gerandofalcoes.my.salesforce.com/0034X0000380O3qQAE", "0034X0000380O3qQAE")</f>
        <v>0034X0000380O3qQAE</v>
      </c>
      <c r="J218" s="2" t="s">
        <v>1630</v>
      </c>
      <c r="K218" s="3" t="s">
        <v>1631</v>
      </c>
    </row>
    <row r="219" spans="6:11" ht="12.5" x14ac:dyDescent="0.25">
      <c r="F219" s="2" t="s">
        <v>1632</v>
      </c>
      <c r="G219" s="2" t="s">
        <v>1632</v>
      </c>
      <c r="H219" s="2" t="b">
        <f t="shared" si="3"/>
        <v>1</v>
      </c>
      <c r="I219" s="14" t="str">
        <f>HYPERLINK("https://gerandofalcoes.my.salesforce.com/0034X0000380O3AQAU", "0034X0000380O3AQAU")</f>
        <v>0034X0000380O3AQAU</v>
      </c>
      <c r="J219" s="2" t="s">
        <v>1630</v>
      </c>
      <c r="K219" s="3" t="s">
        <v>1631</v>
      </c>
    </row>
    <row r="220" spans="6:11" ht="12.5" x14ac:dyDescent="0.25">
      <c r="F220" s="2" t="s">
        <v>1632</v>
      </c>
      <c r="G220" s="2" t="s">
        <v>1632</v>
      </c>
      <c r="H220" s="2" t="b">
        <f t="shared" si="3"/>
        <v>1</v>
      </c>
      <c r="I220" s="14" t="str">
        <f>HYPERLINK("https://gerandofalcoes.my.salesforce.com/0034P000043fOo4QAE", "0034P000043fOo4QAE")</f>
        <v>0034P000043fOo4QAE</v>
      </c>
      <c r="J220" s="2" t="s">
        <v>1630</v>
      </c>
      <c r="K220" s="3" t="s">
        <v>1631</v>
      </c>
    </row>
    <row r="221" spans="6:11" ht="12.5" x14ac:dyDescent="0.25">
      <c r="F221" s="2" t="s">
        <v>1632</v>
      </c>
      <c r="G221" s="2" t="s">
        <v>1632</v>
      </c>
      <c r="H221" s="2" t="b">
        <f t="shared" si="3"/>
        <v>1</v>
      </c>
      <c r="I221" s="14" t="str">
        <f>HYPERLINK("https://gerandofalcoes.my.salesforce.com/0034P000045kxkyQAA", "0034P000045kxkyQAA")</f>
        <v>0034P000045kxkyQAA</v>
      </c>
      <c r="J221" s="2" t="s">
        <v>1630</v>
      </c>
      <c r="K221" s="3" t="s">
        <v>1631</v>
      </c>
    </row>
    <row r="222" spans="6:11" ht="12.5" x14ac:dyDescent="0.25">
      <c r="F222" s="2" t="s">
        <v>1632</v>
      </c>
      <c r="G222" s="2" t="s">
        <v>1632</v>
      </c>
      <c r="H222" s="2" t="b">
        <f t="shared" si="3"/>
        <v>1</v>
      </c>
      <c r="I222" s="14" t="str">
        <f>HYPERLINK("https://gerandofalcoes.my.salesforce.com/0034X0000315PR5QAM", "0034X0000315PR5QAM")</f>
        <v>0034X0000315PR5QAM</v>
      </c>
      <c r="J222" s="2" t="s">
        <v>1630</v>
      </c>
      <c r="K222" s="3" t="s">
        <v>1631</v>
      </c>
    </row>
    <row r="223" spans="6:11" ht="12.5" x14ac:dyDescent="0.25">
      <c r="F223" s="2" t="s">
        <v>1632</v>
      </c>
      <c r="G223" s="2" t="s">
        <v>1632</v>
      </c>
      <c r="H223" s="2" t="b">
        <f t="shared" si="3"/>
        <v>1</v>
      </c>
      <c r="I223" s="14" t="str">
        <f>HYPERLINK("https://gerandofalcoes.my.salesforce.com/0034X0000315PQuQAM", "0034X0000315PQuQAM")</f>
        <v>0034X0000315PQuQAM</v>
      </c>
      <c r="J223" s="2" t="s">
        <v>1630</v>
      </c>
      <c r="K223" s="3" t="s">
        <v>1631</v>
      </c>
    </row>
    <row r="224" spans="6:11" ht="12.5" x14ac:dyDescent="0.25">
      <c r="F224" s="2" t="s">
        <v>1632</v>
      </c>
      <c r="G224" s="2" t="s">
        <v>1632</v>
      </c>
      <c r="H224" s="2" t="b">
        <f t="shared" si="3"/>
        <v>1</v>
      </c>
      <c r="I224" s="14" t="str">
        <f>HYPERLINK("https://gerandofalcoes.my.salesforce.com/0034X0000380O43QAE", "0034X0000380O43QAE")</f>
        <v>0034X0000380O43QAE</v>
      </c>
      <c r="J224" s="2" t="s">
        <v>1630</v>
      </c>
      <c r="K224" s="3" t="s">
        <v>1631</v>
      </c>
    </row>
    <row r="225" spans="6:11" ht="12.5" x14ac:dyDescent="0.25">
      <c r="F225" s="2" t="s">
        <v>1632</v>
      </c>
      <c r="G225" s="2" t="s">
        <v>1632</v>
      </c>
      <c r="H225" s="2" t="b">
        <f t="shared" si="3"/>
        <v>1</v>
      </c>
      <c r="I225" s="14" t="str">
        <f>HYPERLINK("https://gerandofalcoes.my.salesforce.com/0034P000045kxjYQAQ", "0034P000045kxjYQAQ")</f>
        <v>0034P000045kxjYQAQ</v>
      </c>
      <c r="J225" s="2" t="s">
        <v>1630</v>
      </c>
      <c r="K225" s="3" t="s">
        <v>1631</v>
      </c>
    </row>
    <row r="226" spans="6:11" ht="12.5" x14ac:dyDescent="0.25">
      <c r="F226" s="2" t="s">
        <v>1632</v>
      </c>
      <c r="G226" s="2" t="s">
        <v>1632</v>
      </c>
      <c r="H226" s="2" t="b">
        <f t="shared" si="3"/>
        <v>1</v>
      </c>
      <c r="I226" s="14" t="str">
        <f>HYPERLINK("https://gerandofalcoes.my.salesforce.com/0034X0000380O6YQAU", "0034X0000380O6YQAU")</f>
        <v>0034X0000380O6YQAU</v>
      </c>
      <c r="J226" s="2" t="s">
        <v>1630</v>
      </c>
      <c r="K226" s="3" t="s">
        <v>1631</v>
      </c>
    </row>
    <row r="227" spans="6:11" ht="12.5" x14ac:dyDescent="0.25">
      <c r="F227" s="2" t="s">
        <v>1632</v>
      </c>
      <c r="G227" s="2" t="s">
        <v>1632</v>
      </c>
      <c r="H227" s="2" t="b">
        <f t="shared" si="3"/>
        <v>1</v>
      </c>
      <c r="I227" s="14" t="str">
        <f>HYPERLINK("https://gerandofalcoes.my.salesforce.com/0034X0000380O3sQAE", "0034X0000380O3sQAE")</f>
        <v>0034X0000380O3sQAE</v>
      </c>
      <c r="J227" s="2" t="s">
        <v>1630</v>
      </c>
      <c r="K227" s="3" t="s">
        <v>1631</v>
      </c>
    </row>
    <row r="228" spans="6:11" ht="12.5" x14ac:dyDescent="0.25">
      <c r="F228" s="2" t="s">
        <v>1632</v>
      </c>
      <c r="G228" s="2" t="s">
        <v>1632</v>
      </c>
      <c r="H228" s="2" t="b">
        <f t="shared" si="3"/>
        <v>1</v>
      </c>
      <c r="I228" s="14" t="str">
        <f>HYPERLINK("https://gerandofalcoes.my.salesforce.com/0034X0000380O1sQAE", "0034X0000380O1sQAE")</f>
        <v>0034X0000380O1sQAE</v>
      </c>
      <c r="J228" s="2" t="s">
        <v>1630</v>
      </c>
      <c r="K228" s="3" t="s">
        <v>1631</v>
      </c>
    </row>
    <row r="229" spans="6:11" ht="12.5" x14ac:dyDescent="0.25">
      <c r="F229" s="2" t="s">
        <v>1632</v>
      </c>
      <c r="G229" s="2" t="s">
        <v>1632</v>
      </c>
      <c r="H229" s="2" t="b">
        <f t="shared" si="3"/>
        <v>1</v>
      </c>
      <c r="I229" s="14" t="str">
        <f>HYPERLINK("https://gerandofalcoes.my.salesforce.com/0034X0000380O1NQAU", "0034X0000380O1NQAU")</f>
        <v>0034X0000380O1NQAU</v>
      </c>
      <c r="J229" s="2" t="s">
        <v>1630</v>
      </c>
      <c r="K229" s="3" t="s">
        <v>1631</v>
      </c>
    </row>
    <row r="230" spans="6:11" ht="12.5" x14ac:dyDescent="0.25">
      <c r="F230" s="2" t="s">
        <v>1632</v>
      </c>
      <c r="G230" s="2" t="s">
        <v>1632</v>
      </c>
      <c r="H230" s="2" t="b">
        <f t="shared" si="3"/>
        <v>1</v>
      </c>
      <c r="I230" s="14" t="str">
        <f>HYPERLINK("https://gerandofalcoes.my.salesforce.com/0034P000045kxk0QAA", "0034P000045kxk0QAA")</f>
        <v>0034P000045kxk0QAA</v>
      </c>
      <c r="J230" s="2" t="s">
        <v>1630</v>
      </c>
      <c r="K230" s="3" t="s">
        <v>1631</v>
      </c>
    </row>
    <row r="231" spans="6:11" ht="12.5" x14ac:dyDescent="0.25">
      <c r="F231" s="2" t="s">
        <v>1632</v>
      </c>
      <c r="G231" s="2" t="s">
        <v>1632</v>
      </c>
      <c r="H231" s="2" t="b">
        <f t="shared" si="3"/>
        <v>1</v>
      </c>
      <c r="I231" s="14" t="str">
        <f>HYPERLINK("https://gerandofalcoes.my.salesforce.com/0034P000045kxicQAA", "0034P000045kxicQAA")</f>
        <v>0034P000045kxicQAA</v>
      </c>
      <c r="J231" s="2" t="s">
        <v>1630</v>
      </c>
      <c r="K231" s="3" t="s">
        <v>1631</v>
      </c>
    </row>
    <row r="232" spans="6:11" ht="12.5" x14ac:dyDescent="0.25">
      <c r="F232" s="2" t="s">
        <v>1632</v>
      </c>
      <c r="G232" s="2" t="s">
        <v>1632</v>
      </c>
      <c r="H232" s="2" t="b">
        <f t="shared" si="3"/>
        <v>1</v>
      </c>
      <c r="I232" s="14" t="str">
        <f>HYPERLINK("https://gerandofalcoes.my.salesforce.com/0034X0000380O59QAE", "0034X0000380O59QAE")</f>
        <v>0034X0000380O59QAE</v>
      </c>
      <c r="J232" s="2" t="s">
        <v>1630</v>
      </c>
      <c r="K232" s="3" t="s">
        <v>1631</v>
      </c>
    </row>
    <row r="233" spans="6:11" ht="12.5" x14ac:dyDescent="0.25">
      <c r="F233" s="2" t="s">
        <v>1632</v>
      </c>
      <c r="G233" s="2" t="s">
        <v>1632</v>
      </c>
      <c r="H233" s="2" t="b">
        <f t="shared" si="3"/>
        <v>1</v>
      </c>
      <c r="I233" s="14" t="str">
        <f>HYPERLINK("https://gerandofalcoes.my.salesforce.com/0034P000045kxi3QAA", "0034P000045kxi3QAA")</f>
        <v>0034P000045kxi3QAA</v>
      </c>
      <c r="J233" s="2" t="s">
        <v>1630</v>
      </c>
      <c r="K233" s="3" t="s">
        <v>1631</v>
      </c>
    </row>
    <row r="234" spans="6:11" ht="12.5" x14ac:dyDescent="0.25">
      <c r="F234" s="2" t="s">
        <v>1632</v>
      </c>
      <c r="G234" s="2" t="s">
        <v>1632</v>
      </c>
      <c r="H234" s="2" t="b">
        <f t="shared" si="3"/>
        <v>1</v>
      </c>
      <c r="I234" s="14" t="str">
        <f>HYPERLINK("https://gerandofalcoes.my.salesforce.com/0034X0000380O1bQAE", "0034X0000380O1bQAE")</f>
        <v>0034X0000380O1bQAE</v>
      </c>
      <c r="J234" s="2" t="s">
        <v>1630</v>
      </c>
      <c r="K234" s="3" t="s">
        <v>1631</v>
      </c>
    </row>
    <row r="235" spans="6:11" ht="12.5" x14ac:dyDescent="0.25">
      <c r="F235" s="2" t="s">
        <v>1632</v>
      </c>
      <c r="G235" s="2" t="s">
        <v>1632</v>
      </c>
      <c r="H235" s="2" t="b">
        <f t="shared" si="3"/>
        <v>1</v>
      </c>
      <c r="I235" s="14" t="str">
        <f>HYPERLINK("https://gerandofalcoes.my.salesforce.com/0034X000038zvcwQAA", "0034X000038zvcwQAA")</f>
        <v>0034X000038zvcwQAA</v>
      </c>
      <c r="J235" s="2" t="s">
        <v>1630</v>
      </c>
      <c r="K235" s="3" t="s">
        <v>1631</v>
      </c>
    </row>
    <row r="236" spans="6:11" ht="12.5" x14ac:dyDescent="0.25">
      <c r="F236" s="2" t="s">
        <v>1632</v>
      </c>
      <c r="G236" s="2" t="s">
        <v>1632</v>
      </c>
      <c r="H236" s="2" t="b">
        <f t="shared" si="3"/>
        <v>1</v>
      </c>
      <c r="I236" s="14" t="str">
        <f>HYPERLINK("https://gerandofalcoes.my.salesforce.com/0034X0000380O2UQAU", "0034X0000380O2UQAU")</f>
        <v>0034X0000380O2UQAU</v>
      </c>
      <c r="J236" s="2" t="s">
        <v>1630</v>
      </c>
      <c r="K236" s="3" t="s">
        <v>1631</v>
      </c>
    </row>
    <row r="237" spans="6:11" ht="12.5" x14ac:dyDescent="0.25">
      <c r="F237" s="2" t="s">
        <v>1632</v>
      </c>
      <c r="G237" s="2" t="s">
        <v>1632</v>
      </c>
      <c r="H237" s="2" t="b">
        <f t="shared" si="3"/>
        <v>1</v>
      </c>
      <c r="I237" s="14" t="str">
        <f>HYPERLINK("https://gerandofalcoes.my.salesforce.com/0034X0000380O1GQAU", "0034X0000380O1GQAU")</f>
        <v>0034X0000380O1GQAU</v>
      </c>
      <c r="J237" s="2" t="s">
        <v>1630</v>
      </c>
      <c r="K237" s="3" t="s">
        <v>1631</v>
      </c>
    </row>
    <row r="238" spans="6:11" ht="12.5" x14ac:dyDescent="0.25">
      <c r="F238" s="2" t="s">
        <v>1632</v>
      </c>
      <c r="G238" s="2" t="s">
        <v>1632</v>
      </c>
      <c r="H238" s="2" t="b">
        <f t="shared" si="3"/>
        <v>1</v>
      </c>
      <c r="I238" s="14" t="str">
        <f>HYPERLINK("https://gerandofalcoes.my.salesforce.com/0034X0000380O10QAE", "0034X0000380O10QAE")</f>
        <v>0034X0000380O10QAE</v>
      </c>
      <c r="J238" s="2" t="s">
        <v>1630</v>
      </c>
      <c r="K238" s="3" t="s">
        <v>1631</v>
      </c>
    </row>
    <row r="239" spans="6:11" ht="12.5" x14ac:dyDescent="0.25">
      <c r="F239" s="2" t="s">
        <v>1632</v>
      </c>
      <c r="G239" s="2" t="s">
        <v>1632</v>
      </c>
      <c r="H239" s="2" t="b">
        <f t="shared" si="3"/>
        <v>1</v>
      </c>
      <c r="I239" s="14" t="str">
        <f>HYPERLINK("https://gerandofalcoes.my.salesforce.com/0034X0000380O6MQAU", "0034X0000380O6MQAU")</f>
        <v>0034X0000380O6MQAU</v>
      </c>
      <c r="J239" s="2" t="s">
        <v>1630</v>
      </c>
      <c r="K239" s="3" t="s">
        <v>1631</v>
      </c>
    </row>
    <row r="240" spans="6:11" ht="12.5" x14ac:dyDescent="0.25">
      <c r="F240" s="2" t="s">
        <v>1632</v>
      </c>
      <c r="G240" s="2" t="s">
        <v>1632</v>
      </c>
      <c r="H240" s="2" t="b">
        <f t="shared" si="3"/>
        <v>1</v>
      </c>
      <c r="I240" s="14" t="str">
        <f>HYPERLINK("https://gerandofalcoes.my.salesforce.com/0034P000045kxi7QAA", "0034P000045kxi7QAA")</f>
        <v>0034P000045kxi7QAA</v>
      </c>
      <c r="J240" s="2" t="s">
        <v>1630</v>
      </c>
      <c r="K240" s="3" t="s">
        <v>1631</v>
      </c>
    </row>
    <row r="241" spans="6:11" ht="12.5" x14ac:dyDescent="0.25">
      <c r="F241" s="2" t="s">
        <v>1632</v>
      </c>
      <c r="G241" s="2" t="s">
        <v>1632</v>
      </c>
      <c r="H241" s="2" t="b">
        <f t="shared" si="3"/>
        <v>1</v>
      </c>
      <c r="I241" s="14" t="str">
        <f>HYPERLINK("https://gerandofalcoes.my.salesforce.com/0034X0000380O50QAE", "0034X0000380O50QAE")</f>
        <v>0034X0000380O50QAE</v>
      </c>
      <c r="J241" s="2" t="s">
        <v>1630</v>
      </c>
      <c r="K241" s="3" t="s">
        <v>1631</v>
      </c>
    </row>
    <row r="242" spans="6:11" ht="12.5" x14ac:dyDescent="0.25">
      <c r="F242" s="2" t="s">
        <v>1632</v>
      </c>
      <c r="G242" s="2" t="s">
        <v>1632</v>
      </c>
      <c r="H242" s="2" t="b">
        <f t="shared" si="3"/>
        <v>1</v>
      </c>
      <c r="I242" s="14" t="str">
        <f>HYPERLINK("https://gerandofalcoes.my.salesforce.com/0034X0000380O3tQAE", "0034X0000380O3tQAE")</f>
        <v>0034X0000380O3tQAE</v>
      </c>
      <c r="J242" s="2" t="s">
        <v>1630</v>
      </c>
      <c r="K242" s="3" t="s">
        <v>1631</v>
      </c>
    </row>
    <row r="243" spans="6:11" ht="12.5" x14ac:dyDescent="0.25">
      <c r="F243" s="2" t="s">
        <v>1632</v>
      </c>
      <c r="G243" s="2" t="s">
        <v>1632</v>
      </c>
      <c r="H243" s="2" t="b">
        <f t="shared" si="3"/>
        <v>1</v>
      </c>
      <c r="I243" s="14" t="str">
        <f>HYPERLINK("https://gerandofalcoes.my.salesforce.com/0034X0000380O6fQAE", "0034X0000380O6fQAE")</f>
        <v>0034X0000380O6fQAE</v>
      </c>
      <c r="J243" s="2" t="s">
        <v>1630</v>
      </c>
      <c r="K243" s="3" t="s">
        <v>1631</v>
      </c>
    </row>
    <row r="244" spans="6:11" ht="12.5" x14ac:dyDescent="0.25">
      <c r="F244" s="2" t="s">
        <v>1632</v>
      </c>
      <c r="G244" s="2" t="s">
        <v>1632</v>
      </c>
      <c r="H244" s="2" t="b">
        <f t="shared" si="3"/>
        <v>1</v>
      </c>
      <c r="I244" s="14" t="str">
        <f>HYPERLINK("https://gerandofalcoes.my.salesforce.com/0034X0000380O4WQAU", "0034X0000380O4WQAU")</f>
        <v>0034X0000380O4WQAU</v>
      </c>
      <c r="J244" s="2" t="s">
        <v>1630</v>
      </c>
      <c r="K244" s="3" t="s">
        <v>1631</v>
      </c>
    </row>
    <row r="245" spans="6:11" ht="12.5" x14ac:dyDescent="0.25">
      <c r="F245" s="2" t="s">
        <v>1632</v>
      </c>
      <c r="G245" s="2" t="s">
        <v>1632</v>
      </c>
      <c r="H245" s="2" t="b">
        <f t="shared" si="3"/>
        <v>1</v>
      </c>
      <c r="I245" s="14" t="str">
        <f>HYPERLINK("https://gerandofalcoes.my.salesforce.com/0034X0000380O6WQAU", "0034X0000380O6WQAU")</f>
        <v>0034X0000380O6WQAU</v>
      </c>
      <c r="J245" s="2" t="s">
        <v>1630</v>
      </c>
      <c r="K245" s="3" t="s">
        <v>1631</v>
      </c>
    </row>
    <row r="246" spans="6:11" ht="12.5" x14ac:dyDescent="0.25">
      <c r="F246" s="2" t="s">
        <v>1632</v>
      </c>
      <c r="G246" s="2" t="s">
        <v>1632</v>
      </c>
      <c r="H246" s="2" t="b">
        <f t="shared" si="3"/>
        <v>1</v>
      </c>
      <c r="I246" s="14" t="str">
        <f>HYPERLINK("https://gerandofalcoes.my.salesforce.com/0034P000045kxkJQAQ", "0034P000045kxkJQAQ")</f>
        <v>0034P000045kxkJQAQ</v>
      </c>
      <c r="J246" s="2" t="s">
        <v>1630</v>
      </c>
      <c r="K246" s="3" t="s">
        <v>1631</v>
      </c>
    </row>
    <row r="247" spans="6:11" ht="12.5" x14ac:dyDescent="0.25">
      <c r="F247" s="2" t="s">
        <v>1632</v>
      </c>
      <c r="G247" s="2" t="s">
        <v>1632</v>
      </c>
      <c r="H247" s="2" t="b">
        <f t="shared" si="3"/>
        <v>1</v>
      </c>
      <c r="I247" s="14" t="str">
        <f>HYPERLINK("https://gerandofalcoes.my.salesforce.com/0034X0000380O6FQAU", "0034X0000380O6FQAU")</f>
        <v>0034X0000380O6FQAU</v>
      </c>
      <c r="J247" s="2" t="s">
        <v>1630</v>
      </c>
      <c r="K247" s="3" t="s">
        <v>1631</v>
      </c>
    </row>
    <row r="248" spans="6:11" ht="12.5" x14ac:dyDescent="0.25">
      <c r="F248" s="2" t="s">
        <v>1632</v>
      </c>
      <c r="G248" s="2" t="s">
        <v>1632</v>
      </c>
      <c r="H248" s="2" t="b">
        <f t="shared" si="3"/>
        <v>1</v>
      </c>
      <c r="I248" s="14" t="str">
        <f>HYPERLINK("https://gerandofalcoes.my.salesforce.com/0034P000045kxihQAA", "0034P000045kxihQAA")</f>
        <v>0034P000045kxihQAA</v>
      </c>
      <c r="J248" s="2" t="s">
        <v>1630</v>
      </c>
      <c r="K248" s="3" t="s">
        <v>1631</v>
      </c>
    </row>
    <row r="249" spans="6:11" ht="12.5" x14ac:dyDescent="0.25">
      <c r="F249" s="2" t="s">
        <v>1632</v>
      </c>
      <c r="G249" s="2" t="s">
        <v>1632</v>
      </c>
      <c r="H249" s="2" t="b">
        <f t="shared" si="3"/>
        <v>1</v>
      </c>
      <c r="I249" s="14" t="str">
        <f>HYPERLINK("https://gerandofalcoes.my.salesforce.com/0034P000045kxkFQAQ", "0034P000045kxkFQAQ")</f>
        <v>0034P000045kxkFQAQ</v>
      </c>
      <c r="J249" s="2" t="s">
        <v>1630</v>
      </c>
      <c r="K249" s="3" t="s">
        <v>1631</v>
      </c>
    </row>
    <row r="250" spans="6:11" ht="12.5" x14ac:dyDescent="0.25">
      <c r="F250" s="2" t="s">
        <v>1632</v>
      </c>
      <c r="G250" s="2" t="s">
        <v>1632</v>
      </c>
      <c r="H250" s="2" t="b">
        <f t="shared" si="3"/>
        <v>1</v>
      </c>
      <c r="I250" s="14" t="str">
        <f>HYPERLINK("https://gerandofalcoes.my.salesforce.com/0034X0000380O51QAE", "0034X0000380O51QAE")</f>
        <v>0034X0000380O51QAE</v>
      </c>
      <c r="J250" s="2" t="s">
        <v>1630</v>
      </c>
      <c r="K250" s="3" t="s">
        <v>1631</v>
      </c>
    </row>
    <row r="251" spans="6:11" ht="12.5" x14ac:dyDescent="0.25">
      <c r="F251" s="2" t="s">
        <v>1632</v>
      </c>
      <c r="G251" s="2" t="s">
        <v>1632</v>
      </c>
      <c r="H251" s="2" t="b">
        <f t="shared" si="3"/>
        <v>1</v>
      </c>
      <c r="I251" s="14" t="str">
        <f>HYPERLINK("https://gerandofalcoes.my.salesforce.com/0034X0000380O6dQAE", "0034X0000380O6dQAE")</f>
        <v>0034X0000380O6dQAE</v>
      </c>
      <c r="J251" s="2" t="s">
        <v>1630</v>
      </c>
      <c r="K251" s="3" t="s">
        <v>1631</v>
      </c>
    </row>
    <row r="252" spans="6:11" ht="12.5" x14ac:dyDescent="0.25">
      <c r="F252" s="2" t="s">
        <v>1632</v>
      </c>
      <c r="G252" s="2" t="s">
        <v>1632</v>
      </c>
      <c r="H252" s="2" t="b">
        <f t="shared" si="3"/>
        <v>1</v>
      </c>
      <c r="I252" s="14" t="str">
        <f>HYPERLINK("https://gerandofalcoes.my.salesforce.com/0034P000045kxi0QAA", "0034P000045kxi0QAA")</f>
        <v>0034P000045kxi0QAA</v>
      </c>
      <c r="J252" s="2" t="s">
        <v>1630</v>
      </c>
      <c r="K252" s="3" t="s">
        <v>1631</v>
      </c>
    </row>
    <row r="253" spans="6:11" ht="12.5" x14ac:dyDescent="0.25">
      <c r="F253" s="2" t="s">
        <v>1632</v>
      </c>
      <c r="G253" s="2" t="s">
        <v>1632</v>
      </c>
      <c r="H253" s="2" t="b">
        <f t="shared" si="3"/>
        <v>1</v>
      </c>
      <c r="I253" s="14" t="str">
        <f>HYPERLINK("https://gerandofalcoes.my.salesforce.com/0034X0000380O4MQAU", "0034X0000380O4MQAU")</f>
        <v>0034X0000380O4MQAU</v>
      </c>
      <c r="J253" s="2" t="s">
        <v>1630</v>
      </c>
      <c r="K253" s="3" t="s">
        <v>1631</v>
      </c>
    </row>
    <row r="254" spans="6:11" ht="12.5" x14ac:dyDescent="0.25">
      <c r="F254" s="2" t="s">
        <v>1632</v>
      </c>
      <c r="G254" s="2" t="s">
        <v>1632</v>
      </c>
      <c r="H254" s="2" t="b">
        <f t="shared" si="3"/>
        <v>1</v>
      </c>
      <c r="I254" s="14" t="str">
        <f>HYPERLINK("https://gerandofalcoes.my.salesforce.com/0034X0000380O4tQAE", "0034X0000380O4tQAE")</f>
        <v>0034X0000380O4tQAE</v>
      </c>
      <c r="J254" s="2" t="s">
        <v>1630</v>
      </c>
      <c r="K254" s="3" t="s">
        <v>1631</v>
      </c>
    </row>
    <row r="255" spans="6:11" ht="12.5" x14ac:dyDescent="0.25">
      <c r="F255" s="2" t="s">
        <v>1632</v>
      </c>
      <c r="G255" s="2" t="s">
        <v>1632</v>
      </c>
      <c r="H255" s="2" t="b">
        <f t="shared" si="3"/>
        <v>1</v>
      </c>
      <c r="I255" s="14" t="str">
        <f>HYPERLINK("https://gerandofalcoes.my.salesforce.com/0034X0000380O1cQAE", "0034X0000380O1cQAE")</f>
        <v>0034X0000380O1cQAE</v>
      </c>
      <c r="J255" s="2" t="s">
        <v>1630</v>
      </c>
      <c r="K255" s="3" t="s">
        <v>1631</v>
      </c>
    </row>
    <row r="256" spans="6:11" ht="12.5" x14ac:dyDescent="0.25">
      <c r="F256" s="2" t="s">
        <v>1632</v>
      </c>
      <c r="G256" s="2" t="s">
        <v>1632</v>
      </c>
      <c r="H256" s="2" t="b">
        <f t="shared" si="3"/>
        <v>1</v>
      </c>
      <c r="I256" s="14" t="str">
        <f>HYPERLINK("https://gerandofalcoes.my.salesforce.com/0034X0000380O2jQAE", "0034X0000380O2jQAE")</f>
        <v>0034X0000380O2jQAE</v>
      </c>
      <c r="J256" s="2" t="s">
        <v>1630</v>
      </c>
      <c r="K256" s="3" t="s">
        <v>1631</v>
      </c>
    </row>
    <row r="257" spans="6:11" ht="12.5" x14ac:dyDescent="0.25">
      <c r="F257" s="2" t="s">
        <v>1632</v>
      </c>
      <c r="G257" s="2" t="s">
        <v>1632</v>
      </c>
      <c r="H257" s="2" t="b">
        <f t="shared" si="3"/>
        <v>1</v>
      </c>
      <c r="I257" s="14" t="str">
        <f>HYPERLINK("https://gerandofalcoes.my.salesforce.com/0034X0000380O5xQAE", "0034X0000380O5xQAE")</f>
        <v>0034X0000380O5xQAE</v>
      </c>
      <c r="J257" s="2" t="s">
        <v>1630</v>
      </c>
      <c r="K257" s="3" t="s">
        <v>1631</v>
      </c>
    </row>
    <row r="258" spans="6:11" ht="12.5" x14ac:dyDescent="0.25">
      <c r="F258" s="2" t="s">
        <v>1632</v>
      </c>
      <c r="G258" s="2" t="s">
        <v>1632</v>
      </c>
      <c r="H258" s="2" t="b">
        <f t="shared" ref="H258:H321" si="4">G258=B258</f>
        <v>1</v>
      </c>
      <c r="I258" s="14" t="str">
        <f>HYPERLINK("https://gerandofalcoes.my.salesforce.com/0034P000045kxjRQAQ", "0034P000045kxjRQAQ")</f>
        <v>0034P000045kxjRQAQ</v>
      </c>
      <c r="J258" s="2" t="s">
        <v>1630</v>
      </c>
      <c r="K258" s="3" t="s">
        <v>1631</v>
      </c>
    </row>
    <row r="259" spans="6:11" ht="12.5" x14ac:dyDescent="0.25">
      <c r="F259" s="2" t="s">
        <v>1632</v>
      </c>
      <c r="G259" s="2" t="s">
        <v>1632</v>
      </c>
      <c r="H259" s="2" t="b">
        <f t="shared" si="4"/>
        <v>1</v>
      </c>
      <c r="I259" s="14" t="str">
        <f>HYPERLINK("https://gerandofalcoes.my.salesforce.com/0034X0000380O2RQAU", "0034X0000380O2RQAU")</f>
        <v>0034X0000380O2RQAU</v>
      </c>
      <c r="J259" s="2" t="s">
        <v>1630</v>
      </c>
      <c r="K259" s="3" t="s">
        <v>1631</v>
      </c>
    </row>
    <row r="260" spans="6:11" ht="12.5" x14ac:dyDescent="0.25">
      <c r="F260" s="2" t="s">
        <v>1632</v>
      </c>
      <c r="G260" s="2" t="s">
        <v>1632</v>
      </c>
      <c r="H260" s="2" t="b">
        <f t="shared" si="4"/>
        <v>1</v>
      </c>
      <c r="I260" s="14" t="str">
        <f>HYPERLINK("https://gerandofalcoes.my.salesforce.com/0034X0000380O1nQAE", "0034X0000380O1nQAE")</f>
        <v>0034X0000380O1nQAE</v>
      </c>
      <c r="J260" s="2" t="s">
        <v>1630</v>
      </c>
      <c r="K260" s="3" t="s">
        <v>1631</v>
      </c>
    </row>
    <row r="261" spans="6:11" ht="12.5" x14ac:dyDescent="0.25">
      <c r="F261" s="2" t="s">
        <v>1632</v>
      </c>
      <c r="G261" s="2" t="s">
        <v>1632</v>
      </c>
      <c r="H261" s="2" t="b">
        <f t="shared" si="4"/>
        <v>1</v>
      </c>
      <c r="I261" s="14" t="str">
        <f>HYPERLINK("https://gerandofalcoes.my.salesforce.com/0034P000045kxjeQAA", "0034P000045kxjeQAA")</f>
        <v>0034P000045kxjeQAA</v>
      </c>
      <c r="J261" s="2" t="s">
        <v>1630</v>
      </c>
      <c r="K261" s="3" t="s">
        <v>1631</v>
      </c>
    </row>
    <row r="262" spans="6:11" ht="12.5" x14ac:dyDescent="0.25">
      <c r="F262" s="2" t="s">
        <v>1632</v>
      </c>
      <c r="G262" s="2" t="s">
        <v>1632</v>
      </c>
      <c r="H262" s="2" t="b">
        <f t="shared" si="4"/>
        <v>1</v>
      </c>
      <c r="I262" s="14" t="str">
        <f>HYPERLINK("https://gerandofalcoes.my.salesforce.com/0034P000043fOnaQAE", "0034P000043fOnaQAE")</f>
        <v>0034P000043fOnaQAE</v>
      </c>
      <c r="J262" s="2" t="s">
        <v>1630</v>
      </c>
      <c r="K262" s="3" t="s">
        <v>1631</v>
      </c>
    </row>
    <row r="263" spans="6:11" ht="12.5" x14ac:dyDescent="0.25">
      <c r="F263" s="2" t="s">
        <v>1632</v>
      </c>
      <c r="G263" s="2" t="s">
        <v>1632</v>
      </c>
      <c r="H263" s="2" t="b">
        <f t="shared" si="4"/>
        <v>1</v>
      </c>
      <c r="I263" s="14" t="str">
        <f>HYPERLINK("https://gerandofalcoes.my.salesforce.com/0034P000043fOnnQAE", "0034P000043fOnnQAE")</f>
        <v>0034P000043fOnnQAE</v>
      </c>
      <c r="J263" s="2" t="s">
        <v>1630</v>
      </c>
      <c r="K263" s="3" t="s">
        <v>1631</v>
      </c>
    </row>
    <row r="264" spans="6:11" ht="12.5" x14ac:dyDescent="0.25">
      <c r="F264" s="2" t="s">
        <v>1632</v>
      </c>
      <c r="G264" s="2" t="s">
        <v>1632</v>
      </c>
      <c r="H264" s="2" t="b">
        <f t="shared" si="4"/>
        <v>1</v>
      </c>
      <c r="I264" s="14" t="str">
        <f>HYPERLINK("https://gerandofalcoes.my.salesforce.com/0034P000045kxkoQAA", "0034P000045kxkoQAA")</f>
        <v>0034P000045kxkoQAA</v>
      </c>
      <c r="J264" s="2" t="s">
        <v>1630</v>
      </c>
      <c r="K264" s="3" t="s">
        <v>1631</v>
      </c>
    </row>
    <row r="265" spans="6:11" ht="12.5" x14ac:dyDescent="0.25">
      <c r="F265" s="2" t="s">
        <v>1632</v>
      </c>
      <c r="G265" s="2" t="s">
        <v>1632</v>
      </c>
      <c r="H265" s="2" t="b">
        <f t="shared" si="4"/>
        <v>1</v>
      </c>
      <c r="I265" s="14" t="str">
        <f>HYPERLINK("https://gerandofalcoes.my.salesforce.com/0034X0000380O2bQAE", "0034X0000380O2bQAE")</f>
        <v>0034X0000380O2bQAE</v>
      </c>
      <c r="J265" s="2" t="s">
        <v>1630</v>
      </c>
      <c r="K265" s="3" t="s">
        <v>1631</v>
      </c>
    </row>
    <row r="266" spans="6:11" ht="12.5" x14ac:dyDescent="0.25">
      <c r="F266" s="2" t="s">
        <v>1632</v>
      </c>
      <c r="G266" s="2" t="s">
        <v>1632</v>
      </c>
      <c r="H266" s="2" t="b">
        <f t="shared" si="4"/>
        <v>1</v>
      </c>
      <c r="I266" s="14" t="str">
        <f>HYPERLINK("https://gerandofalcoes.my.salesforce.com/0034X0000380O3dQAE", "0034X0000380O3dQAE")</f>
        <v>0034X0000380O3dQAE</v>
      </c>
      <c r="J266" s="2" t="s">
        <v>1630</v>
      </c>
      <c r="K266" s="3" t="s">
        <v>1631</v>
      </c>
    </row>
    <row r="267" spans="6:11" ht="12.5" x14ac:dyDescent="0.25">
      <c r="F267" s="2" t="s">
        <v>1632</v>
      </c>
      <c r="G267" s="2" t="s">
        <v>1632</v>
      </c>
      <c r="H267" s="2" t="b">
        <f t="shared" si="4"/>
        <v>1</v>
      </c>
      <c r="I267" s="14" t="str">
        <f>HYPERLINK("https://gerandofalcoes.my.salesforce.com/0034X0000380O63QAE", "0034X0000380O63QAE")</f>
        <v>0034X0000380O63QAE</v>
      </c>
      <c r="J267" s="2" t="s">
        <v>1630</v>
      </c>
      <c r="K267" s="3" t="s">
        <v>1631</v>
      </c>
    </row>
    <row r="268" spans="6:11" ht="12.5" x14ac:dyDescent="0.25">
      <c r="F268" s="2" t="s">
        <v>1632</v>
      </c>
      <c r="G268" s="2" t="s">
        <v>1632</v>
      </c>
      <c r="H268" s="2" t="b">
        <f t="shared" si="4"/>
        <v>1</v>
      </c>
      <c r="I268" s="14" t="str">
        <f>HYPERLINK("https://gerandofalcoes.my.salesforce.com/0034P00003maBVNQA2", "0034P00003maBVNQA2")</f>
        <v>0034P00003maBVNQA2</v>
      </c>
      <c r="J268" s="2" t="s">
        <v>1630</v>
      </c>
      <c r="K268" s="3" t="s">
        <v>1631</v>
      </c>
    </row>
    <row r="269" spans="6:11" ht="12.5" x14ac:dyDescent="0.25">
      <c r="F269" s="2" t="s">
        <v>1632</v>
      </c>
      <c r="G269" s="2" t="s">
        <v>1632</v>
      </c>
      <c r="H269" s="2" t="b">
        <f t="shared" si="4"/>
        <v>1</v>
      </c>
      <c r="I269" s="14" t="str">
        <f>HYPERLINK("https://gerandofalcoes.my.salesforce.com/0034X0000380O5cQAE", "0034X0000380O5cQAE")</f>
        <v>0034X0000380O5cQAE</v>
      </c>
      <c r="J269" s="2" t="s">
        <v>1630</v>
      </c>
      <c r="K269" s="3" t="s">
        <v>1631</v>
      </c>
    </row>
    <row r="270" spans="6:11" ht="12.5" x14ac:dyDescent="0.25">
      <c r="F270" s="2" t="s">
        <v>1632</v>
      </c>
      <c r="G270" s="2" t="s">
        <v>1632</v>
      </c>
      <c r="H270" s="2" t="b">
        <f t="shared" si="4"/>
        <v>1</v>
      </c>
      <c r="I270" s="14" t="str">
        <f>HYPERLINK("https://gerandofalcoes.my.salesforce.com/0034X0000380O6mQAE", "0034X0000380O6mQAE")</f>
        <v>0034X0000380O6mQAE</v>
      </c>
      <c r="J270" s="2" t="s">
        <v>1630</v>
      </c>
      <c r="K270" s="3" t="s">
        <v>1631</v>
      </c>
    </row>
    <row r="271" spans="6:11" ht="12.5" x14ac:dyDescent="0.25">
      <c r="F271" s="2" t="s">
        <v>1632</v>
      </c>
      <c r="G271" s="2" t="s">
        <v>1632</v>
      </c>
      <c r="H271" s="2" t="b">
        <f t="shared" si="4"/>
        <v>1</v>
      </c>
      <c r="I271" s="14" t="str">
        <f>HYPERLINK("https://gerandofalcoes.my.salesforce.com/0034X0000380O2XQAU", "0034X0000380O2XQAU")</f>
        <v>0034X0000380O2XQAU</v>
      </c>
      <c r="J271" s="2" t="s">
        <v>1630</v>
      </c>
      <c r="K271" s="3" t="s">
        <v>1631</v>
      </c>
    </row>
    <row r="272" spans="6:11" ht="12.5" x14ac:dyDescent="0.25">
      <c r="F272" s="2" t="s">
        <v>1632</v>
      </c>
      <c r="G272" s="2" t="s">
        <v>1632</v>
      </c>
      <c r="H272" s="2" t="b">
        <f t="shared" si="4"/>
        <v>1</v>
      </c>
      <c r="I272" s="14" t="str">
        <f>HYPERLINK("https://gerandofalcoes.my.salesforce.com/0034P00003maBVGQA2", "0034P00003maBVGQA2")</f>
        <v>0034P00003maBVGQA2</v>
      </c>
      <c r="J272" s="2" t="s">
        <v>1630</v>
      </c>
      <c r="K272" s="3" t="s">
        <v>1631</v>
      </c>
    </row>
    <row r="273" spans="6:11" ht="12.5" x14ac:dyDescent="0.25">
      <c r="F273" s="2" t="s">
        <v>1632</v>
      </c>
      <c r="G273" s="2" t="s">
        <v>1632</v>
      </c>
      <c r="H273" s="2" t="b">
        <f t="shared" si="4"/>
        <v>1</v>
      </c>
      <c r="I273" s="14" t="str">
        <f>HYPERLINK("https://gerandofalcoes.my.salesforce.com/0034X0000380O1TQAU", "0034X0000380O1TQAU")</f>
        <v>0034X0000380O1TQAU</v>
      </c>
      <c r="J273" s="2" t="s">
        <v>1630</v>
      </c>
      <c r="K273" s="3" t="s">
        <v>1631</v>
      </c>
    </row>
    <row r="274" spans="6:11" ht="12.5" x14ac:dyDescent="0.25">
      <c r="F274" s="2" t="s">
        <v>1632</v>
      </c>
      <c r="G274" s="2" t="s">
        <v>1632</v>
      </c>
      <c r="H274" s="2" t="b">
        <f t="shared" si="4"/>
        <v>1</v>
      </c>
      <c r="I274" s="14" t="str">
        <f>HYPERLINK("https://gerandofalcoes.my.salesforce.com/0034P000045kxj8QAA", "0034P000045kxj8QAA")</f>
        <v>0034P000045kxj8QAA</v>
      </c>
      <c r="J274" s="2" t="s">
        <v>1630</v>
      </c>
      <c r="K274" s="3" t="s">
        <v>1631</v>
      </c>
    </row>
    <row r="275" spans="6:11" ht="12.5" x14ac:dyDescent="0.25">
      <c r="F275" s="2" t="s">
        <v>1632</v>
      </c>
      <c r="G275" s="2" t="s">
        <v>1632</v>
      </c>
      <c r="H275" s="2" t="b">
        <f t="shared" si="4"/>
        <v>1</v>
      </c>
      <c r="I275" s="14" t="str">
        <f>HYPERLINK("https://gerandofalcoes.my.salesforce.com/0034P000045kxivQAA", "0034P000045kxivQAA")</f>
        <v>0034P000045kxivQAA</v>
      </c>
      <c r="J275" s="2" t="s">
        <v>1630</v>
      </c>
      <c r="K275" s="3" t="s">
        <v>1631</v>
      </c>
    </row>
    <row r="276" spans="6:11" ht="12.5" x14ac:dyDescent="0.25">
      <c r="F276" s="2" t="s">
        <v>1632</v>
      </c>
      <c r="G276" s="2" t="s">
        <v>1632</v>
      </c>
      <c r="H276" s="2" t="b">
        <f t="shared" si="4"/>
        <v>1</v>
      </c>
      <c r="I276" s="14" t="str">
        <f>HYPERLINK("https://gerandofalcoes.my.salesforce.com/0034P000045kxkBQAQ", "0034P000045kxkBQAQ")</f>
        <v>0034P000045kxkBQAQ</v>
      </c>
      <c r="J276" s="2" t="s">
        <v>1630</v>
      </c>
      <c r="K276" s="3" t="s">
        <v>1631</v>
      </c>
    </row>
    <row r="277" spans="6:11" ht="12.5" x14ac:dyDescent="0.25">
      <c r="F277" s="2" t="s">
        <v>1632</v>
      </c>
      <c r="G277" s="2" t="s">
        <v>1632</v>
      </c>
      <c r="H277" s="2" t="b">
        <f t="shared" si="4"/>
        <v>1</v>
      </c>
      <c r="I277" s="14" t="str">
        <f>HYPERLINK("https://gerandofalcoes.my.salesforce.com/0034X0000380O3IQAU", "0034X0000380O3IQAU")</f>
        <v>0034X0000380O3IQAU</v>
      </c>
      <c r="J277" s="2" t="s">
        <v>1630</v>
      </c>
      <c r="K277" s="3" t="s">
        <v>1631</v>
      </c>
    </row>
    <row r="278" spans="6:11" ht="12.5" x14ac:dyDescent="0.25">
      <c r="F278" s="2" t="s">
        <v>1632</v>
      </c>
      <c r="G278" s="2" t="s">
        <v>1632</v>
      </c>
      <c r="H278" s="2" t="b">
        <f t="shared" si="4"/>
        <v>1</v>
      </c>
      <c r="I278" s="14" t="str">
        <f>HYPERLINK("https://gerandofalcoes.my.salesforce.com/0034X0000380O0tQAE", "0034X0000380O0tQAE")</f>
        <v>0034X0000380O0tQAE</v>
      </c>
      <c r="J278" s="2" t="s">
        <v>1630</v>
      </c>
      <c r="K278" s="3" t="s">
        <v>1631</v>
      </c>
    </row>
    <row r="279" spans="6:11" ht="12.5" x14ac:dyDescent="0.25">
      <c r="F279" s="2" t="s">
        <v>1632</v>
      </c>
      <c r="G279" s="2" t="s">
        <v>1632</v>
      </c>
      <c r="H279" s="2" t="b">
        <f t="shared" si="4"/>
        <v>1</v>
      </c>
      <c r="I279" s="14" t="str">
        <f>HYPERLINK("https://gerandofalcoes.my.salesforce.com/0034X0000380O2QQAU", "0034X0000380O2QQAU")</f>
        <v>0034X0000380O2QQAU</v>
      </c>
      <c r="J279" s="2" t="s">
        <v>1630</v>
      </c>
      <c r="K279" s="3" t="s">
        <v>1631</v>
      </c>
    </row>
    <row r="280" spans="6:11" ht="12.5" x14ac:dyDescent="0.25">
      <c r="F280" s="2" t="s">
        <v>1632</v>
      </c>
      <c r="G280" s="2" t="s">
        <v>1632</v>
      </c>
      <c r="H280" s="2" t="b">
        <f t="shared" si="4"/>
        <v>1</v>
      </c>
      <c r="I280" s="14" t="str">
        <f>HYPERLINK("https://gerandofalcoes.my.salesforce.com/0034P00003maBVDQA2", "0034P00003maBVDQA2")</f>
        <v>0034P00003maBVDQA2</v>
      </c>
      <c r="J280" s="2" t="s">
        <v>1630</v>
      </c>
      <c r="K280" s="3" t="s">
        <v>1631</v>
      </c>
    </row>
    <row r="281" spans="6:11" ht="12.5" x14ac:dyDescent="0.25">
      <c r="F281" s="2" t="s">
        <v>1632</v>
      </c>
      <c r="G281" s="2" t="s">
        <v>1632</v>
      </c>
      <c r="H281" s="2" t="b">
        <f t="shared" si="4"/>
        <v>1</v>
      </c>
      <c r="I281" s="14" t="str">
        <f>HYPERLINK("https://gerandofalcoes.my.salesforce.com/0034P000045kxixQAA", "0034P000045kxixQAA")</f>
        <v>0034P000045kxixQAA</v>
      </c>
      <c r="J281" s="2" t="s">
        <v>1630</v>
      </c>
      <c r="K281" s="3" t="s">
        <v>1631</v>
      </c>
    </row>
    <row r="282" spans="6:11" ht="12.5" x14ac:dyDescent="0.25">
      <c r="F282" s="2" t="s">
        <v>1632</v>
      </c>
      <c r="G282" s="2" t="s">
        <v>1632</v>
      </c>
      <c r="H282" s="2" t="b">
        <f t="shared" si="4"/>
        <v>1</v>
      </c>
      <c r="I282" s="14" t="str">
        <f>HYPERLINK("https://gerandofalcoes.my.salesforce.com/0034X0000380O4qQAE", "0034X0000380O4qQAE")</f>
        <v>0034X0000380O4qQAE</v>
      </c>
      <c r="J282" s="2" t="s">
        <v>1630</v>
      </c>
      <c r="K282" s="3" t="s">
        <v>1631</v>
      </c>
    </row>
    <row r="283" spans="6:11" ht="12.5" x14ac:dyDescent="0.25">
      <c r="F283" s="2" t="s">
        <v>1632</v>
      </c>
      <c r="G283" s="2" t="s">
        <v>1632</v>
      </c>
      <c r="H283" s="2" t="b">
        <f t="shared" si="4"/>
        <v>1</v>
      </c>
      <c r="I283" s="14" t="str">
        <f>HYPERLINK("https://gerandofalcoes.my.salesforce.com/0034X0000380O1wQAE", "0034X0000380O1wQAE")</f>
        <v>0034X0000380O1wQAE</v>
      </c>
      <c r="J283" s="2" t="s">
        <v>1630</v>
      </c>
      <c r="K283" s="3" t="s">
        <v>1631</v>
      </c>
    </row>
    <row r="284" spans="6:11" ht="12.5" x14ac:dyDescent="0.25">
      <c r="F284" s="2" t="s">
        <v>1632</v>
      </c>
      <c r="G284" s="2" t="s">
        <v>1632</v>
      </c>
      <c r="H284" s="2" t="b">
        <f t="shared" si="4"/>
        <v>1</v>
      </c>
      <c r="I284" s="14" t="str">
        <f>HYPERLINK("https://gerandofalcoes.my.salesforce.com/0034X0000380O3hQAE", "0034X0000380O3hQAE")</f>
        <v>0034X0000380O3hQAE</v>
      </c>
      <c r="J284" s="2" t="s">
        <v>1630</v>
      </c>
      <c r="K284" s="3" t="s">
        <v>1631</v>
      </c>
    </row>
    <row r="285" spans="6:11" ht="12.5" x14ac:dyDescent="0.25">
      <c r="F285" s="2" t="s">
        <v>1632</v>
      </c>
      <c r="G285" s="2" t="s">
        <v>1632</v>
      </c>
      <c r="H285" s="2" t="b">
        <f t="shared" si="4"/>
        <v>1</v>
      </c>
      <c r="I285" s="14" t="str">
        <f>HYPERLINK("https://gerandofalcoes.my.salesforce.com/0034X0000380O64QAE", "0034X0000380O64QAE")</f>
        <v>0034X0000380O64QAE</v>
      </c>
      <c r="J285" s="2" t="s">
        <v>1630</v>
      </c>
      <c r="K285" s="3" t="s">
        <v>1631</v>
      </c>
    </row>
    <row r="286" spans="6:11" ht="12.5" x14ac:dyDescent="0.25">
      <c r="F286" s="2" t="s">
        <v>1632</v>
      </c>
      <c r="G286" s="2" t="s">
        <v>1632</v>
      </c>
      <c r="H286" s="2" t="b">
        <f t="shared" si="4"/>
        <v>1</v>
      </c>
      <c r="I286" s="14" t="str">
        <f>HYPERLINK("https://gerandofalcoes.my.salesforce.com/0034P000043fOncQAE", "0034P000043fOncQAE")</f>
        <v>0034P000043fOncQAE</v>
      </c>
      <c r="J286" s="2" t="s">
        <v>1630</v>
      </c>
      <c r="K286" s="3" t="s">
        <v>1631</v>
      </c>
    </row>
    <row r="287" spans="6:11" ht="12.5" x14ac:dyDescent="0.25">
      <c r="F287" s="2" t="s">
        <v>1632</v>
      </c>
      <c r="G287" s="2" t="s">
        <v>1632</v>
      </c>
      <c r="H287" s="2" t="b">
        <f t="shared" si="4"/>
        <v>1</v>
      </c>
      <c r="I287" s="14" t="str">
        <f>HYPERLINK("https://gerandofalcoes.my.salesforce.com/0034X0000380O4lQAE", "0034X0000380O4lQAE")</f>
        <v>0034X0000380O4lQAE</v>
      </c>
      <c r="J287" s="2" t="s">
        <v>1630</v>
      </c>
      <c r="K287" s="3" t="s">
        <v>1631</v>
      </c>
    </row>
    <row r="288" spans="6:11" ht="12.5" x14ac:dyDescent="0.25">
      <c r="F288" s="2" t="s">
        <v>1632</v>
      </c>
      <c r="G288" s="2" t="s">
        <v>1632</v>
      </c>
      <c r="H288" s="2" t="b">
        <f t="shared" si="4"/>
        <v>1</v>
      </c>
      <c r="I288" s="14" t="str">
        <f>HYPERLINK("https://gerandofalcoes.my.salesforce.com/0034P000045kxjVQAQ", "0034P000045kxjVQAQ")</f>
        <v>0034P000045kxjVQAQ</v>
      </c>
      <c r="J288" s="2" t="s">
        <v>1630</v>
      </c>
      <c r="K288" s="3" t="s">
        <v>1631</v>
      </c>
    </row>
    <row r="289" spans="6:11" ht="12.5" x14ac:dyDescent="0.25">
      <c r="F289" s="2" t="s">
        <v>1632</v>
      </c>
      <c r="G289" s="2" t="s">
        <v>1632</v>
      </c>
      <c r="H289" s="2" t="b">
        <f t="shared" si="4"/>
        <v>1</v>
      </c>
      <c r="I289" s="14" t="str">
        <f>HYPERLINK("https://gerandofalcoes.my.salesforce.com/0034P00003maBVMQA2", "0034P00003maBVMQA2")</f>
        <v>0034P00003maBVMQA2</v>
      </c>
      <c r="J289" s="2" t="s">
        <v>1630</v>
      </c>
      <c r="K289" s="3" t="s">
        <v>1631</v>
      </c>
    </row>
    <row r="290" spans="6:11" ht="12.5" x14ac:dyDescent="0.25">
      <c r="F290" s="2" t="s">
        <v>1632</v>
      </c>
      <c r="G290" s="2" t="s">
        <v>1632</v>
      </c>
      <c r="H290" s="2" t="b">
        <f t="shared" si="4"/>
        <v>1</v>
      </c>
      <c r="I290" s="14" t="str">
        <f>HYPERLINK("https://gerandofalcoes.my.salesforce.com/0034P000045kxk4QAA", "0034P000045kxk4QAA")</f>
        <v>0034P000045kxk4QAA</v>
      </c>
      <c r="J290" s="2" t="s">
        <v>1630</v>
      </c>
      <c r="K290" s="3" t="s">
        <v>1631</v>
      </c>
    </row>
    <row r="291" spans="6:11" ht="12.5" x14ac:dyDescent="0.25">
      <c r="F291" s="2" t="s">
        <v>1632</v>
      </c>
      <c r="G291" s="2" t="s">
        <v>1632</v>
      </c>
      <c r="H291" s="2" t="b">
        <f t="shared" si="4"/>
        <v>1</v>
      </c>
      <c r="I291" s="14" t="str">
        <f>HYPERLINK("https://gerandofalcoes.my.salesforce.com/0034X0000380O4wQAE", "0034X0000380O4wQAE")</f>
        <v>0034X0000380O4wQAE</v>
      </c>
      <c r="J291" s="2" t="s">
        <v>1630</v>
      </c>
      <c r="K291" s="3" t="s">
        <v>1631</v>
      </c>
    </row>
    <row r="292" spans="6:11" ht="12.5" x14ac:dyDescent="0.25">
      <c r="F292" s="2" t="s">
        <v>1632</v>
      </c>
      <c r="G292" s="2" t="s">
        <v>1632</v>
      </c>
      <c r="H292" s="2" t="b">
        <f t="shared" si="4"/>
        <v>1</v>
      </c>
      <c r="I292" s="14" t="str">
        <f>HYPERLINK("https://gerandofalcoes.my.salesforce.com/0034P000045kxk9QAA", "0034P000045kxk9QAA")</f>
        <v>0034P000045kxk9QAA</v>
      </c>
      <c r="J292" s="2" t="s">
        <v>1630</v>
      </c>
      <c r="K292" s="3" t="s">
        <v>1631</v>
      </c>
    </row>
    <row r="293" spans="6:11" ht="12.5" x14ac:dyDescent="0.25">
      <c r="F293" s="2" t="s">
        <v>1632</v>
      </c>
      <c r="G293" s="2" t="s">
        <v>1632</v>
      </c>
      <c r="H293" s="2" t="b">
        <f t="shared" si="4"/>
        <v>1</v>
      </c>
      <c r="I293" s="14" t="str">
        <f>HYPERLINK("https://gerandofalcoes.my.salesforce.com/0034P000045kxkvQAA", "0034P000045kxkvQAA")</f>
        <v>0034P000045kxkvQAA</v>
      </c>
      <c r="J293" s="2" t="s">
        <v>1630</v>
      </c>
      <c r="K293" s="3" t="s">
        <v>1631</v>
      </c>
    </row>
    <row r="294" spans="6:11" ht="12.5" x14ac:dyDescent="0.25">
      <c r="F294" s="2" t="s">
        <v>1632</v>
      </c>
      <c r="G294" s="2" t="s">
        <v>1632</v>
      </c>
      <c r="H294" s="2" t="b">
        <f t="shared" si="4"/>
        <v>1</v>
      </c>
      <c r="I294" s="14" t="str">
        <f>HYPERLINK("https://gerandofalcoes.my.salesforce.com/0034X0000380O2cQAE", "0034X0000380O2cQAE")</f>
        <v>0034X0000380O2cQAE</v>
      </c>
      <c r="J294" s="2" t="s">
        <v>1630</v>
      </c>
      <c r="K294" s="3" t="s">
        <v>1631</v>
      </c>
    </row>
    <row r="295" spans="6:11" ht="12.5" x14ac:dyDescent="0.25">
      <c r="F295" s="2" t="s">
        <v>1632</v>
      </c>
      <c r="G295" s="2" t="s">
        <v>1632</v>
      </c>
      <c r="H295" s="2" t="b">
        <f t="shared" si="4"/>
        <v>1</v>
      </c>
      <c r="I295" s="14" t="str">
        <f>HYPERLINK("https://gerandofalcoes.my.salesforce.com/0034P000045kxkgQAA", "0034P000045kxkgQAA")</f>
        <v>0034P000045kxkgQAA</v>
      </c>
      <c r="J295" s="2" t="s">
        <v>1630</v>
      </c>
      <c r="K295" s="3" t="s">
        <v>1631</v>
      </c>
    </row>
    <row r="296" spans="6:11" ht="12.5" x14ac:dyDescent="0.25">
      <c r="F296" s="2" t="s">
        <v>1632</v>
      </c>
      <c r="G296" s="2" t="s">
        <v>1632</v>
      </c>
      <c r="H296" s="2" t="b">
        <f t="shared" si="4"/>
        <v>1</v>
      </c>
      <c r="I296" s="14" t="str">
        <f>HYPERLINK("https://gerandofalcoes.my.salesforce.com/0034X0000380O3lQAE", "0034X0000380O3lQAE")</f>
        <v>0034X0000380O3lQAE</v>
      </c>
      <c r="J296" s="2" t="s">
        <v>1630</v>
      </c>
      <c r="K296" s="3" t="s">
        <v>1631</v>
      </c>
    </row>
    <row r="297" spans="6:11" ht="12.5" x14ac:dyDescent="0.25">
      <c r="F297" s="2" t="s">
        <v>1632</v>
      </c>
      <c r="G297" s="2" t="s">
        <v>1632</v>
      </c>
      <c r="H297" s="2" t="b">
        <f t="shared" si="4"/>
        <v>1</v>
      </c>
      <c r="I297" s="14" t="str">
        <f>HYPERLINK("https://gerandofalcoes.my.salesforce.com/0034X0000380O3KQAU", "0034X0000380O3KQAU")</f>
        <v>0034X0000380O3KQAU</v>
      </c>
      <c r="J297" s="2" t="s">
        <v>1630</v>
      </c>
      <c r="K297" s="3" t="s">
        <v>1631</v>
      </c>
    </row>
    <row r="298" spans="6:11" ht="12.5" x14ac:dyDescent="0.25">
      <c r="F298" s="2" t="s">
        <v>1632</v>
      </c>
      <c r="G298" s="2" t="s">
        <v>1632</v>
      </c>
      <c r="H298" s="2" t="b">
        <f t="shared" si="4"/>
        <v>1</v>
      </c>
      <c r="I298" s="14" t="str">
        <f>HYPERLINK("https://gerandofalcoes.my.salesforce.com/0034P000045kxjIQAQ", "0034P000045kxjIQAQ")</f>
        <v>0034P000045kxjIQAQ</v>
      </c>
      <c r="J298" s="2" t="s">
        <v>1630</v>
      </c>
      <c r="K298" s="3" t="s">
        <v>1631</v>
      </c>
    </row>
    <row r="299" spans="6:11" ht="12.5" x14ac:dyDescent="0.25">
      <c r="F299" s="2" t="s">
        <v>1632</v>
      </c>
      <c r="G299" s="2" t="s">
        <v>1632</v>
      </c>
      <c r="H299" s="2" t="b">
        <f t="shared" si="4"/>
        <v>1</v>
      </c>
      <c r="I299" s="14" t="str">
        <f>HYPERLINK("https://gerandofalcoes.my.salesforce.com/0034X0000380O4EQAU", "0034X0000380O4EQAU")</f>
        <v>0034X0000380O4EQAU</v>
      </c>
      <c r="J299" s="2" t="s">
        <v>1630</v>
      </c>
      <c r="K299" s="3" t="s">
        <v>1631</v>
      </c>
    </row>
    <row r="300" spans="6:11" ht="12.5" x14ac:dyDescent="0.25">
      <c r="F300" s="2" t="s">
        <v>1632</v>
      </c>
      <c r="G300" s="2" t="s">
        <v>1632</v>
      </c>
      <c r="H300" s="2" t="b">
        <f t="shared" si="4"/>
        <v>1</v>
      </c>
      <c r="I300" s="14" t="str">
        <f>HYPERLINK("https://gerandofalcoes.my.salesforce.com/0034P000045kxjwQAA", "0034P000045kxjwQAA")</f>
        <v>0034P000045kxjwQAA</v>
      </c>
      <c r="J300" s="2" t="s">
        <v>1630</v>
      </c>
      <c r="K300" s="3" t="s">
        <v>1631</v>
      </c>
    </row>
    <row r="301" spans="6:11" ht="12.5" x14ac:dyDescent="0.25">
      <c r="F301" s="2" t="s">
        <v>1632</v>
      </c>
      <c r="G301" s="2" t="s">
        <v>1632</v>
      </c>
      <c r="H301" s="2" t="b">
        <f t="shared" si="4"/>
        <v>1</v>
      </c>
      <c r="I301" s="14" t="str">
        <f>HYPERLINK("https://gerandofalcoes.my.salesforce.com/0034X0000380O0kQAE", "0034X0000380O0kQAE")</f>
        <v>0034X0000380O0kQAE</v>
      </c>
      <c r="J301" s="2" t="s">
        <v>1630</v>
      </c>
      <c r="K301" s="3" t="s">
        <v>1631</v>
      </c>
    </row>
    <row r="302" spans="6:11" ht="12.5" x14ac:dyDescent="0.25">
      <c r="F302" s="2" t="s">
        <v>1632</v>
      </c>
      <c r="G302" s="2" t="s">
        <v>1632</v>
      </c>
      <c r="H302" s="2" t="b">
        <f t="shared" si="4"/>
        <v>1</v>
      </c>
      <c r="I302" s="14" t="str">
        <f>HYPERLINK("https://gerandofalcoes.my.salesforce.com/0034P000043fOnuQAE", "0034P000043fOnuQAE")</f>
        <v>0034P000043fOnuQAE</v>
      </c>
      <c r="J302" s="2" t="s">
        <v>1630</v>
      </c>
      <c r="K302" s="3" t="s">
        <v>1631</v>
      </c>
    </row>
    <row r="303" spans="6:11" ht="12.5" x14ac:dyDescent="0.25">
      <c r="F303" s="2" t="s">
        <v>1632</v>
      </c>
      <c r="G303" s="2" t="s">
        <v>1632</v>
      </c>
      <c r="H303" s="2" t="b">
        <f t="shared" si="4"/>
        <v>1</v>
      </c>
      <c r="I303" s="14" t="str">
        <f>HYPERLINK("https://gerandofalcoes.my.salesforce.com/0034P000045kxizQAA", "0034P000045kxizQAA")</f>
        <v>0034P000045kxizQAA</v>
      </c>
      <c r="J303" s="2" t="s">
        <v>1630</v>
      </c>
      <c r="K303" s="3" t="s">
        <v>1631</v>
      </c>
    </row>
    <row r="304" spans="6:11" ht="12.5" x14ac:dyDescent="0.25">
      <c r="F304" s="2" t="s">
        <v>1632</v>
      </c>
      <c r="G304" s="2" t="s">
        <v>1632</v>
      </c>
      <c r="H304" s="2" t="b">
        <f t="shared" si="4"/>
        <v>1</v>
      </c>
      <c r="I304" s="14" t="str">
        <f>HYPERLINK("https://gerandofalcoes.my.salesforce.com/0034X0000380O0yQAE", "0034X0000380O0yQAE")</f>
        <v>0034X0000380O0yQAE</v>
      </c>
      <c r="J304" s="2" t="s">
        <v>1630</v>
      </c>
      <c r="K304" s="3" t="s">
        <v>1631</v>
      </c>
    </row>
    <row r="305" spans="6:11" ht="12.5" x14ac:dyDescent="0.25">
      <c r="F305" s="2" t="s">
        <v>1632</v>
      </c>
      <c r="G305" s="2" t="s">
        <v>1632</v>
      </c>
      <c r="H305" s="2" t="b">
        <f t="shared" si="4"/>
        <v>1</v>
      </c>
      <c r="I305" s="14" t="str">
        <f>HYPERLINK("https://gerandofalcoes.my.salesforce.com/0034X0000380O3CQAU", "0034X0000380O3CQAU")</f>
        <v>0034X0000380O3CQAU</v>
      </c>
      <c r="J305" s="2" t="s">
        <v>1630</v>
      </c>
      <c r="K305" s="3" t="s">
        <v>1631</v>
      </c>
    </row>
    <row r="306" spans="6:11" ht="12.5" x14ac:dyDescent="0.25">
      <c r="F306" s="2" t="s">
        <v>1632</v>
      </c>
      <c r="G306" s="2" t="s">
        <v>1632</v>
      </c>
      <c r="H306" s="2" t="b">
        <f t="shared" si="4"/>
        <v>1</v>
      </c>
      <c r="I306" s="14" t="str">
        <f>HYPERLINK("https://gerandofalcoes.my.salesforce.com/0034X000032HrzzQAC", "0034X000032HrzzQAC")</f>
        <v>0034X000032HrzzQAC</v>
      </c>
      <c r="J306" s="2" t="s">
        <v>1630</v>
      </c>
      <c r="K306" s="3" t="s">
        <v>1631</v>
      </c>
    </row>
    <row r="307" spans="6:11" ht="12.5" x14ac:dyDescent="0.25">
      <c r="F307" s="2" t="s">
        <v>1632</v>
      </c>
      <c r="G307" s="2" t="s">
        <v>1632</v>
      </c>
      <c r="H307" s="2" t="b">
        <f t="shared" si="4"/>
        <v>1</v>
      </c>
      <c r="I307" s="14" t="str">
        <f>HYPERLINK("https://gerandofalcoes.my.salesforce.com/0034P00003maBV9QAM", "0034P00003maBV9QAM")</f>
        <v>0034P00003maBV9QAM</v>
      </c>
      <c r="J307" s="2" t="s">
        <v>1630</v>
      </c>
      <c r="K307" s="3" t="s">
        <v>1631</v>
      </c>
    </row>
    <row r="308" spans="6:11" ht="12.5" x14ac:dyDescent="0.25">
      <c r="F308" s="2" t="s">
        <v>1632</v>
      </c>
      <c r="G308" s="2" t="s">
        <v>1632</v>
      </c>
      <c r="H308" s="2" t="b">
        <f t="shared" si="4"/>
        <v>1</v>
      </c>
      <c r="I308" s="14" t="str">
        <f>HYPERLINK("https://gerandofalcoes.my.salesforce.com/0034P00003maBVHQA2", "0034P00003maBVHQA2")</f>
        <v>0034P00003maBVHQA2</v>
      </c>
      <c r="J308" s="2" t="s">
        <v>1630</v>
      </c>
      <c r="K308" s="3" t="s">
        <v>1631</v>
      </c>
    </row>
    <row r="309" spans="6:11" ht="12.5" x14ac:dyDescent="0.25">
      <c r="F309" s="2" t="s">
        <v>1632</v>
      </c>
      <c r="G309" s="2" t="s">
        <v>1632</v>
      </c>
      <c r="H309" s="2" t="b">
        <f t="shared" si="4"/>
        <v>1</v>
      </c>
      <c r="I309" s="14" t="str">
        <f>HYPERLINK("https://gerandofalcoes.my.salesforce.com/0034X0000380O1MQAU", "0034X0000380O1MQAU")</f>
        <v>0034X0000380O1MQAU</v>
      </c>
      <c r="J309" s="2" t="s">
        <v>1630</v>
      </c>
      <c r="K309" s="3" t="s">
        <v>1631</v>
      </c>
    </row>
    <row r="310" spans="6:11" ht="12.5" x14ac:dyDescent="0.25">
      <c r="F310" s="2" t="s">
        <v>1632</v>
      </c>
      <c r="G310" s="2" t="s">
        <v>1632</v>
      </c>
      <c r="H310" s="2" t="b">
        <f t="shared" si="4"/>
        <v>1</v>
      </c>
      <c r="I310" s="14" t="str">
        <f>HYPERLINK("https://gerandofalcoes.my.salesforce.com/0034X0000380O5KQAU", "0034X0000380O5KQAU")</f>
        <v>0034X0000380O5KQAU</v>
      </c>
      <c r="J310" s="2" t="s">
        <v>1630</v>
      </c>
      <c r="K310" s="3" t="s">
        <v>1631</v>
      </c>
    </row>
    <row r="311" spans="6:11" ht="12.5" x14ac:dyDescent="0.25">
      <c r="F311" s="2" t="s">
        <v>1632</v>
      </c>
      <c r="G311" s="2" t="s">
        <v>1632</v>
      </c>
      <c r="H311" s="2" t="b">
        <f t="shared" si="4"/>
        <v>1</v>
      </c>
      <c r="I311" s="14" t="str">
        <f>HYPERLINK("https://gerandofalcoes.my.salesforce.com/0034X0000380O3OQAU", "0034X0000380O3OQAU")</f>
        <v>0034X0000380O3OQAU</v>
      </c>
      <c r="J311" s="2" t="s">
        <v>1630</v>
      </c>
      <c r="K311" s="3" t="s">
        <v>1631</v>
      </c>
    </row>
    <row r="312" spans="6:11" ht="12.5" x14ac:dyDescent="0.25">
      <c r="F312" s="2" t="s">
        <v>1632</v>
      </c>
      <c r="G312" s="2" t="s">
        <v>1632</v>
      </c>
      <c r="H312" s="2" t="b">
        <f t="shared" si="4"/>
        <v>1</v>
      </c>
      <c r="I312" s="14" t="str">
        <f>HYPERLINK("https://gerandofalcoes.my.salesforce.com/0034X0000380O5UQAU", "0034X0000380O5UQAU")</f>
        <v>0034X0000380O5UQAU</v>
      </c>
      <c r="J312" s="2" t="s">
        <v>1630</v>
      </c>
      <c r="K312" s="3" t="s">
        <v>1631</v>
      </c>
    </row>
    <row r="313" spans="6:11" ht="12.5" x14ac:dyDescent="0.25">
      <c r="F313" s="2" t="s">
        <v>1632</v>
      </c>
      <c r="G313" s="2" t="s">
        <v>1632</v>
      </c>
      <c r="H313" s="2" t="b">
        <f t="shared" si="4"/>
        <v>1</v>
      </c>
      <c r="I313" s="14" t="str">
        <f>HYPERLINK("https://gerandofalcoes.my.salesforce.com/0034X0000380O4hQAE", "0034X0000380O4hQAE")</f>
        <v>0034X0000380O4hQAE</v>
      </c>
      <c r="J313" s="2" t="s">
        <v>1630</v>
      </c>
      <c r="K313" s="3" t="s">
        <v>1631</v>
      </c>
    </row>
    <row r="314" spans="6:11" ht="12.5" x14ac:dyDescent="0.25">
      <c r="F314" s="2" t="s">
        <v>1632</v>
      </c>
      <c r="G314" s="2" t="s">
        <v>1632</v>
      </c>
      <c r="H314" s="2" t="b">
        <f t="shared" si="4"/>
        <v>1</v>
      </c>
      <c r="I314" s="14" t="str">
        <f>HYPERLINK("https://gerandofalcoes.my.salesforce.com/0034P000045kxiVQAQ", "0034P000045kxiVQAQ")</f>
        <v>0034P000045kxiVQAQ</v>
      </c>
      <c r="J314" s="2" t="s">
        <v>1630</v>
      </c>
      <c r="K314" s="3" t="s">
        <v>1631</v>
      </c>
    </row>
    <row r="315" spans="6:11" ht="12.5" x14ac:dyDescent="0.25">
      <c r="F315" s="2" t="s">
        <v>1632</v>
      </c>
      <c r="G315" s="2" t="s">
        <v>1632</v>
      </c>
      <c r="H315" s="2" t="b">
        <f t="shared" si="4"/>
        <v>1</v>
      </c>
      <c r="I315" s="14" t="str">
        <f>HYPERLINK("https://gerandofalcoes.my.salesforce.com/0034X0000380O2JQAU", "0034X0000380O2JQAU")</f>
        <v>0034X0000380O2JQAU</v>
      </c>
      <c r="J315" s="2" t="s">
        <v>1630</v>
      </c>
      <c r="K315" s="3" t="s">
        <v>1631</v>
      </c>
    </row>
    <row r="316" spans="6:11" ht="12.5" x14ac:dyDescent="0.25">
      <c r="F316" s="2" t="s">
        <v>1632</v>
      </c>
      <c r="G316" s="2" t="s">
        <v>1632</v>
      </c>
      <c r="H316" s="2" t="b">
        <f t="shared" si="4"/>
        <v>1</v>
      </c>
      <c r="I316" s="14" t="str">
        <f>HYPERLINK("https://gerandofalcoes.my.salesforce.com/0034P000043fOnwQAE", "0034P000043fOnwQAE")</f>
        <v>0034P000043fOnwQAE</v>
      </c>
      <c r="J316" s="2" t="s">
        <v>1630</v>
      </c>
      <c r="K316" s="3" t="s">
        <v>1631</v>
      </c>
    </row>
    <row r="317" spans="6:11" ht="12.5" x14ac:dyDescent="0.25">
      <c r="F317" s="2" t="s">
        <v>1632</v>
      </c>
      <c r="G317" s="2" t="s">
        <v>1632</v>
      </c>
      <c r="H317" s="2" t="b">
        <f t="shared" si="4"/>
        <v>1</v>
      </c>
      <c r="I317" s="14" t="str">
        <f>HYPERLINK("https://gerandofalcoes.my.salesforce.com/0034X0000380O3YQAU", "0034X0000380O3YQAU")</f>
        <v>0034X0000380O3YQAU</v>
      </c>
      <c r="J317" s="2" t="s">
        <v>1630</v>
      </c>
      <c r="K317" s="3" t="s">
        <v>1631</v>
      </c>
    </row>
    <row r="318" spans="6:11" ht="12.5" x14ac:dyDescent="0.25">
      <c r="F318" s="2" t="s">
        <v>1632</v>
      </c>
      <c r="G318" s="2" t="s">
        <v>1632</v>
      </c>
      <c r="H318" s="2" t="b">
        <f t="shared" si="4"/>
        <v>1</v>
      </c>
      <c r="I318" s="14" t="str">
        <f>HYPERLINK("https://gerandofalcoes.my.salesforce.com/0034X0000380O2hQAE", "0034X0000380O2hQAE")</f>
        <v>0034X0000380O2hQAE</v>
      </c>
      <c r="J318" s="2" t="s">
        <v>1630</v>
      </c>
      <c r="K318" s="3" t="s">
        <v>1631</v>
      </c>
    </row>
    <row r="319" spans="6:11" ht="12.5" x14ac:dyDescent="0.25">
      <c r="F319" s="2" t="s">
        <v>1632</v>
      </c>
      <c r="G319" s="2" t="s">
        <v>1632</v>
      </c>
      <c r="H319" s="2" t="b">
        <f t="shared" si="4"/>
        <v>1</v>
      </c>
      <c r="I319" s="14" t="str">
        <f>HYPERLINK("https://gerandofalcoes.my.salesforce.com/0034X0000380O0iQAE", "0034X0000380O0iQAE")</f>
        <v>0034X0000380O0iQAE</v>
      </c>
      <c r="J319" s="2" t="s">
        <v>1630</v>
      </c>
      <c r="K319" s="3" t="s">
        <v>1631</v>
      </c>
    </row>
    <row r="320" spans="6:11" ht="12.5" x14ac:dyDescent="0.25">
      <c r="F320" s="2" t="s">
        <v>1632</v>
      </c>
      <c r="G320" s="2" t="s">
        <v>1632</v>
      </c>
      <c r="H320" s="2" t="b">
        <f t="shared" si="4"/>
        <v>1</v>
      </c>
      <c r="I320" s="14" t="str">
        <f>HYPERLINK("https://gerandofalcoes.my.salesforce.com/0034X0000380O1YQAU", "0034X0000380O1YQAU")</f>
        <v>0034X0000380O1YQAU</v>
      </c>
      <c r="J320" s="2" t="s">
        <v>1630</v>
      </c>
      <c r="K320" s="3" t="s">
        <v>1631</v>
      </c>
    </row>
    <row r="321" spans="6:11" ht="12.5" x14ac:dyDescent="0.25">
      <c r="F321" s="2" t="s">
        <v>1632</v>
      </c>
      <c r="G321" s="2" t="s">
        <v>1632</v>
      </c>
      <c r="H321" s="2" t="b">
        <f t="shared" si="4"/>
        <v>1</v>
      </c>
      <c r="I321" s="14" t="str">
        <f>HYPERLINK("https://gerandofalcoes.my.salesforce.com/0034P00003maBVrQAM", "0034P00003maBVrQAM")</f>
        <v>0034P00003maBVrQAM</v>
      </c>
      <c r="J321" s="2" t="s">
        <v>1630</v>
      </c>
      <c r="K321" s="3" t="s">
        <v>1631</v>
      </c>
    </row>
    <row r="322" spans="6:11" ht="12.5" x14ac:dyDescent="0.25">
      <c r="F322" s="2" t="s">
        <v>1632</v>
      </c>
      <c r="G322" s="2" t="s">
        <v>1632</v>
      </c>
      <c r="H322" s="2" t="b">
        <f t="shared" ref="H322:H385" si="5">G322=B322</f>
        <v>1</v>
      </c>
      <c r="I322" s="14" t="str">
        <f>HYPERLINK("https://gerandofalcoes.my.salesforce.com/0034X0000380O5NQAU", "0034X0000380O5NQAU")</f>
        <v>0034X0000380O5NQAU</v>
      </c>
      <c r="J322" s="2" t="s">
        <v>1630</v>
      </c>
      <c r="K322" s="3" t="s">
        <v>1631</v>
      </c>
    </row>
    <row r="323" spans="6:11" ht="12.5" x14ac:dyDescent="0.25">
      <c r="F323" s="2" t="s">
        <v>1632</v>
      </c>
      <c r="G323" s="2" t="s">
        <v>1632</v>
      </c>
      <c r="H323" s="2" t="b">
        <f t="shared" si="5"/>
        <v>1</v>
      </c>
      <c r="I323" s="14" t="str">
        <f>HYPERLINK("https://gerandofalcoes.my.salesforce.com/0034P000045kxk1QAA", "0034P000045kxk1QAA")</f>
        <v>0034P000045kxk1QAA</v>
      </c>
      <c r="J323" s="2" t="s">
        <v>1630</v>
      </c>
      <c r="K323" s="3" t="s">
        <v>1631</v>
      </c>
    </row>
    <row r="324" spans="6:11" ht="12.5" x14ac:dyDescent="0.25">
      <c r="F324" s="2" t="s">
        <v>1632</v>
      </c>
      <c r="G324" s="2" t="s">
        <v>1632</v>
      </c>
      <c r="H324" s="2" t="b">
        <f t="shared" si="5"/>
        <v>1</v>
      </c>
      <c r="I324" s="14" t="str">
        <f>HYPERLINK("https://gerandofalcoes.my.salesforce.com/0034P00003maBVUQA2", "0034P00003maBVUQA2")</f>
        <v>0034P00003maBVUQA2</v>
      </c>
      <c r="J324" s="2" t="s">
        <v>1630</v>
      </c>
      <c r="K324" s="3" t="s">
        <v>1631</v>
      </c>
    </row>
    <row r="325" spans="6:11" ht="12.5" x14ac:dyDescent="0.25">
      <c r="F325" s="2" t="s">
        <v>1632</v>
      </c>
      <c r="G325" s="2" t="s">
        <v>1632</v>
      </c>
      <c r="H325" s="2" t="b">
        <f t="shared" si="5"/>
        <v>1</v>
      </c>
      <c r="I325" s="14" t="str">
        <f>HYPERLINK("https://gerandofalcoes.my.salesforce.com/0034X0000380O2tQAE", "0034X0000380O2tQAE")</f>
        <v>0034X0000380O2tQAE</v>
      </c>
      <c r="J325" s="2" t="s">
        <v>1630</v>
      </c>
      <c r="K325" s="3" t="s">
        <v>1631</v>
      </c>
    </row>
    <row r="326" spans="6:11" ht="12.5" x14ac:dyDescent="0.25">
      <c r="F326" s="2" t="s">
        <v>1632</v>
      </c>
      <c r="G326" s="2" t="s">
        <v>1632</v>
      </c>
      <c r="H326" s="2" t="b">
        <f t="shared" si="5"/>
        <v>1</v>
      </c>
      <c r="I326" s="14" t="str">
        <f>HYPERLINK("https://gerandofalcoes.my.salesforce.com/0034P000045kxkeQAA", "0034P000045kxkeQAA")</f>
        <v>0034P000045kxkeQAA</v>
      </c>
      <c r="J326" s="2" t="s">
        <v>1630</v>
      </c>
      <c r="K326" s="3" t="s">
        <v>1631</v>
      </c>
    </row>
    <row r="327" spans="6:11" ht="12.5" x14ac:dyDescent="0.25">
      <c r="F327" s="2" t="s">
        <v>1632</v>
      </c>
      <c r="G327" s="2" t="s">
        <v>1632</v>
      </c>
      <c r="H327" s="2" t="b">
        <f t="shared" si="5"/>
        <v>1</v>
      </c>
      <c r="I327" s="14" t="str">
        <f>HYPERLINK("https://gerandofalcoes.my.salesforce.com/0034P00003maBV1QAM", "0034P00003maBV1QAM")</f>
        <v>0034P00003maBV1QAM</v>
      </c>
      <c r="J327" s="2" t="s">
        <v>1630</v>
      </c>
      <c r="K327" s="3" t="s">
        <v>1631</v>
      </c>
    </row>
    <row r="328" spans="6:11" ht="12.5" x14ac:dyDescent="0.25">
      <c r="F328" s="2" t="s">
        <v>1632</v>
      </c>
      <c r="G328" s="2" t="s">
        <v>1632</v>
      </c>
      <c r="H328" s="2" t="b">
        <f t="shared" si="5"/>
        <v>1</v>
      </c>
      <c r="I328" s="14" t="str">
        <f>HYPERLINK("https://gerandofalcoes.my.salesforce.com/0034X0000380O0dQAE", "0034X0000380O0dQAE")</f>
        <v>0034X0000380O0dQAE</v>
      </c>
      <c r="J328" s="2" t="s">
        <v>1630</v>
      </c>
      <c r="K328" s="3" t="s">
        <v>1631</v>
      </c>
    </row>
    <row r="329" spans="6:11" ht="12.5" x14ac:dyDescent="0.25">
      <c r="F329" s="2" t="s">
        <v>1632</v>
      </c>
      <c r="G329" s="2" t="s">
        <v>1632</v>
      </c>
      <c r="H329" s="2" t="b">
        <f t="shared" si="5"/>
        <v>1</v>
      </c>
      <c r="I329" s="14" t="str">
        <f>HYPERLINK("https://gerandofalcoes.my.salesforce.com/0034X0000380O17QAE", "0034X0000380O17QAE")</f>
        <v>0034X0000380O17QAE</v>
      </c>
      <c r="J329" s="2" t="s">
        <v>1630</v>
      </c>
      <c r="K329" s="3" t="s">
        <v>1631</v>
      </c>
    </row>
    <row r="330" spans="6:11" ht="12.5" x14ac:dyDescent="0.25">
      <c r="F330" s="2" t="s">
        <v>1632</v>
      </c>
      <c r="G330" s="2" t="s">
        <v>1632</v>
      </c>
      <c r="H330" s="2" t="b">
        <f t="shared" si="5"/>
        <v>1</v>
      </c>
      <c r="I330" s="14" t="str">
        <f>HYPERLINK("https://gerandofalcoes.my.salesforce.com/0034P000045kxiPQAQ", "0034P000045kxiPQAQ")</f>
        <v>0034P000045kxiPQAQ</v>
      </c>
      <c r="J330" s="2" t="s">
        <v>1630</v>
      </c>
      <c r="K330" s="3" t="s">
        <v>1631</v>
      </c>
    </row>
    <row r="331" spans="6:11" ht="12.5" x14ac:dyDescent="0.25">
      <c r="F331" s="2" t="s">
        <v>1632</v>
      </c>
      <c r="G331" s="2" t="s">
        <v>1632</v>
      </c>
      <c r="H331" s="2" t="b">
        <f t="shared" si="5"/>
        <v>1</v>
      </c>
      <c r="I331" s="14" t="str">
        <f>HYPERLINK("https://gerandofalcoes.my.salesforce.com/0034P00003maBVsQAM", "0034P00003maBVsQAM")</f>
        <v>0034P00003maBVsQAM</v>
      </c>
      <c r="J331" s="2" t="s">
        <v>1630</v>
      </c>
      <c r="K331" s="3" t="s">
        <v>1631</v>
      </c>
    </row>
    <row r="332" spans="6:11" ht="12.5" x14ac:dyDescent="0.25">
      <c r="F332" s="2" t="s">
        <v>1632</v>
      </c>
      <c r="G332" s="2" t="s">
        <v>1632</v>
      </c>
      <c r="H332" s="2" t="b">
        <f t="shared" si="5"/>
        <v>1</v>
      </c>
      <c r="I332" s="14" t="str">
        <f>HYPERLINK("https://gerandofalcoes.my.salesforce.com/0034P000045kxiOQAQ", "0034P000045kxiOQAQ")</f>
        <v>0034P000045kxiOQAQ</v>
      </c>
      <c r="J332" s="2" t="s">
        <v>1630</v>
      </c>
      <c r="K332" s="3" t="s">
        <v>1631</v>
      </c>
    </row>
    <row r="333" spans="6:11" ht="12.5" x14ac:dyDescent="0.25">
      <c r="F333" s="2" t="s">
        <v>1632</v>
      </c>
      <c r="G333" s="2" t="s">
        <v>1632</v>
      </c>
      <c r="H333" s="2" t="b">
        <f t="shared" si="5"/>
        <v>1</v>
      </c>
      <c r="I333" s="14" t="str">
        <f>HYPERLINK("https://gerandofalcoes.my.salesforce.com/0034P000043fOoJQAU", "0034P000043fOoJQAU")</f>
        <v>0034P000043fOoJQAU</v>
      </c>
      <c r="J333" s="2" t="s">
        <v>1630</v>
      </c>
      <c r="K333" s="3" t="s">
        <v>1631</v>
      </c>
    </row>
    <row r="334" spans="6:11" ht="12.5" x14ac:dyDescent="0.25">
      <c r="F334" s="2" t="s">
        <v>1632</v>
      </c>
      <c r="G334" s="2" t="s">
        <v>1632</v>
      </c>
      <c r="H334" s="2" t="b">
        <f t="shared" si="5"/>
        <v>1</v>
      </c>
      <c r="I334" s="14" t="str">
        <f>HYPERLINK("https://gerandofalcoes.my.salesforce.com/0034X0000380O5iQAE", "0034X0000380O5iQAE")</f>
        <v>0034X0000380O5iQAE</v>
      </c>
      <c r="J334" s="2" t="s">
        <v>1630</v>
      </c>
      <c r="K334" s="3" t="s">
        <v>1631</v>
      </c>
    </row>
    <row r="335" spans="6:11" ht="12.5" x14ac:dyDescent="0.25">
      <c r="F335" s="2" t="s">
        <v>1632</v>
      </c>
      <c r="G335" s="2" t="s">
        <v>1632</v>
      </c>
      <c r="H335" s="2" t="b">
        <f t="shared" si="5"/>
        <v>1</v>
      </c>
      <c r="I335" s="14" t="str">
        <f>HYPERLINK("https://gerandofalcoes.my.salesforce.com/0034X0000380O5EQAU", "0034X0000380O5EQAU")</f>
        <v>0034X0000380O5EQAU</v>
      </c>
      <c r="J335" s="2" t="s">
        <v>1630</v>
      </c>
      <c r="K335" s="3" t="s">
        <v>1631</v>
      </c>
    </row>
    <row r="336" spans="6:11" ht="12.5" x14ac:dyDescent="0.25">
      <c r="F336" s="2" t="s">
        <v>1632</v>
      </c>
      <c r="G336" s="2" t="s">
        <v>1632</v>
      </c>
      <c r="H336" s="2" t="b">
        <f t="shared" si="5"/>
        <v>1</v>
      </c>
      <c r="I336" s="14" t="str">
        <f>HYPERLINK("https://gerandofalcoes.my.salesforce.com/0034X0000380O1EQAU", "0034X0000380O1EQAU")</f>
        <v>0034X0000380O1EQAU</v>
      </c>
      <c r="J336" s="2" t="s">
        <v>1630</v>
      </c>
      <c r="K336" s="3" t="s">
        <v>1631</v>
      </c>
    </row>
    <row r="337" spans="6:11" ht="12.5" x14ac:dyDescent="0.25">
      <c r="F337" s="2" t="s">
        <v>1632</v>
      </c>
      <c r="G337" s="2" t="s">
        <v>1632</v>
      </c>
      <c r="H337" s="2" t="b">
        <f t="shared" si="5"/>
        <v>1</v>
      </c>
      <c r="I337" s="14" t="str">
        <f>HYPERLINK("https://gerandofalcoes.my.salesforce.com/0034P000045kxkOQAQ", "0034P000045kxkOQAQ")</f>
        <v>0034P000045kxkOQAQ</v>
      </c>
      <c r="J337" s="2" t="s">
        <v>1630</v>
      </c>
      <c r="K337" s="3" t="s">
        <v>1631</v>
      </c>
    </row>
    <row r="338" spans="6:11" ht="12.5" x14ac:dyDescent="0.25">
      <c r="F338" s="2" t="s">
        <v>1632</v>
      </c>
      <c r="G338" s="2" t="s">
        <v>1632</v>
      </c>
      <c r="H338" s="2" t="b">
        <f t="shared" si="5"/>
        <v>1</v>
      </c>
      <c r="I338" s="14" t="str">
        <f>HYPERLINK("https://gerandofalcoes.my.salesforce.com/0034P00003maBVVQA2", "0034P00003maBVVQA2")</f>
        <v>0034P00003maBVVQA2</v>
      </c>
      <c r="J338" s="2" t="s">
        <v>1630</v>
      </c>
      <c r="K338" s="3" t="s">
        <v>1631</v>
      </c>
    </row>
    <row r="339" spans="6:11" ht="12.5" x14ac:dyDescent="0.25">
      <c r="F339" s="2" t="s">
        <v>1632</v>
      </c>
      <c r="G339" s="2" t="s">
        <v>1632</v>
      </c>
      <c r="H339" s="2" t="b">
        <f t="shared" si="5"/>
        <v>1</v>
      </c>
      <c r="I339" s="14" t="str">
        <f>HYPERLINK("https://gerandofalcoes.my.salesforce.com/0034X000032HsDdQAK", "0034X000032HsDdQAK")</f>
        <v>0034X000032HsDdQAK</v>
      </c>
      <c r="J339" s="2" t="s">
        <v>1630</v>
      </c>
      <c r="K339" s="3" t="s">
        <v>1631</v>
      </c>
    </row>
    <row r="340" spans="6:11" ht="12.5" x14ac:dyDescent="0.25">
      <c r="F340" s="2" t="s">
        <v>1632</v>
      </c>
      <c r="G340" s="2" t="s">
        <v>1632</v>
      </c>
      <c r="H340" s="2" t="b">
        <f t="shared" si="5"/>
        <v>1</v>
      </c>
      <c r="I340" s="14" t="str">
        <f>HYPERLINK("https://gerandofalcoes.my.salesforce.com/0034P000043fOoBQAU", "0034P000043fOoBQAU")</f>
        <v>0034P000043fOoBQAU</v>
      </c>
      <c r="J340" s="2" t="s">
        <v>1630</v>
      </c>
      <c r="K340" s="3" t="s">
        <v>1631</v>
      </c>
    </row>
    <row r="341" spans="6:11" ht="12.5" x14ac:dyDescent="0.25">
      <c r="F341" s="2" t="s">
        <v>1632</v>
      </c>
      <c r="G341" s="2" t="s">
        <v>1632</v>
      </c>
      <c r="H341" s="2" t="b">
        <f t="shared" si="5"/>
        <v>1</v>
      </c>
      <c r="I341" s="14" t="str">
        <f>HYPERLINK("https://gerandofalcoes.my.salesforce.com/0034X0000380O1IQAU", "0034X0000380O1IQAU")</f>
        <v>0034X0000380O1IQAU</v>
      </c>
      <c r="J341" s="2" t="s">
        <v>1630</v>
      </c>
      <c r="K341" s="3" t="s">
        <v>1631</v>
      </c>
    </row>
    <row r="342" spans="6:11" ht="12.5" x14ac:dyDescent="0.25">
      <c r="F342" s="2" t="s">
        <v>1632</v>
      </c>
      <c r="G342" s="2" t="s">
        <v>1632</v>
      </c>
      <c r="H342" s="2" t="b">
        <f t="shared" si="5"/>
        <v>1</v>
      </c>
      <c r="I342" s="14" t="str">
        <f>HYPERLINK("https://gerandofalcoes.my.salesforce.com/0034X0000380O3JQAU", "0034X0000380O3JQAU")</f>
        <v>0034X0000380O3JQAU</v>
      </c>
      <c r="J342" s="2" t="s">
        <v>1630</v>
      </c>
      <c r="K342" s="3" t="s">
        <v>1631</v>
      </c>
    </row>
    <row r="343" spans="6:11" ht="12.5" x14ac:dyDescent="0.25">
      <c r="F343" s="2" t="s">
        <v>1632</v>
      </c>
      <c r="G343" s="2" t="s">
        <v>1632</v>
      </c>
      <c r="H343" s="2" t="b">
        <f t="shared" si="5"/>
        <v>1</v>
      </c>
      <c r="I343" s="14" t="str">
        <f>HYPERLINK("https://gerandofalcoes.my.salesforce.com/0034X0000380O4yQAE", "0034X0000380O4yQAE")</f>
        <v>0034X0000380O4yQAE</v>
      </c>
      <c r="J343" s="2" t="s">
        <v>1630</v>
      </c>
      <c r="K343" s="3" t="s">
        <v>1631</v>
      </c>
    </row>
    <row r="344" spans="6:11" ht="12.5" x14ac:dyDescent="0.25">
      <c r="F344" s="2" t="s">
        <v>1632</v>
      </c>
      <c r="G344" s="2" t="s">
        <v>1632</v>
      </c>
      <c r="H344" s="2" t="b">
        <f t="shared" si="5"/>
        <v>1</v>
      </c>
      <c r="I344" s="14" t="str">
        <f>HYPERLINK("https://gerandofalcoes.my.salesforce.com/0034X0000380O5qQAE", "0034X0000380O5qQAE")</f>
        <v>0034X0000380O5qQAE</v>
      </c>
      <c r="J344" s="2" t="s">
        <v>1630</v>
      </c>
      <c r="K344" s="3" t="s">
        <v>1631</v>
      </c>
    </row>
    <row r="345" spans="6:11" ht="12.5" x14ac:dyDescent="0.25">
      <c r="F345" s="2" t="s">
        <v>1632</v>
      </c>
      <c r="G345" s="2" t="s">
        <v>1632</v>
      </c>
      <c r="H345" s="2" t="b">
        <f t="shared" si="5"/>
        <v>1</v>
      </c>
      <c r="I345" s="14" t="str">
        <f>HYPERLINK("https://gerandofalcoes.my.salesforce.com/0034X0000380O4RQAU", "0034X0000380O4RQAU")</f>
        <v>0034X0000380O4RQAU</v>
      </c>
      <c r="J345" s="2" t="s">
        <v>1630</v>
      </c>
      <c r="K345" s="3" t="s">
        <v>1631</v>
      </c>
    </row>
    <row r="346" spans="6:11" ht="12.5" x14ac:dyDescent="0.25">
      <c r="F346" s="2" t="s">
        <v>1632</v>
      </c>
      <c r="G346" s="2" t="s">
        <v>1632</v>
      </c>
      <c r="H346" s="2" t="b">
        <f t="shared" si="5"/>
        <v>1</v>
      </c>
      <c r="I346" s="14" t="str">
        <f>HYPERLINK("https://gerandofalcoes.my.salesforce.com/0034P000045kxjlQAA", "0034P000045kxjlQAA")</f>
        <v>0034P000045kxjlQAA</v>
      </c>
      <c r="J346" s="2" t="s">
        <v>1630</v>
      </c>
      <c r="K346" s="3" t="s">
        <v>1631</v>
      </c>
    </row>
    <row r="347" spans="6:11" ht="12.5" x14ac:dyDescent="0.25">
      <c r="F347" s="2" t="s">
        <v>1632</v>
      </c>
      <c r="G347" s="2" t="s">
        <v>1632</v>
      </c>
      <c r="H347" s="2" t="b">
        <f t="shared" si="5"/>
        <v>1</v>
      </c>
      <c r="I347" s="14" t="str">
        <f>HYPERLINK("https://gerandofalcoes.my.salesforce.com/0034P000043fPDpQAM", "0034P000043fPDpQAM")</f>
        <v>0034P000043fPDpQAM</v>
      </c>
      <c r="J347" s="2" t="s">
        <v>1630</v>
      </c>
      <c r="K347" s="3" t="s">
        <v>1631</v>
      </c>
    </row>
    <row r="348" spans="6:11" ht="12.5" x14ac:dyDescent="0.25">
      <c r="F348" s="2" t="s">
        <v>1632</v>
      </c>
      <c r="G348" s="2" t="s">
        <v>1632</v>
      </c>
      <c r="H348" s="2" t="b">
        <f t="shared" si="5"/>
        <v>1</v>
      </c>
      <c r="I348" s="14" t="str">
        <f>HYPERLINK("https://gerandofalcoes.my.salesforce.com/0034P000043fPDmQAM", "0034P000043fPDmQAM")</f>
        <v>0034P000043fPDmQAM</v>
      </c>
      <c r="J348" s="2" t="s">
        <v>1630</v>
      </c>
      <c r="K348" s="3" t="s">
        <v>1631</v>
      </c>
    </row>
    <row r="349" spans="6:11" ht="12.5" x14ac:dyDescent="0.25">
      <c r="F349" s="2" t="s">
        <v>1632</v>
      </c>
      <c r="G349" s="2" t="s">
        <v>1632</v>
      </c>
      <c r="H349" s="2" t="b">
        <f t="shared" si="5"/>
        <v>1</v>
      </c>
      <c r="I349" s="14" t="str">
        <f>HYPERLINK("https://gerandofalcoes.my.salesforce.com/0034X0000380O6NQAU", "0034X0000380O6NQAU")</f>
        <v>0034X0000380O6NQAU</v>
      </c>
      <c r="J349" s="2" t="s">
        <v>1630</v>
      </c>
      <c r="K349" s="3" t="s">
        <v>1631</v>
      </c>
    </row>
    <row r="350" spans="6:11" ht="12.5" x14ac:dyDescent="0.25">
      <c r="F350" s="2" t="s">
        <v>1632</v>
      </c>
      <c r="G350" s="2" t="s">
        <v>1632</v>
      </c>
      <c r="H350" s="2" t="b">
        <f t="shared" si="5"/>
        <v>1</v>
      </c>
      <c r="I350" s="14" t="str">
        <f>HYPERLINK("https://gerandofalcoes.my.salesforce.com/0034X000033zzZdQAI", "0034X000033zzZdQAI")</f>
        <v>0034X000033zzZdQAI</v>
      </c>
      <c r="J350" s="2" t="s">
        <v>1630</v>
      </c>
      <c r="K350" s="3" t="s">
        <v>1631</v>
      </c>
    </row>
    <row r="351" spans="6:11" ht="12.5" x14ac:dyDescent="0.25">
      <c r="F351" s="2" t="s">
        <v>1632</v>
      </c>
      <c r="G351" s="2" t="s">
        <v>1632</v>
      </c>
      <c r="H351" s="2" t="b">
        <f t="shared" si="5"/>
        <v>1</v>
      </c>
      <c r="I351" s="14" t="str">
        <f>HYPERLINK("https://gerandofalcoes.my.salesforce.com/0034P000045kxiqQAA", "0034P000045kxiqQAA")</f>
        <v>0034P000045kxiqQAA</v>
      </c>
      <c r="J351" s="2" t="s">
        <v>1630</v>
      </c>
      <c r="K351" s="3" t="s">
        <v>1631</v>
      </c>
    </row>
    <row r="352" spans="6:11" ht="12.5" x14ac:dyDescent="0.25">
      <c r="F352" s="2" t="s">
        <v>1632</v>
      </c>
      <c r="G352" s="2" t="s">
        <v>1632</v>
      </c>
      <c r="H352" s="2" t="b">
        <f t="shared" si="5"/>
        <v>1</v>
      </c>
      <c r="I352" s="14" t="str">
        <f>HYPERLINK("https://gerandofalcoes.my.salesforce.com/0034P000045kxiWQAQ", "0034P000045kxiWQAQ")</f>
        <v>0034P000045kxiWQAQ</v>
      </c>
      <c r="J352" s="2" t="s">
        <v>1630</v>
      </c>
      <c r="K352" s="3" t="s">
        <v>1631</v>
      </c>
    </row>
    <row r="353" spans="6:11" ht="12.5" x14ac:dyDescent="0.25">
      <c r="F353" s="2" t="s">
        <v>1632</v>
      </c>
      <c r="G353" s="2" t="s">
        <v>1632</v>
      </c>
      <c r="H353" s="2" t="b">
        <f t="shared" si="5"/>
        <v>1</v>
      </c>
      <c r="I353" s="14" t="str">
        <f>HYPERLINK("https://gerandofalcoes.my.salesforce.com/0034P000043fOnqQAE", "0034P000043fOnqQAE")</f>
        <v>0034P000043fOnqQAE</v>
      </c>
      <c r="J353" s="2" t="s">
        <v>1630</v>
      </c>
      <c r="K353" s="3" t="s">
        <v>1631</v>
      </c>
    </row>
    <row r="354" spans="6:11" ht="12.5" x14ac:dyDescent="0.25">
      <c r="F354" s="2" t="s">
        <v>1632</v>
      </c>
      <c r="G354" s="2" t="s">
        <v>1632</v>
      </c>
      <c r="H354" s="2" t="b">
        <f t="shared" si="5"/>
        <v>1</v>
      </c>
      <c r="I354" s="14" t="str">
        <f>HYPERLINK("https://gerandofalcoes.my.salesforce.com/0034P00003maBVLQA2", "0034P00003maBVLQA2")</f>
        <v>0034P00003maBVLQA2</v>
      </c>
      <c r="J354" s="2" t="s">
        <v>1630</v>
      </c>
      <c r="K354" s="3" t="s">
        <v>1631</v>
      </c>
    </row>
    <row r="355" spans="6:11" ht="12.5" x14ac:dyDescent="0.25">
      <c r="F355" s="2" t="s">
        <v>1632</v>
      </c>
      <c r="G355" s="2" t="s">
        <v>1632</v>
      </c>
      <c r="H355" s="2" t="b">
        <f t="shared" si="5"/>
        <v>1</v>
      </c>
      <c r="I355" s="14" t="str">
        <f>HYPERLINK("https://gerandofalcoes.my.salesforce.com/0034P000045kxj2QAA", "0034P000045kxj2QAA")</f>
        <v>0034P000045kxj2QAA</v>
      </c>
      <c r="J355" s="2" t="s">
        <v>1630</v>
      </c>
      <c r="K355" s="3" t="s">
        <v>1631</v>
      </c>
    </row>
    <row r="356" spans="6:11" ht="12.5" x14ac:dyDescent="0.25">
      <c r="F356" s="2" t="s">
        <v>1632</v>
      </c>
      <c r="G356" s="2" t="s">
        <v>1632</v>
      </c>
      <c r="H356" s="2" t="b">
        <f t="shared" si="5"/>
        <v>1</v>
      </c>
      <c r="I356" s="14" t="str">
        <f>HYPERLINK("https://gerandofalcoes.my.salesforce.com/0034P000045kxktQAA", "0034P000045kxktQAA")</f>
        <v>0034P000045kxktQAA</v>
      </c>
      <c r="J356" s="2" t="s">
        <v>1630</v>
      </c>
      <c r="K356" s="3" t="s">
        <v>1631</v>
      </c>
    </row>
    <row r="357" spans="6:11" ht="12.5" x14ac:dyDescent="0.25">
      <c r="F357" s="2" t="s">
        <v>1632</v>
      </c>
      <c r="G357" s="2" t="s">
        <v>1632</v>
      </c>
      <c r="H357" s="2" t="b">
        <f t="shared" si="5"/>
        <v>1</v>
      </c>
      <c r="I357" s="14" t="str">
        <f>HYPERLINK("https://gerandofalcoes.my.salesforce.com/0034P000045kxkjQAA", "0034P000045kxkjQAA")</f>
        <v>0034P000045kxkjQAA</v>
      </c>
      <c r="J357" s="2" t="s">
        <v>1630</v>
      </c>
      <c r="K357" s="3" t="s">
        <v>1631</v>
      </c>
    </row>
    <row r="358" spans="6:11" ht="12.5" x14ac:dyDescent="0.25">
      <c r="F358" s="2" t="s">
        <v>1632</v>
      </c>
      <c r="G358" s="2" t="s">
        <v>1632</v>
      </c>
      <c r="H358" s="2" t="b">
        <f t="shared" si="5"/>
        <v>1</v>
      </c>
      <c r="I358" s="14" t="str">
        <f>HYPERLINK("https://gerandofalcoes.my.salesforce.com/0034P000045kxjxQAA", "0034P000045kxjxQAA")</f>
        <v>0034P000045kxjxQAA</v>
      </c>
      <c r="J358" s="2" t="s">
        <v>1630</v>
      </c>
      <c r="K358" s="3" t="s">
        <v>1631</v>
      </c>
    </row>
    <row r="359" spans="6:11" ht="12.5" x14ac:dyDescent="0.25">
      <c r="F359" s="2" t="s">
        <v>1632</v>
      </c>
      <c r="G359" s="2" t="s">
        <v>1632</v>
      </c>
      <c r="H359" s="2" t="b">
        <f t="shared" si="5"/>
        <v>1</v>
      </c>
      <c r="I359" s="14" t="str">
        <f>HYPERLINK("https://gerandofalcoes.my.salesforce.com/0034P00003q10qjQAA", "0034P00003q10qjQAA")</f>
        <v>0034P00003q10qjQAA</v>
      </c>
      <c r="J359" s="2" t="s">
        <v>1630</v>
      </c>
      <c r="K359" s="3" t="s">
        <v>1631</v>
      </c>
    </row>
    <row r="360" spans="6:11" ht="12.5" x14ac:dyDescent="0.25">
      <c r="F360" s="2" t="s">
        <v>1632</v>
      </c>
      <c r="G360" s="2" t="s">
        <v>1632</v>
      </c>
      <c r="H360" s="2" t="b">
        <f t="shared" si="5"/>
        <v>1</v>
      </c>
      <c r="I360" s="14" t="str">
        <f>HYPERLINK("https://gerandofalcoes.my.salesforce.com/0034P00003maCd8QAE", "0034P00003maCd8QAE")</f>
        <v>0034P00003maCd8QAE</v>
      </c>
      <c r="J360" s="2" t="s">
        <v>1630</v>
      </c>
      <c r="K360" s="3" t="s">
        <v>1631</v>
      </c>
    </row>
    <row r="361" spans="6:11" ht="12.5" x14ac:dyDescent="0.25">
      <c r="F361" s="2" t="s">
        <v>1632</v>
      </c>
      <c r="G361" s="2" t="s">
        <v>1632</v>
      </c>
      <c r="H361" s="2" t="b">
        <f t="shared" si="5"/>
        <v>1</v>
      </c>
      <c r="I361" s="14" t="str">
        <f>HYPERLINK("https://gerandofalcoes.my.salesforce.com/0034P000045kxk5QAA", "0034P000045kxk5QAA")</f>
        <v>0034P000045kxk5QAA</v>
      </c>
      <c r="J361" s="2" t="s">
        <v>1630</v>
      </c>
      <c r="K361" s="3" t="s">
        <v>1631</v>
      </c>
    </row>
    <row r="362" spans="6:11" ht="12.5" x14ac:dyDescent="0.25">
      <c r="F362" s="2" t="s">
        <v>1632</v>
      </c>
      <c r="G362" s="2" t="s">
        <v>1632</v>
      </c>
      <c r="H362" s="2" t="b">
        <f t="shared" si="5"/>
        <v>1</v>
      </c>
      <c r="I362" s="14" t="str">
        <f>HYPERLINK("https://gerandofalcoes.my.salesforce.com/0034P000045kxiiQAA", "0034P000045kxiiQAA")</f>
        <v>0034P000045kxiiQAA</v>
      </c>
      <c r="J362" s="2" t="s">
        <v>1630</v>
      </c>
      <c r="K362" s="3" t="s">
        <v>1631</v>
      </c>
    </row>
    <row r="363" spans="6:11" ht="12.5" x14ac:dyDescent="0.25">
      <c r="F363" s="2" t="s">
        <v>1632</v>
      </c>
      <c r="G363" s="2" t="s">
        <v>1632</v>
      </c>
      <c r="H363" s="2" t="b">
        <f t="shared" si="5"/>
        <v>1</v>
      </c>
      <c r="I363" s="14" t="str">
        <f>HYPERLINK("https://gerandofalcoes.my.salesforce.com/0034P00003maBUvQAM", "0034P00003maBUvQAM")</f>
        <v>0034P00003maBUvQAM</v>
      </c>
      <c r="J363" s="2" t="s">
        <v>1630</v>
      </c>
      <c r="K363" s="3" t="s">
        <v>1631</v>
      </c>
    </row>
    <row r="364" spans="6:11" ht="12.5" x14ac:dyDescent="0.25">
      <c r="F364" s="2" t="s">
        <v>1632</v>
      </c>
      <c r="G364" s="2" t="s">
        <v>1632</v>
      </c>
      <c r="H364" s="2" t="b">
        <f t="shared" si="5"/>
        <v>1</v>
      </c>
      <c r="I364" s="14" t="str">
        <f>HYPERLINK("https://gerandofalcoes.my.salesforce.com/0034X0000380O2oQAE", "0034X0000380O2oQAE")</f>
        <v>0034X0000380O2oQAE</v>
      </c>
      <c r="J364" s="2" t="s">
        <v>1630</v>
      </c>
      <c r="K364" s="3" t="s">
        <v>1631</v>
      </c>
    </row>
    <row r="365" spans="6:11" ht="12.5" x14ac:dyDescent="0.25">
      <c r="F365" s="2" t="s">
        <v>1632</v>
      </c>
      <c r="G365" s="2" t="s">
        <v>1632</v>
      </c>
      <c r="H365" s="2" t="b">
        <f t="shared" si="5"/>
        <v>1</v>
      </c>
      <c r="I365" s="14" t="str">
        <f>HYPERLINK("https://gerandofalcoes.my.salesforce.com/0034P00003xh63pQAA", "0034P00003xh63pQAA")</f>
        <v>0034P00003xh63pQAA</v>
      </c>
      <c r="J365" s="2" t="s">
        <v>1630</v>
      </c>
      <c r="K365" s="3" t="s">
        <v>1631</v>
      </c>
    </row>
    <row r="366" spans="6:11" ht="12.5" x14ac:dyDescent="0.25">
      <c r="F366" s="2" t="s">
        <v>1632</v>
      </c>
      <c r="G366" s="2" t="s">
        <v>1632</v>
      </c>
      <c r="H366" s="2" t="b">
        <f t="shared" si="5"/>
        <v>1</v>
      </c>
      <c r="I366" s="14" t="str">
        <f>HYPERLINK("https://gerandofalcoes.my.salesforce.com/0034P00003xgnQ1QAI", "0034P00003xgnQ1QAI")</f>
        <v>0034P00003xgnQ1QAI</v>
      </c>
      <c r="J366" s="2" t="s">
        <v>1630</v>
      </c>
      <c r="K366" s="3" t="s">
        <v>1631</v>
      </c>
    </row>
    <row r="367" spans="6:11" ht="12.5" x14ac:dyDescent="0.25">
      <c r="F367" s="2" t="s">
        <v>1632</v>
      </c>
      <c r="G367" s="2" t="s">
        <v>1632</v>
      </c>
      <c r="H367" s="2" t="b">
        <f t="shared" si="5"/>
        <v>1</v>
      </c>
      <c r="I367" s="14" t="str">
        <f>HYPERLINK("https://gerandofalcoes.my.salesforce.com/0034P00003xgujUQAQ", "0034P00003xgujUQAQ")</f>
        <v>0034P00003xgujUQAQ</v>
      </c>
      <c r="J367" s="2" t="s">
        <v>1630</v>
      </c>
      <c r="K367" s="3" t="s">
        <v>1631</v>
      </c>
    </row>
    <row r="368" spans="6:11" ht="12.5" x14ac:dyDescent="0.25">
      <c r="F368" s="2" t="s">
        <v>1632</v>
      </c>
      <c r="G368" s="2" t="s">
        <v>1632</v>
      </c>
      <c r="H368" s="2" t="b">
        <f t="shared" si="5"/>
        <v>1</v>
      </c>
      <c r="I368" s="14" t="str">
        <f>HYPERLINK("https://gerandofalcoes.my.salesforce.com/0034P000045kxifQAA", "0034P000045kxifQAA")</f>
        <v>0034P000045kxifQAA</v>
      </c>
      <c r="J368" s="2" t="s">
        <v>1630</v>
      </c>
      <c r="K368" s="3" t="s">
        <v>1631</v>
      </c>
    </row>
    <row r="369" spans="6:11" ht="12.5" x14ac:dyDescent="0.25">
      <c r="F369" s="2" t="s">
        <v>1632</v>
      </c>
      <c r="G369" s="2" t="s">
        <v>1632</v>
      </c>
      <c r="H369" s="2" t="b">
        <f t="shared" si="5"/>
        <v>1</v>
      </c>
      <c r="I369" s="14" t="str">
        <f>HYPERLINK("https://gerandofalcoes.my.salesforce.com/0034X000032Hs9pQAC", "0034X000032Hs9pQAC")</f>
        <v>0034X000032Hs9pQAC</v>
      </c>
      <c r="J369" s="2" t="s">
        <v>1630</v>
      </c>
      <c r="K369" s="3" t="s">
        <v>1631</v>
      </c>
    </row>
    <row r="370" spans="6:11" ht="12.5" x14ac:dyDescent="0.25">
      <c r="F370" s="2" t="s">
        <v>1632</v>
      </c>
      <c r="G370" s="2" t="s">
        <v>1632</v>
      </c>
      <c r="H370" s="2" t="b">
        <f t="shared" si="5"/>
        <v>1</v>
      </c>
      <c r="I370" s="14" t="str">
        <f>HYPERLINK("https://gerandofalcoes.my.salesforce.com/0034P000043fOo2QAE", "0034P000043fOo2QAE")</f>
        <v>0034P000043fOo2QAE</v>
      </c>
      <c r="J370" s="2" t="s">
        <v>1630</v>
      </c>
      <c r="K370" s="3" t="s">
        <v>1631</v>
      </c>
    </row>
    <row r="371" spans="6:11" ht="12.5" x14ac:dyDescent="0.25">
      <c r="F371" s="2" t="s">
        <v>1632</v>
      </c>
      <c r="G371" s="2" t="s">
        <v>1632</v>
      </c>
      <c r="H371" s="2" t="b">
        <f t="shared" si="5"/>
        <v>1</v>
      </c>
      <c r="I371" s="14" t="str">
        <f>HYPERLINK("https://gerandofalcoes.my.salesforce.com/0034P00003maBVQQA2", "0034P00003maBVQQA2")</f>
        <v>0034P00003maBVQQA2</v>
      </c>
      <c r="J371" s="2" t="s">
        <v>1630</v>
      </c>
      <c r="K371" s="3" t="s">
        <v>1631</v>
      </c>
    </row>
    <row r="372" spans="6:11" ht="12.5" x14ac:dyDescent="0.25">
      <c r="F372" s="2" t="s">
        <v>1632</v>
      </c>
      <c r="G372" s="2" t="s">
        <v>1632</v>
      </c>
      <c r="H372" s="2" t="b">
        <f t="shared" si="5"/>
        <v>1</v>
      </c>
      <c r="I372" s="14" t="str">
        <f>HYPERLINK("https://gerandofalcoes.my.salesforce.com/0034X0000380O4OQAU", "0034X0000380O4OQAU")</f>
        <v>0034X0000380O4OQAU</v>
      </c>
      <c r="J372" s="2" t="s">
        <v>1630</v>
      </c>
      <c r="K372" s="3" t="s">
        <v>1631</v>
      </c>
    </row>
    <row r="373" spans="6:11" ht="12.5" x14ac:dyDescent="0.25">
      <c r="F373" s="2" t="s">
        <v>1632</v>
      </c>
      <c r="G373" s="2" t="s">
        <v>1632</v>
      </c>
      <c r="H373" s="2" t="b">
        <f t="shared" si="5"/>
        <v>1</v>
      </c>
      <c r="I373" s="14" t="str">
        <f>HYPERLINK("https://gerandofalcoes.my.salesforce.com/0034X0000380O3UQAU", "0034X0000380O3UQAU")</f>
        <v>0034X0000380O3UQAU</v>
      </c>
      <c r="J373" s="2" t="s">
        <v>1630</v>
      </c>
      <c r="K373" s="3" t="s">
        <v>1631</v>
      </c>
    </row>
    <row r="374" spans="6:11" ht="12.5" x14ac:dyDescent="0.25">
      <c r="F374" s="2" t="s">
        <v>1632</v>
      </c>
      <c r="G374" s="2" t="s">
        <v>1632</v>
      </c>
      <c r="H374" s="2" t="b">
        <f t="shared" si="5"/>
        <v>1</v>
      </c>
      <c r="I374" s="14" t="str">
        <f>HYPERLINK("https://gerandofalcoes.my.salesforce.com/0034X0000380O5FQAU", "0034X0000380O5FQAU")</f>
        <v>0034X0000380O5FQAU</v>
      </c>
      <c r="J374" s="2" t="s">
        <v>1630</v>
      </c>
      <c r="K374" s="3" t="s">
        <v>1631</v>
      </c>
    </row>
    <row r="375" spans="6:11" ht="12.5" x14ac:dyDescent="0.25">
      <c r="F375" s="2" t="s">
        <v>1632</v>
      </c>
      <c r="G375" s="2" t="s">
        <v>1632</v>
      </c>
      <c r="H375" s="2" t="b">
        <f t="shared" si="5"/>
        <v>1</v>
      </c>
      <c r="I375" s="14" t="str">
        <f>HYPERLINK("https://gerandofalcoes.my.salesforce.com/0034X0000380O2HQAU", "0034X0000380O2HQAU")</f>
        <v>0034X0000380O2HQAU</v>
      </c>
      <c r="J375" s="2" t="s">
        <v>1630</v>
      </c>
      <c r="K375" s="3" t="s">
        <v>1631</v>
      </c>
    </row>
    <row r="376" spans="6:11" ht="12.5" x14ac:dyDescent="0.25">
      <c r="F376" s="2" t="s">
        <v>1632</v>
      </c>
      <c r="G376" s="2" t="s">
        <v>1632</v>
      </c>
      <c r="H376" s="2" t="b">
        <f t="shared" si="5"/>
        <v>1</v>
      </c>
      <c r="I376" s="14" t="str">
        <f>HYPERLINK("https://gerandofalcoes.my.salesforce.com/0034X0000380O30QAE", "0034X0000380O30QAE")</f>
        <v>0034X0000380O30QAE</v>
      </c>
      <c r="J376" s="2" t="s">
        <v>1630</v>
      </c>
      <c r="K376" s="3" t="s">
        <v>1631</v>
      </c>
    </row>
    <row r="377" spans="6:11" ht="12.5" x14ac:dyDescent="0.25">
      <c r="F377" s="2" t="s">
        <v>1632</v>
      </c>
      <c r="G377" s="2" t="s">
        <v>1632</v>
      </c>
      <c r="H377" s="2" t="b">
        <f t="shared" si="5"/>
        <v>1</v>
      </c>
      <c r="I377" s="14" t="str">
        <f>HYPERLINK("https://gerandofalcoes.my.salesforce.com/0034P00003tQ7A1QAK", "0034P00003tQ7A1QAK")</f>
        <v>0034P00003tQ7A1QAK</v>
      </c>
      <c r="J377" s="2" t="s">
        <v>1630</v>
      </c>
      <c r="K377" s="3" t="s">
        <v>1631</v>
      </c>
    </row>
    <row r="378" spans="6:11" ht="12.5" x14ac:dyDescent="0.25">
      <c r="F378" s="2" t="s">
        <v>1632</v>
      </c>
      <c r="G378" s="2" t="s">
        <v>1632</v>
      </c>
      <c r="H378" s="2" t="b">
        <f t="shared" si="5"/>
        <v>1</v>
      </c>
      <c r="I378" s="14" t="str">
        <f>HYPERLINK("https://gerandofalcoes.my.salesforce.com/0034X000033zzcDQAQ", "0034X000033zzcDQAQ")</f>
        <v>0034X000033zzcDQAQ</v>
      </c>
      <c r="J378" s="2" t="s">
        <v>1630</v>
      </c>
      <c r="K378" s="3" t="s">
        <v>1631</v>
      </c>
    </row>
    <row r="379" spans="6:11" ht="12.5" x14ac:dyDescent="0.25">
      <c r="F379" s="2" t="s">
        <v>1632</v>
      </c>
      <c r="G379" s="2" t="s">
        <v>1632</v>
      </c>
      <c r="H379" s="2" t="b">
        <f t="shared" si="5"/>
        <v>1</v>
      </c>
      <c r="I379" s="14" t="str">
        <f>HYPERLINK("https://gerandofalcoes.my.salesforce.com/0034X0000380O3oQAE", "0034X0000380O3oQAE")</f>
        <v>0034X0000380O3oQAE</v>
      </c>
      <c r="J379" s="2" t="s">
        <v>1630</v>
      </c>
      <c r="K379" s="3" t="s">
        <v>1631</v>
      </c>
    </row>
    <row r="380" spans="6:11" ht="12.5" x14ac:dyDescent="0.25">
      <c r="F380" s="2" t="s">
        <v>1632</v>
      </c>
      <c r="G380" s="2" t="s">
        <v>1632</v>
      </c>
      <c r="H380" s="2" t="b">
        <f t="shared" si="5"/>
        <v>1</v>
      </c>
      <c r="I380" s="14" t="str">
        <f>HYPERLINK("https://gerandofalcoes.my.salesforce.com/0034P000043fOnvQAE", "0034P000043fOnvQAE")</f>
        <v>0034P000043fOnvQAE</v>
      </c>
      <c r="J380" s="2" t="s">
        <v>1630</v>
      </c>
      <c r="K380" s="3" t="s">
        <v>1631</v>
      </c>
    </row>
    <row r="381" spans="6:11" ht="12.5" x14ac:dyDescent="0.25">
      <c r="F381" s="2" t="s">
        <v>1632</v>
      </c>
      <c r="G381" s="2" t="s">
        <v>1632</v>
      </c>
      <c r="H381" s="2" t="b">
        <f t="shared" si="5"/>
        <v>1</v>
      </c>
      <c r="I381" s="14" t="str">
        <f>HYPERLINK("https://gerandofalcoes.my.salesforce.com/0034X0000380O2GQAU", "0034X0000380O2GQAU")</f>
        <v>0034X0000380O2GQAU</v>
      </c>
      <c r="J381" s="2" t="s">
        <v>1630</v>
      </c>
      <c r="K381" s="3" t="s">
        <v>1631</v>
      </c>
    </row>
    <row r="382" spans="6:11" ht="12.5" x14ac:dyDescent="0.25">
      <c r="F382" s="2" t="s">
        <v>1632</v>
      </c>
      <c r="G382" s="2" t="s">
        <v>1632</v>
      </c>
      <c r="H382" s="2" t="b">
        <f t="shared" si="5"/>
        <v>1</v>
      </c>
      <c r="I382" s="14" t="str">
        <f>HYPERLINK("https://gerandofalcoes.my.salesforce.com/0034X0000380O45QAE", "0034X0000380O45QAE")</f>
        <v>0034X0000380O45QAE</v>
      </c>
      <c r="J382" s="2" t="s">
        <v>1630</v>
      </c>
      <c r="K382" s="3" t="s">
        <v>1631</v>
      </c>
    </row>
    <row r="383" spans="6:11" ht="12.5" x14ac:dyDescent="0.25">
      <c r="F383" s="2" t="s">
        <v>1632</v>
      </c>
      <c r="G383" s="2" t="s">
        <v>1632</v>
      </c>
      <c r="H383" s="2" t="b">
        <f t="shared" si="5"/>
        <v>1</v>
      </c>
      <c r="I383" s="14" t="str">
        <f>HYPERLINK("https://gerandofalcoes.my.salesforce.com/0034P00003maBVuQAM", "0034P00003maBVuQAM")</f>
        <v>0034P00003maBVuQAM</v>
      </c>
      <c r="J383" s="2" t="s">
        <v>1630</v>
      </c>
      <c r="K383" s="3" t="s">
        <v>1631</v>
      </c>
    </row>
    <row r="384" spans="6:11" ht="12.5" x14ac:dyDescent="0.25">
      <c r="F384" s="2" t="s">
        <v>1632</v>
      </c>
      <c r="G384" s="2" t="s">
        <v>1632</v>
      </c>
      <c r="H384" s="2" t="b">
        <f t="shared" si="5"/>
        <v>1</v>
      </c>
      <c r="I384" s="14" t="str">
        <f>HYPERLINK("https://gerandofalcoes.my.salesforce.com/0034X0000380O3zQAE", "0034X0000380O3zQAE")</f>
        <v>0034X0000380O3zQAE</v>
      </c>
      <c r="J384" s="2" t="s">
        <v>1630</v>
      </c>
      <c r="K384" s="3" t="s">
        <v>1631</v>
      </c>
    </row>
    <row r="385" spans="6:11" ht="12.5" x14ac:dyDescent="0.25">
      <c r="F385" s="2" t="s">
        <v>1632</v>
      </c>
      <c r="G385" s="2" t="s">
        <v>1632</v>
      </c>
      <c r="H385" s="2" t="b">
        <f t="shared" si="5"/>
        <v>1</v>
      </c>
      <c r="I385" s="14" t="str">
        <f>HYPERLINK("https://gerandofalcoes.my.salesforce.com/0034P000045kxi4QAA", "0034P000045kxi4QAA")</f>
        <v>0034P000045kxi4QAA</v>
      </c>
      <c r="J385" s="2" t="s">
        <v>1630</v>
      </c>
      <c r="K385" s="3" t="s">
        <v>1631</v>
      </c>
    </row>
    <row r="386" spans="6:11" ht="12.5" x14ac:dyDescent="0.25">
      <c r="F386" s="2" t="s">
        <v>1632</v>
      </c>
      <c r="G386" s="2" t="s">
        <v>1632</v>
      </c>
      <c r="H386" s="2" t="b">
        <f t="shared" ref="H386:H449" si="6">G386=B386</f>
        <v>1</v>
      </c>
      <c r="I386" s="14" t="str">
        <f>HYPERLINK("https://gerandofalcoes.my.salesforce.com/0034P000043fOnxQAE", "0034P000043fOnxQAE")</f>
        <v>0034P000043fOnxQAE</v>
      </c>
      <c r="J386" s="2" t="s">
        <v>1630</v>
      </c>
      <c r="K386" s="3" t="s">
        <v>1631</v>
      </c>
    </row>
    <row r="387" spans="6:11" ht="12.5" x14ac:dyDescent="0.25">
      <c r="F387" s="2" t="s">
        <v>1632</v>
      </c>
      <c r="G387" s="2" t="s">
        <v>1632</v>
      </c>
      <c r="H387" s="2" t="b">
        <f t="shared" si="6"/>
        <v>1</v>
      </c>
      <c r="I387" s="14" t="str">
        <f>HYPERLINK("https://gerandofalcoes.my.salesforce.com/0034P000043fOnXQAU", "0034P000043fOnXQAU")</f>
        <v>0034P000043fOnXQAU</v>
      </c>
      <c r="J387" s="2" t="s">
        <v>1630</v>
      </c>
      <c r="K387" s="3" t="s">
        <v>1631</v>
      </c>
    </row>
    <row r="388" spans="6:11" ht="12.5" x14ac:dyDescent="0.25">
      <c r="F388" s="2" t="s">
        <v>1632</v>
      </c>
      <c r="G388" s="2" t="s">
        <v>1632</v>
      </c>
      <c r="H388" s="2" t="b">
        <f t="shared" si="6"/>
        <v>1</v>
      </c>
      <c r="I388" s="14" t="str">
        <f>HYPERLINK("https://gerandofalcoes.my.salesforce.com/0034X0000380O2dQAE", "0034X0000380O2dQAE")</f>
        <v>0034X0000380O2dQAE</v>
      </c>
      <c r="J388" s="2" t="s">
        <v>1630</v>
      </c>
      <c r="K388" s="3" t="s">
        <v>1631</v>
      </c>
    </row>
    <row r="389" spans="6:11" ht="12.5" x14ac:dyDescent="0.25">
      <c r="F389" s="2" t="s">
        <v>1632</v>
      </c>
      <c r="G389" s="2" t="s">
        <v>1632</v>
      </c>
      <c r="H389" s="2" t="b">
        <f t="shared" si="6"/>
        <v>1</v>
      </c>
      <c r="I389" s="14" t="str">
        <f>HYPERLINK("https://gerandofalcoes.my.salesforce.com/0034P000045kxisQAA", "0034P000045kxisQAA")</f>
        <v>0034P000045kxisQAA</v>
      </c>
      <c r="J389" s="2" t="s">
        <v>1630</v>
      </c>
      <c r="K389" s="3" t="s">
        <v>1631</v>
      </c>
    </row>
    <row r="390" spans="6:11" ht="12.5" x14ac:dyDescent="0.25">
      <c r="F390" s="2" t="s">
        <v>1632</v>
      </c>
      <c r="G390" s="2" t="s">
        <v>1632</v>
      </c>
      <c r="H390" s="2" t="b">
        <f t="shared" si="6"/>
        <v>1</v>
      </c>
      <c r="I390" s="14" t="str">
        <f>HYPERLINK("https://gerandofalcoes.my.salesforce.com/0034P000045kxjXQAQ", "0034P000045kxjXQAQ")</f>
        <v>0034P000045kxjXQAQ</v>
      </c>
      <c r="J390" s="2" t="s">
        <v>1630</v>
      </c>
      <c r="K390" s="3" t="s">
        <v>1631</v>
      </c>
    </row>
    <row r="391" spans="6:11" ht="12.5" x14ac:dyDescent="0.25">
      <c r="F391" s="2" t="s">
        <v>1632</v>
      </c>
      <c r="G391" s="2" t="s">
        <v>1632</v>
      </c>
      <c r="H391" s="2" t="b">
        <f t="shared" si="6"/>
        <v>1</v>
      </c>
      <c r="I391" s="14" t="str">
        <f>HYPERLINK("https://gerandofalcoes.my.salesforce.com/0034X0000380O3GQAU", "0034X0000380O3GQAU")</f>
        <v>0034X0000380O3GQAU</v>
      </c>
      <c r="J391" s="2" t="s">
        <v>1630</v>
      </c>
      <c r="K391" s="3" t="s">
        <v>1631</v>
      </c>
    </row>
    <row r="392" spans="6:11" ht="12.5" x14ac:dyDescent="0.25">
      <c r="F392" s="2" t="s">
        <v>1632</v>
      </c>
      <c r="G392" s="2" t="s">
        <v>1632</v>
      </c>
      <c r="H392" s="2" t="b">
        <f t="shared" si="6"/>
        <v>1</v>
      </c>
      <c r="I392" s="14" t="str">
        <f>HYPERLINK("https://gerandofalcoes.my.salesforce.com/0034P00003q1C2WQAU", "0034P00003q1C2WQAU")</f>
        <v>0034P00003q1C2WQAU</v>
      </c>
      <c r="J392" s="2" t="s">
        <v>1630</v>
      </c>
      <c r="K392" s="3" t="s">
        <v>1631</v>
      </c>
    </row>
    <row r="393" spans="6:11" ht="12.5" x14ac:dyDescent="0.25">
      <c r="F393" s="2" t="s">
        <v>1632</v>
      </c>
      <c r="G393" s="2" t="s">
        <v>1632</v>
      </c>
      <c r="H393" s="2" t="b">
        <f t="shared" si="6"/>
        <v>1</v>
      </c>
      <c r="I393" s="14" t="str">
        <f>HYPERLINK("https://gerandofalcoes.my.salesforce.com/0034X0000380O1jQAE", "0034X0000380O1jQAE")</f>
        <v>0034X0000380O1jQAE</v>
      </c>
      <c r="J393" s="2" t="s">
        <v>1630</v>
      </c>
      <c r="K393" s="3" t="s">
        <v>1631</v>
      </c>
    </row>
    <row r="394" spans="6:11" ht="12.5" x14ac:dyDescent="0.25">
      <c r="F394" s="2" t="s">
        <v>1632</v>
      </c>
      <c r="G394" s="2" t="s">
        <v>1632</v>
      </c>
      <c r="H394" s="2" t="b">
        <f t="shared" si="6"/>
        <v>1</v>
      </c>
      <c r="I394" s="14" t="str">
        <f>HYPERLINK("https://gerandofalcoes.my.salesforce.com/0034P000045kxkcQAA", "0034P000045kxkcQAA")</f>
        <v>0034P000045kxkcQAA</v>
      </c>
      <c r="J394" s="2" t="s">
        <v>1630</v>
      </c>
      <c r="K394" s="3" t="s">
        <v>1631</v>
      </c>
    </row>
    <row r="395" spans="6:11" ht="12.5" x14ac:dyDescent="0.25">
      <c r="F395" s="2" t="s">
        <v>1632</v>
      </c>
      <c r="G395" s="2" t="s">
        <v>1632</v>
      </c>
      <c r="H395" s="2" t="b">
        <f t="shared" si="6"/>
        <v>1</v>
      </c>
      <c r="I395" s="14" t="str">
        <f>HYPERLINK("https://gerandofalcoes.my.salesforce.com/0034P000045kxjdQAA", "0034P000045kxjdQAA")</f>
        <v>0034P000045kxjdQAA</v>
      </c>
      <c r="J395" s="2" t="s">
        <v>1630</v>
      </c>
      <c r="K395" s="3" t="s">
        <v>1631</v>
      </c>
    </row>
    <row r="396" spans="6:11" ht="12.5" x14ac:dyDescent="0.25">
      <c r="F396" s="2" t="s">
        <v>1632</v>
      </c>
      <c r="G396" s="2" t="s">
        <v>1632</v>
      </c>
      <c r="H396" s="2" t="b">
        <f t="shared" si="6"/>
        <v>1</v>
      </c>
      <c r="I396" s="14" t="str">
        <f>HYPERLINK("https://gerandofalcoes.my.salesforce.com/0034P000045kxjWQAQ", "0034P000045kxjWQAQ")</f>
        <v>0034P000045kxjWQAQ</v>
      </c>
      <c r="J396" s="2" t="s">
        <v>1630</v>
      </c>
      <c r="K396" s="3" t="s">
        <v>1631</v>
      </c>
    </row>
    <row r="397" spans="6:11" ht="12.5" x14ac:dyDescent="0.25">
      <c r="F397" s="2" t="s">
        <v>1632</v>
      </c>
      <c r="G397" s="2" t="s">
        <v>1632</v>
      </c>
      <c r="H397" s="2" t="b">
        <f t="shared" si="6"/>
        <v>1</v>
      </c>
      <c r="I397" s="14" t="str">
        <f>HYPERLINK("https://gerandofalcoes.my.salesforce.com/0034P000045kxkGQAQ", "0034P000045kxkGQAQ")</f>
        <v>0034P000045kxkGQAQ</v>
      </c>
      <c r="J397" s="2" t="s">
        <v>1630</v>
      </c>
      <c r="K397" s="3" t="s">
        <v>1631</v>
      </c>
    </row>
    <row r="398" spans="6:11" ht="12.5" x14ac:dyDescent="0.25">
      <c r="F398" s="2" t="s">
        <v>1632</v>
      </c>
      <c r="G398" s="2" t="s">
        <v>1632</v>
      </c>
      <c r="H398" s="2" t="b">
        <f t="shared" si="6"/>
        <v>1</v>
      </c>
      <c r="I398" s="14" t="str">
        <f>HYPERLINK("https://gerandofalcoes.my.salesforce.com/0034X0000380O5oQAE", "0034X0000380O5oQAE")</f>
        <v>0034X0000380O5oQAE</v>
      </c>
      <c r="J398" s="2" t="s">
        <v>1630</v>
      </c>
      <c r="K398" s="3" t="s">
        <v>1631</v>
      </c>
    </row>
    <row r="399" spans="6:11" ht="12.5" x14ac:dyDescent="0.25">
      <c r="F399" s="2" t="s">
        <v>1632</v>
      </c>
      <c r="G399" s="2" t="s">
        <v>1632</v>
      </c>
      <c r="H399" s="2" t="b">
        <f t="shared" si="6"/>
        <v>1</v>
      </c>
      <c r="I399" s="14" t="str">
        <f>HYPERLINK("https://gerandofalcoes.my.salesforce.com/0034X0000380O1pQAE", "0034X0000380O1pQAE")</f>
        <v>0034X0000380O1pQAE</v>
      </c>
      <c r="J399" s="2" t="s">
        <v>1630</v>
      </c>
      <c r="K399" s="3" t="s">
        <v>1631</v>
      </c>
    </row>
    <row r="400" spans="6:11" ht="12.5" x14ac:dyDescent="0.25">
      <c r="F400" s="2" t="s">
        <v>1632</v>
      </c>
      <c r="G400" s="2" t="s">
        <v>1632</v>
      </c>
      <c r="H400" s="2" t="b">
        <f t="shared" si="6"/>
        <v>1</v>
      </c>
      <c r="I400" s="14" t="str">
        <f>HYPERLINK("https://gerandofalcoes.my.salesforce.com/0034P00003uQScgQAG", "0034P00003uQScgQAG")</f>
        <v>0034P00003uQScgQAG</v>
      </c>
      <c r="J400" s="2" t="s">
        <v>1630</v>
      </c>
      <c r="K400" s="3" t="s">
        <v>1631</v>
      </c>
    </row>
    <row r="401" spans="6:11" ht="12.5" x14ac:dyDescent="0.25">
      <c r="F401" s="2" t="s">
        <v>1632</v>
      </c>
      <c r="G401" s="2" t="s">
        <v>1632</v>
      </c>
      <c r="H401" s="2" t="b">
        <f t="shared" si="6"/>
        <v>1</v>
      </c>
      <c r="I401" s="14" t="str">
        <f>HYPERLINK("https://gerandofalcoes.my.salesforce.com/0034X0000380O1KQAU", "0034X0000380O1KQAU")</f>
        <v>0034X0000380O1KQAU</v>
      </c>
      <c r="J401" s="2" t="s">
        <v>1630</v>
      </c>
      <c r="K401" s="3" t="s">
        <v>1631</v>
      </c>
    </row>
    <row r="402" spans="6:11" ht="12.5" x14ac:dyDescent="0.25">
      <c r="F402" s="2" t="s">
        <v>1632</v>
      </c>
      <c r="G402" s="2" t="s">
        <v>1632</v>
      </c>
      <c r="H402" s="2" t="b">
        <f t="shared" si="6"/>
        <v>1</v>
      </c>
      <c r="I402" s="14" t="str">
        <f>HYPERLINK("https://gerandofalcoes.my.salesforce.com/0034X0000380O4FQAU", "0034X0000380O4FQAU")</f>
        <v>0034X0000380O4FQAU</v>
      </c>
      <c r="J402" s="2" t="s">
        <v>1630</v>
      </c>
      <c r="K402" s="3" t="s">
        <v>1631</v>
      </c>
    </row>
    <row r="403" spans="6:11" ht="12.5" x14ac:dyDescent="0.25">
      <c r="F403" s="2" t="s">
        <v>1632</v>
      </c>
      <c r="G403" s="2" t="s">
        <v>1632</v>
      </c>
      <c r="H403" s="2" t="b">
        <f t="shared" si="6"/>
        <v>1</v>
      </c>
      <c r="I403" s="14" t="str">
        <f>HYPERLINK("https://gerandofalcoes.my.salesforce.com/0034X0000380O4YQAU", "0034X0000380O4YQAU")</f>
        <v>0034X0000380O4YQAU</v>
      </c>
      <c r="J403" s="2" t="s">
        <v>1630</v>
      </c>
      <c r="K403" s="3" t="s">
        <v>1631</v>
      </c>
    </row>
    <row r="404" spans="6:11" ht="12.5" x14ac:dyDescent="0.25">
      <c r="F404" s="2" t="s">
        <v>1632</v>
      </c>
      <c r="G404" s="2" t="s">
        <v>1632</v>
      </c>
      <c r="H404" s="2" t="b">
        <f t="shared" si="6"/>
        <v>1</v>
      </c>
      <c r="I404" s="14" t="str">
        <f>HYPERLINK("https://gerandofalcoes.my.salesforce.com/0034X000032HsHfQAK", "0034X000032HsHfQAK")</f>
        <v>0034X000032HsHfQAK</v>
      </c>
      <c r="J404" s="2" t="s">
        <v>1630</v>
      </c>
      <c r="K404" s="3" t="s">
        <v>1631</v>
      </c>
    </row>
    <row r="405" spans="6:11" ht="12.5" x14ac:dyDescent="0.25">
      <c r="F405" s="2" t="s">
        <v>1632</v>
      </c>
      <c r="G405" s="2" t="s">
        <v>1632</v>
      </c>
      <c r="H405" s="2" t="b">
        <f t="shared" si="6"/>
        <v>1</v>
      </c>
      <c r="I405" s="14" t="str">
        <f>HYPERLINK("https://gerandofalcoes.my.salesforce.com/0034P000043fPDkQAM", "0034P000043fPDkQAM")</f>
        <v>0034P000043fPDkQAM</v>
      </c>
      <c r="J405" s="2" t="s">
        <v>1630</v>
      </c>
      <c r="K405" s="3" t="s">
        <v>1631</v>
      </c>
    </row>
    <row r="406" spans="6:11" ht="12.5" x14ac:dyDescent="0.25">
      <c r="F406" s="2" t="s">
        <v>1632</v>
      </c>
      <c r="G406" s="2" t="s">
        <v>1632</v>
      </c>
      <c r="H406" s="2" t="b">
        <f t="shared" si="6"/>
        <v>1</v>
      </c>
      <c r="I406" s="14" t="str">
        <f>HYPERLINK("https://gerandofalcoes.my.salesforce.com/0034X0000380O16QAE", "0034X0000380O16QAE")</f>
        <v>0034X0000380O16QAE</v>
      </c>
      <c r="J406" s="2" t="s">
        <v>1630</v>
      </c>
      <c r="K406" s="3" t="s">
        <v>1631</v>
      </c>
    </row>
    <row r="407" spans="6:11" ht="12.5" x14ac:dyDescent="0.25">
      <c r="F407" s="2" t="s">
        <v>1632</v>
      </c>
      <c r="G407" s="2" t="s">
        <v>1632</v>
      </c>
      <c r="H407" s="2" t="b">
        <f t="shared" si="6"/>
        <v>1</v>
      </c>
      <c r="I407" s="14" t="str">
        <f>HYPERLINK("https://gerandofalcoes.my.salesforce.com/0034P000045kxkNQAQ", "0034P000045kxkNQAQ")</f>
        <v>0034P000045kxkNQAQ</v>
      </c>
      <c r="J407" s="2" t="s">
        <v>1630</v>
      </c>
      <c r="K407" s="3" t="s">
        <v>1631</v>
      </c>
    </row>
    <row r="408" spans="6:11" ht="12.5" x14ac:dyDescent="0.25">
      <c r="F408" s="2" t="s">
        <v>1632</v>
      </c>
      <c r="G408" s="2" t="s">
        <v>1632</v>
      </c>
      <c r="H408" s="2" t="b">
        <f t="shared" si="6"/>
        <v>1</v>
      </c>
      <c r="I408" s="14" t="str">
        <f>HYPERLINK("https://gerandofalcoes.my.salesforce.com/0034P000045kximQAA", "0034P000045kximQAA")</f>
        <v>0034P000045kximQAA</v>
      </c>
      <c r="J408" s="2" t="s">
        <v>1630</v>
      </c>
      <c r="K408" s="3" t="s">
        <v>1631</v>
      </c>
    </row>
    <row r="409" spans="6:11" ht="12.5" x14ac:dyDescent="0.25">
      <c r="F409" s="2" t="s">
        <v>1632</v>
      </c>
      <c r="G409" s="2" t="s">
        <v>1632</v>
      </c>
      <c r="H409" s="2" t="b">
        <f t="shared" si="6"/>
        <v>1</v>
      </c>
      <c r="I409" s="14" t="str">
        <f>HYPERLINK("https://gerandofalcoes.my.salesforce.com/0034X0000380O0vQAE", "0034X0000380O0vQAE")</f>
        <v>0034X0000380O0vQAE</v>
      </c>
      <c r="J409" s="2" t="s">
        <v>1630</v>
      </c>
      <c r="K409" s="3" t="s">
        <v>1631</v>
      </c>
    </row>
    <row r="410" spans="6:11" ht="12.5" x14ac:dyDescent="0.25">
      <c r="F410" s="2" t="s">
        <v>1632</v>
      </c>
      <c r="G410" s="2" t="s">
        <v>1632</v>
      </c>
      <c r="H410" s="2" t="b">
        <f t="shared" si="6"/>
        <v>1</v>
      </c>
      <c r="I410" s="14" t="str">
        <f>HYPERLINK("https://gerandofalcoes.my.salesforce.com/0034P00003maBV2QAM", "0034P00003maBV2QAM")</f>
        <v>0034P00003maBV2QAM</v>
      </c>
      <c r="J410" s="2" t="s">
        <v>1630</v>
      </c>
      <c r="K410" s="3" t="s">
        <v>1631</v>
      </c>
    </row>
    <row r="411" spans="6:11" ht="12.5" x14ac:dyDescent="0.25">
      <c r="F411" s="2" t="s">
        <v>1632</v>
      </c>
      <c r="G411" s="2" t="s">
        <v>1632</v>
      </c>
      <c r="H411" s="2" t="b">
        <f t="shared" si="6"/>
        <v>1</v>
      </c>
      <c r="I411" s="14" t="str">
        <f>HYPERLINK("https://gerandofalcoes.my.salesforce.com/0034P000045kxjDQAQ", "0034P000045kxjDQAQ")</f>
        <v>0034P000045kxjDQAQ</v>
      </c>
      <c r="J411" s="2" t="s">
        <v>1630</v>
      </c>
      <c r="K411" s="3" t="s">
        <v>1631</v>
      </c>
    </row>
    <row r="412" spans="6:11" ht="12.5" x14ac:dyDescent="0.25">
      <c r="F412" s="2" t="s">
        <v>1632</v>
      </c>
      <c r="G412" s="2" t="s">
        <v>1632</v>
      </c>
      <c r="H412" s="2" t="b">
        <f t="shared" si="6"/>
        <v>1</v>
      </c>
      <c r="I412" s="14" t="str">
        <f>HYPERLINK("https://gerandofalcoes.my.salesforce.com/0034X0000380O34QAE", "0034X0000380O34QAE")</f>
        <v>0034X0000380O34QAE</v>
      </c>
      <c r="J412" s="2" t="s">
        <v>1630</v>
      </c>
      <c r="K412" s="3" t="s">
        <v>1631</v>
      </c>
    </row>
    <row r="413" spans="6:11" ht="12.5" x14ac:dyDescent="0.25">
      <c r="F413" s="2" t="s">
        <v>1632</v>
      </c>
      <c r="G413" s="2" t="s">
        <v>1632</v>
      </c>
      <c r="H413" s="2" t="b">
        <f t="shared" si="6"/>
        <v>1</v>
      </c>
      <c r="I413" s="14" t="str">
        <f>HYPERLINK("https://gerandofalcoes.my.salesforce.com/0034P00003maBVOQA2", "0034P00003maBVOQA2")</f>
        <v>0034P00003maBVOQA2</v>
      </c>
      <c r="J413" s="2" t="s">
        <v>1630</v>
      </c>
      <c r="K413" s="3" t="s">
        <v>1631</v>
      </c>
    </row>
    <row r="414" spans="6:11" ht="12.5" x14ac:dyDescent="0.25">
      <c r="F414" s="2" t="s">
        <v>1632</v>
      </c>
      <c r="G414" s="2" t="s">
        <v>1632</v>
      </c>
      <c r="H414" s="2" t="b">
        <f t="shared" si="6"/>
        <v>1</v>
      </c>
      <c r="I414" s="14" t="str">
        <f>HYPERLINK("https://gerandofalcoes.my.salesforce.com/0034X0000380O1fQAE", "0034X0000380O1fQAE")</f>
        <v>0034X0000380O1fQAE</v>
      </c>
      <c r="J414" s="2" t="s">
        <v>1630</v>
      </c>
      <c r="K414" s="3" t="s">
        <v>1631</v>
      </c>
    </row>
    <row r="415" spans="6:11" ht="12.5" x14ac:dyDescent="0.25">
      <c r="F415" s="2" t="s">
        <v>1632</v>
      </c>
      <c r="G415" s="2" t="s">
        <v>1632</v>
      </c>
      <c r="H415" s="2" t="b">
        <f t="shared" si="6"/>
        <v>1</v>
      </c>
      <c r="I415" s="14" t="str">
        <f>HYPERLINK("https://gerandofalcoes.my.salesforce.com/0034P000043fOnkQAE", "0034P000043fOnkQAE")</f>
        <v>0034P000043fOnkQAE</v>
      </c>
      <c r="J415" s="2" t="s">
        <v>1630</v>
      </c>
      <c r="K415" s="3" t="s">
        <v>1631</v>
      </c>
    </row>
    <row r="416" spans="6:11" ht="12.5" x14ac:dyDescent="0.25">
      <c r="F416" s="2" t="s">
        <v>1632</v>
      </c>
      <c r="G416" s="2" t="s">
        <v>1632</v>
      </c>
      <c r="H416" s="2" t="b">
        <f t="shared" si="6"/>
        <v>1</v>
      </c>
      <c r="I416" s="14" t="str">
        <f>HYPERLINK("https://gerandofalcoes.my.salesforce.com/0034P00003maBVpQAM", "0034P00003maBVpQAM")</f>
        <v>0034P00003maBVpQAM</v>
      </c>
      <c r="J416" s="2" t="s">
        <v>1630</v>
      </c>
      <c r="K416" s="3" t="s">
        <v>1631</v>
      </c>
    </row>
    <row r="417" spans="6:11" ht="12.5" x14ac:dyDescent="0.25">
      <c r="F417" s="2" t="s">
        <v>1632</v>
      </c>
      <c r="G417" s="2" t="s">
        <v>1632</v>
      </c>
      <c r="H417" s="2" t="b">
        <f t="shared" si="6"/>
        <v>1</v>
      </c>
      <c r="I417" s="14" t="str">
        <f>HYPERLINK("https://gerandofalcoes.my.salesforce.com/0034P00003maBVdQAM", "0034P00003maBVdQAM")</f>
        <v>0034P00003maBVdQAM</v>
      </c>
      <c r="J417" s="2" t="s">
        <v>1630</v>
      </c>
      <c r="K417" s="3" t="s">
        <v>1631</v>
      </c>
    </row>
    <row r="418" spans="6:11" ht="12.5" x14ac:dyDescent="0.25">
      <c r="F418" s="2" t="s">
        <v>1632</v>
      </c>
      <c r="G418" s="2" t="s">
        <v>1632</v>
      </c>
      <c r="H418" s="2" t="b">
        <f t="shared" si="6"/>
        <v>1</v>
      </c>
      <c r="I418" s="14" t="str">
        <f>HYPERLINK("https://gerandofalcoes.my.salesforce.com/0034P000045kxkfQAA", "0034P000045kxkfQAA")</f>
        <v>0034P000045kxkfQAA</v>
      </c>
      <c r="J418" s="2" t="s">
        <v>1630</v>
      </c>
      <c r="K418" s="3" t="s">
        <v>1631</v>
      </c>
    </row>
    <row r="419" spans="6:11" ht="12.5" x14ac:dyDescent="0.25">
      <c r="F419" s="2" t="s">
        <v>1632</v>
      </c>
      <c r="G419" s="2" t="s">
        <v>1632</v>
      </c>
      <c r="H419" s="2" t="b">
        <f t="shared" si="6"/>
        <v>1</v>
      </c>
      <c r="I419" s="14" t="str">
        <f>HYPERLINK("https://gerandofalcoes.my.salesforce.com/0034P000045kxirQAA", "0034P000045kxirQAA")</f>
        <v>0034P000045kxirQAA</v>
      </c>
      <c r="J419" s="2" t="s">
        <v>1630</v>
      </c>
      <c r="K419" s="3" t="s">
        <v>1631</v>
      </c>
    </row>
    <row r="420" spans="6:11" ht="12.5" x14ac:dyDescent="0.25">
      <c r="F420" s="2" t="s">
        <v>1632</v>
      </c>
      <c r="G420" s="2" t="s">
        <v>1632</v>
      </c>
      <c r="H420" s="2" t="b">
        <f t="shared" si="6"/>
        <v>1</v>
      </c>
      <c r="I420" s="14" t="str">
        <f>HYPERLINK("https://gerandofalcoes.my.salesforce.com/0034P00003maBVZQA2", "0034P00003maBVZQA2")</f>
        <v>0034P00003maBVZQA2</v>
      </c>
      <c r="J420" s="2" t="s">
        <v>1630</v>
      </c>
      <c r="K420" s="3" t="s">
        <v>1631</v>
      </c>
    </row>
    <row r="421" spans="6:11" ht="12.5" x14ac:dyDescent="0.25">
      <c r="F421" s="2" t="s">
        <v>1632</v>
      </c>
      <c r="G421" s="2" t="s">
        <v>1632</v>
      </c>
      <c r="H421" s="2" t="b">
        <f t="shared" si="6"/>
        <v>1</v>
      </c>
      <c r="I421" s="14" t="str">
        <f>HYPERLINK("https://gerandofalcoes.my.salesforce.com/0034X0000380O29QAE", "0034X0000380O29QAE")</f>
        <v>0034X0000380O29QAE</v>
      </c>
      <c r="J421" s="2" t="s">
        <v>1630</v>
      </c>
      <c r="K421" s="3" t="s">
        <v>1631</v>
      </c>
    </row>
    <row r="422" spans="6:11" ht="12.5" x14ac:dyDescent="0.25">
      <c r="F422" s="2" t="s">
        <v>1632</v>
      </c>
      <c r="G422" s="2" t="s">
        <v>1632</v>
      </c>
      <c r="H422" s="2" t="b">
        <f t="shared" si="6"/>
        <v>1</v>
      </c>
      <c r="I422" s="14" t="str">
        <f>HYPERLINK("https://gerandofalcoes.my.salesforce.com/0034X0000380O5rQAE", "0034X0000380O5rQAE")</f>
        <v>0034X0000380O5rQAE</v>
      </c>
      <c r="J422" s="2" t="s">
        <v>1630</v>
      </c>
      <c r="K422" s="3" t="s">
        <v>1631</v>
      </c>
    </row>
    <row r="423" spans="6:11" ht="12.5" x14ac:dyDescent="0.25">
      <c r="F423" s="2" t="s">
        <v>1632</v>
      </c>
      <c r="G423" s="2" t="s">
        <v>1632</v>
      </c>
      <c r="H423" s="2" t="b">
        <f t="shared" si="6"/>
        <v>1</v>
      </c>
      <c r="I423" s="14" t="str">
        <f>HYPERLINK("https://gerandofalcoes.my.salesforce.com/0034X0000380O37QAE", "0034X0000380O37QAE")</f>
        <v>0034X0000380O37QAE</v>
      </c>
      <c r="J423" s="2" t="s">
        <v>1630</v>
      </c>
      <c r="K423" s="3" t="s">
        <v>1631</v>
      </c>
    </row>
    <row r="424" spans="6:11" ht="12.5" x14ac:dyDescent="0.25">
      <c r="F424" s="2" t="s">
        <v>1632</v>
      </c>
      <c r="G424" s="2" t="s">
        <v>1632</v>
      </c>
      <c r="H424" s="2" t="b">
        <f t="shared" si="6"/>
        <v>1</v>
      </c>
      <c r="I424" s="14" t="str">
        <f>HYPERLINK("https://gerandofalcoes.my.salesforce.com/0034P000045kxkaQAA", "0034P000045kxkaQAA")</f>
        <v>0034P000045kxkaQAA</v>
      </c>
      <c r="J424" s="2" t="s">
        <v>1630</v>
      </c>
      <c r="K424" s="3" t="s">
        <v>1631</v>
      </c>
    </row>
    <row r="425" spans="6:11" ht="12.5" x14ac:dyDescent="0.25">
      <c r="F425" s="2" t="s">
        <v>1632</v>
      </c>
      <c r="G425" s="2" t="s">
        <v>1632</v>
      </c>
      <c r="H425" s="2" t="b">
        <f t="shared" si="6"/>
        <v>1</v>
      </c>
      <c r="I425" s="14" t="str">
        <f>HYPERLINK("https://gerandofalcoes.my.salesforce.com/0034X0000380O4ZQAU", "0034X0000380O4ZQAU")</f>
        <v>0034X0000380O4ZQAU</v>
      </c>
      <c r="J425" s="2" t="s">
        <v>1630</v>
      </c>
      <c r="K425" s="3" t="s">
        <v>1631</v>
      </c>
    </row>
    <row r="426" spans="6:11" ht="12.5" x14ac:dyDescent="0.25">
      <c r="F426" s="2" t="s">
        <v>1632</v>
      </c>
      <c r="G426" s="2" t="s">
        <v>1632</v>
      </c>
      <c r="H426" s="2" t="b">
        <f t="shared" si="6"/>
        <v>1</v>
      </c>
      <c r="I426" s="14" t="str">
        <f>HYPERLINK("https://gerandofalcoes.my.salesforce.com/0034X0000380O21QAE", "0034X0000380O21QAE")</f>
        <v>0034X0000380O21QAE</v>
      </c>
      <c r="J426" s="2" t="s">
        <v>1630</v>
      </c>
      <c r="K426" s="3" t="s">
        <v>1631</v>
      </c>
    </row>
    <row r="427" spans="6:11" ht="12.5" x14ac:dyDescent="0.25">
      <c r="F427" s="2" t="s">
        <v>1632</v>
      </c>
      <c r="G427" s="2" t="s">
        <v>1632</v>
      </c>
      <c r="H427" s="2" t="b">
        <f t="shared" si="6"/>
        <v>1</v>
      </c>
      <c r="I427" s="14" t="str">
        <f>HYPERLINK("https://gerandofalcoes.my.salesforce.com/0034P000043fOnyQAE", "0034P000043fOnyQAE")</f>
        <v>0034P000043fOnyQAE</v>
      </c>
      <c r="J427" s="2" t="s">
        <v>1630</v>
      </c>
      <c r="K427" s="3" t="s">
        <v>1631</v>
      </c>
    </row>
    <row r="428" spans="6:11" ht="12.5" x14ac:dyDescent="0.25">
      <c r="F428" s="2" t="s">
        <v>1632</v>
      </c>
      <c r="G428" s="2" t="s">
        <v>1632</v>
      </c>
      <c r="H428" s="2" t="b">
        <f t="shared" si="6"/>
        <v>1</v>
      </c>
      <c r="I428" s="14" t="str">
        <f>HYPERLINK("https://gerandofalcoes.my.salesforce.com/0034X0000380O1LQAU", "0034X0000380O1LQAU")</f>
        <v>0034X0000380O1LQAU</v>
      </c>
      <c r="J428" s="2" t="s">
        <v>1630</v>
      </c>
      <c r="K428" s="3" t="s">
        <v>1631</v>
      </c>
    </row>
    <row r="429" spans="6:11" ht="12.5" x14ac:dyDescent="0.25">
      <c r="F429" s="2" t="s">
        <v>1632</v>
      </c>
      <c r="G429" s="2" t="s">
        <v>1632</v>
      </c>
      <c r="H429" s="2" t="b">
        <f t="shared" si="6"/>
        <v>1</v>
      </c>
      <c r="I429" s="14" t="str">
        <f>HYPERLINK("https://gerandofalcoes.my.salesforce.com/0034X0000380O1DQAU", "0034X0000380O1DQAU")</f>
        <v>0034X0000380O1DQAU</v>
      </c>
      <c r="J429" s="2" t="s">
        <v>1630</v>
      </c>
      <c r="K429" s="3" t="s">
        <v>1631</v>
      </c>
    </row>
    <row r="430" spans="6:11" ht="12.5" x14ac:dyDescent="0.25">
      <c r="F430" s="2" t="s">
        <v>1632</v>
      </c>
      <c r="G430" s="2" t="s">
        <v>1632</v>
      </c>
      <c r="H430" s="2" t="b">
        <f t="shared" si="6"/>
        <v>1</v>
      </c>
      <c r="I430" s="14" t="str">
        <f>HYPERLINK("https://gerandofalcoes.my.salesforce.com/0034X0000380O55QAE", "0034X0000380O55QAE")</f>
        <v>0034X0000380O55QAE</v>
      </c>
      <c r="J430" s="2" t="s">
        <v>1630</v>
      </c>
      <c r="K430" s="3" t="s">
        <v>1631</v>
      </c>
    </row>
    <row r="431" spans="6:11" ht="12.5" x14ac:dyDescent="0.25">
      <c r="F431" s="2" t="s">
        <v>1632</v>
      </c>
      <c r="G431" s="2" t="s">
        <v>1632</v>
      </c>
      <c r="H431" s="2" t="b">
        <f t="shared" si="6"/>
        <v>1</v>
      </c>
      <c r="I431" s="14" t="str">
        <f>HYPERLINK("https://gerandofalcoes.my.salesforce.com/0034X0000380O1rQAE", "0034X0000380O1rQAE")</f>
        <v>0034X0000380O1rQAE</v>
      </c>
      <c r="J431" s="2" t="s">
        <v>1630</v>
      </c>
      <c r="K431" s="3" t="s">
        <v>1631</v>
      </c>
    </row>
    <row r="432" spans="6:11" ht="12.5" x14ac:dyDescent="0.25">
      <c r="F432" s="2" t="s">
        <v>1632</v>
      </c>
      <c r="G432" s="2" t="s">
        <v>1632</v>
      </c>
      <c r="H432" s="2" t="b">
        <f t="shared" si="6"/>
        <v>1</v>
      </c>
      <c r="I432" s="14" t="str">
        <f>HYPERLINK("https://gerandofalcoes.my.salesforce.com/0034X0000380O5LQAU", "0034X0000380O5LQAU")</f>
        <v>0034X0000380O5LQAU</v>
      </c>
      <c r="J432" s="2" t="s">
        <v>1630</v>
      </c>
      <c r="K432" s="3" t="s">
        <v>1631</v>
      </c>
    </row>
    <row r="433" spans="6:11" ht="12.5" x14ac:dyDescent="0.25">
      <c r="F433" s="2" t="s">
        <v>1632</v>
      </c>
      <c r="G433" s="2" t="s">
        <v>1632</v>
      </c>
      <c r="H433" s="2" t="b">
        <f t="shared" si="6"/>
        <v>1</v>
      </c>
      <c r="I433" s="14" t="str">
        <f>HYPERLINK("https://gerandofalcoes.my.salesforce.com/0034X0000380O0qQAE", "0034X0000380O0qQAE")</f>
        <v>0034X0000380O0qQAE</v>
      </c>
      <c r="J433" s="2" t="s">
        <v>1630</v>
      </c>
      <c r="K433" s="3" t="s">
        <v>1631</v>
      </c>
    </row>
    <row r="434" spans="6:11" ht="12.5" x14ac:dyDescent="0.25">
      <c r="F434" s="2" t="s">
        <v>1632</v>
      </c>
      <c r="G434" s="2" t="s">
        <v>1632</v>
      </c>
      <c r="H434" s="2" t="b">
        <f t="shared" si="6"/>
        <v>1</v>
      </c>
      <c r="I434" s="14" t="str">
        <f>HYPERLINK("https://gerandofalcoes.my.salesforce.com/0034P00003maBVJQA2", "0034P00003maBVJQA2")</f>
        <v>0034P00003maBVJQA2</v>
      </c>
      <c r="J434" s="2" t="s">
        <v>1630</v>
      </c>
      <c r="K434" s="3" t="s">
        <v>1631</v>
      </c>
    </row>
    <row r="435" spans="6:11" ht="12.5" x14ac:dyDescent="0.25">
      <c r="F435" s="2" t="s">
        <v>1632</v>
      </c>
      <c r="G435" s="2" t="s">
        <v>1632</v>
      </c>
      <c r="H435" s="2" t="b">
        <f t="shared" si="6"/>
        <v>1</v>
      </c>
      <c r="I435" s="14" t="str">
        <f>HYPERLINK("https://gerandofalcoes.my.salesforce.com/0034P00003u8pO7QAI", "0034P00003u8pO7QAI")</f>
        <v>0034P00003u8pO7QAI</v>
      </c>
      <c r="J435" s="2" t="s">
        <v>1630</v>
      </c>
      <c r="K435" s="3" t="s">
        <v>1631</v>
      </c>
    </row>
    <row r="436" spans="6:11" ht="12.5" x14ac:dyDescent="0.25">
      <c r="F436" s="2" t="s">
        <v>1632</v>
      </c>
      <c r="G436" s="2" t="s">
        <v>1632</v>
      </c>
      <c r="H436" s="2" t="b">
        <f t="shared" si="6"/>
        <v>1</v>
      </c>
      <c r="I436" s="14" t="str">
        <f>HYPERLINK("https://gerandofalcoes.my.salesforce.com/0034P00003maBVhQAM", "0034P00003maBVhQAM")</f>
        <v>0034P00003maBVhQAM</v>
      </c>
      <c r="J436" s="2" t="s">
        <v>1630</v>
      </c>
      <c r="K436" s="3" t="s">
        <v>1631</v>
      </c>
    </row>
    <row r="437" spans="6:11" ht="12.5" x14ac:dyDescent="0.25">
      <c r="F437" s="2" t="s">
        <v>1632</v>
      </c>
      <c r="G437" s="2" t="s">
        <v>1632</v>
      </c>
      <c r="H437" s="2" t="b">
        <f t="shared" si="6"/>
        <v>1</v>
      </c>
      <c r="I437" s="14" t="str">
        <f>HYPERLINK("https://gerandofalcoes.my.salesforce.com/0034X0000380O5WQAU", "0034X0000380O5WQAU")</f>
        <v>0034X0000380O5WQAU</v>
      </c>
      <c r="J437" s="2" t="s">
        <v>1630</v>
      </c>
      <c r="K437" s="3" t="s">
        <v>1631</v>
      </c>
    </row>
    <row r="438" spans="6:11" ht="12.5" x14ac:dyDescent="0.25">
      <c r="F438" s="2" t="s">
        <v>1632</v>
      </c>
      <c r="G438" s="2" t="s">
        <v>1632</v>
      </c>
      <c r="H438" s="2" t="b">
        <f t="shared" si="6"/>
        <v>1</v>
      </c>
      <c r="I438" s="14" t="str">
        <f>HYPERLINK("https://gerandofalcoes.my.salesforce.com/0034P000045kxiJQAQ", "0034P000045kxiJQAQ")</f>
        <v>0034P000045kxiJQAQ</v>
      </c>
      <c r="J438" s="2" t="s">
        <v>1630</v>
      </c>
      <c r="K438" s="3" t="s">
        <v>1631</v>
      </c>
    </row>
    <row r="439" spans="6:11" ht="12.5" x14ac:dyDescent="0.25">
      <c r="F439" s="2" t="s">
        <v>1632</v>
      </c>
      <c r="G439" s="2" t="s">
        <v>1632</v>
      </c>
      <c r="H439" s="2" t="b">
        <f t="shared" si="6"/>
        <v>1</v>
      </c>
      <c r="I439" s="14" t="str">
        <f>HYPERLINK("https://gerandofalcoes.my.salesforce.com/0034X0000380O26QAE", "0034X0000380O26QAE")</f>
        <v>0034X0000380O26QAE</v>
      </c>
      <c r="J439" s="2" t="s">
        <v>1630</v>
      </c>
      <c r="K439" s="3" t="s">
        <v>1631</v>
      </c>
    </row>
    <row r="440" spans="6:11" ht="12.5" x14ac:dyDescent="0.25">
      <c r="F440" s="2" t="s">
        <v>1632</v>
      </c>
      <c r="G440" s="2" t="s">
        <v>1632</v>
      </c>
      <c r="H440" s="2" t="b">
        <f t="shared" si="6"/>
        <v>1</v>
      </c>
      <c r="I440" s="14" t="str">
        <f>HYPERLINK("https://gerandofalcoes.my.salesforce.com/0034X0000380O52QAE", "0034X0000380O52QAE")</f>
        <v>0034X0000380O52QAE</v>
      </c>
      <c r="J440" s="2" t="s">
        <v>1630</v>
      </c>
      <c r="K440" s="3" t="s">
        <v>1631</v>
      </c>
    </row>
    <row r="441" spans="6:11" ht="12.5" x14ac:dyDescent="0.25">
      <c r="F441" s="2" t="s">
        <v>1632</v>
      </c>
      <c r="G441" s="2" t="s">
        <v>1632</v>
      </c>
      <c r="H441" s="2" t="b">
        <f t="shared" si="6"/>
        <v>1</v>
      </c>
      <c r="I441" s="14" t="str">
        <f>HYPERLINK("https://gerandofalcoes.my.salesforce.com/0034P000045kxiLQAQ", "0034P000045kxiLQAQ")</f>
        <v>0034P000045kxiLQAQ</v>
      </c>
      <c r="J441" s="2" t="s">
        <v>1630</v>
      </c>
      <c r="K441" s="3" t="s">
        <v>1631</v>
      </c>
    </row>
    <row r="442" spans="6:11" ht="12.5" x14ac:dyDescent="0.25">
      <c r="F442" s="2" t="s">
        <v>1632</v>
      </c>
      <c r="G442" s="2" t="s">
        <v>1632</v>
      </c>
      <c r="H442" s="2" t="b">
        <f t="shared" si="6"/>
        <v>1</v>
      </c>
      <c r="I442" s="14" t="str">
        <f>HYPERLINK("https://gerandofalcoes.my.salesforce.com/0034X0000380O1mQAE", "0034X0000380O1mQAE")</f>
        <v>0034X0000380O1mQAE</v>
      </c>
      <c r="J442" s="2" t="s">
        <v>1630</v>
      </c>
      <c r="K442" s="3" t="s">
        <v>1631</v>
      </c>
    </row>
    <row r="443" spans="6:11" ht="12.5" x14ac:dyDescent="0.25">
      <c r="F443" s="2" t="s">
        <v>1632</v>
      </c>
      <c r="G443" s="2" t="s">
        <v>1632</v>
      </c>
      <c r="H443" s="2" t="b">
        <f t="shared" si="6"/>
        <v>1</v>
      </c>
      <c r="I443" s="14" t="str">
        <f>HYPERLINK("https://gerandofalcoes.my.salesforce.com/0034P000045kxipQAA", "0034P000045kxipQAA")</f>
        <v>0034P000045kxipQAA</v>
      </c>
      <c r="J443" s="2" t="s">
        <v>1630</v>
      </c>
      <c r="K443" s="3" t="s">
        <v>1631</v>
      </c>
    </row>
    <row r="444" spans="6:11" ht="12.5" x14ac:dyDescent="0.25">
      <c r="F444" s="2" t="s">
        <v>1632</v>
      </c>
      <c r="G444" s="2" t="s">
        <v>1632</v>
      </c>
      <c r="H444" s="2" t="b">
        <f t="shared" si="6"/>
        <v>1</v>
      </c>
      <c r="I444" s="14" t="str">
        <f>HYPERLINK("https://gerandofalcoes.my.salesforce.com/0034P000043fOo0QAE", "0034P000043fOo0QAE")</f>
        <v>0034P000043fOo0QAE</v>
      </c>
      <c r="J444" s="2" t="s">
        <v>1630</v>
      </c>
      <c r="K444" s="3" t="s">
        <v>1631</v>
      </c>
    </row>
    <row r="445" spans="6:11" ht="12.5" x14ac:dyDescent="0.25">
      <c r="F445" s="2" t="s">
        <v>1632</v>
      </c>
      <c r="G445" s="2" t="s">
        <v>1632</v>
      </c>
      <c r="H445" s="2" t="b">
        <f t="shared" si="6"/>
        <v>1</v>
      </c>
      <c r="I445" s="14" t="str">
        <f>HYPERLINK("https://gerandofalcoes.my.salesforce.com/0034P000043fPDjQAM", "0034P000043fPDjQAM")</f>
        <v>0034P000043fPDjQAM</v>
      </c>
      <c r="J445" s="2" t="s">
        <v>1630</v>
      </c>
      <c r="K445" s="3" t="s">
        <v>1631</v>
      </c>
    </row>
    <row r="446" spans="6:11" ht="12.5" x14ac:dyDescent="0.25">
      <c r="F446" s="2" t="s">
        <v>1632</v>
      </c>
      <c r="G446" s="2" t="s">
        <v>1632</v>
      </c>
      <c r="H446" s="2" t="b">
        <f t="shared" si="6"/>
        <v>1</v>
      </c>
      <c r="I446" s="14" t="str">
        <f>HYPERLINK("https://gerandofalcoes.my.salesforce.com/0034P000043fOnlQAE", "0034P000043fOnlQAE")</f>
        <v>0034P000043fOnlQAE</v>
      </c>
      <c r="J446" s="2" t="s">
        <v>1630</v>
      </c>
      <c r="K446" s="3" t="s">
        <v>1631</v>
      </c>
    </row>
    <row r="447" spans="6:11" ht="12.5" x14ac:dyDescent="0.25">
      <c r="F447" s="2" t="s">
        <v>1632</v>
      </c>
      <c r="G447" s="2" t="s">
        <v>1632</v>
      </c>
      <c r="H447" s="2" t="b">
        <f t="shared" si="6"/>
        <v>1</v>
      </c>
      <c r="I447" s="14" t="str">
        <f>HYPERLINK("https://gerandofalcoes.my.salesforce.com/0034P000045kxkuQAA", "0034P000045kxkuQAA")</f>
        <v>0034P000045kxkuQAA</v>
      </c>
      <c r="J447" s="2" t="s">
        <v>1630</v>
      </c>
      <c r="K447" s="3" t="s">
        <v>1631</v>
      </c>
    </row>
    <row r="448" spans="6:11" ht="12.5" x14ac:dyDescent="0.25">
      <c r="F448" s="2" t="s">
        <v>1632</v>
      </c>
      <c r="G448" s="2" t="s">
        <v>1632</v>
      </c>
      <c r="H448" s="2" t="b">
        <f t="shared" si="6"/>
        <v>1</v>
      </c>
      <c r="I448" s="14" t="str">
        <f>HYPERLINK("https://gerandofalcoes.my.salesforce.com/0034P000045kxjEQAQ", "0034P000045kxjEQAQ")</f>
        <v>0034P000045kxjEQAQ</v>
      </c>
      <c r="J448" s="2" t="s">
        <v>1630</v>
      </c>
      <c r="K448" s="3" t="s">
        <v>1631</v>
      </c>
    </row>
    <row r="449" spans="6:11" ht="12.5" x14ac:dyDescent="0.25">
      <c r="F449" s="2" t="s">
        <v>1632</v>
      </c>
      <c r="G449" s="2" t="s">
        <v>1632</v>
      </c>
      <c r="H449" s="2" t="b">
        <f t="shared" si="6"/>
        <v>1</v>
      </c>
      <c r="I449" s="14" t="str">
        <f>HYPERLINK("https://gerandofalcoes.my.salesforce.com/0034X0000380O46QAE", "0034X0000380O46QAE")</f>
        <v>0034X0000380O46QAE</v>
      </c>
      <c r="J449" s="2" t="s">
        <v>1630</v>
      </c>
      <c r="K449" s="3" t="s">
        <v>1631</v>
      </c>
    </row>
    <row r="450" spans="6:11" ht="12.5" x14ac:dyDescent="0.25">
      <c r="F450" s="2" t="s">
        <v>1632</v>
      </c>
      <c r="G450" s="2" t="s">
        <v>1632</v>
      </c>
      <c r="H450" s="2" t="b">
        <f t="shared" ref="H450:H513" si="7">G450=B450</f>
        <v>1</v>
      </c>
      <c r="I450" s="14" t="str">
        <f>HYPERLINK("https://gerandofalcoes.my.salesforce.com/0034X0000380O23QAE", "0034X0000380O23QAE")</f>
        <v>0034X0000380O23QAE</v>
      </c>
      <c r="J450" s="2" t="s">
        <v>1630</v>
      </c>
      <c r="K450" s="3" t="s">
        <v>1631</v>
      </c>
    </row>
    <row r="451" spans="6:11" ht="12.5" x14ac:dyDescent="0.25">
      <c r="F451" s="2" t="s">
        <v>1632</v>
      </c>
      <c r="G451" s="2" t="s">
        <v>1632</v>
      </c>
      <c r="H451" s="2" t="b">
        <f t="shared" si="7"/>
        <v>1</v>
      </c>
      <c r="I451" s="14" t="str">
        <f>HYPERLINK("https://gerandofalcoes.my.salesforce.com/0034P000045kxiRQAQ", "0034P000045kxiRQAQ")</f>
        <v>0034P000045kxiRQAQ</v>
      </c>
      <c r="J451" s="2" t="s">
        <v>1630</v>
      </c>
      <c r="K451" s="3" t="s">
        <v>1631</v>
      </c>
    </row>
    <row r="452" spans="6:11" ht="12.5" x14ac:dyDescent="0.25">
      <c r="F452" s="2" t="s">
        <v>1632</v>
      </c>
      <c r="G452" s="2" t="s">
        <v>1632</v>
      </c>
      <c r="H452" s="2" t="b">
        <f t="shared" si="7"/>
        <v>1</v>
      </c>
      <c r="I452" s="14" t="str">
        <f>HYPERLINK("https://gerandofalcoes.my.salesforce.com/0034X0000380O5PQAU", "0034X0000380O5PQAU")</f>
        <v>0034X0000380O5PQAU</v>
      </c>
      <c r="J452" s="2" t="s">
        <v>1630</v>
      </c>
      <c r="K452" s="3" t="s">
        <v>1631</v>
      </c>
    </row>
    <row r="453" spans="6:11" ht="12.5" x14ac:dyDescent="0.25">
      <c r="F453" s="2" t="s">
        <v>1632</v>
      </c>
      <c r="G453" s="2" t="s">
        <v>1632</v>
      </c>
      <c r="H453" s="2" t="b">
        <f t="shared" si="7"/>
        <v>1</v>
      </c>
      <c r="I453" s="14" t="str">
        <f>HYPERLINK("https://gerandofalcoes.my.salesforce.com/0034P000045kxjOQAQ", "0034P000045kxjOQAQ")</f>
        <v>0034P000045kxjOQAQ</v>
      </c>
      <c r="J453" s="2" t="s">
        <v>1630</v>
      </c>
      <c r="K453" s="3" t="s">
        <v>1631</v>
      </c>
    </row>
    <row r="454" spans="6:11" ht="12.5" x14ac:dyDescent="0.25">
      <c r="F454" s="2" t="s">
        <v>1632</v>
      </c>
      <c r="G454" s="2" t="s">
        <v>1632</v>
      </c>
      <c r="H454" s="2" t="b">
        <f t="shared" si="7"/>
        <v>1</v>
      </c>
      <c r="I454" s="14" t="str">
        <f>HYPERLINK("https://gerandofalcoes.my.salesforce.com/0034P000045kxk3QAA", "0034P000045kxk3QAA")</f>
        <v>0034P000045kxk3QAA</v>
      </c>
      <c r="J454" s="2" t="s">
        <v>1630</v>
      </c>
      <c r="K454" s="3" t="s">
        <v>1631</v>
      </c>
    </row>
    <row r="455" spans="6:11" ht="12.5" x14ac:dyDescent="0.25">
      <c r="F455" s="2" t="s">
        <v>1632</v>
      </c>
      <c r="G455" s="2" t="s">
        <v>1632</v>
      </c>
      <c r="H455" s="2" t="b">
        <f t="shared" si="7"/>
        <v>1</v>
      </c>
      <c r="I455" s="14" t="str">
        <f>HYPERLINK("https://gerandofalcoes.my.salesforce.com/0034P000043fPDnQAM", "0034P000043fPDnQAM")</f>
        <v>0034P000043fPDnQAM</v>
      </c>
      <c r="J455" s="2" t="s">
        <v>1630</v>
      </c>
      <c r="K455" s="3" t="s">
        <v>1631</v>
      </c>
    </row>
    <row r="456" spans="6:11" ht="12.5" x14ac:dyDescent="0.25">
      <c r="F456" s="2" t="s">
        <v>1632</v>
      </c>
      <c r="G456" s="2" t="s">
        <v>1632</v>
      </c>
      <c r="H456" s="2" t="b">
        <f t="shared" si="7"/>
        <v>1</v>
      </c>
      <c r="I456" s="14" t="str">
        <f>HYPERLINK("https://gerandofalcoes.my.salesforce.com/0034P000045kxjaQAA", "0034P000045kxjaQAA")</f>
        <v>0034P000045kxjaQAA</v>
      </c>
      <c r="J456" s="2" t="s">
        <v>1630</v>
      </c>
      <c r="K456" s="3" t="s">
        <v>1631</v>
      </c>
    </row>
    <row r="457" spans="6:11" ht="12.5" x14ac:dyDescent="0.25">
      <c r="F457" s="2" t="s">
        <v>1632</v>
      </c>
      <c r="G457" s="2" t="s">
        <v>1632</v>
      </c>
      <c r="H457" s="2" t="b">
        <f t="shared" si="7"/>
        <v>1</v>
      </c>
      <c r="I457" s="14" t="str">
        <f>HYPERLINK("https://gerandofalcoes.my.salesforce.com/0034X0000380O2NQAU", "0034X0000380O2NQAU")</f>
        <v>0034X0000380O2NQAU</v>
      </c>
      <c r="J457" s="2" t="s">
        <v>1630</v>
      </c>
      <c r="K457" s="3" t="s">
        <v>1631</v>
      </c>
    </row>
    <row r="458" spans="6:11" ht="12.5" x14ac:dyDescent="0.25">
      <c r="F458" s="2" t="s">
        <v>1632</v>
      </c>
      <c r="G458" s="2" t="s">
        <v>1632</v>
      </c>
      <c r="H458" s="2" t="b">
        <f t="shared" si="7"/>
        <v>1</v>
      </c>
      <c r="I458" s="14" t="str">
        <f>HYPERLINK("https://gerandofalcoes.my.salesforce.com/0034P000045kxiwQAA", "0034P000045kxiwQAA")</f>
        <v>0034P000045kxiwQAA</v>
      </c>
      <c r="J458" s="2" t="s">
        <v>1630</v>
      </c>
      <c r="K458" s="3" t="s">
        <v>1631</v>
      </c>
    </row>
    <row r="459" spans="6:11" ht="12.5" x14ac:dyDescent="0.25">
      <c r="F459" s="2" t="s">
        <v>1632</v>
      </c>
      <c r="G459" s="2" t="s">
        <v>1632</v>
      </c>
      <c r="H459" s="2" t="b">
        <f t="shared" si="7"/>
        <v>1</v>
      </c>
      <c r="I459" s="14" t="str">
        <f>HYPERLINK("https://gerandofalcoes.my.salesforce.com/0034X0000380O47QAE", "0034X0000380O47QAE")</f>
        <v>0034X0000380O47QAE</v>
      </c>
      <c r="J459" s="2" t="s">
        <v>1630</v>
      </c>
      <c r="K459" s="3" t="s">
        <v>1631</v>
      </c>
    </row>
    <row r="460" spans="6:11" ht="12.5" x14ac:dyDescent="0.25">
      <c r="F460" s="2" t="s">
        <v>1632</v>
      </c>
      <c r="G460" s="2" t="s">
        <v>1632</v>
      </c>
      <c r="H460" s="2" t="b">
        <f t="shared" si="7"/>
        <v>1</v>
      </c>
      <c r="I460" s="14" t="str">
        <f>HYPERLINK("https://gerandofalcoes.my.salesforce.com/0034X0000380O1yQAE", "0034X0000380O1yQAE")</f>
        <v>0034X0000380O1yQAE</v>
      </c>
      <c r="J460" s="2" t="s">
        <v>1630</v>
      </c>
      <c r="K460" s="3" t="s">
        <v>1631</v>
      </c>
    </row>
    <row r="461" spans="6:11" ht="12.5" x14ac:dyDescent="0.25">
      <c r="F461" s="2" t="s">
        <v>1632</v>
      </c>
      <c r="G461" s="2" t="s">
        <v>1632</v>
      </c>
      <c r="H461" s="2" t="b">
        <f t="shared" si="7"/>
        <v>1</v>
      </c>
      <c r="I461" s="14" t="str">
        <f>HYPERLINK("https://gerandofalcoes.my.salesforce.com/0034X0000380O6qQAE", "0034X0000380O6qQAE")</f>
        <v>0034X0000380O6qQAE</v>
      </c>
      <c r="J461" s="2" t="s">
        <v>1630</v>
      </c>
      <c r="K461" s="3" t="s">
        <v>1631</v>
      </c>
    </row>
    <row r="462" spans="6:11" ht="12.5" x14ac:dyDescent="0.25">
      <c r="F462" s="2" t="s">
        <v>1632</v>
      </c>
      <c r="G462" s="2" t="s">
        <v>1632</v>
      </c>
      <c r="H462" s="2" t="b">
        <f t="shared" si="7"/>
        <v>1</v>
      </c>
      <c r="I462" s="14" t="str">
        <f>HYPERLINK("https://gerandofalcoes.my.salesforce.com/0034P000043fOo3QAE", "0034P000043fOo3QAE")</f>
        <v>0034P000043fOo3QAE</v>
      </c>
      <c r="J462" s="2" t="s">
        <v>1630</v>
      </c>
      <c r="K462" s="3" t="s">
        <v>1631</v>
      </c>
    </row>
    <row r="463" spans="6:11" ht="12.5" x14ac:dyDescent="0.25">
      <c r="F463" s="2" t="s">
        <v>1632</v>
      </c>
      <c r="G463" s="2" t="s">
        <v>1632</v>
      </c>
      <c r="H463" s="2" t="b">
        <f t="shared" si="7"/>
        <v>1</v>
      </c>
      <c r="I463" s="14" t="str">
        <f>HYPERLINK("https://gerandofalcoes.my.salesforce.com/0034X0000380O18QAE", "0034X0000380O18QAE")</f>
        <v>0034X0000380O18QAE</v>
      </c>
      <c r="J463" s="2" t="s">
        <v>1630</v>
      </c>
      <c r="K463" s="3" t="s">
        <v>1631</v>
      </c>
    </row>
    <row r="464" spans="6:11" ht="12.5" x14ac:dyDescent="0.25">
      <c r="F464" s="2" t="s">
        <v>1632</v>
      </c>
      <c r="G464" s="2" t="s">
        <v>1632</v>
      </c>
      <c r="H464" s="2" t="b">
        <f t="shared" si="7"/>
        <v>1</v>
      </c>
      <c r="I464" s="14" t="str">
        <f>HYPERLINK("https://gerandofalcoes.my.salesforce.com/0034X0000380O6kQAE", "0034X0000380O6kQAE")</f>
        <v>0034X0000380O6kQAE</v>
      </c>
      <c r="J464" s="2" t="s">
        <v>1630</v>
      </c>
      <c r="K464" s="3" t="s">
        <v>1631</v>
      </c>
    </row>
    <row r="465" spans="6:11" ht="12.5" x14ac:dyDescent="0.25">
      <c r="F465" s="2" t="s">
        <v>1632</v>
      </c>
      <c r="G465" s="2" t="s">
        <v>1632</v>
      </c>
      <c r="H465" s="2" t="b">
        <f t="shared" si="7"/>
        <v>1</v>
      </c>
      <c r="I465" s="14" t="str">
        <f>HYPERLINK("https://gerandofalcoes.my.salesforce.com/0034X0000380O22QAE", "0034X0000380O22QAE")</f>
        <v>0034X0000380O22QAE</v>
      </c>
      <c r="J465" s="2" t="s">
        <v>1630</v>
      </c>
      <c r="K465" s="3" t="s">
        <v>1631</v>
      </c>
    </row>
    <row r="466" spans="6:11" ht="12.5" x14ac:dyDescent="0.25">
      <c r="F466" s="2" t="s">
        <v>1632</v>
      </c>
      <c r="G466" s="2" t="s">
        <v>1632</v>
      </c>
      <c r="H466" s="2" t="b">
        <f t="shared" si="7"/>
        <v>1</v>
      </c>
      <c r="I466" s="14" t="str">
        <f>HYPERLINK("https://gerandofalcoes.my.salesforce.com/0034X0000380O5AQAU", "0034X0000380O5AQAU")</f>
        <v>0034X0000380O5AQAU</v>
      </c>
      <c r="J466" s="2" t="s">
        <v>1630</v>
      </c>
      <c r="K466" s="3" t="s">
        <v>1631</v>
      </c>
    </row>
    <row r="467" spans="6:11" ht="12.5" x14ac:dyDescent="0.25">
      <c r="F467" s="2" t="s">
        <v>1632</v>
      </c>
      <c r="G467" s="2" t="s">
        <v>1632</v>
      </c>
      <c r="H467" s="2" t="b">
        <f t="shared" si="7"/>
        <v>1</v>
      </c>
      <c r="I467" s="14" t="str">
        <f>HYPERLINK("https://gerandofalcoes.my.salesforce.com/0034X0000380O2yQAE", "0034X0000380O2yQAE")</f>
        <v>0034X0000380O2yQAE</v>
      </c>
      <c r="J467" s="2" t="s">
        <v>1630</v>
      </c>
      <c r="K467" s="3" t="s">
        <v>1631</v>
      </c>
    </row>
    <row r="468" spans="6:11" ht="12.5" x14ac:dyDescent="0.25">
      <c r="F468" s="2" t="s">
        <v>1632</v>
      </c>
      <c r="G468" s="2" t="s">
        <v>1632</v>
      </c>
      <c r="H468" s="2" t="b">
        <f t="shared" si="7"/>
        <v>1</v>
      </c>
      <c r="I468" s="14" t="str">
        <f>HYPERLINK("https://gerandofalcoes.my.salesforce.com/0034P000043fOo8QAE", "0034P000043fOo8QAE")</f>
        <v>0034P000043fOo8QAE</v>
      </c>
      <c r="J468" s="2" t="s">
        <v>1630</v>
      </c>
      <c r="K468" s="3" t="s">
        <v>1631</v>
      </c>
    </row>
    <row r="469" spans="6:11" ht="12.5" x14ac:dyDescent="0.25">
      <c r="F469" s="2" t="s">
        <v>1632</v>
      </c>
      <c r="G469" s="2" t="s">
        <v>1632</v>
      </c>
      <c r="H469" s="2" t="b">
        <f t="shared" si="7"/>
        <v>1</v>
      </c>
      <c r="I469" s="14" t="str">
        <f>HYPERLINK("https://gerandofalcoes.my.salesforce.com/0034P000045kxkbQAA", "0034P000045kxkbQAA")</f>
        <v>0034P000045kxkbQAA</v>
      </c>
      <c r="J469" s="2" t="s">
        <v>1630</v>
      </c>
      <c r="K469" s="3" t="s">
        <v>1631</v>
      </c>
    </row>
    <row r="470" spans="6:11" ht="12.5" x14ac:dyDescent="0.25">
      <c r="F470" s="2" t="s">
        <v>1632</v>
      </c>
      <c r="G470" s="2" t="s">
        <v>1632</v>
      </c>
      <c r="H470" s="2" t="b">
        <f t="shared" si="7"/>
        <v>1</v>
      </c>
      <c r="I470" s="14" t="str">
        <f>HYPERLINK("https://gerandofalcoes.my.salesforce.com/0034X0000380O5IQAU", "0034X0000380O5IQAU")</f>
        <v>0034X0000380O5IQAU</v>
      </c>
      <c r="J470" s="2" t="s">
        <v>1630</v>
      </c>
      <c r="K470" s="3" t="s">
        <v>1631</v>
      </c>
    </row>
    <row r="471" spans="6:11" ht="12.5" x14ac:dyDescent="0.25">
      <c r="F471" s="2" t="s">
        <v>1632</v>
      </c>
      <c r="G471" s="2" t="s">
        <v>1632</v>
      </c>
      <c r="H471" s="2" t="b">
        <f t="shared" si="7"/>
        <v>1</v>
      </c>
      <c r="I471" s="14" t="str">
        <f>HYPERLINK("https://gerandofalcoes.my.salesforce.com/0034X0000380O4PQAU", "0034X0000380O4PQAU")</f>
        <v>0034X0000380O4PQAU</v>
      </c>
      <c r="J471" s="2" t="s">
        <v>1630</v>
      </c>
      <c r="K471" s="3" t="s">
        <v>1631</v>
      </c>
    </row>
    <row r="472" spans="6:11" ht="12.5" x14ac:dyDescent="0.25">
      <c r="F472" s="2" t="s">
        <v>1632</v>
      </c>
      <c r="G472" s="2" t="s">
        <v>1632</v>
      </c>
      <c r="H472" s="2" t="b">
        <f t="shared" si="7"/>
        <v>1</v>
      </c>
      <c r="I472" s="14" t="str">
        <f>HYPERLINK("https://gerandofalcoes.my.salesforce.com/0034P000045kxjPQAQ", "0034P000045kxjPQAQ")</f>
        <v>0034P000045kxjPQAQ</v>
      </c>
      <c r="J472" s="2" t="s">
        <v>1630</v>
      </c>
      <c r="K472" s="3" t="s">
        <v>1631</v>
      </c>
    </row>
    <row r="473" spans="6:11" ht="12.5" x14ac:dyDescent="0.25">
      <c r="F473" s="2" t="s">
        <v>1632</v>
      </c>
      <c r="G473" s="2" t="s">
        <v>1632</v>
      </c>
      <c r="H473" s="2" t="b">
        <f t="shared" si="7"/>
        <v>1</v>
      </c>
      <c r="I473" s="14" t="str">
        <f>HYPERLINK("https://gerandofalcoes.my.salesforce.com/0034X0000380O5hQAE", "0034X0000380O5hQAE")</f>
        <v>0034X0000380O5hQAE</v>
      </c>
      <c r="J473" s="2" t="s">
        <v>1630</v>
      </c>
      <c r="K473" s="3" t="s">
        <v>1631</v>
      </c>
    </row>
    <row r="474" spans="6:11" ht="12.5" x14ac:dyDescent="0.25">
      <c r="F474" s="2" t="s">
        <v>1632</v>
      </c>
      <c r="G474" s="2" t="s">
        <v>1632</v>
      </c>
      <c r="H474" s="2" t="b">
        <f t="shared" si="7"/>
        <v>1</v>
      </c>
      <c r="I474" s="14" t="str">
        <f>HYPERLINK("https://gerandofalcoes.my.salesforce.com/0034X0000380O2FQAU", "0034X0000380O2FQAU")</f>
        <v>0034X0000380O2FQAU</v>
      </c>
      <c r="J474" s="2" t="s">
        <v>1630</v>
      </c>
      <c r="K474" s="3" t="s">
        <v>1631</v>
      </c>
    </row>
    <row r="475" spans="6:11" ht="12.5" x14ac:dyDescent="0.25">
      <c r="F475" s="2" t="s">
        <v>1632</v>
      </c>
      <c r="G475" s="2" t="s">
        <v>1632</v>
      </c>
      <c r="H475" s="2" t="b">
        <f t="shared" si="7"/>
        <v>1</v>
      </c>
      <c r="I475" s="14" t="str">
        <f>HYPERLINK("https://gerandofalcoes.my.salesforce.com/0034P000045kxinQAA", "0034P000045kxinQAA")</f>
        <v>0034P000045kxinQAA</v>
      </c>
      <c r="J475" s="2" t="s">
        <v>1630</v>
      </c>
      <c r="K475" s="3" t="s">
        <v>1631</v>
      </c>
    </row>
    <row r="476" spans="6:11" ht="12.5" x14ac:dyDescent="0.25">
      <c r="F476" s="2" t="s">
        <v>1632</v>
      </c>
      <c r="G476" s="2" t="s">
        <v>1632</v>
      </c>
      <c r="H476" s="2" t="b">
        <f t="shared" si="7"/>
        <v>1</v>
      </c>
      <c r="I476" s="14" t="str">
        <f>HYPERLINK("https://gerandofalcoes.my.salesforce.com/0034X0000380O6ZQAU", "0034X0000380O6ZQAU")</f>
        <v>0034X0000380O6ZQAU</v>
      </c>
      <c r="J476" s="2" t="s">
        <v>1630</v>
      </c>
      <c r="K476" s="3" t="s">
        <v>1631</v>
      </c>
    </row>
    <row r="477" spans="6:11" ht="12.5" x14ac:dyDescent="0.25">
      <c r="F477" s="2" t="s">
        <v>1632</v>
      </c>
      <c r="G477" s="2" t="s">
        <v>1632</v>
      </c>
      <c r="H477" s="2" t="b">
        <f t="shared" si="7"/>
        <v>1</v>
      </c>
      <c r="I477" s="14" t="str">
        <f>HYPERLINK("https://gerandofalcoes.my.salesforce.com/0034P000043fOnTQAU", "0034P000043fOnTQAU")</f>
        <v>0034P000043fOnTQAU</v>
      </c>
      <c r="J477" s="2" t="s">
        <v>1630</v>
      </c>
      <c r="K477" s="3" t="s">
        <v>1631</v>
      </c>
    </row>
    <row r="478" spans="6:11" ht="12.5" x14ac:dyDescent="0.25">
      <c r="F478" s="2" t="s">
        <v>1632</v>
      </c>
      <c r="G478" s="2" t="s">
        <v>1632</v>
      </c>
      <c r="H478" s="2" t="b">
        <f t="shared" si="7"/>
        <v>1</v>
      </c>
      <c r="I478" s="14" t="str">
        <f>HYPERLINK("https://gerandofalcoes.my.salesforce.com/0034X0000380O2xQAE", "0034X0000380O2xQAE")</f>
        <v>0034X0000380O2xQAE</v>
      </c>
      <c r="J478" s="2" t="s">
        <v>1630</v>
      </c>
      <c r="K478" s="3" t="s">
        <v>1631</v>
      </c>
    </row>
    <row r="479" spans="6:11" ht="12.5" x14ac:dyDescent="0.25">
      <c r="F479" s="2" t="s">
        <v>1632</v>
      </c>
      <c r="G479" s="2" t="s">
        <v>1632</v>
      </c>
      <c r="H479" s="2" t="b">
        <f t="shared" si="7"/>
        <v>1</v>
      </c>
      <c r="I479" s="14" t="str">
        <f>HYPERLINK("https://gerandofalcoes.my.salesforce.com/0034P000045kxjvQAA", "0034P000045kxjvQAA")</f>
        <v>0034P000045kxjvQAA</v>
      </c>
      <c r="J479" s="2" t="s">
        <v>1630</v>
      </c>
      <c r="K479" s="3" t="s">
        <v>1631</v>
      </c>
    </row>
    <row r="480" spans="6:11" ht="12.5" x14ac:dyDescent="0.25">
      <c r="F480" s="2" t="s">
        <v>1632</v>
      </c>
      <c r="G480" s="2" t="s">
        <v>1632</v>
      </c>
      <c r="H480" s="2" t="b">
        <f t="shared" si="7"/>
        <v>1</v>
      </c>
      <c r="I480" s="14" t="str">
        <f>HYPERLINK("https://gerandofalcoes.my.salesforce.com/0034X0000380O5wQAE", "0034X0000380O5wQAE")</f>
        <v>0034X0000380O5wQAE</v>
      </c>
      <c r="J480" s="2" t="s">
        <v>1630</v>
      </c>
      <c r="K480" s="3" t="s">
        <v>1631</v>
      </c>
    </row>
    <row r="481" spans="6:11" ht="12.5" x14ac:dyDescent="0.25">
      <c r="F481" s="2" t="s">
        <v>1632</v>
      </c>
      <c r="G481" s="2" t="s">
        <v>1632</v>
      </c>
      <c r="H481" s="2" t="b">
        <f t="shared" si="7"/>
        <v>1</v>
      </c>
      <c r="I481" s="14" t="str">
        <f>HYPERLINK("https://gerandofalcoes.my.salesforce.com/0034P000045kxksQAA", "0034P000045kxksQAA")</f>
        <v>0034P000045kxksQAA</v>
      </c>
      <c r="J481" s="2" t="s">
        <v>1630</v>
      </c>
      <c r="K481" s="3" t="s">
        <v>1631</v>
      </c>
    </row>
    <row r="482" spans="6:11" ht="12.5" x14ac:dyDescent="0.25">
      <c r="F482" s="2" t="s">
        <v>1632</v>
      </c>
      <c r="G482" s="2" t="s">
        <v>1632</v>
      </c>
      <c r="H482" s="2" t="b">
        <f t="shared" si="7"/>
        <v>1</v>
      </c>
      <c r="I482" s="14" t="str">
        <f>HYPERLINK("https://gerandofalcoes.my.salesforce.com/0034P000043fOniQAE", "0034P000043fOniQAE")</f>
        <v>0034P000043fOniQAE</v>
      </c>
      <c r="J482" s="2" t="s">
        <v>1630</v>
      </c>
      <c r="K482" s="3" t="s">
        <v>1631</v>
      </c>
    </row>
    <row r="483" spans="6:11" ht="12.5" x14ac:dyDescent="0.25">
      <c r="F483" s="2" t="s">
        <v>1632</v>
      </c>
      <c r="G483" s="2" t="s">
        <v>1632</v>
      </c>
      <c r="H483" s="2" t="b">
        <f t="shared" si="7"/>
        <v>1</v>
      </c>
      <c r="I483" s="14" t="str">
        <f>HYPERLINK("https://gerandofalcoes.my.salesforce.com/0034X0000380O32QAE", "0034X0000380O32QAE")</f>
        <v>0034X0000380O32QAE</v>
      </c>
      <c r="J483" s="2" t="s">
        <v>1630</v>
      </c>
      <c r="K483" s="3" t="s">
        <v>1631</v>
      </c>
    </row>
    <row r="484" spans="6:11" ht="12.5" x14ac:dyDescent="0.25">
      <c r="F484" s="2" t="s">
        <v>1632</v>
      </c>
      <c r="G484" s="2" t="s">
        <v>1632</v>
      </c>
      <c r="H484" s="2" t="b">
        <f t="shared" si="7"/>
        <v>1</v>
      </c>
      <c r="I484" s="14" t="str">
        <f>HYPERLINK("https://gerandofalcoes.my.salesforce.com/0034X0000380O3aQAE", "0034X0000380O3aQAE")</f>
        <v>0034X0000380O3aQAE</v>
      </c>
      <c r="J484" s="2" t="s">
        <v>1630</v>
      </c>
      <c r="K484" s="3" t="s">
        <v>1631</v>
      </c>
    </row>
    <row r="485" spans="6:11" ht="12.5" x14ac:dyDescent="0.25">
      <c r="F485" s="2" t="s">
        <v>1632</v>
      </c>
      <c r="G485" s="2" t="s">
        <v>1632</v>
      </c>
      <c r="H485" s="2" t="b">
        <f t="shared" si="7"/>
        <v>1</v>
      </c>
      <c r="I485" s="14" t="str">
        <f>HYPERLINK("https://gerandofalcoes.my.salesforce.com/0034X0000380O6hQAE", "0034X0000380O6hQAE")</f>
        <v>0034X0000380O6hQAE</v>
      </c>
      <c r="J485" s="2" t="s">
        <v>1630</v>
      </c>
      <c r="K485" s="3" t="s">
        <v>1631</v>
      </c>
    </row>
    <row r="486" spans="6:11" ht="12.5" x14ac:dyDescent="0.25">
      <c r="F486" s="2" t="s">
        <v>1632</v>
      </c>
      <c r="G486" s="2" t="s">
        <v>1632</v>
      </c>
      <c r="H486" s="2" t="b">
        <f t="shared" si="7"/>
        <v>1</v>
      </c>
      <c r="I486" s="14" t="str">
        <f>HYPERLINK("https://gerandofalcoes.my.salesforce.com/0034P000045kxkdQAA", "0034P000045kxkdQAA")</f>
        <v>0034P000045kxkdQAA</v>
      </c>
      <c r="J486" s="2" t="s">
        <v>1630</v>
      </c>
      <c r="K486" s="3" t="s">
        <v>1631</v>
      </c>
    </row>
    <row r="487" spans="6:11" ht="12.5" x14ac:dyDescent="0.25">
      <c r="F487" s="2" t="s">
        <v>1632</v>
      </c>
      <c r="G487" s="2" t="s">
        <v>1632</v>
      </c>
      <c r="H487" s="2" t="b">
        <f t="shared" si="7"/>
        <v>1</v>
      </c>
      <c r="I487" s="14" t="str">
        <f>HYPERLINK("https://gerandofalcoes.my.salesforce.com/0034X0000380O4LQAU", "0034X0000380O4LQAU")</f>
        <v>0034X0000380O4LQAU</v>
      </c>
      <c r="J487" s="2" t="s">
        <v>1630</v>
      </c>
      <c r="K487" s="3" t="s">
        <v>1631</v>
      </c>
    </row>
    <row r="488" spans="6:11" ht="12.5" x14ac:dyDescent="0.25">
      <c r="F488" s="2" t="s">
        <v>1632</v>
      </c>
      <c r="G488" s="2" t="s">
        <v>1632</v>
      </c>
      <c r="H488" s="2" t="b">
        <f t="shared" si="7"/>
        <v>1</v>
      </c>
      <c r="I488" s="14" t="str">
        <f>HYPERLINK("https://gerandofalcoes.my.salesforce.com/0034X0000380O58QAE", "0034X0000380O58QAE")</f>
        <v>0034X0000380O58QAE</v>
      </c>
      <c r="J488" s="2" t="s">
        <v>1630</v>
      </c>
      <c r="K488" s="3" t="s">
        <v>1631</v>
      </c>
    </row>
    <row r="489" spans="6:11" ht="12.5" x14ac:dyDescent="0.25">
      <c r="F489" s="2" t="s">
        <v>1632</v>
      </c>
      <c r="G489" s="2" t="s">
        <v>1632</v>
      </c>
      <c r="H489" s="2" t="b">
        <f t="shared" si="7"/>
        <v>1</v>
      </c>
      <c r="I489" s="14" t="str">
        <f>HYPERLINK("https://gerandofalcoes.my.salesforce.com/0034X0000380O2CQAU", "0034X0000380O2CQAU")</f>
        <v>0034X0000380O2CQAU</v>
      </c>
      <c r="J489" s="2" t="s">
        <v>1630</v>
      </c>
      <c r="K489" s="3" t="s">
        <v>1631</v>
      </c>
    </row>
    <row r="490" spans="6:11" ht="12.5" x14ac:dyDescent="0.25">
      <c r="F490" s="2" t="s">
        <v>1632</v>
      </c>
      <c r="G490" s="2" t="s">
        <v>1632</v>
      </c>
      <c r="H490" s="2" t="b">
        <f t="shared" si="7"/>
        <v>1</v>
      </c>
      <c r="I490" s="14" t="str">
        <f>HYPERLINK("https://gerandofalcoes.my.salesforce.com/0034X0000380O3MQAU", "0034X0000380O3MQAU")</f>
        <v>0034X0000380O3MQAU</v>
      </c>
      <c r="J490" s="2" t="s">
        <v>1630</v>
      </c>
      <c r="K490" s="3" t="s">
        <v>1631</v>
      </c>
    </row>
    <row r="491" spans="6:11" ht="12.5" x14ac:dyDescent="0.25">
      <c r="F491" s="2" t="s">
        <v>1632</v>
      </c>
      <c r="G491" s="2" t="s">
        <v>1632</v>
      </c>
      <c r="H491" s="2" t="b">
        <f t="shared" si="7"/>
        <v>1</v>
      </c>
      <c r="I491" s="14" t="str">
        <f>HYPERLINK("https://gerandofalcoes.my.salesforce.com/0034P00003maBVXQA2", "0034P00003maBVXQA2")</f>
        <v>0034P00003maBVXQA2</v>
      </c>
      <c r="J491" s="2" t="s">
        <v>1630</v>
      </c>
      <c r="K491" s="3" t="s">
        <v>1631</v>
      </c>
    </row>
    <row r="492" spans="6:11" ht="12.5" x14ac:dyDescent="0.25">
      <c r="F492" s="2" t="s">
        <v>1632</v>
      </c>
      <c r="G492" s="2" t="s">
        <v>1632</v>
      </c>
      <c r="H492" s="2" t="b">
        <f t="shared" si="7"/>
        <v>1</v>
      </c>
      <c r="I492" s="14" t="str">
        <f>HYPERLINK("https://gerandofalcoes.my.salesforce.com/0034P000045kxjJQAQ", "0034P000045kxjJQAQ")</f>
        <v>0034P000045kxjJQAQ</v>
      </c>
      <c r="J492" s="2" t="s">
        <v>1630</v>
      </c>
      <c r="K492" s="3" t="s">
        <v>1631</v>
      </c>
    </row>
    <row r="493" spans="6:11" ht="12.5" x14ac:dyDescent="0.25">
      <c r="F493" s="2" t="s">
        <v>1632</v>
      </c>
      <c r="G493" s="2" t="s">
        <v>1632</v>
      </c>
      <c r="H493" s="2" t="b">
        <f t="shared" si="7"/>
        <v>1</v>
      </c>
      <c r="I493" s="14" t="str">
        <f>HYPERLINK("https://gerandofalcoes.my.salesforce.com/0034P000043fPDoQAM", "0034P000043fPDoQAM")</f>
        <v>0034P000043fPDoQAM</v>
      </c>
      <c r="J493" s="2" t="s">
        <v>1630</v>
      </c>
      <c r="K493" s="3" t="s">
        <v>1631</v>
      </c>
    </row>
    <row r="494" spans="6:11" ht="12.5" x14ac:dyDescent="0.25">
      <c r="F494" s="2" t="s">
        <v>1632</v>
      </c>
      <c r="G494" s="2" t="s">
        <v>1632</v>
      </c>
      <c r="H494" s="2" t="b">
        <f t="shared" si="7"/>
        <v>1</v>
      </c>
      <c r="I494" s="14" t="str">
        <f>HYPERLINK("https://gerandofalcoes.my.salesforce.com/0034P00003maBVFQA2", "0034P00003maBVFQA2")</f>
        <v>0034P00003maBVFQA2</v>
      </c>
      <c r="J494" s="2" t="s">
        <v>1630</v>
      </c>
      <c r="K494" s="3" t="s">
        <v>1631</v>
      </c>
    </row>
    <row r="495" spans="6:11" ht="12.5" x14ac:dyDescent="0.25">
      <c r="F495" s="2" t="s">
        <v>1632</v>
      </c>
      <c r="G495" s="2" t="s">
        <v>1632</v>
      </c>
      <c r="H495" s="2" t="b">
        <f t="shared" si="7"/>
        <v>1</v>
      </c>
      <c r="I495" s="14" t="str">
        <f>HYPERLINK("https://gerandofalcoes.my.salesforce.com/0034P000045kxjNQAQ", "0034P000045kxjNQAQ")</f>
        <v>0034P000045kxjNQAQ</v>
      </c>
      <c r="J495" s="2" t="s">
        <v>1630</v>
      </c>
      <c r="K495" s="3" t="s">
        <v>1631</v>
      </c>
    </row>
    <row r="496" spans="6:11" ht="12.5" x14ac:dyDescent="0.25">
      <c r="F496" s="2" t="s">
        <v>1632</v>
      </c>
      <c r="G496" s="2" t="s">
        <v>1632</v>
      </c>
      <c r="H496" s="2" t="b">
        <f t="shared" si="7"/>
        <v>1</v>
      </c>
      <c r="I496" s="14" t="str">
        <f>HYPERLINK("https://gerandofalcoes.my.salesforce.com/0034X0000380O57QAE", "0034X0000380O57QAE")</f>
        <v>0034X0000380O57QAE</v>
      </c>
      <c r="J496" s="2" t="s">
        <v>1630</v>
      </c>
      <c r="K496" s="3" t="s">
        <v>1631</v>
      </c>
    </row>
    <row r="497" spans="6:11" ht="12.5" x14ac:dyDescent="0.25">
      <c r="F497" s="2" t="s">
        <v>1632</v>
      </c>
      <c r="G497" s="2" t="s">
        <v>1632</v>
      </c>
      <c r="H497" s="2" t="b">
        <f t="shared" si="7"/>
        <v>1</v>
      </c>
      <c r="I497" s="14" t="str">
        <f>HYPERLINK("https://gerandofalcoes.my.salesforce.com/0034X0000380O0xQAE", "0034X0000380O0xQAE")</f>
        <v>0034X0000380O0xQAE</v>
      </c>
      <c r="J497" s="2" t="s">
        <v>1630</v>
      </c>
      <c r="K497" s="3" t="s">
        <v>1631</v>
      </c>
    </row>
    <row r="498" spans="6:11" ht="12.5" x14ac:dyDescent="0.25">
      <c r="F498" s="2" t="s">
        <v>1632</v>
      </c>
      <c r="G498" s="2" t="s">
        <v>1632</v>
      </c>
      <c r="H498" s="2" t="b">
        <f t="shared" si="7"/>
        <v>1</v>
      </c>
      <c r="I498" s="14" t="str">
        <f>HYPERLINK("https://gerandofalcoes.my.salesforce.com/0034P000045kxiGQAQ", "0034P000045kxiGQAQ")</f>
        <v>0034P000045kxiGQAQ</v>
      </c>
      <c r="J498" s="2" t="s">
        <v>1630</v>
      </c>
      <c r="K498" s="3" t="s">
        <v>1631</v>
      </c>
    </row>
    <row r="499" spans="6:11" ht="12.5" x14ac:dyDescent="0.25">
      <c r="F499" s="2" t="s">
        <v>1632</v>
      </c>
      <c r="G499" s="2" t="s">
        <v>1632</v>
      </c>
      <c r="H499" s="2" t="b">
        <f t="shared" si="7"/>
        <v>1</v>
      </c>
      <c r="I499" s="14" t="str">
        <f>HYPERLINK("https://gerandofalcoes.my.salesforce.com/0034X000032HsKKQA0", "0034X000032HsKKQA0")</f>
        <v>0034X000032HsKKQA0</v>
      </c>
      <c r="J499" s="2" t="s">
        <v>1630</v>
      </c>
      <c r="K499" s="3" t="s">
        <v>1631</v>
      </c>
    </row>
    <row r="500" spans="6:11" ht="12.5" x14ac:dyDescent="0.25">
      <c r="F500" s="2" t="s">
        <v>1632</v>
      </c>
      <c r="G500" s="2" t="s">
        <v>1632</v>
      </c>
      <c r="H500" s="2" t="b">
        <f t="shared" si="7"/>
        <v>1</v>
      </c>
      <c r="I500" s="14" t="str">
        <f>HYPERLINK("https://gerandofalcoes.my.salesforce.com/0034P000045kxjnQAA", "0034P000045kxjnQAA")</f>
        <v>0034P000045kxjnQAA</v>
      </c>
      <c r="J500" s="2" t="s">
        <v>1630</v>
      </c>
      <c r="K500" s="3" t="s">
        <v>1631</v>
      </c>
    </row>
    <row r="501" spans="6:11" ht="12.5" x14ac:dyDescent="0.25">
      <c r="F501" s="2" t="s">
        <v>1632</v>
      </c>
      <c r="G501" s="2" t="s">
        <v>1632</v>
      </c>
      <c r="H501" s="2" t="b">
        <f t="shared" si="7"/>
        <v>1</v>
      </c>
      <c r="I501" s="14" t="str">
        <f>HYPERLINK("https://gerandofalcoes.my.salesforce.com/0034X0000380O3cQAE", "0034X0000380O3cQAE")</f>
        <v>0034X0000380O3cQAE</v>
      </c>
      <c r="J501" s="2" t="s">
        <v>1630</v>
      </c>
      <c r="K501" s="3" t="s">
        <v>1631</v>
      </c>
    </row>
    <row r="502" spans="6:11" ht="12.5" x14ac:dyDescent="0.25">
      <c r="F502" s="2" t="s">
        <v>1632</v>
      </c>
      <c r="G502" s="2" t="s">
        <v>1632</v>
      </c>
      <c r="H502" s="2" t="b">
        <f t="shared" si="7"/>
        <v>1</v>
      </c>
      <c r="I502" s="14" t="str">
        <f>HYPERLINK("https://gerandofalcoes.my.salesforce.com/0034P00003maBVKQA2", "0034P00003maBVKQA2")</f>
        <v>0034P00003maBVKQA2</v>
      </c>
      <c r="J502" s="2" t="s">
        <v>1630</v>
      </c>
      <c r="K502" s="3" t="s">
        <v>1631</v>
      </c>
    </row>
    <row r="503" spans="6:11" ht="12.5" x14ac:dyDescent="0.25">
      <c r="F503" s="2" t="s">
        <v>1632</v>
      </c>
      <c r="G503" s="2" t="s">
        <v>1632</v>
      </c>
      <c r="H503" s="2" t="b">
        <f t="shared" si="7"/>
        <v>1</v>
      </c>
      <c r="I503" s="14" t="str">
        <f>HYPERLINK("https://gerandofalcoes.my.salesforce.com/0034P000045kxkEQAQ", "0034P000045kxkEQAQ")</f>
        <v>0034P000045kxkEQAQ</v>
      </c>
      <c r="J503" s="2" t="s">
        <v>1630</v>
      </c>
      <c r="K503" s="3" t="s">
        <v>1631</v>
      </c>
    </row>
    <row r="504" spans="6:11" ht="12.5" x14ac:dyDescent="0.25">
      <c r="F504" s="2" t="s">
        <v>1632</v>
      </c>
      <c r="G504" s="2" t="s">
        <v>1632</v>
      </c>
      <c r="H504" s="2" t="b">
        <f t="shared" si="7"/>
        <v>1</v>
      </c>
      <c r="I504" s="14" t="str">
        <f>HYPERLINK("https://gerandofalcoes.my.salesforce.com/0034X0000380O4NQAU", "0034X0000380O4NQAU")</f>
        <v>0034X0000380O4NQAU</v>
      </c>
      <c r="J504" s="2" t="s">
        <v>1630</v>
      </c>
      <c r="K504" s="3" t="s">
        <v>1631</v>
      </c>
    </row>
    <row r="505" spans="6:11" ht="12.5" x14ac:dyDescent="0.25">
      <c r="F505" s="2" t="s">
        <v>1632</v>
      </c>
      <c r="G505" s="2" t="s">
        <v>1632</v>
      </c>
      <c r="H505" s="2" t="b">
        <f t="shared" si="7"/>
        <v>1</v>
      </c>
      <c r="I505" s="14" t="str">
        <f>HYPERLINK("https://gerandofalcoes.my.salesforce.com/0034P000043fOo9QAE", "0034P000043fOo9QAE")</f>
        <v>0034P000043fOo9QAE</v>
      </c>
      <c r="J505" s="2" t="s">
        <v>1630</v>
      </c>
      <c r="K505" s="3" t="s">
        <v>1631</v>
      </c>
    </row>
    <row r="506" spans="6:11" ht="12.5" x14ac:dyDescent="0.25">
      <c r="F506" s="2" t="s">
        <v>1632</v>
      </c>
      <c r="G506" s="2" t="s">
        <v>1632</v>
      </c>
      <c r="H506" s="2" t="b">
        <f t="shared" si="7"/>
        <v>1</v>
      </c>
      <c r="I506" s="14" t="str">
        <f>HYPERLINK("https://gerandofalcoes.my.salesforce.com/0034X0000380O4mQAE", "0034X0000380O4mQAE")</f>
        <v>0034X0000380O4mQAE</v>
      </c>
      <c r="J506" s="2" t="s">
        <v>1630</v>
      </c>
      <c r="K506" s="3" t="s">
        <v>1631</v>
      </c>
    </row>
    <row r="507" spans="6:11" ht="12.5" x14ac:dyDescent="0.25">
      <c r="F507" s="2" t="s">
        <v>1632</v>
      </c>
      <c r="G507" s="2" t="s">
        <v>1632</v>
      </c>
      <c r="H507" s="2" t="b">
        <f t="shared" si="7"/>
        <v>1</v>
      </c>
      <c r="I507" s="14" t="str">
        <f>HYPERLINK("https://gerandofalcoes.my.salesforce.com/0034P000043fOoFQAU", "0034P000043fOoFQAU")</f>
        <v>0034P000043fOoFQAU</v>
      </c>
      <c r="J507" s="2" t="s">
        <v>1630</v>
      </c>
      <c r="K507" s="3" t="s">
        <v>1631</v>
      </c>
    </row>
    <row r="508" spans="6:11" ht="12.5" x14ac:dyDescent="0.25">
      <c r="F508" s="2" t="s">
        <v>1632</v>
      </c>
      <c r="G508" s="2" t="s">
        <v>1632</v>
      </c>
      <c r="H508" s="2" t="b">
        <f t="shared" si="7"/>
        <v>1</v>
      </c>
      <c r="I508" s="14" t="str">
        <f>HYPERLINK("https://gerandofalcoes.my.salesforce.com/0034X0000380O4pQAE", "0034X0000380O4pQAE")</f>
        <v>0034X0000380O4pQAE</v>
      </c>
      <c r="J508" s="2" t="s">
        <v>1630</v>
      </c>
      <c r="K508" s="3" t="s">
        <v>1631</v>
      </c>
    </row>
    <row r="509" spans="6:11" ht="12.5" x14ac:dyDescent="0.25">
      <c r="F509" s="2" t="s">
        <v>1632</v>
      </c>
      <c r="G509" s="2" t="s">
        <v>1632</v>
      </c>
      <c r="H509" s="2" t="b">
        <f t="shared" si="7"/>
        <v>1</v>
      </c>
      <c r="I509" s="14" t="str">
        <f>HYPERLINK("https://gerandofalcoes.my.salesforce.com/0034P000045kxkZQAQ", "0034P000045kxkZQAQ")</f>
        <v>0034P000045kxkZQAQ</v>
      </c>
      <c r="J509" s="2" t="s">
        <v>1630</v>
      </c>
      <c r="K509" s="3" t="s">
        <v>1631</v>
      </c>
    </row>
    <row r="510" spans="6:11" ht="12.5" x14ac:dyDescent="0.25">
      <c r="F510" s="2" t="s">
        <v>1632</v>
      </c>
      <c r="G510" s="2" t="s">
        <v>1632</v>
      </c>
      <c r="H510" s="2" t="b">
        <f t="shared" si="7"/>
        <v>1</v>
      </c>
      <c r="I510" s="14" t="str">
        <f>HYPERLINK("https://gerandofalcoes.my.salesforce.com/0034P00003maBVcQAM", "0034P00003maBVcQAM")</f>
        <v>0034P00003maBVcQAM</v>
      </c>
      <c r="J510" s="2" t="s">
        <v>1630</v>
      </c>
      <c r="K510" s="3" t="s">
        <v>1631</v>
      </c>
    </row>
    <row r="511" spans="6:11" ht="12.5" x14ac:dyDescent="0.25">
      <c r="F511" s="2" t="s">
        <v>1632</v>
      </c>
      <c r="G511" s="2" t="s">
        <v>1632</v>
      </c>
      <c r="H511" s="2" t="b">
        <f t="shared" si="7"/>
        <v>1</v>
      </c>
      <c r="I511" s="14" t="str">
        <f>HYPERLINK("https://gerandofalcoes.my.salesforce.com/0034P00003maBVvQAM", "0034P00003maBVvQAM")</f>
        <v>0034P00003maBVvQAM</v>
      </c>
      <c r="J511" s="2" t="s">
        <v>1630</v>
      </c>
      <c r="K511" s="3" t="s">
        <v>1631</v>
      </c>
    </row>
    <row r="512" spans="6:11" ht="12.5" x14ac:dyDescent="0.25">
      <c r="F512" s="2" t="s">
        <v>1632</v>
      </c>
      <c r="G512" s="2" t="s">
        <v>1632</v>
      </c>
      <c r="H512" s="2" t="b">
        <f t="shared" si="7"/>
        <v>1</v>
      </c>
      <c r="I512" s="14" t="str">
        <f>HYPERLINK("https://gerandofalcoes.my.salesforce.com/0034X0000380O0YQAU", "0034X0000380O0YQAU")</f>
        <v>0034X0000380O0YQAU</v>
      </c>
      <c r="J512" s="2" t="s">
        <v>1630</v>
      </c>
      <c r="K512" s="3" t="s">
        <v>1631</v>
      </c>
    </row>
    <row r="513" spans="6:11" ht="12.5" x14ac:dyDescent="0.25">
      <c r="F513" s="2" t="s">
        <v>1632</v>
      </c>
      <c r="G513" s="2" t="s">
        <v>1632</v>
      </c>
      <c r="H513" s="2" t="b">
        <f t="shared" si="7"/>
        <v>1</v>
      </c>
      <c r="I513" s="14" t="str">
        <f>HYPERLINK("https://gerandofalcoes.my.salesforce.com/0034X0000380O3XQAU", "0034X0000380O3XQAU")</f>
        <v>0034X0000380O3XQAU</v>
      </c>
      <c r="J513" s="2" t="s">
        <v>1630</v>
      </c>
      <c r="K513" s="3" t="s">
        <v>1631</v>
      </c>
    </row>
    <row r="514" spans="6:11" ht="12.5" x14ac:dyDescent="0.25">
      <c r="F514" s="2" t="s">
        <v>1632</v>
      </c>
      <c r="G514" s="2" t="s">
        <v>1632</v>
      </c>
      <c r="H514" s="2" t="b">
        <f t="shared" ref="H514:H577" si="8">G514=B514</f>
        <v>1</v>
      </c>
      <c r="I514" s="14" t="str">
        <f>HYPERLINK("https://gerandofalcoes.my.salesforce.com/0034P000045kxj1QAA", "0034P000045kxj1QAA")</f>
        <v>0034P000045kxj1QAA</v>
      </c>
      <c r="J514" s="2" t="s">
        <v>1630</v>
      </c>
      <c r="K514" s="3" t="s">
        <v>1631</v>
      </c>
    </row>
    <row r="515" spans="6:11" ht="12.5" x14ac:dyDescent="0.25">
      <c r="F515" s="2" t="s">
        <v>1632</v>
      </c>
      <c r="G515" s="2" t="s">
        <v>1632</v>
      </c>
      <c r="H515" s="2" t="b">
        <f t="shared" si="8"/>
        <v>1</v>
      </c>
      <c r="I515" s="14" t="str">
        <f>HYPERLINK("https://gerandofalcoes.my.salesforce.com/0034X0000380O2wQAE", "0034X0000380O2wQAE")</f>
        <v>0034X0000380O2wQAE</v>
      </c>
      <c r="J515" s="2" t="s">
        <v>1630</v>
      </c>
      <c r="K515" s="3" t="s">
        <v>1631</v>
      </c>
    </row>
    <row r="516" spans="6:11" ht="12.5" x14ac:dyDescent="0.25">
      <c r="F516" s="2" t="s">
        <v>1632</v>
      </c>
      <c r="G516" s="2" t="s">
        <v>1632</v>
      </c>
      <c r="H516" s="2" t="b">
        <f t="shared" si="8"/>
        <v>1</v>
      </c>
      <c r="I516" s="14" t="str">
        <f>HYPERLINK("https://gerandofalcoes.my.salesforce.com/0034P000043fOnSQAU", "0034P000043fOnSQAU")</f>
        <v>0034P000043fOnSQAU</v>
      </c>
      <c r="J516" s="2" t="s">
        <v>1630</v>
      </c>
      <c r="K516" s="3" t="s">
        <v>1631</v>
      </c>
    </row>
    <row r="517" spans="6:11" ht="12.5" x14ac:dyDescent="0.25">
      <c r="F517" s="2" t="s">
        <v>1632</v>
      </c>
      <c r="G517" s="2" t="s">
        <v>1632</v>
      </c>
      <c r="H517" s="2" t="b">
        <f t="shared" si="8"/>
        <v>1</v>
      </c>
      <c r="I517" s="14" t="str">
        <f>HYPERLINK("https://gerandofalcoes.my.salesforce.com/0034P00003maBV8QAM", "0034P00003maBV8QAM")</f>
        <v>0034P00003maBV8QAM</v>
      </c>
      <c r="J517" s="2" t="s">
        <v>1630</v>
      </c>
      <c r="K517" s="3" t="s">
        <v>1631</v>
      </c>
    </row>
    <row r="518" spans="6:11" ht="12.5" x14ac:dyDescent="0.25">
      <c r="F518" s="2" t="s">
        <v>1632</v>
      </c>
      <c r="G518" s="2" t="s">
        <v>1632</v>
      </c>
      <c r="H518" s="2" t="b">
        <f t="shared" si="8"/>
        <v>1</v>
      </c>
      <c r="I518" s="14" t="str">
        <f>HYPERLINK("https://gerandofalcoes.my.salesforce.com/0034X0000380O2YQAU", "0034X0000380O2YQAU")</f>
        <v>0034X0000380O2YQAU</v>
      </c>
      <c r="J518" s="2" t="s">
        <v>1630</v>
      </c>
      <c r="K518" s="3" t="s">
        <v>1631</v>
      </c>
    </row>
    <row r="519" spans="6:11" ht="12.5" x14ac:dyDescent="0.25">
      <c r="F519" s="2" t="s">
        <v>1632</v>
      </c>
      <c r="G519" s="2" t="s">
        <v>1632</v>
      </c>
      <c r="H519" s="2" t="b">
        <f t="shared" si="8"/>
        <v>1</v>
      </c>
      <c r="I519" s="14" t="str">
        <f>HYPERLINK("https://gerandofalcoes.my.salesforce.com/0034P000045kxhzQAA", "0034P000045kxhzQAA")</f>
        <v>0034P000045kxhzQAA</v>
      </c>
      <c r="J519" s="2" t="s">
        <v>1630</v>
      </c>
      <c r="K519" s="3" t="s">
        <v>1631</v>
      </c>
    </row>
    <row r="520" spans="6:11" ht="12.5" x14ac:dyDescent="0.25">
      <c r="F520" s="2" t="s">
        <v>1632</v>
      </c>
      <c r="G520" s="2" t="s">
        <v>1632</v>
      </c>
      <c r="H520" s="2" t="b">
        <f t="shared" si="8"/>
        <v>1</v>
      </c>
      <c r="I520" s="14" t="str">
        <f>HYPERLINK("https://gerandofalcoes.my.salesforce.com/0034X0000380O42QAE", "0034X0000380O42QAE")</f>
        <v>0034X0000380O42QAE</v>
      </c>
      <c r="J520" s="2" t="s">
        <v>1630</v>
      </c>
      <c r="K520" s="3" t="s">
        <v>1631</v>
      </c>
    </row>
    <row r="521" spans="6:11" ht="12.5" x14ac:dyDescent="0.25">
      <c r="F521" s="2" t="s">
        <v>1632</v>
      </c>
      <c r="G521" s="2" t="s">
        <v>1632</v>
      </c>
      <c r="H521" s="2" t="b">
        <f t="shared" si="8"/>
        <v>1</v>
      </c>
      <c r="I521" s="14" t="str">
        <f>HYPERLINK("https://gerandofalcoes.my.salesforce.com/0034X0000380O5QQAU", "0034X0000380O5QQAU")</f>
        <v>0034X0000380O5QQAU</v>
      </c>
      <c r="J521" s="2" t="s">
        <v>1630</v>
      </c>
      <c r="K521" s="3" t="s">
        <v>1631</v>
      </c>
    </row>
    <row r="522" spans="6:11" ht="12.5" x14ac:dyDescent="0.25">
      <c r="F522" s="2" t="s">
        <v>1632</v>
      </c>
      <c r="G522" s="2" t="s">
        <v>1632</v>
      </c>
      <c r="H522" s="2" t="b">
        <f t="shared" si="8"/>
        <v>1</v>
      </c>
      <c r="I522" s="14" t="str">
        <f>HYPERLINK("https://gerandofalcoes.my.salesforce.com/0034P000045kxkXQAQ", "0034P000045kxkXQAQ")</f>
        <v>0034P000045kxkXQAQ</v>
      </c>
      <c r="J522" s="2" t="s">
        <v>1630</v>
      </c>
      <c r="K522" s="3" t="s">
        <v>1631</v>
      </c>
    </row>
    <row r="523" spans="6:11" ht="12.5" x14ac:dyDescent="0.25">
      <c r="F523" s="2" t="s">
        <v>1632</v>
      </c>
      <c r="G523" s="2" t="s">
        <v>1632</v>
      </c>
      <c r="H523" s="2" t="b">
        <f t="shared" si="8"/>
        <v>1</v>
      </c>
      <c r="I523" s="14" t="str">
        <f>HYPERLINK("https://gerandofalcoes.my.salesforce.com/0034X0000380O1oQAE", "0034X0000380O1oQAE")</f>
        <v>0034X0000380O1oQAE</v>
      </c>
      <c r="J523" s="2" t="s">
        <v>1630</v>
      </c>
      <c r="K523" s="3" t="s">
        <v>1631</v>
      </c>
    </row>
    <row r="524" spans="6:11" ht="12.5" x14ac:dyDescent="0.25">
      <c r="F524" s="2" t="s">
        <v>1632</v>
      </c>
      <c r="G524" s="2" t="s">
        <v>1632</v>
      </c>
      <c r="H524" s="2" t="b">
        <f t="shared" si="8"/>
        <v>1</v>
      </c>
      <c r="I524" s="14" t="str">
        <f>HYPERLINK("https://gerandofalcoes.my.salesforce.com/0034X0000380O5TQAU", "0034X0000380O5TQAU")</f>
        <v>0034X0000380O5TQAU</v>
      </c>
      <c r="J524" s="2" t="s">
        <v>1630</v>
      </c>
      <c r="K524" s="3" t="s">
        <v>1631</v>
      </c>
    </row>
    <row r="525" spans="6:11" ht="12.5" x14ac:dyDescent="0.25">
      <c r="F525" s="2" t="s">
        <v>1632</v>
      </c>
      <c r="G525" s="2" t="s">
        <v>1632</v>
      </c>
      <c r="H525" s="2" t="b">
        <f t="shared" si="8"/>
        <v>1</v>
      </c>
      <c r="I525" s="14" t="str">
        <f>HYPERLINK("https://gerandofalcoes.my.salesforce.com/0034P000045kxitQAA", "0034P000045kxitQAA")</f>
        <v>0034P000045kxitQAA</v>
      </c>
      <c r="J525" s="2" t="s">
        <v>1630</v>
      </c>
      <c r="K525" s="3" t="s">
        <v>1631</v>
      </c>
    </row>
    <row r="526" spans="6:11" ht="12.5" x14ac:dyDescent="0.25">
      <c r="F526" s="2" t="s">
        <v>1632</v>
      </c>
      <c r="G526" s="2" t="s">
        <v>1632</v>
      </c>
      <c r="H526" s="2" t="b">
        <f t="shared" si="8"/>
        <v>1</v>
      </c>
      <c r="I526" s="14" t="str">
        <f>HYPERLINK("https://gerandofalcoes.my.salesforce.com/0034X0000380O3wQAE", "0034X0000380O3wQAE")</f>
        <v>0034X0000380O3wQAE</v>
      </c>
      <c r="J526" s="2" t="s">
        <v>1630</v>
      </c>
      <c r="K526" s="3" t="s">
        <v>1631</v>
      </c>
    </row>
    <row r="527" spans="6:11" ht="12.5" x14ac:dyDescent="0.25">
      <c r="F527" s="2" t="s">
        <v>1632</v>
      </c>
      <c r="G527" s="2" t="s">
        <v>1632</v>
      </c>
      <c r="H527" s="2" t="b">
        <f t="shared" si="8"/>
        <v>1</v>
      </c>
      <c r="I527" s="14" t="str">
        <f>HYPERLINK("https://gerandofalcoes.my.salesforce.com/0034X0000380O1dQAE", "0034X0000380O1dQAE")</f>
        <v>0034X0000380O1dQAE</v>
      </c>
      <c r="J527" s="2" t="s">
        <v>1630</v>
      </c>
      <c r="K527" s="3" t="s">
        <v>1631</v>
      </c>
    </row>
    <row r="528" spans="6:11" ht="12.5" x14ac:dyDescent="0.25">
      <c r="F528" s="2" t="s">
        <v>1632</v>
      </c>
      <c r="G528" s="2" t="s">
        <v>1632</v>
      </c>
      <c r="H528" s="2" t="b">
        <f t="shared" si="8"/>
        <v>1</v>
      </c>
      <c r="I528" s="14" t="str">
        <f>HYPERLINK("https://gerandofalcoes.my.salesforce.com/0034X0000380O5VQAU", "0034X0000380O5VQAU")</f>
        <v>0034X0000380O5VQAU</v>
      </c>
      <c r="J528" s="2" t="s">
        <v>1630</v>
      </c>
      <c r="K528" s="3" t="s">
        <v>1631</v>
      </c>
    </row>
    <row r="529" spans="6:11" ht="12.5" x14ac:dyDescent="0.25">
      <c r="F529" s="2" t="s">
        <v>1632</v>
      </c>
      <c r="G529" s="2" t="s">
        <v>1632</v>
      </c>
      <c r="H529" s="2" t="b">
        <f t="shared" si="8"/>
        <v>1</v>
      </c>
      <c r="I529" s="14" t="str">
        <f>HYPERLINK("https://gerandofalcoes.my.salesforce.com/0034X0000380O19QAE", "0034X0000380O19QAE")</f>
        <v>0034X0000380O19QAE</v>
      </c>
      <c r="J529" s="2" t="s">
        <v>1630</v>
      </c>
      <c r="K529" s="3" t="s">
        <v>1631</v>
      </c>
    </row>
    <row r="530" spans="6:11" ht="12.5" x14ac:dyDescent="0.25">
      <c r="F530" s="2" t="s">
        <v>1632</v>
      </c>
      <c r="G530" s="2" t="s">
        <v>1632</v>
      </c>
      <c r="H530" s="2" t="b">
        <f t="shared" si="8"/>
        <v>1</v>
      </c>
      <c r="I530" s="14" t="str">
        <f>HYPERLINK("https://gerandofalcoes.my.salesforce.com/0034X0000380O2PQAU", "0034X0000380O2PQAU")</f>
        <v>0034X0000380O2PQAU</v>
      </c>
      <c r="J530" s="2" t="s">
        <v>1630</v>
      </c>
      <c r="K530" s="3" t="s">
        <v>1631</v>
      </c>
    </row>
    <row r="531" spans="6:11" ht="12.5" x14ac:dyDescent="0.25">
      <c r="F531" s="2" t="s">
        <v>1632</v>
      </c>
      <c r="G531" s="2" t="s">
        <v>1632</v>
      </c>
      <c r="H531" s="2" t="b">
        <f t="shared" si="8"/>
        <v>1</v>
      </c>
      <c r="I531" s="14" t="str">
        <f>HYPERLINK("https://gerandofalcoes.my.salesforce.com/0034X0000380O4aQAE", "0034X0000380O4aQAE")</f>
        <v>0034X0000380O4aQAE</v>
      </c>
      <c r="J531" s="2" t="s">
        <v>1630</v>
      </c>
      <c r="K531" s="3" t="s">
        <v>1631</v>
      </c>
    </row>
    <row r="532" spans="6:11" ht="12.5" x14ac:dyDescent="0.25">
      <c r="F532" s="2" t="s">
        <v>1632</v>
      </c>
      <c r="G532" s="2" t="s">
        <v>1632</v>
      </c>
      <c r="H532" s="2" t="b">
        <f t="shared" si="8"/>
        <v>1</v>
      </c>
      <c r="I532" s="14" t="str">
        <f>HYPERLINK("https://gerandofalcoes.my.salesforce.com/0034X0000380O56QAE", "0034X0000380O56QAE")</f>
        <v>0034X0000380O56QAE</v>
      </c>
      <c r="J532" s="2" t="s">
        <v>1630</v>
      </c>
      <c r="K532" s="3" t="s">
        <v>1631</v>
      </c>
    </row>
    <row r="533" spans="6:11" ht="12.5" x14ac:dyDescent="0.25">
      <c r="F533" s="2" t="s">
        <v>1632</v>
      </c>
      <c r="G533" s="2" t="s">
        <v>1632</v>
      </c>
      <c r="H533" s="2" t="b">
        <f t="shared" si="8"/>
        <v>1</v>
      </c>
      <c r="I533" s="14" t="str">
        <f>HYPERLINK("https://gerandofalcoes.my.salesforce.com/0034P000045kxj3QAA", "0034P000045kxj3QAA")</f>
        <v>0034P000045kxj3QAA</v>
      </c>
      <c r="J533" s="2" t="s">
        <v>1630</v>
      </c>
      <c r="K533" s="3" t="s">
        <v>1631</v>
      </c>
    </row>
    <row r="534" spans="6:11" ht="12.5" x14ac:dyDescent="0.25">
      <c r="F534" s="2" t="s">
        <v>1632</v>
      </c>
      <c r="G534" s="2" t="s">
        <v>1632</v>
      </c>
      <c r="H534" s="2" t="b">
        <f t="shared" si="8"/>
        <v>1</v>
      </c>
      <c r="I534" s="14" t="str">
        <f>HYPERLINK("https://gerandofalcoes.my.salesforce.com/0034P00003maBVfQAM", "0034P00003maBVfQAM")</f>
        <v>0034P00003maBVfQAM</v>
      </c>
      <c r="J534" s="2" t="s">
        <v>1630</v>
      </c>
      <c r="K534" s="3" t="s">
        <v>1631</v>
      </c>
    </row>
    <row r="535" spans="6:11" ht="12.5" x14ac:dyDescent="0.25">
      <c r="F535" s="2" t="s">
        <v>1632</v>
      </c>
      <c r="G535" s="2" t="s">
        <v>1632</v>
      </c>
      <c r="H535" s="2" t="b">
        <f t="shared" si="8"/>
        <v>1</v>
      </c>
      <c r="I535" s="14" t="str">
        <f>HYPERLINK("https://gerandofalcoes.my.salesforce.com/0034P000045kxjgQAA", "0034P000045kxjgQAA")</f>
        <v>0034P000045kxjgQAA</v>
      </c>
      <c r="J535" s="2" t="s">
        <v>1630</v>
      </c>
      <c r="K535" s="3" t="s">
        <v>1631</v>
      </c>
    </row>
    <row r="536" spans="6:11" ht="12.5" x14ac:dyDescent="0.25">
      <c r="F536" s="2" t="s">
        <v>1632</v>
      </c>
      <c r="G536" s="2" t="s">
        <v>1632</v>
      </c>
      <c r="H536" s="2" t="b">
        <f t="shared" si="8"/>
        <v>1</v>
      </c>
      <c r="I536" s="14" t="str">
        <f>HYPERLINK("https://gerandofalcoes.my.salesforce.com/0034P000045kxi6QAA", "0034P000045kxi6QAA")</f>
        <v>0034P000045kxi6QAA</v>
      </c>
      <c r="J536" s="2" t="s">
        <v>1630</v>
      </c>
      <c r="K536" s="3" t="s">
        <v>1631</v>
      </c>
    </row>
    <row r="537" spans="6:11" ht="12.5" x14ac:dyDescent="0.25">
      <c r="F537" s="2" t="s">
        <v>1632</v>
      </c>
      <c r="G537" s="2" t="s">
        <v>1632</v>
      </c>
      <c r="H537" s="2" t="b">
        <f t="shared" si="8"/>
        <v>1</v>
      </c>
      <c r="I537" s="14" t="str">
        <f>HYPERLINK("https://gerandofalcoes.my.salesforce.com/0034X0000380O6eQAE", "0034X0000380O6eQAE")</f>
        <v>0034X0000380O6eQAE</v>
      </c>
      <c r="J537" s="2" t="s">
        <v>1630</v>
      </c>
      <c r="K537" s="3" t="s">
        <v>1631</v>
      </c>
    </row>
    <row r="538" spans="6:11" ht="12.5" x14ac:dyDescent="0.25">
      <c r="F538" s="2" t="s">
        <v>1632</v>
      </c>
      <c r="G538" s="2" t="s">
        <v>1632</v>
      </c>
      <c r="H538" s="2" t="b">
        <f t="shared" si="8"/>
        <v>1</v>
      </c>
      <c r="I538" s="14" t="str">
        <f>HYPERLINK("https://gerandofalcoes.my.salesforce.com/0034X0000380O5MQAU", "0034X0000380O5MQAU")</f>
        <v>0034X0000380O5MQAU</v>
      </c>
      <c r="J538" s="2" t="s">
        <v>1630</v>
      </c>
      <c r="K538" s="3" t="s">
        <v>1631</v>
      </c>
    </row>
    <row r="539" spans="6:11" ht="12.5" x14ac:dyDescent="0.25">
      <c r="F539" s="2" t="s">
        <v>1632</v>
      </c>
      <c r="G539" s="2" t="s">
        <v>1632</v>
      </c>
      <c r="H539" s="2" t="b">
        <f t="shared" si="8"/>
        <v>1</v>
      </c>
      <c r="I539" s="14" t="str">
        <f>HYPERLINK("https://gerandofalcoes.my.salesforce.com/0034P000043fOnUQAU", "0034P000043fOnUQAU")</f>
        <v>0034P000043fOnUQAU</v>
      </c>
      <c r="J539" s="2" t="s">
        <v>1630</v>
      </c>
      <c r="K539" s="3" t="s">
        <v>1631</v>
      </c>
    </row>
    <row r="540" spans="6:11" ht="12.5" x14ac:dyDescent="0.25">
      <c r="F540" s="2" t="s">
        <v>1632</v>
      </c>
      <c r="G540" s="2" t="s">
        <v>1632</v>
      </c>
      <c r="H540" s="2" t="b">
        <f t="shared" si="8"/>
        <v>1</v>
      </c>
      <c r="I540" s="14" t="str">
        <f>HYPERLINK("https://gerandofalcoes.my.salesforce.com/0034X0000380O2rQAE", "0034X0000380O2rQAE")</f>
        <v>0034X0000380O2rQAE</v>
      </c>
      <c r="J540" s="2" t="s">
        <v>1630</v>
      </c>
      <c r="K540" s="3" t="s">
        <v>1631</v>
      </c>
    </row>
    <row r="541" spans="6:11" ht="12.5" x14ac:dyDescent="0.25">
      <c r="F541" s="2" t="s">
        <v>1632</v>
      </c>
      <c r="G541" s="2" t="s">
        <v>1632</v>
      </c>
      <c r="H541" s="2" t="b">
        <f t="shared" si="8"/>
        <v>1</v>
      </c>
      <c r="I541" s="14" t="str">
        <f>HYPERLINK("https://gerandofalcoes.my.salesforce.com/0034X0000380O44QAE", "0034X0000380O44QAE")</f>
        <v>0034X0000380O44QAE</v>
      </c>
      <c r="J541" s="2" t="s">
        <v>1630</v>
      </c>
      <c r="K541" s="3" t="s">
        <v>1631</v>
      </c>
    </row>
    <row r="542" spans="6:11" ht="12.5" x14ac:dyDescent="0.25">
      <c r="F542" s="2" t="s">
        <v>1632</v>
      </c>
      <c r="G542" s="2" t="s">
        <v>1632</v>
      </c>
      <c r="H542" s="2" t="b">
        <f t="shared" si="8"/>
        <v>1</v>
      </c>
      <c r="I542" s="14" t="str">
        <f>HYPERLINK("https://gerandofalcoes.my.salesforce.com/0034X0000380O6iQAE", "0034X0000380O6iQAE")</f>
        <v>0034X0000380O6iQAE</v>
      </c>
      <c r="J542" s="2" t="s">
        <v>1630</v>
      </c>
      <c r="K542" s="3" t="s">
        <v>1631</v>
      </c>
    </row>
    <row r="543" spans="6:11" ht="12.5" x14ac:dyDescent="0.25">
      <c r="F543" s="2" t="s">
        <v>1632</v>
      </c>
      <c r="G543" s="2" t="s">
        <v>1632</v>
      </c>
      <c r="H543" s="2" t="b">
        <f t="shared" si="8"/>
        <v>1</v>
      </c>
      <c r="I543" s="14" t="str">
        <f>HYPERLINK("https://gerandofalcoes.my.salesforce.com/0034X0000380O6lQAE", "0034X0000380O6lQAE")</f>
        <v>0034X0000380O6lQAE</v>
      </c>
      <c r="J543" s="2" t="s">
        <v>1630</v>
      </c>
      <c r="K543" s="3" t="s">
        <v>1631</v>
      </c>
    </row>
    <row r="544" spans="6:11" ht="12.5" x14ac:dyDescent="0.25">
      <c r="F544" s="2" t="s">
        <v>1632</v>
      </c>
      <c r="G544" s="2" t="s">
        <v>1632</v>
      </c>
      <c r="H544" s="2" t="b">
        <f t="shared" si="8"/>
        <v>1</v>
      </c>
      <c r="I544" s="14" t="str">
        <f>HYPERLINK("https://gerandofalcoes.my.salesforce.com/0034X0000380O0zQAE", "0034X0000380O0zQAE")</f>
        <v>0034X0000380O0zQAE</v>
      </c>
      <c r="J544" s="2" t="s">
        <v>1630</v>
      </c>
      <c r="K544" s="3" t="s">
        <v>1631</v>
      </c>
    </row>
    <row r="545" spans="6:11" ht="12.5" x14ac:dyDescent="0.25">
      <c r="F545" s="2" t="s">
        <v>1632</v>
      </c>
      <c r="G545" s="2" t="s">
        <v>1632</v>
      </c>
      <c r="H545" s="2" t="b">
        <f t="shared" si="8"/>
        <v>1</v>
      </c>
      <c r="I545" s="14" t="str">
        <f>HYPERLINK("https://gerandofalcoes.my.salesforce.com/0034X0000380O2EQAU", "0034X0000380O2EQAU")</f>
        <v>0034X0000380O2EQAU</v>
      </c>
      <c r="J545" s="2" t="s">
        <v>1630</v>
      </c>
      <c r="K545" s="3" t="s">
        <v>1631</v>
      </c>
    </row>
    <row r="546" spans="6:11" ht="12.5" x14ac:dyDescent="0.25">
      <c r="F546" s="2" t="s">
        <v>1632</v>
      </c>
      <c r="G546" s="2" t="s">
        <v>1632</v>
      </c>
      <c r="H546" s="2" t="b">
        <f t="shared" si="8"/>
        <v>1</v>
      </c>
      <c r="I546" s="14" t="str">
        <f>HYPERLINK("https://gerandofalcoes.my.salesforce.com/0034P000045kxiAQAQ", "0034P000045kxiAQAQ")</f>
        <v>0034P000045kxiAQAQ</v>
      </c>
      <c r="J546" s="2" t="s">
        <v>1630</v>
      </c>
      <c r="K546" s="3" t="s">
        <v>1631</v>
      </c>
    </row>
    <row r="547" spans="6:11" ht="12.5" x14ac:dyDescent="0.25">
      <c r="F547" s="2" t="s">
        <v>1632</v>
      </c>
      <c r="G547" s="2" t="s">
        <v>1632</v>
      </c>
      <c r="H547" s="2" t="b">
        <f t="shared" si="8"/>
        <v>1</v>
      </c>
      <c r="I547" s="14" t="str">
        <f>HYPERLINK("https://gerandofalcoes.my.salesforce.com/0034X0000380O5yQAE", "0034X0000380O5yQAE")</f>
        <v>0034X0000380O5yQAE</v>
      </c>
      <c r="J547" s="2" t="s">
        <v>1630</v>
      </c>
      <c r="K547" s="3" t="s">
        <v>1631</v>
      </c>
    </row>
    <row r="548" spans="6:11" ht="12.5" x14ac:dyDescent="0.25">
      <c r="F548" s="2" t="s">
        <v>1632</v>
      </c>
      <c r="G548" s="2" t="s">
        <v>1632</v>
      </c>
      <c r="H548" s="2" t="b">
        <f t="shared" si="8"/>
        <v>1</v>
      </c>
      <c r="I548" s="14" t="str">
        <f>HYPERLINK("https://gerandofalcoes.my.salesforce.com/0034X0000380O6VQAU", "0034X0000380O6VQAU")</f>
        <v>0034X0000380O6VQAU</v>
      </c>
      <c r="J548" s="2" t="s">
        <v>1630</v>
      </c>
      <c r="K548" s="3" t="s">
        <v>1631</v>
      </c>
    </row>
    <row r="549" spans="6:11" ht="12.5" x14ac:dyDescent="0.25">
      <c r="F549" s="2" t="s">
        <v>1632</v>
      </c>
      <c r="G549" s="2" t="s">
        <v>1632</v>
      </c>
      <c r="H549" s="2" t="b">
        <f t="shared" si="8"/>
        <v>1</v>
      </c>
      <c r="I549" s="14" t="str">
        <f>HYPERLINK("https://gerandofalcoes.my.salesforce.com/0034X0000315PQvQAM", "0034X0000315PQvQAM")</f>
        <v>0034X0000315PQvQAM</v>
      </c>
      <c r="J549" s="2" t="s">
        <v>1630</v>
      </c>
      <c r="K549" s="3" t="s">
        <v>1631</v>
      </c>
    </row>
    <row r="550" spans="6:11" ht="12.5" x14ac:dyDescent="0.25">
      <c r="F550" s="2" t="s">
        <v>1632</v>
      </c>
      <c r="G550" s="2" t="s">
        <v>1632</v>
      </c>
      <c r="H550" s="2" t="b">
        <f t="shared" si="8"/>
        <v>1</v>
      </c>
      <c r="I550" s="14" t="str">
        <f>HYPERLINK("https://gerandofalcoes.my.salesforce.com/0034X0000380O6cQAE", "0034X0000380O6cQAE")</f>
        <v>0034X0000380O6cQAE</v>
      </c>
      <c r="J550" s="2" t="s">
        <v>1630</v>
      </c>
      <c r="K550" s="3" t="s">
        <v>1631</v>
      </c>
    </row>
    <row r="551" spans="6:11" ht="12.5" x14ac:dyDescent="0.25">
      <c r="F551" s="2" t="s">
        <v>1632</v>
      </c>
      <c r="G551" s="2" t="s">
        <v>1632</v>
      </c>
      <c r="H551" s="2" t="b">
        <f t="shared" si="8"/>
        <v>1</v>
      </c>
      <c r="I551" s="14" t="str">
        <f>HYPERLINK("https://gerandofalcoes.my.salesforce.com/0034P00003maBV3QAM", "0034P00003maBV3QAM")</f>
        <v>0034P00003maBV3QAM</v>
      </c>
      <c r="J551" s="2" t="s">
        <v>1630</v>
      </c>
      <c r="K551" s="3" t="s">
        <v>1631</v>
      </c>
    </row>
    <row r="552" spans="6:11" ht="12.5" x14ac:dyDescent="0.25">
      <c r="F552" s="2" t="s">
        <v>1632</v>
      </c>
      <c r="G552" s="2" t="s">
        <v>1632</v>
      </c>
      <c r="H552" s="2" t="b">
        <f t="shared" si="8"/>
        <v>1</v>
      </c>
      <c r="I552" s="14" t="str">
        <f>HYPERLINK("https://gerandofalcoes.my.salesforce.com/0034X0000380O4JQAU", "0034X0000380O4JQAU")</f>
        <v>0034X0000380O4JQAU</v>
      </c>
      <c r="J552" s="2" t="s">
        <v>1630</v>
      </c>
      <c r="K552" s="3" t="s">
        <v>1631</v>
      </c>
    </row>
    <row r="553" spans="6:11" ht="12.5" x14ac:dyDescent="0.25">
      <c r="F553" s="2" t="s">
        <v>1632</v>
      </c>
      <c r="G553" s="2" t="s">
        <v>1632</v>
      </c>
      <c r="H553" s="2" t="b">
        <f t="shared" si="8"/>
        <v>1</v>
      </c>
      <c r="I553" s="14" t="str">
        <f>HYPERLINK("https://gerandofalcoes.my.salesforce.com/0034X0000380O4zQAE", "0034X0000380O4zQAE")</f>
        <v>0034X0000380O4zQAE</v>
      </c>
      <c r="J553" s="2" t="s">
        <v>1630</v>
      </c>
      <c r="K553" s="3" t="s">
        <v>1631</v>
      </c>
    </row>
    <row r="554" spans="6:11" ht="12.5" x14ac:dyDescent="0.25">
      <c r="F554" s="2" t="s">
        <v>1632</v>
      </c>
      <c r="G554" s="2" t="s">
        <v>1632</v>
      </c>
      <c r="H554" s="2" t="b">
        <f t="shared" si="8"/>
        <v>1</v>
      </c>
      <c r="I554" s="14" t="str">
        <f>HYPERLINK("https://gerandofalcoes.my.salesforce.com/0034X0000380O1OQAU", "0034X0000380O1OQAU")</f>
        <v>0034X0000380O1OQAU</v>
      </c>
      <c r="J554" s="2" t="s">
        <v>1630</v>
      </c>
      <c r="K554" s="3" t="s">
        <v>1631</v>
      </c>
    </row>
    <row r="555" spans="6:11" ht="12.5" x14ac:dyDescent="0.25">
      <c r="F555" s="2" t="s">
        <v>1632</v>
      </c>
      <c r="G555" s="2" t="s">
        <v>1632</v>
      </c>
      <c r="H555" s="2" t="b">
        <f t="shared" si="8"/>
        <v>1</v>
      </c>
      <c r="I555" s="14" t="str">
        <f>HYPERLINK("https://gerandofalcoes.my.salesforce.com/0034X000032Hs7KQAS", "0034X000032Hs7KQAS")</f>
        <v>0034X000032Hs7KQAS</v>
      </c>
      <c r="J555" s="2" t="s">
        <v>1630</v>
      </c>
      <c r="K555" s="3" t="s">
        <v>1631</v>
      </c>
    </row>
    <row r="556" spans="6:11" ht="12.5" x14ac:dyDescent="0.25">
      <c r="F556" s="2" t="s">
        <v>1632</v>
      </c>
      <c r="G556" s="2" t="s">
        <v>1632</v>
      </c>
      <c r="H556" s="2" t="b">
        <f t="shared" si="8"/>
        <v>1</v>
      </c>
      <c r="I556" s="14" t="str">
        <f>HYPERLINK("https://gerandofalcoes.my.salesforce.com/0034P00003tZGGoQAO", "0034P00003tZGGoQAO")</f>
        <v>0034P00003tZGGoQAO</v>
      </c>
      <c r="J556" s="2" t="s">
        <v>1630</v>
      </c>
      <c r="K556" s="3" t="s">
        <v>1631</v>
      </c>
    </row>
    <row r="557" spans="6:11" ht="12.5" x14ac:dyDescent="0.25">
      <c r="F557" s="2" t="s">
        <v>1632</v>
      </c>
      <c r="G557" s="2" t="s">
        <v>1632</v>
      </c>
      <c r="H557" s="2" t="b">
        <f t="shared" si="8"/>
        <v>1</v>
      </c>
      <c r="I557" s="14" t="str">
        <f>HYPERLINK("https://gerandofalcoes.my.salesforce.com/0034X0000380O6XQAU", "0034X0000380O6XQAU")</f>
        <v>0034X0000380O6XQAU</v>
      </c>
      <c r="J557" s="2" t="s">
        <v>1630</v>
      </c>
      <c r="K557" s="3" t="s">
        <v>1631</v>
      </c>
    </row>
    <row r="558" spans="6:11" ht="12.5" x14ac:dyDescent="0.25">
      <c r="F558" s="2" t="s">
        <v>1632</v>
      </c>
      <c r="G558" s="2" t="s">
        <v>1632</v>
      </c>
      <c r="H558" s="2" t="b">
        <f t="shared" si="8"/>
        <v>1</v>
      </c>
      <c r="I558" s="14" t="str">
        <f>HYPERLINK("https://gerandofalcoes.my.salesforce.com/0034X0000380O5CQAU", "0034X0000380O5CQAU")</f>
        <v>0034X0000380O5CQAU</v>
      </c>
      <c r="J558" s="2" t="s">
        <v>1630</v>
      </c>
      <c r="K558" s="3" t="s">
        <v>1631</v>
      </c>
    </row>
    <row r="559" spans="6:11" ht="12.5" x14ac:dyDescent="0.25">
      <c r="F559" s="2" t="s">
        <v>1632</v>
      </c>
      <c r="G559" s="2" t="s">
        <v>1632</v>
      </c>
      <c r="H559" s="2" t="b">
        <f t="shared" si="8"/>
        <v>1</v>
      </c>
      <c r="I559" s="14" t="str">
        <f>HYPERLINK("https://gerandofalcoes.my.salesforce.com/0034X0000315PR3QAM", "0034X0000315PR3QAM")</f>
        <v>0034X0000315PR3QAM</v>
      </c>
      <c r="J559" s="2" t="s">
        <v>1630</v>
      </c>
      <c r="K559" s="3" t="s">
        <v>1631</v>
      </c>
    </row>
    <row r="560" spans="6:11" ht="12.5" x14ac:dyDescent="0.25">
      <c r="F560" s="2" t="s">
        <v>1632</v>
      </c>
      <c r="G560" s="2" t="s">
        <v>1632</v>
      </c>
      <c r="H560" s="2" t="b">
        <f t="shared" si="8"/>
        <v>1</v>
      </c>
      <c r="I560" s="14" t="str">
        <f>HYPERLINK("https://gerandofalcoes.my.salesforce.com/0034X0000380O2pQAE", "0034X0000380O2pQAE")</f>
        <v>0034X0000380O2pQAE</v>
      </c>
      <c r="J560" s="2" t="s">
        <v>1630</v>
      </c>
      <c r="K560" s="3" t="s">
        <v>1631</v>
      </c>
    </row>
    <row r="561" spans="6:11" ht="12.5" x14ac:dyDescent="0.25">
      <c r="F561" s="2" t="s">
        <v>1632</v>
      </c>
      <c r="G561" s="2" t="s">
        <v>1632</v>
      </c>
      <c r="H561" s="2" t="b">
        <f t="shared" si="8"/>
        <v>1</v>
      </c>
      <c r="I561" s="14" t="str">
        <f>HYPERLINK("https://gerandofalcoes.my.salesforce.com/0034X0000380O2IQAU", "0034X0000380O2IQAU")</f>
        <v>0034X0000380O2IQAU</v>
      </c>
      <c r="J561" s="2" t="s">
        <v>1630</v>
      </c>
      <c r="K561" s="3" t="s">
        <v>1631</v>
      </c>
    </row>
    <row r="562" spans="6:11" ht="12.5" x14ac:dyDescent="0.25">
      <c r="F562" s="2" t="s">
        <v>1632</v>
      </c>
      <c r="G562" s="2" t="s">
        <v>1632</v>
      </c>
      <c r="H562" s="2" t="b">
        <f t="shared" si="8"/>
        <v>1</v>
      </c>
      <c r="I562" s="14" t="str">
        <f>HYPERLINK("https://gerandofalcoes.my.salesforce.com/0034X0000380O4dQAE", "0034X0000380O4dQAE")</f>
        <v>0034X0000380O4dQAE</v>
      </c>
      <c r="J562" s="2" t="s">
        <v>1630</v>
      </c>
      <c r="K562" s="3" t="s">
        <v>1631</v>
      </c>
    </row>
    <row r="563" spans="6:11" ht="12.5" x14ac:dyDescent="0.25">
      <c r="F563" s="2" t="s">
        <v>1632</v>
      </c>
      <c r="G563" s="2" t="s">
        <v>1632</v>
      </c>
      <c r="H563" s="2" t="b">
        <f t="shared" si="8"/>
        <v>1</v>
      </c>
      <c r="I563" s="14" t="str">
        <f>HYPERLINK("https://gerandofalcoes.my.salesforce.com/0034P000043fOoHQAU", "0034P000043fOoHQAU")</f>
        <v>0034P000043fOoHQAU</v>
      </c>
      <c r="J563" s="2" t="s">
        <v>1630</v>
      </c>
      <c r="K563" s="3" t="s">
        <v>1631</v>
      </c>
    </row>
    <row r="564" spans="6:11" ht="12.5" x14ac:dyDescent="0.25">
      <c r="F564" s="2" t="s">
        <v>1632</v>
      </c>
      <c r="G564" s="2" t="s">
        <v>1632</v>
      </c>
      <c r="H564" s="2" t="b">
        <f t="shared" si="8"/>
        <v>1</v>
      </c>
      <c r="I564" s="14" t="str">
        <f>HYPERLINK("https://gerandofalcoes.my.salesforce.com/0034X0000380O4DQAU", "0034X0000380O4DQAU")</f>
        <v>0034X0000380O4DQAU</v>
      </c>
      <c r="J564" s="2" t="s">
        <v>1630</v>
      </c>
      <c r="K564" s="3" t="s">
        <v>1631</v>
      </c>
    </row>
    <row r="565" spans="6:11" ht="12.5" x14ac:dyDescent="0.25">
      <c r="F565" s="2" t="s">
        <v>1632</v>
      </c>
      <c r="G565" s="2" t="s">
        <v>1632</v>
      </c>
      <c r="H565" s="2" t="b">
        <f t="shared" si="8"/>
        <v>1</v>
      </c>
      <c r="I565" s="14" t="str">
        <f>HYPERLINK("https://gerandofalcoes.my.salesforce.com/0034P000045kxjCQAQ", "0034P000045kxjCQAQ")</f>
        <v>0034P000045kxjCQAQ</v>
      </c>
      <c r="J565" s="2" t="s">
        <v>1630</v>
      </c>
      <c r="K565" s="3" t="s">
        <v>1631</v>
      </c>
    </row>
    <row r="566" spans="6:11" ht="12.5" x14ac:dyDescent="0.25">
      <c r="F566" s="2" t="s">
        <v>1632</v>
      </c>
      <c r="G566" s="2" t="s">
        <v>1632</v>
      </c>
      <c r="H566" s="2" t="b">
        <f t="shared" si="8"/>
        <v>1</v>
      </c>
      <c r="I566" s="14" t="str">
        <f>HYPERLINK("https://gerandofalcoes.my.salesforce.com/0034P00003maBVTQA2", "0034P00003maBVTQA2")</f>
        <v>0034P00003maBVTQA2</v>
      </c>
      <c r="J566" s="2" t="s">
        <v>1630</v>
      </c>
      <c r="K566" s="3" t="s">
        <v>1631</v>
      </c>
    </row>
    <row r="567" spans="6:11" ht="12.5" x14ac:dyDescent="0.25">
      <c r="F567" s="2" t="s">
        <v>1632</v>
      </c>
      <c r="G567" s="2" t="s">
        <v>1632</v>
      </c>
      <c r="H567" s="2" t="b">
        <f t="shared" si="8"/>
        <v>1</v>
      </c>
      <c r="I567" s="14" t="str">
        <f>HYPERLINK("https://gerandofalcoes.my.salesforce.com/0034X0000380O6aQAE", "0034X0000380O6aQAE")</f>
        <v>0034X0000380O6aQAE</v>
      </c>
      <c r="J567" s="2" t="s">
        <v>1630</v>
      </c>
      <c r="K567" s="3" t="s">
        <v>1631</v>
      </c>
    </row>
    <row r="568" spans="6:11" ht="12.5" x14ac:dyDescent="0.25">
      <c r="F568" s="2" t="s">
        <v>1632</v>
      </c>
      <c r="G568" s="2" t="s">
        <v>1632</v>
      </c>
      <c r="H568" s="2" t="b">
        <f t="shared" si="8"/>
        <v>1</v>
      </c>
      <c r="I568" s="14" t="str">
        <f>HYPERLINK("https://gerandofalcoes.my.salesforce.com/0034X0000380O0jQAE", "0034X0000380O0jQAE")</f>
        <v>0034X0000380O0jQAE</v>
      </c>
      <c r="J568" s="2" t="s">
        <v>1630</v>
      </c>
      <c r="K568" s="3" t="s">
        <v>1631</v>
      </c>
    </row>
    <row r="569" spans="6:11" ht="12.5" x14ac:dyDescent="0.25">
      <c r="F569" s="2" t="s">
        <v>1632</v>
      </c>
      <c r="G569" s="2" t="s">
        <v>1632</v>
      </c>
      <c r="H569" s="2" t="b">
        <f t="shared" si="8"/>
        <v>1</v>
      </c>
      <c r="I569" s="14" t="str">
        <f>HYPERLINK("https://gerandofalcoes.my.salesforce.com/0034P000045kxjFQAQ", "0034P000045kxjFQAQ")</f>
        <v>0034P000045kxjFQAQ</v>
      </c>
      <c r="J569" s="2" t="s">
        <v>1630</v>
      </c>
      <c r="K569" s="3" t="s">
        <v>1631</v>
      </c>
    </row>
    <row r="570" spans="6:11" ht="12.5" x14ac:dyDescent="0.25">
      <c r="F570" s="2" t="s">
        <v>1632</v>
      </c>
      <c r="G570" s="2" t="s">
        <v>1632</v>
      </c>
      <c r="H570" s="2" t="b">
        <f t="shared" si="8"/>
        <v>1</v>
      </c>
      <c r="I570" s="14" t="str">
        <f>HYPERLINK("https://gerandofalcoes.my.salesforce.com/0034P000045kxkMQAQ", "0034P000045kxkMQAQ")</f>
        <v>0034P000045kxkMQAQ</v>
      </c>
      <c r="J570" s="2" t="s">
        <v>1630</v>
      </c>
      <c r="K570" s="3" t="s">
        <v>1631</v>
      </c>
    </row>
    <row r="571" spans="6:11" ht="12.5" x14ac:dyDescent="0.25">
      <c r="F571" s="2" t="s">
        <v>1632</v>
      </c>
      <c r="G571" s="2" t="s">
        <v>1632</v>
      </c>
      <c r="H571" s="2" t="b">
        <f t="shared" si="8"/>
        <v>1</v>
      </c>
      <c r="I571" s="14" t="str">
        <f>HYPERLINK("https://gerandofalcoes.my.salesforce.com/0034P00003maBV7QAM", "0034P00003maBV7QAM")</f>
        <v>0034P00003maBV7QAM</v>
      </c>
      <c r="J571" s="2" t="s">
        <v>1630</v>
      </c>
      <c r="K571" s="3" t="s">
        <v>1631</v>
      </c>
    </row>
    <row r="572" spans="6:11" ht="12.5" x14ac:dyDescent="0.25">
      <c r="F572" s="2" t="s">
        <v>1632</v>
      </c>
      <c r="G572" s="2" t="s">
        <v>1632</v>
      </c>
      <c r="H572" s="2" t="b">
        <f t="shared" si="8"/>
        <v>1</v>
      </c>
      <c r="I572" s="14" t="str">
        <f>HYPERLINK("https://gerandofalcoes.my.salesforce.com/0034P00003maBVtQAM", "0034P00003maBVtQAM")</f>
        <v>0034P00003maBVtQAM</v>
      </c>
      <c r="J572" s="2" t="s">
        <v>1630</v>
      </c>
      <c r="K572" s="3" t="s">
        <v>1631</v>
      </c>
    </row>
    <row r="573" spans="6:11" ht="12.5" x14ac:dyDescent="0.25">
      <c r="F573" s="2" t="s">
        <v>1632</v>
      </c>
      <c r="G573" s="2" t="s">
        <v>1632</v>
      </c>
      <c r="H573" s="2" t="b">
        <f t="shared" si="8"/>
        <v>1</v>
      </c>
      <c r="I573" s="14" t="str">
        <f>HYPERLINK("https://gerandofalcoes.my.salesforce.com/0034X0000380O4BQAU", "0034X0000380O4BQAU")</f>
        <v>0034X0000380O4BQAU</v>
      </c>
      <c r="J573" s="2" t="s">
        <v>1630</v>
      </c>
      <c r="K573" s="3" t="s">
        <v>1631</v>
      </c>
    </row>
    <row r="574" spans="6:11" ht="12.5" x14ac:dyDescent="0.25">
      <c r="F574" s="2" t="s">
        <v>1632</v>
      </c>
      <c r="G574" s="2" t="s">
        <v>1632</v>
      </c>
      <c r="H574" s="2" t="b">
        <f t="shared" si="8"/>
        <v>1</v>
      </c>
      <c r="I574" s="14" t="str">
        <f>HYPERLINK("https://gerandofalcoes.my.salesforce.com/0034X0000380O38QAE", "0034X0000380O38QAE")</f>
        <v>0034X0000380O38QAE</v>
      </c>
      <c r="J574" s="2" t="s">
        <v>1630</v>
      </c>
      <c r="K574" s="3" t="s">
        <v>1631</v>
      </c>
    </row>
    <row r="575" spans="6:11" ht="12.5" x14ac:dyDescent="0.25">
      <c r="F575" s="2" t="s">
        <v>1632</v>
      </c>
      <c r="G575" s="2" t="s">
        <v>1632</v>
      </c>
      <c r="H575" s="2" t="b">
        <f t="shared" si="8"/>
        <v>1</v>
      </c>
      <c r="I575" s="14" t="str">
        <f>HYPERLINK("https://gerandofalcoes.my.salesforce.com/0034X0000380O49QAE", "0034X0000380O49QAE")</f>
        <v>0034X0000380O49QAE</v>
      </c>
      <c r="J575" s="2" t="s">
        <v>1630</v>
      </c>
      <c r="K575" s="3" t="s">
        <v>1631</v>
      </c>
    </row>
    <row r="576" spans="6:11" ht="12.5" x14ac:dyDescent="0.25">
      <c r="F576" s="2" t="s">
        <v>1632</v>
      </c>
      <c r="G576" s="2" t="s">
        <v>1632</v>
      </c>
      <c r="H576" s="2" t="b">
        <f t="shared" si="8"/>
        <v>1</v>
      </c>
      <c r="I576" s="14" t="str">
        <f>HYPERLINK("https://gerandofalcoes.my.salesforce.com/0034X0000380O4QQAU", "0034X0000380O4QQAU")</f>
        <v>0034X0000380O4QQAU</v>
      </c>
      <c r="J576" s="2" t="s">
        <v>1630</v>
      </c>
      <c r="K576" s="3" t="s">
        <v>1631</v>
      </c>
    </row>
    <row r="577" spans="6:11" ht="12.5" x14ac:dyDescent="0.25">
      <c r="F577" s="2" t="s">
        <v>1632</v>
      </c>
      <c r="G577" s="2" t="s">
        <v>1632</v>
      </c>
      <c r="H577" s="2" t="b">
        <f t="shared" si="8"/>
        <v>1</v>
      </c>
      <c r="I577" s="14" t="str">
        <f>HYPERLINK("https://gerandofalcoes.my.salesforce.com/0034X0000380O2DQAU", "0034X0000380O2DQAU")</f>
        <v>0034X0000380O2DQAU</v>
      </c>
      <c r="J577" s="2" t="s">
        <v>1630</v>
      </c>
      <c r="K577" s="3" t="s">
        <v>1631</v>
      </c>
    </row>
    <row r="578" spans="6:11" ht="12.5" x14ac:dyDescent="0.25">
      <c r="F578" s="2" t="s">
        <v>1632</v>
      </c>
      <c r="G578" s="2" t="s">
        <v>1632</v>
      </c>
      <c r="H578" s="2" t="b">
        <f t="shared" ref="H578:H600" si="9">G578=B578</f>
        <v>1</v>
      </c>
      <c r="I578" s="14" t="str">
        <f>HYPERLINK("https://gerandofalcoes.my.salesforce.com/0034P000045kxidQAA", "0034P000045kxidQAA")</f>
        <v>0034P000045kxidQAA</v>
      </c>
      <c r="J578" s="2" t="s">
        <v>1630</v>
      </c>
      <c r="K578" s="3" t="s">
        <v>1631</v>
      </c>
    </row>
    <row r="579" spans="6:11" ht="12.5" x14ac:dyDescent="0.25">
      <c r="F579" s="2" t="s">
        <v>1632</v>
      </c>
      <c r="G579" s="2" t="s">
        <v>1632</v>
      </c>
      <c r="H579" s="2" t="b">
        <f t="shared" si="9"/>
        <v>1</v>
      </c>
      <c r="I579" s="14" t="str">
        <f>HYPERLINK("https://gerandofalcoes.my.salesforce.com/0034X0000380O14QAE", "0034X0000380O14QAE")</f>
        <v>0034X0000380O14QAE</v>
      </c>
      <c r="J579" s="2" t="s">
        <v>1630</v>
      </c>
      <c r="K579" s="3" t="s">
        <v>1631</v>
      </c>
    </row>
    <row r="580" spans="6:11" ht="12.5" x14ac:dyDescent="0.25">
      <c r="F580" s="2" t="s">
        <v>1632</v>
      </c>
      <c r="G580" s="2" t="s">
        <v>1632</v>
      </c>
      <c r="H580" s="2" t="b">
        <f t="shared" si="9"/>
        <v>1</v>
      </c>
      <c r="I580" s="14" t="str">
        <f>HYPERLINK("https://gerandofalcoes.my.salesforce.com/0034X0000380O1PQAU", "0034X0000380O1PQAU")</f>
        <v>0034X0000380O1PQAU</v>
      </c>
      <c r="J580" s="2" t="s">
        <v>1630</v>
      </c>
      <c r="K580" s="3" t="s">
        <v>1631</v>
      </c>
    </row>
    <row r="581" spans="6:11" ht="12.5" x14ac:dyDescent="0.25">
      <c r="F581" s="2" t="s">
        <v>1632</v>
      </c>
      <c r="G581" s="2" t="s">
        <v>1632</v>
      </c>
      <c r="H581" s="2" t="b">
        <f t="shared" si="9"/>
        <v>1</v>
      </c>
      <c r="I581" s="14" t="str">
        <f>HYPERLINK("https://gerandofalcoes.my.salesforce.com/0034X0000380O6pQAE", "0034X0000380O6pQAE")</f>
        <v>0034X0000380O6pQAE</v>
      </c>
      <c r="J581" s="2" t="s">
        <v>1630</v>
      </c>
      <c r="K581" s="3" t="s">
        <v>1631</v>
      </c>
    </row>
    <row r="582" spans="6:11" ht="12.5" x14ac:dyDescent="0.25">
      <c r="F582" s="2" t="s">
        <v>1632</v>
      </c>
      <c r="G582" s="2" t="s">
        <v>1632</v>
      </c>
      <c r="H582" s="2" t="b">
        <f t="shared" si="9"/>
        <v>1</v>
      </c>
      <c r="I582" s="14" t="str">
        <f>HYPERLINK("https://gerandofalcoes.my.salesforce.com/0034X0000380O0fQAE", "0034X0000380O0fQAE")</f>
        <v>0034X0000380O0fQAE</v>
      </c>
      <c r="J582" s="2" t="s">
        <v>1630</v>
      </c>
      <c r="K582" s="3" t="s">
        <v>1631</v>
      </c>
    </row>
    <row r="583" spans="6:11" ht="12.5" x14ac:dyDescent="0.25">
      <c r="F583" s="2" t="s">
        <v>1632</v>
      </c>
      <c r="G583" s="2" t="s">
        <v>1632</v>
      </c>
      <c r="H583" s="2" t="b">
        <f t="shared" si="9"/>
        <v>1</v>
      </c>
      <c r="I583" s="14" t="str">
        <f>HYPERLINK("https://gerandofalcoes.my.salesforce.com/0034X0000380O6SQAU", "0034X0000380O6SQAU")</f>
        <v>0034X0000380O6SQAU</v>
      </c>
      <c r="J583" s="2" t="s">
        <v>1630</v>
      </c>
      <c r="K583" s="3" t="s">
        <v>1631</v>
      </c>
    </row>
    <row r="584" spans="6:11" ht="12.5" x14ac:dyDescent="0.25">
      <c r="F584" s="2" t="s">
        <v>1632</v>
      </c>
      <c r="G584" s="2" t="s">
        <v>1632</v>
      </c>
      <c r="H584" s="2" t="b">
        <f t="shared" si="9"/>
        <v>1</v>
      </c>
      <c r="I584" s="14" t="str">
        <f>HYPERLINK("https://gerandofalcoes.my.salesforce.com/0034X0000380O6UQAU", "0034X0000380O6UQAU")</f>
        <v>0034X0000380O6UQAU</v>
      </c>
      <c r="J584" s="2" t="s">
        <v>1630</v>
      </c>
      <c r="K584" s="3" t="s">
        <v>1631</v>
      </c>
    </row>
    <row r="585" spans="6:11" ht="12.5" x14ac:dyDescent="0.25">
      <c r="F585" s="2" t="s">
        <v>1632</v>
      </c>
      <c r="G585" s="2" t="s">
        <v>1632</v>
      </c>
      <c r="H585" s="2" t="b">
        <f t="shared" si="9"/>
        <v>1</v>
      </c>
      <c r="I585" s="14" t="str">
        <f>HYPERLINK("https://gerandofalcoes.my.salesforce.com/0034X0000380O4GQAU", "0034X0000380O4GQAU")</f>
        <v>0034X0000380O4GQAU</v>
      </c>
      <c r="J585" s="2" t="s">
        <v>1630</v>
      </c>
      <c r="K585" s="3" t="s">
        <v>1631</v>
      </c>
    </row>
    <row r="586" spans="6:11" ht="12.5" x14ac:dyDescent="0.25">
      <c r="F586" s="2" t="s">
        <v>1632</v>
      </c>
      <c r="G586" s="2" t="s">
        <v>1632</v>
      </c>
      <c r="H586" s="2" t="b">
        <f t="shared" si="9"/>
        <v>1</v>
      </c>
      <c r="I586" s="14" t="str">
        <f>HYPERLINK("https://gerandofalcoes.my.salesforce.com/0034X0000380O1AQAU", "0034X0000380O1AQAU")</f>
        <v>0034X0000380O1AQAU</v>
      </c>
      <c r="J586" s="2" t="s">
        <v>1630</v>
      </c>
      <c r="K586" s="3" t="s">
        <v>1631</v>
      </c>
    </row>
    <row r="587" spans="6:11" ht="12.5" x14ac:dyDescent="0.25">
      <c r="F587" s="2" t="s">
        <v>1632</v>
      </c>
      <c r="G587" s="2" t="s">
        <v>1632</v>
      </c>
      <c r="H587" s="2" t="b">
        <f t="shared" si="9"/>
        <v>1</v>
      </c>
      <c r="I587" s="14" t="str">
        <f>HYPERLINK("https://gerandofalcoes.my.salesforce.com/0034P000045kxjSQAQ", "0034P000045kxjSQAQ")</f>
        <v>0034P000045kxjSQAQ</v>
      </c>
      <c r="J587" s="2" t="s">
        <v>1630</v>
      </c>
      <c r="K587" s="3" t="s">
        <v>1631</v>
      </c>
    </row>
    <row r="588" spans="6:11" ht="12.5" x14ac:dyDescent="0.25">
      <c r="F588" s="2" t="s">
        <v>1632</v>
      </c>
      <c r="G588" s="2" t="s">
        <v>1632</v>
      </c>
      <c r="H588" s="2" t="b">
        <f t="shared" si="9"/>
        <v>1</v>
      </c>
      <c r="I588" s="14" t="str">
        <f>HYPERLINK("https://gerandofalcoes.my.salesforce.com/0034X0000380O6GQAU", "0034X0000380O6GQAU")</f>
        <v>0034X0000380O6GQAU</v>
      </c>
      <c r="J588" s="2" t="s">
        <v>1630</v>
      </c>
      <c r="K588" s="3" t="s">
        <v>1631</v>
      </c>
    </row>
    <row r="589" spans="6:11" ht="12.5" x14ac:dyDescent="0.25">
      <c r="F589" s="2" t="s">
        <v>1632</v>
      </c>
      <c r="G589" s="2" t="s">
        <v>1632</v>
      </c>
      <c r="H589" s="2" t="b">
        <f t="shared" si="9"/>
        <v>1</v>
      </c>
      <c r="I589" s="14" t="str">
        <f>HYPERLINK("https://gerandofalcoes.my.salesforce.com/0034X0000380O1VQAU", "0034X0000380O1VQAU")</f>
        <v>0034X0000380O1VQAU</v>
      </c>
      <c r="J589" s="2" t="s">
        <v>1630</v>
      </c>
      <c r="K589" s="3" t="s">
        <v>1631</v>
      </c>
    </row>
    <row r="590" spans="6:11" ht="12.5" x14ac:dyDescent="0.25">
      <c r="F590" s="2" t="s">
        <v>1632</v>
      </c>
      <c r="G590" s="2" t="s">
        <v>1632</v>
      </c>
      <c r="H590" s="2" t="b">
        <f t="shared" si="9"/>
        <v>1</v>
      </c>
      <c r="I590" s="14" t="str">
        <f>HYPERLINK("https://gerandofalcoes.my.salesforce.com/0034X0000380O39QAE", "0034X0000380O39QAE")</f>
        <v>0034X0000380O39QAE</v>
      </c>
      <c r="J590" s="2" t="s">
        <v>1630</v>
      </c>
      <c r="K590" s="3" t="s">
        <v>1631</v>
      </c>
    </row>
    <row r="591" spans="6:11" ht="12.5" x14ac:dyDescent="0.25">
      <c r="F591" s="2" t="s">
        <v>1632</v>
      </c>
      <c r="G591" s="2" t="s">
        <v>1632</v>
      </c>
      <c r="H591" s="2" t="b">
        <f t="shared" si="9"/>
        <v>1</v>
      </c>
      <c r="I591" s="14" t="str">
        <f>HYPERLINK("https://gerandofalcoes.my.salesforce.com/0034X0000380O1zQAE", "0034X0000380O1zQAE")</f>
        <v>0034X0000380O1zQAE</v>
      </c>
      <c r="J591" s="2" t="s">
        <v>1630</v>
      </c>
      <c r="K591" s="3" t="s">
        <v>1631</v>
      </c>
    </row>
    <row r="592" spans="6:11" ht="12.5" x14ac:dyDescent="0.25">
      <c r="F592" s="2" t="s">
        <v>1632</v>
      </c>
      <c r="G592" s="2" t="s">
        <v>1632</v>
      </c>
      <c r="H592" s="2" t="b">
        <f t="shared" si="9"/>
        <v>1</v>
      </c>
      <c r="I592" s="14" t="str">
        <f>HYPERLINK("https://gerandofalcoes.my.salesforce.com/0034P000045kxkiQAA", "0034P000045kxkiQAA")</f>
        <v>0034P000045kxkiQAA</v>
      </c>
      <c r="J592" s="2" t="s">
        <v>1630</v>
      </c>
      <c r="K592" s="3" t="s">
        <v>1631</v>
      </c>
    </row>
    <row r="593" spans="6:11" ht="12.5" x14ac:dyDescent="0.25">
      <c r="F593" s="2" t="s">
        <v>1632</v>
      </c>
      <c r="G593" s="2" t="s">
        <v>1632</v>
      </c>
      <c r="H593" s="2" t="b">
        <f t="shared" si="9"/>
        <v>1</v>
      </c>
      <c r="I593" s="14" t="str">
        <f>HYPERLINK("https://gerandofalcoes.my.salesforce.com/0034X0000315PQyQAM", "0034X0000315PQyQAM")</f>
        <v>0034X0000315PQyQAM</v>
      </c>
      <c r="J593" s="2" t="s">
        <v>1630</v>
      </c>
      <c r="K593" s="3" t="s">
        <v>1631</v>
      </c>
    </row>
    <row r="594" spans="6:11" ht="12.5" x14ac:dyDescent="0.25">
      <c r="F594" s="2" t="s">
        <v>1632</v>
      </c>
      <c r="G594" s="2" t="s">
        <v>1632</v>
      </c>
      <c r="H594" s="2" t="b">
        <f t="shared" si="9"/>
        <v>1</v>
      </c>
      <c r="I594" s="14" t="str">
        <f>HYPERLINK("https://gerandofalcoes.my.salesforce.com/0034P00003maBVkQAM", "0034P00003maBVkQAM")</f>
        <v>0034P00003maBVkQAM</v>
      </c>
      <c r="J594" s="2" t="s">
        <v>1630</v>
      </c>
      <c r="K594" s="3" t="s">
        <v>1631</v>
      </c>
    </row>
    <row r="595" spans="6:11" ht="12.5" x14ac:dyDescent="0.25">
      <c r="F595" s="2" t="s">
        <v>1632</v>
      </c>
      <c r="G595" s="2" t="s">
        <v>1632</v>
      </c>
      <c r="H595" s="2" t="b">
        <f t="shared" si="9"/>
        <v>1</v>
      </c>
      <c r="I595" s="14" t="str">
        <f>HYPERLINK("https://gerandofalcoes.my.salesforce.com/0034P000045kxiuQAA", "0034P000045kxiuQAA")</f>
        <v>0034P000045kxiuQAA</v>
      </c>
      <c r="J595" s="2" t="s">
        <v>1630</v>
      </c>
      <c r="K595" s="3" t="s">
        <v>1631</v>
      </c>
    </row>
    <row r="596" spans="6:11" ht="12.5" x14ac:dyDescent="0.25">
      <c r="F596" s="2" t="s">
        <v>1632</v>
      </c>
      <c r="G596" s="2" t="s">
        <v>1632</v>
      </c>
      <c r="H596" s="2" t="b">
        <f t="shared" si="9"/>
        <v>1</v>
      </c>
      <c r="I596" s="14" t="str">
        <f>HYPERLINK("https://gerandofalcoes.my.salesforce.com/0034P00003maBVEQA2", "0034P00003maBVEQA2")</f>
        <v>0034P00003maBVEQA2</v>
      </c>
      <c r="J596" s="2" t="s">
        <v>1630</v>
      </c>
      <c r="K596" s="3" t="s">
        <v>1631</v>
      </c>
    </row>
    <row r="597" spans="6:11" ht="12.5" x14ac:dyDescent="0.25">
      <c r="F597" s="2" t="s">
        <v>1632</v>
      </c>
      <c r="G597" s="2" t="s">
        <v>1632</v>
      </c>
      <c r="H597" s="2" t="b">
        <f t="shared" si="9"/>
        <v>1</v>
      </c>
      <c r="I597" s="14" t="str">
        <f>HYPERLINK("https://gerandofalcoes.my.salesforce.com/0034P000045kxiQQAQ", "0034P000045kxiQQAQ")</f>
        <v>0034P000045kxiQQAQ</v>
      </c>
      <c r="J597" s="2" t="s">
        <v>1630</v>
      </c>
      <c r="K597" s="3" t="s">
        <v>1631</v>
      </c>
    </row>
    <row r="598" spans="6:11" ht="12.5" x14ac:dyDescent="0.25">
      <c r="F598" s="2" t="s">
        <v>1632</v>
      </c>
      <c r="G598" s="2" t="s">
        <v>1632</v>
      </c>
      <c r="H598" s="2" t="b">
        <f t="shared" si="9"/>
        <v>1</v>
      </c>
      <c r="I598" s="14" t="str">
        <f>HYPERLINK("https://gerandofalcoes.my.salesforce.com/0034X0000380O4nQAE", "0034X0000380O4nQAE")</f>
        <v>0034X0000380O4nQAE</v>
      </c>
      <c r="J598" s="2" t="s">
        <v>1630</v>
      </c>
      <c r="K598" s="3" t="s">
        <v>1631</v>
      </c>
    </row>
    <row r="599" spans="6:11" ht="12.5" x14ac:dyDescent="0.25">
      <c r="F599" s="2" t="s">
        <v>1632</v>
      </c>
      <c r="G599" s="2" t="s">
        <v>1632</v>
      </c>
      <c r="H599" s="2" t="b">
        <f t="shared" si="9"/>
        <v>1</v>
      </c>
      <c r="I599" s="14" t="str">
        <f>HYPERLINK("https://gerandofalcoes.my.salesforce.com/0034X0000380O1vQAE", "0034X0000380O1vQAE")</f>
        <v>0034X0000380O1vQAE</v>
      </c>
      <c r="J599" s="2" t="s">
        <v>1630</v>
      </c>
      <c r="K599" s="3" t="s">
        <v>1631</v>
      </c>
    </row>
    <row r="600" spans="6:11" ht="12.5" x14ac:dyDescent="0.25">
      <c r="F600" s="2" t="s">
        <v>1632</v>
      </c>
      <c r="G600" s="2" t="s">
        <v>1632</v>
      </c>
      <c r="H600" s="2" t="b">
        <f t="shared" si="9"/>
        <v>1</v>
      </c>
    </row>
    <row r="601" spans="6:11" ht="12.5" x14ac:dyDescent="0.25">
      <c r="F601" s="2" t="s">
        <v>1632</v>
      </c>
      <c r="G601" s="2" t="s">
        <v>1632</v>
      </c>
    </row>
    <row r="602" spans="6:11" ht="12.5" x14ac:dyDescent="0.25">
      <c r="F602" s="2" t="s">
        <v>1632</v>
      </c>
      <c r="G602" s="2" t="s">
        <v>1632</v>
      </c>
    </row>
    <row r="603" spans="6:11" ht="12.5" x14ac:dyDescent="0.25">
      <c r="F603" s="2" t="s">
        <v>1632</v>
      </c>
      <c r="G603" s="2" t="s">
        <v>1632</v>
      </c>
    </row>
    <row r="604" spans="6:11" ht="12.5" x14ac:dyDescent="0.25">
      <c r="F604" s="2" t="s">
        <v>1632</v>
      </c>
      <c r="G604" s="2" t="s">
        <v>1632</v>
      </c>
    </row>
    <row r="605" spans="6:11" ht="12.5" x14ac:dyDescent="0.25">
      <c r="F605" s="2" t="s">
        <v>1632</v>
      </c>
      <c r="G605" s="2" t="s">
        <v>1632</v>
      </c>
    </row>
    <row r="606" spans="6:11" ht="12.5" x14ac:dyDescent="0.25">
      <c r="F606" s="2" t="s">
        <v>1632</v>
      </c>
      <c r="G606" s="2" t="s">
        <v>1632</v>
      </c>
    </row>
    <row r="607" spans="6:11" ht="12.5" x14ac:dyDescent="0.25">
      <c r="F607" s="2" t="s">
        <v>1632</v>
      </c>
      <c r="G607" s="2" t="s">
        <v>1632</v>
      </c>
    </row>
    <row r="608" spans="6:11" ht="12.5" x14ac:dyDescent="0.25">
      <c r="F608" s="2" t="s">
        <v>1632</v>
      </c>
      <c r="G608" s="2" t="s">
        <v>1632</v>
      </c>
    </row>
    <row r="609" spans="6:7" ht="12.5" x14ac:dyDescent="0.25">
      <c r="F609" s="2" t="s">
        <v>1632</v>
      </c>
      <c r="G609" s="2" t="s">
        <v>1632</v>
      </c>
    </row>
    <row r="610" spans="6:7" ht="12.5" x14ac:dyDescent="0.25">
      <c r="F610" s="2" t="s">
        <v>1632</v>
      </c>
      <c r="G610" s="2" t="s">
        <v>1632</v>
      </c>
    </row>
    <row r="611" spans="6:7" ht="12.5" x14ac:dyDescent="0.25">
      <c r="F611" s="2" t="s">
        <v>1632</v>
      </c>
      <c r="G611" s="2" t="s">
        <v>1632</v>
      </c>
    </row>
    <row r="612" spans="6:7" ht="12.5" x14ac:dyDescent="0.25">
      <c r="F612" s="2" t="s">
        <v>1632</v>
      </c>
      <c r="G612" s="2" t="s">
        <v>1632</v>
      </c>
    </row>
    <row r="613" spans="6:7" ht="12.5" x14ac:dyDescent="0.25">
      <c r="F613" s="2" t="s">
        <v>1632</v>
      </c>
      <c r="G613" s="2" t="s">
        <v>1632</v>
      </c>
    </row>
    <row r="614" spans="6:7" ht="12.5" x14ac:dyDescent="0.25">
      <c r="F614" s="2" t="s">
        <v>1632</v>
      </c>
      <c r="G614" s="2" t="s">
        <v>1632</v>
      </c>
    </row>
    <row r="615" spans="6:7" ht="12.5" x14ac:dyDescent="0.25">
      <c r="F615" s="2" t="s">
        <v>1632</v>
      </c>
      <c r="G615" s="2" t="s">
        <v>1632</v>
      </c>
    </row>
    <row r="616" spans="6:7" ht="12.5" x14ac:dyDescent="0.25">
      <c r="F616" s="2" t="s">
        <v>1632</v>
      </c>
      <c r="G616" s="2" t="s">
        <v>1632</v>
      </c>
    </row>
    <row r="617" spans="6:7" ht="12.5" x14ac:dyDescent="0.25">
      <c r="F617" s="2" t="s">
        <v>1632</v>
      </c>
      <c r="G617" s="2" t="s">
        <v>1632</v>
      </c>
    </row>
    <row r="618" spans="6:7" ht="12.5" x14ac:dyDescent="0.25">
      <c r="F618" s="2" t="s">
        <v>1632</v>
      </c>
      <c r="G618" s="2" t="s">
        <v>1632</v>
      </c>
    </row>
    <row r="619" spans="6:7" ht="12.5" x14ac:dyDescent="0.25">
      <c r="F619" s="2" t="s">
        <v>1632</v>
      </c>
      <c r="G619" s="2" t="s">
        <v>1632</v>
      </c>
    </row>
    <row r="620" spans="6:7" ht="12.5" x14ac:dyDescent="0.25">
      <c r="F620" s="2" t="s">
        <v>1632</v>
      </c>
      <c r="G620" s="2" t="s">
        <v>1632</v>
      </c>
    </row>
    <row r="621" spans="6:7" ht="12.5" x14ac:dyDescent="0.25">
      <c r="F621" s="2" t="s">
        <v>1632</v>
      </c>
      <c r="G621" s="2" t="s">
        <v>1632</v>
      </c>
    </row>
    <row r="622" spans="6:7" ht="12.5" x14ac:dyDescent="0.25">
      <c r="F622" s="2" t="s">
        <v>1632</v>
      </c>
      <c r="G622" s="2" t="s">
        <v>1632</v>
      </c>
    </row>
    <row r="623" spans="6:7" ht="12.5" x14ac:dyDescent="0.25">
      <c r="F623" s="2" t="s">
        <v>1632</v>
      </c>
      <c r="G623" s="2" t="s">
        <v>1632</v>
      </c>
    </row>
    <row r="624" spans="6:7" ht="12.5" x14ac:dyDescent="0.25">
      <c r="F624" s="2" t="s">
        <v>1632</v>
      </c>
      <c r="G624" s="2" t="s">
        <v>1632</v>
      </c>
    </row>
    <row r="625" spans="6:7" ht="12.5" x14ac:dyDescent="0.25">
      <c r="F625" s="2" t="s">
        <v>1632</v>
      </c>
      <c r="G625" s="2" t="s">
        <v>1632</v>
      </c>
    </row>
    <row r="626" spans="6:7" ht="12.5" x14ac:dyDescent="0.25">
      <c r="F626" s="2" t="s">
        <v>1632</v>
      </c>
      <c r="G626" s="2" t="s">
        <v>1632</v>
      </c>
    </row>
    <row r="627" spans="6:7" ht="12.5" x14ac:dyDescent="0.25">
      <c r="F627" s="2" t="s">
        <v>1632</v>
      </c>
      <c r="G627" s="2" t="s">
        <v>1632</v>
      </c>
    </row>
    <row r="628" spans="6:7" ht="12.5" x14ac:dyDescent="0.25">
      <c r="F628" s="2" t="s">
        <v>1632</v>
      </c>
      <c r="G628" s="2" t="s">
        <v>1632</v>
      </c>
    </row>
    <row r="629" spans="6:7" ht="12.5" x14ac:dyDescent="0.25">
      <c r="F629" s="2" t="s">
        <v>1632</v>
      </c>
      <c r="G629" s="2" t="s">
        <v>1632</v>
      </c>
    </row>
    <row r="630" spans="6:7" ht="12.5" x14ac:dyDescent="0.25">
      <c r="F630" s="2" t="s">
        <v>1632</v>
      </c>
      <c r="G630" s="2" t="s">
        <v>1632</v>
      </c>
    </row>
    <row r="631" spans="6:7" ht="12.5" x14ac:dyDescent="0.25">
      <c r="F631" s="2" t="s">
        <v>1632</v>
      </c>
      <c r="G631" s="2" t="s">
        <v>1632</v>
      </c>
    </row>
    <row r="632" spans="6:7" ht="12.5" x14ac:dyDescent="0.25">
      <c r="F632" s="2" t="s">
        <v>1632</v>
      </c>
      <c r="G632" s="2" t="s">
        <v>1632</v>
      </c>
    </row>
    <row r="633" spans="6:7" ht="12.5" x14ac:dyDescent="0.25">
      <c r="F633" s="2" t="s">
        <v>1632</v>
      </c>
      <c r="G633" s="2" t="s">
        <v>1632</v>
      </c>
    </row>
    <row r="634" spans="6:7" ht="12.5" x14ac:dyDescent="0.25">
      <c r="F634" s="2" t="s">
        <v>1632</v>
      </c>
      <c r="G634" s="2" t="s">
        <v>1632</v>
      </c>
    </row>
    <row r="635" spans="6:7" ht="12.5" x14ac:dyDescent="0.25">
      <c r="F635" s="2" t="s">
        <v>1632</v>
      </c>
      <c r="G635" s="2" t="s">
        <v>1632</v>
      </c>
    </row>
    <row r="636" spans="6:7" ht="12.5" x14ac:dyDescent="0.25">
      <c r="F636" s="2" t="s">
        <v>1632</v>
      </c>
      <c r="G636" s="2" t="s">
        <v>1632</v>
      </c>
    </row>
    <row r="637" spans="6:7" ht="12.5" x14ac:dyDescent="0.25">
      <c r="F637" s="2" t="s">
        <v>1632</v>
      </c>
      <c r="G637" s="2" t="s">
        <v>1632</v>
      </c>
    </row>
    <row r="638" spans="6:7" ht="12.5" x14ac:dyDescent="0.25">
      <c r="F638" s="2" t="s">
        <v>1632</v>
      </c>
      <c r="G638" s="2" t="s">
        <v>1632</v>
      </c>
    </row>
    <row r="639" spans="6:7" ht="12.5" x14ac:dyDescent="0.25">
      <c r="F639" s="2" t="s">
        <v>1632</v>
      </c>
      <c r="G639" s="2" t="s">
        <v>1632</v>
      </c>
    </row>
    <row r="640" spans="6:7" ht="12.5" x14ac:dyDescent="0.25">
      <c r="F640" s="2" t="s">
        <v>1632</v>
      </c>
      <c r="G640" s="2" t="s">
        <v>1632</v>
      </c>
    </row>
    <row r="641" spans="6:7" ht="12.5" x14ac:dyDescent="0.25">
      <c r="F641" s="2" t="s">
        <v>1632</v>
      </c>
      <c r="G641" s="2" t="s">
        <v>1632</v>
      </c>
    </row>
    <row r="642" spans="6:7" ht="12.5" x14ac:dyDescent="0.25">
      <c r="F642" s="2" t="s">
        <v>1632</v>
      </c>
      <c r="G642" s="2" t="s">
        <v>1632</v>
      </c>
    </row>
    <row r="643" spans="6:7" ht="12.5" x14ac:dyDescent="0.25">
      <c r="F643" s="2" t="s">
        <v>1632</v>
      </c>
      <c r="G643" s="2" t="s">
        <v>1632</v>
      </c>
    </row>
    <row r="644" spans="6:7" ht="12.5" x14ac:dyDescent="0.25">
      <c r="F644" s="2" t="s">
        <v>1632</v>
      </c>
      <c r="G644" s="2" t="s">
        <v>1632</v>
      </c>
    </row>
    <row r="645" spans="6:7" ht="12.5" x14ac:dyDescent="0.25">
      <c r="F645" s="2" t="s">
        <v>1632</v>
      </c>
      <c r="G645" s="2" t="s">
        <v>1632</v>
      </c>
    </row>
    <row r="646" spans="6:7" ht="12.5" x14ac:dyDescent="0.25">
      <c r="F646" s="2" t="s">
        <v>1632</v>
      </c>
      <c r="G646" s="2" t="s">
        <v>1632</v>
      </c>
    </row>
    <row r="647" spans="6:7" ht="12.5" x14ac:dyDescent="0.25">
      <c r="F647" s="2" t="s">
        <v>1632</v>
      </c>
      <c r="G647" s="2" t="s">
        <v>1632</v>
      </c>
    </row>
    <row r="648" spans="6:7" ht="12.5" x14ac:dyDescent="0.25">
      <c r="F648" s="2" t="s">
        <v>1632</v>
      </c>
      <c r="G648" s="2" t="s">
        <v>1632</v>
      </c>
    </row>
    <row r="649" spans="6:7" ht="12.5" x14ac:dyDescent="0.25">
      <c r="F649" s="2" t="s">
        <v>1632</v>
      </c>
      <c r="G649" s="2" t="s">
        <v>1632</v>
      </c>
    </row>
    <row r="650" spans="6:7" ht="12.5" x14ac:dyDescent="0.25">
      <c r="F650" s="2" t="s">
        <v>1632</v>
      </c>
      <c r="G650" s="2" t="s">
        <v>1632</v>
      </c>
    </row>
    <row r="651" spans="6:7" ht="12.5" x14ac:dyDescent="0.25">
      <c r="F651" s="2" t="s">
        <v>1632</v>
      </c>
      <c r="G651" s="2" t="s">
        <v>1632</v>
      </c>
    </row>
    <row r="652" spans="6:7" ht="12.5" x14ac:dyDescent="0.25">
      <c r="F652" s="2" t="s">
        <v>1632</v>
      </c>
      <c r="G652" s="2" t="s">
        <v>1632</v>
      </c>
    </row>
    <row r="653" spans="6:7" ht="12.5" x14ac:dyDescent="0.25">
      <c r="F653" s="2" t="s">
        <v>1632</v>
      </c>
      <c r="G653" s="2" t="s">
        <v>1632</v>
      </c>
    </row>
    <row r="654" spans="6:7" ht="12.5" x14ac:dyDescent="0.25">
      <c r="F654" s="2" t="s">
        <v>1632</v>
      </c>
      <c r="G654" s="2" t="s">
        <v>1632</v>
      </c>
    </row>
    <row r="655" spans="6:7" ht="12.5" x14ac:dyDescent="0.25">
      <c r="F655" s="2" t="s">
        <v>1632</v>
      </c>
      <c r="G655" s="2" t="s">
        <v>1632</v>
      </c>
    </row>
    <row r="656" spans="6:7" ht="12.5" x14ac:dyDescent="0.25">
      <c r="F656" s="2" t="s">
        <v>1632</v>
      </c>
      <c r="G656" s="2" t="s">
        <v>1632</v>
      </c>
    </row>
    <row r="657" spans="6:7" ht="12.5" x14ac:dyDescent="0.25">
      <c r="F657" s="2" t="s">
        <v>1632</v>
      </c>
      <c r="G657" s="2" t="s">
        <v>1632</v>
      </c>
    </row>
    <row r="658" spans="6:7" ht="12.5" x14ac:dyDescent="0.25">
      <c r="F658" s="2" t="s">
        <v>1632</v>
      </c>
      <c r="G658" s="2" t="s">
        <v>1632</v>
      </c>
    </row>
    <row r="659" spans="6:7" ht="12.5" x14ac:dyDescent="0.25">
      <c r="F659" s="2" t="s">
        <v>1632</v>
      </c>
      <c r="G659" s="2" t="s">
        <v>1632</v>
      </c>
    </row>
    <row r="660" spans="6:7" ht="12.5" x14ac:dyDescent="0.25">
      <c r="F660" s="2" t="s">
        <v>1632</v>
      </c>
      <c r="G660" s="2" t="s">
        <v>1632</v>
      </c>
    </row>
    <row r="661" spans="6:7" ht="12.5" x14ac:dyDescent="0.25">
      <c r="F661" s="2" t="s">
        <v>1632</v>
      </c>
      <c r="G661" s="2" t="s">
        <v>1632</v>
      </c>
    </row>
    <row r="662" spans="6:7" ht="12.5" x14ac:dyDescent="0.25">
      <c r="F662" s="2" t="s">
        <v>1632</v>
      </c>
      <c r="G662" s="2" t="s">
        <v>1632</v>
      </c>
    </row>
    <row r="663" spans="6:7" ht="12.5" x14ac:dyDescent="0.25">
      <c r="F663" s="2" t="s">
        <v>1632</v>
      </c>
      <c r="G663" s="2" t="s">
        <v>1632</v>
      </c>
    </row>
    <row r="664" spans="6:7" ht="12.5" x14ac:dyDescent="0.25">
      <c r="F664" s="2" t="s">
        <v>1632</v>
      </c>
      <c r="G664" s="2" t="s">
        <v>1632</v>
      </c>
    </row>
    <row r="665" spans="6:7" ht="12.5" x14ac:dyDescent="0.25">
      <c r="F665" s="2" t="s">
        <v>1632</v>
      </c>
      <c r="G665" s="2" t="s">
        <v>1632</v>
      </c>
    </row>
    <row r="666" spans="6:7" ht="12.5" x14ac:dyDescent="0.25">
      <c r="F666" s="2" t="s">
        <v>1632</v>
      </c>
      <c r="G666" s="2" t="s">
        <v>1632</v>
      </c>
    </row>
    <row r="667" spans="6:7" ht="12.5" x14ac:dyDescent="0.25">
      <c r="F667" s="2" t="s">
        <v>1632</v>
      </c>
      <c r="G667" s="2" t="s">
        <v>1632</v>
      </c>
    </row>
    <row r="668" spans="6:7" ht="12.5" x14ac:dyDescent="0.25">
      <c r="F668" s="2" t="s">
        <v>1632</v>
      </c>
      <c r="G668" s="2" t="s">
        <v>1632</v>
      </c>
    </row>
    <row r="669" spans="6:7" ht="12.5" x14ac:dyDescent="0.25">
      <c r="F669" s="2" t="s">
        <v>1632</v>
      </c>
      <c r="G669" s="2" t="s">
        <v>1632</v>
      </c>
    </row>
    <row r="670" spans="6:7" ht="12.5" x14ac:dyDescent="0.25">
      <c r="F670" s="2" t="s">
        <v>1632</v>
      </c>
      <c r="G670" s="2" t="s">
        <v>1632</v>
      </c>
    </row>
    <row r="671" spans="6:7" ht="12.5" x14ac:dyDescent="0.25">
      <c r="F671" s="2" t="s">
        <v>1632</v>
      </c>
      <c r="G671" s="2" t="s">
        <v>1632</v>
      </c>
    </row>
    <row r="672" spans="6:7" ht="12.5" x14ac:dyDescent="0.25">
      <c r="F672" s="2" t="s">
        <v>1632</v>
      </c>
      <c r="G672" s="2" t="s">
        <v>1632</v>
      </c>
    </row>
    <row r="673" spans="6:7" ht="12.5" x14ac:dyDescent="0.25">
      <c r="F673" s="2" t="s">
        <v>1632</v>
      </c>
      <c r="G673" s="2" t="s">
        <v>1632</v>
      </c>
    </row>
    <row r="674" spans="6:7" ht="12.5" x14ac:dyDescent="0.25">
      <c r="F674" s="2" t="s">
        <v>1632</v>
      </c>
      <c r="G674" s="2" t="s">
        <v>1632</v>
      </c>
    </row>
    <row r="675" spans="6:7" ht="12.5" x14ac:dyDescent="0.25">
      <c r="F675" s="2" t="s">
        <v>1632</v>
      </c>
      <c r="G675" s="2" t="s">
        <v>1632</v>
      </c>
    </row>
    <row r="676" spans="6:7" ht="12.5" x14ac:dyDescent="0.25">
      <c r="F676" s="2" t="s">
        <v>1632</v>
      </c>
      <c r="G676" s="2" t="s">
        <v>1632</v>
      </c>
    </row>
    <row r="677" spans="6:7" ht="12.5" x14ac:dyDescent="0.25">
      <c r="F677" s="2" t="s">
        <v>1632</v>
      </c>
      <c r="G677" s="2" t="s">
        <v>1632</v>
      </c>
    </row>
    <row r="678" spans="6:7" ht="12.5" x14ac:dyDescent="0.25">
      <c r="F678" s="2" t="s">
        <v>1632</v>
      </c>
      <c r="G678" s="2" t="s">
        <v>1632</v>
      </c>
    </row>
    <row r="679" spans="6:7" ht="12.5" x14ac:dyDescent="0.25">
      <c r="F679" s="2" t="s">
        <v>1632</v>
      </c>
      <c r="G679" s="2" t="s">
        <v>1632</v>
      </c>
    </row>
    <row r="680" spans="6:7" ht="12.5" x14ac:dyDescent="0.25">
      <c r="F680" s="2" t="s">
        <v>1632</v>
      </c>
      <c r="G680" s="2" t="s">
        <v>1632</v>
      </c>
    </row>
    <row r="681" spans="6:7" ht="12.5" x14ac:dyDescent="0.25">
      <c r="F681" s="2" t="s">
        <v>1632</v>
      </c>
      <c r="G681" s="2" t="s">
        <v>1632</v>
      </c>
    </row>
    <row r="682" spans="6:7" ht="12.5" x14ac:dyDescent="0.25">
      <c r="F682" s="2" t="s">
        <v>1632</v>
      </c>
      <c r="G682" s="2" t="s">
        <v>1632</v>
      </c>
    </row>
    <row r="683" spans="6:7" ht="12.5" x14ac:dyDescent="0.25">
      <c r="F683" s="2" t="s">
        <v>1632</v>
      </c>
      <c r="G683" s="2" t="s">
        <v>1632</v>
      </c>
    </row>
    <row r="684" spans="6:7" ht="12.5" x14ac:dyDescent="0.25">
      <c r="F684" s="2" t="s">
        <v>1632</v>
      </c>
      <c r="G684" s="2" t="s">
        <v>1632</v>
      </c>
    </row>
    <row r="685" spans="6:7" ht="12.5" x14ac:dyDescent="0.25">
      <c r="F685" s="2" t="s">
        <v>1632</v>
      </c>
      <c r="G685" s="2" t="s">
        <v>1632</v>
      </c>
    </row>
    <row r="686" spans="6:7" ht="12.5" x14ac:dyDescent="0.25">
      <c r="F686" s="2" t="s">
        <v>1632</v>
      </c>
      <c r="G686" s="2" t="s">
        <v>1632</v>
      </c>
    </row>
    <row r="687" spans="6:7" ht="12.5" x14ac:dyDescent="0.25">
      <c r="F687" s="2" t="s">
        <v>1632</v>
      </c>
      <c r="G687" s="2" t="s">
        <v>1632</v>
      </c>
    </row>
    <row r="688" spans="6:7" ht="12.5" x14ac:dyDescent="0.25">
      <c r="F688" s="2" t="s">
        <v>1632</v>
      </c>
      <c r="G688" s="2" t="s">
        <v>1632</v>
      </c>
    </row>
    <row r="689" spans="6:7" ht="12.5" x14ac:dyDescent="0.25">
      <c r="F689" s="2" t="s">
        <v>1632</v>
      </c>
      <c r="G689" s="2" t="s">
        <v>1632</v>
      </c>
    </row>
    <row r="690" spans="6:7" ht="12.5" x14ac:dyDescent="0.25">
      <c r="F690" s="2" t="s">
        <v>1632</v>
      </c>
      <c r="G690" s="2" t="s">
        <v>1632</v>
      </c>
    </row>
    <row r="691" spans="6:7" ht="12.5" x14ac:dyDescent="0.25">
      <c r="F691" s="2" t="s">
        <v>1632</v>
      </c>
      <c r="G691" s="2" t="s">
        <v>1632</v>
      </c>
    </row>
    <row r="692" spans="6:7" ht="12.5" x14ac:dyDescent="0.25">
      <c r="F692" s="2" t="s">
        <v>1632</v>
      </c>
      <c r="G692" s="2" t="s">
        <v>1632</v>
      </c>
    </row>
    <row r="693" spans="6:7" ht="12.5" x14ac:dyDescent="0.25">
      <c r="F693" s="2" t="s">
        <v>1632</v>
      </c>
      <c r="G693" s="2" t="s">
        <v>1632</v>
      </c>
    </row>
    <row r="694" spans="6:7" ht="12.5" x14ac:dyDescent="0.25">
      <c r="F694" s="2" t="s">
        <v>1632</v>
      </c>
      <c r="G694" s="2" t="s">
        <v>1632</v>
      </c>
    </row>
    <row r="695" spans="6:7" ht="12.5" x14ac:dyDescent="0.25">
      <c r="F695" s="2" t="s">
        <v>1632</v>
      </c>
      <c r="G695" s="2" t="s">
        <v>1632</v>
      </c>
    </row>
    <row r="696" spans="6:7" ht="12.5" x14ac:dyDescent="0.25">
      <c r="F696" s="2" t="s">
        <v>1632</v>
      </c>
      <c r="G696" s="2" t="s">
        <v>1632</v>
      </c>
    </row>
    <row r="697" spans="6:7" ht="12.5" x14ac:dyDescent="0.25">
      <c r="F697" s="2" t="s">
        <v>1632</v>
      </c>
      <c r="G697" s="2" t="s">
        <v>1632</v>
      </c>
    </row>
    <row r="698" spans="6:7" ht="12.5" x14ac:dyDescent="0.25">
      <c r="F698" s="2" t="s">
        <v>1632</v>
      </c>
      <c r="G698" s="2" t="s">
        <v>1632</v>
      </c>
    </row>
    <row r="699" spans="6:7" ht="12.5" x14ac:dyDescent="0.25">
      <c r="F699" s="2" t="s">
        <v>1632</v>
      </c>
      <c r="G699" s="2" t="s">
        <v>1632</v>
      </c>
    </row>
    <row r="700" spans="6:7" ht="12.5" x14ac:dyDescent="0.25">
      <c r="F700" s="2" t="s">
        <v>1632</v>
      </c>
      <c r="G700" s="2" t="s">
        <v>1632</v>
      </c>
    </row>
    <row r="701" spans="6:7" ht="12.5" x14ac:dyDescent="0.25">
      <c r="F701" s="2" t="s">
        <v>1632</v>
      </c>
      <c r="G701" s="2" t="s">
        <v>1632</v>
      </c>
    </row>
    <row r="702" spans="6:7" ht="12.5" x14ac:dyDescent="0.25">
      <c r="F702" s="2" t="s">
        <v>1632</v>
      </c>
      <c r="G702" s="2" t="s">
        <v>1632</v>
      </c>
    </row>
    <row r="703" spans="6:7" ht="12.5" x14ac:dyDescent="0.25">
      <c r="F703" s="2" t="s">
        <v>1632</v>
      </c>
      <c r="G703" s="2" t="s">
        <v>1632</v>
      </c>
    </row>
    <row r="704" spans="6:7" ht="12.5" x14ac:dyDescent="0.25">
      <c r="F704" s="2" t="s">
        <v>1632</v>
      </c>
      <c r="G704" s="2" t="s">
        <v>1632</v>
      </c>
    </row>
    <row r="705" spans="6:7" ht="12.5" x14ac:dyDescent="0.25">
      <c r="F705" s="2" t="s">
        <v>1632</v>
      </c>
      <c r="G705" s="2" t="s">
        <v>1632</v>
      </c>
    </row>
    <row r="706" spans="6:7" ht="12.5" x14ac:dyDescent="0.25">
      <c r="F706" s="2" t="s">
        <v>1632</v>
      </c>
      <c r="G706" s="2" t="s">
        <v>1632</v>
      </c>
    </row>
    <row r="707" spans="6:7" ht="12.5" x14ac:dyDescent="0.25">
      <c r="F707" s="2" t="s">
        <v>1632</v>
      </c>
      <c r="G707" s="2" t="s">
        <v>1632</v>
      </c>
    </row>
    <row r="708" spans="6:7" ht="12.5" x14ac:dyDescent="0.25">
      <c r="F708" s="2" t="s">
        <v>1632</v>
      </c>
      <c r="G708" s="2" t="s">
        <v>1632</v>
      </c>
    </row>
    <row r="709" spans="6:7" ht="12.5" x14ac:dyDescent="0.25">
      <c r="F709" s="2" t="s">
        <v>1632</v>
      </c>
      <c r="G709" s="2" t="s">
        <v>1632</v>
      </c>
    </row>
    <row r="710" spans="6:7" ht="12.5" x14ac:dyDescent="0.25">
      <c r="F710" s="2" t="s">
        <v>1632</v>
      </c>
      <c r="G710" s="2" t="s">
        <v>1632</v>
      </c>
    </row>
    <row r="711" spans="6:7" ht="12.5" x14ac:dyDescent="0.25">
      <c r="F711" s="2" t="s">
        <v>1632</v>
      </c>
      <c r="G711" s="2" t="s">
        <v>1632</v>
      </c>
    </row>
    <row r="712" spans="6:7" ht="12.5" x14ac:dyDescent="0.25">
      <c r="F712" s="2" t="s">
        <v>1632</v>
      </c>
      <c r="G712" s="2" t="s">
        <v>1632</v>
      </c>
    </row>
    <row r="713" spans="6:7" ht="12.5" x14ac:dyDescent="0.25">
      <c r="F713" s="2" t="s">
        <v>1632</v>
      </c>
      <c r="G713" s="2" t="s">
        <v>1632</v>
      </c>
    </row>
    <row r="714" spans="6:7" ht="12.5" x14ac:dyDescent="0.25">
      <c r="F714" s="2" t="s">
        <v>1632</v>
      </c>
      <c r="G714" s="2" t="s">
        <v>1632</v>
      </c>
    </row>
    <row r="715" spans="6:7" ht="12.5" x14ac:dyDescent="0.25">
      <c r="F715" s="2" t="s">
        <v>1632</v>
      </c>
      <c r="G715" s="2" t="s">
        <v>1632</v>
      </c>
    </row>
    <row r="716" spans="6:7" ht="12.5" x14ac:dyDescent="0.25">
      <c r="F716" s="2" t="s">
        <v>1632</v>
      </c>
      <c r="G716" s="2" t="s">
        <v>1632</v>
      </c>
    </row>
    <row r="717" spans="6:7" ht="12.5" x14ac:dyDescent="0.25">
      <c r="F717" s="2" t="s">
        <v>1632</v>
      </c>
      <c r="G717" s="2" t="s">
        <v>1632</v>
      </c>
    </row>
    <row r="718" spans="6:7" ht="12.5" x14ac:dyDescent="0.25">
      <c r="F718" s="2" t="s">
        <v>1632</v>
      </c>
      <c r="G718" s="2" t="s">
        <v>1632</v>
      </c>
    </row>
    <row r="719" spans="6:7" ht="12.5" x14ac:dyDescent="0.25">
      <c r="F719" s="2" t="s">
        <v>1632</v>
      </c>
      <c r="G719" s="2" t="s">
        <v>1632</v>
      </c>
    </row>
    <row r="720" spans="6:7" ht="12.5" x14ac:dyDescent="0.25">
      <c r="F720" s="2" t="s">
        <v>1632</v>
      </c>
      <c r="G720" s="2" t="s">
        <v>1632</v>
      </c>
    </row>
    <row r="721" spans="6:7" ht="12.5" x14ac:dyDescent="0.25">
      <c r="F721" s="2" t="s">
        <v>1632</v>
      </c>
      <c r="G721" s="2" t="s">
        <v>1632</v>
      </c>
    </row>
    <row r="722" spans="6:7" ht="12.5" x14ac:dyDescent="0.25">
      <c r="F722" s="2" t="s">
        <v>1632</v>
      </c>
      <c r="G722" s="2" t="s">
        <v>1632</v>
      </c>
    </row>
    <row r="723" spans="6:7" ht="12.5" x14ac:dyDescent="0.25">
      <c r="F723" s="2" t="s">
        <v>1632</v>
      </c>
      <c r="G723" s="2" t="s">
        <v>1632</v>
      </c>
    </row>
    <row r="724" spans="6:7" ht="12.5" x14ac:dyDescent="0.25">
      <c r="F724" s="2" t="s">
        <v>1632</v>
      </c>
      <c r="G724" s="2" t="s">
        <v>1632</v>
      </c>
    </row>
    <row r="725" spans="6:7" ht="12.5" x14ac:dyDescent="0.25">
      <c r="F725" s="2" t="s">
        <v>1632</v>
      </c>
      <c r="G725" s="2" t="s">
        <v>1632</v>
      </c>
    </row>
    <row r="726" spans="6:7" ht="12.5" x14ac:dyDescent="0.25">
      <c r="F726" s="2" t="s">
        <v>1632</v>
      </c>
      <c r="G726" s="2" t="s">
        <v>1632</v>
      </c>
    </row>
    <row r="727" spans="6:7" ht="12.5" x14ac:dyDescent="0.25">
      <c r="F727" s="2" t="s">
        <v>1632</v>
      </c>
      <c r="G727" s="2" t="s">
        <v>1632</v>
      </c>
    </row>
    <row r="728" spans="6:7" ht="12.5" x14ac:dyDescent="0.25">
      <c r="F728" s="2" t="s">
        <v>1632</v>
      </c>
      <c r="G728" s="2" t="s">
        <v>1632</v>
      </c>
    </row>
    <row r="729" spans="6:7" ht="12.5" x14ac:dyDescent="0.25">
      <c r="F729" s="2" t="s">
        <v>1632</v>
      </c>
      <c r="G729" s="2" t="s">
        <v>1632</v>
      </c>
    </row>
    <row r="730" spans="6:7" ht="12.5" x14ac:dyDescent="0.25">
      <c r="F730" s="2" t="s">
        <v>1632</v>
      </c>
      <c r="G730" s="2" t="s">
        <v>1632</v>
      </c>
    </row>
    <row r="731" spans="6:7" ht="12.5" x14ac:dyDescent="0.25">
      <c r="F731" s="2" t="s">
        <v>1632</v>
      </c>
      <c r="G731" s="2" t="s">
        <v>1632</v>
      </c>
    </row>
    <row r="732" spans="6:7" ht="12.5" x14ac:dyDescent="0.25">
      <c r="F732" s="2" t="s">
        <v>1632</v>
      </c>
      <c r="G732" s="2" t="s">
        <v>1632</v>
      </c>
    </row>
    <row r="733" spans="6:7" ht="12.5" x14ac:dyDescent="0.25">
      <c r="F733" s="2" t="s">
        <v>1632</v>
      </c>
      <c r="G733" s="2" t="s">
        <v>1632</v>
      </c>
    </row>
    <row r="734" spans="6:7" ht="12.5" x14ac:dyDescent="0.25">
      <c r="F734" s="2" t="s">
        <v>1632</v>
      </c>
      <c r="G734" s="2" t="s">
        <v>1632</v>
      </c>
    </row>
    <row r="735" spans="6:7" ht="12.5" x14ac:dyDescent="0.25">
      <c r="F735" s="2" t="s">
        <v>1632</v>
      </c>
      <c r="G735" s="2" t="s">
        <v>1632</v>
      </c>
    </row>
    <row r="736" spans="6:7" ht="12.5" x14ac:dyDescent="0.25">
      <c r="F736" s="2" t="s">
        <v>1632</v>
      </c>
      <c r="G736" s="2" t="s">
        <v>1632</v>
      </c>
    </row>
    <row r="737" spans="6:7" ht="12.5" x14ac:dyDescent="0.25">
      <c r="F737" s="2" t="s">
        <v>1632</v>
      </c>
      <c r="G737" s="2" t="s">
        <v>1632</v>
      </c>
    </row>
    <row r="738" spans="6:7" ht="12.5" x14ac:dyDescent="0.25">
      <c r="F738" s="2" t="s">
        <v>1632</v>
      </c>
      <c r="G738" s="2" t="s">
        <v>1632</v>
      </c>
    </row>
    <row r="739" spans="6:7" ht="12.5" x14ac:dyDescent="0.25">
      <c r="F739" s="2" t="s">
        <v>1632</v>
      </c>
      <c r="G739" s="2" t="s">
        <v>1632</v>
      </c>
    </row>
    <row r="740" spans="6:7" ht="12.5" x14ac:dyDescent="0.25">
      <c r="F740" s="2" t="s">
        <v>1632</v>
      </c>
      <c r="G740" s="2" t="s">
        <v>1632</v>
      </c>
    </row>
    <row r="741" spans="6:7" ht="12.5" x14ac:dyDescent="0.25">
      <c r="F741" s="2" t="s">
        <v>1632</v>
      </c>
      <c r="G741" s="2" t="s">
        <v>1632</v>
      </c>
    </row>
    <row r="742" spans="6:7" ht="12.5" x14ac:dyDescent="0.25">
      <c r="F742" s="2" t="s">
        <v>1632</v>
      </c>
      <c r="G742" s="2" t="s">
        <v>1632</v>
      </c>
    </row>
    <row r="743" spans="6:7" ht="12.5" x14ac:dyDescent="0.25">
      <c r="F743" s="2" t="s">
        <v>1632</v>
      </c>
      <c r="G743" s="2" t="s">
        <v>1632</v>
      </c>
    </row>
    <row r="744" spans="6:7" ht="12.5" x14ac:dyDescent="0.25">
      <c r="F744" s="2" t="s">
        <v>1632</v>
      </c>
      <c r="G744" s="2" t="s">
        <v>1632</v>
      </c>
    </row>
    <row r="745" spans="6:7" ht="12.5" x14ac:dyDescent="0.25">
      <c r="F745" s="2" t="s">
        <v>1632</v>
      </c>
      <c r="G745" s="2" t="s">
        <v>1632</v>
      </c>
    </row>
    <row r="746" spans="6:7" ht="12.5" x14ac:dyDescent="0.25">
      <c r="F746" s="2" t="s">
        <v>1632</v>
      </c>
      <c r="G746" s="2" t="s">
        <v>1632</v>
      </c>
    </row>
    <row r="747" spans="6:7" ht="12.5" x14ac:dyDescent="0.25">
      <c r="F747" s="2" t="s">
        <v>1632</v>
      </c>
      <c r="G747" s="2" t="s">
        <v>1632</v>
      </c>
    </row>
    <row r="748" spans="6:7" ht="12.5" x14ac:dyDescent="0.25">
      <c r="F748" s="2" t="s">
        <v>1632</v>
      </c>
      <c r="G748" s="2" t="s">
        <v>1632</v>
      </c>
    </row>
    <row r="749" spans="6:7" ht="12.5" x14ac:dyDescent="0.25">
      <c r="F749" s="2" t="s">
        <v>1632</v>
      </c>
      <c r="G749" s="2" t="s">
        <v>1632</v>
      </c>
    </row>
    <row r="750" spans="6:7" ht="12.5" x14ac:dyDescent="0.25">
      <c r="F750" s="2" t="s">
        <v>1632</v>
      </c>
      <c r="G750" s="2" t="s">
        <v>1632</v>
      </c>
    </row>
    <row r="751" spans="6:7" ht="12.5" x14ac:dyDescent="0.25">
      <c r="F751" s="2" t="s">
        <v>1632</v>
      </c>
      <c r="G751" s="2" t="s">
        <v>1632</v>
      </c>
    </row>
    <row r="752" spans="6:7" ht="12.5" x14ac:dyDescent="0.25">
      <c r="F752" s="2" t="s">
        <v>1632</v>
      </c>
      <c r="G752" s="2" t="s">
        <v>1632</v>
      </c>
    </row>
    <row r="753" spans="6:7" ht="12.5" x14ac:dyDescent="0.25">
      <c r="F753" s="2" t="s">
        <v>1632</v>
      </c>
      <c r="G753" s="2" t="s">
        <v>1632</v>
      </c>
    </row>
    <row r="754" spans="6:7" ht="12.5" x14ac:dyDescent="0.25">
      <c r="F754" s="2" t="s">
        <v>1632</v>
      </c>
      <c r="G754" s="2" t="s">
        <v>1632</v>
      </c>
    </row>
    <row r="755" spans="6:7" ht="12.5" x14ac:dyDescent="0.25">
      <c r="F755" s="2" t="s">
        <v>1632</v>
      </c>
      <c r="G755" s="2" t="s">
        <v>1632</v>
      </c>
    </row>
    <row r="756" spans="6:7" ht="12.5" x14ac:dyDescent="0.25">
      <c r="F756" s="2" t="s">
        <v>1632</v>
      </c>
      <c r="G756" s="2" t="s">
        <v>1632</v>
      </c>
    </row>
    <row r="757" spans="6:7" ht="12.5" x14ac:dyDescent="0.25">
      <c r="F757" s="2" t="s">
        <v>1632</v>
      </c>
      <c r="G757" s="2" t="s">
        <v>1632</v>
      </c>
    </row>
    <row r="758" spans="6:7" ht="12.5" x14ac:dyDescent="0.25">
      <c r="F758" s="2" t="s">
        <v>1632</v>
      </c>
      <c r="G758" s="2" t="s">
        <v>1632</v>
      </c>
    </row>
    <row r="759" spans="6:7" ht="12.5" x14ac:dyDescent="0.25">
      <c r="F759" s="2" t="s">
        <v>1632</v>
      </c>
      <c r="G759" s="2" t="s">
        <v>1632</v>
      </c>
    </row>
    <row r="760" spans="6:7" ht="12.5" x14ac:dyDescent="0.25">
      <c r="F760" s="2" t="s">
        <v>1632</v>
      </c>
      <c r="G760" s="2" t="s">
        <v>1632</v>
      </c>
    </row>
    <row r="761" spans="6:7" ht="12.5" x14ac:dyDescent="0.25">
      <c r="F761" s="2" t="s">
        <v>1632</v>
      </c>
      <c r="G761" s="2" t="s">
        <v>1632</v>
      </c>
    </row>
    <row r="762" spans="6:7" ht="12.5" x14ac:dyDescent="0.25">
      <c r="F762" s="2" t="s">
        <v>1632</v>
      </c>
      <c r="G762" s="2" t="s">
        <v>1632</v>
      </c>
    </row>
    <row r="763" spans="6:7" ht="12.5" x14ac:dyDescent="0.25">
      <c r="F763" s="2" t="s">
        <v>1632</v>
      </c>
      <c r="G763" s="2" t="s">
        <v>1632</v>
      </c>
    </row>
    <row r="764" spans="6:7" ht="12.5" x14ac:dyDescent="0.25">
      <c r="F764" s="2" t="s">
        <v>1632</v>
      </c>
      <c r="G764" s="2" t="s">
        <v>1632</v>
      </c>
    </row>
    <row r="765" spans="6:7" ht="12.5" x14ac:dyDescent="0.25">
      <c r="F765" s="2" t="s">
        <v>1632</v>
      </c>
      <c r="G765" s="2" t="s">
        <v>1632</v>
      </c>
    </row>
    <row r="766" spans="6:7" ht="12.5" x14ac:dyDescent="0.25">
      <c r="F766" s="2" t="s">
        <v>1632</v>
      </c>
      <c r="G766" s="2" t="s">
        <v>1632</v>
      </c>
    </row>
    <row r="767" spans="6:7" ht="12.5" x14ac:dyDescent="0.25">
      <c r="F767" s="2" t="s">
        <v>1632</v>
      </c>
      <c r="G767" s="2" t="s">
        <v>1632</v>
      </c>
    </row>
    <row r="768" spans="6:7" ht="12.5" x14ac:dyDescent="0.25">
      <c r="F768" s="2" t="s">
        <v>1632</v>
      </c>
      <c r="G768" s="2" t="s">
        <v>1632</v>
      </c>
    </row>
    <row r="769" spans="6:7" ht="12.5" x14ac:dyDescent="0.25">
      <c r="F769" s="2" t="s">
        <v>1632</v>
      </c>
      <c r="G769" s="2" t="s">
        <v>1632</v>
      </c>
    </row>
    <row r="770" spans="6:7" ht="12.5" x14ac:dyDescent="0.25">
      <c r="F770" s="2" t="s">
        <v>1632</v>
      </c>
      <c r="G770" s="2" t="s">
        <v>1632</v>
      </c>
    </row>
    <row r="771" spans="6:7" ht="12.5" x14ac:dyDescent="0.25">
      <c r="F771" s="2" t="s">
        <v>1632</v>
      </c>
      <c r="G771" s="2" t="s">
        <v>1632</v>
      </c>
    </row>
    <row r="772" spans="6:7" ht="12.5" x14ac:dyDescent="0.25">
      <c r="F772" s="2" t="s">
        <v>1632</v>
      </c>
      <c r="G772" s="2" t="s">
        <v>1632</v>
      </c>
    </row>
    <row r="773" spans="6:7" ht="12.5" x14ac:dyDescent="0.25">
      <c r="F773" s="2" t="s">
        <v>1632</v>
      </c>
      <c r="G773" s="2" t="s">
        <v>1632</v>
      </c>
    </row>
    <row r="774" spans="6:7" ht="12.5" x14ac:dyDescent="0.25">
      <c r="F774" s="2" t="s">
        <v>1632</v>
      </c>
      <c r="G774" s="2" t="s">
        <v>1632</v>
      </c>
    </row>
    <row r="775" spans="6:7" ht="12.5" x14ac:dyDescent="0.25">
      <c r="F775" s="2" t="s">
        <v>1632</v>
      </c>
      <c r="G775" s="2" t="s">
        <v>1632</v>
      </c>
    </row>
    <row r="776" spans="6:7" ht="12.5" x14ac:dyDescent="0.25">
      <c r="F776" s="2" t="s">
        <v>1632</v>
      </c>
      <c r="G776" s="2" t="s">
        <v>1632</v>
      </c>
    </row>
    <row r="777" spans="6:7" ht="12.5" x14ac:dyDescent="0.25">
      <c r="F777" s="2" t="s">
        <v>1632</v>
      </c>
      <c r="G777" s="2" t="s">
        <v>1632</v>
      </c>
    </row>
    <row r="778" spans="6:7" ht="12.5" x14ac:dyDescent="0.25">
      <c r="F778" s="2" t="s">
        <v>1632</v>
      </c>
      <c r="G778" s="2" t="s">
        <v>1632</v>
      </c>
    </row>
    <row r="779" spans="6:7" ht="12.5" x14ac:dyDescent="0.25">
      <c r="F779" s="2" t="s">
        <v>1632</v>
      </c>
      <c r="G779" s="2" t="s">
        <v>1632</v>
      </c>
    </row>
    <row r="780" spans="6:7" ht="12.5" x14ac:dyDescent="0.25">
      <c r="F780" s="2" t="s">
        <v>1632</v>
      </c>
      <c r="G780" s="2" t="s">
        <v>1632</v>
      </c>
    </row>
    <row r="781" spans="6:7" ht="12.5" x14ac:dyDescent="0.25">
      <c r="F781" s="2" t="s">
        <v>1632</v>
      </c>
      <c r="G781" s="2" t="s">
        <v>1632</v>
      </c>
    </row>
    <row r="782" spans="6:7" ht="12.5" x14ac:dyDescent="0.25">
      <c r="F782" s="2" t="s">
        <v>1632</v>
      </c>
      <c r="G782" s="2" t="s">
        <v>1632</v>
      </c>
    </row>
    <row r="783" spans="6:7" ht="12.5" x14ac:dyDescent="0.25">
      <c r="F783" s="2" t="s">
        <v>1632</v>
      </c>
      <c r="G783" s="2" t="s">
        <v>1632</v>
      </c>
    </row>
    <row r="784" spans="6:7" ht="12.5" x14ac:dyDescent="0.25">
      <c r="F784" s="2" t="s">
        <v>1632</v>
      </c>
      <c r="G784" s="2" t="s">
        <v>1632</v>
      </c>
    </row>
    <row r="785" spans="6:7" ht="12.5" x14ac:dyDescent="0.25">
      <c r="F785" s="2" t="s">
        <v>1632</v>
      </c>
      <c r="G785" s="2" t="s">
        <v>1632</v>
      </c>
    </row>
    <row r="786" spans="6:7" ht="12.5" x14ac:dyDescent="0.25">
      <c r="F786" s="2" t="s">
        <v>1632</v>
      </c>
      <c r="G786" s="2" t="s">
        <v>1632</v>
      </c>
    </row>
    <row r="787" spans="6:7" ht="12.5" x14ac:dyDescent="0.25">
      <c r="F787" s="2" t="s">
        <v>1632</v>
      </c>
      <c r="G787" s="2" t="s">
        <v>1632</v>
      </c>
    </row>
    <row r="788" spans="6:7" ht="12.5" x14ac:dyDescent="0.25">
      <c r="F788" s="2" t="s">
        <v>1632</v>
      </c>
      <c r="G788" s="2" t="s">
        <v>1632</v>
      </c>
    </row>
    <row r="789" spans="6:7" ht="12.5" x14ac:dyDescent="0.25">
      <c r="F789" s="2" t="s">
        <v>1632</v>
      </c>
      <c r="G789" s="2" t="s">
        <v>1632</v>
      </c>
    </row>
    <row r="790" spans="6:7" ht="12.5" x14ac:dyDescent="0.25">
      <c r="F790" s="2" t="s">
        <v>1632</v>
      </c>
      <c r="G790" s="2" t="s">
        <v>1632</v>
      </c>
    </row>
    <row r="791" spans="6:7" ht="12.5" x14ac:dyDescent="0.25">
      <c r="F791" s="2" t="s">
        <v>1632</v>
      </c>
      <c r="G791" s="2" t="s">
        <v>1632</v>
      </c>
    </row>
    <row r="792" spans="6:7" ht="12.5" x14ac:dyDescent="0.25">
      <c r="F792" s="2" t="s">
        <v>1632</v>
      </c>
      <c r="G792" s="2" t="s">
        <v>1632</v>
      </c>
    </row>
    <row r="793" spans="6:7" ht="12.5" x14ac:dyDescent="0.25">
      <c r="F793" s="2" t="s">
        <v>1632</v>
      </c>
      <c r="G793" s="2" t="s">
        <v>1632</v>
      </c>
    </row>
    <row r="794" spans="6:7" ht="12.5" x14ac:dyDescent="0.25">
      <c r="F794" s="2" t="s">
        <v>1632</v>
      </c>
      <c r="G794" s="2" t="s">
        <v>1632</v>
      </c>
    </row>
    <row r="795" spans="6:7" ht="12.5" x14ac:dyDescent="0.25">
      <c r="F795" s="2" t="s">
        <v>1632</v>
      </c>
      <c r="G795" s="2" t="s">
        <v>1632</v>
      </c>
    </row>
    <row r="796" spans="6:7" ht="12.5" x14ac:dyDescent="0.25">
      <c r="F796" s="2" t="s">
        <v>1632</v>
      </c>
      <c r="G796" s="2" t="s">
        <v>1632</v>
      </c>
    </row>
    <row r="797" spans="6:7" ht="12.5" x14ac:dyDescent="0.25">
      <c r="F797" s="2" t="s">
        <v>1632</v>
      </c>
      <c r="G797" s="2" t="s">
        <v>1632</v>
      </c>
    </row>
    <row r="798" spans="6:7" ht="12.5" x14ac:dyDescent="0.25">
      <c r="F798" s="2" t="s">
        <v>1632</v>
      </c>
      <c r="G798" s="2" t="s">
        <v>1632</v>
      </c>
    </row>
    <row r="799" spans="6:7" ht="12.5" x14ac:dyDescent="0.25">
      <c r="F799" s="2" t="s">
        <v>1632</v>
      </c>
      <c r="G799" s="2" t="s">
        <v>1632</v>
      </c>
    </row>
    <row r="800" spans="6:7" ht="12.5" x14ac:dyDescent="0.25">
      <c r="F800" s="2" t="s">
        <v>1632</v>
      </c>
      <c r="G800" s="2" t="s">
        <v>1632</v>
      </c>
    </row>
    <row r="801" spans="6:7" ht="12.5" x14ac:dyDescent="0.25">
      <c r="F801" s="2" t="s">
        <v>1632</v>
      </c>
      <c r="G801" s="2" t="s">
        <v>1632</v>
      </c>
    </row>
    <row r="802" spans="6:7" ht="12.5" x14ac:dyDescent="0.25">
      <c r="F802" s="2" t="s">
        <v>1632</v>
      </c>
      <c r="G802" s="2" t="s">
        <v>1632</v>
      </c>
    </row>
    <row r="803" spans="6:7" ht="12.5" x14ac:dyDescent="0.25">
      <c r="F803" s="2" t="s">
        <v>1632</v>
      </c>
      <c r="G803" s="2" t="s">
        <v>1632</v>
      </c>
    </row>
    <row r="804" spans="6:7" ht="12.5" x14ac:dyDescent="0.25">
      <c r="F804" s="2" t="s">
        <v>1632</v>
      </c>
      <c r="G804" s="2" t="s">
        <v>1632</v>
      </c>
    </row>
    <row r="805" spans="6:7" ht="12.5" x14ac:dyDescent="0.25">
      <c r="F805" s="2" t="s">
        <v>1632</v>
      </c>
      <c r="G805" s="2" t="s">
        <v>1632</v>
      </c>
    </row>
    <row r="806" spans="6:7" ht="12.5" x14ac:dyDescent="0.25">
      <c r="F806" s="2" t="s">
        <v>1632</v>
      </c>
      <c r="G806" s="2" t="s">
        <v>1632</v>
      </c>
    </row>
    <row r="807" spans="6:7" ht="12.5" x14ac:dyDescent="0.25">
      <c r="F807" s="2" t="s">
        <v>1632</v>
      </c>
      <c r="G807" s="2" t="s">
        <v>1632</v>
      </c>
    </row>
    <row r="808" spans="6:7" ht="12.5" x14ac:dyDescent="0.25">
      <c r="F808" s="2" t="s">
        <v>1632</v>
      </c>
      <c r="G808" s="2" t="s">
        <v>1632</v>
      </c>
    </row>
    <row r="809" spans="6:7" ht="12.5" x14ac:dyDescent="0.25">
      <c r="F809" s="2" t="s">
        <v>1632</v>
      </c>
      <c r="G809" s="2" t="s">
        <v>1632</v>
      </c>
    </row>
    <row r="810" spans="6:7" ht="12.5" x14ac:dyDescent="0.25">
      <c r="F810" s="2" t="s">
        <v>1632</v>
      </c>
      <c r="G810" s="2" t="s">
        <v>1632</v>
      </c>
    </row>
    <row r="811" spans="6:7" ht="12.5" x14ac:dyDescent="0.25">
      <c r="F811" s="2" t="s">
        <v>1632</v>
      </c>
      <c r="G811" s="2" t="s">
        <v>1632</v>
      </c>
    </row>
    <row r="812" spans="6:7" ht="12.5" x14ac:dyDescent="0.25">
      <c r="F812" s="2" t="s">
        <v>1632</v>
      </c>
      <c r="G812" s="2" t="s">
        <v>1632</v>
      </c>
    </row>
    <row r="813" spans="6:7" ht="12.5" x14ac:dyDescent="0.25">
      <c r="F813" s="2" t="s">
        <v>1632</v>
      </c>
      <c r="G813" s="2" t="s">
        <v>1632</v>
      </c>
    </row>
    <row r="814" spans="6:7" ht="12.5" x14ac:dyDescent="0.25">
      <c r="F814" s="2" t="s">
        <v>1632</v>
      </c>
      <c r="G814" s="2" t="s">
        <v>1632</v>
      </c>
    </row>
    <row r="815" spans="6:7" ht="12.5" x14ac:dyDescent="0.25">
      <c r="F815" s="2" t="s">
        <v>1632</v>
      </c>
      <c r="G815" s="2" t="s">
        <v>1632</v>
      </c>
    </row>
    <row r="816" spans="6:7" ht="12.5" x14ac:dyDescent="0.25">
      <c r="F816" s="2" t="s">
        <v>1632</v>
      </c>
      <c r="G816" s="2" t="s">
        <v>1632</v>
      </c>
    </row>
    <row r="817" spans="6:7" ht="12.5" x14ac:dyDescent="0.25">
      <c r="F817" s="2" t="s">
        <v>1632</v>
      </c>
      <c r="G817" s="2" t="s">
        <v>1632</v>
      </c>
    </row>
    <row r="818" spans="6:7" ht="12.5" x14ac:dyDescent="0.25">
      <c r="F818" s="2" t="s">
        <v>1632</v>
      </c>
      <c r="G818" s="2" t="s">
        <v>1632</v>
      </c>
    </row>
    <row r="819" spans="6:7" ht="12.5" x14ac:dyDescent="0.25">
      <c r="F819" s="2" t="s">
        <v>1632</v>
      </c>
      <c r="G819" s="2" t="s">
        <v>1632</v>
      </c>
    </row>
    <row r="820" spans="6:7" ht="12.5" x14ac:dyDescent="0.25">
      <c r="F820" s="2" t="s">
        <v>1632</v>
      </c>
      <c r="G820" s="2" t="s">
        <v>1632</v>
      </c>
    </row>
    <row r="821" spans="6:7" ht="12.5" x14ac:dyDescent="0.25">
      <c r="F821" s="2" t="s">
        <v>1632</v>
      </c>
      <c r="G821" s="2" t="s">
        <v>1632</v>
      </c>
    </row>
    <row r="822" spans="6:7" ht="12.5" x14ac:dyDescent="0.25">
      <c r="F822" s="2" t="s">
        <v>1632</v>
      </c>
      <c r="G822" s="2" t="s">
        <v>1632</v>
      </c>
    </row>
    <row r="823" spans="6:7" ht="12.5" x14ac:dyDescent="0.25">
      <c r="F823" s="2" t="s">
        <v>1632</v>
      </c>
      <c r="G823" s="2" t="s">
        <v>1632</v>
      </c>
    </row>
    <row r="824" spans="6:7" ht="12.5" x14ac:dyDescent="0.25">
      <c r="F824" s="2" t="s">
        <v>1632</v>
      </c>
      <c r="G824" s="2" t="s">
        <v>1632</v>
      </c>
    </row>
    <row r="825" spans="6:7" ht="12.5" x14ac:dyDescent="0.25">
      <c r="F825" s="2" t="s">
        <v>1632</v>
      </c>
      <c r="G825" s="2" t="s">
        <v>1632</v>
      </c>
    </row>
    <row r="826" spans="6:7" ht="12.5" x14ac:dyDescent="0.25">
      <c r="F826" s="2" t="s">
        <v>1632</v>
      </c>
      <c r="G826" s="2" t="s">
        <v>1632</v>
      </c>
    </row>
    <row r="827" spans="6:7" ht="12.5" x14ac:dyDescent="0.25">
      <c r="F827" s="2" t="s">
        <v>1632</v>
      </c>
      <c r="G827" s="2" t="s">
        <v>1632</v>
      </c>
    </row>
    <row r="828" spans="6:7" ht="12.5" x14ac:dyDescent="0.25">
      <c r="F828" s="2" t="s">
        <v>1632</v>
      </c>
      <c r="G828" s="2" t="s">
        <v>1632</v>
      </c>
    </row>
    <row r="829" spans="6:7" ht="12.5" x14ac:dyDescent="0.25">
      <c r="F829" s="2" t="s">
        <v>1632</v>
      </c>
      <c r="G829" s="2" t="s">
        <v>1632</v>
      </c>
    </row>
    <row r="830" spans="6:7" ht="12.5" x14ac:dyDescent="0.25">
      <c r="F830" s="2" t="s">
        <v>1632</v>
      </c>
      <c r="G830" s="2" t="s">
        <v>1632</v>
      </c>
    </row>
    <row r="831" spans="6:7" ht="12.5" x14ac:dyDescent="0.25">
      <c r="F831" s="2" t="s">
        <v>1632</v>
      </c>
      <c r="G831" s="2" t="s">
        <v>1632</v>
      </c>
    </row>
    <row r="832" spans="6:7" ht="12.5" x14ac:dyDescent="0.25">
      <c r="F832" s="2" t="s">
        <v>1632</v>
      </c>
      <c r="G832" s="2" t="s">
        <v>1632</v>
      </c>
    </row>
    <row r="833" spans="6:7" ht="12.5" x14ac:dyDescent="0.25">
      <c r="F833" s="2" t="s">
        <v>1632</v>
      </c>
      <c r="G833" s="2" t="s">
        <v>1632</v>
      </c>
    </row>
    <row r="834" spans="6:7" ht="12.5" x14ac:dyDescent="0.25">
      <c r="F834" s="2" t="s">
        <v>1632</v>
      </c>
      <c r="G834" s="2" t="s">
        <v>1632</v>
      </c>
    </row>
    <row r="835" spans="6:7" ht="12.5" x14ac:dyDescent="0.25">
      <c r="F835" s="2" t="s">
        <v>1632</v>
      </c>
      <c r="G835" s="2" t="s">
        <v>1632</v>
      </c>
    </row>
    <row r="836" spans="6:7" ht="12.5" x14ac:dyDescent="0.25">
      <c r="F836" s="2" t="s">
        <v>1632</v>
      </c>
      <c r="G836" s="2" t="s">
        <v>1632</v>
      </c>
    </row>
    <row r="837" spans="6:7" ht="12.5" x14ac:dyDescent="0.25">
      <c r="F837" s="2" t="s">
        <v>1632</v>
      </c>
      <c r="G837" s="2" t="s">
        <v>1632</v>
      </c>
    </row>
    <row r="838" spans="6:7" ht="12.5" x14ac:dyDescent="0.25">
      <c r="F838" s="2" t="s">
        <v>1632</v>
      </c>
      <c r="G838" s="2" t="s">
        <v>1632</v>
      </c>
    </row>
    <row r="839" spans="6:7" ht="12.5" x14ac:dyDescent="0.25">
      <c r="F839" s="2" t="s">
        <v>1632</v>
      </c>
      <c r="G839" s="2" t="s">
        <v>1632</v>
      </c>
    </row>
    <row r="840" spans="6:7" ht="12.5" x14ac:dyDescent="0.25">
      <c r="F840" s="2" t="s">
        <v>1632</v>
      </c>
      <c r="G840" s="2" t="s">
        <v>1632</v>
      </c>
    </row>
    <row r="841" spans="6:7" ht="12.5" x14ac:dyDescent="0.25">
      <c r="F841" s="2" t="s">
        <v>1632</v>
      </c>
      <c r="G841" s="2" t="s">
        <v>1632</v>
      </c>
    </row>
    <row r="842" spans="6:7" ht="12.5" x14ac:dyDescent="0.25">
      <c r="F842" s="2" t="s">
        <v>1632</v>
      </c>
      <c r="G842" s="2" t="s">
        <v>1632</v>
      </c>
    </row>
    <row r="843" spans="6:7" ht="12.5" x14ac:dyDescent="0.25">
      <c r="F843" s="2" t="s">
        <v>1632</v>
      </c>
      <c r="G843" s="2" t="s">
        <v>1632</v>
      </c>
    </row>
    <row r="844" spans="6:7" ht="12.5" x14ac:dyDescent="0.25">
      <c r="F844" s="2" t="s">
        <v>1632</v>
      </c>
      <c r="G844" s="2" t="s">
        <v>1632</v>
      </c>
    </row>
    <row r="845" spans="6:7" ht="12.5" x14ac:dyDescent="0.25">
      <c r="F845" s="2" t="s">
        <v>1632</v>
      </c>
      <c r="G845" s="2" t="s">
        <v>1632</v>
      </c>
    </row>
    <row r="846" spans="6:7" ht="12.5" x14ac:dyDescent="0.25">
      <c r="F846" s="2" t="s">
        <v>1632</v>
      </c>
      <c r="G846" s="2" t="s">
        <v>1632</v>
      </c>
    </row>
    <row r="847" spans="6:7" ht="12.5" x14ac:dyDescent="0.25">
      <c r="F847" s="2" t="s">
        <v>1632</v>
      </c>
      <c r="G847" s="2" t="s">
        <v>1632</v>
      </c>
    </row>
    <row r="848" spans="6:7" ht="12.5" x14ac:dyDescent="0.25">
      <c r="F848" s="2" t="s">
        <v>1632</v>
      </c>
      <c r="G848" s="2" t="s">
        <v>1632</v>
      </c>
    </row>
    <row r="849" spans="6:7" ht="12.5" x14ac:dyDescent="0.25">
      <c r="F849" s="2" t="s">
        <v>1632</v>
      </c>
      <c r="G849" s="2" t="s">
        <v>1632</v>
      </c>
    </row>
    <row r="850" spans="6:7" ht="12.5" x14ac:dyDescent="0.25">
      <c r="F850" s="2" t="s">
        <v>1632</v>
      </c>
      <c r="G850" s="2" t="s">
        <v>1632</v>
      </c>
    </row>
    <row r="851" spans="6:7" ht="12.5" x14ac:dyDescent="0.25">
      <c r="F851" s="2" t="s">
        <v>1632</v>
      </c>
      <c r="G851" s="2" t="s">
        <v>1632</v>
      </c>
    </row>
    <row r="852" spans="6:7" ht="12.5" x14ac:dyDescent="0.25">
      <c r="F852" s="2" t="s">
        <v>1632</v>
      </c>
      <c r="G852" s="2" t="s">
        <v>1632</v>
      </c>
    </row>
    <row r="853" spans="6:7" ht="12.5" x14ac:dyDescent="0.25">
      <c r="F853" s="2" t="s">
        <v>1632</v>
      </c>
      <c r="G853" s="2" t="s">
        <v>1632</v>
      </c>
    </row>
    <row r="854" spans="6:7" ht="12.5" x14ac:dyDescent="0.25">
      <c r="F854" s="2" t="s">
        <v>1632</v>
      </c>
      <c r="G854" s="2" t="s">
        <v>1632</v>
      </c>
    </row>
    <row r="855" spans="6:7" ht="12.5" x14ac:dyDescent="0.25">
      <c r="F855" s="2" t="s">
        <v>1632</v>
      </c>
      <c r="G855" s="2" t="s">
        <v>1632</v>
      </c>
    </row>
    <row r="856" spans="6:7" ht="12.5" x14ac:dyDescent="0.25">
      <c r="F856" s="2" t="s">
        <v>1632</v>
      </c>
      <c r="G856" s="2" t="s">
        <v>1632</v>
      </c>
    </row>
    <row r="857" spans="6:7" ht="12.5" x14ac:dyDescent="0.25">
      <c r="F857" s="2" t="s">
        <v>1632</v>
      </c>
      <c r="G857" s="2" t="s">
        <v>1632</v>
      </c>
    </row>
    <row r="858" spans="6:7" ht="12.5" x14ac:dyDescent="0.25">
      <c r="F858" s="2" t="s">
        <v>1632</v>
      </c>
      <c r="G858" s="2" t="s">
        <v>1632</v>
      </c>
    </row>
    <row r="859" spans="6:7" ht="12.5" x14ac:dyDescent="0.25">
      <c r="F859" s="2" t="s">
        <v>1632</v>
      </c>
      <c r="G859" s="2" t="s">
        <v>1632</v>
      </c>
    </row>
    <row r="860" spans="6:7" ht="12.5" x14ac:dyDescent="0.25">
      <c r="F860" s="2" t="s">
        <v>1632</v>
      </c>
      <c r="G860" s="2" t="s">
        <v>1632</v>
      </c>
    </row>
    <row r="861" spans="6:7" ht="12.5" x14ac:dyDescent="0.25">
      <c r="F861" s="2" t="s">
        <v>1632</v>
      </c>
      <c r="G861" s="2" t="s">
        <v>1632</v>
      </c>
    </row>
    <row r="862" spans="6:7" ht="12.5" x14ac:dyDescent="0.25">
      <c r="F862" s="2" t="s">
        <v>1632</v>
      </c>
      <c r="G862" s="2" t="s">
        <v>1632</v>
      </c>
    </row>
    <row r="863" spans="6:7" ht="12.5" x14ac:dyDescent="0.25">
      <c r="F863" s="2" t="s">
        <v>1632</v>
      </c>
      <c r="G863" s="2" t="s">
        <v>1632</v>
      </c>
    </row>
    <row r="864" spans="6:7" ht="12.5" x14ac:dyDescent="0.25">
      <c r="F864" s="2" t="s">
        <v>1632</v>
      </c>
      <c r="G864" s="2" t="s">
        <v>1632</v>
      </c>
    </row>
    <row r="865" spans="6:7" ht="12.5" x14ac:dyDescent="0.25">
      <c r="F865" s="2" t="s">
        <v>1632</v>
      </c>
      <c r="G865" s="2" t="s">
        <v>1632</v>
      </c>
    </row>
    <row r="866" spans="6:7" ht="12.5" x14ac:dyDescent="0.25">
      <c r="F866" s="2" t="s">
        <v>1632</v>
      </c>
      <c r="G866" s="2" t="s">
        <v>1632</v>
      </c>
    </row>
    <row r="867" spans="6:7" ht="12.5" x14ac:dyDescent="0.25">
      <c r="F867" s="2" t="s">
        <v>1632</v>
      </c>
      <c r="G867" s="2" t="s">
        <v>1632</v>
      </c>
    </row>
    <row r="868" spans="6:7" ht="12.5" x14ac:dyDescent="0.25">
      <c r="F868" s="2" t="s">
        <v>1632</v>
      </c>
      <c r="G868" s="2" t="s">
        <v>1632</v>
      </c>
    </row>
    <row r="869" spans="6:7" ht="12.5" x14ac:dyDescent="0.25">
      <c r="F869" s="2" t="s">
        <v>1632</v>
      </c>
      <c r="G869" s="2" t="s">
        <v>1632</v>
      </c>
    </row>
    <row r="870" spans="6:7" ht="12.5" x14ac:dyDescent="0.25">
      <c r="F870" s="2" t="s">
        <v>1632</v>
      </c>
      <c r="G870" s="2" t="s">
        <v>1632</v>
      </c>
    </row>
    <row r="871" spans="6:7" ht="12.5" x14ac:dyDescent="0.25">
      <c r="F871" s="2" t="s">
        <v>1632</v>
      </c>
      <c r="G871" s="2" t="s">
        <v>1632</v>
      </c>
    </row>
    <row r="872" spans="6:7" ht="12.5" x14ac:dyDescent="0.25">
      <c r="F872" s="2" t="s">
        <v>1632</v>
      </c>
      <c r="G872" s="2" t="s">
        <v>1632</v>
      </c>
    </row>
    <row r="873" spans="6:7" ht="12.5" x14ac:dyDescent="0.25">
      <c r="F873" s="2" t="s">
        <v>1632</v>
      </c>
      <c r="G873" s="2" t="s">
        <v>1632</v>
      </c>
    </row>
    <row r="874" spans="6:7" ht="12.5" x14ac:dyDescent="0.25">
      <c r="F874" s="2" t="s">
        <v>1632</v>
      </c>
      <c r="G874" s="2" t="s">
        <v>1632</v>
      </c>
    </row>
    <row r="875" spans="6:7" ht="12.5" x14ac:dyDescent="0.25">
      <c r="F875" s="2" t="s">
        <v>1632</v>
      </c>
      <c r="G875" s="2" t="s">
        <v>1632</v>
      </c>
    </row>
    <row r="876" spans="6:7" ht="12.5" x14ac:dyDescent="0.25">
      <c r="F876" s="2" t="s">
        <v>1632</v>
      </c>
      <c r="G876" s="2" t="s">
        <v>1632</v>
      </c>
    </row>
    <row r="877" spans="6:7" ht="12.5" x14ac:dyDescent="0.25">
      <c r="F877" s="2" t="s">
        <v>1632</v>
      </c>
      <c r="G877" s="2" t="s">
        <v>1632</v>
      </c>
    </row>
    <row r="878" spans="6:7" ht="12.5" x14ac:dyDescent="0.25">
      <c r="F878" s="2" t="s">
        <v>1632</v>
      </c>
      <c r="G878" s="2" t="s">
        <v>1632</v>
      </c>
    </row>
    <row r="879" spans="6:7" ht="12.5" x14ac:dyDescent="0.25">
      <c r="F879" s="2" t="s">
        <v>1632</v>
      </c>
      <c r="G879" s="2" t="s">
        <v>1632</v>
      </c>
    </row>
    <row r="880" spans="6:7" ht="12.5" x14ac:dyDescent="0.25">
      <c r="F880" s="2" t="s">
        <v>1632</v>
      </c>
      <c r="G880" s="2" t="s">
        <v>1632</v>
      </c>
    </row>
    <row r="881" spans="6:7" ht="12.5" x14ac:dyDescent="0.25">
      <c r="F881" s="2" t="s">
        <v>1632</v>
      </c>
      <c r="G881" s="2" t="s">
        <v>1632</v>
      </c>
    </row>
    <row r="882" spans="6:7" ht="12.5" x14ac:dyDescent="0.25">
      <c r="F882" s="2" t="s">
        <v>1632</v>
      </c>
      <c r="G882" s="2" t="s">
        <v>1632</v>
      </c>
    </row>
    <row r="883" spans="6:7" ht="12.5" x14ac:dyDescent="0.25">
      <c r="F883" s="2" t="s">
        <v>1632</v>
      </c>
      <c r="G883" s="2" t="s">
        <v>1632</v>
      </c>
    </row>
    <row r="884" spans="6:7" ht="12.5" x14ac:dyDescent="0.25">
      <c r="F884" s="2" t="s">
        <v>1632</v>
      </c>
      <c r="G884" s="2" t="s">
        <v>1632</v>
      </c>
    </row>
    <row r="885" spans="6:7" ht="12.5" x14ac:dyDescent="0.25">
      <c r="F885" s="2" t="s">
        <v>1632</v>
      </c>
      <c r="G885" s="2" t="s">
        <v>1632</v>
      </c>
    </row>
    <row r="886" spans="6:7" ht="12.5" x14ac:dyDescent="0.25">
      <c r="F886" s="2" t="s">
        <v>1632</v>
      </c>
      <c r="G886" s="2" t="s">
        <v>1632</v>
      </c>
    </row>
    <row r="887" spans="6:7" ht="12.5" x14ac:dyDescent="0.25">
      <c r="F887" s="2" t="s">
        <v>1632</v>
      </c>
      <c r="G887" s="2" t="s">
        <v>1632</v>
      </c>
    </row>
    <row r="888" spans="6:7" ht="12.5" x14ac:dyDescent="0.25">
      <c r="F888" s="2" t="s">
        <v>1632</v>
      </c>
      <c r="G888" s="2" t="s">
        <v>1632</v>
      </c>
    </row>
    <row r="889" spans="6:7" ht="12.5" x14ac:dyDescent="0.25">
      <c r="F889" s="2" t="s">
        <v>1632</v>
      </c>
      <c r="G889" s="2" t="s">
        <v>1632</v>
      </c>
    </row>
    <row r="890" spans="6:7" ht="12.5" x14ac:dyDescent="0.25">
      <c r="F890" s="2" t="s">
        <v>1632</v>
      </c>
      <c r="G890" s="2" t="s">
        <v>1632</v>
      </c>
    </row>
    <row r="891" spans="6:7" ht="12.5" x14ac:dyDescent="0.25">
      <c r="F891" s="2" t="s">
        <v>1632</v>
      </c>
      <c r="G891" s="2" t="s">
        <v>1632</v>
      </c>
    </row>
    <row r="892" spans="6:7" ht="12.5" x14ac:dyDescent="0.25">
      <c r="F892" s="2" t="s">
        <v>1632</v>
      </c>
      <c r="G892" s="2" t="s">
        <v>1632</v>
      </c>
    </row>
    <row r="893" spans="6:7" ht="12.5" x14ac:dyDescent="0.25">
      <c r="F893" s="2" t="s">
        <v>1632</v>
      </c>
      <c r="G893" s="2" t="s">
        <v>1632</v>
      </c>
    </row>
    <row r="894" spans="6:7" ht="12.5" x14ac:dyDescent="0.25">
      <c r="F894" s="2" t="s">
        <v>1632</v>
      </c>
      <c r="G894" s="2" t="s">
        <v>1632</v>
      </c>
    </row>
    <row r="895" spans="6:7" ht="12.5" x14ac:dyDescent="0.25">
      <c r="F895" s="2" t="s">
        <v>1632</v>
      </c>
      <c r="G895" s="2" t="s">
        <v>1632</v>
      </c>
    </row>
    <row r="896" spans="6:7" ht="12.5" x14ac:dyDescent="0.25">
      <c r="F896" s="2" t="s">
        <v>1632</v>
      </c>
      <c r="G896" s="2" t="s">
        <v>1632</v>
      </c>
    </row>
    <row r="897" spans="6:7" ht="12.5" x14ac:dyDescent="0.25">
      <c r="F897" s="2" t="s">
        <v>1632</v>
      </c>
      <c r="G897" s="2" t="s">
        <v>1632</v>
      </c>
    </row>
    <row r="898" spans="6:7" ht="12.5" x14ac:dyDescent="0.25">
      <c r="F898" s="2" t="s">
        <v>1632</v>
      </c>
      <c r="G898" s="2" t="s">
        <v>1632</v>
      </c>
    </row>
    <row r="899" spans="6:7" ht="12.5" x14ac:dyDescent="0.25">
      <c r="F899" s="2" t="s">
        <v>1632</v>
      </c>
      <c r="G899" s="2" t="s">
        <v>1632</v>
      </c>
    </row>
    <row r="900" spans="6:7" ht="12.5" x14ac:dyDescent="0.25">
      <c r="F900" s="2" t="s">
        <v>1632</v>
      </c>
      <c r="G900" s="2" t="s">
        <v>1632</v>
      </c>
    </row>
    <row r="901" spans="6:7" ht="12.5" x14ac:dyDescent="0.25">
      <c r="F901" s="2" t="s">
        <v>1632</v>
      </c>
      <c r="G901" s="2" t="s">
        <v>1632</v>
      </c>
    </row>
    <row r="902" spans="6:7" ht="12.5" x14ac:dyDescent="0.25">
      <c r="F902" s="2" t="s">
        <v>1632</v>
      </c>
      <c r="G902" s="2" t="s">
        <v>1632</v>
      </c>
    </row>
    <row r="903" spans="6:7" ht="12.5" x14ac:dyDescent="0.25">
      <c r="F903" s="2" t="s">
        <v>1632</v>
      </c>
      <c r="G903" s="2" t="s">
        <v>1632</v>
      </c>
    </row>
    <row r="904" spans="6:7" ht="12.5" x14ac:dyDescent="0.25">
      <c r="F904" s="2" t="s">
        <v>1632</v>
      </c>
      <c r="G904" s="2" t="s">
        <v>1632</v>
      </c>
    </row>
    <row r="905" spans="6:7" ht="12.5" x14ac:dyDescent="0.25">
      <c r="F905" s="2" t="s">
        <v>1632</v>
      </c>
      <c r="G905" s="2" t="s">
        <v>1632</v>
      </c>
    </row>
    <row r="906" spans="6:7" ht="12.5" x14ac:dyDescent="0.25">
      <c r="F906" s="2" t="s">
        <v>1632</v>
      </c>
      <c r="G906" s="2" t="s">
        <v>1632</v>
      </c>
    </row>
    <row r="907" spans="6:7" ht="12.5" x14ac:dyDescent="0.25">
      <c r="F907" s="2" t="s">
        <v>1632</v>
      </c>
      <c r="G907" s="2" t="s">
        <v>1632</v>
      </c>
    </row>
    <row r="908" spans="6:7" ht="12.5" x14ac:dyDescent="0.25">
      <c r="F908" s="2" t="s">
        <v>1632</v>
      </c>
      <c r="G908" s="2" t="s">
        <v>1632</v>
      </c>
    </row>
    <row r="909" spans="6:7" ht="12.5" x14ac:dyDescent="0.25">
      <c r="F909" s="2" t="s">
        <v>1632</v>
      </c>
      <c r="G909" s="2" t="s">
        <v>1632</v>
      </c>
    </row>
    <row r="910" spans="6:7" ht="12.5" x14ac:dyDescent="0.25">
      <c r="F910" s="2" t="s">
        <v>1632</v>
      </c>
      <c r="G910" s="2" t="s">
        <v>1632</v>
      </c>
    </row>
    <row r="911" spans="6:7" ht="12.5" x14ac:dyDescent="0.25">
      <c r="F911" s="2" t="s">
        <v>1632</v>
      </c>
      <c r="G911" s="2" t="s">
        <v>1632</v>
      </c>
    </row>
    <row r="912" spans="6:7" ht="12.5" x14ac:dyDescent="0.25">
      <c r="F912" s="2" t="s">
        <v>1632</v>
      </c>
      <c r="G912" s="2" t="s">
        <v>1632</v>
      </c>
    </row>
    <row r="913" spans="6:7" ht="12.5" x14ac:dyDescent="0.25">
      <c r="F913" s="2" t="s">
        <v>1632</v>
      </c>
      <c r="G913" s="2" t="s">
        <v>1632</v>
      </c>
    </row>
    <row r="914" spans="6:7" ht="12.5" x14ac:dyDescent="0.25">
      <c r="F914" s="2" t="s">
        <v>1632</v>
      </c>
      <c r="G914" s="2" t="s">
        <v>1632</v>
      </c>
    </row>
    <row r="915" spans="6:7" ht="12.5" x14ac:dyDescent="0.25">
      <c r="F915" s="2" t="s">
        <v>1632</v>
      </c>
      <c r="G915" s="2" t="s">
        <v>1632</v>
      </c>
    </row>
    <row r="916" spans="6:7" ht="12.5" x14ac:dyDescent="0.25">
      <c r="F916" s="2" t="s">
        <v>1632</v>
      </c>
      <c r="G916" s="2" t="s">
        <v>1632</v>
      </c>
    </row>
    <row r="917" spans="6:7" ht="12.5" x14ac:dyDescent="0.25">
      <c r="F917" s="2" t="s">
        <v>1632</v>
      </c>
      <c r="G917" s="2" t="s">
        <v>1632</v>
      </c>
    </row>
    <row r="918" spans="6:7" ht="12.5" x14ac:dyDescent="0.25">
      <c r="F918" s="2" t="s">
        <v>1632</v>
      </c>
      <c r="G918" s="2" t="s">
        <v>1632</v>
      </c>
    </row>
    <row r="919" spans="6:7" ht="12.5" x14ac:dyDescent="0.25">
      <c r="F919" s="2" t="s">
        <v>1632</v>
      </c>
      <c r="G919" s="2" t="s">
        <v>1632</v>
      </c>
    </row>
    <row r="920" spans="6:7" ht="12.5" x14ac:dyDescent="0.25">
      <c r="F920" s="2" t="s">
        <v>1632</v>
      </c>
      <c r="G920" s="2" t="s">
        <v>1632</v>
      </c>
    </row>
    <row r="921" spans="6:7" ht="12.5" x14ac:dyDescent="0.25">
      <c r="F921" s="2" t="s">
        <v>1632</v>
      </c>
      <c r="G921" s="2" t="s">
        <v>1632</v>
      </c>
    </row>
    <row r="922" spans="6:7" ht="12.5" x14ac:dyDescent="0.25">
      <c r="F922" s="2" t="s">
        <v>1632</v>
      </c>
      <c r="G922" s="2" t="s">
        <v>1632</v>
      </c>
    </row>
    <row r="923" spans="6:7" ht="12.5" x14ac:dyDescent="0.25">
      <c r="F923" s="2" t="s">
        <v>1632</v>
      </c>
      <c r="G923" s="2" t="s">
        <v>1632</v>
      </c>
    </row>
    <row r="924" spans="6:7" ht="12.5" x14ac:dyDescent="0.25">
      <c r="F924" s="2" t="s">
        <v>1632</v>
      </c>
      <c r="G924" s="2" t="s">
        <v>1632</v>
      </c>
    </row>
    <row r="925" spans="6:7" ht="12.5" x14ac:dyDescent="0.25">
      <c r="F925" s="2" t="s">
        <v>1632</v>
      </c>
      <c r="G925" s="2" t="s">
        <v>1632</v>
      </c>
    </row>
    <row r="926" spans="6:7" ht="12.5" x14ac:dyDescent="0.25">
      <c r="F926" s="2" t="s">
        <v>1632</v>
      </c>
      <c r="G926" s="2" t="s">
        <v>1632</v>
      </c>
    </row>
    <row r="927" spans="6:7" ht="12.5" x14ac:dyDescent="0.25">
      <c r="F927" s="2" t="s">
        <v>1632</v>
      </c>
      <c r="G927" s="2" t="s">
        <v>1632</v>
      </c>
    </row>
    <row r="928" spans="6:7" ht="12.5" x14ac:dyDescent="0.25">
      <c r="F928" s="2" t="s">
        <v>1632</v>
      </c>
      <c r="G928" s="2" t="s">
        <v>1632</v>
      </c>
    </row>
    <row r="929" spans="6:7" ht="12.5" x14ac:dyDescent="0.25">
      <c r="F929" s="2" t="s">
        <v>1632</v>
      </c>
      <c r="G929" s="2" t="s">
        <v>1632</v>
      </c>
    </row>
    <row r="930" spans="6:7" ht="12.5" x14ac:dyDescent="0.25">
      <c r="F930" s="2" t="s">
        <v>1632</v>
      </c>
      <c r="G930" s="2" t="s">
        <v>1632</v>
      </c>
    </row>
    <row r="931" spans="6:7" ht="12.5" x14ac:dyDescent="0.25">
      <c r="F931" s="2" t="s">
        <v>1632</v>
      </c>
      <c r="G931" s="2" t="s">
        <v>1632</v>
      </c>
    </row>
    <row r="932" spans="6:7" ht="12.5" x14ac:dyDescent="0.25">
      <c r="F932" s="2" t="s">
        <v>1632</v>
      </c>
      <c r="G932" s="2" t="s">
        <v>1632</v>
      </c>
    </row>
    <row r="933" spans="6:7" ht="12.5" x14ac:dyDescent="0.25">
      <c r="F933" s="2" t="s">
        <v>1632</v>
      </c>
      <c r="G933" s="2" t="s">
        <v>1632</v>
      </c>
    </row>
    <row r="934" spans="6:7" ht="12.5" x14ac:dyDescent="0.25">
      <c r="F934" s="2" t="s">
        <v>1632</v>
      </c>
      <c r="G934" s="2" t="s">
        <v>1632</v>
      </c>
    </row>
    <row r="935" spans="6:7" ht="12.5" x14ac:dyDescent="0.25">
      <c r="F935" s="2" t="s">
        <v>1632</v>
      </c>
      <c r="G935" s="2" t="s">
        <v>1632</v>
      </c>
    </row>
    <row r="936" spans="6:7" ht="12.5" x14ac:dyDescent="0.25">
      <c r="F936" s="2" t="s">
        <v>1632</v>
      </c>
      <c r="G936" s="2" t="s">
        <v>1632</v>
      </c>
    </row>
    <row r="937" spans="6:7" ht="12.5" x14ac:dyDescent="0.25">
      <c r="F937" s="2" t="s">
        <v>1632</v>
      </c>
      <c r="G937" s="2" t="s">
        <v>1632</v>
      </c>
    </row>
    <row r="938" spans="6:7" ht="12.5" x14ac:dyDescent="0.25">
      <c r="F938" s="2" t="s">
        <v>1632</v>
      </c>
      <c r="G938" s="2" t="s">
        <v>1632</v>
      </c>
    </row>
    <row r="939" spans="6:7" ht="12.5" x14ac:dyDescent="0.25">
      <c r="F939" s="2" t="s">
        <v>1632</v>
      </c>
      <c r="G939" s="2" t="s">
        <v>1632</v>
      </c>
    </row>
    <row r="940" spans="6:7" ht="12.5" x14ac:dyDescent="0.25">
      <c r="F940" s="2" t="s">
        <v>1632</v>
      </c>
      <c r="G940" s="2" t="s">
        <v>1632</v>
      </c>
    </row>
    <row r="941" spans="6:7" ht="12.5" x14ac:dyDescent="0.25">
      <c r="F941" s="2" t="s">
        <v>1632</v>
      </c>
      <c r="G941" s="2" t="s">
        <v>1632</v>
      </c>
    </row>
    <row r="942" spans="6:7" ht="12.5" x14ac:dyDescent="0.25">
      <c r="F942" s="2" t="s">
        <v>1632</v>
      </c>
      <c r="G942" s="2" t="s">
        <v>1632</v>
      </c>
    </row>
    <row r="943" spans="6:7" ht="12.5" x14ac:dyDescent="0.25">
      <c r="F943" s="2" t="s">
        <v>1632</v>
      </c>
      <c r="G943" s="2" t="s">
        <v>1632</v>
      </c>
    </row>
    <row r="944" spans="6:7" ht="12.5" x14ac:dyDescent="0.25">
      <c r="F944" s="2" t="s">
        <v>1632</v>
      </c>
      <c r="G944" s="2" t="s">
        <v>1632</v>
      </c>
    </row>
    <row r="945" spans="6:7" ht="12.5" x14ac:dyDescent="0.25">
      <c r="F945" s="2" t="s">
        <v>1632</v>
      </c>
      <c r="G945" s="2" t="s">
        <v>1632</v>
      </c>
    </row>
    <row r="946" spans="6:7" ht="12.5" x14ac:dyDescent="0.25">
      <c r="F946" s="2" t="s">
        <v>1632</v>
      </c>
      <c r="G946" s="2" t="s">
        <v>1632</v>
      </c>
    </row>
    <row r="947" spans="6:7" ht="12.5" x14ac:dyDescent="0.25">
      <c r="F947" s="2" t="s">
        <v>1632</v>
      </c>
      <c r="G947" s="2" t="s">
        <v>1632</v>
      </c>
    </row>
    <row r="948" spans="6:7" ht="12.5" x14ac:dyDescent="0.25">
      <c r="F948" s="2" t="s">
        <v>1632</v>
      </c>
      <c r="G948" s="2" t="s">
        <v>1632</v>
      </c>
    </row>
    <row r="949" spans="6:7" ht="12.5" x14ac:dyDescent="0.25">
      <c r="F949" s="2" t="s">
        <v>1632</v>
      </c>
      <c r="G949" s="2" t="s">
        <v>1632</v>
      </c>
    </row>
    <row r="950" spans="6:7" ht="12.5" x14ac:dyDescent="0.25">
      <c r="F950" s="2" t="s">
        <v>1632</v>
      </c>
      <c r="G950" s="2" t="s">
        <v>1632</v>
      </c>
    </row>
    <row r="951" spans="6:7" ht="12.5" x14ac:dyDescent="0.25">
      <c r="F951" s="2" t="s">
        <v>1632</v>
      </c>
      <c r="G951" s="2" t="s">
        <v>1632</v>
      </c>
    </row>
    <row r="952" spans="6:7" ht="12.5" x14ac:dyDescent="0.25">
      <c r="F952" s="2" t="s">
        <v>1632</v>
      </c>
      <c r="G952" s="2" t="s">
        <v>1632</v>
      </c>
    </row>
    <row r="953" spans="6:7" ht="12.5" x14ac:dyDescent="0.25">
      <c r="F953" s="2" t="s">
        <v>1632</v>
      </c>
      <c r="G953" s="2" t="s">
        <v>1632</v>
      </c>
    </row>
    <row r="954" spans="6:7" ht="12.5" x14ac:dyDescent="0.25">
      <c r="F954" s="2" t="s">
        <v>1632</v>
      </c>
      <c r="G954" s="2" t="s">
        <v>1632</v>
      </c>
    </row>
    <row r="955" spans="6:7" ht="12.5" x14ac:dyDescent="0.25">
      <c r="F955" s="2" t="s">
        <v>1632</v>
      </c>
      <c r="G955" s="2" t="s">
        <v>1632</v>
      </c>
    </row>
    <row r="956" spans="6:7" ht="12.5" x14ac:dyDescent="0.25">
      <c r="F956" s="2" t="s">
        <v>1632</v>
      </c>
      <c r="G956" s="2" t="s">
        <v>1632</v>
      </c>
    </row>
    <row r="957" spans="6:7" ht="12.5" x14ac:dyDescent="0.25">
      <c r="F957" s="2" t="s">
        <v>1632</v>
      </c>
      <c r="G957" s="2" t="s">
        <v>1632</v>
      </c>
    </row>
    <row r="958" spans="6:7" ht="12.5" x14ac:dyDescent="0.25">
      <c r="F958" s="2" t="s">
        <v>1632</v>
      </c>
      <c r="G958" s="2" t="s">
        <v>1632</v>
      </c>
    </row>
    <row r="959" spans="6:7" ht="12.5" x14ac:dyDescent="0.25">
      <c r="F959" s="2" t="s">
        <v>1632</v>
      </c>
      <c r="G959" s="2" t="s">
        <v>1632</v>
      </c>
    </row>
    <row r="960" spans="6:7" ht="12.5" x14ac:dyDescent="0.25">
      <c r="F960" s="2" t="s">
        <v>1632</v>
      </c>
      <c r="G960" s="2" t="s">
        <v>1632</v>
      </c>
    </row>
    <row r="961" spans="6:7" ht="12.5" x14ac:dyDescent="0.25">
      <c r="F961" s="2" t="s">
        <v>1632</v>
      </c>
      <c r="G961" s="2" t="s">
        <v>1632</v>
      </c>
    </row>
    <row r="962" spans="6:7" ht="12.5" x14ac:dyDescent="0.25">
      <c r="F962" s="2" t="s">
        <v>1632</v>
      </c>
      <c r="G962" s="2" t="s">
        <v>1632</v>
      </c>
    </row>
    <row r="963" spans="6:7" ht="12.5" x14ac:dyDescent="0.25">
      <c r="F963" s="2" t="s">
        <v>1632</v>
      </c>
      <c r="G963" s="2" t="s">
        <v>1632</v>
      </c>
    </row>
    <row r="964" spans="6:7" ht="12.5" x14ac:dyDescent="0.25">
      <c r="F964" s="2" t="s">
        <v>1632</v>
      </c>
      <c r="G964" s="2" t="s">
        <v>1632</v>
      </c>
    </row>
    <row r="965" spans="6:7" ht="12.5" x14ac:dyDescent="0.25">
      <c r="F965" s="2" t="s">
        <v>1632</v>
      </c>
      <c r="G965" s="2" t="s">
        <v>1632</v>
      </c>
    </row>
    <row r="966" spans="6:7" ht="12.5" x14ac:dyDescent="0.25">
      <c r="F966" s="2" t="s">
        <v>1632</v>
      </c>
      <c r="G966" s="2" t="s">
        <v>1632</v>
      </c>
    </row>
    <row r="967" spans="6:7" ht="12.5" x14ac:dyDescent="0.25">
      <c r="F967" s="2" t="s">
        <v>1632</v>
      </c>
      <c r="G967" s="2" t="s">
        <v>1632</v>
      </c>
    </row>
    <row r="968" spans="6:7" ht="12.5" x14ac:dyDescent="0.25">
      <c r="F968" s="2" t="s">
        <v>1632</v>
      </c>
      <c r="G968" s="2" t="s">
        <v>1632</v>
      </c>
    </row>
    <row r="969" spans="6:7" ht="12.5" x14ac:dyDescent="0.25">
      <c r="F969" s="2" t="s">
        <v>1632</v>
      </c>
      <c r="G969" s="2" t="s">
        <v>1632</v>
      </c>
    </row>
    <row r="970" spans="6:7" ht="12.5" x14ac:dyDescent="0.25">
      <c r="F970" s="2" t="s">
        <v>1632</v>
      </c>
      <c r="G970" s="2" t="s">
        <v>1632</v>
      </c>
    </row>
    <row r="971" spans="6:7" ht="12.5" x14ac:dyDescent="0.25">
      <c r="F971" s="2" t="s">
        <v>1632</v>
      </c>
      <c r="G971" s="2" t="s">
        <v>1632</v>
      </c>
    </row>
    <row r="972" spans="6:7" ht="12.5" x14ac:dyDescent="0.25">
      <c r="F972" s="2" t="s">
        <v>1632</v>
      </c>
      <c r="G972" s="2" t="s">
        <v>1632</v>
      </c>
    </row>
    <row r="973" spans="6:7" ht="12.5" x14ac:dyDescent="0.25">
      <c r="F973" s="2" t="s">
        <v>1632</v>
      </c>
      <c r="G973" s="2" t="s">
        <v>1632</v>
      </c>
    </row>
    <row r="974" spans="6:7" ht="12.5" x14ac:dyDescent="0.25">
      <c r="F974" s="2" t="s">
        <v>1632</v>
      </c>
      <c r="G974" s="2" t="s">
        <v>1632</v>
      </c>
    </row>
    <row r="975" spans="6:7" ht="12.5" x14ac:dyDescent="0.25">
      <c r="F975" s="2" t="s">
        <v>1632</v>
      </c>
      <c r="G975" s="2" t="s">
        <v>1632</v>
      </c>
    </row>
    <row r="976" spans="6:7" ht="12.5" x14ac:dyDescent="0.25">
      <c r="F976" s="2" t="s">
        <v>1632</v>
      </c>
      <c r="G976" s="2" t="s">
        <v>1632</v>
      </c>
    </row>
    <row r="977" spans="6:7" ht="12.5" x14ac:dyDescent="0.25">
      <c r="F977" s="2" t="s">
        <v>1632</v>
      </c>
      <c r="G977" s="2" t="s">
        <v>1632</v>
      </c>
    </row>
    <row r="978" spans="6:7" ht="12.5" x14ac:dyDescent="0.25">
      <c r="F978" s="2" t="s">
        <v>1632</v>
      </c>
      <c r="G978" s="2" t="s">
        <v>1632</v>
      </c>
    </row>
    <row r="979" spans="6:7" ht="12.5" x14ac:dyDescent="0.25">
      <c r="F979" s="2" t="s">
        <v>1632</v>
      </c>
      <c r="G979" s="2" t="s">
        <v>1632</v>
      </c>
    </row>
    <row r="980" spans="6:7" ht="12.5" x14ac:dyDescent="0.25">
      <c r="F980" s="2" t="s">
        <v>1632</v>
      </c>
      <c r="G980" s="2" t="s">
        <v>1632</v>
      </c>
    </row>
    <row r="981" spans="6:7" ht="12.5" x14ac:dyDescent="0.25">
      <c r="F981" s="2" t="s">
        <v>1632</v>
      </c>
      <c r="G981" s="2" t="s">
        <v>1632</v>
      </c>
    </row>
    <row r="982" spans="6:7" ht="12.5" x14ac:dyDescent="0.25">
      <c r="F982" s="2" t="s">
        <v>1632</v>
      </c>
      <c r="G982" s="2" t="s">
        <v>1632</v>
      </c>
    </row>
    <row r="983" spans="6:7" ht="12.5" x14ac:dyDescent="0.25">
      <c r="F983" s="2" t="s">
        <v>1632</v>
      </c>
      <c r="G983" s="2" t="s">
        <v>1632</v>
      </c>
    </row>
    <row r="984" spans="6:7" ht="12.5" x14ac:dyDescent="0.25">
      <c r="F984" s="2" t="s">
        <v>1632</v>
      </c>
      <c r="G984" s="2" t="s">
        <v>1632</v>
      </c>
    </row>
    <row r="985" spans="6:7" ht="12.5" x14ac:dyDescent="0.25">
      <c r="F985" s="2" t="s">
        <v>1632</v>
      </c>
      <c r="G985" s="2" t="s">
        <v>1632</v>
      </c>
    </row>
    <row r="986" spans="6:7" ht="12.5" x14ac:dyDescent="0.25">
      <c r="F986" s="2" t="s">
        <v>1632</v>
      </c>
      <c r="G986" s="2" t="s">
        <v>1632</v>
      </c>
    </row>
    <row r="987" spans="6:7" ht="12.5" x14ac:dyDescent="0.25">
      <c r="F987" s="2" t="s">
        <v>1632</v>
      </c>
      <c r="G987" s="2" t="s">
        <v>1632</v>
      </c>
    </row>
    <row r="988" spans="6:7" ht="12.5" x14ac:dyDescent="0.25">
      <c r="F988" s="2" t="s">
        <v>1632</v>
      </c>
      <c r="G988" s="2" t="s">
        <v>1632</v>
      </c>
    </row>
    <row r="989" spans="6:7" ht="12.5" x14ac:dyDescent="0.25">
      <c r="F989" s="2" t="s">
        <v>1632</v>
      </c>
      <c r="G989" s="2" t="s">
        <v>1632</v>
      </c>
    </row>
    <row r="990" spans="6:7" ht="12.5" x14ac:dyDescent="0.25">
      <c r="F990" s="2" t="s">
        <v>1632</v>
      </c>
      <c r="G990" s="2" t="s">
        <v>1632</v>
      </c>
    </row>
    <row r="991" spans="6:7" ht="12.5" x14ac:dyDescent="0.25">
      <c r="F991" s="2" t="s">
        <v>1632</v>
      </c>
      <c r="G991" s="2" t="s">
        <v>1632</v>
      </c>
    </row>
    <row r="992" spans="6:7" ht="12.5" x14ac:dyDescent="0.25">
      <c r="F992" s="2" t="s">
        <v>1632</v>
      </c>
      <c r="G992" s="2" t="s">
        <v>1632</v>
      </c>
    </row>
    <row r="993" spans="6:7" ht="12.5" x14ac:dyDescent="0.25">
      <c r="F993" s="2" t="s">
        <v>1632</v>
      </c>
      <c r="G993" s="2" t="s">
        <v>1632</v>
      </c>
    </row>
    <row r="994" spans="6:7" ht="12.5" x14ac:dyDescent="0.25">
      <c r="F994" s="2" t="s">
        <v>1632</v>
      </c>
      <c r="G994" s="2" t="s">
        <v>1632</v>
      </c>
    </row>
    <row r="995" spans="6:7" ht="12.5" x14ac:dyDescent="0.25">
      <c r="F995" s="2" t="s">
        <v>1632</v>
      </c>
      <c r="G995" s="2" t="s">
        <v>1632</v>
      </c>
    </row>
    <row r="996" spans="6:7" ht="12.5" x14ac:dyDescent="0.25">
      <c r="F996" s="2" t="s">
        <v>1632</v>
      </c>
      <c r="G996" s="2" t="s">
        <v>1632</v>
      </c>
    </row>
    <row r="997" spans="6:7" ht="12.5" x14ac:dyDescent="0.25">
      <c r="F997" s="2" t="s">
        <v>1632</v>
      </c>
      <c r="G997" s="2" t="s">
        <v>1632</v>
      </c>
    </row>
    <row r="998" spans="6:7" ht="12.5" x14ac:dyDescent="0.25">
      <c r="F998" s="2" t="s">
        <v>1632</v>
      </c>
      <c r="G998" s="2" t="s">
        <v>1632</v>
      </c>
    </row>
    <row r="999" spans="6:7" ht="12.5" x14ac:dyDescent="0.25">
      <c r="F999" s="2" t="s">
        <v>1632</v>
      </c>
      <c r="G999" s="2" t="s">
        <v>1632</v>
      </c>
    </row>
    <row r="1000" spans="6:7" ht="12.5" x14ac:dyDescent="0.25">
      <c r="F1000" s="2" t="s">
        <v>1632</v>
      </c>
      <c r="G1000" s="2" t="s">
        <v>1632</v>
      </c>
    </row>
  </sheetData>
  <autoFilter ref="A1:K600" xr:uid="{00000000-0009-0000-0000-000003000000}"/>
  <pageMargins left="0.511811024" right="0.511811024" top="0.78740157499999996" bottom="0.78740157499999996" header="0.31496062000000002" footer="0.31496062000000002"/>
  <pageSetup paperSize="9" orientation="portrait" verticalDpi="597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rgb="FF00B0B0"/>
    <outlinePr summaryBelow="0" summaryRight="0"/>
  </sheetPr>
  <dimension ref="A1:Z1063"/>
  <sheetViews>
    <sheetView workbookViewId="0">
      <pane ySplit="2" topLeftCell="A3" activePane="bottomLeft" state="frozen"/>
      <selection pane="bottomLeft" activeCell="B4" sqref="B4"/>
    </sheetView>
  </sheetViews>
  <sheetFormatPr defaultColWidth="12.6328125" defaultRowHeight="15.75" customHeight="1" x14ac:dyDescent="0.25"/>
  <cols>
    <col min="1" max="1" width="20.08984375" customWidth="1"/>
    <col min="2" max="2" width="37.6328125" customWidth="1"/>
    <col min="3" max="3" width="13.08984375" customWidth="1"/>
    <col min="4" max="4" width="16.08984375" customWidth="1"/>
    <col min="5" max="5" width="14.08984375" customWidth="1"/>
    <col min="6" max="6" width="17.08984375" customWidth="1"/>
    <col min="7" max="8" width="19.08984375" customWidth="1"/>
    <col min="9" max="9" width="14.08984375" customWidth="1"/>
    <col min="10" max="10" width="16.36328125" customWidth="1"/>
    <col min="11" max="11" width="11.08984375" customWidth="1"/>
    <col min="12" max="12" width="18.08984375" customWidth="1"/>
    <col min="13" max="13" width="21.08984375" customWidth="1"/>
    <col min="14" max="15" width="23.08984375" customWidth="1"/>
    <col min="16" max="16" width="18.08984375" customWidth="1"/>
    <col min="17" max="18" width="37.6328125" customWidth="1"/>
    <col min="19" max="19" width="30.08984375" customWidth="1"/>
  </cols>
  <sheetData>
    <row r="1" spans="1:26" ht="33.75" customHeight="1" x14ac:dyDescent="0.25">
      <c r="A1" s="17" t="s">
        <v>4222</v>
      </c>
      <c r="B1" s="17" t="s">
        <v>1632</v>
      </c>
      <c r="C1" s="17" t="s">
        <v>1632</v>
      </c>
      <c r="D1" s="17" t="s">
        <v>1632</v>
      </c>
      <c r="E1" s="17" t="s">
        <v>1632</v>
      </c>
      <c r="F1" s="17" t="s">
        <v>1632</v>
      </c>
      <c r="G1" s="17" t="s">
        <v>1632</v>
      </c>
      <c r="H1" s="17" t="s">
        <v>1632</v>
      </c>
      <c r="I1" s="17" t="s">
        <v>1632</v>
      </c>
      <c r="J1" s="17" t="s">
        <v>1632</v>
      </c>
      <c r="K1" s="17" t="s">
        <v>1632</v>
      </c>
      <c r="L1" s="17" t="s">
        <v>1632</v>
      </c>
      <c r="M1" s="17" t="s">
        <v>1632</v>
      </c>
      <c r="N1" s="17" t="s">
        <v>1632</v>
      </c>
      <c r="O1" s="17" t="s">
        <v>1632</v>
      </c>
      <c r="P1" s="17" t="s">
        <v>1632</v>
      </c>
      <c r="Q1" s="17" t="s">
        <v>1632</v>
      </c>
      <c r="R1" s="17" t="s">
        <v>1632</v>
      </c>
      <c r="S1" s="17" t="s">
        <v>1632</v>
      </c>
      <c r="T1" s="17"/>
      <c r="U1" s="17"/>
      <c r="V1" s="17"/>
      <c r="W1" s="17"/>
      <c r="X1" s="17"/>
      <c r="Y1" s="17"/>
      <c r="Z1" s="17"/>
    </row>
    <row r="2" spans="1:26" ht="22.5" customHeight="1" x14ac:dyDescent="0.25">
      <c r="A2" s="15" t="s">
        <v>1633</v>
      </c>
      <c r="B2" s="15" t="s">
        <v>1634</v>
      </c>
      <c r="C2" s="15" t="s">
        <v>1635</v>
      </c>
      <c r="D2" s="15" t="s">
        <v>0</v>
      </c>
      <c r="E2" s="15" t="s">
        <v>1636</v>
      </c>
      <c r="F2" s="15" t="s">
        <v>1637</v>
      </c>
      <c r="G2" s="15" t="s">
        <v>1638</v>
      </c>
      <c r="H2" s="15" t="s">
        <v>1639</v>
      </c>
      <c r="I2" s="15" t="s">
        <v>1640</v>
      </c>
      <c r="J2" s="15" t="s">
        <v>1625</v>
      </c>
      <c r="K2" s="15" t="s">
        <v>1641</v>
      </c>
      <c r="L2" s="15" t="s">
        <v>1642</v>
      </c>
      <c r="M2" s="15" t="s">
        <v>1643</v>
      </c>
      <c r="N2" s="15" t="s">
        <v>1644</v>
      </c>
      <c r="O2" s="15" t="s">
        <v>1645</v>
      </c>
      <c r="P2" s="15" t="s">
        <v>1646</v>
      </c>
      <c r="Q2" s="15" t="s">
        <v>1647</v>
      </c>
      <c r="R2" s="15" t="s">
        <v>387</v>
      </c>
      <c r="S2" s="15" t="s">
        <v>1648</v>
      </c>
      <c r="T2" s="16"/>
      <c r="U2" s="16"/>
      <c r="V2" s="16"/>
      <c r="W2" s="16"/>
      <c r="X2" s="16"/>
      <c r="Y2" s="16"/>
      <c r="Z2" s="16"/>
    </row>
    <row r="3" spans="1:26" ht="12.5" hidden="1" x14ac:dyDescent="0.25">
      <c r="A3" s="14" t="str">
        <f>HYPERLINK("https://gerandofalcoes.my.salesforce.com/0014P00003AN2h6QAD", "0014P00003AN2h6QAD")</f>
        <v>0014P00003AN2h6QAD</v>
      </c>
      <c r="B3" s="2" t="s">
        <v>1649</v>
      </c>
      <c r="C3" s="2" t="s">
        <v>423</v>
      </c>
      <c r="D3" s="2" t="s">
        <v>27</v>
      </c>
      <c r="E3" s="2">
        <v>98</v>
      </c>
      <c r="F3" s="2">
        <v>13</v>
      </c>
      <c r="G3" s="2">
        <v>3</v>
      </c>
      <c r="H3" s="2">
        <v>245092.99</v>
      </c>
      <c r="I3" s="2">
        <v>182</v>
      </c>
      <c r="J3" s="2" t="s">
        <v>1650</v>
      </c>
      <c r="K3" s="2">
        <v>77</v>
      </c>
      <c r="L3" s="2">
        <v>30</v>
      </c>
      <c r="M3" s="2">
        <v>12</v>
      </c>
      <c r="N3" s="2">
        <v>8</v>
      </c>
      <c r="O3" s="2">
        <v>15</v>
      </c>
      <c r="P3" s="2">
        <v>12</v>
      </c>
      <c r="Q3" s="2" t="s">
        <v>1651</v>
      </c>
      <c r="R3" s="2" t="s">
        <v>1652</v>
      </c>
      <c r="S3" s="4">
        <v>44837</v>
      </c>
    </row>
    <row r="4" spans="1:26" ht="12.5" hidden="1" x14ac:dyDescent="0.25">
      <c r="A4" s="14" t="str">
        <f>HYPERLINK("https://gerandofalcoes.my.salesforce.com/0014P00003AN2GPQA1", "0014P00003AN2GPQA1")</f>
        <v>0014P00003AN2GPQA1</v>
      </c>
      <c r="B4" s="2" t="s">
        <v>1653</v>
      </c>
      <c r="C4" s="2" t="s">
        <v>423</v>
      </c>
      <c r="D4" s="2" t="s">
        <v>27</v>
      </c>
      <c r="E4" s="2">
        <v>97</v>
      </c>
      <c r="F4" s="2">
        <v>33</v>
      </c>
      <c r="G4" s="2">
        <v>4</v>
      </c>
      <c r="H4" s="2">
        <v>1500734.93</v>
      </c>
      <c r="I4" s="2">
        <v>378</v>
      </c>
      <c r="J4" s="2" t="s">
        <v>1654</v>
      </c>
      <c r="K4" s="2">
        <v>95</v>
      </c>
      <c r="L4" s="2">
        <v>30</v>
      </c>
      <c r="M4" s="2">
        <v>15</v>
      </c>
      <c r="N4" s="2">
        <v>10</v>
      </c>
      <c r="O4" s="2">
        <v>25</v>
      </c>
      <c r="P4" s="2">
        <v>15</v>
      </c>
      <c r="Q4" s="2" t="s">
        <v>36</v>
      </c>
      <c r="R4" s="2" t="s">
        <v>553</v>
      </c>
      <c r="S4" s="4">
        <v>44837</v>
      </c>
    </row>
    <row r="5" spans="1:26" ht="12.5" hidden="1" x14ac:dyDescent="0.25">
      <c r="A5" s="14" t="str">
        <f>HYPERLINK("https://gerandofalcoes.my.salesforce.com/0014P00003AN2GNQA1", "0014P00003AN2GNQA1")</f>
        <v>0014P00003AN2GNQA1</v>
      </c>
      <c r="B5" s="2" t="s">
        <v>1655</v>
      </c>
      <c r="C5" s="2" t="s">
        <v>423</v>
      </c>
      <c r="D5" s="2" t="s">
        <v>27</v>
      </c>
      <c r="E5" s="2">
        <v>96</v>
      </c>
      <c r="F5" s="2">
        <v>22</v>
      </c>
      <c r="G5" s="2">
        <v>4</v>
      </c>
      <c r="H5" s="2">
        <v>392688.36</v>
      </c>
      <c r="I5" s="2">
        <v>341</v>
      </c>
      <c r="J5" s="2" t="s">
        <v>1654</v>
      </c>
      <c r="K5" s="2">
        <v>87</v>
      </c>
      <c r="L5" s="2">
        <v>30</v>
      </c>
      <c r="M5" s="2">
        <v>12</v>
      </c>
      <c r="N5" s="2">
        <v>10</v>
      </c>
      <c r="O5" s="2">
        <v>20</v>
      </c>
      <c r="P5" s="2">
        <v>15</v>
      </c>
      <c r="Q5" s="2" t="s">
        <v>43</v>
      </c>
      <c r="R5" s="2" t="s">
        <v>43</v>
      </c>
      <c r="S5" s="4">
        <v>44837</v>
      </c>
    </row>
    <row r="6" spans="1:26" ht="12.5" hidden="1" x14ac:dyDescent="0.25">
      <c r="A6" s="14" t="str">
        <f>HYPERLINK("https://gerandofalcoes.my.salesforce.com/0014P00003SGWPiQAP", "0014P00003SGWPiQAP")</f>
        <v>0014P00003SGWPiQAP</v>
      </c>
      <c r="B6" s="2" t="s">
        <v>1656</v>
      </c>
      <c r="C6" s="2" t="s">
        <v>423</v>
      </c>
      <c r="D6" s="2" t="s">
        <v>27</v>
      </c>
      <c r="E6" s="2">
        <v>96</v>
      </c>
      <c r="F6" s="2">
        <v>8</v>
      </c>
      <c r="G6" s="2">
        <v>4</v>
      </c>
      <c r="H6" s="2">
        <v>587278.81999999995</v>
      </c>
      <c r="I6" s="2">
        <v>115</v>
      </c>
      <c r="J6" s="2" t="s">
        <v>1654</v>
      </c>
      <c r="K6" s="2">
        <v>80</v>
      </c>
      <c r="L6" s="2">
        <v>30</v>
      </c>
      <c r="M6" s="2">
        <v>10</v>
      </c>
      <c r="N6" s="2">
        <v>10</v>
      </c>
      <c r="O6" s="2">
        <v>20</v>
      </c>
      <c r="P6" s="2">
        <v>10</v>
      </c>
      <c r="Q6" s="2" t="s">
        <v>1657</v>
      </c>
      <c r="R6" s="2" t="s">
        <v>1657</v>
      </c>
      <c r="S6" s="4">
        <v>44837</v>
      </c>
    </row>
    <row r="7" spans="1:26" ht="12.5" hidden="1" x14ac:dyDescent="0.25">
      <c r="A7" s="14" t="str">
        <f>HYPERLINK("https://gerandofalcoes.my.salesforce.com/0014P00003AN2FqQAL", "0014P00003AN2FqQAL")</f>
        <v>0014P00003AN2FqQAL</v>
      </c>
      <c r="B7" s="2" t="s">
        <v>1658</v>
      </c>
      <c r="C7" s="2" t="s">
        <v>423</v>
      </c>
      <c r="D7" s="2" t="s">
        <v>27</v>
      </c>
      <c r="E7" s="2">
        <v>95</v>
      </c>
      <c r="F7" s="2">
        <v>46</v>
      </c>
      <c r="G7" s="2">
        <v>4</v>
      </c>
      <c r="H7" s="2">
        <v>1272655.06</v>
      </c>
      <c r="I7" s="2">
        <v>348</v>
      </c>
      <c r="J7" s="2" t="s">
        <v>1654</v>
      </c>
      <c r="K7" s="2">
        <v>95</v>
      </c>
      <c r="L7" s="2">
        <v>30</v>
      </c>
      <c r="M7" s="2">
        <v>15</v>
      </c>
      <c r="N7" s="2">
        <v>10</v>
      </c>
      <c r="O7" s="2">
        <v>25</v>
      </c>
      <c r="P7" s="2">
        <v>15</v>
      </c>
      <c r="Q7" s="2" t="s">
        <v>132</v>
      </c>
      <c r="R7" s="2" t="s">
        <v>132</v>
      </c>
      <c r="S7" s="4">
        <v>44837</v>
      </c>
    </row>
    <row r="8" spans="1:26" ht="12.5" hidden="1" x14ac:dyDescent="0.25">
      <c r="A8" s="14" t="str">
        <f>HYPERLINK("https://gerandofalcoes.my.salesforce.com/0014P00003AN2FuQAL", "0014P00003AN2FuQAL")</f>
        <v>0014P00003AN2FuQAL</v>
      </c>
      <c r="B8" s="2" t="s">
        <v>1659</v>
      </c>
      <c r="C8" s="2" t="s">
        <v>423</v>
      </c>
      <c r="D8" s="2" t="s">
        <v>27</v>
      </c>
      <c r="E8" s="2">
        <v>95</v>
      </c>
      <c r="F8" s="2">
        <v>23</v>
      </c>
      <c r="G8" s="2">
        <v>3</v>
      </c>
      <c r="H8" s="2">
        <v>243360.63</v>
      </c>
      <c r="I8" s="2">
        <v>291</v>
      </c>
      <c r="J8" s="2" t="s">
        <v>1650</v>
      </c>
      <c r="K8" s="2">
        <v>77</v>
      </c>
      <c r="L8" s="2">
        <v>30</v>
      </c>
      <c r="M8" s="2">
        <v>12</v>
      </c>
      <c r="N8" s="2">
        <v>8</v>
      </c>
      <c r="O8" s="2">
        <v>15</v>
      </c>
      <c r="P8" s="2">
        <v>12</v>
      </c>
      <c r="Q8" s="2" t="s">
        <v>140</v>
      </c>
      <c r="R8" s="2" t="s">
        <v>140</v>
      </c>
      <c r="S8" s="4">
        <v>44837</v>
      </c>
    </row>
    <row r="9" spans="1:26" ht="12.5" hidden="1" x14ac:dyDescent="0.25">
      <c r="A9" s="14" t="str">
        <f>HYPERLINK("https://gerandofalcoes.my.salesforce.com/0014P00003AN2h5QAD", "0014P00003AN2h5QAD")</f>
        <v>0014P00003AN2h5QAD</v>
      </c>
      <c r="B9" s="2" t="s">
        <v>1660</v>
      </c>
      <c r="C9" s="2" t="s">
        <v>423</v>
      </c>
      <c r="D9" s="2" t="s">
        <v>27</v>
      </c>
      <c r="E9" s="2">
        <v>95</v>
      </c>
      <c r="F9" s="2">
        <v>25</v>
      </c>
      <c r="G9" s="2">
        <v>3</v>
      </c>
      <c r="H9" s="2">
        <v>1106859.57</v>
      </c>
      <c r="I9" s="2">
        <v>164</v>
      </c>
      <c r="J9" s="2" t="s">
        <v>1654</v>
      </c>
      <c r="K9" s="2">
        <v>87</v>
      </c>
      <c r="L9" s="2">
        <v>30</v>
      </c>
      <c r="M9" s="2">
        <v>12</v>
      </c>
      <c r="N9" s="2">
        <v>8</v>
      </c>
      <c r="O9" s="2">
        <v>25</v>
      </c>
      <c r="P9" s="2">
        <v>12</v>
      </c>
      <c r="Q9" s="2" t="s">
        <v>54</v>
      </c>
      <c r="R9" s="2" t="s">
        <v>54</v>
      </c>
      <c r="S9" s="4">
        <v>44837</v>
      </c>
    </row>
    <row r="10" spans="1:26" ht="12.5" hidden="1" x14ac:dyDescent="0.25">
      <c r="A10" s="14" t="str">
        <f>HYPERLINK("https://gerandofalcoes.my.salesforce.com/0014P00003AN2GIQA1", "0014P00003AN2GIQA1")</f>
        <v>0014P00003AN2GIQA1</v>
      </c>
      <c r="B10" s="2" t="s">
        <v>1661</v>
      </c>
      <c r="C10" s="2" t="s">
        <v>423</v>
      </c>
      <c r="D10" s="2" t="s">
        <v>27</v>
      </c>
      <c r="E10" s="2">
        <v>95</v>
      </c>
      <c r="F10" s="2">
        <v>5</v>
      </c>
      <c r="G10" s="2">
        <v>3</v>
      </c>
      <c r="H10" s="2">
        <v>133580.48000000001</v>
      </c>
      <c r="I10" s="2">
        <v>82</v>
      </c>
      <c r="J10" s="2" t="s">
        <v>1650</v>
      </c>
      <c r="K10" s="2">
        <v>68</v>
      </c>
      <c r="L10" s="2">
        <v>30</v>
      </c>
      <c r="M10" s="2">
        <v>5</v>
      </c>
      <c r="N10" s="2">
        <v>8</v>
      </c>
      <c r="O10" s="2">
        <v>15</v>
      </c>
      <c r="P10" s="2">
        <v>10</v>
      </c>
      <c r="Q10" s="2" t="s">
        <v>31</v>
      </c>
      <c r="R10" s="2" t="s">
        <v>1662</v>
      </c>
      <c r="S10" s="4">
        <v>44837</v>
      </c>
    </row>
    <row r="11" spans="1:26" ht="12.5" hidden="1" x14ac:dyDescent="0.25">
      <c r="A11" s="14" t="str">
        <f>HYPERLINK("https://gerandofalcoes.my.salesforce.com/0014P00003SGWPsQAP", "0014P00003SGWPsQAP")</f>
        <v>0014P00003SGWPsQAP</v>
      </c>
      <c r="B11" s="2" t="s">
        <v>1663</v>
      </c>
      <c r="C11" s="2" t="s">
        <v>423</v>
      </c>
      <c r="D11" s="2" t="s">
        <v>27</v>
      </c>
      <c r="E11" s="2">
        <v>93</v>
      </c>
      <c r="F11" s="2">
        <v>49</v>
      </c>
      <c r="G11" s="2">
        <v>3</v>
      </c>
      <c r="H11" s="2">
        <v>1126099.1000000001</v>
      </c>
      <c r="I11" s="2">
        <v>390</v>
      </c>
      <c r="J11" s="2" t="s">
        <v>1654</v>
      </c>
      <c r="K11" s="2">
        <v>93</v>
      </c>
      <c r="L11" s="2">
        <v>30</v>
      </c>
      <c r="M11" s="2">
        <v>15</v>
      </c>
      <c r="N11" s="2">
        <v>8</v>
      </c>
      <c r="O11" s="2">
        <v>25</v>
      </c>
      <c r="P11" s="2">
        <v>15</v>
      </c>
      <c r="Q11" s="2" t="s">
        <v>332</v>
      </c>
      <c r="R11" s="2" t="s">
        <v>1429</v>
      </c>
      <c r="S11" s="4">
        <v>44837</v>
      </c>
    </row>
    <row r="12" spans="1:26" ht="12.5" hidden="1" x14ac:dyDescent="0.25">
      <c r="A12" s="14" t="str">
        <f>HYPERLINK("https://gerandofalcoes.my.salesforce.com/0014P00003AN2FxQAL", "0014P00003AN2FxQAL")</f>
        <v>0014P00003AN2FxQAL</v>
      </c>
      <c r="B12" s="2" t="s">
        <v>1664</v>
      </c>
      <c r="C12" s="2" t="s">
        <v>423</v>
      </c>
      <c r="D12" s="2" t="s">
        <v>27</v>
      </c>
      <c r="E12" s="2">
        <v>93</v>
      </c>
      <c r="F12" s="2">
        <v>29</v>
      </c>
      <c r="G12" s="2">
        <v>1</v>
      </c>
      <c r="H12" s="2">
        <v>621309.18999999994</v>
      </c>
      <c r="I12" s="2">
        <v>203</v>
      </c>
      <c r="J12" s="2" t="s">
        <v>1650</v>
      </c>
      <c r="K12" s="2">
        <v>78</v>
      </c>
      <c r="L12" s="2">
        <v>30</v>
      </c>
      <c r="M12" s="2">
        <v>12</v>
      </c>
      <c r="N12" s="2">
        <v>4</v>
      </c>
      <c r="O12" s="2">
        <v>20</v>
      </c>
      <c r="P12" s="2">
        <v>12</v>
      </c>
      <c r="Q12" s="2" t="s">
        <v>144</v>
      </c>
      <c r="R12" s="2" t="s">
        <v>144</v>
      </c>
      <c r="S12" s="4">
        <v>44837</v>
      </c>
    </row>
    <row r="13" spans="1:26" ht="12.5" hidden="1" x14ac:dyDescent="0.25">
      <c r="A13" s="14" t="str">
        <f>HYPERLINK("https://gerandofalcoes.my.salesforce.com/0014P00003SGWPQQA5", "0014P00003SGWPQQA5")</f>
        <v>0014P00003SGWPQQA5</v>
      </c>
      <c r="B13" s="2" t="s">
        <v>363</v>
      </c>
      <c r="C13" s="2" t="s">
        <v>423</v>
      </c>
      <c r="D13" s="2" t="s">
        <v>27</v>
      </c>
      <c r="E13" s="2">
        <v>93</v>
      </c>
      <c r="F13" s="2">
        <v>32</v>
      </c>
      <c r="G13" s="2">
        <v>4</v>
      </c>
      <c r="H13" s="2">
        <v>1010730.87</v>
      </c>
      <c r="I13" s="2">
        <v>192</v>
      </c>
      <c r="J13" s="2" t="s">
        <v>1654</v>
      </c>
      <c r="K13" s="2">
        <v>92</v>
      </c>
      <c r="L13" s="2">
        <v>30</v>
      </c>
      <c r="M13" s="2">
        <v>15</v>
      </c>
      <c r="N13" s="2">
        <v>10</v>
      </c>
      <c r="O13" s="2">
        <v>25</v>
      </c>
      <c r="P13" s="2">
        <v>12</v>
      </c>
      <c r="Q13" s="2" t="s">
        <v>364</v>
      </c>
      <c r="R13" s="2" t="s">
        <v>1545</v>
      </c>
      <c r="S13" s="4">
        <v>44837</v>
      </c>
    </row>
    <row r="14" spans="1:26" ht="12.5" hidden="1" x14ac:dyDescent="0.25">
      <c r="A14" s="14" t="str">
        <f>HYPERLINK("https://gerandofalcoes.my.salesforce.com/0014P00003YSp9mQAD", "0014P00003YSp9mQAD")</f>
        <v>0014P00003YSp9mQAD</v>
      </c>
      <c r="B14" s="2" t="s">
        <v>1665</v>
      </c>
      <c r="C14" s="2" t="s">
        <v>423</v>
      </c>
      <c r="D14" s="2" t="s">
        <v>27</v>
      </c>
      <c r="E14" s="2">
        <v>92.77</v>
      </c>
      <c r="F14" s="2">
        <v>15</v>
      </c>
      <c r="G14" s="2">
        <v>6</v>
      </c>
      <c r="H14" s="2">
        <v>1000000</v>
      </c>
      <c r="I14" s="2">
        <v>767</v>
      </c>
      <c r="J14" s="2" t="s">
        <v>1654</v>
      </c>
      <c r="K14" s="2">
        <v>97</v>
      </c>
      <c r="L14" s="2">
        <v>30</v>
      </c>
      <c r="M14" s="2">
        <v>12</v>
      </c>
      <c r="N14" s="2">
        <v>10</v>
      </c>
      <c r="O14" s="2">
        <v>25</v>
      </c>
      <c r="P14" s="2">
        <v>20</v>
      </c>
      <c r="Q14" s="2" t="s">
        <v>1666</v>
      </c>
      <c r="R14" s="2" t="s">
        <v>1667</v>
      </c>
      <c r="S14" s="4">
        <v>44837</v>
      </c>
    </row>
    <row r="15" spans="1:26" ht="12.5" hidden="1" x14ac:dyDescent="0.25">
      <c r="A15" s="14" t="str">
        <f>HYPERLINK("https://gerandofalcoes.my.salesforce.com/0014P00003ERUfsQAH", "0014P00003ERUfsQAH")</f>
        <v>0014P00003ERUfsQAH</v>
      </c>
      <c r="B15" s="2" t="s">
        <v>1668</v>
      </c>
      <c r="C15" s="2" t="s">
        <v>423</v>
      </c>
      <c r="D15" s="2" t="s">
        <v>27</v>
      </c>
      <c r="E15" s="2">
        <v>91</v>
      </c>
      <c r="F15" s="2">
        <v>30</v>
      </c>
      <c r="G15" s="2">
        <v>4</v>
      </c>
      <c r="H15" s="2">
        <v>155230.70000000001</v>
      </c>
      <c r="I15" s="2">
        <v>782</v>
      </c>
      <c r="J15" s="2" t="s">
        <v>1654</v>
      </c>
      <c r="K15" s="2">
        <v>87</v>
      </c>
      <c r="L15" s="2">
        <v>30</v>
      </c>
      <c r="M15" s="2">
        <v>12</v>
      </c>
      <c r="N15" s="2">
        <v>10</v>
      </c>
      <c r="O15" s="2">
        <v>15</v>
      </c>
      <c r="P15" s="2">
        <v>20</v>
      </c>
      <c r="Q15" s="2" t="s">
        <v>73</v>
      </c>
      <c r="R15" s="2" t="s">
        <v>73</v>
      </c>
      <c r="S15" s="4">
        <v>44837</v>
      </c>
    </row>
    <row r="16" spans="1:26" ht="12.5" hidden="1" x14ac:dyDescent="0.25">
      <c r="A16" s="14" t="str">
        <f>HYPERLINK("https://gerandofalcoes.my.salesforce.com/0014P00003SGWQDQA5", "0014P00003SGWQDQA5")</f>
        <v>0014P00003SGWQDQA5</v>
      </c>
      <c r="B16" s="2" t="s">
        <v>1669</v>
      </c>
      <c r="C16" s="2" t="s">
        <v>423</v>
      </c>
      <c r="D16" s="2" t="s">
        <v>27</v>
      </c>
      <c r="E16" s="2">
        <v>91</v>
      </c>
      <c r="F16" s="2">
        <v>10</v>
      </c>
      <c r="G16" s="2">
        <v>3</v>
      </c>
      <c r="H16" s="2">
        <v>707090.8</v>
      </c>
      <c r="I16" s="2">
        <v>390</v>
      </c>
      <c r="J16" s="2" t="s">
        <v>1654</v>
      </c>
      <c r="K16" s="2">
        <v>83</v>
      </c>
      <c r="L16" s="2">
        <v>30</v>
      </c>
      <c r="M16" s="2">
        <v>10</v>
      </c>
      <c r="N16" s="2">
        <v>8</v>
      </c>
      <c r="O16" s="2">
        <v>20</v>
      </c>
      <c r="P16" s="2">
        <v>15</v>
      </c>
      <c r="Q16" s="2" t="s">
        <v>251</v>
      </c>
      <c r="R16" s="2" t="s">
        <v>251</v>
      </c>
      <c r="S16" s="4">
        <v>44837</v>
      </c>
    </row>
    <row r="17" spans="1:19" ht="12.5" hidden="1" x14ac:dyDescent="0.25">
      <c r="A17" s="14" t="str">
        <f>HYPERLINK("https://gerandofalcoes.my.salesforce.com/0014P00003AN2G9QAL", "0014P00003AN2G9QAL")</f>
        <v>0014P00003AN2G9QAL</v>
      </c>
      <c r="B17" s="2" t="s">
        <v>1670</v>
      </c>
      <c r="C17" s="2" t="s">
        <v>423</v>
      </c>
      <c r="D17" s="2" t="s">
        <v>27</v>
      </c>
      <c r="E17" s="2">
        <v>90.24</v>
      </c>
      <c r="F17" s="2">
        <v>7</v>
      </c>
      <c r="G17" s="2">
        <v>2</v>
      </c>
      <c r="H17" s="2">
        <v>5950</v>
      </c>
      <c r="I17" s="2">
        <v>210</v>
      </c>
      <c r="J17" s="2" t="s">
        <v>1671</v>
      </c>
      <c r="K17" s="2">
        <v>63</v>
      </c>
      <c r="L17" s="2">
        <v>30</v>
      </c>
      <c r="M17" s="2">
        <v>10</v>
      </c>
      <c r="N17" s="2">
        <v>6</v>
      </c>
      <c r="O17" s="2">
        <v>5</v>
      </c>
      <c r="P17" s="2">
        <v>12</v>
      </c>
      <c r="Q17" s="2" t="s">
        <v>961</v>
      </c>
      <c r="R17" s="2" t="s">
        <v>961</v>
      </c>
      <c r="S17" s="4">
        <v>44837</v>
      </c>
    </row>
    <row r="18" spans="1:19" ht="12.5" hidden="1" x14ac:dyDescent="0.25">
      <c r="A18" s="14" t="str">
        <f>HYPERLINK("https://gerandofalcoes.my.salesforce.com/0014P00003SGWPuQAP", "0014P00003SGWPuQAP")</f>
        <v>0014P00003SGWPuQAP</v>
      </c>
      <c r="B18" s="2" t="s">
        <v>1672</v>
      </c>
      <c r="C18" s="2" t="s">
        <v>423</v>
      </c>
      <c r="D18" s="2" t="s">
        <v>27</v>
      </c>
      <c r="E18" s="2">
        <v>90.19</v>
      </c>
      <c r="F18" s="2">
        <v>0</v>
      </c>
      <c r="G18" s="2">
        <v>4</v>
      </c>
      <c r="H18" s="2">
        <v>3000</v>
      </c>
      <c r="I18" s="2">
        <v>268</v>
      </c>
      <c r="J18" s="2" t="s">
        <v>1671</v>
      </c>
      <c r="K18" s="2">
        <v>57</v>
      </c>
      <c r="L18" s="2">
        <v>30</v>
      </c>
      <c r="M18" s="2">
        <v>0</v>
      </c>
      <c r="N18" s="2">
        <v>10</v>
      </c>
      <c r="O18" s="2">
        <v>5</v>
      </c>
      <c r="P18" s="2">
        <v>12</v>
      </c>
      <c r="Q18" s="2" t="s">
        <v>186</v>
      </c>
      <c r="R18" s="2" t="s">
        <v>1673</v>
      </c>
      <c r="S18" s="4">
        <v>44837</v>
      </c>
    </row>
    <row r="19" spans="1:19" ht="12.5" hidden="1" x14ac:dyDescent="0.25">
      <c r="A19" s="14" t="str">
        <f>HYPERLINK("https://gerandofalcoes.my.salesforce.com/0014P00003AN2FnQAL", "0014P00003AN2FnQAL")</f>
        <v>0014P00003AN2FnQAL</v>
      </c>
      <c r="B19" s="2" t="s">
        <v>128</v>
      </c>
      <c r="C19" s="2" t="s">
        <v>423</v>
      </c>
      <c r="D19" s="2" t="s">
        <v>27</v>
      </c>
      <c r="E19" s="2">
        <v>90</v>
      </c>
      <c r="F19" s="2">
        <v>22</v>
      </c>
      <c r="G19" s="2">
        <v>3</v>
      </c>
      <c r="H19" s="2">
        <v>850231.83</v>
      </c>
      <c r="I19" s="2">
        <v>323</v>
      </c>
      <c r="J19" s="2" t="s">
        <v>1654</v>
      </c>
      <c r="K19" s="2">
        <v>90</v>
      </c>
      <c r="L19" s="2">
        <v>30</v>
      </c>
      <c r="M19" s="2">
        <v>12</v>
      </c>
      <c r="N19" s="2">
        <v>8</v>
      </c>
      <c r="O19" s="2">
        <v>25</v>
      </c>
      <c r="P19" s="2">
        <v>15</v>
      </c>
      <c r="Q19" s="2" t="s">
        <v>129</v>
      </c>
      <c r="R19" s="2" t="s">
        <v>129</v>
      </c>
      <c r="S19" s="4">
        <v>44837</v>
      </c>
    </row>
    <row r="20" spans="1:19" ht="12.5" hidden="1" x14ac:dyDescent="0.25">
      <c r="A20" s="14" t="str">
        <f>HYPERLINK("https://gerandofalcoes.my.salesforce.com/0014P00003YSp7sQAD", "0014P00003YSp7sQAD")</f>
        <v>0014P00003YSp7sQAD</v>
      </c>
      <c r="B20" s="2" t="s">
        <v>1674</v>
      </c>
      <c r="C20" s="2" t="s">
        <v>423</v>
      </c>
      <c r="D20" s="2" t="s">
        <v>27</v>
      </c>
      <c r="E20" s="2">
        <v>89.2</v>
      </c>
      <c r="F20" s="2">
        <v>12</v>
      </c>
      <c r="G20" s="2">
        <v>3</v>
      </c>
      <c r="H20" s="2">
        <v>60000</v>
      </c>
      <c r="I20" s="2">
        <v>300</v>
      </c>
      <c r="J20" s="2" t="s">
        <v>1650</v>
      </c>
      <c r="K20" s="2">
        <v>70</v>
      </c>
      <c r="L20" s="2">
        <v>25</v>
      </c>
      <c r="M20" s="2">
        <v>12</v>
      </c>
      <c r="N20" s="2">
        <v>8</v>
      </c>
      <c r="O20" s="2">
        <v>10</v>
      </c>
      <c r="P20" s="2">
        <v>15</v>
      </c>
      <c r="Q20" s="2" t="s">
        <v>1675</v>
      </c>
      <c r="R20" s="2" t="s">
        <v>1676</v>
      </c>
      <c r="S20" s="4">
        <v>44837</v>
      </c>
    </row>
    <row r="21" spans="1:19" ht="12.5" hidden="1" x14ac:dyDescent="0.25">
      <c r="A21" s="14" t="str">
        <f>HYPERLINK("https://gerandofalcoes.my.salesforce.com/0014P00003SGWPWQA5", "0014P00003SGWPWQA5")</f>
        <v>0014P00003SGWPWQA5</v>
      </c>
      <c r="B21" s="2" t="s">
        <v>171</v>
      </c>
      <c r="C21" s="2" t="s">
        <v>423</v>
      </c>
      <c r="D21" s="2" t="s">
        <v>27</v>
      </c>
      <c r="E21" s="2">
        <v>89</v>
      </c>
      <c r="F21" s="2">
        <v>7</v>
      </c>
      <c r="G21" s="2">
        <v>4</v>
      </c>
      <c r="H21" s="2">
        <v>30000</v>
      </c>
      <c r="I21" s="2">
        <v>278</v>
      </c>
      <c r="J21" s="2" t="s">
        <v>1650</v>
      </c>
      <c r="K21" s="2">
        <v>67</v>
      </c>
      <c r="L21" s="2">
        <v>25</v>
      </c>
      <c r="M21" s="2">
        <v>10</v>
      </c>
      <c r="N21" s="2">
        <v>10</v>
      </c>
      <c r="O21" s="2">
        <v>10</v>
      </c>
      <c r="P21" s="2">
        <v>12</v>
      </c>
      <c r="Q21" s="2" t="s">
        <v>172</v>
      </c>
      <c r="R21" s="2" t="s">
        <v>172</v>
      </c>
      <c r="S21" s="4">
        <v>44837</v>
      </c>
    </row>
    <row r="22" spans="1:19" ht="12.5" hidden="1" x14ac:dyDescent="0.25">
      <c r="A22" s="14" t="str">
        <f>HYPERLINK("https://gerandofalcoes.my.salesforce.com/0014P00003AN2G3QAL", "0014P00003AN2G3QAL")</f>
        <v>0014P00003AN2G3QAL</v>
      </c>
      <c r="B22" s="2" t="s">
        <v>1677</v>
      </c>
      <c r="C22" s="2" t="s">
        <v>423</v>
      </c>
      <c r="D22" s="2" t="s">
        <v>27</v>
      </c>
      <c r="E22" s="2">
        <v>89</v>
      </c>
      <c r="F22" s="2">
        <v>9</v>
      </c>
      <c r="G22" s="2">
        <v>3</v>
      </c>
      <c r="H22" s="2">
        <v>46396.77</v>
      </c>
      <c r="I22" s="2">
        <v>188</v>
      </c>
      <c r="J22" s="2" t="s">
        <v>1650</v>
      </c>
      <c r="K22" s="2">
        <v>65</v>
      </c>
      <c r="L22" s="2">
        <v>25</v>
      </c>
      <c r="M22" s="2">
        <v>10</v>
      </c>
      <c r="N22" s="2">
        <v>8</v>
      </c>
      <c r="O22" s="2">
        <v>10</v>
      </c>
      <c r="P22" s="2">
        <v>12</v>
      </c>
      <c r="Q22" s="2" t="s">
        <v>153</v>
      </c>
      <c r="R22" s="2" t="s">
        <v>153</v>
      </c>
      <c r="S22" s="4">
        <v>44837</v>
      </c>
    </row>
    <row r="23" spans="1:19" ht="12.5" hidden="1" x14ac:dyDescent="0.25">
      <c r="A23" s="14" t="str">
        <f>HYPERLINK("https://gerandofalcoes.my.salesforce.com/0014P00003AN2FpQAL", "0014P00003AN2FpQAL")</f>
        <v>0014P00003AN2FpQAL</v>
      </c>
      <c r="B23" s="2" t="s">
        <v>1678</v>
      </c>
      <c r="C23" s="2" t="s">
        <v>423</v>
      </c>
      <c r="D23" s="2" t="s">
        <v>27</v>
      </c>
      <c r="E23" s="2">
        <v>89</v>
      </c>
      <c r="F23" s="2">
        <v>16</v>
      </c>
      <c r="G23" s="2">
        <v>2</v>
      </c>
      <c r="H23" s="2">
        <v>76727.45</v>
      </c>
      <c r="I23" s="2">
        <v>173</v>
      </c>
      <c r="J23" s="2" t="s">
        <v>1650</v>
      </c>
      <c r="K23" s="2">
        <v>65</v>
      </c>
      <c r="L23" s="2">
        <v>25</v>
      </c>
      <c r="M23" s="2">
        <v>12</v>
      </c>
      <c r="N23" s="2">
        <v>6</v>
      </c>
      <c r="O23" s="2">
        <v>10</v>
      </c>
      <c r="P23" s="2">
        <v>12</v>
      </c>
      <c r="Q23" s="2" t="s">
        <v>131</v>
      </c>
      <c r="R23" s="2" t="s">
        <v>131</v>
      </c>
      <c r="S23" s="4">
        <v>44837</v>
      </c>
    </row>
    <row r="24" spans="1:19" ht="12.5" hidden="1" x14ac:dyDescent="0.25">
      <c r="A24" s="14" t="str">
        <f>HYPERLINK("https://gerandofalcoes.my.salesforce.com/0014P00003AN2FjQAL", "0014P00003AN2FjQAL")</f>
        <v>0014P00003AN2FjQAL</v>
      </c>
      <c r="B24" s="2" t="s">
        <v>1679</v>
      </c>
      <c r="C24" s="2" t="s">
        <v>423</v>
      </c>
      <c r="D24" s="2" t="s">
        <v>27</v>
      </c>
      <c r="E24" s="2">
        <v>89</v>
      </c>
      <c r="F24" s="2">
        <v>5</v>
      </c>
      <c r="G24" s="2">
        <v>4</v>
      </c>
      <c r="H24" s="2">
        <v>49628.39</v>
      </c>
      <c r="I24" s="2">
        <v>79</v>
      </c>
      <c r="J24" s="2" t="s">
        <v>1671</v>
      </c>
      <c r="K24" s="2">
        <v>55</v>
      </c>
      <c r="L24" s="2">
        <v>25</v>
      </c>
      <c r="M24" s="2">
        <v>5</v>
      </c>
      <c r="N24" s="2">
        <v>10</v>
      </c>
      <c r="O24" s="2">
        <v>10</v>
      </c>
      <c r="P24" s="2">
        <v>5</v>
      </c>
      <c r="Q24" s="2" t="s">
        <v>63</v>
      </c>
      <c r="R24" s="2" t="s">
        <v>1680</v>
      </c>
      <c r="S24" s="4">
        <v>44837</v>
      </c>
    </row>
    <row r="25" spans="1:19" ht="12.5" hidden="1" x14ac:dyDescent="0.25">
      <c r="A25" s="14" t="str">
        <f>HYPERLINK("https://gerandofalcoes.my.salesforce.com/0014P00003AN2FcQAL", "0014P00003AN2FcQAL")</f>
        <v>0014P00003AN2FcQAL</v>
      </c>
      <c r="B25" s="2" t="s">
        <v>1681</v>
      </c>
      <c r="C25" s="2" t="s">
        <v>423</v>
      </c>
      <c r="D25" s="2" t="s">
        <v>27</v>
      </c>
      <c r="E25" s="2">
        <v>87</v>
      </c>
      <c r="F25" s="2">
        <v>10</v>
      </c>
      <c r="G25" s="2">
        <v>3</v>
      </c>
      <c r="H25" s="2">
        <v>501150</v>
      </c>
      <c r="I25" s="2">
        <v>171</v>
      </c>
      <c r="J25" s="2" t="s">
        <v>1650</v>
      </c>
      <c r="K25" s="2">
        <v>75</v>
      </c>
      <c r="L25" s="2">
        <v>25</v>
      </c>
      <c r="M25" s="2">
        <v>10</v>
      </c>
      <c r="N25" s="2">
        <v>8</v>
      </c>
      <c r="O25" s="2">
        <v>20</v>
      </c>
      <c r="P25" s="2">
        <v>12</v>
      </c>
      <c r="Q25" s="2" t="s">
        <v>91</v>
      </c>
      <c r="R25" s="2" t="s">
        <v>91</v>
      </c>
      <c r="S25" s="4">
        <v>44837</v>
      </c>
    </row>
    <row r="26" spans="1:19" ht="12.5" hidden="1" x14ac:dyDescent="0.25">
      <c r="A26" s="14" t="str">
        <f>HYPERLINK("https://gerandofalcoes.my.salesforce.com/0014P00003ERavoQAD", "0014P00003ERavoQAD")</f>
        <v>0014P00003ERavoQAD</v>
      </c>
      <c r="B26" s="2" t="s">
        <v>77</v>
      </c>
      <c r="C26" s="2" t="s">
        <v>423</v>
      </c>
      <c r="D26" s="2" t="s">
        <v>27</v>
      </c>
      <c r="E26" s="2">
        <v>86</v>
      </c>
      <c r="F26" s="2">
        <v>5</v>
      </c>
      <c r="G26" s="2">
        <v>4</v>
      </c>
      <c r="H26" s="2">
        <v>275378.40000000002</v>
      </c>
      <c r="I26" s="2">
        <v>184</v>
      </c>
      <c r="J26" s="2" t="s">
        <v>1650</v>
      </c>
      <c r="K26" s="2">
        <v>67</v>
      </c>
      <c r="L26" s="2">
        <v>25</v>
      </c>
      <c r="M26" s="2">
        <v>5</v>
      </c>
      <c r="N26" s="2">
        <v>10</v>
      </c>
      <c r="O26" s="2">
        <v>15</v>
      </c>
      <c r="P26" s="2">
        <v>12</v>
      </c>
      <c r="Q26" s="2" t="s">
        <v>78</v>
      </c>
      <c r="R26" s="2" t="s">
        <v>78</v>
      </c>
      <c r="S26" s="4">
        <v>44837</v>
      </c>
    </row>
    <row r="27" spans="1:19" ht="12.5" hidden="1" x14ac:dyDescent="0.25">
      <c r="A27" s="14" t="str">
        <f>HYPERLINK("https://gerandofalcoes.my.salesforce.com/0014P00003AN2FtQAL", "0014P00003AN2FtQAL")</f>
        <v>0014P00003AN2FtQAL</v>
      </c>
      <c r="B27" s="2" t="s">
        <v>137</v>
      </c>
      <c r="C27" s="2" t="s">
        <v>423</v>
      </c>
      <c r="D27" s="2" t="s">
        <v>27</v>
      </c>
      <c r="E27" s="2">
        <v>86</v>
      </c>
      <c r="F27" s="2">
        <v>7</v>
      </c>
      <c r="G27" s="2">
        <v>4</v>
      </c>
      <c r="H27" s="2">
        <v>67399.429999999993</v>
      </c>
      <c r="I27" s="2">
        <v>159</v>
      </c>
      <c r="J27" s="2" t="s">
        <v>1650</v>
      </c>
      <c r="K27" s="2">
        <v>67</v>
      </c>
      <c r="L27" s="2">
        <v>25</v>
      </c>
      <c r="M27" s="2">
        <v>10</v>
      </c>
      <c r="N27" s="2">
        <v>10</v>
      </c>
      <c r="O27" s="2">
        <v>10</v>
      </c>
      <c r="P27" s="2">
        <v>12</v>
      </c>
      <c r="Q27" s="2" t="s">
        <v>138</v>
      </c>
      <c r="R27" s="2" t="s">
        <v>1682</v>
      </c>
      <c r="S27" s="4">
        <v>44837</v>
      </c>
    </row>
    <row r="28" spans="1:19" ht="12.5" hidden="1" x14ac:dyDescent="0.25">
      <c r="A28" s="14" t="str">
        <f>HYPERLINK("https://gerandofalcoes.my.salesforce.com/0014P00003AN2FmQAL", "0014P00003AN2FmQAL")</f>
        <v>0014P00003AN2FmQAL</v>
      </c>
      <c r="B28" s="2" t="s">
        <v>1683</v>
      </c>
      <c r="C28" s="2" t="s">
        <v>1684</v>
      </c>
      <c r="D28" s="2" t="s">
        <v>27</v>
      </c>
      <c r="E28" s="2">
        <v>86</v>
      </c>
      <c r="F28" s="2">
        <v>30</v>
      </c>
      <c r="G28" s="2">
        <v>5</v>
      </c>
      <c r="H28" s="2">
        <v>969799.69</v>
      </c>
      <c r="I28" s="2">
        <v>111</v>
      </c>
      <c r="J28" s="2" t="s">
        <v>1654</v>
      </c>
      <c r="K28" s="2">
        <v>82</v>
      </c>
      <c r="L28" s="2">
        <v>25</v>
      </c>
      <c r="M28" s="2">
        <v>12</v>
      </c>
      <c r="N28" s="2">
        <v>10</v>
      </c>
      <c r="O28" s="2">
        <v>25</v>
      </c>
      <c r="P28" s="2">
        <v>10</v>
      </c>
      <c r="Q28" s="2" t="s">
        <v>127</v>
      </c>
      <c r="R28" s="2" t="s">
        <v>127</v>
      </c>
      <c r="S28" s="4">
        <v>44837</v>
      </c>
    </row>
    <row r="29" spans="1:19" ht="12.5" hidden="1" x14ac:dyDescent="0.25">
      <c r="A29" s="14" t="str">
        <f>HYPERLINK("https://gerandofalcoes.my.salesforce.com/0014P00003AN2FZQA1", "0014P00003AN2FZQA1")</f>
        <v>0014P00003AN2FZQA1</v>
      </c>
      <c r="B29" s="2" t="s">
        <v>1685</v>
      </c>
      <c r="C29" s="2" t="s">
        <v>423</v>
      </c>
      <c r="D29" s="2" t="s">
        <v>2</v>
      </c>
      <c r="E29" s="2">
        <v>85.13</v>
      </c>
      <c r="F29" s="2">
        <v>51</v>
      </c>
      <c r="G29" s="2">
        <v>8</v>
      </c>
      <c r="H29" s="2">
        <v>501000</v>
      </c>
      <c r="I29" s="2">
        <v>400</v>
      </c>
      <c r="J29" s="2" t="s">
        <v>1654</v>
      </c>
      <c r="K29" s="2">
        <v>85</v>
      </c>
      <c r="L29" s="2">
        <v>25</v>
      </c>
      <c r="M29" s="2">
        <v>15</v>
      </c>
      <c r="N29" s="2">
        <v>10</v>
      </c>
      <c r="O29" s="2">
        <v>20</v>
      </c>
      <c r="P29" s="2">
        <v>15</v>
      </c>
      <c r="Q29" s="2" t="s">
        <v>1686</v>
      </c>
      <c r="R29" s="2" t="s">
        <v>1686</v>
      </c>
      <c r="S29" s="4">
        <v>44837</v>
      </c>
    </row>
    <row r="30" spans="1:19" ht="12.5" hidden="1" x14ac:dyDescent="0.25">
      <c r="A30" s="14" t="str">
        <f>HYPERLINK("https://gerandofalcoes.my.salesforce.com/0014P00003AN2GKQA1", "0014P00003AN2GKQA1")</f>
        <v>0014P00003AN2GKQA1</v>
      </c>
      <c r="B30" s="2" t="s">
        <v>1687</v>
      </c>
      <c r="C30" s="2" t="s">
        <v>423</v>
      </c>
      <c r="D30" s="2" t="s">
        <v>27</v>
      </c>
      <c r="E30" s="2">
        <v>85</v>
      </c>
      <c r="F30" s="2">
        <v>22</v>
      </c>
      <c r="G30" s="2">
        <v>5</v>
      </c>
      <c r="H30" s="2">
        <v>1314918.45</v>
      </c>
      <c r="I30" s="2">
        <v>358</v>
      </c>
      <c r="J30" s="2" t="s">
        <v>1654</v>
      </c>
      <c r="K30" s="2">
        <v>87</v>
      </c>
      <c r="L30" s="2">
        <v>25</v>
      </c>
      <c r="M30" s="2">
        <v>12</v>
      </c>
      <c r="N30" s="2">
        <v>10</v>
      </c>
      <c r="O30" s="2">
        <v>25</v>
      </c>
      <c r="P30" s="2">
        <v>15</v>
      </c>
      <c r="Q30" s="2" t="s">
        <v>28</v>
      </c>
      <c r="R30" s="2" t="s">
        <v>28</v>
      </c>
      <c r="S30" s="4">
        <v>44837</v>
      </c>
    </row>
    <row r="31" spans="1:19" ht="12.5" hidden="1" x14ac:dyDescent="0.25">
      <c r="A31" s="14" t="str">
        <f>HYPERLINK("https://gerandofalcoes.my.salesforce.com/0014P00003AN2FsQAL", "0014P00003AN2FsQAL")</f>
        <v>0014P00003AN2FsQAL</v>
      </c>
      <c r="B31" s="2" t="s">
        <v>1688</v>
      </c>
      <c r="C31" s="2" t="s">
        <v>423</v>
      </c>
      <c r="D31" s="2" t="s">
        <v>27</v>
      </c>
      <c r="E31" s="2">
        <v>85</v>
      </c>
      <c r="F31" s="2">
        <v>6</v>
      </c>
      <c r="G31" s="2">
        <v>3</v>
      </c>
      <c r="H31" s="2">
        <v>93122.27</v>
      </c>
      <c r="I31" s="2">
        <v>206</v>
      </c>
      <c r="J31" s="2" t="s">
        <v>1650</v>
      </c>
      <c r="K31" s="2">
        <v>65</v>
      </c>
      <c r="L31" s="2">
        <v>25</v>
      </c>
      <c r="M31" s="2">
        <v>10</v>
      </c>
      <c r="N31" s="2">
        <v>8</v>
      </c>
      <c r="O31" s="2">
        <v>10</v>
      </c>
      <c r="P31" s="2">
        <v>12</v>
      </c>
      <c r="Q31" s="2" t="s">
        <v>134</v>
      </c>
      <c r="R31" s="2" t="s">
        <v>134</v>
      </c>
      <c r="S31" s="4">
        <v>44837</v>
      </c>
    </row>
    <row r="32" spans="1:19" ht="12.5" hidden="1" x14ac:dyDescent="0.25">
      <c r="A32" s="14" t="str">
        <f>HYPERLINK("https://gerandofalcoes.my.salesforce.com/0014P00003AN2FlQAL", "0014P00003AN2FlQAL")</f>
        <v>0014P00003AN2FlQAL</v>
      </c>
      <c r="B32" s="2" t="s">
        <v>1689</v>
      </c>
      <c r="C32" s="2" t="s">
        <v>423</v>
      </c>
      <c r="D32" s="2" t="s">
        <v>27</v>
      </c>
      <c r="E32" s="2">
        <v>85</v>
      </c>
      <c r="F32" s="2">
        <v>9</v>
      </c>
      <c r="G32" s="2">
        <v>5</v>
      </c>
      <c r="H32" s="2">
        <v>128126.51</v>
      </c>
      <c r="I32" s="2">
        <v>196</v>
      </c>
      <c r="J32" s="2" t="s">
        <v>1650</v>
      </c>
      <c r="K32" s="2">
        <v>72</v>
      </c>
      <c r="L32" s="2">
        <v>25</v>
      </c>
      <c r="M32" s="2">
        <v>10</v>
      </c>
      <c r="N32" s="2">
        <v>10</v>
      </c>
      <c r="O32" s="2">
        <v>15</v>
      </c>
      <c r="P32" s="2">
        <v>12</v>
      </c>
      <c r="Q32" s="2" t="s">
        <v>126</v>
      </c>
      <c r="R32" s="2" t="s">
        <v>1690</v>
      </c>
      <c r="S32" s="4">
        <v>44837</v>
      </c>
    </row>
    <row r="33" spans="1:19" ht="12.5" hidden="1" x14ac:dyDescent="0.25">
      <c r="A33" s="14" t="str">
        <f>HYPERLINK("https://gerandofalcoes.my.salesforce.com/0014P00003AN2GLQA1", "0014P00003AN2GLQA1")</f>
        <v>0014P00003AN2GLQA1</v>
      </c>
      <c r="B33" s="2" t="s">
        <v>1691</v>
      </c>
      <c r="C33" s="2" t="s">
        <v>423</v>
      </c>
      <c r="D33" s="2" t="s">
        <v>27</v>
      </c>
      <c r="E33" s="2">
        <v>85</v>
      </c>
      <c r="F33" s="2">
        <v>13</v>
      </c>
      <c r="G33" s="2">
        <v>4</v>
      </c>
      <c r="H33" s="2">
        <v>154904.04</v>
      </c>
      <c r="I33" s="2">
        <v>172</v>
      </c>
      <c r="J33" s="2" t="s">
        <v>1650</v>
      </c>
      <c r="K33" s="2">
        <v>74</v>
      </c>
      <c r="L33" s="2">
        <v>25</v>
      </c>
      <c r="M33" s="2">
        <v>12</v>
      </c>
      <c r="N33" s="2">
        <v>10</v>
      </c>
      <c r="O33" s="2">
        <v>15</v>
      </c>
      <c r="P33" s="2">
        <v>12</v>
      </c>
      <c r="Q33" s="2" t="s">
        <v>29</v>
      </c>
      <c r="R33" s="2" t="s">
        <v>29</v>
      </c>
      <c r="S33" s="4">
        <v>44837</v>
      </c>
    </row>
    <row r="34" spans="1:19" ht="12.5" hidden="1" x14ac:dyDescent="0.25">
      <c r="A34" s="14" t="str">
        <f>HYPERLINK("https://gerandofalcoes.my.salesforce.com/0014P00003SGWFtQAP", "0014P00003SGWFtQAP")</f>
        <v>0014P00003SGWFtQAP</v>
      </c>
      <c r="B34" s="2" t="s">
        <v>354</v>
      </c>
      <c r="C34" s="2" t="s">
        <v>423</v>
      </c>
      <c r="D34" s="2" t="s">
        <v>27</v>
      </c>
      <c r="E34" s="2">
        <v>85</v>
      </c>
      <c r="F34" s="2">
        <v>4</v>
      </c>
      <c r="G34" s="2">
        <v>1</v>
      </c>
      <c r="H34" s="2">
        <v>11500</v>
      </c>
      <c r="I34" s="2">
        <v>78</v>
      </c>
      <c r="J34" s="2" t="s">
        <v>1671</v>
      </c>
      <c r="K34" s="2">
        <v>44</v>
      </c>
      <c r="L34" s="2">
        <v>25</v>
      </c>
      <c r="M34" s="2">
        <v>5</v>
      </c>
      <c r="N34" s="2">
        <v>4</v>
      </c>
      <c r="O34" s="2">
        <v>5</v>
      </c>
      <c r="P34" s="2">
        <v>5</v>
      </c>
      <c r="Q34" s="2" t="s">
        <v>1692</v>
      </c>
      <c r="R34" s="2" t="s">
        <v>1449</v>
      </c>
      <c r="S34" s="4">
        <v>44837</v>
      </c>
    </row>
    <row r="35" spans="1:19" ht="12.5" hidden="1" x14ac:dyDescent="0.25">
      <c r="A35" s="14" t="str">
        <f>HYPERLINK("https://gerandofalcoes.my.salesforce.com/0014P00003SGWPhQAP", "0014P00003SGWPhQAP")</f>
        <v>0014P00003SGWPhQAP</v>
      </c>
      <c r="B35" s="2" t="s">
        <v>1693</v>
      </c>
      <c r="C35" s="2" t="s">
        <v>423</v>
      </c>
      <c r="D35" s="2" t="s">
        <v>27</v>
      </c>
      <c r="E35" s="2">
        <v>84.64</v>
      </c>
      <c r="F35" s="2">
        <v>14</v>
      </c>
      <c r="G35" s="2">
        <v>3</v>
      </c>
      <c r="H35" s="2">
        <v>173994</v>
      </c>
      <c r="I35" s="2">
        <v>310</v>
      </c>
      <c r="J35" s="2" t="s">
        <v>1650</v>
      </c>
      <c r="K35" s="2">
        <v>75</v>
      </c>
      <c r="L35" s="2">
        <v>25</v>
      </c>
      <c r="M35" s="2">
        <v>12</v>
      </c>
      <c r="N35" s="2">
        <v>8</v>
      </c>
      <c r="O35" s="2">
        <v>15</v>
      </c>
      <c r="P35" s="2">
        <v>15</v>
      </c>
      <c r="Q35" s="2" t="s">
        <v>286</v>
      </c>
      <c r="R35" s="2" t="s">
        <v>1321</v>
      </c>
      <c r="S35" s="4">
        <v>44837</v>
      </c>
    </row>
    <row r="36" spans="1:19" ht="12.5" hidden="1" x14ac:dyDescent="0.25">
      <c r="A36" s="14" t="str">
        <f>HYPERLINK("https://gerandofalcoes.my.salesforce.com/0014P00003SGWPpQAP", "0014P00003SGWPpQAP")</f>
        <v>0014P00003SGWPpQAP</v>
      </c>
      <c r="B36" s="2" t="s">
        <v>1694</v>
      </c>
      <c r="C36" s="2" t="s">
        <v>423</v>
      </c>
      <c r="D36" s="2" t="s">
        <v>27</v>
      </c>
      <c r="E36" s="2">
        <v>84.52</v>
      </c>
      <c r="F36" s="2">
        <v>1</v>
      </c>
      <c r="G36" s="2">
        <v>5</v>
      </c>
      <c r="H36" s="2">
        <v>36000</v>
      </c>
      <c r="I36" s="2">
        <v>80</v>
      </c>
      <c r="J36" s="2" t="s">
        <v>1671</v>
      </c>
      <c r="K36" s="2">
        <v>60</v>
      </c>
      <c r="L36" s="2">
        <v>25</v>
      </c>
      <c r="M36" s="2">
        <v>5</v>
      </c>
      <c r="N36" s="2">
        <v>10</v>
      </c>
      <c r="O36" s="2">
        <v>10</v>
      </c>
      <c r="P36" s="2">
        <v>10</v>
      </c>
      <c r="Q36" s="2" t="s">
        <v>323</v>
      </c>
      <c r="R36" s="2" t="s">
        <v>1402</v>
      </c>
      <c r="S36" s="4">
        <v>44837</v>
      </c>
    </row>
    <row r="37" spans="1:19" ht="12.5" hidden="1" x14ac:dyDescent="0.25">
      <c r="A37" s="14" t="str">
        <f>HYPERLINK("https://gerandofalcoes.my.salesforce.com/0014P00003YSp99QAD", "0014P00003YSp99QAD")</f>
        <v>0014P00003YSp99QAD</v>
      </c>
      <c r="B37" s="2" t="s">
        <v>1695</v>
      </c>
      <c r="C37" s="2" t="s">
        <v>423</v>
      </c>
      <c r="D37" s="2" t="s">
        <v>2</v>
      </c>
      <c r="E37" s="2">
        <v>84.43</v>
      </c>
      <c r="F37" s="2">
        <v>0</v>
      </c>
      <c r="G37" s="2">
        <v>5</v>
      </c>
      <c r="H37" s="2">
        <v>68450</v>
      </c>
      <c r="I37" s="2">
        <v>204</v>
      </c>
      <c r="J37" s="2" t="s">
        <v>1671</v>
      </c>
      <c r="K37" s="2">
        <v>57</v>
      </c>
      <c r="L37" s="2">
        <v>25</v>
      </c>
      <c r="M37" s="2">
        <v>0</v>
      </c>
      <c r="N37" s="2">
        <v>10</v>
      </c>
      <c r="O37" s="2">
        <v>10</v>
      </c>
      <c r="P37" s="2">
        <v>12</v>
      </c>
      <c r="Q37" s="2" t="s">
        <v>1696</v>
      </c>
      <c r="R37" s="2" t="s">
        <v>1697</v>
      </c>
      <c r="S37" s="4">
        <v>44837</v>
      </c>
    </row>
    <row r="38" spans="1:19" ht="12.5" hidden="1" x14ac:dyDescent="0.25">
      <c r="A38" s="14" t="str">
        <f>HYPERLINK("https://gerandofalcoes.my.salesforce.com/0014P00003AN2h4QAD", "0014P00003AN2h4QAD")</f>
        <v>0014P00003AN2h4QAD</v>
      </c>
      <c r="B38" s="2" t="s">
        <v>1698</v>
      </c>
      <c r="C38" s="2" t="s">
        <v>423</v>
      </c>
      <c r="D38" s="2" t="s">
        <v>2</v>
      </c>
      <c r="E38" s="2">
        <v>84.3</v>
      </c>
      <c r="F38" s="2">
        <v>10</v>
      </c>
      <c r="G38" s="2">
        <v>5</v>
      </c>
      <c r="H38" s="2">
        <v>450000</v>
      </c>
      <c r="I38" s="2">
        <v>106</v>
      </c>
      <c r="J38" s="2" t="s">
        <v>1650</v>
      </c>
      <c r="K38" s="2">
        <v>75</v>
      </c>
      <c r="L38" s="2">
        <v>25</v>
      </c>
      <c r="M38" s="2">
        <v>10</v>
      </c>
      <c r="N38" s="2">
        <v>10</v>
      </c>
      <c r="O38" s="2">
        <v>20</v>
      </c>
      <c r="P38" s="2">
        <v>10</v>
      </c>
      <c r="Q38" s="2" t="s">
        <v>595</v>
      </c>
      <c r="R38" s="2" t="s">
        <v>595</v>
      </c>
      <c r="S38" s="4">
        <v>44837</v>
      </c>
    </row>
    <row r="39" spans="1:19" ht="12.5" hidden="1" x14ac:dyDescent="0.25">
      <c r="A39" s="14" t="str">
        <f>HYPERLINK("https://gerandofalcoes.my.salesforce.com/0014P00003AN2G0QAL", "0014P00003AN2G0QAL")</f>
        <v>0014P00003AN2G0QAL</v>
      </c>
      <c r="B39" s="2" t="s">
        <v>146</v>
      </c>
      <c r="C39" s="2" t="s">
        <v>423</v>
      </c>
      <c r="D39" s="2" t="s">
        <v>27</v>
      </c>
      <c r="E39" s="2">
        <v>83</v>
      </c>
      <c r="F39" s="2">
        <v>7</v>
      </c>
      <c r="G39" s="2">
        <v>3</v>
      </c>
      <c r="H39" s="2">
        <v>31263.49</v>
      </c>
      <c r="I39" s="2">
        <v>71</v>
      </c>
      <c r="J39" s="2" t="s">
        <v>1671</v>
      </c>
      <c r="K39" s="2">
        <v>58</v>
      </c>
      <c r="L39" s="2">
        <v>25</v>
      </c>
      <c r="M39" s="2">
        <v>10</v>
      </c>
      <c r="N39" s="2">
        <v>8</v>
      </c>
      <c r="O39" s="2">
        <v>10</v>
      </c>
      <c r="P39" s="2">
        <v>5</v>
      </c>
      <c r="Q39" s="2" t="s">
        <v>1699</v>
      </c>
      <c r="R39" s="2" t="s">
        <v>1699</v>
      </c>
      <c r="S39" s="4">
        <v>44837</v>
      </c>
    </row>
    <row r="40" spans="1:19" ht="12.5" hidden="1" x14ac:dyDescent="0.25">
      <c r="A40" s="14" t="str">
        <f>HYPERLINK("https://gerandofalcoes.my.salesforce.com/0014P00003SGWPPQA5", "0014P00003SGWPPQA5")</f>
        <v>0014P00003SGWPPQA5</v>
      </c>
      <c r="B40" s="2" t="s">
        <v>1700</v>
      </c>
      <c r="C40" s="2" t="s">
        <v>423</v>
      </c>
      <c r="D40" s="2" t="s">
        <v>27</v>
      </c>
      <c r="E40" s="2">
        <v>82.37</v>
      </c>
      <c r="F40" s="2">
        <v>10</v>
      </c>
      <c r="G40" s="2">
        <v>2</v>
      </c>
      <c r="H40" s="2">
        <v>60000</v>
      </c>
      <c r="I40" s="2">
        <v>120</v>
      </c>
      <c r="J40" s="2" t="s">
        <v>1671</v>
      </c>
      <c r="K40" s="2">
        <v>61</v>
      </c>
      <c r="L40" s="2">
        <v>25</v>
      </c>
      <c r="M40" s="2">
        <v>10</v>
      </c>
      <c r="N40" s="2">
        <v>6</v>
      </c>
      <c r="O40" s="2">
        <v>10</v>
      </c>
      <c r="P40" s="2">
        <v>10</v>
      </c>
      <c r="Q40" s="2" t="s">
        <v>366</v>
      </c>
      <c r="R40" s="2" t="s">
        <v>1557</v>
      </c>
      <c r="S40" s="4">
        <v>44837</v>
      </c>
    </row>
    <row r="41" spans="1:19" ht="12.5" hidden="1" x14ac:dyDescent="0.25">
      <c r="A41" s="14" t="str">
        <f>HYPERLINK("https://gerandofalcoes.my.salesforce.com/0014X00002QTry4QAD", "0014X00002QTry4QAD")</f>
        <v>0014X00002QTry4QAD</v>
      </c>
      <c r="B41" s="2" t="s">
        <v>1701</v>
      </c>
      <c r="C41" s="2" t="s">
        <v>423</v>
      </c>
      <c r="D41" s="2" t="s">
        <v>27</v>
      </c>
      <c r="E41" s="2">
        <v>82.02</v>
      </c>
      <c r="F41" s="2">
        <v>0</v>
      </c>
      <c r="G41" s="2">
        <v>3</v>
      </c>
      <c r="H41" s="2">
        <v>350</v>
      </c>
      <c r="I41" s="2">
        <v>40</v>
      </c>
      <c r="J41" s="2" t="s">
        <v>1671</v>
      </c>
      <c r="K41" s="2">
        <v>43</v>
      </c>
      <c r="L41" s="2">
        <v>25</v>
      </c>
      <c r="M41" s="2">
        <v>0</v>
      </c>
      <c r="N41" s="2">
        <v>8</v>
      </c>
      <c r="O41" s="2">
        <v>5</v>
      </c>
      <c r="P41" s="2">
        <v>5</v>
      </c>
      <c r="Q41" s="2" t="s">
        <v>1702</v>
      </c>
      <c r="R41" s="2" t="s">
        <v>1703</v>
      </c>
      <c r="S41" s="4">
        <v>44837</v>
      </c>
    </row>
    <row r="42" spans="1:19" ht="12.5" hidden="1" x14ac:dyDescent="0.25">
      <c r="A42" s="14" t="str">
        <f>HYPERLINK("https://gerandofalcoes.my.salesforce.com/0014P00003AN2G6QAL", "0014P00003AN2G6QAL")</f>
        <v>0014P00003AN2G6QAL</v>
      </c>
      <c r="B42" s="2" t="s">
        <v>1704</v>
      </c>
      <c r="C42" s="2" t="s">
        <v>423</v>
      </c>
      <c r="D42" s="2" t="s">
        <v>27</v>
      </c>
      <c r="E42" s="2">
        <v>82</v>
      </c>
      <c r="F42" s="2">
        <v>11</v>
      </c>
      <c r="G42" s="2">
        <v>3</v>
      </c>
      <c r="H42" s="2">
        <v>62859.59</v>
      </c>
      <c r="I42" s="2">
        <v>282</v>
      </c>
      <c r="J42" s="2" t="s">
        <v>1650</v>
      </c>
      <c r="K42" s="2">
        <v>67</v>
      </c>
      <c r="L42" s="2">
        <v>25</v>
      </c>
      <c r="M42" s="2">
        <v>12</v>
      </c>
      <c r="N42" s="2">
        <v>8</v>
      </c>
      <c r="O42" s="2">
        <v>10</v>
      </c>
      <c r="P42" s="2">
        <v>12</v>
      </c>
      <c r="Q42" s="2" t="s">
        <v>157</v>
      </c>
      <c r="R42" s="2" t="s">
        <v>157</v>
      </c>
      <c r="S42" s="4">
        <v>44837</v>
      </c>
    </row>
    <row r="43" spans="1:19" ht="12.5" hidden="1" x14ac:dyDescent="0.25">
      <c r="A43" s="14" t="str">
        <f>HYPERLINK("https://gerandofalcoes.my.salesforce.com/0014P00003SGWPoQAP", "0014P00003SGWPoQAP")</f>
        <v>0014P00003SGWPoQAP</v>
      </c>
      <c r="B43" s="2" t="s">
        <v>1705</v>
      </c>
      <c r="C43" s="2" t="s">
        <v>423</v>
      </c>
      <c r="D43" s="2" t="s">
        <v>27</v>
      </c>
      <c r="E43" s="2">
        <v>81.87</v>
      </c>
      <c r="F43" s="2">
        <v>0</v>
      </c>
      <c r="G43" s="2">
        <v>2</v>
      </c>
      <c r="H43" s="2">
        <v>1000</v>
      </c>
      <c r="I43" s="2">
        <v>120</v>
      </c>
      <c r="J43" s="2" t="s">
        <v>1671</v>
      </c>
      <c r="K43" s="2">
        <v>46</v>
      </c>
      <c r="L43" s="2">
        <v>25</v>
      </c>
      <c r="M43" s="2">
        <v>0</v>
      </c>
      <c r="N43" s="2">
        <v>6</v>
      </c>
      <c r="O43" s="2">
        <v>5</v>
      </c>
      <c r="P43" s="2">
        <v>10</v>
      </c>
      <c r="Q43" s="2" t="s">
        <v>321</v>
      </c>
      <c r="R43" s="2" t="s">
        <v>1706</v>
      </c>
      <c r="S43" s="4">
        <v>44837</v>
      </c>
    </row>
    <row r="44" spans="1:19" ht="12.5" hidden="1" x14ac:dyDescent="0.25">
      <c r="A44" s="14" t="str">
        <f>HYPERLINK("https://gerandofalcoes.my.salesforce.com/0014P00003AN2GDQA1", "0014P00003AN2GDQA1")</f>
        <v>0014P00003AN2GDQA1</v>
      </c>
      <c r="B44" s="2" t="s">
        <v>1707</v>
      </c>
      <c r="C44" s="2" t="s">
        <v>423</v>
      </c>
      <c r="D44" s="2" t="s">
        <v>27</v>
      </c>
      <c r="E44" s="2">
        <v>80.319999999999993</v>
      </c>
      <c r="F44" s="2">
        <v>5</v>
      </c>
      <c r="G44" s="2">
        <v>2</v>
      </c>
      <c r="H44" s="2">
        <v>77000</v>
      </c>
      <c r="I44" s="2">
        <v>157</v>
      </c>
      <c r="J44" s="2" t="s">
        <v>1671</v>
      </c>
      <c r="K44" s="2">
        <v>58</v>
      </c>
      <c r="L44" s="2">
        <v>25</v>
      </c>
      <c r="M44" s="2">
        <v>5</v>
      </c>
      <c r="N44" s="2">
        <v>6</v>
      </c>
      <c r="O44" s="2">
        <v>10</v>
      </c>
      <c r="P44" s="2">
        <v>12</v>
      </c>
      <c r="Q44" s="2" t="s">
        <v>987</v>
      </c>
      <c r="R44" s="2" t="s">
        <v>987</v>
      </c>
      <c r="S44" s="4">
        <v>44837</v>
      </c>
    </row>
    <row r="45" spans="1:19" ht="12.5" hidden="1" x14ac:dyDescent="0.25">
      <c r="A45" s="14" t="str">
        <f>HYPERLINK("https://gerandofalcoes.my.salesforce.com/0014P00003SGWPzQAP", "0014P00003SGWPzQAP")</f>
        <v>0014P00003SGWPzQAP</v>
      </c>
      <c r="B45" s="2" t="s">
        <v>1708</v>
      </c>
      <c r="C45" s="2" t="s">
        <v>423</v>
      </c>
      <c r="D45" s="2" t="s">
        <v>2</v>
      </c>
      <c r="E45" s="2">
        <v>79.64</v>
      </c>
      <c r="F45" s="2">
        <v>10</v>
      </c>
      <c r="G45" s="2">
        <v>3</v>
      </c>
      <c r="H45" s="2">
        <v>330138</v>
      </c>
      <c r="I45" s="2">
        <v>100</v>
      </c>
      <c r="J45" s="2" t="s">
        <v>1650</v>
      </c>
      <c r="K45" s="2">
        <v>73</v>
      </c>
      <c r="L45" s="2">
        <v>25</v>
      </c>
      <c r="M45" s="2">
        <v>10</v>
      </c>
      <c r="N45" s="2">
        <v>8</v>
      </c>
      <c r="O45" s="2">
        <v>20</v>
      </c>
      <c r="P45" s="2">
        <v>10</v>
      </c>
      <c r="Q45" s="2" t="s">
        <v>1709</v>
      </c>
      <c r="R45" s="2" t="s">
        <v>199</v>
      </c>
      <c r="S45" s="4">
        <v>44837</v>
      </c>
    </row>
    <row r="46" spans="1:19" ht="12.5" hidden="1" x14ac:dyDescent="0.25">
      <c r="A46" s="14" t="str">
        <f>HYPERLINK("https://gerandofalcoes.my.salesforce.com/0014P00003AN2GOQA1", "0014P00003AN2GOQA1")</f>
        <v>0014P00003AN2GOQA1</v>
      </c>
      <c r="B46" s="2" t="s">
        <v>1710</v>
      </c>
      <c r="C46" s="2" t="s">
        <v>423</v>
      </c>
      <c r="D46" s="2" t="s">
        <v>27</v>
      </c>
      <c r="E46" s="2">
        <v>79</v>
      </c>
      <c r="F46" s="2">
        <v>10</v>
      </c>
      <c r="G46" s="2">
        <v>3</v>
      </c>
      <c r="H46" s="2">
        <v>230836.02</v>
      </c>
      <c r="I46" s="2">
        <v>124</v>
      </c>
      <c r="J46" s="2" t="s">
        <v>1650</v>
      </c>
      <c r="K46" s="2">
        <v>68</v>
      </c>
      <c r="L46" s="2">
        <v>25</v>
      </c>
      <c r="M46" s="2">
        <v>10</v>
      </c>
      <c r="N46" s="2">
        <v>8</v>
      </c>
      <c r="O46" s="2">
        <v>15</v>
      </c>
      <c r="P46" s="2">
        <v>10</v>
      </c>
      <c r="Q46" s="2" t="s">
        <v>46</v>
      </c>
      <c r="R46" s="2" t="s">
        <v>1711</v>
      </c>
      <c r="S46" s="4">
        <v>44837</v>
      </c>
    </row>
    <row r="47" spans="1:19" ht="12.5" hidden="1" x14ac:dyDescent="0.25">
      <c r="A47" s="14" t="str">
        <f>HYPERLINK("https://gerandofalcoes.my.salesforce.com/0014P00003AN2G5QAL", "0014P00003AN2G5QAL")</f>
        <v>0014P00003AN2G5QAL</v>
      </c>
      <c r="B47" s="2" t="s">
        <v>1712</v>
      </c>
      <c r="C47" s="2" t="s">
        <v>423</v>
      </c>
      <c r="D47" s="2" t="s">
        <v>27</v>
      </c>
      <c r="E47" s="2">
        <v>78</v>
      </c>
      <c r="F47" s="2">
        <v>19</v>
      </c>
      <c r="G47" s="2">
        <v>3</v>
      </c>
      <c r="H47" s="2">
        <v>1912288.57</v>
      </c>
      <c r="I47" s="2">
        <v>193</v>
      </c>
      <c r="J47" s="2" t="s">
        <v>1654</v>
      </c>
      <c r="K47" s="2">
        <v>82</v>
      </c>
      <c r="L47" s="2">
        <v>25</v>
      </c>
      <c r="M47" s="2">
        <v>12</v>
      </c>
      <c r="N47" s="2">
        <v>8</v>
      </c>
      <c r="O47" s="2">
        <v>25</v>
      </c>
      <c r="P47" s="2">
        <v>12</v>
      </c>
      <c r="Q47" s="2" t="s">
        <v>156</v>
      </c>
      <c r="R47" s="2" t="s">
        <v>156</v>
      </c>
      <c r="S47" s="4">
        <v>44837</v>
      </c>
    </row>
    <row r="48" spans="1:19" ht="12.5" hidden="1" x14ac:dyDescent="0.25">
      <c r="A48" s="14" t="str">
        <f>HYPERLINK("https://gerandofalcoes.my.salesforce.com/0014P00003YSp8fQAD", "0014P00003YSp8fQAD")</f>
        <v>0014P00003YSp8fQAD</v>
      </c>
      <c r="B48" s="2" t="s">
        <v>1713</v>
      </c>
      <c r="C48" s="2" t="s">
        <v>423</v>
      </c>
      <c r="D48" s="2" t="s">
        <v>2</v>
      </c>
      <c r="E48" s="2">
        <v>77.38</v>
      </c>
      <c r="F48" s="2">
        <v>7</v>
      </c>
      <c r="G48" s="2">
        <v>5</v>
      </c>
      <c r="H48" s="2">
        <v>19685789</v>
      </c>
      <c r="I48" s="2">
        <v>215</v>
      </c>
      <c r="J48" s="2" t="s">
        <v>1654</v>
      </c>
      <c r="K48" s="2">
        <v>82</v>
      </c>
      <c r="L48" s="2">
        <v>25</v>
      </c>
      <c r="M48" s="2">
        <v>10</v>
      </c>
      <c r="N48" s="2">
        <v>10</v>
      </c>
      <c r="O48" s="2">
        <v>25</v>
      </c>
      <c r="P48" s="2">
        <v>12</v>
      </c>
      <c r="Q48" s="2" t="s">
        <v>1714</v>
      </c>
      <c r="R48" s="2" t="s">
        <v>1715</v>
      </c>
      <c r="S48" s="4">
        <v>44837</v>
      </c>
    </row>
    <row r="49" spans="1:19" ht="12.5" hidden="1" x14ac:dyDescent="0.25">
      <c r="A49" s="14" t="str">
        <f>HYPERLINK("https://gerandofalcoes.my.salesforce.com/0014P00003AN76yQAD", "0014P00003AN76yQAD")</f>
        <v>0014P00003AN76yQAD</v>
      </c>
      <c r="B49" s="2" t="s">
        <v>49</v>
      </c>
      <c r="C49" s="2" t="s">
        <v>423</v>
      </c>
      <c r="D49" s="2" t="s">
        <v>27</v>
      </c>
      <c r="E49" s="2">
        <v>77.38</v>
      </c>
      <c r="F49" s="2">
        <v>6</v>
      </c>
      <c r="G49" s="2">
        <v>2</v>
      </c>
      <c r="H49" s="2">
        <v>80000</v>
      </c>
      <c r="I49" s="2">
        <v>80</v>
      </c>
      <c r="J49" s="2" t="s">
        <v>1671</v>
      </c>
      <c r="K49" s="2">
        <v>61</v>
      </c>
      <c r="L49" s="2">
        <v>25</v>
      </c>
      <c r="M49" s="2">
        <v>10</v>
      </c>
      <c r="N49" s="2">
        <v>6</v>
      </c>
      <c r="O49" s="2">
        <v>10</v>
      </c>
      <c r="P49" s="2">
        <v>10</v>
      </c>
      <c r="Q49" s="2" t="s">
        <v>1716</v>
      </c>
      <c r="R49" s="2" t="s">
        <v>1716</v>
      </c>
      <c r="S49" s="4">
        <v>44837</v>
      </c>
    </row>
    <row r="50" spans="1:19" ht="12.5" hidden="1" x14ac:dyDescent="0.25">
      <c r="A50" s="14" t="str">
        <f>HYPERLINK("https://gerandofalcoes.my.salesforce.com/0014X00002PUOZAQA5", "0014X00002PUOZAQA5")</f>
        <v>0014X00002PUOZAQA5</v>
      </c>
      <c r="B50" s="2" t="s">
        <v>1717</v>
      </c>
      <c r="C50" s="2" t="s">
        <v>423</v>
      </c>
      <c r="D50" s="2" t="s">
        <v>2</v>
      </c>
      <c r="E50" s="2">
        <v>76.81</v>
      </c>
      <c r="F50" s="2">
        <v>0</v>
      </c>
      <c r="G50" s="2">
        <v>3</v>
      </c>
      <c r="H50" s="2">
        <v>286000</v>
      </c>
      <c r="I50" s="2">
        <v>127</v>
      </c>
      <c r="J50" s="2" t="s">
        <v>1671</v>
      </c>
      <c r="K50" s="2">
        <v>58</v>
      </c>
      <c r="L50" s="2">
        <v>25</v>
      </c>
      <c r="M50" s="2">
        <v>0</v>
      </c>
      <c r="N50" s="2">
        <v>8</v>
      </c>
      <c r="O50" s="2">
        <v>15</v>
      </c>
      <c r="P50" s="2">
        <v>10</v>
      </c>
      <c r="Q50" s="2" t="s">
        <v>1718</v>
      </c>
      <c r="R50" s="2" t="s">
        <v>1718</v>
      </c>
      <c r="S50" s="4">
        <v>44837</v>
      </c>
    </row>
    <row r="51" spans="1:19" ht="12.5" hidden="1" x14ac:dyDescent="0.25">
      <c r="A51" s="14" t="str">
        <f>HYPERLINK("https://gerandofalcoes.my.salesforce.com/0014P00003ESKdlQAH", "0014P00003ESKdlQAH")</f>
        <v>0014P00003ESKdlQAH</v>
      </c>
      <c r="B51" s="2" t="s">
        <v>1719</v>
      </c>
      <c r="C51" s="2" t="s">
        <v>423</v>
      </c>
      <c r="D51" s="2" t="s">
        <v>2</v>
      </c>
      <c r="E51" s="2">
        <v>76</v>
      </c>
      <c r="F51" s="2">
        <v>0</v>
      </c>
      <c r="G51" s="2">
        <v>3</v>
      </c>
      <c r="H51" s="2">
        <v>97514224</v>
      </c>
      <c r="I51" s="2">
        <v>500</v>
      </c>
      <c r="J51" s="2" t="s">
        <v>1650</v>
      </c>
      <c r="K51" s="2">
        <v>78</v>
      </c>
      <c r="L51" s="2">
        <v>25</v>
      </c>
      <c r="M51" s="2">
        <v>0</v>
      </c>
      <c r="N51" s="2">
        <v>8</v>
      </c>
      <c r="O51" s="2">
        <v>25</v>
      </c>
      <c r="P51" s="2">
        <v>20</v>
      </c>
      <c r="Q51" s="2" t="s">
        <v>898</v>
      </c>
      <c r="R51" s="2" t="s">
        <v>898</v>
      </c>
      <c r="S51" s="4">
        <v>44837</v>
      </c>
    </row>
    <row r="52" spans="1:19" ht="12.5" hidden="1" x14ac:dyDescent="0.25">
      <c r="A52" s="14" t="str">
        <f>HYPERLINK("https://gerandofalcoes.my.salesforce.com/0014P00003AN2GJQA1", "0014P00003AN2GJQA1")</f>
        <v>0014P00003AN2GJQA1</v>
      </c>
      <c r="B52" s="2" t="s">
        <v>1720</v>
      </c>
      <c r="C52" s="2" t="s">
        <v>423</v>
      </c>
      <c r="D52" s="2" t="s">
        <v>27</v>
      </c>
      <c r="E52" s="2">
        <v>76</v>
      </c>
      <c r="F52" s="2">
        <v>10</v>
      </c>
      <c r="G52" s="2">
        <v>2</v>
      </c>
      <c r="H52" s="2">
        <v>786451.23</v>
      </c>
      <c r="I52" s="2">
        <v>99</v>
      </c>
      <c r="J52" s="2" t="s">
        <v>1650</v>
      </c>
      <c r="K52" s="2">
        <v>71</v>
      </c>
      <c r="L52" s="2">
        <v>25</v>
      </c>
      <c r="M52" s="2">
        <v>10</v>
      </c>
      <c r="N52" s="2">
        <v>6</v>
      </c>
      <c r="O52" s="2">
        <v>20</v>
      </c>
      <c r="P52" s="2">
        <v>10</v>
      </c>
      <c r="Q52" s="2" t="s">
        <v>35</v>
      </c>
      <c r="R52" s="2" t="s">
        <v>1721</v>
      </c>
      <c r="S52" s="4">
        <v>44837</v>
      </c>
    </row>
    <row r="53" spans="1:19" ht="12.5" hidden="1" x14ac:dyDescent="0.25">
      <c r="A53" s="14" t="str">
        <f>HYPERLINK("https://gerandofalcoes.my.salesforce.com/0014P00003AN72DQAT", "0014P00003AN72DQAT")</f>
        <v>0014P00003AN72DQAT</v>
      </c>
      <c r="B53" s="2" t="s">
        <v>1722</v>
      </c>
      <c r="C53" s="2" t="s">
        <v>423</v>
      </c>
      <c r="D53" s="2" t="s">
        <v>2</v>
      </c>
      <c r="E53" s="2">
        <v>74</v>
      </c>
      <c r="F53" s="2">
        <v>35</v>
      </c>
      <c r="G53" s="2">
        <v>5</v>
      </c>
      <c r="H53" s="2">
        <v>1000000</v>
      </c>
      <c r="I53" s="2">
        <v>506</v>
      </c>
      <c r="J53" s="2" t="s">
        <v>1654</v>
      </c>
      <c r="K53" s="2">
        <v>90</v>
      </c>
      <c r="L53" s="2">
        <v>20</v>
      </c>
      <c r="M53" s="2">
        <v>15</v>
      </c>
      <c r="N53" s="2">
        <v>10</v>
      </c>
      <c r="O53" s="2">
        <v>25</v>
      </c>
      <c r="P53" s="2">
        <v>20</v>
      </c>
      <c r="Q53" s="2" t="s">
        <v>565</v>
      </c>
      <c r="R53" s="2" t="s">
        <v>565</v>
      </c>
      <c r="S53" s="4">
        <v>44837</v>
      </c>
    </row>
    <row r="54" spans="1:19" ht="12.5" hidden="1" x14ac:dyDescent="0.25">
      <c r="A54" s="14" t="str">
        <f>HYPERLINK("https://gerandofalcoes.my.salesforce.com/0014P00003AN2FwQAL", "0014P00003AN2FwQAL")</f>
        <v>0014P00003AN2FwQAL</v>
      </c>
      <c r="B54" s="2" t="s">
        <v>115</v>
      </c>
      <c r="C54" s="2" t="s">
        <v>423</v>
      </c>
      <c r="D54" s="2" t="s">
        <v>27</v>
      </c>
      <c r="E54" s="2">
        <v>73</v>
      </c>
      <c r="F54" s="2">
        <v>15</v>
      </c>
      <c r="G54" s="2">
        <v>1</v>
      </c>
      <c r="H54" s="2">
        <v>65923</v>
      </c>
      <c r="I54" s="2">
        <v>77</v>
      </c>
      <c r="J54" s="2" t="s">
        <v>1671</v>
      </c>
      <c r="K54" s="2">
        <v>51</v>
      </c>
      <c r="L54" s="2">
        <v>20</v>
      </c>
      <c r="M54" s="2">
        <v>12</v>
      </c>
      <c r="N54" s="2">
        <v>4</v>
      </c>
      <c r="O54" s="2">
        <v>10</v>
      </c>
      <c r="P54" s="2">
        <v>5</v>
      </c>
      <c r="Q54" s="2" t="s">
        <v>116</v>
      </c>
      <c r="R54" s="2" t="s">
        <v>1723</v>
      </c>
      <c r="S54" s="4">
        <v>44837</v>
      </c>
    </row>
    <row r="55" spans="1:19" ht="12.5" hidden="1" x14ac:dyDescent="0.25">
      <c r="A55" s="14" t="str">
        <f>HYPERLINK("https://gerandofalcoes.my.salesforce.com/0014X00002VKCrZQAX", "0014X00002VKCrZQAX")</f>
        <v>0014X00002VKCrZQAX</v>
      </c>
      <c r="B55" s="2" t="s">
        <v>1724</v>
      </c>
      <c r="C55" s="2" t="s">
        <v>423</v>
      </c>
      <c r="D55" s="2" t="s">
        <v>2</v>
      </c>
      <c r="E55" s="2">
        <v>72.430000000000007</v>
      </c>
      <c r="F55" s="2">
        <v>5</v>
      </c>
      <c r="G55" s="2">
        <v>7</v>
      </c>
      <c r="H55" s="2">
        <v>701915</v>
      </c>
      <c r="I55" s="2">
        <v>259</v>
      </c>
      <c r="J55" s="2" t="s">
        <v>1650</v>
      </c>
      <c r="K55" s="2">
        <v>67</v>
      </c>
      <c r="L55" s="2">
        <v>20</v>
      </c>
      <c r="M55" s="2">
        <v>5</v>
      </c>
      <c r="N55" s="2">
        <v>10</v>
      </c>
      <c r="O55" s="2">
        <v>20</v>
      </c>
      <c r="P55" s="2">
        <v>12</v>
      </c>
      <c r="Q55" s="2" t="s">
        <v>1725</v>
      </c>
      <c r="R55" s="2" t="s">
        <v>1726</v>
      </c>
      <c r="S55" s="4">
        <v>44837</v>
      </c>
    </row>
    <row r="56" spans="1:19" ht="12.5" hidden="1" x14ac:dyDescent="0.25">
      <c r="A56" s="14" t="str">
        <f>HYPERLINK("https://gerandofalcoes.my.salesforce.com/0014P00003YSp83QAD", "0014P00003YSp83QAD")</f>
        <v>0014P00003YSp83QAD</v>
      </c>
      <c r="B56" s="2" t="s">
        <v>1727</v>
      </c>
      <c r="C56" s="2" t="s">
        <v>423</v>
      </c>
      <c r="D56" s="2" t="s">
        <v>2</v>
      </c>
      <c r="E56" s="2">
        <v>71.08</v>
      </c>
      <c r="F56" s="2">
        <v>3</v>
      </c>
      <c r="G56" s="2">
        <v>2</v>
      </c>
      <c r="H56" s="2">
        <v>15844866</v>
      </c>
      <c r="I56" s="2">
        <v>502</v>
      </c>
      <c r="J56" s="2" t="s">
        <v>1650</v>
      </c>
      <c r="K56" s="2">
        <v>76</v>
      </c>
      <c r="L56" s="2">
        <v>20</v>
      </c>
      <c r="M56" s="2">
        <v>5</v>
      </c>
      <c r="N56" s="2">
        <v>6</v>
      </c>
      <c r="O56" s="2">
        <v>25</v>
      </c>
      <c r="P56" s="2">
        <v>20</v>
      </c>
      <c r="Q56" s="2" t="s">
        <v>1728</v>
      </c>
      <c r="R56" s="2" t="s">
        <v>1729</v>
      </c>
      <c r="S56" s="4">
        <v>44837</v>
      </c>
    </row>
    <row r="57" spans="1:19" ht="12.5" hidden="1" x14ac:dyDescent="0.25">
      <c r="A57" s="14" t="str">
        <f>HYPERLINK("https://gerandofalcoes.my.salesforce.com/0014P00003AN2GMQA1", "0014P00003AN2GMQA1")</f>
        <v>0014P00003AN2GMQA1</v>
      </c>
      <c r="B57" s="2" t="s">
        <v>1730</v>
      </c>
      <c r="C57" s="2" t="s">
        <v>423</v>
      </c>
      <c r="D57" s="2" t="s">
        <v>27</v>
      </c>
      <c r="E57" s="2">
        <v>71</v>
      </c>
      <c r="F57" s="2">
        <v>7</v>
      </c>
      <c r="G57" s="2">
        <v>2</v>
      </c>
      <c r="H57" s="2">
        <v>225804.57</v>
      </c>
      <c r="I57" s="2">
        <v>93</v>
      </c>
      <c r="J57" s="2" t="s">
        <v>1671</v>
      </c>
      <c r="K57" s="2">
        <v>61</v>
      </c>
      <c r="L57" s="2">
        <v>20</v>
      </c>
      <c r="M57" s="2">
        <v>10</v>
      </c>
      <c r="N57" s="2">
        <v>6</v>
      </c>
      <c r="O57" s="2">
        <v>15</v>
      </c>
      <c r="P57" s="2">
        <v>10</v>
      </c>
      <c r="Q57" s="2" t="s">
        <v>39</v>
      </c>
      <c r="R57" s="2" t="s">
        <v>39</v>
      </c>
      <c r="S57" s="4">
        <v>44837</v>
      </c>
    </row>
    <row r="58" spans="1:19" ht="12.5" hidden="1" x14ac:dyDescent="0.25">
      <c r="A58" s="14" t="str">
        <f>HYPERLINK("https://gerandofalcoes.my.salesforce.com/0014X00002VKCpdQAH", "0014X00002VKCpdQAH")</f>
        <v>0014X00002VKCpdQAH</v>
      </c>
      <c r="B58" s="2" t="s">
        <v>1731</v>
      </c>
      <c r="C58" s="2" t="s">
        <v>423</v>
      </c>
      <c r="D58" s="2" t="s">
        <v>2</v>
      </c>
      <c r="E58" s="2">
        <v>70.47</v>
      </c>
      <c r="F58" s="2">
        <v>22</v>
      </c>
      <c r="G58" s="2">
        <v>3</v>
      </c>
      <c r="H58" s="2">
        <v>1200000</v>
      </c>
      <c r="I58" s="2">
        <v>520</v>
      </c>
      <c r="J58" s="2" t="s">
        <v>1654</v>
      </c>
      <c r="K58" s="2">
        <v>85</v>
      </c>
      <c r="L58" s="2">
        <v>20</v>
      </c>
      <c r="M58" s="2">
        <v>12</v>
      </c>
      <c r="N58" s="2">
        <v>8</v>
      </c>
      <c r="O58" s="2">
        <v>25</v>
      </c>
      <c r="P58" s="2">
        <v>20</v>
      </c>
      <c r="Q58" s="2" t="s">
        <v>1732</v>
      </c>
      <c r="R58" s="2" t="s">
        <v>1733</v>
      </c>
      <c r="S58" s="4">
        <v>44837</v>
      </c>
    </row>
    <row r="59" spans="1:19" ht="12.5" hidden="1" x14ac:dyDescent="0.25">
      <c r="A59" s="14" t="str">
        <f>HYPERLINK("https://gerandofalcoes.my.salesforce.com/0014P00003Ck8NjQAJ", "0014P00003Ck8NjQAJ")</f>
        <v>0014P00003Ck8NjQAJ</v>
      </c>
      <c r="B59" s="2" t="s">
        <v>1734</v>
      </c>
      <c r="C59" s="2" t="s">
        <v>423</v>
      </c>
      <c r="D59" s="2" t="s">
        <v>2</v>
      </c>
      <c r="E59" s="2">
        <v>70.44</v>
      </c>
      <c r="F59" s="2">
        <v>30</v>
      </c>
      <c r="G59" s="2">
        <v>4</v>
      </c>
      <c r="H59" s="2">
        <v>168000</v>
      </c>
      <c r="I59" s="2">
        <v>200</v>
      </c>
      <c r="J59" s="2" t="s">
        <v>1650</v>
      </c>
      <c r="K59" s="2">
        <v>69</v>
      </c>
      <c r="L59" s="2">
        <v>20</v>
      </c>
      <c r="M59" s="2">
        <v>12</v>
      </c>
      <c r="N59" s="2">
        <v>10</v>
      </c>
      <c r="O59" s="2">
        <v>15</v>
      </c>
      <c r="P59" s="2">
        <v>12</v>
      </c>
      <c r="Q59" s="2" t="s">
        <v>1735</v>
      </c>
      <c r="R59" s="2" t="s">
        <v>1735</v>
      </c>
      <c r="S59" s="4">
        <v>44837</v>
      </c>
    </row>
    <row r="60" spans="1:19" ht="12.5" hidden="1" x14ac:dyDescent="0.25">
      <c r="A60" s="14" t="str">
        <f>HYPERLINK("https://gerandofalcoes.my.salesforce.com/0014P00003YSpADQA1", "0014P00003YSpADQA1")</f>
        <v>0014P00003YSpADQA1</v>
      </c>
      <c r="B60" s="2" t="s">
        <v>1736</v>
      </c>
      <c r="C60" s="2" t="s">
        <v>423</v>
      </c>
      <c r="D60" s="2" t="s">
        <v>2</v>
      </c>
      <c r="E60" s="2">
        <v>70.09</v>
      </c>
      <c r="F60" s="2">
        <v>10</v>
      </c>
      <c r="G60" s="2">
        <v>7</v>
      </c>
      <c r="H60" s="2">
        <v>595384</v>
      </c>
      <c r="I60" s="2">
        <v>246</v>
      </c>
      <c r="J60" s="2" t="s">
        <v>1650</v>
      </c>
      <c r="K60" s="2">
        <v>72</v>
      </c>
      <c r="L60" s="2">
        <v>20</v>
      </c>
      <c r="M60" s="2">
        <v>10</v>
      </c>
      <c r="N60" s="2">
        <v>10</v>
      </c>
      <c r="O60" s="2">
        <v>20</v>
      </c>
      <c r="P60" s="2">
        <v>12</v>
      </c>
      <c r="Q60" s="2" t="s">
        <v>1737</v>
      </c>
      <c r="R60" s="2" t="s">
        <v>1737</v>
      </c>
      <c r="S60" s="4">
        <v>44837</v>
      </c>
    </row>
    <row r="61" spans="1:19" ht="12.5" hidden="1" x14ac:dyDescent="0.25">
      <c r="A61" s="14" t="str">
        <f>HYPERLINK("https://gerandofalcoes.my.salesforce.com/0014P00003AN2FVQA1", "0014P00003AN2FVQA1")</f>
        <v>0014P00003AN2FVQA1</v>
      </c>
      <c r="B61" s="2" t="s">
        <v>1738</v>
      </c>
      <c r="C61" s="2" t="s">
        <v>423</v>
      </c>
      <c r="D61" s="2" t="s">
        <v>2</v>
      </c>
      <c r="E61" s="2">
        <v>70</v>
      </c>
      <c r="F61" s="2">
        <v>22</v>
      </c>
      <c r="G61" s="2">
        <v>3</v>
      </c>
      <c r="H61" s="2">
        <v>1385871</v>
      </c>
      <c r="I61" s="2">
        <v>700</v>
      </c>
      <c r="J61" s="2" t="s">
        <v>1654</v>
      </c>
      <c r="K61" s="2">
        <v>85</v>
      </c>
      <c r="L61" s="2">
        <v>20</v>
      </c>
      <c r="M61" s="2">
        <v>12</v>
      </c>
      <c r="N61" s="2">
        <v>8</v>
      </c>
      <c r="O61" s="2">
        <v>25</v>
      </c>
      <c r="P61" s="2">
        <v>20</v>
      </c>
      <c r="Q61" s="2" t="s">
        <v>632</v>
      </c>
      <c r="R61" s="2" t="s">
        <v>632</v>
      </c>
      <c r="S61" s="4">
        <v>44837</v>
      </c>
    </row>
    <row r="62" spans="1:19" ht="12.5" hidden="1" x14ac:dyDescent="0.25">
      <c r="A62" s="14" t="str">
        <f>HYPERLINK("https://gerandofalcoes.my.salesforce.com/0014P00003SGWPxQAP", "0014P00003SGWPxQAP")</f>
        <v>0014P00003SGWPxQAP</v>
      </c>
      <c r="B62" s="2" t="s">
        <v>1739</v>
      </c>
      <c r="C62" s="2" t="s">
        <v>423</v>
      </c>
      <c r="D62" s="2" t="s">
        <v>2</v>
      </c>
      <c r="E62" s="2">
        <v>67.709999999999994</v>
      </c>
      <c r="F62" s="2">
        <v>4</v>
      </c>
      <c r="G62" s="2">
        <v>3</v>
      </c>
      <c r="H62" s="2">
        <v>135000</v>
      </c>
      <c r="I62" s="2">
        <v>442</v>
      </c>
      <c r="J62" s="2" t="s">
        <v>1671</v>
      </c>
      <c r="K62" s="2">
        <v>63</v>
      </c>
      <c r="L62" s="2">
        <v>20</v>
      </c>
      <c r="M62" s="2">
        <v>5</v>
      </c>
      <c r="N62" s="2">
        <v>8</v>
      </c>
      <c r="O62" s="2">
        <v>15</v>
      </c>
      <c r="P62" s="2">
        <v>15</v>
      </c>
      <c r="Q62" s="2" t="s">
        <v>1106</v>
      </c>
      <c r="R62" s="2" t="s">
        <v>1106</v>
      </c>
      <c r="S62" s="4">
        <v>44837</v>
      </c>
    </row>
    <row r="63" spans="1:19" ht="12.5" hidden="1" x14ac:dyDescent="0.25">
      <c r="A63" s="14" t="str">
        <f>HYPERLINK("https://gerandofalcoes.my.salesforce.com/0014P00003AN2G7QAL", "0014P00003AN2G7QAL")</f>
        <v>0014P00003AN2G7QAL</v>
      </c>
      <c r="B63" s="2" t="s">
        <v>1740</v>
      </c>
      <c r="C63" s="2" t="s">
        <v>423</v>
      </c>
      <c r="D63" s="2" t="s">
        <v>2</v>
      </c>
      <c r="E63" s="2">
        <v>67.37</v>
      </c>
      <c r="F63" s="2">
        <v>3</v>
      </c>
      <c r="G63" s="2">
        <v>4</v>
      </c>
      <c r="H63" s="2">
        <v>140000</v>
      </c>
      <c r="I63" s="2">
        <v>3</v>
      </c>
      <c r="J63" s="2" t="s">
        <v>1671</v>
      </c>
      <c r="K63" s="2">
        <v>55</v>
      </c>
      <c r="L63" s="2">
        <v>20</v>
      </c>
      <c r="M63" s="2">
        <v>5</v>
      </c>
      <c r="N63" s="2">
        <v>10</v>
      </c>
      <c r="O63" s="2">
        <v>15</v>
      </c>
      <c r="P63" s="2">
        <v>5</v>
      </c>
      <c r="Q63" s="2" t="s">
        <v>945</v>
      </c>
      <c r="R63" s="2" t="s">
        <v>945</v>
      </c>
      <c r="S63" s="4">
        <v>44837</v>
      </c>
    </row>
    <row r="64" spans="1:19" ht="12.5" hidden="1" x14ac:dyDescent="0.25">
      <c r="A64" s="14" t="str">
        <f>HYPERLINK("https://gerandofalcoes.my.salesforce.com/0014X00002VKCqlQAH", "0014X00002VKCqlQAH")</f>
        <v>0014X00002VKCqlQAH</v>
      </c>
      <c r="B64" s="2" t="s">
        <v>1741</v>
      </c>
      <c r="C64" s="2" t="s">
        <v>423</v>
      </c>
      <c r="D64" s="2" t="s">
        <v>2</v>
      </c>
      <c r="E64" s="2">
        <v>67.11</v>
      </c>
      <c r="F64" s="2">
        <v>5</v>
      </c>
      <c r="G64" s="2">
        <v>3</v>
      </c>
      <c r="H64" s="2">
        <v>300000</v>
      </c>
      <c r="I64" s="2">
        <v>83</v>
      </c>
      <c r="J64" s="2" t="s">
        <v>1671</v>
      </c>
      <c r="K64" s="2">
        <v>63</v>
      </c>
      <c r="L64" s="2">
        <v>20</v>
      </c>
      <c r="M64" s="2">
        <v>5</v>
      </c>
      <c r="N64" s="2">
        <v>8</v>
      </c>
      <c r="O64" s="2">
        <v>20</v>
      </c>
      <c r="P64" s="2">
        <v>10</v>
      </c>
      <c r="Q64" s="2" t="s">
        <v>1742</v>
      </c>
      <c r="R64" s="2" t="s">
        <v>1743</v>
      </c>
      <c r="S64" s="4">
        <v>44837</v>
      </c>
    </row>
    <row r="65" spans="1:19" ht="12.5" hidden="1" x14ac:dyDescent="0.25">
      <c r="A65" s="14" t="str">
        <f>HYPERLINK("https://gerandofalcoes.my.salesforce.com/0014P00003AN2G1QAL", "0014P00003AN2G1QAL")</f>
        <v>0014P00003AN2G1QAL</v>
      </c>
      <c r="B65" s="2" t="s">
        <v>1744</v>
      </c>
      <c r="C65" s="2" t="s">
        <v>423</v>
      </c>
      <c r="D65" s="2" t="s">
        <v>2</v>
      </c>
      <c r="E65" s="2">
        <v>66.45</v>
      </c>
      <c r="F65" s="2">
        <v>10</v>
      </c>
      <c r="G65" s="2">
        <v>2</v>
      </c>
      <c r="H65" s="2">
        <v>1545600</v>
      </c>
      <c r="I65" s="2">
        <v>123</v>
      </c>
      <c r="J65" s="2" t="s">
        <v>1650</v>
      </c>
      <c r="K65" s="2">
        <v>71</v>
      </c>
      <c r="L65" s="2">
        <v>20</v>
      </c>
      <c r="M65" s="2">
        <v>10</v>
      </c>
      <c r="N65" s="2">
        <v>6</v>
      </c>
      <c r="O65" s="2">
        <v>25</v>
      </c>
      <c r="P65" s="2">
        <v>10</v>
      </c>
      <c r="Q65" s="2" t="s">
        <v>839</v>
      </c>
      <c r="R65" s="2" t="s">
        <v>839</v>
      </c>
      <c r="S65" s="4">
        <v>44837</v>
      </c>
    </row>
    <row r="66" spans="1:19" ht="12.5" hidden="1" x14ac:dyDescent="0.25">
      <c r="A66" s="14" t="str">
        <f>HYPERLINK("https://gerandofalcoes.my.salesforce.com/0014P00003SGWFqQAP", "0014P00003SGWFqQAP")</f>
        <v>0014P00003SGWFqQAP</v>
      </c>
      <c r="B66" s="2" t="s">
        <v>343</v>
      </c>
      <c r="C66" s="2" t="s">
        <v>423</v>
      </c>
      <c r="D66" s="2" t="s">
        <v>2</v>
      </c>
      <c r="E66" s="2">
        <v>66.09</v>
      </c>
      <c r="F66" s="2">
        <v>10</v>
      </c>
      <c r="G66" s="2">
        <v>6</v>
      </c>
      <c r="H66" s="2">
        <v>796000</v>
      </c>
      <c r="I66" s="2">
        <v>80</v>
      </c>
      <c r="J66" s="2" t="s">
        <v>1650</v>
      </c>
      <c r="K66" s="2">
        <v>70</v>
      </c>
      <c r="L66" s="2">
        <v>20</v>
      </c>
      <c r="M66" s="2">
        <v>10</v>
      </c>
      <c r="N66" s="2">
        <v>10</v>
      </c>
      <c r="O66" s="2">
        <v>20</v>
      </c>
      <c r="P66" s="2">
        <v>10</v>
      </c>
      <c r="Q66" s="2" t="s">
        <v>344</v>
      </c>
      <c r="R66" s="2" t="s">
        <v>1479</v>
      </c>
      <c r="S66" s="4">
        <v>44837</v>
      </c>
    </row>
    <row r="67" spans="1:19" ht="12.5" hidden="1" x14ac:dyDescent="0.25">
      <c r="A67" s="14" t="str">
        <f>HYPERLINK("https://gerandofalcoes.my.salesforce.com/0014P00003SGWPnQAP", "0014P00003SGWPnQAP")</f>
        <v>0014P00003SGWPnQAP</v>
      </c>
      <c r="B67" s="2" t="s">
        <v>1745</v>
      </c>
      <c r="C67" s="2" t="s">
        <v>423</v>
      </c>
      <c r="D67" s="2" t="s">
        <v>2</v>
      </c>
      <c r="E67" s="2">
        <v>64</v>
      </c>
      <c r="F67" s="2">
        <v>20</v>
      </c>
      <c r="G67" s="2">
        <v>1</v>
      </c>
      <c r="H67" s="2">
        <v>1266000</v>
      </c>
      <c r="I67" s="2">
        <v>250</v>
      </c>
      <c r="J67" s="2" t="s">
        <v>1650</v>
      </c>
      <c r="K67" s="2">
        <v>73</v>
      </c>
      <c r="L67" s="2">
        <v>20</v>
      </c>
      <c r="M67" s="2">
        <v>12</v>
      </c>
      <c r="N67" s="2">
        <v>4</v>
      </c>
      <c r="O67" s="2">
        <v>25</v>
      </c>
      <c r="P67" s="2">
        <v>12</v>
      </c>
      <c r="Q67" s="2" t="s">
        <v>319</v>
      </c>
      <c r="R67" s="2" t="s">
        <v>1379</v>
      </c>
      <c r="S67" s="4">
        <v>44837</v>
      </c>
    </row>
    <row r="68" spans="1:19" ht="12.5" hidden="1" x14ac:dyDescent="0.25">
      <c r="A68" s="14" t="str">
        <f>HYPERLINK("https://gerandofalcoes.my.salesforce.com/0014P00003AN2FvQAL", "0014P00003AN2FvQAL")</f>
        <v>0014P00003AN2FvQAL</v>
      </c>
      <c r="B68" s="2" t="s">
        <v>1746</v>
      </c>
      <c r="C68" s="2" t="s">
        <v>423</v>
      </c>
      <c r="D68" s="2" t="s">
        <v>27</v>
      </c>
      <c r="E68" s="2">
        <v>64</v>
      </c>
      <c r="F68" s="2">
        <v>7</v>
      </c>
      <c r="G68" s="2">
        <v>2</v>
      </c>
      <c r="H68" s="2">
        <v>109514.68</v>
      </c>
      <c r="I68" s="2">
        <v>127</v>
      </c>
      <c r="J68" s="2" t="s">
        <v>1671</v>
      </c>
      <c r="K68" s="2">
        <v>61</v>
      </c>
      <c r="L68" s="2">
        <v>20</v>
      </c>
      <c r="M68" s="2">
        <v>10</v>
      </c>
      <c r="N68" s="2">
        <v>6</v>
      </c>
      <c r="O68" s="2">
        <v>15</v>
      </c>
      <c r="P68" s="2">
        <v>10</v>
      </c>
      <c r="Q68" s="2" t="s">
        <v>142</v>
      </c>
      <c r="R68" s="2" t="s">
        <v>142</v>
      </c>
      <c r="S68" s="4">
        <v>44837</v>
      </c>
    </row>
    <row r="69" spans="1:19" ht="12.5" hidden="1" x14ac:dyDescent="0.25">
      <c r="A69" s="14" t="str">
        <f>HYPERLINK("https://gerandofalcoes.my.salesforce.com/0014P00003AN2G4QAL", "0014P00003AN2G4QAL")</f>
        <v>0014P00003AN2G4QAL</v>
      </c>
      <c r="B69" s="2" t="s">
        <v>1747</v>
      </c>
      <c r="C69" s="2" t="s">
        <v>423</v>
      </c>
      <c r="D69" s="2" t="s">
        <v>27</v>
      </c>
      <c r="E69" s="2">
        <v>63.71</v>
      </c>
      <c r="F69" s="2">
        <v>0</v>
      </c>
      <c r="G69" s="2">
        <v>2</v>
      </c>
      <c r="H69" s="2">
        <v>37000</v>
      </c>
      <c r="I69" s="2">
        <v>180</v>
      </c>
      <c r="J69" s="2" t="s">
        <v>1671</v>
      </c>
      <c r="K69" s="2">
        <v>48</v>
      </c>
      <c r="L69" s="2">
        <v>20</v>
      </c>
      <c r="M69" s="2">
        <v>0</v>
      </c>
      <c r="N69" s="2">
        <v>6</v>
      </c>
      <c r="O69" s="2">
        <v>10</v>
      </c>
      <c r="P69" s="2">
        <v>12</v>
      </c>
      <c r="Q69" s="2" t="s">
        <v>925</v>
      </c>
      <c r="R69" s="2" t="s">
        <v>925</v>
      </c>
      <c r="S69" s="4">
        <v>44837</v>
      </c>
    </row>
    <row r="70" spans="1:19" ht="12.5" hidden="1" x14ac:dyDescent="0.25">
      <c r="A70" s="14" t="str">
        <f>HYPERLINK("https://gerandofalcoes.my.salesforce.com/0014P00003I7WH2QAN", "0014P00003I7WH2QAN")</f>
        <v>0014P00003I7WH2QAN</v>
      </c>
      <c r="B70" s="2" t="s">
        <v>1748</v>
      </c>
      <c r="C70" s="2" t="s">
        <v>423</v>
      </c>
      <c r="D70" s="2" t="s">
        <v>2</v>
      </c>
      <c r="E70" s="2">
        <v>63.15</v>
      </c>
      <c r="F70" s="2">
        <v>5</v>
      </c>
      <c r="G70" s="2">
        <v>3</v>
      </c>
      <c r="H70" s="2">
        <v>300000</v>
      </c>
      <c r="I70" s="2">
        <v>216</v>
      </c>
      <c r="J70" s="2" t="s">
        <v>1650</v>
      </c>
      <c r="K70" s="2">
        <v>65</v>
      </c>
      <c r="L70" s="2">
        <v>20</v>
      </c>
      <c r="M70" s="2">
        <v>5</v>
      </c>
      <c r="N70" s="2">
        <v>8</v>
      </c>
      <c r="O70" s="2">
        <v>20</v>
      </c>
      <c r="P70" s="2">
        <v>12</v>
      </c>
      <c r="Q70" s="2" t="s">
        <v>1749</v>
      </c>
      <c r="R70" s="2" t="s">
        <v>906</v>
      </c>
      <c r="S70" s="4">
        <v>44837</v>
      </c>
    </row>
    <row r="71" spans="1:19" ht="12.5" hidden="1" x14ac:dyDescent="0.25">
      <c r="A71" s="14" t="str">
        <f>HYPERLINK("https://gerandofalcoes.my.salesforce.com/0014X00002VKCtyQAH", "0014X00002VKCtyQAH")</f>
        <v>0014X00002VKCtyQAH</v>
      </c>
      <c r="B71" s="2" t="s">
        <v>1750</v>
      </c>
      <c r="C71" s="2" t="s">
        <v>423</v>
      </c>
      <c r="D71" s="2" t="s">
        <v>2</v>
      </c>
      <c r="E71" s="2">
        <v>63</v>
      </c>
      <c r="F71" s="2">
        <v>0</v>
      </c>
      <c r="G71" s="2">
        <v>4</v>
      </c>
      <c r="H71" s="2">
        <v>50000</v>
      </c>
      <c r="I71" s="2">
        <v>45</v>
      </c>
      <c r="J71" s="2" t="s">
        <v>1671</v>
      </c>
      <c r="K71" s="2">
        <v>45</v>
      </c>
      <c r="L71" s="2">
        <v>20</v>
      </c>
      <c r="M71" s="2">
        <v>0</v>
      </c>
      <c r="N71" s="2">
        <v>10</v>
      </c>
      <c r="O71" s="2">
        <v>10</v>
      </c>
      <c r="P71" s="2">
        <v>5</v>
      </c>
      <c r="Q71" s="2" t="s">
        <v>1751</v>
      </c>
      <c r="R71" s="2" t="s">
        <v>1752</v>
      </c>
      <c r="S71" s="4">
        <v>44837</v>
      </c>
    </row>
    <row r="72" spans="1:19" ht="12.5" hidden="1" x14ac:dyDescent="0.25">
      <c r="A72" s="14" t="str">
        <f>HYPERLINK("https://gerandofalcoes.my.salesforce.com/0014P00003AN2FgQAL", "0014P00003AN2FgQAL")</f>
        <v>0014P00003AN2FgQAL</v>
      </c>
      <c r="B72" s="2" t="s">
        <v>109</v>
      </c>
      <c r="C72" s="2" t="s">
        <v>1684</v>
      </c>
      <c r="D72" s="2" t="s">
        <v>2</v>
      </c>
      <c r="E72" s="2">
        <v>62.56</v>
      </c>
      <c r="F72" s="2">
        <v>2</v>
      </c>
      <c r="G72" s="2">
        <v>7</v>
      </c>
      <c r="H72" s="2">
        <v>290735</v>
      </c>
      <c r="I72" s="2">
        <v>750</v>
      </c>
      <c r="J72" s="2" t="s">
        <v>1650</v>
      </c>
      <c r="K72" s="2">
        <v>70</v>
      </c>
      <c r="L72" s="2">
        <v>20</v>
      </c>
      <c r="M72" s="2">
        <v>5</v>
      </c>
      <c r="N72" s="2">
        <v>10</v>
      </c>
      <c r="O72" s="2">
        <v>15</v>
      </c>
      <c r="P72" s="2">
        <v>20</v>
      </c>
      <c r="Q72" s="2" t="s">
        <v>110</v>
      </c>
      <c r="R72" s="2" t="s">
        <v>110</v>
      </c>
      <c r="S72" s="4">
        <v>44837</v>
      </c>
    </row>
    <row r="73" spans="1:19" ht="12.5" hidden="1" x14ac:dyDescent="0.25">
      <c r="A73" s="14" t="str">
        <f>HYPERLINK("https://gerandofalcoes.my.salesforce.com/0014P00003AN2FkQAL", "0014P00003AN2FkQAL")</f>
        <v>0014P00003AN2FkQAL</v>
      </c>
      <c r="B73" s="2" t="s">
        <v>1753</v>
      </c>
      <c r="C73" s="2" t="s">
        <v>423</v>
      </c>
      <c r="D73" s="2" t="s">
        <v>27</v>
      </c>
      <c r="E73" s="2">
        <v>62.55</v>
      </c>
      <c r="F73" s="2">
        <v>0</v>
      </c>
      <c r="G73" s="2">
        <v>4</v>
      </c>
      <c r="H73" s="2">
        <v>45000</v>
      </c>
      <c r="I73" s="2">
        <v>700</v>
      </c>
      <c r="J73" s="2" t="s">
        <v>1671</v>
      </c>
      <c r="K73" s="2">
        <v>60</v>
      </c>
      <c r="L73" s="2">
        <v>20</v>
      </c>
      <c r="M73" s="2">
        <v>0</v>
      </c>
      <c r="N73" s="2">
        <v>10</v>
      </c>
      <c r="O73" s="2">
        <v>10</v>
      </c>
      <c r="P73" s="2">
        <v>20</v>
      </c>
      <c r="Q73" s="2" t="s">
        <v>1754</v>
      </c>
      <c r="R73" s="2" t="s">
        <v>738</v>
      </c>
      <c r="S73" s="4">
        <v>44837</v>
      </c>
    </row>
    <row r="74" spans="1:19" ht="12.5" hidden="1" x14ac:dyDescent="0.25">
      <c r="A74" s="14" t="str">
        <f>HYPERLINK("https://gerandofalcoes.my.salesforce.com/0014P00003YSp87QAD", "0014P00003YSp87QAD")</f>
        <v>0014P00003YSp87QAD</v>
      </c>
      <c r="B74" s="2" t="s">
        <v>1755</v>
      </c>
      <c r="C74" s="2" t="s">
        <v>423</v>
      </c>
      <c r="D74" s="2" t="s">
        <v>2</v>
      </c>
      <c r="E74" s="2">
        <v>62.5</v>
      </c>
      <c r="F74" s="2">
        <v>19</v>
      </c>
      <c r="G74" s="2">
        <v>3</v>
      </c>
      <c r="H74" s="2">
        <v>223000</v>
      </c>
      <c r="I74" s="2">
        <v>50</v>
      </c>
      <c r="J74" s="2" t="s">
        <v>1671</v>
      </c>
      <c r="K74" s="2">
        <v>60</v>
      </c>
      <c r="L74" s="2">
        <v>20</v>
      </c>
      <c r="M74" s="2">
        <v>12</v>
      </c>
      <c r="N74" s="2">
        <v>8</v>
      </c>
      <c r="O74" s="2">
        <v>15</v>
      </c>
      <c r="P74" s="2">
        <v>5</v>
      </c>
      <c r="Q74" s="2" t="s">
        <v>1756</v>
      </c>
      <c r="R74" s="2" t="s">
        <v>1757</v>
      </c>
      <c r="S74" s="4">
        <v>44837</v>
      </c>
    </row>
    <row r="75" spans="1:19" ht="12.5" hidden="1" x14ac:dyDescent="0.25">
      <c r="A75" s="14" t="str">
        <f>HYPERLINK("https://gerandofalcoes.my.salesforce.com/0014X00002VKCqRQAX", "0014X00002VKCqRQAX")</f>
        <v>0014X00002VKCqRQAX</v>
      </c>
      <c r="B75" s="2" t="s">
        <v>1758</v>
      </c>
      <c r="C75" s="2" t="s">
        <v>423</v>
      </c>
      <c r="D75" s="2" t="s">
        <v>2</v>
      </c>
      <c r="E75" s="2">
        <v>61.97</v>
      </c>
      <c r="F75" s="2">
        <v>0</v>
      </c>
      <c r="G75" s="2">
        <v>6</v>
      </c>
      <c r="H75" s="2">
        <v>112190</v>
      </c>
      <c r="I75" s="2">
        <v>197</v>
      </c>
      <c r="J75" s="2" t="s">
        <v>1671</v>
      </c>
      <c r="K75" s="2">
        <v>57</v>
      </c>
      <c r="L75" s="2">
        <v>20</v>
      </c>
      <c r="M75" s="2">
        <v>0</v>
      </c>
      <c r="N75" s="2">
        <v>10</v>
      </c>
      <c r="O75" s="2">
        <v>15</v>
      </c>
      <c r="P75" s="2">
        <v>12</v>
      </c>
      <c r="Q75" s="2" t="s">
        <v>1759</v>
      </c>
      <c r="R75" s="2" t="s">
        <v>1760</v>
      </c>
      <c r="S75" s="4">
        <v>44837</v>
      </c>
    </row>
    <row r="76" spans="1:19" ht="12.5" hidden="1" x14ac:dyDescent="0.25">
      <c r="A76" s="14" t="str">
        <f>HYPERLINK("https://gerandofalcoes.my.salesforce.com/0014P00003YSp8MQAT", "0014P00003YSp8MQAT")</f>
        <v>0014P00003YSp8MQAT</v>
      </c>
      <c r="B76" s="2" t="s">
        <v>1761</v>
      </c>
      <c r="C76" s="2" t="s">
        <v>423</v>
      </c>
      <c r="D76" s="2" t="s">
        <v>2</v>
      </c>
      <c r="E76" s="2">
        <v>61.59</v>
      </c>
      <c r="F76" s="2">
        <v>15</v>
      </c>
      <c r="G76" s="2">
        <v>3</v>
      </c>
      <c r="H76" s="2">
        <v>359</v>
      </c>
      <c r="I76" s="2">
        <v>173</v>
      </c>
      <c r="J76" s="2" t="s">
        <v>1671</v>
      </c>
      <c r="K76" s="2">
        <v>57</v>
      </c>
      <c r="L76" s="2">
        <v>20</v>
      </c>
      <c r="M76" s="2">
        <v>12</v>
      </c>
      <c r="N76" s="2">
        <v>8</v>
      </c>
      <c r="O76" s="2">
        <v>5</v>
      </c>
      <c r="P76" s="2">
        <v>12</v>
      </c>
      <c r="Q76" s="2" t="s">
        <v>1762</v>
      </c>
      <c r="R76" s="2" t="s">
        <v>1763</v>
      </c>
      <c r="S76" s="4">
        <v>44837</v>
      </c>
    </row>
    <row r="77" spans="1:19" ht="12.5" hidden="1" x14ac:dyDescent="0.25">
      <c r="A77" s="14" t="str">
        <f>HYPERLINK("https://gerandofalcoes.my.salesforce.com/0014X00002VKCpsQAH", "0014X00002VKCpsQAH")</f>
        <v>0014X00002VKCpsQAH</v>
      </c>
      <c r="B77" s="2" t="s">
        <v>1764</v>
      </c>
      <c r="C77" s="2" t="s">
        <v>423</v>
      </c>
      <c r="D77" s="2" t="s">
        <v>2</v>
      </c>
      <c r="E77" s="2">
        <v>59.89</v>
      </c>
      <c r="F77" s="2">
        <v>36</v>
      </c>
      <c r="G77" s="2">
        <v>2</v>
      </c>
      <c r="H77" s="2">
        <v>2039327</v>
      </c>
      <c r="I77" s="2">
        <v>0</v>
      </c>
      <c r="J77" s="2" t="s">
        <v>1650</v>
      </c>
      <c r="K77" s="2">
        <v>66</v>
      </c>
      <c r="L77" s="2">
        <v>20</v>
      </c>
      <c r="M77" s="2">
        <v>15</v>
      </c>
      <c r="N77" s="2">
        <v>6</v>
      </c>
      <c r="O77" s="2">
        <v>25</v>
      </c>
      <c r="P77" s="2">
        <v>0</v>
      </c>
      <c r="Q77" s="2" t="s">
        <v>1765</v>
      </c>
      <c r="R77" s="2" t="s">
        <v>1766</v>
      </c>
      <c r="S77" s="4">
        <v>44837</v>
      </c>
    </row>
    <row r="78" spans="1:19" ht="12.5" hidden="1" x14ac:dyDescent="0.25">
      <c r="A78" s="14" t="str">
        <f>HYPERLINK("https://gerandofalcoes.my.salesforce.com/0014X00002PUOaDQAX", "0014X00002PUOaDQAX")</f>
        <v>0014X00002PUOaDQAX</v>
      </c>
      <c r="B78" s="2" t="s">
        <v>1767</v>
      </c>
      <c r="C78" s="2" t="s">
        <v>423</v>
      </c>
      <c r="D78" s="2" t="s">
        <v>2</v>
      </c>
      <c r="E78" s="2">
        <v>59.39</v>
      </c>
      <c r="F78" s="2">
        <v>11</v>
      </c>
      <c r="G78" s="2">
        <v>10</v>
      </c>
      <c r="H78" s="2">
        <v>30139720</v>
      </c>
      <c r="I78" s="2">
        <v>139</v>
      </c>
      <c r="J78" s="2" t="s">
        <v>1650</v>
      </c>
      <c r="K78" s="2">
        <v>77</v>
      </c>
      <c r="L78" s="2">
        <v>20</v>
      </c>
      <c r="M78" s="2">
        <v>12</v>
      </c>
      <c r="N78" s="2">
        <v>10</v>
      </c>
      <c r="O78" s="2">
        <v>25</v>
      </c>
      <c r="P78" s="2">
        <v>10</v>
      </c>
      <c r="Q78" s="2" t="s">
        <v>439</v>
      </c>
      <c r="R78" s="2" t="s">
        <v>439</v>
      </c>
      <c r="S78" s="4">
        <v>44837</v>
      </c>
    </row>
    <row r="79" spans="1:19" ht="12.5" hidden="1" x14ac:dyDescent="0.25">
      <c r="A79" s="14" t="str">
        <f>HYPERLINK("https://gerandofalcoes.my.salesforce.com/0014P00003YSp8cQAD", "0014P00003YSp8cQAD")</f>
        <v>0014P00003YSp8cQAD</v>
      </c>
      <c r="B79" s="2" t="s">
        <v>1768</v>
      </c>
      <c r="C79" s="2" t="s">
        <v>423</v>
      </c>
      <c r="D79" s="2" t="s">
        <v>2</v>
      </c>
      <c r="E79" s="2">
        <v>59.02</v>
      </c>
      <c r="F79" s="2">
        <v>8</v>
      </c>
      <c r="G79" s="2">
        <v>1</v>
      </c>
      <c r="H79" s="2">
        <v>2200000</v>
      </c>
      <c r="I79" s="2">
        <v>300</v>
      </c>
      <c r="J79" s="2" t="s">
        <v>1650</v>
      </c>
      <c r="K79" s="2">
        <v>74</v>
      </c>
      <c r="L79" s="2">
        <v>20</v>
      </c>
      <c r="M79" s="2">
        <v>10</v>
      </c>
      <c r="N79" s="2">
        <v>4</v>
      </c>
      <c r="O79" s="2">
        <v>25</v>
      </c>
      <c r="P79" s="2">
        <v>15</v>
      </c>
      <c r="Q79" s="2" t="s">
        <v>1769</v>
      </c>
      <c r="R79" s="2" t="s">
        <v>1769</v>
      </c>
      <c r="S79" s="4">
        <v>44837</v>
      </c>
    </row>
    <row r="80" spans="1:19" ht="12.5" hidden="1" x14ac:dyDescent="0.25">
      <c r="A80" s="14" t="str">
        <f>HYPERLINK("https://gerandofalcoes.my.salesforce.com/0014P00003YSp8iQAD", "0014P00003YSp8iQAD")</f>
        <v>0014P00003YSp8iQAD</v>
      </c>
      <c r="B80" s="2" t="s">
        <v>1770</v>
      </c>
      <c r="C80" s="2" t="s">
        <v>423</v>
      </c>
      <c r="D80" s="2" t="s">
        <v>2</v>
      </c>
      <c r="E80" s="2">
        <v>58.99</v>
      </c>
      <c r="F80" s="2">
        <v>5</v>
      </c>
      <c r="G80" s="2">
        <v>5</v>
      </c>
      <c r="H80" s="2">
        <v>1386827</v>
      </c>
      <c r="I80" s="2">
        <v>40</v>
      </c>
      <c r="J80" s="2" t="s">
        <v>1650</v>
      </c>
      <c r="K80" s="2">
        <v>65</v>
      </c>
      <c r="L80" s="2">
        <v>20</v>
      </c>
      <c r="M80" s="2">
        <v>5</v>
      </c>
      <c r="N80" s="2">
        <v>10</v>
      </c>
      <c r="O80" s="2">
        <v>25</v>
      </c>
      <c r="P80" s="2">
        <v>5</v>
      </c>
      <c r="Q80" s="2" t="s">
        <v>1771</v>
      </c>
      <c r="R80" s="2" t="s">
        <v>1772</v>
      </c>
      <c r="S80" s="4">
        <v>44837</v>
      </c>
    </row>
    <row r="81" spans="1:19" ht="12.5" hidden="1" x14ac:dyDescent="0.25">
      <c r="A81" s="14" t="str">
        <f>HYPERLINK("https://gerandofalcoes.my.salesforce.com/0014X00002VKCq6QAH", "0014X00002VKCq6QAH")</f>
        <v>0014X00002VKCq6QAH</v>
      </c>
      <c r="B81" s="2" t="s">
        <v>1773</v>
      </c>
      <c r="C81" s="2" t="s">
        <v>423</v>
      </c>
      <c r="D81" s="2" t="s">
        <v>2</v>
      </c>
      <c r="E81" s="2">
        <v>58.49</v>
      </c>
      <c r="F81" s="2">
        <v>0</v>
      </c>
      <c r="G81" s="2">
        <v>3</v>
      </c>
      <c r="H81" s="2">
        <v>6124615</v>
      </c>
      <c r="I81" s="2">
        <v>0</v>
      </c>
      <c r="J81" s="2" t="s">
        <v>1671</v>
      </c>
      <c r="K81" s="2">
        <v>53</v>
      </c>
      <c r="L81" s="2">
        <v>20</v>
      </c>
      <c r="M81" s="2">
        <v>0</v>
      </c>
      <c r="N81" s="2">
        <v>8</v>
      </c>
      <c r="O81" s="2">
        <v>25</v>
      </c>
      <c r="P81" s="2">
        <v>0</v>
      </c>
      <c r="Q81" s="2" t="s">
        <v>1774</v>
      </c>
      <c r="R81" s="2" t="s">
        <v>1775</v>
      </c>
      <c r="S81" s="4">
        <v>44837</v>
      </c>
    </row>
    <row r="82" spans="1:19" ht="12.5" hidden="1" x14ac:dyDescent="0.25">
      <c r="A82" s="14" t="str">
        <f>HYPERLINK("https://gerandofalcoes.my.salesforce.com/0014P00003SGWPRQA5", "0014P00003SGWPRQA5")</f>
        <v>0014P00003SGWPRQA5</v>
      </c>
      <c r="B82" s="2" t="s">
        <v>367</v>
      </c>
      <c r="C82" s="2" t="s">
        <v>423</v>
      </c>
      <c r="D82" s="2" t="s">
        <v>2</v>
      </c>
      <c r="E82" s="2">
        <v>57.96</v>
      </c>
      <c r="F82" s="2">
        <v>4</v>
      </c>
      <c r="G82" s="2">
        <v>6</v>
      </c>
      <c r="H82" s="2">
        <v>11100000</v>
      </c>
      <c r="I82" s="2">
        <v>200</v>
      </c>
      <c r="J82" s="2" t="s">
        <v>1650</v>
      </c>
      <c r="K82" s="2">
        <v>72</v>
      </c>
      <c r="L82" s="2">
        <v>20</v>
      </c>
      <c r="M82" s="2">
        <v>5</v>
      </c>
      <c r="N82" s="2">
        <v>10</v>
      </c>
      <c r="O82" s="2">
        <v>25</v>
      </c>
      <c r="P82" s="2">
        <v>12</v>
      </c>
      <c r="Q82" s="2" t="s">
        <v>369</v>
      </c>
      <c r="R82" s="2" t="s">
        <v>369</v>
      </c>
      <c r="S82" s="4">
        <v>44837</v>
      </c>
    </row>
    <row r="83" spans="1:19" ht="12.5" hidden="1" x14ac:dyDescent="0.25">
      <c r="A83" s="14" t="str">
        <f>HYPERLINK("https://gerandofalcoes.my.salesforce.com/0014P00003YSp9zQAD", "0014P00003YSp9zQAD")</f>
        <v>0014P00003YSp9zQAD</v>
      </c>
      <c r="B83" s="2" t="s">
        <v>1776</v>
      </c>
      <c r="C83" s="2" t="s">
        <v>423</v>
      </c>
      <c r="D83" s="2" t="s">
        <v>2</v>
      </c>
      <c r="E83" s="2">
        <v>57.9</v>
      </c>
      <c r="F83" s="2">
        <v>0</v>
      </c>
      <c r="G83" s="2">
        <v>12</v>
      </c>
      <c r="H83" s="2">
        <v>17000000</v>
      </c>
      <c r="I83" s="2">
        <v>750</v>
      </c>
      <c r="J83" s="2" t="s">
        <v>1650</v>
      </c>
      <c r="K83" s="2">
        <v>75</v>
      </c>
      <c r="L83" s="2">
        <v>20</v>
      </c>
      <c r="M83" s="2">
        <v>0</v>
      </c>
      <c r="N83" s="2">
        <v>10</v>
      </c>
      <c r="O83" s="2">
        <v>25</v>
      </c>
      <c r="P83" s="2">
        <v>20</v>
      </c>
      <c r="Q83" s="2" t="s">
        <v>1777</v>
      </c>
      <c r="R83" s="2" t="s">
        <v>1777</v>
      </c>
      <c r="S83" s="4">
        <v>44837</v>
      </c>
    </row>
    <row r="84" spans="1:19" ht="12.5" hidden="1" x14ac:dyDescent="0.25">
      <c r="A84" s="14" t="str">
        <f>HYPERLINK("https://gerandofalcoes.my.salesforce.com/0014X00002VMXzNQAX", "0014X00002VMXzNQAX")</f>
        <v>0014X00002VMXzNQAX</v>
      </c>
      <c r="B84" s="2" t="s">
        <v>1778</v>
      </c>
      <c r="C84" s="2" t="s">
        <v>1684</v>
      </c>
      <c r="D84" s="2" t="s">
        <v>2</v>
      </c>
      <c r="E84" s="2">
        <v>57</v>
      </c>
      <c r="F84" s="2">
        <v>0</v>
      </c>
      <c r="G84" s="2">
        <v>3</v>
      </c>
      <c r="H84" s="2">
        <v>65000</v>
      </c>
      <c r="I84" s="2">
        <v>0</v>
      </c>
      <c r="J84" s="2" t="s">
        <v>1779</v>
      </c>
      <c r="K84" s="2">
        <v>38</v>
      </c>
      <c r="L84" s="2">
        <v>20</v>
      </c>
      <c r="M84" s="2">
        <v>0</v>
      </c>
      <c r="N84" s="2">
        <v>8</v>
      </c>
      <c r="O84" s="2">
        <v>10</v>
      </c>
      <c r="P84" s="2">
        <v>0</v>
      </c>
      <c r="Q84" s="2" t="s">
        <v>1780</v>
      </c>
      <c r="R84" s="2" t="s">
        <v>1781</v>
      </c>
      <c r="S84" s="4">
        <v>44837</v>
      </c>
    </row>
    <row r="85" spans="1:19" ht="12.5" hidden="1" x14ac:dyDescent="0.25">
      <c r="A85" s="14" t="str">
        <f>HYPERLINK("https://gerandofalcoes.my.salesforce.com/0014P00003YSp7WQAT", "0014P00003YSp7WQAT")</f>
        <v>0014P00003YSp7WQAT</v>
      </c>
      <c r="B85" s="2" t="s">
        <v>1782</v>
      </c>
      <c r="C85" s="2" t="s">
        <v>423</v>
      </c>
      <c r="D85" s="2" t="s">
        <v>2</v>
      </c>
      <c r="E85" s="2">
        <v>56.22</v>
      </c>
      <c r="F85" s="2">
        <v>11</v>
      </c>
      <c r="G85" s="2">
        <v>5</v>
      </c>
      <c r="H85" s="2">
        <v>18433245</v>
      </c>
      <c r="I85" s="2">
        <v>150</v>
      </c>
      <c r="J85" s="2" t="s">
        <v>1650</v>
      </c>
      <c r="K85" s="2">
        <v>79</v>
      </c>
      <c r="L85" s="2">
        <v>20</v>
      </c>
      <c r="M85" s="2">
        <v>12</v>
      </c>
      <c r="N85" s="2">
        <v>10</v>
      </c>
      <c r="O85" s="2">
        <v>25</v>
      </c>
      <c r="P85" s="2">
        <v>12</v>
      </c>
      <c r="Q85" s="2" t="s">
        <v>1783</v>
      </c>
      <c r="R85" s="2" t="s">
        <v>1784</v>
      </c>
      <c r="S85" s="4">
        <v>44837</v>
      </c>
    </row>
    <row r="86" spans="1:19" ht="12.5" hidden="1" x14ac:dyDescent="0.25">
      <c r="A86" s="14" t="str">
        <f>HYPERLINK("https://gerandofalcoes.my.salesforce.com/0014X00002VKCsVQAX", "0014X00002VKCsVQAX")</f>
        <v>0014X00002VKCsVQAX</v>
      </c>
      <c r="B86" s="2" t="s">
        <v>1785</v>
      </c>
      <c r="C86" s="2" t="s">
        <v>423</v>
      </c>
      <c r="D86" s="2" t="s">
        <v>2</v>
      </c>
      <c r="E86" s="2">
        <v>56</v>
      </c>
      <c r="F86" s="2">
        <v>0</v>
      </c>
      <c r="G86" s="2">
        <v>3</v>
      </c>
      <c r="H86" s="2">
        <v>22800</v>
      </c>
      <c r="I86" s="2">
        <v>95</v>
      </c>
      <c r="J86" s="2" t="s">
        <v>1671</v>
      </c>
      <c r="K86" s="2">
        <v>43</v>
      </c>
      <c r="L86" s="2">
        <v>20</v>
      </c>
      <c r="M86" s="2">
        <v>0</v>
      </c>
      <c r="N86" s="2">
        <v>8</v>
      </c>
      <c r="O86" s="2">
        <v>5</v>
      </c>
      <c r="P86" s="2">
        <v>10</v>
      </c>
      <c r="Q86" s="2" t="s">
        <v>1786</v>
      </c>
      <c r="R86" s="2" t="s">
        <v>1787</v>
      </c>
      <c r="S86" s="4">
        <v>44837</v>
      </c>
    </row>
    <row r="87" spans="1:19" ht="12.5" hidden="1" x14ac:dyDescent="0.25">
      <c r="A87" s="14" t="str">
        <f>HYPERLINK("https://gerandofalcoes.my.salesforce.com/0014X00002VKCv4QAH", "0014X00002VKCv4QAH")</f>
        <v>0014X00002VKCv4QAH</v>
      </c>
      <c r="B87" s="2" t="s">
        <v>1788</v>
      </c>
      <c r="C87" s="2" t="s">
        <v>423</v>
      </c>
      <c r="D87" s="2" t="s">
        <v>2</v>
      </c>
      <c r="E87" s="2">
        <v>56</v>
      </c>
      <c r="F87" s="2">
        <v>1</v>
      </c>
      <c r="G87" s="2">
        <v>2</v>
      </c>
      <c r="H87" s="2">
        <v>63500</v>
      </c>
      <c r="I87" s="2">
        <v>74</v>
      </c>
      <c r="J87" s="2" t="s">
        <v>1671</v>
      </c>
      <c r="K87" s="2">
        <v>46</v>
      </c>
      <c r="L87" s="2">
        <v>20</v>
      </c>
      <c r="M87" s="2">
        <v>5</v>
      </c>
      <c r="N87" s="2">
        <v>6</v>
      </c>
      <c r="O87" s="2">
        <v>10</v>
      </c>
      <c r="P87" s="2">
        <v>5</v>
      </c>
      <c r="Q87" s="2" t="s">
        <v>1789</v>
      </c>
      <c r="R87" s="2" t="s">
        <v>1790</v>
      </c>
      <c r="S87" s="4">
        <v>44837</v>
      </c>
    </row>
    <row r="88" spans="1:19" ht="12.5" hidden="1" x14ac:dyDescent="0.25">
      <c r="A88" s="14" t="str">
        <f>HYPERLINK("https://gerandofalcoes.my.salesforce.com/0014X00002OFqnrQAD", "0014X00002OFqnrQAD")</f>
        <v>0014X00002OFqnrQAD</v>
      </c>
      <c r="B88" s="2" t="s">
        <v>1791</v>
      </c>
      <c r="C88" s="2" t="s">
        <v>1684</v>
      </c>
      <c r="D88" s="2" t="s">
        <v>27</v>
      </c>
      <c r="E88" s="2">
        <v>56</v>
      </c>
      <c r="F88" s="2">
        <v>0</v>
      </c>
      <c r="G88" s="2">
        <v>0</v>
      </c>
      <c r="H88" s="2">
        <v>0</v>
      </c>
      <c r="I88" s="2">
        <v>0</v>
      </c>
      <c r="J88" s="2" t="s">
        <v>1779</v>
      </c>
      <c r="K88" s="2">
        <v>20</v>
      </c>
      <c r="L88" s="2">
        <v>20</v>
      </c>
      <c r="M88" s="2">
        <v>0</v>
      </c>
      <c r="N88" s="2">
        <v>0</v>
      </c>
      <c r="O88" s="2">
        <v>0</v>
      </c>
      <c r="P88" s="2">
        <v>0</v>
      </c>
      <c r="Q88" s="2"/>
      <c r="R88" s="2"/>
      <c r="S88" s="4">
        <v>44837</v>
      </c>
    </row>
    <row r="89" spans="1:19" ht="12.5" hidden="1" x14ac:dyDescent="0.25">
      <c r="A89" s="14" t="str">
        <f>HYPERLINK("https://gerandofalcoes.my.salesforce.com/0014X00002VKCt2QAH", "0014X00002VKCt2QAH")</f>
        <v>0014X00002VKCt2QAH</v>
      </c>
      <c r="B89" s="2" t="s">
        <v>1792</v>
      </c>
      <c r="C89" s="2" t="s">
        <v>423</v>
      </c>
      <c r="D89" s="2" t="s">
        <v>2</v>
      </c>
      <c r="E89" s="2">
        <v>54.96</v>
      </c>
      <c r="F89" s="2">
        <v>4</v>
      </c>
      <c r="G89" s="2">
        <v>4</v>
      </c>
      <c r="H89" s="2">
        <v>143565</v>
      </c>
      <c r="I89" s="2">
        <v>240</v>
      </c>
      <c r="J89" s="2" t="s">
        <v>1671</v>
      </c>
      <c r="K89" s="2">
        <v>62</v>
      </c>
      <c r="L89" s="2">
        <v>20</v>
      </c>
      <c r="M89" s="2">
        <v>5</v>
      </c>
      <c r="N89" s="2">
        <v>10</v>
      </c>
      <c r="O89" s="2">
        <v>15</v>
      </c>
      <c r="P89" s="2">
        <v>12</v>
      </c>
      <c r="Q89" s="2" t="s">
        <v>1793</v>
      </c>
      <c r="R89" s="2" t="s">
        <v>1794</v>
      </c>
      <c r="S89" s="4">
        <v>44837</v>
      </c>
    </row>
    <row r="90" spans="1:19" ht="12.5" hidden="1" x14ac:dyDescent="0.25">
      <c r="A90" s="14" t="str">
        <f>HYPERLINK("https://gerandofalcoes.my.salesforce.com/0014X00002VKCrAQAX", "0014X00002VKCrAQAX")</f>
        <v>0014X00002VKCrAQAX</v>
      </c>
      <c r="B90" s="2" t="s">
        <v>1795</v>
      </c>
      <c r="C90" s="2" t="s">
        <v>423</v>
      </c>
      <c r="D90" s="2" t="s">
        <v>2</v>
      </c>
      <c r="E90" s="2">
        <v>53.7</v>
      </c>
      <c r="F90" s="2">
        <v>2</v>
      </c>
      <c r="G90" s="2">
        <v>4</v>
      </c>
      <c r="H90" s="2">
        <v>87500</v>
      </c>
      <c r="I90" s="2">
        <v>19</v>
      </c>
      <c r="J90" s="2" t="s">
        <v>1671</v>
      </c>
      <c r="K90" s="2">
        <v>50</v>
      </c>
      <c r="L90" s="2">
        <v>20</v>
      </c>
      <c r="M90" s="2">
        <v>5</v>
      </c>
      <c r="N90" s="2">
        <v>10</v>
      </c>
      <c r="O90" s="2">
        <v>10</v>
      </c>
      <c r="P90" s="2">
        <v>5</v>
      </c>
      <c r="Q90" s="2" t="s">
        <v>1796</v>
      </c>
      <c r="R90" s="2" t="s">
        <v>1797</v>
      </c>
      <c r="S90" s="4">
        <v>44837</v>
      </c>
    </row>
    <row r="91" spans="1:19" ht="12.5" hidden="1" x14ac:dyDescent="0.25">
      <c r="A91" s="14" t="str">
        <f>HYPERLINK("https://gerandofalcoes.my.salesforce.com/0014P00003AN6yVQAT", "0014P00003AN6yVQAT")</f>
        <v>0014P00003AN6yVQAT</v>
      </c>
      <c r="B91" s="2" t="s">
        <v>1798</v>
      </c>
      <c r="C91" s="2" t="s">
        <v>423</v>
      </c>
      <c r="D91" s="2" t="s">
        <v>2</v>
      </c>
      <c r="E91" s="2">
        <v>53.6</v>
      </c>
      <c r="F91" s="2">
        <v>0</v>
      </c>
      <c r="G91" s="2">
        <v>2</v>
      </c>
      <c r="H91" s="2">
        <v>9586512</v>
      </c>
      <c r="I91" s="2">
        <v>151</v>
      </c>
      <c r="J91" s="2" t="s">
        <v>1671</v>
      </c>
      <c r="K91" s="2">
        <v>63</v>
      </c>
      <c r="L91" s="2">
        <v>20</v>
      </c>
      <c r="M91" s="2">
        <v>0</v>
      </c>
      <c r="N91" s="2">
        <v>6</v>
      </c>
      <c r="O91" s="2">
        <v>25</v>
      </c>
      <c r="P91" s="2">
        <v>12</v>
      </c>
      <c r="Q91" s="2" t="s">
        <v>560</v>
      </c>
      <c r="R91" s="2" t="s">
        <v>560</v>
      </c>
      <c r="S91" s="4">
        <v>44837</v>
      </c>
    </row>
    <row r="92" spans="1:19" ht="12.5" hidden="1" x14ac:dyDescent="0.25">
      <c r="A92" s="14" t="str">
        <f>HYPERLINK("https://gerandofalcoes.my.salesforce.com/0014P00003AN2FXQA1", "0014P00003AN2FXQA1")</f>
        <v>0014P00003AN2FXQA1</v>
      </c>
      <c r="B92" s="2" t="s">
        <v>1799</v>
      </c>
      <c r="C92" s="2" t="s">
        <v>1800</v>
      </c>
      <c r="D92" s="2" t="s">
        <v>2</v>
      </c>
      <c r="E92" s="2">
        <v>53</v>
      </c>
      <c r="F92" s="2">
        <v>8</v>
      </c>
      <c r="G92" s="2">
        <v>3</v>
      </c>
      <c r="H92" s="2">
        <v>250000</v>
      </c>
      <c r="I92" s="2">
        <v>238</v>
      </c>
      <c r="J92" s="2" t="s">
        <v>1650</v>
      </c>
      <c r="K92" s="2">
        <v>65</v>
      </c>
      <c r="L92" s="2">
        <v>20</v>
      </c>
      <c r="M92" s="2">
        <v>10</v>
      </c>
      <c r="N92" s="2">
        <v>8</v>
      </c>
      <c r="O92" s="2">
        <v>15</v>
      </c>
      <c r="P92" s="2">
        <v>12</v>
      </c>
      <c r="Q92" s="2" t="s">
        <v>646</v>
      </c>
      <c r="R92" s="2" t="s">
        <v>646</v>
      </c>
      <c r="S92" s="4">
        <v>44837</v>
      </c>
    </row>
    <row r="93" spans="1:19" ht="12.5" hidden="1" x14ac:dyDescent="0.25">
      <c r="A93" s="14" t="str">
        <f>HYPERLINK("https://gerandofalcoes.my.salesforce.com/0014X00002VKCuTQAX", "0014X00002VKCuTQAX")</f>
        <v>0014X00002VKCuTQAX</v>
      </c>
      <c r="B93" s="2" t="s">
        <v>1801</v>
      </c>
      <c r="C93" s="2" t="s">
        <v>423</v>
      </c>
      <c r="D93" s="2" t="s">
        <v>2</v>
      </c>
      <c r="E93" s="2">
        <v>53</v>
      </c>
      <c r="F93" s="2">
        <v>14</v>
      </c>
      <c r="G93" s="2">
        <v>2</v>
      </c>
      <c r="H93" s="2">
        <v>350000</v>
      </c>
      <c r="I93" s="2">
        <v>75</v>
      </c>
      <c r="J93" s="2" t="s">
        <v>1671</v>
      </c>
      <c r="K93" s="2">
        <v>63</v>
      </c>
      <c r="L93" s="2">
        <v>20</v>
      </c>
      <c r="M93" s="2">
        <v>12</v>
      </c>
      <c r="N93" s="2">
        <v>6</v>
      </c>
      <c r="O93" s="2">
        <v>20</v>
      </c>
      <c r="P93" s="2">
        <v>5</v>
      </c>
      <c r="Q93" s="2" t="s">
        <v>1802</v>
      </c>
      <c r="R93" s="2" t="s">
        <v>1803</v>
      </c>
      <c r="S93" s="4">
        <v>44837</v>
      </c>
    </row>
    <row r="94" spans="1:19" ht="12.5" hidden="1" x14ac:dyDescent="0.25">
      <c r="A94" s="14" t="str">
        <f>HYPERLINK("https://gerandofalcoes.my.salesforce.com/0014P00003YSp7eQAD", "0014P00003YSp7eQAD")</f>
        <v>0014P00003YSp7eQAD</v>
      </c>
      <c r="B94" s="2" t="s">
        <v>1804</v>
      </c>
      <c r="C94" s="2" t="s">
        <v>423</v>
      </c>
      <c r="D94" s="2" t="s">
        <v>2</v>
      </c>
      <c r="E94" s="2">
        <v>52.89</v>
      </c>
      <c r="F94" s="2">
        <v>6</v>
      </c>
      <c r="G94" s="2">
        <v>3</v>
      </c>
      <c r="H94" s="2">
        <v>43600000</v>
      </c>
      <c r="I94" s="2">
        <v>131</v>
      </c>
      <c r="J94" s="2" t="s">
        <v>1650</v>
      </c>
      <c r="K94" s="2">
        <v>73</v>
      </c>
      <c r="L94" s="2">
        <v>20</v>
      </c>
      <c r="M94" s="2">
        <v>10</v>
      </c>
      <c r="N94" s="2">
        <v>8</v>
      </c>
      <c r="O94" s="2">
        <v>25</v>
      </c>
      <c r="P94" s="2">
        <v>10</v>
      </c>
      <c r="Q94" s="2" t="s">
        <v>1805</v>
      </c>
      <c r="R94" s="2" t="s">
        <v>1806</v>
      </c>
      <c r="S94" s="4">
        <v>44837</v>
      </c>
    </row>
    <row r="95" spans="1:19" ht="12.5" hidden="1" x14ac:dyDescent="0.25">
      <c r="A95" s="14" t="str">
        <f>HYPERLINK("https://gerandofalcoes.my.salesforce.com/0014P00003YSp7PQAT", "0014P00003YSp7PQAT")</f>
        <v>0014P00003YSp7PQAT</v>
      </c>
      <c r="B95" s="2" t="s">
        <v>1807</v>
      </c>
      <c r="C95" s="2" t="s">
        <v>423</v>
      </c>
      <c r="D95" s="2" t="s">
        <v>2</v>
      </c>
      <c r="E95" s="2">
        <v>52.75</v>
      </c>
      <c r="F95" s="2">
        <v>5</v>
      </c>
      <c r="G95" s="2">
        <v>4</v>
      </c>
      <c r="H95" s="2">
        <v>465000</v>
      </c>
      <c r="I95" s="2">
        <v>55</v>
      </c>
      <c r="J95" s="2" t="s">
        <v>1671</v>
      </c>
      <c r="K95" s="2">
        <v>60</v>
      </c>
      <c r="L95" s="2">
        <v>20</v>
      </c>
      <c r="M95" s="2">
        <v>5</v>
      </c>
      <c r="N95" s="2">
        <v>10</v>
      </c>
      <c r="O95" s="2">
        <v>20</v>
      </c>
      <c r="P95" s="2">
        <v>5</v>
      </c>
      <c r="Q95" s="2" t="s">
        <v>1808</v>
      </c>
      <c r="R95" s="2" t="s">
        <v>1809</v>
      </c>
      <c r="S95" s="4">
        <v>44837</v>
      </c>
    </row>
    <row r="96" spans="1:19" ht="12.5" hidden="1" x14ac:dyDescent="0.25">
      <c r="A96" s="14" t="str">
        <f>HYPERLINK("https://gerandofalcoes.my.salesforce.com/0014P00003YSpAIQA1", "0014P00003YSpAIQA1")</f>
        <v>0014P00003YSpAIQA1</v>
      </c>
      <c r="B96" s="2" t="s">
        <v>1810</v>
      </c>
      <c r="C96" s="2" t="s">
        <v>423</v>
      </c>
      <c r="D96" s="2" t="s">
        <v>2</v>
      </c>
      <c r="E96" s="2">
        <v>52.5</v>
      </c>
      <c r="F96" s="2">
        <v>0</v>
      </c>
      <c r="G96" s="2">
        <v>3</v>
      </c>
      <c r="H96" s="2">
        <v>17707602</v>
      </c>
      <c r="I96" s="2">
        <v>0</v>
      </c>
      <c r="J96" s="2" t="s">
        <v>1671</v>
      </c>
      <c r="K96" s="2">
        <v>53</v>
      </c>
      <c r="L96" s="2">
        <v>20</v>
      </c>
      <c r="M96" s="2">
        <v>0</v>
      </c>
      <c r="N96" s="2">
        <v>8</v>
      </c>
      <c r="O96" s="2">
        <v>25</v>
      </c>
      <c r="P96" s="2">
        <v>0</v>
      </c>
      <c r="Q96" s="2" t="s">
        <v>1811</v>
      </c>
      <c r="R96" s="2" t="s">
        <v>1812</v>
      </c>
      <c r="S96" s="4">
        <v>44837</v>
      </c>
    </row>
    <row r="97" spans="1:19" ht="12.5" hidden="1" x14ac:dyDescent="0.25">
      <c r="A97" s="14" t="str">
        <f>HYPERLINK("https://gerandofalcoes.my.salesforce.com/0014X00002VKCtxQAH", "0014X00002VKCtxQAH")</f>
        <v>0014X00002VKCtxQAH</v>
      </c>
      <c r="B97" s="2" t="s">
        <v>1813</v>
      </c>
      <c r="C97" s="2" t="s">
        <v>423</v>
      </c>
      <c r="D97" s="2" t="s">
        <v>2</v>
      </c>
      <c r="E97" s="2">
        <v>52</v>
      </c>
      <c r="F97" s="2">
        <v>10</v>
      </c>
      <c r="G97" s="2">
        <v>3</v>
      </c>
      <c r="H97" s="2">
        <v>5000</v>
      </c>
      <c r="I97" s="2">
        <v>580</v>
      </c>
      <c r="J97" s="2" t="s">
        <v>1671</v>
      </c>
      <c r="K97" s="2">
        <v>63</v>
      </c>
      <c r="L97" s="2">
        <v>20</v>
      </c>
      <c r="M97" s="2">
        <v>10</v>
      </c>
      <c r="N97" s="2">
        <v>8</v>
      </c>
      <c r="O97" s="2">
        <v>5</v>
      </c>
      <c r="P97" s="2">
        <v>20</v>
      </c>
      <c r="Q97" s="2" t="s">
        <v>1814</v>
      </c>
      <c r="R97" s="2" t="s">
        <v>1815</v>
      </c>
      <c r="S97" s="4">
        <v>44837</v>
      </c>
    </row>
    <row r="98" spans="1:19" ht="12.5" hidden="1" x14ac:dyDescent="0.25">
      <c r="A98" s="14" t="str">
        <f>HYPERLINK("https://gerandofalcoes.my.salesforce.com/0014X00002VKCqgQAH", "0014X00002VKCqgQAH")</f>
        <v>0014X00002VKCqgQAH</v>
      </c>
      <c r="B98" s="2" t="s">
        <v>1816</v>
      </c>
      <c r="C98" s="2" t="s">
        <v>423</v>
      </c>
      <c r="D98" s="2" t="s">
        <v>2</v>
      </c>
      <c r="E98" s="2">
        <v>51.56</v>
      </c>
      <c r="F98" s="2">
        <v>12</v>
      </c>
      <c r="G98" s="2">
        <v>2</v>
      </c>
      <c r="H98" s="2">
        <v>472000</v>
      </c>
      <c r="I98" s="2">
        <v>50</v>
      </c>
      <c r="J98" s="2" t="s">
        <v>1671</v>
      </c>
      <c r="K98" s="2">
        <v>63</v>
      </c>
      <c r="L98" s="2">
        <v>20</v>
      </c>
      <c r="M98" s="2">
        <v>12</v>
      </c>
      <c r="N98" s="2">
        <v>6</v>
      </c>
      <c r="O98" s="2">
        <v>20</v>
      </c>
      <c r="P98" s="2">
        <v>5</v>
      </c>
      <c r="Q98" s="2" t="s">
        <v>1817</v>
      </c>
      <c r="R98" s="2" t="s">
        <v>1818</v>
      </c>
      <c r="S98" s="4">
        <v>44837</v>
      </c>
    </row>
    <row r="99" spans="1:19" ht="12.5" hidden="1" x14ac:dyDescent="0.25">
      <c r="A99" s="14" t="str">
        <f>HYPERLINK("https://gerandofalcoes.my.salesforce.com/0014X00002VKCp8QAH", "0014X00002VKCp8QAH")</f>
        <v>0014X00002VKCp8QAH</v>
      </c>
      <c r="B99" s="2" t="s">
        <v>1819</v>
      </c>
      <c r="C99" s="2" t="s">
        <v>423</v>
      </c>
      <c r="D99" s="2" t="s">
        <v>2</v>
      </c>
      <c r="E99" s="2">
        <v>51.3</v>
      </c>
      <c r="F99" s="2">
        <v>2</v>
      </c>
      <c r="G99" s="2">
        <v>2</v>
      </c>
      <c r="H99" s="2">
        <v>63000</v>
      </c>
      <c r="I99" s="2">
        <v>100</v>
      </c>
      <c r="J99" s="2" t="s">
        <v>1671</v>
      </c>
      <c r="K99" s="2">
        <v>51</v>
      </c>
      <c r="L99" s="2">
        <v>20</v>
      </c>
      <c r="M99" s="2">
        <v>5</v>
      </c>
      <c r="N99" s="2">
        <v>6</v>
      </c>
      <c r="O99" s="2">
        <v>10</v>
      </c>
      <c r="P99" s="2">
        <v>10</v>
      </c>
      <c r="Q99" s="2" t="s">
        <v>1820</v>
      </c>
      <c r="R99" s="2" t="s">
        <v>1821</v>
      </c>
      <c r="S99" s="4">
        <v>44837</v>
      </c>
    </row>
    <row r="100" spans="1:19" ht="12.5" hidden="1" x14ac:dyDescent="0.25">
      <c r="A100" s="14" t="str">
        <f>HYPERLINK("https://gerandofalcoes.my.salesforce.com/0014P00003YSpAJQA1", "0014P00003YSpAJQA1")</f>
        <v>0014P00003YSpAJQA1</v>
      </c>
      <c r="B100" s="2" t="s">
        <v>1822</v>
      </c>
      <c r="C100" s="2" t="s">
        <v>423</v>
      </c>
      <c r="D100" s="2" t="s">
        <v>2</v>
      </c>
      <c r="E100" s="2">
        <v>51.28</v>
      </c>
      <c r="F100" s="2">
        <v>3</v>
      </c>
      <c r="G100" s="2">
        <v>6</v>
      </c>
      <c r="H100" s="2">
        <v>1556030</v>
      </c>
      <c r="I100" s="2">
        <v>200</v>
      </c>
      <c r="J100" s="2" t="s">
        <v>1650</v>
      </c>
      <c r="K100" s="2">
        <v>72</v>
      </c>
      <c r="L100" s="2">
        <v>20</v>
      </c>
      <c r="M100" s="2">
        <v>5</v>
      </c>
      <c r="N100" s="2">
        <v>10</v>
      </c>
      <c r="O100" s="2">
        <v>25</v>
      </c>
      <c r="P100" s="2">
        <v>12</v>
      </c>
      <c r="Q100" s="2" t="s">
        <v>1823</v>
      </c>
      <c r="R100" s="2" t="s">
        <v>1823</v>
      </c>
      <c r="S100" s="4">
        <v>44837</v>
      </c>
    </row>
    <row r="101" spans="1:19" ht="12.5" hidden="1" x14ac:dyDescent="0.25">
      <c r="A101" s="14" t="str">
        <f>HYPERLINK("https://gerandofalcoes.my.salesforce.com/0014X00002VKCryQAH", "0014X00002VKCryQAH")</f>
        <v>0014X00002VKCryQAH</v>
      </c>
      <c r="B101" s="2" t="s">
        <v>1824</v>
      </c>
      <c r="C101" s="2" t="s">
        <v>423</v>
      </c>
      <c r="D101" s="2" t="s">
        <v>2</v>
      </c>
      <c r="E101" s="2">
        <v>51</v>
      </c>
      <c r="F101" s="2">
        <v>2</v>
      </c>
      <c r="G101" s="2">
        <v>7</v>
      </c>
      <c r="H101" s="2">
        <v>200000</v>
      </c>
      <c r="I101" s="2">
        <v>90</v>
      </c>
      <c r="J101" s="2" t="s">
        <v>1671</v>
      </c>
      <c r="K101" s="2">
        <v>60</v>
      </c>
      <c r="L101" s="2">
        <v>20</v>
      </c>
      <c r="M101" s="2">
        <v>5</v>
      </c>
      <c r="N101" s="2">
        <v>10</v>
      </c>
      <c r="O101" s="2">
        <v>15</v>
      </c>
      <c r="P101" s="2">
        <v>10</v>
      </c>
      <c r="Q101" s="2" t="s">
        <v>1825</v>
      </c>
      <c r="R101" s="2" t="s">
        <v>1826</v>
      </c>
      <c r="S101" s="4">
        <v>44837</v>
      </c>
    </row>
    <row r="102" spans="1:19" ht="12.5" hidden="1" x14ac:dyDescent="0.25">
      <c r="A102" s="14" t="str">
        <f>HYPERLINK("https://gerandofalcoes.my.salesforce.com/0014P00003SGWQ3QAP", "0014P00003SGWQ3QAP")</f>
        <v>0014P00003SGWQ3QAP</v>
      </c>
      <c r="B102" s="2" t="s">
        <v>210</v>
      </c>
      <c r="C102" s="2" t="s">
        <v>423</v>
      </c>
      <c r="D102" s="2" t="s">
        <v>2</v>
      </c>
      <c r="E102" s="2">
        <v>51</v>
      </c>
      <c r="F102" s="2">
        <v>34</v>
      </c>
      <c r="G102" s="2">
        <v>4</v>
      </c>
      <c r="H102" s="2">
        <v>140000</v>
      </c>
      <c r="I102" s="2">
        <v>40</v>
      </c>
      <c r="J102" s="2" t="s">
        <v>1650</v>
      </c>
      <c r="K102" s="2">
        <v>65</v>
      </c>
      <c r="L102" s="2">
        <v>20</v>
      </c>
      <c r="M102" s="2">
        <v>15</v>
      </c>
      <c r="N102" s="2">
        <v>10</v>
      </c>
      <c r="O102" s="2">
        <v>15</v>
      </c>
      <c r="P102" s="2">
        <v>5</v>
      </c>
      <c r="Q102" s="2" t="s">
        <v>211</v>
      </c>
      <c r="R102" s="2" t="s">
        <v>1459</v>
      </c>
      <c r="S102" s="4">
        <v>44837</v>
      </c>
    </row>
    <row r="103" spans="1:19" ht="12.5" hidden="1" x14ac:dyDescent="0.25">
      <c r="A103" s="14" t="str">
        <f>HYPERLINK("https://gerandofalcoes.my.salesforce.com/0014P00003SGWPYQA5", "0014P00003SGWPYQA5")</f>
        <v>0014P00003SGWPYQA5</v>
      </c>
      <c r="B103" s="2" t="s">
        <v>175</v>
      </c>
      <c r="C103" s="2" t="s">
        <v>423</v>
      </c>
      <c r="D103" s="2" t="s">
        <v>2</v>
      </c>
      <c r="E103" s="2">
        <v>50.15</v>
      </c>
      <c r="F103" s="2">
        <v>0</v>
      </c>
      <c r="G103" s="2">
        <v>2</v>
      </c>
      <c r="H103" s="2">
        <v>23420</v>
      </c>
      <c r="I103" s="2">
        <v>200</v>
      </c>
      <c r="J103" s="2" t="s">
        <v>1671</v>
      </c>
      <c r="K103" s="2">
        <v>43</v>
      </c>
      <c r="L103" s="2">
        <v>20</v>
      </c>
      <c r="M103" s="2">
        <v>0</v>
      </c>
      <c r="N103" s="2">
        <v>6</v>
      </c>
      <c r="O103" s="2">
        <v>5</v>
      </c>
      <c r="P103" s="2">
        <v>12</v>
      </c>
      <c r="Q103" s="2" t="s">
        <v>176</v>
      </c>
      <c r="R103" s="2" t="s">
        <v>176</v>
      </c>
      <c r="S103" s="4">
        <v>44837</v>
      </c>
    </row>
    <row r="104" spans="1:19" ht="12.5" hidden="1" x14ac:dyDescent="0.25">
      <c r="A104" s="14" t="str">
        <f>HYPERLINK("https://gerandofalcoes.my.salesforce.com/0014P00003SGWPZQA5", "0014P00003SGWPZQA5")</f>
        <v>0014P00003SGWPZQA5</v>
      </c>
      <c r="B104" s="2" t="s">
        <v>1827</v>
      </c>
      <c r="C104" s="2" t="s">
        <v>423</v>
      </c>
      <c r="D104" s="2" t="s">
        <v>2</v>
      </c>
      <c r="E104" s="2">
        <v>50.05</v>
      </c>
      <c r="F104" s="2">
        <v>2</v>
      </c>
      <c r="G104" s="2">
        <v>3</v>
      </c>
      <c r="H104" s="2">
        <v>140000</v>
      </c>
      <c r="I104" s="2">
        <v>78</v>
      </c>
      <c r="J104" s="2" t="s">
        <v>1671</v>
      </c>
      <c r="K104" s="2">
        <v>53</v>
      </c>
      <c r="L104" s="2">
        <v>20</v>
      </c>
      <c r="M104" s="2">
        <v>5</v>
      </c>
      <c r="N104" s="2">
        <v>8</v>
      </c>
      <c r="O104" s="2">
        <v>15</v>
      </c>
      <c r="P104" s="2">
        <v>5</v>
      </c>
      <c r="Q104" s="2" t="s">
        <v>161</v>
      </c>
      <c r="R104" s="2" t="s">
        <v>1828</v>
      </c>
      <c r="S104" s="4">
        <v>44837</v>
      </c>
    </row>
    <row r="105" spans="1:19" ht="12.5" hidden="1" x14ac:dyDescent="0.25">
      <c r="A105" s="14" t="str">
        <f>HYPERLINK("https://gerandofalcoes.my.salesforce.com/0014X00002VKCqHQAX", "0014X00002VKCqHQAX")</f>
        <v>0014X00002VKCqHQAX</v>
      </c>
      <c r="B105" s="2" t="s">
        <v>1829</v>
      </c>
      <c r="C105" s="2" t="s">
        <v>423</v>
      </c>
      <c r="D105" s="2" t="s">
        <v>2</v>
      </c>
      <c r="E105" s="2">
        <v>50</v>
      </c>
      <c r="F105" s="2">
        <v>0</v>
      </c>
      <c r="G105" s="2">
        <v>5</v>
      </c>
      <c r="H105" s="2">
        <v>521000</v>
      </c>
      <c r="I105" s="2">
        <v>155</v>
      </c>
      <c r="J105" s="2" t="s">
        <v>1671</v>
      </c>
      <c r="K105" s="2">
        <v>62</v>
      </c>
      <c r="L105" s="2">
        <v>20</v>
      </c>
      <c r="M105" s="2">
        <v>0</v>
      </c>
      <c r="N105" s="2">
        <v>10</v>
      </c>
      <c r="O105" s="2">
        <v>20</v>
      </c>
      <c r="P105" s="2">
        <v>12</v>
      </c>
      <c r="Q105" s="2" t="s">
        <v>1830</v>
      </c>
      <c r="R105" s="2" t="s">
        <v>1831</v>
      </c>
      <c r="S105" s="4">
        <v>44837</v>
      </c>
    </row>
    <row r="106" spans="1:19" ht="12.5" hidden="1" x14ac:dyDescent="0.25">
      <c r="A106" s="14" t="str">
        <f>HYPERLINK("https://gerandofalcoes.my.salesforce.com/0014P00003AN2GCQA1", "0014P00003AN2GCQA1")</f>
        <v>0014P00003AN2GCQA1</v>
      </c>
      <c r="B106" s="2" t="s">
        <v>1832</v>
      </c>
      <c r="C106" s="2" t="s">
        <v>423</v>
      </c>
      <c r="D106" s="2" t="s">
        <v>2</v>
      </c>
      <c r="E106" s="2">
        <v>49.69</v>
      </c>
      <c r="F106" s="2">
        <v>2</v>
      </c>
      <c r="G106" s="2">
        <v>4</v>
      </c>
      <c r="H106" s="2">
        <v>234550</v>
      </c>
      <c r="I106" s="2">
        <v>187</v>
      </c>
      <c r="J106" s="2" t="s">
        <v>1671</v>
      </c>
      <c r="K106" s="2">
        <v>42</v>
      </c>
      <c r="L106" s="2">
        <v>0</v>
      </c>
      <c r="M106" s="2">
        <v>5</v>
      </c>
      <c r="N106" s="2">
        <v>10</v>
      </c>
      <c r="O106" s="2">
        <v>15</v>
      </c>
      <c r="P106" s="2">
        <v>12</v>
      </c>
      <c r="Q106" s="2" t="s">
        <v>978</v>
      </c>
      <c r="R106" s="2" t="s">
        <v>978</v>
      </c>
      <c r="S106" s="4">
        <v>44837</v>
      </c>
    </row>
    <row r="107" spans="1:19" ht="12.5" hidden="1" x14ac:dyDescent="0.25">
      <c r="A107" s="14" t="str">
        <f>HYPERLINK("https://gerandofalcoes.my.salesforce.com/0014P00003YSp9XQAT", "0014P00003YSp9XQAT")</f>
        <v>0014P00003YSp9XQAT</v>
      </c>
      <c r="B107" s="2" t="s">
        <v>1833</v>
      </c>
      <c r="C107" s="2" t="s">
        <v>423</v>
      </c>
      <c r="D107" s="2" t="s">
        <v>2</v>
      </c>
      <c r="E107" s="2">
        <v>49.55</v>
      </c>
      <c r="F107" s="2">
        <v>53</v>
      </c>
      <c r="G107" s="2">
        <v>6</v>
      </c>
      <c r="H107" s="2">
        <v>526341644</v>
      </c>
      <c r="I107" s="2">
        <v>501</v>
      </c>
      <c r="J107" s="2" t="s">
        <v>1650</v>
      </c>
      <c r="K107" s="2">
        <v>70</v>
      </c>
      <c r="L107" s="2">
        <v>0</v>
      </c>
      <c r="M107" s="2">
        <v>15</v>
      </c>
      <c r="N107" s="2">
        <v>10</v>
      </c>
      <c r="O107" s="2">
        <v>25</v>
      </c>
      <c r="P107" s="2">
        <v>20</v>
      </c>
      <c r="Q107" s="2" t="s">
        <v>1834</v>
      </c>
      <c r="R107" s="2"/>
      <c r="S107" s="4">
        <v>44837</v>
      </c>
    </row>
    <row r="108" spans="1:19" ht="12.5" hidden="1" x14ac:dyDescent="0.25">
      <c r="A108" s="14" t="str">
        <f>HYPERLINK("https://gerandofalcoes.my.salesforce.com/0014P00003YSpA9QAL", "0014P00003YSpA9QAL")</f>
        <v>0014P00003YSpA9QAL</v>
      </c>
      <c r="B108" s="2" t="s">
        <v>1835</v>
      </c>
      <c r="C108" s="2" t="s">
        <v>423</v>
      </c>
      <c r="D108" s="2" t="s">
        <v>2</v>
      </c>
      <c r="E108" s="2">
        <v>49.27</v>
      </c>
      <c r="F108" s="2">
        <v>0</v>
      </c>
      <c r="G108" s="2">
        <v>2</v>
      </c>
      <c r="H108" s="2">
        <v>21270</v>
      </c>
      <c r="I108" s="2">
        <v>25</v>
      </c>
      <c r="J108" s="2" t="s">
        <v>1779</v>
      </c>
      <c r="K108" s="2">
        <v>16</v>
      </c>
      <c r="L108" s="2">
        <v>0</v>
      </c>
      <c r="M108" s="2">
        <v>0</v>
      </c>
      <c r="N108" s="2">
        <v>6</v>
      </c>
      <c r="O108" s="2">
        <v>5</v>
      </c>
      <c r="P108" s="2">
        <v>5</v>
      </c>
      <c r="Q108" s="2" t="s">
        <v>1836</v>
      </c>
      <c r="R108" s="2" t="s">
        <v>1837</v>
      </c>
      <c r="S108" s="4">
        <v>44837</v>
      </c>
    </row>
    <row r="109" spans="1:19" ht="12.5" hidden="1" x14ac:dyDescent="0.25">
      <c r="A109" s="14" t="str">
        <f>HYPERLINK("https://gerandofalcoes.my.salesforce.com/0014X00002VKCujQAH", "0014X00002VKCujQAH")</f>
        <v>0014X00002VKCujQAH</v>
      </c>
      <c r="B109" s="2" t="s">
        <v>1838</v>
      </c>
      <c r="C109" s="2" t="s">
        <v>423</v>
      </c>
      <c r="D109" s="2" t="s">
        <v>2</v>
      </c>
      <c r="E109" s="2">
        <v>49.16</v>
      </c>
      <c r="F109" s="2">
        <v>4</v>
      </c>
      <c r="G109" s="2">
        <v>1</v>
      </c>
      <c r="H109" s="2">
        <v>679520</v>
      </c>
      <c r="I109" s="2">
        <v>100</v>
      </c>
      <c r="J109" s="2" t="s">
        <v>1779</v>
      </c>
      <c r="K109" s="2">
        <v>39</v>
      </c>
      <c r="L109" s="2">
        <v>0</v>
      </c>
      <c r="M109" s="2">
        <v>5</v>
      </c>
      <c r="N109" s="2">
        <v>4</v>
      </c>
      <c r="O109" s="2">
        <v>20</v>
      </c>
      <c r="P109" s="2">
        <v>10</v>
      </c>
      <c r="Q109" s="2" t="s">
        <v>1839</v>
      </c>
      <c r="R109" s="2" t="s">
        <v>1840</v>
      </c>
      <c r="S109" s="4">
        <v>44837</v>
      </c>
    </row>
    <row r="110" spans="1:19" ht="12.5" hidden="1" x14ac:dyDescent="0.25">
      <c r="A110" s="14" t="str">
        <f>HYPERLINK("https://gerandofalcoes.my.salesforce.com/0014X00002VKCt4QAH", "0014X00002VKCt4QAH")</f>
        <v>0014X00002VKCt4QAH</v>
      </c>
      <c r="B110" s="2" t="s">
        <v>1841</v>
      </c>
      <c r="C110" s="2" t="s">
        <v>423</v>
      </c>
      <c r="D110" s="2" t="s">
        <v>2</v>
      </c>
      <c r="E110" s="2">
        <v>48.59</v>
      </c>
      <c r="F110" s="2">
        <v>0</v>
      </c>
      <c r="G110" s="2">
        <v>2</v>
      </c>
      <c r="H110" s="2">
        <v>272000</v>
      </c>
      <c r="I110" s="2">
        <v>105</v>
      </c>
      <c r="J110" s="2" t="s">
        <v>1671</v>
      </c>
      <c r="K110" s="2">
        <v>46</v>
      </c>
      <c r="L110" s="2">
        <v>15</v>
      </c>
      <c r="M110" s="2">
        <v>0</v>
      </c>
      <c r="N110" s="2">
        <v>6</v>
      </c>
      <c r="O110" s="2">
        <v>15</v>
      </c>
      <c r="P110" s="2">
        <v>10</v>
      </c>
      <c r="Q110" s="2" t="s">
        <v>1842</v>
      </c>
      <c r="R110" s="2" t="s">
        <v>1843</v>
      </c>
      <c r="S110" s="4">
        <v>44837</v>
      </c>
    </row>
    <row r="111" spans="1:19" ht="12.5" hidden="1" x14ac:dyDescent="0.25">
      <c r="A111" s="14" t="str">
        <f>HYPERLINK("https://gerandofalcoes.my.salesforce.com/0014P00003SGWPUQA5", "0014P00003SGWPUQA5")</f>
        <v>0014P00003SGWPUQA5</v>
      </c>
      <c r="B111" s="2" t="s">
        <v>379</v>
      </c>
      <c r="C111" s="2" t="s">
        <v>1684</v>
      </c>
      <c r="D111" s="2" t="s">
        <v>2</v>
      </c>
      <c r="E111" s="2">
        <v>48.28</v>
      </c>
      <c r="F111" s="2">
        <v>0</v>
      </c>
      <c r="G111" s="2">
        <v>3</v>
      </c>
      <c r="H111" s="2">
        <v>88255</v>
      </c>
      <c r="I111" s="2">
        <v>60</v>
      </c>
      <c r="J111" s="2" t="s">
        <v>1779</v>
      </c>
      <c r="K111" s="2">
        <v>38</v>
      </c>
      <c r="L111" s="2">
        <v>15</v>
      </c>
      <c r="M111" s="2">
        <v>0</v>
      </c>
      <c r="N111" s="2">
        <v>8</v>
      </c>
      <c r="O111" s="2">
        <v>10</v>
      </c>
      <c r="P111" s="2">
        <v>5</v>
      </c>
      <c r="Q111" s="2" t="s">
        <v>380</v>
      </c>
      <c r="R111" s="2" t="s">
        <v>1595</v>
      </c>
      <c r="S111" s="4">
        <v>44837</v>
      </c>
    </row>
    <row r="112" spans="1:19" ht="12.5" hidden="1" x14ac:dyDescent="0.25">
      <c r="A112" s="14" t="str">
        <f>HYPERLINK("https://gerandofalcoes.my.salesforce.com/0014P00003YSp9SQAT", "0014P00003YSp9SQAT")</f>
        <v>0014P00003YSp9SQAT</v>
      </c>
      <c r="B112" s="2" t="s">
        <v>1844</v>
      </c>
      <c r="C112" s="2" t="s">
        <v>423</v>
      </c>
      <c r="D112" s="2" t="s">
        <v>2</v>
      </c>
      <c r="E112" s="2">
        <v>48.14</v>
      </c>
      <c r="F112" s="2">
        <v>3</v>
      </c>
      <c r="G112" s="2">
        <v>4</v>
      </c>
      <c r="H112" s="2">
        <v>2855703</v>
      </c>
      <c r="I112" s="2">
        <v>150</v>
      </c>
      <c r="J112" s="2" t="s">
        <v>1650</v>
      </c>
      <c r="K112" s="2">
        <v>67</v>
      </c>
      <c r="L112" s="2">
        <v>15</v>
      </c>
      <c r="M112" s="2">
        <v>5</v>
      </c>
      <c r="N112" s="2">
        <v>10</v>
      </c>
      <c r="O112" s="2">
        <v>25</v>
      </c>
      <c r="P112" s="2">
        <v>12</v>
      </c>
      <c r="Q112" s="2" t="s">
        <v>1845</v>
      </c>
      <c r="R112" s="2" t="s">
        <v>1846</v>
      </c>
      <c r="S112" s="4">
        <v>44837</v>
      </c>
    </row>
    <row r="113" spans="1:19" ht="12.5" hidden="1" x14ac:dyDescent="0.25">
      <c r="A113" s="14" t="str">
        <f>HYPERLINK("https://gerandofalcoes.my.salesforce.com/0014X00002VKCuCQAX", "0014X00002VKCuCQAX")</f>
        <v>0014X00002VKCuCQAX</v>
      </c>
      <c r="B113" s="2" t="s">
        <v>1847</v>
      </c>
      <c r="C113" s="2" t="s">
        <v>423</v>
      </c>
      <c r="D113" s="2" t="s">
        <v>2</v>
      </c>
      <c r="E113" s="2">
        <v>48.13</v>
      </c>
      <c r="F113" s="2">
        <v>3</v>
      </c>
      <c r="G113" s="2">
        <v>3</v>
      </c>
      <c r="H113" s="2">
        <v>20593734</v>
      </c>
      <c r="I113" s="2">
        <v>37</v>
      </c>
      <c r="J113" s="2" t="s">
        <v>1671</v>
      </c>
      <c r="K113" s="2">
        <v>58</v>
      </c>
      <c r="L113" s="2">
        <v>15</v>
      </c>
      <c r="M113" s="2">
        <v>5</v>
      </c>
      <c r="N113" s="2">
        <v>8</v>
      </c>
      <c r="O113" s="2">
        <v>25</v>
      </c>
      <c r="P113" s="2">
        <v>5</v>
      </c>
      <c r="Q113" s="2" t="s">
        <v>1848</v>
      </c>
      <c r="R113" s="2" t="s">
        <v>1849</v>
      </c>
      <c r="S113" s="4">
        <v>44837</v>
      </c>
    </row>
    <row r="114" spans="1:19" ht="12.5" hidden="1" x14ac:dyDescent="0.25">
      <c r="A114" s="14" t="str">
        <f>HYPERLINK("https://gerandofalcoes.my.salesforce.com/0014X00002VKCrlQAH", "0014X00002VKCrlQAH")</f>
        <v>0014X00002VKCrlQAH</v>
      </c>
      <c r="B114" s="2" t="s">
        <v>1850</v>
      </c>
      <c r="C114" s="2" t="s">
        <v>423</v>
      </c>
      <c r="D114" s="2" t="s">
        <v>2</v>
      </c>
      <c r="E114" s="2">
        <v>48</v>
      </c>
      <c r="F114" s="2">
        <v>0</v>
      </c>
      <c r="G114" s="2">
        <v>2</v>
      </c>
      <c r="H114" s="2">
        <v>30000</v>
      </c>
      <c r="I114" s="2">
        <v>30</v>
      </c>
      <c r="J114" s="2" t="s">
        <v>1779</v>
      </c>
      <c r="K114" s="2">
        <v>36</v>
      </c>
      <c r="L114" s="2">
        <v>15</v>
      </c>
      <c r="M114" s="2">
        <v>0</v>
      </c>
      <c r="N114" s="2">
        <v>6</v>
      </c>
      <c r="O114" s="2">
        <v>10</v>
      </c>
      <c r="P114" s="2">
        <v>5</v>
      </c>
      <c r="Q114" s="2" t="s">
        <v>1851</v>
      </c>
      <c r="R114" s="2" t="s">
        <v>1851</v>
      </c>
      <c r="S114" s="4">
        <v>44837</v>
      </c>
    </row>
    <row r="115" spans="1:19" ht="12.5" hidden="1" x14ac:dyDescent="0.25">
      <c r="A115" s="14" t="str">
        <f>HYPERLINK("https://gerandofalcoes.my.salesforce.com/0014P00003YSp9kQAD", "0014P00003YSp9kQAD")</f>
        <v>0014P00003YSp9kQAD</v>
      </c>
      <c r="B115" s="2" t="s">
        <v>1852</v>
      </c>
      <c r="C115" s="2" t="s">
        <v>423</v>
      </c>
      <c r="D115" s="2" t="s">
        <v>2</v>
      </c>
      <c r="E115" s="2">
        <v>46.75</v>
      </c>
      <c r="F115" s="2">
        <v>8</v>
      </c>
      <c r="G115" s="2">
        <v>3</v>
      </c>
      <c r="H115" s="2">
        <v>668446</v>
      </c>
      <c r="I115" s="2">
        <v>851</v>
      </c>
      <c r="J115" s="2" t="s">
        <v>1650</v>
      </c>
      <c r="K115" s="2">
        <v>73</v>
      </c>
      <c r="L115" s="2">
        <v>15</v>
      </c>
      <c r="M115" s="2">
        <v>10</v>
      </c>
      <c r="N115" s="2">
        <v>8</v>
      </c>
      <c r="O115" s="2">
        <v>20</v>
      </c>
      <c r="P115" s="2">
        <v>20</v>
      </c>
      <c r="Q115" s="2" t="s">
        <v>1853</v>
      </c>
      <c r="R115" s="2" t="s">
        <v>1854</v>
      </c>
      <c r="S115" s="4">
        <v>44837</v>
      </c>
    </row>
    <row r="116" spans="1:19" ht="12.5" hidden="1" x14ac:dyDescent="0.25">
      <c r="A116" s="14" t="str">
        <f>HYPERLINK("https://gerandofalcoes.my.salesforce.com/0014P00003YSp7dQAD", "0014P00003YSp7dQAD")</f>
        <v>0014P00003YSp7dQAD</v>
      </c>
      <c r="B116" s="2" t="s">
        <v>1855</v>
      </c>
      <c r="C116" s="2" t="s">
        <v>423</v>
      </c>
      <c r="D116" s="2" t="s">
        <v>2</v>
      </c>
      <c r="E116" s="2">
        <v>46.06</v>
      </c>
      <c r="F116" s="2">
        <v>6</v>
      </c>
      <c r="G116" s="2">
        <v>5</v>
      </c>
      <c r="H116" s="2">
        <v>42178400</v>
      </c>
      <c r="I116" s="2">
        <v>243</v>
      </c>
      <c r="J116" s="2" t="s">
        <v>1650</v>
      </c>
      <c r="K116" s="2">
        <v>72</v>
      </c>
      <c r="L116" s="2">
        <v>15</v>
      </c>
      <c r="M116" s="2">
        <v>10</v>
      </c>
      <c r="N116" s="2">
        <v>10</v>
      </c>
      <c r="O116" s="2">
        <v>25</v>
      </c>
      <c r="P116" s="2">
        <v>12</v>
      </c>
      <c r="Q116" s="2" t="s">
        <v>1856</v>
      </c>
      <c r="R116" s="2" t="s">
        <v>1857</v>
      </c>
      <c r="S116" s="4">
        <v>44837</v>
      </c>
    </row>
    <row r="117" spans="1:19" ht="12.5" hidden="1" x14ac:dyDescent="0.25">
      <c r="A117" s="14" t="str">
        <f>HYPERLINK("https://gerandofalcoes.my.salesforce.com/0014X00002VKCsOQAX", "0014X00002VKCsOQAX")</f>
        <v>0014X00002VKCsOQAX</v>
      </c>
      <c r="B117" s="2" t="s">
        <v>1858</v>
      </c>
      <c r="C117" s="2" t="s">
        <v>423</v>
      </c>
      <c r="D117" s="2" t="s">
        <v>2</v>
      </c>
      <c r="E117" s="2">
        <v>46</v>
      </c>
      <c r="F117" s="2">
        <v>0</v>
      </c>
      <c r="G117" s="2">
        <v>3</v>
      </c>
      <c r="H117" s="2">
        <v>10000</v>
      </c>
      <c r="I117" s="2">
        <v>110</v>
      </c>
      <c r="J117" s="2" t="s">
        <v>1779</v>
      </c>
      <c r="K117" s="2">
        <v>38</v>
      </c>
      <c r="L117" s="2">
        <v>15</v>
      </c>
      <c r="M117" s="2">
        <v>0</v>
      </c>
      <c r="N117" s="2">
        <v>8</v>
      </c>
      <c r="O117" s="2">
        <v>5</v>
      </c>
      <c r="P117" s="2">
        <v>10</v>
      </c>
      <c r="Q117" s="2" t="s">
        <v>1859</v>
      </c>
      <c r="R117" s="2" t="s">
        <v>1860</v>
      </c>
      <c r="S117" s="4">
        <v>44837</v>
      </c>
    </row>
    <row r="118" spans="1:19" ht="12.5" hidden="1" x14ac:dyDescent="0.25">
      <c r="A118" s="14" t="str">
        <f>HYPERLINK("https://gerandofalcoes.my.salesforce.com/0014P00003SGWPfQAP", "0014P00003SGWPfQAP")</f>
        <v>0014P00003SGWPfQAP</v>
      </c>
      <c r="B118" s="2" t="s">
        <v>294</v>
      </c>
      <c r="C118" s="2" t="s">
        <v>1800</v>
      </c>
      <c r="D118" s="2" t="s">
        <v>2</v>
      </c>
      <c r="E118" s="2">
        <v>46</v>
      </c>
      <c r="F118" s="2">
        <v>0</v>
      </c>
      <c r="G118" s="2">
        <v>3</v>
      </c>
      <c r="H118" s="2">
        <v>6605</v>
      </c>
      <c r="I118" s="2">
        <v>100</v>
      </c>
      <c r="J118" s="2" t="s">
        <v>1779</v>
      </c>
      <c r="K118" s="2">
        <v>38</v>
      </c>
      <c r="L118" s="2">
        <v>15</v>
      </c>
      <c r="M118" s="2">
        <v>0</v>
      </c>
      <c r="N118" s="2">
        <v>8</v>
      </c>
      <c r="O118" s="2">
        <v>5</v>
      </c>
      <c r="P118" s="2">
        <v>10</v>
      </c>
      <c r="Q118" s="2" t="s">
        <v>295</v>
      </c>
      <c r="R118" s="2" t="s">
        <v>1298</v>
      </c>
      <c r="S118" s="4">
        <v>44837</v>
      </c>
    </row>
    <row r="119" spans="1:19" ht="12.5" hidden="1" x14ac:dyDescent="0.25">
      <c r="A119" s="14" t="str">
        <f>HYPERLINK("https://gerandofalcoes.my.salesforce.com/0014P00003YSp95QAD", "0014P00003YSp95QAD")</f>
        <v>0014P00003YSp95QAD</v>
      </c>
      <c r="B119" s="2" t="s">
        <v>1861</v>
      </c>
      <c r="C119" s="2" t="s">
        <v>423</v>
      </c>
      <c r="D119" s="2" t="s">
        <v>2</v>
      </c>
      <c r="E119" s="2">
        <v>45.97</v>
      </c>
      <c r="F119" s="2">
        <v>8</v>
      </c>
      <c r="G119" s="2">
        <v>3</v>
      </c>
      <c r="H119" s="2">
        <v>60127</v>
      </c>
      <c r="I119" s="2">
        <v>841</v>
      </c>
      <c r="J119" s="2" t="s">
        <v>1671</v>
      </c>
      <c r="K119" s="2">
        <v>63</v>
      </c>
      <c r="L119" s="2">
        <v>15</v>
      </c>
      <c r="M119" s="2">
        <v>10</v>
      </c>
      <c r="N119" s="2">
        <v>8</v>
      </c>
      <c r="O119" s="2">
        <v>10</v>
      </c>
      <c r="P119" s="2">
        <v>20</v>
      </c>
      <c r="Q119" s="2" t="s">
        <v>1862</v>
      </c>
      <c r="R119" s="2" t="s">
        <v>1863</v>
      </c>
      <c r="S119" s="4">
        <v>44837</v>
      </c>
    </row>
    <row r="120" spans="1:19" ht="12.5" hidden="1" x14ac:dyDescent="0.25">
      <c r="A120" s="14" t="str">
        <f>HYPERLINK("https://gerandofalcoes.my.salesforce.com/0014P00003SGWPSQA5", "0014P00003SGWPSQA5")</f>
        <v>0014P00003SGWPSQA5</v>
      </c>
      <c r="B120" s="2" t="s">
        <v>372</v>
      </c>
      <c r="C120" s="2" t="s">
        <v>423</v>
      </c>
      <c r="D120" s="2" t="s">
        <v>2</v>
      </c>
      <c r="E120" s="2">
        <v>45.95</v>
      </c>
      <c r="F120" s="2">
        <v>10</v>
      </c>
      <c r="G120" s="2">
        <v>2</v>
      </c>
      <c r="H120" s="2">
        <v>657000000</v>
      </c>
      <c r="I120" s="2">
        <v>110</v>
      </c>
      <c r="J120" s="2" t="s">
        <v>1650</v>
      </c>
      <c r="K120" s="2">
        <v>66</v>
      </c>
      <c r="L120" s="2">
        <v>15</v>
      </c>
      <c r="M120" s="2">
        <v>10</v>
      </c>
      <c r="N120" s="2">
        <v>6</v>
      </c>
      <c r="O120" s="2">
        <v>25</v>
      </c>
      <c r="P120" s="2">
        <v>10</v>
      </c>
      <c r="Q120" s="2" t="s">
        <v>373</v>
      </c>
      <c r="R120" s="2" t="s">
        <v>373</v>
      </c>
      <c r="S120" s="4">
        <v>44837</v>
      </c>
    </row>
    <row r="121" spans="1:19" ht="12.5" hidden="1" x14ac:dyDescent="0.25">
      <c r="A121" s="14" t="str">
        <f>HYPERLINK("https://gerandofalcoes.my.salesforce.com/0014P00003SGWPmQAP", "0014P00003SGWPmQAP")</f>
        <v>0014P00003SGWPmQAP</v>
      </c>
      <c r="B121" s="2" t="s">
        <v>315</v>
      </c>
      <c r="C121" s="2" t="s">
        <v>423</v>
      </c>
      <c r="D121" s="2" t="s">
        <v>2</v>
      </c>
      <c r="E121" s="2">
        <v>45.4</v>
      </c>
      <c r="F121" s="2">
        <v>2</v>
      </c>
      <c r="G121" s="2">
        <v>4</v>
      </c>
      <c r="H121" s="2">
        <v>75550</v>
      </c>
      <c r="I121" s="2">
        <v>239</v>
      </c>
      <c r="J121" s="2" t="s">
        <v>1671</v>
      </c>
      <c r="K121" s="2">
        <v>52</v>
      </c>
      <c r="L121" s="2">
        <v>15</v>
      </c>
      <c r="M121" s="2">
        <v>5</v>
      </c>
      <c r="N121" s="2">
        <v>10</v>
      </c>
      <c r="O121" s="2">
        <v>10</v>
      </c>
      <c r="P121" s="2">
        <v>12</v>
      </c>
      <c r="Q121" s="2" t="s">
        <v>316</v>
      </c>
      <c r="R121" s="2" t="s">
        <v>1370</v>
      </c>
      <c r="S121" s="4">
        <v>44837</v>
      </c>
    </row>
    <row r="122" spans="1:19" ht="12.5" hidden="1" x14ac:dyDescent="0.25">
      <c r="A122" s="14" t="str">
        <f>HYPERLINK("https://gerandofalcoes.my.salesforce.com/0014X00002VKCrRQAX", "0014X00002VKCrRQAX")</f>
        <v>0014X00002VKCrRQAX</v>
      </c>
      <c r="B122" s="2" t="s">
        <v>1864</v>
      </c>
      <c r="C122" s="2" t="s">
        <v>423</v>
      </c>
      <c r="D122" s="2" t="s">
        <v>2</v>
      </c>
      <c r="E122" s="2">
        <v>45.36</v>
      </c>
      <c r="F122" s="2">
        <v>0</v>
      </c>
      <c r="G122" s="2">
        <v>2</v>
      </c>
      <c r="H122" s="2">
        <v>140300</v>
      </c>
      <c r="I122" s="2">
        <v>238</v>
      </c>
      <c r="J122" s="2" t="s">
        <v>1671</v>
      </c>
      <c r="K122" s="2">
        <v>48</v>
      </c>
      <c r="L122" s="2">
        <v>15</v>
      </c>
      <c r="M122" s="2">
        <v>0</v>
      </c>
      <c r="N122" s="2">
        <v>6</v>
      </c>
      <c r="O122" s="2">
        <v>15</v>
      </c>
      <c r="P122" s="2">
        <v>12</v>
      </c>
      <c r="Q122" s="2" t="s">
        <v>1865</v>
      </c>
      <c r="R122" s="2" t="s">
        <v>1866</v>
      </c>
      <c r="S122" s="4">
        <v>44837</v>
      </c>
    </row>
    <row r="123" spans="1:19" ht="12.5" hidden="1" x14ac:dyDescent="0.25">
      <c r="A123" s="14" t="str">
        <f>HYPERLINK("https://gerandofalcoes.my.salesforce.com/0014P00003SGWPkQAP", "0014P00003SGWPkQAP")</f>
        <v>0014P00003SGWPkQAP</v>
      </c>
      <c r="B123" s="2" t="s">
        <v>306</v>
      </c>
      <c r="C123" s="2" t="s">
        <v>423</v>
      </c>
      <c r="D123" s="2" t="s">
        <v>2</v>
      </c>
      <c r="E123" s="2">
        <v>45.27</v>
      </c>
      <c r="F123" s="2">
        <v>7</v>
      </c>
      <c r="G123" s="2">
        <v>3</v>
      </c>
      <c r="H123" s="2">
        <v>264000</v>
      </c>
      <c r="I123" s="2">
        <v>240</v>
      </c>
      <c r="J123" s="2" t="s">
        <v>1671</v>
      </c>
      <c r="K123" s="2">
        <v>60</v>
      </c>
      <c r="L123" s="2">
        <v>15</v>
      </c>
      <c r="M123" s="2">
        <v>10</v>
      </c>
      <c r="N123" s="2">
        <v>8</v>
      </c>
      <c r="O123" s="2">
        <v>15</v>
      </c>
      <c r="P123" s="2">
        <v>12</v>
      </c>
      <c r="Q123" s="2" t="s">
        <v>307</v>
      </c>
      <c r="R123" s="2" t="s">
        <v>1867</v>
      </c>
      <c r="S123" s="4">
        <v>44837</v>
      </c>
    </row>
    <row r="124" spans="1:19" ht="12.5" hidden="1" x14ac:dyDescent="0.25">
      <c r="A124" s="14" t="str">
        <f>HYPERLINK("https://gerandofalcoes.my.salesforce.com/0014X00002VKCpfQAH", "0014X00002VKCpfQAH")</f>
        <v>0014X00002VKCpfQAH</v>
      </c>
      <c r="B124" s="2" t="s">
        <v>1868</v>
      </c>
      <c r="C124" s="2" t="s">
        <v>423</v>
      </c>
      <c r="D124" s="2" t="s">
        <v>2</v>
      </c>
      <c r="E124" s="2">
        <v>45.23</v>
      </c>
      <c r="F124" s="2">
        <v>0</v>
      </c>
      <c r="G124" s="2">
        <v>3</v>
      </c>
      <c r="H124" s="2">
        <v>41307</v>
      </c>
      <c r="I124" s="2">
        <v>120</v>
      </c>
      <c r="J124" s="2" t="s">
        <v>1671</v>
      </c>
      <c r="K124" s="2">
        <v>43</v>
      </c>
      <c r="L124" s="2">
        <v>15</v>
      </c>
      <c r="M124" s="2">
        <v>0</v>
      </c>
      <c r="N124" s="2">
        <v>8</v>
      </c>
      <c r="O124" s="2">
        <v>10</v>
      </c>
      <c r="P124" s="2">
        <v>10</v>
      </c>
      <c r="Q124" s="2" t="s">
        <v>1869</v>
      </c>
      <c r="R124" s="2" t="s">
        <v>1870</v>
      </c>
      <c r="S124" s="4">
        <v>44837</v>
      </c>
    </row>
    <row r="125" spans="1:19" ht="12.5" hidden="1" x14ac:dyDescent="0.25">
      <c r="A125" s="14" t="str">
        <f>HYPERLINK("https://gerandofalcoes.my.salesforce.com/0014X00002VKCqLQAX", "0014X00002VKCqLQAX")</f>
        <v>0014X00002VKCqLQAX</v>
      </c>
      <c r="B125" s="2" t="s">
        <v>1871</v>
      </c>
      <c r="C125" s="2" t="s">
        <v>423</v>
      </c>
      <c r="D125" s="2" t="s">
        <v>2</v>
      </c>
      <c r="E125" s="2">
        <v>45.05</v>
      </c>
      <c r="F125" s="2">
        <v>462</v>
      </c>
      <c r="G125" s="2">
        <v>2</v>
      </c>
      <c r="H125" s="2">
        <v>9114662</v>
      </c>
      <c r="I125" s="2">
        <v>365</v>
      </c>
      <c r="J125" s="2" t="s">
        <v>1650</v>
      </c>
      <c r="K125" s="2">
        <v>76</v>
      </c>
      <c r="L125" s="2">
        <v>15</v>
      </c>
      <c r="M125" s="2">
        <v>15</v>
      </c>
      <c r="N125" s="2">
        <v>6</v>
      </c>
      <c r="O125" s="2">
        <v>25</v>
      </c>
      <c r="P125" s="2">
        <v>15</v>
      </c>
      <c r="Q125" s="2" t="s">
        <v>1872</v>
      </c>
      <c r="R125" s="2" t="s">
        <v>1873</v>
      </c>
      <c r="S125" s="4">
        <v>44837</v>
      </c>
    </row>
    <row r="126" spans="1:19" ht="12.5" hidden="1" x14ac:dyDescent="0.25">
      <c r="A126" s="14" t="str">
        <f>HYPERLINK("https://gerandofalcoes.my.salesforce.com/0014P00003AN2FYQA1", "0014P00003AN2FYQA1")</f>
        <v>0014P00003AN2FYQA1</v>
      </c>
      <c r="B126" s="2" t="s">
        <v>1874</v>
      </c>
      <c r="C126" s="2" t="s">
        <v>423</v>
      </c>
      <c r="D126" s="2" t="s">
        <v>2</v>
      </c>
      <c r="E126" s="2">
        <v>45</v>
      </c>
      <c r="F126" s="2">
        <v>4</v>
      </c>
      <c r="G126" s="2">
        <v>5</v>
      </c>
      <c r="H126" s="2">
        <v>100000</v>
      </c>
      <c r="I126" s="2">
        <v>50</v>
      </c>
      <c r="J126" s="2" t="s">
        <v>1671</v>
      </c>
      <c r="K126" s="2">
        <v>50</v>
      </c>
      <c r="L126" s="2">
        <v>15</v>
      </c>
      <c r="M126" s="2">
        <v>5</v>
      </c>
      <c r="N126" s="2">
        <v>10</v>
      </c>
      <c r="O126" s="2">
        <v>15</v>
      </c>
      <c r="P126" s="2">
        <v>5</v>
      </c>
      <c r="Q126" s="2" t="s">
        <v>1875</v>
      </c>
      <c r="R126" s="2" t="s">
        <v>1876</v>
      </c>
      <c r="S126" s="4">
        <v>44837</v>
      </c>
    </row>
    <row r="127" spans="1:19" ht="12.5" hidden="1" x14ac:dyDescent="0.25">
      <c r="A127" s="14" t="str">
        <f>HYPERLINK("https://gerandofalcoes.my.salesforce.com/0014X00002VKCsyQAH", "0014X00002VKCsyQAH")</f>
        <v>0014X00002VKCsyQAH</v>
      </c>
      <c r="B127" s="2" t="s">
        <v>1877</v>
      </c>
      <c r="C127" s="2" t="s">
        <v>423</v>
      </c>
      <c r="D127" s="2" t="s">
        <v>2</v>
      </c>
      <c r="E127" s="2">
        <v>44.41</v>
      </c>
      <c r="F127" s="2">
        <v>0</v>
      </c>
      <c r="G127" s="2">
        <v>2</v>
      </c>
      <c r="H127" s="2">
        <v>9000</v>
      </c>
      <c r="I127" s="2">
        <v>157</v>
      </c>
      <c r="J127" s="2" t="s">
        <v>1779</v>
      </c>
      <c r="K127" s="2">
        <v>38</v>
      </c>
      <c r="L127" s="2">
        <v>15</v>
      </c>
      <c r="M127" s="2">
        <v>0</v>
      </c>
      <c r="N127" s="2">
        <v>6</v>
      </c>
      <c r="O127" s="2">
        <v>5</v>
      </c>
      <c r="P127" s="2">
        <v>12</v>
      </c>
      <c r="Q127" s="2" t="s">
        <v>1878</v>
      </c>
      <c r="R127" s="2" t="s">
        <v>1878</v>
      </c>
      <c r="S127" s="4">
        <v>44837</v>
      </c>
    </row>
    <row r="128" spans="1:19" ht="12.5" hidden="1" x14ac:dyDescent="0.25">
      <c r="A128" s="14" t="str">
        <f>HYPERLINK("https://gerandofalcoes.my.salesforce.com/0014X00002VKCuKQAX", "0014X00002VKCuKQAX")</f>
        <v>0014X00002VKCuKQAX</v>
      </c>
      <c r="B128" s="2" t="s">
        <v>1879</v>
      </c>
      <c r="C128" s="2" t="s">
        <v>423</v>
      </c>
      <c r="D128" s="2" t="s">
        <v>2</v>
      </c>
      <c r="E128" s="2">
        <v>44.38</v>
      </c>
      <c r="F128" s="2">
        <v>2</v>
      </c>
      <c r="G128" s="2">
        <v>1</v>
      </c>
      <c r="H128" s="2">
        <v>50000</v>
      </c>
      <c r="I128" s="2">
        <v>20</v>
      </c>
      <c r="J128" s="2" t="s">
        <v>1779</v>
      </c>
      <c r="K128" s="2">
        <v>39</v>
      </c>
      <c r="L128" s="2">
        <v>15</v>
      </c>
      <c r="M128" s="2">
        <v>5</v>
      </c>
      <c r="N128" s="2">
        <v>4</v>
      </c>
      <c r="O128" s="2">
        <v>10</v>
      </c>
      <c r="P128" s="2">
        <v>5</v>
      </c>
      <c r="Q128" s="2" t="s">
        <v>1880</v>
      </c>
      <c r="R128" s="2" t="s">
        <v>1880</v>
      </c>
      <c r="S128" s="4">
        <v>44837</v>
      </c>
    </row>
    <row r="129" spans="1:19" ht="12.5" hidden="1" x14ac:dyDescent="0.25">
      <c r="A129" s="14" t="str">
        <f>HYPERLINK("https://gerandofalcoes.my.salesforce.com/0014P00003YSpAHQA1", "0014P00003YSpAHQA1")</f>
        <v>0014P00003YSpAHQA1</v>
      </c>
      <c r="B129" s="2" t="s">
        <v>1881</v>
      </c>
      <c r="C129" s="2" t="s">
        <v>423</v>
      </c>
      <c r="D129" s="2" t="s">
        <v>2</v>
      </c>
      <c r="E129" s="2">
        <v>44.09</v>
      </c>
      <c r="F129" s="2">
        <v>34</v>
      </c>
      <c r="G129" s="2">
        <v>3</v>
      </c>
      <c r="H129" s="2">
        <v>109250786</v>
      </c>
      <c r="I129" s="2">
        <v>15</v>
      </c>
      <c r="J129" s="2" t="s">
        <v>1650</v>
      </c>
      <c r="K129" s="2">
        <v>68</v>
      </c>
      <c r="L129" s="2">
        <v>15</v>
      </c>
      <c r="M129" s="2">
        <v>15</v>
      </c>
      <c r="N129" s="2">
        <v>8</v>
      </c>
      <c r="O129" s="2">
        <v>25</v>
      </c>
      <c r="P129" s="2">
        <v>5</v>
      </c>
      <c r="Q129" s="2" t="s">
        <v>1882</v>
      </c>
      <c r="R129" s="2" t="s">
        <v>1882</v>
      </c>
      <c r="S129" s="4">
        <v>44837</v>
      </c>
    </row>
    <row r="130" spans="1:19" ht="12.5" hidden="1" x14ac:dyDescent="0.25">
      <c r="A130" s="14" t="str">
        <f>HYPERLINK("https://gerandofalcoes.my.salesforce.com/0014X00002PUOTvQAP", "0014X00002PUOTvQAP")</f>
        <v>0014X00002PUOTvQAP</v>
      </c>
      <c r="B130" s="2" t="s">
        <v>1883</v>
      </c>
      <c r="C130" s="2" t="s">
        <v>1800</v>
      </c>
      <c r="D130" s="2" t="s">
        <v>2</v>
      </c>
      <c r="E130" s="2">
        <v>44</v>
      </c>
      <c r="F130" s="2">
        <v>3</v>
      </c>
      <c r="G130" s="2">
        <v>1</v>
      </c>
      <c r="H130" s="2">
        <v>150000</v>
      </c>
      <c r="I130" s="2">
        <v>800</v>
      </c>
      <c r="J130" s="2" t="s">
        <v>1671</v>
      </c>
      <c r="K130" s="2">
        <v>59</v>
      </c>
      <c r="L130" s="2">
        <v>15</v>
      </c>
      <c r="M130" s="2">
        <v>5</v>
      </c>
      <c r="N130" s="2">
        <v>4</v>
      </c>
      <c r="O130" s="2">
        <v>15</v>
      </c>
      <c r="P130" s="2">
        <v>20</v>
      </c>
      <c r="Q130" s="2" t="s">
        <v>1884</v>
      </c>
      <c r="R130" s="2" t="s">
        <v>424</v>
      </c>
      <c r="S130" s="4">
        <v>44837</v>
      </c>
    </row>
    <row r="131" spans="1:19" ht="12.5" hidden="1" x14ac:dyDescent="0.25">
      <c r="A131" s="14" t="str">
        <f>HYPERLINK("https://gerandofalcoes.my.salesforce.com/0014X00002VKCsoQAH", "0014X00002VKCsoQAH")</f>
        <v>0014X00002VKCsoQAH</v>
      </c>
      <c r="B131" s="2" t="s">
        <v>1885</v>
      </c>
      <c r="C131" s="2" t="s">
        <v>1684</v>
      </c>
      <c r="D131" s="2" t="s">
        <v>2</v>
      </c>
      <c r="E131" s="2">
        <v>44</v>
      </c>
      <c r="F131" s="2">
        <v>0</v>
      </c>
      <c r="G131" s="2">
        <v>5</v>
      </c>
      <c r="H131" s="2">
        <v>35000</v>
      </c>
      <c r="I131" s="2">
        <v>240</v>
      </c>
      <c r="J131" s="2" t="s">
        <v>1671</v>
      </c>
      <c r="K131" s="2">
        <v>47</v>
      </c>
      <c r="L131" s="2">
        <v>15</v>
      </c>
      <c r="M131" s="2">
        <v>0</v>
      </c>
      <c r="N131" s="2">
        <v>10</v>
      </c>
      <c r="O131" s="2">
        <v>10</v>
      </c>
      <c r="P131" s="2">
        <v>12</v>
      </c>
      <c r="Q131" s="2" t="s">
        <v>1886</v>
      </c>
      <c r="R131" s="2" t="s">
        <v>1886</v>
      </c>
      <c r="S131" s="4">
        <v>44837</v>
      </c>
    </row>
    <row r="132" spans="1:19" ht="12.5" hidden="1" x14ac:dyDescent="0.25">
      <c r="A132" s="14" t="str">
        <f>HYPERLINK("https://gerandofalcoes.my.salesforce.com/0014P00003YSp9MQAT", "0014P00003YSp9MQAT")</f>
        <v>0014P00003YSp9MQAT</v>
      </c>
      <c r="B132" s="2" t="s">
        <v>1887</v>
      </c>
      <c r="C132" s="2" t="s">
        <v>1800</v>
      </c>
      <c r="D132" s="2" t="s">
        <v>2</v>
      </c>
      <c r="E132" s="2">
        <v>44</v>
      </c>
      <c r="F132" s="2">
        <v>2</v>
      </c>
      <c r="G132" s="2">
        <v>2</v>
      </c>
      <c r="H132" s="2">
        <v>9000</v>
      </c>
      <c r="I132" s="2">
        <v>30</v>
      </c>
      <c r="J132" s="2" t="s">
        <v>1779</v>
      </c>
      <c r="K132" s="2">
        <v>36</v>
      </c>
      <c r="L132" s="2">
        <v>15</v>
      </c>
      <c r="M132" s="2">
        <v>5</v>
      </c>
      <c r="N132" s="2">
        <v>6</v>
      </c>
      <c r="O132" s="2">
        <v>5</v>
      </c>
      <c r="P132" s="2">
        <v>5</v>
      </c>
      <c r="Q132" s="2" t="s">
        <v>1888</v>
      </c>
      <c r="R132" s="2" t="s">
        <v>1888</v>
      </c>
      <c r="S132" s="4">
        <v>44837</v>
      </c>
    </row>
    <row r="133" spans="1:19" ht="12.5" hidden="1" x14ac:dyDescent="0.25">
      <c r="A133" s="14" t="str">
        <f>HYPERLINK("https://gerandofalcoes.my.salesforce.com/0014P00003AN2FhQAL", "0014P00003AN2FhQAL")</f>
        <v>0014P00003AN2FhQAL</v>
      </c>
      <c r="B133" s="2" t="s">
        <v>1889</v>
      </c>
      <c r="C133" s="2" t="s">
        <v>423</v>
      </c>
      <c r="D133" s="2" t="s">
        <v>2</v>
      </c>
      <c r="E133" s="2">
        <v>43.96</v>
      </c>
      <c r="F133" s="2">
        <v>3</v>
      </c>
      <c r="G133" s="2">
        <v>2</v>
      </c>
      <c r="H133" s="2">
        <v>472000</v>
      </c>
      <c r="I133" s="2">
        <v>381</v>
      </c>
      <c r="J133" s="2" t="s">
        <v>1671</v>
      </c>
      <c r="K133" s="2">
        <v>61</v>
      </c>
      <c r="L133" s="2">
        <v>15</v>
      </c>
      <c r="M133" s="2">
        <v>5</v>
      </c>
      <c r="N133" s="2">
        <v>6</v>
      </c>
      <c r="O133" s="2">
        <v>20</v>
      </c>
      <c r="P133" s="2">
        <v>15</v>
      </c>
      <c r="Q133" s="2" t="s">
        <v>715</v>
      </c>
      <c r="R133" s="2" t="s">
        <v>715</v>
      </c>
      <c r="S133" s="4">
        <v>44837</v>
      </c>
    </row>
    <row r="134" spans="1:19" ht="12.5" hidden="1" x14ac:dyDescent="0.25">
      <c r="A134" s="14" t="str">
        <f>HYPERLINK("https://gerandofalcoes.my.salesforce.com/0014P00003YSp8QQAT", "0014P00003YSp8QQAT")</f>
        <v>0014P00003YSp8QQAT</v>
      </c>
      <c r="B134" s="2" t="s">
        <v>1890</v>
      </c>
      <c r="C134" s="2" t="s">
        <v>423</v>
      </c>
      <c r="D134" s="2" t="s">
        <v>2</v>
      </c>
      <c r="E134" s="2">
        <v>43.85</v>
      </c>
      <c r="F134" s="2">
        <v>7</v>
      </c>
      <c r="G134" s="2">
        <v>150</v>
      </c>
      <c r="H134" s="2">
        <v>337433</v>
      </c>
      <c r="I134" s="2">
        <v>80</v>
      </c>
      <c r="J134" s="2" t="s">
        <v>1650</v>
      </c>
      <c r="K134" s="2">
        <v>65</v>
      </c>
      <c r="L134" s="2">
        <v>15</v>
      </c>
      <c r="M134" s="2">
        <v>10</v>
      </c>
      <c r="N134" s="2">
        <v>10</v>
      </c>
      <c r="O134" s="2">
        <v>20</v>
      </c>
      <c r="P134" s="2">
        <v>10</v>
      </c>
      <c r="Q134" s="2" t="s">
        <v>1891</v>
      </c>
      <c r="R134" s="2" t="s">
        <v>1891</v>
      </c>
      <c r="S134" s="4">
        <v>44837</v>
      </c>
    </row>
    <row r="135" spans="1:19" ht="12.5" x14ac:dyDescent="0.25">
      <c r="A135" s="14" t="str">
        <f>HYPERLINK("https://gerandofalcoes.my.salesforce.com/0014P00003YSp92QAD", "0014P00003YSp92QAD")</f>
        <v>0014P00003YSp92QAD</v>
      </c>
      <c r="B135" s="2" t="s">
        <v>1892</v>
      </c>
      <c r="C135" s="2" t="s">
        <v>423</v>
      </c>
      <c r="D135" s="2" t="s">
        <v>2</v>
      </c>
      <c r="E135" s="2">
        <v>43.83</v>
      </c>
      <c r="F135" s="2">
        <v>2</v>
      </c>
      <c r="G135" s="2">
        <v>3</v>
      </c>
      <c r="H135" s="2">
        <v>109472</v>
      </c>
      <c r="I135" s="2">
        <v>40</v>
      </c>
      <c r="J135" s="2" t="s">
        <v>1671</v>
      </c>
      <c r="K135" s="2">
        <v>48</v>
      </c>
      <c r="L135" s="2">
        <v>15</v>
      </c>
      <c r="M135" s="2">
        <v>5</v>
      </c>
      <c r="N135" s="2">
        <v>8</v>
      </c>
      <c r="O135" s="2">
        <v>15</v>
      </c>
      <c r="P135" s="2">
        <v>5</v>
      </c>
      <c r="Q135" s="2" t="s">
        <v>1893</v>
      </c>
      <c r="R135" s="2" t="s">
        <v>1894</v>
      </c>
      <c r="S135" s="4">
        <v>44837</v>
      </c>
    </row>
    <row r="136" spans="1:19" ht="12.5" hidden="1" x14ac:dyDescent="0.25">
      <c r="A136" s="14" t="str">
        <f>HYPERLINK("https://gerandofalcoes.my.salesforce.com/0014X00002VKCufQAH", "0014X00002VKCufQAH")</f>
        <v>0014X00002VKCufQAH</v>
      </c>
      <c r="B136" s="2" t="s">
        <v>1895</v>
      </c>
      <c r="C136" s="2" t="s">
        <v>423</v>
      </c>
      <c r="D136" s="2" t="s">
        <v>2</v>
      </c>
      <c r="E136" s="2">
        <v>43.69</v>
      </c>
      <c r="F136" s="2">
        <v>5</v>
      </c>
      <c r="G136" s="2">
        <v>1</v>
      </c>
      <c r="H136" s="2">
        <v>14040000</v>
      </c>
      <c r="I136" s="2">
        <v>50</v>
      </c>
      <c r="J136" s="2" t="s">
        <v>1671</v>
      </c>
      <c r="K136" s="2">
        <v>54</v>
      </c>
      <c r="L136" s="2">
        <v>15</v>
      </c>
      <c r="M136" s="2">
        <v>5</v>
      </c>
      <c r="N136" s="2">
        <v>4</v>
      </c>
      <c r="O136" s="2">
        <v>25</v>
      </c>
      <c r="P136" s="2">
        <v>5</v>
      </c>
      <c r="Q136" s="2" t="s">
        <v>1896</v>
      </c>
      <c r="R136" s="2" t="s">
        <v>1896</v>
      </c>
      <c r="S136" s="4">
        <v>44837</v>
      </c>
    </row>
    <row r="137" spans="1:19" ht="12.5" hidden="1" x14ac:dyDescent="0.25">
      <c r="A137" s="14" t="str">
        <f>HYPERLINK("https://gerandofalcoes.my.salesforce.com/0014P00003AN2G8QAL", "0014P00003AN2G8QAL")</f>
        <v>0014P00003AN2G8QAL</v>
      </c>
      <c r="B137" s="2" t="s">
        <v>1897</v>
      </c>
      <c r="C137" s="2" t="s">
        <v>423</v>
      </c>
      <c r="D137" s="2" t="s">
        <v>2</v>
      </c>
      <c r="E137" s="2">
        <v>43.54</v>
      </c>
      <c r="F137" s="2">
        <v>2</v>
      </c>
      <c r="G137" s="2">
        <v>5</v>
      </c>
      <c r="H137" s="2">
        <v>455000</v>
      </c>
      <c r="I137" s="2">
        <v>545</v>
      </c>
      <c r="J137" s="2" t="s">
        <v>1650</v>
      </c>
      <c r="K137" s="2">
        <v>70</v>
      </c>
      <c r="L137" s="2">
        <v>15</v>
      </c>
      <c r="M137" s="2">
        <v>5</v>
      </c>
      <c r="N137" s="2">
        <v>10</v>
      </c>
      <c r="O137" s="2">
        <v>20</v>
      </c>
      <c r="P137" s="2">
        <v>20</v>
      </c>
      <c r="Q137" s="2" t="s">
        <v>1898</v>
      </c>
      <c r="R137" s="2" t="s">
        <v>1898</v>
      </c>
      <c r="S137" s="4">
        <v>44837</v>
      </c>
    </row>
    <row r="138" spans="1:19" ht="12.5" hidden="1" x14ac:dyDescent="0.25">
      <c r="A138" s="14" t="str">
        <f>HYPERLINK("https://gerandofalcoes.my.salesforce.com/0014X00002VKCsnQAH", "0014X00002VKCsnQAH")</f>
        <v>0014X00002VKCsnQAH</v>
      </c>
      <c r="B138" s="2" t="s">
        <v>1899</v>
      </c>
      <c r="C138" s="2" t="s">
        <v>423</v>
      </c>
      <c r="D138" s="2" t="s">
        <v>2</v>
      </c>
      <c r="E138" s="2">
        <v>43.37</v>
      </c>
      <c r="F138" s="2">
        <v>7</v>
      </c>
      <c r="G138" s="2">
        <v>6</v>
      </c>
      <c r="H138" s="2">
        <v>130175</v>
      </c>
      <c r="I138" s="2">
        <v>120</v>
      </c>
      <c r="J138" s="2" t="s">
        <v>1671</v>
      </c>
      <c r="K138" s="2">
        <v>60</v>
      </c>
      <c r="L138" s="2">
        <v>15</v>
      </c>
      <c r="M138" s="2">
        <v>10</v>
      </c>
      <c r="N138" s="2">
        <v>10</v>
      </c>
      <c r="O138" s="2">
        <v>15</v>
      </c>
      <c r="P138" s="2">
        <v>10</v>
      </c>
      <c r="Q138" s="2" t="s">
        <v>1900</v>
      </c>
      <c r="R138" s="2" t="s">
        <v>1901</v>
      </c>
      <c r="S138" s="4">
        <v>44837</v>
      </c>
    </row>
    <row r="139" spans="1:19" ht="12.5" hidden="1" x14ac:dyDescent="0.25">
      <c r="A139" s="14" t="str">
        <f>HYPERLINK("https://gerandofalcoes.my.salesforce.com/0014X00002VKCuiQAH", "0014X00002VKCuiQAH")</f>
        <v>0014X00002VKCuiQAH</v>
      </c>
      <c r="B139" s="2" t="s">
        <v>1902</v>
      </c>
      <c r="C139" s="2" t="s">
        <v>423</v>
      </c>
      <c r="D139" s="2" t="s">
        <v>2</v>
      </c>
      <c r="E139" s="2">
        <v>43.37</v>
      </c>
      <c r="F139" s="2">
        <v>17</v>
      </c>
      <c r="G139" s="2">
        <v>7</v>
      </c>
      <c r="H139" s="2">
        <v>359673</v>
      </c>
      <c r="I139" s="2">
        <v>32</v>
      </c>
      <c r="J139" s="2" t="s">
        <v>1671</v>
      </c>
      <c r="K139" s="2">
        <v>62</v>
      </c>
      <c r="L139" s="2">
        <v>15</v>
      </c>
      <c r="M139" s="2">
        <v>12</v>
      </c>
      <c r="N139" s="2">
        <v>10</v>
      </c>
      <c r="O139" s="2">
        <v>20</v>
      </c>
      <c r="P139" s="2">
        <v>5</v>
      </c>
      <c r="Q139" s="2" t="s">
        <v>1903</v>
      </c>
      <c r="R139" s="2" t="s">
        <v>1904</v>
      </c>
      <c r="S139" s="4">
        <v>44837</v>
      </c>
    </row>
    <row r="140" spans="1:19" ht="12.5" hidden="1" x14ac:dyDescent="0.25">
      <c r="A140" s="14" t="str">
        <f>HYPERLINK("https://gerandofalcoes.my.salesforce.com/0014P00003AN2FaQAL", "0014P00003AN2FaQAL")</f>
        <v>0014P00003AN2FaQAL</v>
      </c>
      <c r="B140" s="2" t="s">
        <v>81</v>
      </c>
      <c r="C140" s="2" t="s">
        <v>423</v>
      </c>
      <c r="D140" s="2" t="s">
        <v>2</v>
      </c>
      <c r="E140" s="2">
        <v>43.16</v>
      </c>
      <c r="F140" s="2">
        <v>7</v>
      </c>
      <c r="G140" s="2">
        <v>2</v>
      </c>
      <c r="H140" s="2">
        <v>150000</v>
      </c>
      <c r="I140" s="2">
        <v>102</v>
      </c>
      <c r="J140" s="2" t="s">
        <v>1671</v>
      </c>
      <c r="K140" s="2">
        <v>56</v>
      </c>
      <c r="L140" s="2">
        <v>15</v>
      </c>
      <c r="M140" s="2">
        <v>10</v>
      </c>
      <c r="N140" s="2">
        <v>6</v>
      </c>
      <c r="O140" s="2">
        <v>15</v>
      </c>
      <c r="P140" s="2">
        <v>10</v>
      </c>
      <c r="Q140" s="2" t="s">
        <v>82</v>
      </c>
      <c r="R140" s="2" t="s">
        <v>660</v>
      </c>
      <c r="S140" s="4">
        <v>44837</v>
      </c>
    </row>
    <row r="141" spans="1:19" ht="12.5" hidden="1" x14ac:dyDescent="0.25">
      <c r="A141" s="14" t="str">
        <f>HYPERLINK("https://gerandofalcoes.my.salesforce.com/0014X00002VKCriQAH", "0014X00002VKCriQAH")</f>
        <v>0014X00002VKCriQAH</v>
      </c>
      <c r="B141" s="2" t="s">
        <v>1905</v>
      </c>
      <c r="C141" s="2" t="s">
        <v>423</v>
      </c>
      <c r="D141" s="2" t="s">
        <v>2</v>
      </c>
      <c r="E141" s="2">
        <v>43.02</v>
      </c>
      <c r="F141" s="2">
        <v>0</v>
      </c>
      <c r="G141" s="2">
        <v>2</v>
      </c>
      <c r="H141" s="2">
        <v>2105801</v>
      </c>
      <c r="I141" s="2">
        <v>84</v>
      </c>
      <c r="J141" s="2" t="s">
        <v>1671</v>
      </c>
      <c r="K141" s="2">
        <v>56</v>
      </c>
      <c r="L141" s="2">
        <v>15</v>
      </c>
      <c r="M141" s="2">
        <v>0</v>
      </c>
      <c r="N141" s="2">
        <v>6</v>
      </c>
      <c r="O141" s="2">
        <v>25</v>
      </c>
      <c r="P141" s="2">
        <v>10</v>
      </c>
      <c r="Q141" s="2" t="s">
        <v>1906</v>
      </c>
      <c r="R141" s="2" t="s">
        <v>1907</v>
      </c>
      <c r="S141" s="4">
        <v>44837</v>
      </c>
    </row>
    <row r="142" spans="1:19" ht="12.5" hidden="1" x14ac:dyDescent="0.25">
      <c r="A142" s="14" t="str">
        <f>HYPERLINK("https://gerandofalcoes.my.salesforce.com/0014P00003YSp9LQAT", "0014P00003YSp9LQAT")</f>
        <v>0014P00003YSp9LQAT</v>
      </c>
      <c r="B142" s="2" t="s">
        <v>1908</v>
      </c>
      <c r="C142" s="2" t="s">
        <v>423</v>
      </c>
      <c r="D142" s="2" t="s">
        <v>2</v>
      </c>
      <c r="E142" s="2">
        <v>43</v>
      </c>
      <c r="F142" s="2">
        <v>16</v>
      </c>
      <c r="G142" s="2">
        <v>6</v>
      </c>
      <c r="H142" s="2">
        <v>153000</v>
      </c>
      <c r="I142" s="2">
        <v>593</v>
      </c>
      <c r="J142" s="2" t="s">
        <v>1650</v>
      </c>
      <c r="K142" s="2">
        <v>72</v>
      </c>
      <c r="L142" s="2">
        <v>15</v>
      </c>
      <c r="M142" s="2">
        <v>12</v>
      </c>
      <c r="N142" s="2">
        <v>10</v>
      </c>
      <c r="O142" s="2">
        <v>15</v>
      </c>
      <c r="P142" s="2">
        <v>20</v>
      </c>
      <c r="Q142" s="2" t="s">
        <v>1909</v>
      </c>
      <c r="R142" s="2" t="s">
        <v>1909</v>
      </c>
      <c r="S142" s="4">
        <v>44837</v>
      </c>
    </row>
    <row r="143" spans="1:19" ht="12.5" hidden="1" x14ac:dyDescent="0.25">
      <c r="A143" s="14" t="str">
        <f>HYPERLINK("https://gerandofalcoes.my.salesforce.com/0014P00003SGWFrQAP", "0014P00003SGWFrQAP")</f>
        <v>0014P00003SGWFrQAP</v>
      </c>
      <c r="B143" s="2" t="s">
        <v>350</v>
      </c>
      <c r="C143" s="2" t="s">
        <v>423</v>
      </c>
      <c r="D143" s="2" t="s">
        <v>2</v>
      </c>
      <c r="E143" s="2">
        <v>43</v>
      </c>
      <c r="F143" s="2">
        <v>7</v>
      </c>
      <c r="G143" s="2">
        <v>0</v>
      </c>
      <c r="H143" s="2">
        <v>290000</v>
      </c>
      <c r="I143" s="2">
        <v>183</v>
      </c>
      <c r="J143" s="2" t="s">
        <v>1671</v>
      </c>
      <c r="K143" s="2">
        <v>52</v>
      </c>
      <c r="L143" s="2">
        <v>15</v>
      </c>
      <c r="M143" s="2">
        <v>10</v>
      </c>
      <c r="N143" s="2">
        <v>0</v>
      </c>
      <c r="O143" s="2">
        <v>15</v>
      </c>
      <c r="P143" s="2">
        <v>12</v>
      </c>
      <c r="Q143" s="2" t="s">
        <v>351</v>
      </c>
      <c r="R143" s="2" t="s">
        <v>1499</v>
      </c>
      <c r="S143" s="4">
        <v>44837</v>
      </c>
    </row>
    <row r="144" spans="1:19" ht="12.5" hidden="1" x14ac:dyDescent="0.25">
      <c r="A144" s="14" t="str">
        <f>HYPERLINK("https://gerandofalcoes.my.salesforce.com/0014P00003YSpA3QAL", "0014P00003YSpA3QAL")</f>
        <v>0014P00003YSpA3QAL</v>
      </c>
      <c r="B144" s="2" t="s">
        <v>1910</v>
      </c>
      <c r="C144" s="2" t="s">
        <v>1800</v>
      </c>
      <c r="D144" s="2" t="s">
        <v>2</v>
      </c>
      <c r="E144" s="2">
        <v>43</v>
      </c>
      <c r="F144" s="2">
        <v>10</v>
      </c>
      <c r="G144" s="2">
        <v>2</v>
      </c>
      <c r="H144" s="2">
        <v>15000</v>
      </c>
      <c r="I144" s="2">
        <v>100</v>
      </c>
      <c r="J144" s="2" t="s">
        <v>1671</v>
      </c>
      <c r="K144" s="2">
        <v>46</v>
      </c>
      <c r="L144" s="2">
        <v>15</v>
      </c>
      <c r="M144" s="2">
        <v>10</v>
      </c>
      <c r="N144" s="2">
        <v>6</v>
      </c>
      <c r="O144" s="2">
        <v>5</v>
      </c>
      <c r="P144" s="2">
        <v>10</v>
      </c>
      <c r="Q144" s="2" t="s">
        <v>1911</v>
      </c>
      <c r="R144" s="2" t="s">
        <v>1912</v>
      </c>
      <c r="S144" s="4">
        <v>44837</v>
      </c>
    </row>
    <row r="145" spans="1:19" ht="12.5" hidden="1" x14ac:dyDescent="0.25">
      <c r="A145" s="14" t="str">
        <f>HYPERLINK("https://gerandofalcoes.my.salesforce.com/0014X00002VKCpbQAH", "0014X00002VKCpbQAH")</f>
        <v>0014X00002VKCpbQAH</v>
      </c>
      <c r="B145" s="2" t="s">
        <v>1913</v>
      </c>
      <c r="C145" s="2" t="s">
        <v>423</v>
      </c>
      <c r="D145" s="2" t="s">
        <v>2</v>
      </c>
      <c r="E145" s="2">
        <v>43</v>
      </c>
      <c r="F145" s="2">
        <v>20</v>
      </c>
      <c r="G145" s="2">
        <v>3</v>
      </c>
      <c r="H145" s="2">
        <v>2000</v>
      </c>
      <c r="I145" s="2">
        <v>25</v>
      </c>
      <c r="J145" s="2" t="s">
        <v>1671</v>
      </c>
      <c r="K145" s="2">
        <v>45</v>
      </c>
      <c r="L145" s="2">
        <v>15</v>
      </c>
      <c r="M145" s="2">
        <v>12</v>
      </c>
      <c r="N145" s="2">
        <v>8</v>
      </c>
      <c r="O145" s="2">
        <v>5</v>
      </c>
      <c r="P145" s="2">
        <v>5</v>
      </c>
      <c r="Q145" s="2" t="s">
        <v>1914</v>
      </c>
      <c r="R145" s="2" t="s">
        <v>1914</v>
      </c>
      <c r="S145" s="4">
        <v>44837</v>
      </c>
    </row>
    <row r="146" spans="1:19" ht="12.5" hidden="1" x14ac:dyDescent="0.25">
      <c r="A146" s="14" t="str">
        <f>HYPERLINK("https://gerandofalcoes.my.salesforce.com/0014X00002VKCr2QAH", "0014X00002VKCr2QAH")</f>
        <v>0014X00002VKCr2QAH</v>
      </c>
      <c r="B146" s="2" t="s">
        <v>1915</v>
      </c>
      <c r="C146" s="2" t="s">
        <v>423</v>
      </c>
      <c r="D146" s="2" t="s">
        <v>2</v>
      </c>
      <c r="E146" s="2">
        <v>42.99</v>
      </c>
      <c r="F146" s="2">
        <v>8</v>
      </c>
      <c r="G146" s="2">
        <v>2</v>
      </c>
      <c r="H146" s="2">
        <v>4500000</v>
      </c>
      <c r="I146" s="2">
        <v>-40</v>
      </c>
      <c r="J146" s="2" t="s">
        <v>1671</v>
      </c>
      <c r="K146" s="2">
        <v>56</v>
      </c>
      <c r="L146" s="2">
        <v>15</v>
      </c>
      <c r="M146" s="2">
        <v>10</v>
      </c>
      <c r="N146" s="2">
        <v>6</v>
      </c>
      <c r="O146" s="2">
        <v>25</v>
      </c>
      <c r="P146" s="2">
        <v>0</v>
      </c>
      <c r="Q146" s="2" t="s">
        <v>1916</v>
      </c>
      <c r="R146" s="2" t="s">
        <v>1917</v>
      </c>
      <c r="S146" s="4">
        <v>44837</v>
      </c>
    </row>
    <row r="147" spans="1:19" ht="12.5" hidden="1" x14ac:dyDescent="0.25">
      <c r="A147" s="14" t="str">
        <f>HYPERLINK("https://gerandofalcoes.my.salesforce.com/0014X00002VKCs0QAH", "0014X00002VKCs0QAH")</f>
        <v>0014X00002VKCs0QAH</v>
      </c>
      <c r="B147" s="2" t="s">
        <v>1918</v>
      </c>
      <c r="C147" s="2" t="s">
        <v>423</v>
      </c>
      <c r="D147" s="2" t="s">
        <v>2</v>
      </c>
      <c r="E147" s="2">
        <v>42.91</v>
      </c>
      <c r="F147" s="2">
        <v>0</v>
      </c>
      <c r="G147" s="2">
        <v>2</v>
      </c>
      <c r="H147" s="2">
        <v>500000</v>
      </c>
      <c r="I147" s="2">
        <v>130</v>
      </c>
      <c r="J147" s="2" t="s">
        <v>1671</v>
      </c>
      <c r="K147" s="2">
        <v>51</v>
      </c>
      <c r="L147" s="2">
        <v>15</v>
      </c>
      <c r="M147" s="2">
        <v>0</v>
      </c>
      <c r="N147" s="2">
        <v>6</v>
      </c>
      <c r="O147" s="2">
        <v>20</v>
      </c>
      <c r="P147" s="2">
        <v>10</v>
      </c>
      <c r="Q147" s="2" t="s">
        <v>1919</v>
      </c>
      <c r="R147" s="2" t="s">
        <v>1920</v>
      </c>
      <c r="S147" s="4">
        <v>44837</v>
      </c>
    </row>
    <row r="148" spans="1:19" ht="12.5" hidden="1" x14ac:dyDescent="0.25">
      <c r="A148" s="14" t="str">
        <f>HYPERLINK("https://gerandofalcoes.my.salesforce.com/0014P00003YSp8YQAT", "0014P00003YSp8YQAT")</f>
        <v>0014P00003YSp8YQAT</v>
      </c>
      <c r="B148" s="2" t="s">
        <v>1921</v>
      </c>
      <c r="C148" s="2" t="s">
        <v>423</v>
      </c>
      <c r="D148" s="2" t="s">
        <v>2</v>
      </c>
      <c r="E148" s="2">
        <v>42.23</v>
      </c>
      <c r="F148" s="2">
        <v>9</v>
      </c>
      <c r="G148" s="2">
        <v>3</v>
      </c>
      <c r="H148" s="2">
        <v>97000</v>
      </c>
      <c r="I148" s="2">
        <v>100</v>
      </c>
      <c r="J148" s="2" t="s">
        <v>1671</v>
      </c>
      <c r="K148" s="2">
        <v>53</v>
      </c>
      <c r="L148" s="2">
        <v>15</v>
      </c>
      <c r="M148" s="2">
        <v>10</v>
      </c>
      <c r="N148" s="2">
        <v>8</v>
      </c>
      <c r="O148" s="2">
        <v>10</v>
      </c>
      <c r="P148" s="2">
        <v>10</v>
      </c>
      <c r="Q148" s="2" t="s">
        <v>1922</v>
      </c>
      <c r="R148" s="2" t="s">
        <v>1923</v>
      </c>
      <c r="S148" s="4">
        <v>44837</v>
      </c>
    </row>
    <row r="149" spans="1:19" ht="12.5" hidden="1" x14ac:dyDescent="0.25">
      <c r="A149" s="14" t="str">
        <f>HYPERLINK("https://gerandofalcoes.my.salesforce.com/0014X00002VKCuvQAH", "0014X00002VKCuvQAH")</f>
        <v>0014X00002VKCuvQAH</v>
      </c>
      <c r="B149" s="2" t="s">
        <v>1924</v>
      </c>
      <c r="C149" s="2" t="s">
        <v>423</v>
      </c>
      <c r="D149" s="2" t="s">
        <v>2</v>
      </c>
      <c r="E149" s="2">
        <v>42</v>
      </c>
      <c r="F149" s="2">
        <v>44</v>
      </c>
      <c r="G149" s="2">
        <v>6</v>
      </c>
      <c r="H149" s="2">
        <v>900000</v>
      </c>
      <c r="I149" s="2">
        <v>380</v>
      </c>
      <c r="J149" s="2" t="s">
        <v>1654</v>
      </c>
      <c r="K149" s="2">
        <v>80</v>
      </c>
      <c r="L149" s="2">
        <v>15</v>
      </c>
      <c r="M149" s="2">
        <v>15</v>
      </c>
      <c r="N149" s="2">
        <v>10</v>
      </c>
      <c r="O149" s="2">
        <v>25</v>
      </c>
      <c r="P149" s="2">
        <v>15</v>
      </c>
      <c r="Q149" s="2" t="s">
        <v>1925</v>
      </c>
      <c r="R149" s="2" t="s">
        <v>1926</v>
      </c>
      <c r="S149" s="4">
        <v>44837</v>
      </c>
    </row>
    <row r="150" spans="1:19" ht="12.5" hidden="1" x14ac:dyDescent="0.25">
      <c r="A150" s="14" t="str">
        <f>HYPERLINK("https://gerandofalcoes.my.salesforce.com/0014X00002VKCtIQAX", "0014X00002VKCtIQAX")</f>
        <v>0014X00002VKCtIQAX</v>
      </c>
      <c r="B150" s="2" t="s">
        <v>1927</v>
      </c>
      <c r="C150" s="2" t="s">
        <v>423</v>
      </c>
      <c r="D150" s="2" t="s">
        <v>2</v>
      </c>
      <c r="E150" s="2">
        <v>42</v>
      </c>
      <c r="F150" s="2">
        <v>0</v>
      </c>
      <c r="G150" s="2">
        <v>6</v>
      </c>
      <c r="H150" s="2">
        <v>0</v>
      </c>
      <c r="I150" s="2">
        <v>180</v>
      </c>
      <c r="J150" s="2" t="s">
        <v>1779</v>
      </c>
      <c r="K150" s="2">
        <v>37</v>
      </c>
      <c r="L150" s="2">
        <v>15</v>
      </c>
      <c r="M150" s="2">
        <v>0</v>
      </c>
      <c r="N150" s="2">
        <v>10</v>
      </c>
      <c r="O150" s="2">
        <v>0</v>
      </c>
      <c r="P150" s="2">
        <v>12</v>
      </c>
      <c r="Q150" s="2" t="s">
        <v>1928</v>
      </c>
      <c r="R150" s="2" t="s">
        <v>1929</v>
      </c>
      <c r="S150" s="4">
        <v>44837</v>
      </c>
    </row>
    <row r="151" spans="1:19" ht="12.5" hidden="1" x14ac:dyDescent="0.25">
      <c r="A151" s="14" t="str">
        <f>HYPERLINK("https://gerandofalcoes.my.salesforce.com/0014X00002VKCuWQAX", "0014X00002VKCuWQAX")</f>
        <v>0014X00002VKCuWQAX</v>
      </c>
      <c r="B151" s="2" t="s">
        <v>1930</v>
      </c>
      <c r="C151" s="2" t="s">
        <v>423</v>
      </c>
      <c r="D151" s="2" t="s">
        <v>2</v>
      </c>
      <c r="E151" s="2">
        <v>42</v>
      </c>
      <c r="F151" s="2">
        <v>35</v>
      </c>
      <c r="G151" s="2">
        <v>4</v>
      </c>
      <c r="H151" s="2">
        <v>30000</v>
      </c>
      <c r="I151" s="2">
        <v>30</v>
      </c>
      <c r="J151" s="2" t="s">
        <v>1671</v>
      </c>
      <c r="K151" s="2">
        <v>55</v>
      </c>
      <c r="L151" s="2">
        <v>15</v>
      </c>
      <c r="M151" s="2">
        <v>15</v>
      </c>
      <c r="N151" s="2">
        <v>10</v>
      </c>
      <c r="O151" s="2">
        <v>10</v>
      </c>
      <c r="P151" s="2">
        <v>5</v>
      </c>
      <c r="Q151" s="2" t="s">
        <v>1931</v>
      </c>
      <c r="R151" s="2" t="s">
        <v>1931</v>
      </c>
      <c r="S151" s="4">
        <v>44837</v>
      </c>
    </row>
    <row r="152" spans="1:19" ht="12.5" hidden="1" x14ac:dyDescent="0.25">
      <c r="A152" s="14" t="str">
        <f>HYPERLINK("https://gerandofalcoes.my.salesforce.com/0014X00002VKCr6QAH", "0014X00002VKCr6QAH")</f>
        <v>0014X00002VKCr6QAH</v>
      </c>
      <c r="B152" s="2" t="s">
        <v>1932</v>
      </c>
      <c r="C152" s="2" t="s">
        <v>423</v>
      </c>
      <c r="D152" s="2" t="s">
        <v>2</v>
      </c>
      <c r="E152" s="2">
        <v>41.5</v>
      </c>
      <c r="F152" s="2">
        <v>7</v>
      </c>
      <c r="G152" s="2">
        <v>1</v>
      </c>
      <c r="H152" s="2">
        <v>720000</v>
      </c>
      <c r="I152" s="2">
        <v>200</v>
      </c>
      <c r="J152" s="2" t="s">
        <v>1671</v>
      </c>
      <c r="K152" s="2">
        <v>61</v>
      </c>
      <c r="L152" s="2">
        <v>15</v>
      </c>
      <c r="M152" s="2">
        <v>10</v>
      </c>
      <c r="N152" s="2">
        <v>4</v>
      </c>
      <c r="O152" s="2">
        <v>20</v>
      </c>
      <c r="P152" s="2">
        <v>12</v>
      </c>
      <c r="Q152" s="2" t="s">
        <v>1933</v>
      </c>
      <c r="R152" s="2" t="s">
        <v>1934</v>
      </c>
      <c r="S152" s="4">
        <v>44837</v>
      </c>
    </row>
    <row r="153" spans="1:19" ht="12.5" hidden="1" x14ac:dyDescent="0.25">
      <c r="A153" s="14" t="str">
        <f>HYPERLINK("https://gerandofalcoes.my.salesforce.com/0014X00002VKCoyQAH", "0014X00002VKCoyQAH")</f>
        <v>0014X00002VKCoyQAH</v>
      </c>
      <c r="B153" s="2" t="s">
        <v>1935</v>
      </c>
      <c r="C153" s="2" t="s">
        <v>423</v>
      </c>
      <c r="D153" s="2" t="s">
        <v>2</v>
      </c>
      <c r="E153" s="2">
        <v>41.25</v>
      </c>
      <c r="F153" s="2">
        <v>1</v>
      </c>
      <c r="G153" s="2">
        <v>3</v>
      </c>
      <c r="H153" s="2">
        <v>360000</v>
      </c>
      <c r="I153" s="2">
        <v>105</v>
      </c>
      <c r="J153" s="2" t="s">
        <v>1671</v>
      </c>
      <c r="K153" s="2">
        <v>58</v>
      </c>
      <c r="L153" s="2">
        <v>15</v>
      </c>
      <c r="M153" s="2">
        <v>5</v>
      </c>
      <c r="N153" s="2">
        <v>8</v>
      </c>
      <c r="O153" s="2">
        <v>20</v>
      </c>
      <c r="P153" s="2">
        <v>10</v>
      </c>
      <c r="Q153" s="2" t="s">
        <v>1936</v>
      </c>
      <c r="R153" s="2" t="s">
        <v>1937</v>
      </c>
      <c r="S153" s="4">
        <v>44837</v>
      </c>
    </row>
    <row r="154" spans="1:19" ht="12.5" hidden="1" x14ac:dyDescent="0.25">
      <c r="A154" s="14" t="str">
        <f>HYPERLINK("https://gerandofalcoes.my.salesforce.com/0014P00003AN2FoQAL", "0014P00003AN2FoQAL")</f>
        <v>0014P00003AN2FoQAL</v>
      </c>
      <c r="B154" s="2" t="s">
        <v>1938</v>
      </c>
      <c r="C154" s="2" t="s">
        <v>423</v>
      </c>
      <c r="D154" s="2" t="s">
        <v>2</v>
      </c>
      <c r="E154" s="2">
        <v>41.14</v>
      </c>
      <c r="F154" s="2">
        <v>5</v>
      </c>
      <c r="G154" s="2">
        <v>1</v>
      </c>
      <c r="H154" s="2">
        <v>25000</v>
      </c>
      <c r="I154" s="2">
        <v>300</v>
      </c>
      <c r="J154" s="2" t="s">
        <v>1671</v>
      </c>
      <c r="K154" s="2">
        <v>49</v>
      </c>
      <c r="L154" s="2">
        <v>15</v>
      </c>
      <c r="M154" s="2">
        <v>5</v>
      </c>
      <c r="N154" s="2">
        <v>4</v>
      </c>
      <c r="O154" s="2">
        <v>10</v>
      </c>
      <c r="P154" s="2">
        <v>15</v>
      </c>
      <c r="Q154" s="2" t="s">
        <v>130</v>
      </c>
      <c r="R154" s="2" t="s">
        <v>1939</v>
      </c>
      <c r="S154" s="4">
        <v>44837</v>
      </c>
    </row>
    <row r="155" spans="1:19" ht="12.5" hidden="1" x14ac:dyDescent="0.25">
      <c r="A155" s="14" t="str">
        <f>HYPERLINK("https://gerandofalcoes.my.salesforce.com/0014X00002VKCpwQAH", "0014X00002VKCpwQAH")</f>
        <v>0014X00002VKCpwQAH</v>
      </c>
      <c r="B155" s="2" t="s">
        <v>1940</v>
      </c>
      <c r="C155" s="2" t="s">
        <v>423</v>
      </c>
      <c r="D155" s="2" t="s">
        <v>2</v>
      </c>
      <c r="E155" s="2">
        <v>41.08</v>
      </c>
      <c r="F155" s="2">
        <v>0</v>
      </c>
      <c r="G155" s="2">
        <v>3</v>
      </c>
      <c r="H155" s="2">
        <v>4289056</v>
      </c>
      <c r="I155" s="2">
        <v>400</v>
      </c>
      <c r="J155" s="2" t="s">
        <v>1671</v>
      </c>
      <c r="K155" s="2">
        <v>63</v>
      </c>
      <c r="L155" s="2">
        <v>15</v>
      </c>
      <c r="M155" s="2">
        <v>0</v>
      </c>
      <c r="N155" s="2">
        <v>8</v>
      </c>
      <c r="O155" s="2">
        <v>25</v>
      </c>
      <c r="P155" s="2">
        <v>15</v>
      </c>
      <c r="Q155" s="2" t="s">
        <v>1941</v>
      </c>
      <c r="R155" s="2" t="s">
        <v>1942</v>
      </c>
      <c r="S155" s="4">
        <v>44837</v>
      </c>
    </row>
    <row r="156" spans="1:19" ht="12.5" hidden="1" x14ac:dyDescent="0.25">
      <c r="A156" s="14" t="str">
        <f>HYPERLINK("https://gerandofalcoes.my.salesforce.com/0014P00003YSp8AQAT", "0014P00003YSp8AQAT")</f>
        <v>0014P00003YSp8AQAT</v>
      </c>
      <c r="B156" s="2" t="s">
        <v>1943</v>
      </c>
      <c r="C156" s="2" t="s">
        <v>423</v>
      </c>
      <c r="D156" s="2" t="s">
        <v>2</v>
      </c>
      <c r="E156" s="2">
        <v>41.07</v>
      </c>
      <c r="F156" s="2">
        <v>15</v>
      </c>
      <c r="G156" s="2">
        <v>2</v>
      </c>
      <c r="H156" s="2">
        <v>50000</v>
      </c>
      <c r="I156" s="2">
        <v>200</v>
      </c>
      <c r="J156" s="2" t="s">
        <v>1671</v>
      </c>
      <c r="K156" s="2">
        <v>55</v>
      </c>
      <c r="L156" s="2">
        <v>15</v>
      </c>
      <c r="M156" s="2">
        <v>12</v>
      </c>
      <c r="N156" s="2">
        <v>6</v>
      </c>
      <c r="O156" s="2">
        <v>10</v>
      </c>
      <c r="P156" s="2">
        <v>12</v>
      </c>
      <c r="Q156" s="2" t="s">
        <v>1944</v>
      </c>
      <c r="R156" s="2" t="s">
        <v>1945</v>
      </c>
      <c r="S156" s="4">
        <v>44837</v>
      </c>
    </row>
    <row r="157" spans="1:19" ht="12.5" hidden="1" x14ac:dyDescent="0.25">
      <c r="A157" s="14" t="str">
        <f>HYPERLINK("https://gerandofalcoes.my.salesforce.com/0014X00002VKCusQAH", "0014X00002VKCusQAH")</f>
        <v>0014X00002VKCusQAH</v>
      </c>
      <c r="B157" s="2" t="s">
        <v>1946</v>
      </c>
      <c r="C157" s="2" t="s">
        <v>423</v>
      </c>
      <c r="D157" s="2" t="s">
        <v>2</v>
      </c>
      <c r="E157" s="2">
        <v>41</v>
      </c>
      <c r="F157" s="2">
        <v>0</v>
      </c>
      <c r="G157" s="2">
        <v>2</v>
      </c>
      <c r="H157" s="2">
        <v>3000</v>
      </c>
      <c r="I157" s="2">
        <v>262</v>
      </c>
      <c r="J157" s="2" t="s">
        <v>1779</v>
      </c>
      <c r="K157" s="2">
        <v>38</v>
      </c>
      <c r="L157" s="2">
        <v>15</v>
      </c>
      <c r="M157" s="2">
        <v>0</v>
      </c>
      <c r="N157" s="2">
        <v>6</v>
      </c>
      <c r="O157" s="2">
        <v>5</v>
      </c>
      <c r="P157" s="2">
        <v>12</v>
      </c>
      <c r="Q157" s="2" t="s">
        <v>1947</v>
      </c>
      <c r="R157" s="2" t="s">
        <v>1948</v>
      </c>
      <c r="S157" s="4">
        <v>44837</v>
      </c>
    </row>
    <row r="158" spans="1:19" ht="12.5" hidden="1" x14ac:dyDescent="0.25">
      <c r="A158" s="14" t="str">
        <f>HYPERLINK("https://gerandofalcoes.my.salesforce.com/0014X00002VKCqBQAX", "0014X00002VKCqBQAX")</f>
        <v>0014X00002VKCqBQAX</v>
      </c>
      <c r="B158" s="2" t="s">
        <v>1949</v>
      </c>
      <c r="C158" s="2" t="s">
        <v>423</v>
      </c>
      <c r="D158" s="2" t="s">
        <v>2</v>
      </c>
      <c r="E158" s="2">
        <v>41</v>
      </c>
      <c r="F158" s="2">
        <v>6</v>
      </c>
      <c r="G158" s="2">
        <v>1</v>
      </c>
      <c r="H158" s="2">
        <v>109000</v>
      </c>
      <c r="I158" s="2">
        <v>154</v>
      </c>
      <c r="J158" s="2" t="s">
        <v>1671</v>
      </c>
      <c r="K158" s="2">
        <v>56</v>
      </c>
      <c r="L158" s="2">
        <v>15</v>
      </c>
      <c r="M158" s="2">
        <v>10</v>
      </c>
      <c r="N158" s="2">
        <v>4</v>
      </c>
      <c r="O158" s="2">
        <v>15</v>
      </c>
      <c r="P158" s="2">
        <v>12</v>
      </c>
      <c r="Q158" s="2" t="s">
        <v>1950</v>
      </c>
      <c r="R158" s="2" t="s">
        <v>1951</v>
      </c>
      <c r="S158" s="4">
        <v>44837</v>
      </c>
    </row>
    <row r="159" spans="1:19" ht="12.5" hidden="1" x14ac:dyDescent="0.25">
      <c r="A159" s="14" t="str">
        <f>HYPERLINK("https://gerandofalcoes.my.salesforce.com/0014P00003YSp8OQAT", "0014P00003YSp8OQAT")</f>
        <v>0014P00003YSp8OQAT</v>
      </c>
      <c r="B159" s="2" t="s">
        <v>1952</v>
      </c>
      <c r="C159" s="2" t="s">
        <v>1800</v>
      </c>
      <c r="D159" s="2" t="s">
        <v>2</v>
      </c>
      <c r="E159" s="2">
        <v>41</v>
      </c>
      <c r="F159" s="2">
        <v>1</v>
      </c>
      <c r="G159" s="2">
        <v>3</v>
      </c>
      <c r="H159" s="2">
        <v>25000</v>
      </c>
      <c r="I159" s="2">
        <v>90</v>
      </c>
      <c r="J159" s="2" t="s">
        <v>1671</v>
      </c>
      <c r="K159" s="2">
        <v>48</v>
      </c>
      <c r="L159" s="2">
        <v>15</v>
      </c>
      <c r="M159" s="2">
        <v>5</v>
      </c>
      <c r="N159" s="2">
        <v>8</v>
      </c>
      <c r="O159" s="2">
        <v>10</v>
      </c>
      <c r="P159" s="2">
        <v>10</v>
      </c>
      <c r="Q159" s="2" t="s">
        <v>1953</v>
      </c>
      <c r="R159" s="2" t="s">
        <v>1953</v>
      </c>
      <c r="S159" s="4">
        <v>44837</v>
      </c>
    </row>
    <row r="160" spans="1:19" ht="12.5" hidden="1" x14ac:dyDescent="0.25">
      <c r="A160" s="14" t="str">
        <f>HYPERLINK("https://gerandofalcoes.my.salesforce.com/0014X00002VKCtwQAH", "0014X00002VKCtwQAH")</f>
        <v>0014X00002VKCtwQAH</v>
      </c>
      <c r="B160" s="2" t="s">
        <v>1954</v>
      </c>
      <c r="C160" s="2" t="s">
        <v>1800</v>
      </c>
      <c r="D160" s="2" t="s">
        <v>2</v>
      </c>
      <c r="E160" s="2">
        <v>41</v>
      </c>
      <c r="F160" s="2">
        <v>4</v>
      </c>
      <c r="G160" s="2">
        <v>3</v>
      </c>
      <c r="H160" s="2">
        <v>186011</v>
      </c>
      <c r="I160" s="2">
        <v>0</v>
      </c>
      <c r="J160" s="2" t="s">
        <v>1671</v>
      </c>
      <c r="K160" s="2">
        <v>43</v>
      </c>
      <c r="L160" s="2">
        <v>15</v>
      </c>
      <c r="M160" s="2">
        <v>5</v>
      </c>
      <c r="N160" s="2">
        <v>8</v>
      </c>
      <c r="O160" s="2">
        <v>15</v>
      </c>
      <c r="P160" s="2">
        <v>0</v>
      </c>
      <c r="Q160" s="2" t="s">
        <v>1955</v>
      </c>
      <c r="R160" s="2" t="s">
        <v>1956</v>
      </c>
      <c r="S160" s="4">
        <v>44837</v>
      </c>
    </row>
    <row r="161" spans="1:19" ht="12.5" hidden="1" x14ac:dyDescent="0.25">
      <c r="A161" s="14" t="str">
        <f>HYPERLINK("https://gerandofalcoes.my.salesforce.com/0014P00003YSp9AQAT", "0014P00003YSp9AQAT")</f>
        <v>0014P00003YSp9AQAT</v>
      </c>
      <c r="B161" s="2" t="s">
        <v>1957</v>
      </c>
      <c r="C161" s="2" t="s">
        <v>423</v>
      </c>
      <c r="D161" s="2" t="s">
        <v>2</v>
      </c>
      <c r="E161" s="2">
        <v>40.99</v>
      </c>
      <c r="F161" s="2">
        <v>0</v>
      </c>
      <c r="G161" s="2">
        <v>4</v>
      </c>
      <c r="H161" s="2">
        <v>45453</v>
      </c>
      <c r="I161" s="2">
        <v>355</v>
      </c>
      <c r="J161" s="2" t="s">
        <v>1671</v>
      </c>
      <c r="K161" s="2">
        <v>50</v>
      </c>
      <c r="L161" s="2">
        <v>15</v>
      </c>
      <c r="M161" s="2">
        <v>0</v>
      </c>
      <c r="N161" s="2">
        <v>10</v>
      </c>
      <c r="O161" s="2">
        <v>10</v>
      </c>
      <c r="P161" s="2">
        <v>15</v>
      </c>
      <c r="Q161" s="2" t="s">
        <v>1958</v>
      </c>
      <c r="R161" s="2" t="s">
        <v>1958</v>
      </c>
      <c r="S161" s="4">
        <v>44837</v>
      </c>
    </row>
    <row r="162" spans="1:19" ht="12.5" hidden="1" x14ac:dyDescent="0.25">
      <c r="A162" s="14" t="str">
        <f>HYPERLINK("https://gerandofalcoes.my.salesforce.com/0014X00002VKCtvQAH", "0014X00002VKCtvQAH")</f>
        <v>0014X00002VKCtvQAH</v>
      </c>
      <c r="B162" s="2" t="s">
        <v>1959</v>
      </c>
      <c r="C162" s="2" t="s">
        <v>423</v>
      </c>
      <c r="D162" s="2" t="s">
        <v>2</v>
      </c>
      <c r="E162" s="2">
        <v>40.53</v>
      </c>
      <c r="F162" s="2">
        <v>0</v>
      </c>
      <c r="G162" s="2">
        <v>3</v>
      </c>
      <c r="H162" s="2">
        <v>100000</v>
      </c>
      <c r="I162" s="2">
        <v>120</v>
      </c>
      <c r="J162" s="2" t="s">
        <v>1671</v>
      </c>
      <c r="K162" s="2">
        <v>48</v>
      </c>
      <c r="L162" s="2">
        <v>15</v>
      </c>
      <c r="M162" s="2">
        <v>0</v>
      </c>
      <c r="N162" s="2">
        <v>8</v>
      </c>
      <c r="O162" s="2">
        <v>15</v>
      </c>
      <c r="P162" s="2">
        <v>10</v>
      </c>
      <c r="Q162" s="2" t="s">
        <v>1960</v>
      </c>
      <c r="R162" s="2" t="s">
        <v>1960</v>
      </c>
      <c r="S162" s="4">
        <v>44837</v>
      </c>
    </row>
    <row r="163" spans="1:19" ht="12.5" hidden="1" x14ac:dyDescent="0.25">
      <c r="A163" s="14" t="str">
        <f>HYPERLINK("https://gerandofalcoes.my.salesforce.com/0014X00002VKCsaQAH", "0014X00002VKCsaQAH")</f>
        <v>0014X00002VKCsaQAH</v>
      </c>
      <c r="B163" s="2" t="s">
        <v>1961</v>
      </c>
      <c r="C163" s="2" t="s">
        <v>423</v>
      </c>
      <c r="D163" s="2" t="s">
        <v>2</v>
      </c>
      <c r="E163" s="2">
        <v>40.25</v>
      </c>
      <c r="F163" s="2">
        <v>0</v>
      </c>
      <c r="G163" s="2">
        <v>3</v>
      </c>
      <c r="H163" s="2">
        <v>10749</v>
      </c>
      <c r="I163" s="2">
        <v>15</v>
      </c>
      <c r="J163" s="2" t="s">
        <v>1779</v>
      </c>
      <c r="K163" s="2">
        <v>33</v>
      </c>
      <c r="L163" s="2">
        <v>15</v>
      </c>
      <c r="M163" s="2">
        <v>0</v>
      </c>
      <c r="N163" s="2">
        <v>8</v>
      </c>
      <c r="O163" s="2">
        <v>5</v>
      </c>
      <c r="P163" s="2">
        <v>5</v>
      </c>
      <c r="Q163" s="2" t="s">
        <v>1962</v>
      </c>
      <c r="R163" s="2" t="s">
        <v>1962</v>
      </c>
      <c r="S163" s="4">
        <v>44837</v>
      </c>
    </row>
    <row r="164" spans="1:19" ht="12.5" hidden="1" x14ac:dyDescent="0.25">
      <c r="A164" s="14" t="str">
        <f>HYPERLINK("https://gerandofalcoes.my.salesforce.com/0014X00002VKCuNQAX", "0014X00002VKCuNQAX")</f>
        <v>0014X00002VKCuNQAX</v>
      </c>
      <c r="B164" s="2" t="s">
        <v>1963</v>
      </c>
      <c r="C164" s="2" t="s">
        <v>1800</v>
      </c>
      <c r="D164" s="2" t="s">
        <v>2</v>
      </c>
      <c r="E164" s="2">
        <v>40</v>
      </c>
      <c r="F164" s="2">
        <v>0</v>
      </c>
      <c r="G164" s="2">
        <v>4</v>
      </c>
      <c r="H164" s="2">
        <v>52814</v>
      </c>
      <c r="I164" s="2">
        <v>96</v>
      </c>
      <c r="J164" s="2" t="s">
        <v>1671</v>
      </c>
      <c r="K164" s="2">
        <v>45</v>
      </c>
      <c r="L164" s="2">
        <v>15</v>
      </c>
      <c r="M164" s="2">
        <v>0</v>
      </c>
      <c r="N164" s="2">
        <v>10</v>
      </c>
      <c r="O164" s="2">
        <v>10</v>
      </c>
      <c r="P164" s="2">
        <v>10</v>
      </c>
      <c r="Q164" s="2" t="s">
        <v>1964</v>
      </c>
      <c r="R164" s="2" t="s">
        <v>1965</v>
      </c>
      <c r="S164" s="4">
        <v>44837</v>
      </c>
    </row>
    <row r="165" spans="1:19" ht="12.5" hidden="1" x14ac:dyDescent="0.25">
      <c r="A165" s="14" t="str">
        <f>HYPERLINK("https://gerandofalcoes.my.salesforce.com/0014X00002VKCttQAH", "0014X00002VKCttQAH")</f>
        <v>0014X00002VKCttQAH</v>
      </c>
      <c r="B165" s="2" t="s">
        <v>1966</v>
      </c>
      <c r="C165" s="2" t="s">
        <v>1684</v>
      </c>
      <c r="D165" s="2" t="s">
        <v>2</v>
      </c>
      <c r="E165" s="2">
        <v>40</v>
      </c>
      <c r="F165" s="2">
        <v>5</v>
      </c>
      <c r="G165" s="2">
        <v>3</v>
      </c>
      <c r="H165" s="2">
        <v>20</v>
      </c>
      <c r="I165" s="2">
        <v>30</v>
      </c>
      <c r="J165" s="2" t="s">
        <v>1779</v>
      </c>
      <c r="K165" s="2">
        <v>38</v>
      </c>
      <c r="L165" s="2">
        <v>15</v>
      </c>
      <c r="M165" s="2">
        <v>5</v>
      </c>
      <c r="N165" s="2">
        <v>8</v>
      </c>
      <c r="O165" s="2">
        <v>5</v>
      </c>
      <c r="P165" s="2">
        <v>5</v>
      </c>
      <c r="Q165" s="2" t="s">
        <v>1967</v>
      </c>
      <c r="R165" s="2" t="s">
        <v>1968</v>
      </c>
      <c r="S165" s="4">
        <v>44837</v>
      </c>
    </row>
    <row r="166" spans="1:19" ht="12.5" hidden="1" x14ac:dyDescent="0.25">
      <c r="A166" s="14" t="str">
        <f>HYPERLINK("https://gerandofalcoes.my.salesforce.com/0014X00002VKCtrQAH", "0014X00002VKCtrQAH")</f>
        <v>0014X00002VKCtrQAH</v>
      </c>
      <c r="B166" s="2" t="s">
        <v>1969</v>
      </c>
      <c r="C166" s="2" t="s">
        <v>1800</v>
      </c>
      <c r="D166" s="2" t="s">
        <v>2</v>
      </c>
      <c r="E166" s="2">
        <v>40</v>
      </c>
      <c r="F166" s="2">
        <v>0</v>
      </c>
      <c r="G166" s="2">
        <v>2</v>
      </c>
      <c r="H166" s="2">
        <v>0</v>
      </c>
      <c r="I166" s="2">
        <v>0</v>
      </c>
      <c r="J166" s="2" t="s">
        <v>1779</v>
      </c>
      <c r="K166" s="2">
        <v>21</v>
      </c>
      <c r="L166" s="2">
        <v>15</v>
      </c>
      <c r="M166" s="2">
        <v>0</v>
      </c>
      <c r="N166" s="2">
        <v>6</v>
      </c>
      <c r="O166" s="2">
        <v>0</v>
      </c>
      <c r="P166" s="2">
        <v>0</v>
      </c>
      <c r="Q166" s="2" t="s">
        <v>1970</v>
      </c>
      <c r="R166" s="2" t="s">
        <v>1971</v>
      </c>
      <c r="S166" s="4">
        <v>44837</v>
      </c>
    </row>
    <row r="167" spans="1:19" ht="12.5" hidden="1" x14ac:dyDescent="0.25">
      <c r="A167" s="14" t="str">
        <f>HYPERLINK("https://gerandofalcoes.my.salesforce.com/0014P00003YSp9FQAT", "0014P00003YSp9FQAT")</f>
        <v>0014P00003YSp9FQAT</v>
      </c>
      <c r="B167" s="2" t="s">
        <v>1972</v>
      </c>
      <c r="C167" s="2" t="s">
        <v>423</v>
      </c>
      <c r="D167" s="2" t="s">
        <v>2</v>
      </c>
      <c r="E167" s="2">
        <v>39.44</v>
      </c>
      <c r="F167" s="2">
        <v>7</v>
      </c>
      <c r="G167" s="2">
        <v>1</v>
      </c>
      <c r="H167" s="2">
        <v>43800</v>
      </c>
      <c r="I167" s="2">
        <v>60</v>
      </c>
      <c r="J167" s="2" t="s">
        <v>1671</v>
      </c>
      <c r="K167" s="2">
        <v>44</v>
      </c>
      <c r="L167" s="2">
        <v>15</v>
      </c>
      <c r="M167" s="2">
        <v>10</v>
      </c>
      <c r="N167" s="2">
        <v>4</v>
      </c>
      <c r="O167" s="2">
        <v>10</v>
      </c>
      <c r="P167" s="2">
        <v>5</v>
      </c>
      <c r="Q167" s="2" t="s">
        <v>1973</v>
      </c>
      <c r="R167" s="2" t="s">
        <v>1974</v>
      </c>
      <c r="S167" s="4">
        <v>44837</v>
      </c>
    </row>
    <row r="168" spans="1:19" ht="12.5" hidden="1" x14ac:dyDescent="0.25">
      <c r="A168" s="14" t="str">
        <f>HYPERLINK("https://gerandofalcoes.my.salesforce.com/0014X00002VKCt0QAH", "0014X00002VKCt0QAH")</f>
        <v>0014X00002VKCt0QAH</v>
      </c>
      <c r="B168" s="2" t="s">
        <v>1975</v>
      </c>
      <c r="C168" s="2" t="s">
        <v>423</v>
      </c>
      <c r="D168" s="2" t="s">
        <v>2</v>
      </c>
      <c r="E168" s="2">
        <v>39.24</v>
      </c>
      <c r="F168" s="2">
        <v>0</v>
      </c>
      <c r="G168" s="2">
        <v>4</v>
      </c>
      <c r="H168" s="2">
        <v>124243</v>
      </c>
      <c r="I168" s="2">
        <v>50</v>
      </c>
      <c r="J168" s="2" t="s">
        <v>1671</v>
      </c>
      <c r="K168" s="2">
        <v>45</v>
      </c>
      <c r="L168" s="2">
        <v>15</v>
      </c>
      <c r="M168" s="2">
        <v>0</v>
      </c>
      <c r="N168" s="2">
        <v>10</v>
      </c>
      <c r="O168" s="2">
        <v>15</v>
      </c>
      <c r="P168" s="2">
        <v>5</v>
      </c>
      <c r="Q168" s="2" t="s">
        <v>1976</v>
      </c>
      <c r="R168" s="2" t="s">
        <v>1976</v>
      </c>
      <c r="S168" s="4">
        <v>44837</v>
      </c>
    </row>
    <row r="169" spans="1:19" ht="12.5" hidden="1" x14ac:dyDescent="0.25">
      <c r="A169" s="14" t="str">
        <f>HYPERLINK("https://gerandofalcoes.my.salesforce.com/0014X00002VKCuEQAX", "0014X00002VKCuEQAX")</f>
        <v>0014X00002VKCuEQAX</v>
      </c>
      <c r="B169" s="2" t="s">
        <v>1977</v>
      </c>
      <c r="C169" s="2" t="s">
        <v>423</v>
      </c>
      <c r="D169" s="2" t="s">
        <v>2</v>
      </c>
      <c r="E169" s="2">
        <v>39.159999999999997</v>
      </c>
      <c r="F169" s="2">
        <v>5</v>
      </c>
      <c r="G169" s="2">
        <v>4</v>
      </c>
      <c r="H169" s="2">
        <v>120000</v>
      </c>
      <c r="I169" s="2">
        <v>5</v>
      </c>
      <c r="J169" s="2" t="s">
        <v>1671</v>
      </c>
      <c r="K169" s="2">
        <v>50</v>
      </c>
      <c r="L169" s="2">
        <v>15</v>
      </c>
      <c r="M169" s="2">
        <v>5</v>
      </c>
      <c r="N169" s="2">
        <v>10</v>
      </c>
      <c r="O169" s="2">
        <v>15</v>
      </c>
      <c r="P169" s="2">
        <v>5</v>
      </c>
      <c r="Q169" s="2" t="s">
        <v>1978</v>
      </c>
      <c r="R169" s="2" t="s">
        <v>1979</v>
      </c>
      <c r="S169" s="4">
        <v>44837</v>
      </c>
    </row>
    <row r="170" spans="1:19" ht="12.5" hidden="1" x14ac:dyDescent="0.25">
      <c r="A170" s="14" t="str">
        <f>HYPERLINK("https://gerandofalcoes.my.salesforce.com/0014X00002VKCq4QAH", "0014X00002VKCq4QAH")</f>
        <v>0014X00002VKCq4QAH</v>
      </c>
      <c r="B170" s="2" t="s">
        <v>1980</v>
      </c>
      <c r="C170" s="2" t="s">
        <v>423</v>
      </c>
      <c r="D170" s="2" t="s">
        <v>2</v>
      </c>
      <c r="E170" s="2">
        <v>39</v>
      </c>
      <c r="F170" s="2">
        <v>0</v>
      </c>
      <c r="G170" s="2">
        <v>3</v>
      </c>
      <c r="H170" s="2">
        <v>30000</v>
      </c>
      <c r="I170" s="2">
        <v>700</v>
      </c>
      <c r="J170" s="2" t="s">
        <v>1671</v>
      </c>
      <c r="K170" s="2">
        <v>53</v>
      </c>
      <c r="L170" s="2">
        <v>15</v>
      </c>
      <c r="M170" s="2">
        <v>0</v>
      </c>
      <c r="N170" s="2">
        <v>8</v>
      </c>
      <c r="O170" s="2">
        <v>10</v>
      </c>
      <c r="P170" s="2">
        <v>20</v>
      </c>
      <c r="Q170" s="2" t="s">
        <v>1981</v>
      </c>
      <c r="R170" s="2" t="s">
        <v>1982</v>
      </c>
      <c r="S170" s="4">
        <v>44837</v>
      </c>
    </row>
    <row r="171" spans="1:19" ht="12.5" hidden="1" x14ac:dyDescent="0.25">
      <c r="A171" s="14" t="str">
        <f>HYPERLINK("https://gerandofalcoes.my.salesforce.com/0014P00003YSpA5QAL", "0014P00003YSpA5QAL")</f>
        <v>0014P00003YSpA5QAL</v>
      </c>
      <c r="B171" s="2" t="s">
        <v>1983</v>
      </c>
      <c r="C171" s="2" t="s">
        <v>1800</v>
      </c>
      <c r="D171" s="2" t="s">
        <v>2</v>
      </c>
      <c r="E171" s="2">
        <v>39</v>
      </c>
      <c r="F171" s="2">
        <v>2</v>
      </c>
      <c r="G171" s="2">
        <v>5</v>
      </c>
      <c r="H171" s="2">
        <v>90000</v>
      </c>
      <c r="I171" s="2">
        <v>350</v>
      </c>
      <c r="J171" s="2" t="s">
        <v>1671</v>
      </c>
      <c r="K171" s="2">
        <v>55</v>
      </c>
      <c r="L171" s="2">
        <v>15</v>
      </c>
      <c r="M171" s="2">
        <v>5</v>
      </c>
      <c r="N171" s="2">
        <v>10</v>
      </c>
      <c r="O171" s="2">
        <v>10</v>
      </c>
      <c r="P171" s="2">
        <v>15</v>
      </c>
      <c r="Q171" s="2" t="s">
        <v>1984</v>
      </c>
      <c r="R171" s="2" t="s">
        <v>1985</v>
      </c>
      <c r="S171" s="4">
        <v>44837</v>
      </c>
    </row>
    <row r="172" spans="1:19" ht="12.5" hidden="1" x14ac:dyDescent="0.25">
      <c r="A172" s="14" t="str">
        <f>HYPERLINK("https://gerandofalcoes.my.salesforce.com/0014X00002VKCtOQAX", "0014X00002VKCtOQAX")</f>
        <v>0014X00002VKCtOQAX</v>
      </c>
      <c r="B172" s="2" t="s">
        <v>1986</v>
      </c>
      <c r="C172" s="2" t="s">
        <v>423</v>
      </c>
      <c r="D172" s="2" t="s">
        <v>2</v>
      </c>
      <c r="E172" s="2">
        <v>39</v>
      </c>
      <c r="F172" s="2">
        <v>0</v>
      </c>
      <c r="G172" s="2">
        <v>2</v>
      </c>
      <c r="H172" s="2">
        <v>4046</v>
      </c>
      <c r="I172" s="2">
        <v>240</v>
      </c>
      <c r="J172" s="2" t="s">
        <v>1779</v>
      </c>
      <c r="K172" s="2">
        <v>38</v>
      </c>
      <c r="L172" s="2">
        <v>15</v>
      </c>
      <c r="M172" s="2">
        <v>0</v>
      </c>
      <c r="N172" s="2">
        <v>6</v>
      </c>
      <c r="O172" s="2">
        <v>5</v>
      </c>
      <c r="P172" s="2">
        <v>12</v>
      </c>
      <c r="Q172" s="2" t="s">
        <v>1987</v>
      </c>
      <c r="R172" s="2" t="s">
        <v>1988</v>
      </c>
      <c r="S172" s="4">
        <v>44837</v>
      </c>
    </row>
    <row r="173" spans="1:19" ht="12.5" hidden="1" x14ac:dyDescent="0.25">
      <c r="A173" s="14" t="str">
        <f>HYPERLINK("https://gerandofalcoes.my.salesforce.com/0014P00003YSp8RQAT", "0014P00003YSp8RQAT")</f>
        <v>0014P00003YSp8RQAT</v>
      </c>
      <c r="B173" s="2" t="s">
        <v>1989</v>
      </c>
      <c r="C173" s="2" t="s">
        <v>1800</v>
      </c>
      <c r="D173" s="2" t="s">
        <v>2</v>
      </c>
      <c r="E173" s="2">
        <v>39</v>
      </c>
      <c r="F173" s="2">
        <v>1</v>
      </c>
      <c r="G173" s="2">
        <v>2</v>
      </c>
      <c r="H173" s="2">
        <v>11000</v>
      </c>
      <c r="I173" s="2">
        <v>200</v>
      </c>
      <c r="J173" s="2" t="s">
        <v>1671</v>
      </c>
      <c r="K173" s="2">
        <v>43</v>
      </c>
      <c r="L173" s="2">
        <v>15</v>
      </c>
      <c r="M173" s="2">
        <v>5</v>
      </c>
      <c r="N173" s="2">
        <v>6</v>
      </c>
      <c r="O173" s="2">
        <v>5</v>
      </c>
      <c r="P173" s="2">
        <v>12</v>
      </c>
      <c r="Q173" s="2" t="s">
        <v>1990</v>
      </c>
      <c r="R173" s="2" t="s">
        <v>1991</v>
      </c>
      <c r="S173" s="4">
        <v>44837</v>
      </c>
    </row>
    <row r="174" spans="1:19" ht="12.5" hidden="1" x14ac:dyDescent="0.25">
      <c r="A174" s="14" t="str">
        <f>HYPERLINK("https://gerandofalcoes.my.salesforce.com/0014P00003SGWQ7QAP", "0014P00003SGWQ7QAP")</f>
        <v>0014P00003SGWQ7QAP</v>
      </c>
      <c r="B174" s="2" t="s">
        <v>226</v>
      </c>
      <c r="C174" s="2" t="s">
        <v>423</v>
      </c>
      <c r="D174" s="2" t="s">
        <v>27</v>
      </c>
      <c r="E174" s="2">
        <v>39</v>
      </c>
      <c r="F174" s="2">
        <v>6</v>
      </c>
      <c r="G174" s="2">
        <v>2</v>
      </c>
      <c r="H174" s="2">
        <v>9291.52</v>
      </c>
      <c r="I174" s="2">
        <v>150</v>
      </c>
      <c r="J174" s="2" t="s">
        <v>1671</v>
      </c>
      <c r="K174" s="2">
        <v>48</v>
      </c>
      <c r="L174" s="2">
        <v>15</v>
      </c>
      <c r="M174" s="2">
        <v>10</v>
      </c>
      <c r="N174" s="2">
        <v>6</v>
      </c>
      <c r="O174" s="2">
        <v>5</v>
      </c>
      <c r="P174" s="2">
        <v>12</v>
      </c>
      <c r="Q174" s="2" t="s">
        <v>227</v>
      </c>
      <c r="R174" s="2" t="s">
        <v>1159</v>
      </c>
      <c r="S174" s="4">
        <v>44837</v>
      </c>
    </row>
    <row r="175" spans="1:19" ht="12.5" hidden="1" x14ac:dyDescent="0.25">
      <c r="A175" s="14" t="str">
        <f>HYPERLINK("https://gerandofalcoes.my.salesforce.com/0014P00003YSp81QAD", "0014P00003YSp81QAD")</f>
        <v>0014P00003YSp81QAD</v>
      </c>
      <c r="B175" s="2" t="s">
        <v>1992</v>
      </c>
      <c r="C175" s="2" t="s">
        <v>1800</v>
      </c>
      <c r="D175" s="2" t="s">
        <v>2</v>
      </c>
      <c r="E175" s="2">
        <v>39</v>
      </c>
      <c r="F175" s="2">
        <v>0</v>
      </c>
      <c r="G175" s="2">
        <v>2</v>
      </c>
      <c r="H175" s="2">
        <v>5000</v>
      </c>
      <c r="I175" s="2">
        <v>150</v>
      </c>
      <c r="J175" s="2" t="s">
        <v>1779</v>
      </c>
      <c r="K175" s="2">
        <v>38</v>
      </c>
      <c r="L175" s="2">
        <v>15</v>
      </c>
      <c r="M175" s="2">
        <v>0</v>
      </c>
      <c r="N175" s="2">
        <v>6</v>
      </c>
      <c r="O175" s="2">
        <v>5</v>
      </c>
      <c r="P175" s="2">
        <v>12</v>
      </c>
      <c r="Q175" s="2" t="s">
        <v>1993</v>
      </c>
      <c r="R175" s="2" t="s">
        <v>1994</v>
      </c>
      <c r="S175" s="4">
        <v>44837</v>
      </c>
    </row>
    <row r="176" spans="1:19" ht="12.5" hidden="1" x14ac:dyDescent="0.25">
      <c r="A176" s="14" t="str">
        <f>HYPERLINK("https://gerandofalcoes.my.salesforce.com/0014X00002OEuawQAD", "0014X00002OEuawQAD")</f>
        <v>0014X00002OEuawQAD</v>
      </c>
      <c r="B176" s="2" t="s">
        <v>1995</v>
      </c>
      <c r="C176" s="2" t="s">
        <v>1800</v>
      </c>
      <c r="D176" s="2" t="s">
        <v>2</v>
      </c>
      <c r="E176" s="2">
        <v>39</v>
      </c>
      <c r="F176" s="2">
        <v>13</v>
      </c>
      <c r="G176" s="2">
        <v>3</v>
      </c>
      <c r="H176" s="2">
        <v>120000</v>
      </c>
      <c r="I176" s="2">
        <v>130</v>
      </c>
      <c r="J176" s="2" t="s">
        <v>1671</v>
      </c>
      <c r="K176" s="2">
        <v>60</v>
      </c>
      <c r="L176" s="2">
        <v>15</v>
      </c>
      <c r="M176" s="2">
        <v>12</v>
      </c>
      <c r="N176" s="2">
        <v>8</v>
      </c>
      <c r="O176" s="2">
        <v>15</v>
      </c>
      <c r="P176" s="2">
        <v>10</v>
      </c>
      <c r="Q176" s="2" t="s">
        <v>1996</v>
      </c>
      <c r="R176" s="2" t="s">
        <v>1997</v>
      </c>
      <c r="S176" s="4">
        <v>44837</v>
      </c>
    </row>
    <row r="177" spans="1:19" ht="12.5" hidden="1" x14ac:dyDescent="0.25">
      <c r="A177" s="14" t="str">
        <f>HYPERLINK("https://gerandofalcoes.my.salesforce.com/0014X00002VKCqfQAH", "0014X00002VKCqfQAH")</f>
        <v>0014X00002VKCqfQAH</v>
      </c>
      <c r="B177" s="2" t="s">
        <v>1998</v>
      </c>
      <c r="C177" s="2" t="s">
        <v>1800</v>
      </c>
      <c r="D177" s="2" t="s">
        <v>2</v>
      </c>
      <c r="E177" s="2">
        <v>39</v>
      </c>
      <c r="F177" s="2">
        <v>0</v>
      </c>
      <c r="G177" s="2">
        <v>2</v>
      </c>
      <c r="H177" s="2">
        <v>14000</v>
      </c>
      <c r="I177" s="2">
        <v>0</v>
      </c>
      <c r="J177" s="2" t="s">
        <v>1779</v>
      </c>
      <c r="K177" s="2">
        <v>26</v>
      </c>
      <c r="L177" s="2">
        <v>15</v>
      </c>
      <c r="M177" s="2">
        <v>0</v>
      </c>
      <c r="N177" s="2">
        <v>6</v>
      </c>
      <c r="O177" s="2">
        <v>5</v>
      </c>
      <c r="P177" s="2">
        <v>0</v>
      </c>
      <c r="Q177" s="2" t="s">
        <v>1999</v>
      </c>
      <c r="R177" s="2" t="s">
        <v>2000</v>
      </c>
      <c r="S177" s="4">
        <v>44837</v>
      </c>
    </row>
    <row r="178" spans="1:19" ht="12.5" hidden="1" x14ac:dyDescent="0.25">
      <c r="A178" s="14" t="str">
        <f>HYPERLINK("https://gerandofalcoes.my.salesforce.com/0014P00003YSp7YQAT", "0014P00003YSp7YQAT")</f>
        <v>0014P00003YSp7YQAT</v>
      </c>
      <c r="B178" s="2" t="s">
        <v>2001</v>
      </c>
      <c r="C178" s="2" t="s">
        <v>1684</v>
      </c>
      <c r="D178" s="2" t="s">
        <v>2</v>
      </c>
      <c r="E178" s="2">
        <v>39</v>
      </c>
      <c r="F178" s="2">
        <v>1</v>
      </c>
      <c r="G178" s="2">
        <v>0</v>
      </c>
      <c r="H178" s="2">
        <v>0</v>
      </c>
      <c r="I178" s="2">
        <v>0</v>
      </c>
      <c r="J178" s="2" t="s">
        <v>1779</v>
      </c>
      <c r="K178" s="2">
        <v>20</v>
      </c>
      <c r="L178" s="2">
        <v>15</v>
      </c>
      <c r="M178" s="2">
        <v>5</v>
      </c>
      <c r="N178" s="2">
        <v>0</v>
      </c>
      <c r="O178" s="2">
        <v>0</v>
      </c>
      <c r="P178" s="2">
        <v>0</v>
      </c>
      <c r="Q178" s="2" t="s">
        <v>2002</v>
      </c>
      <c r="R178" s="2" t="s">
        <v>2003</v>
      </c>
      <c r="S178" s="4">
        <v>44837</v>
      </c>
    </row>
    <row r="179" spans="1:19" ht="12.5" hidden="1" x14ac:dyDescent="0.25">
      <c r="A179" s="14" t="str">
        <f>HYPERLINK("https://gerandofalcoes.my.salesforce.com/0014X00002VKCpQQAX", "0014X00002VKCpQQAX")</f>
        <v>0014X00002VKCpQQAX</v>
      </c>
      <c r="B179" s="2" t="s">
        <v>2004</v>
      </c>
      <c r="C179" s="2" t="s">
        <v>423</v>
      </c>
      <c r="D179" s="2" t="s">
        <v>2</v>
      </c>
      <c r="E179" s="2">
        <v>38.72</v>
      </c>
      <c r="F179" s="2">
        <v>0</v>
      </c>
      <c r="G179" s="2">
        <v>5</v>
      </c>
      <c r="H179" s="2">
        <v>90250</v>
      </c>
      <c r="I179" s="2">
        <v>125</v>
      </c>
      <c r="J179" s="2" t="s">
        <v>1671</v>
      </c>
      <c r="K179" s="2">
        <v>45</v>
      </c>
      <c r="L179" s="2">
        <v>15</v>
      </c>
      <c r="M179" s="2">
        <v>0</v>
      </c>
      <c r="N179" s="2">
        <v>10</v>
      </c>
      <c r="O179" s="2">
        <v>10</v>
      </c>
      <c r="P179" s="2">
        <v>10</v>
      </c>
      <c r="Q179" s="2" t="s">
        <v>2005</v>
      </c>
      <c r="R179" s="2" t="s">
        <v>2006</v>
      </c>
      <c r="S179" s="4">
        <v>44837</v>
      </c>
    </row>
    <row r="180" spans="1:19" ht="12.5" hidden="1" x14ac:dyDescent="0.25">
      <c r="A180" s="14" t="str">
        <f>HYPERLINK("https://gerandofalcoes.my.salesforce.com/0014P00003YSp9yQAD", "0014P00003YSp9yQAD")</f>
        <v>0014P00003YSp9yQAD</v>
      </c>
      <c r="B180" s="2" t="s">
        <v>2007</v>
      </c>
      <c r="C180" s="2" t="s">
        <v>1800</v>
      </c>
      <c r="D180" s="2" t="s">
        <v>2</v>
      </c>
      <c r="E180" s="2">
        <v>38</v>
      </c>
      <c r="F180" s="2">
        <v>63</v>
      </c>
      <c r="G180" s="2">
        <v>3</v>
      </c>
      <c r="H180" s="2">
        <v>750106</v>
      </c>
      <c r="I180" s="2">
        <v>900</v>
      </c>
      <c r="J180" s="2" t="s">
        <v>1650</v>
      </c>
      <c r="K180" s="2">
        <v>78</v>
      </c>
      <c r="L180" s="2">
        <v>15</v>
      </c>
      <c r="M180" s="2">
        <v>15</v>
      </c>
      <c r="N180" s="2">
        <v>8</v>
      </c>
      <c r="O180" s="2">
        <v>20</v>
      </c>
      <c r="P180" s="2">
        <v>20</v>
      </c>
      <c r="Q180" s="2" t="s">
        <v>2008</v>
      </c>
      <c r="R180" s="2" t="s">
        <v>2009</v>
      </c>
      <c r="S180" s="4">
        <v>44837</v>
      </c>
    </row>
    <row r="181" spans="1:19" ht="12.5" hidden="1" x14ac:dyDescent="0.25">
      <c r="A181" s="14" t="str">
        <f>HYPERLINK("https://gerandofalcoes.my.salesforce.com/0014P00003YSp98QAD", "0014P00003YSp98QAD")</f>
        <v>0014P00003YSp98QAD</v>
      </c>
      <c r="B181" s="2" t="s">
        <v>2010</v>
      </c>
      <c r="C181" s="2" t="s">
        <v>423</v>
      </c>
      <c r="D181" s="2" t="s">
        <v>2</v>
      </c>
      <c r="E181" s="2">
        <v>38</v>
      </c>
      <c r="F181" s="2">
        <v>5</v>
      </c>
      <c r="G181" s="2">
        <v>2</v>
      </c>
      <c r="H181" s="2">
        <v>15000</v>
      </c>
      <c r="I181" s="2">
        <v>500</v>
      </c>
      <c r="J181" s="2" t="s">
        <v>1671</v>
      </c>
      <c r="K181" s="2">
        <v>51</v>
      </c>
      <c r="L181" s="2">
        <v>15</v>
      </c>
      <c r="M181" s="2">
        <v>5</v>
      </c>
      <c r="N181" s="2">
        <v>6</v>
      </c>
      <c r="O181" s="2">
        <v>5</v>
      </c>
      <c r="P181" s="2">
        <v>20</v>
      </c>
      <c r="Q181" s="2" t="s">
        <v>2011</v>
      </c>
      <c r="R181" s="2" t="s">
        <v>2012</v>
      </c>
      <c r="S181" s="4">
        <v>44837</v>
      </c>
    </row>
    <row r="182" spans="1:19" ht="12.5" hidden="1" x14ac:dyDescent="0.25">
      <c r="A182" s="14" t="str">
        <f>HYPERLINK("https://gerandofalcoes.my.salesforce.com/0014P00003YSp97QAD", "0014P00003YSp97QAD")</f>
        <v>0014P00003YSp97QAD</v>
      </c>
      <c r="B182" s="2" t="s">
        <v>2013</v>
      </c>
      <c r="C182" s="2" t="s">
        <v>1800</v>
      </c>
      <c r="D182" s="2" t="s">
        <v>2</v>
      </c>
      <c r="E182" s="2">
        <v>38</v>
      </c>
      <c r="F182" s="2">
        <v>5</v>
      </c>
      <c r="G182" s="2">
        <v>3</v>
      </c>
      <c r="H182" s="2">
        <v>900000</v>
      </c>
      <c r="I182" s="2">
        <v>450</v>
      </c>
      <c r="J182" s="2" t="s">
        <v>1650</v>
      </c>
      <c r="K182" s="2">
        <v>73</v>
      </c>
      <c r="L182" s="2">
        <v>15</v>
      </c>
      <c r="M182" s="2">
        <v>5</v>
      </c>
      <c r="N182" s="2">
        <v>8</v>
      </c>
      <c r="O182" s="2">
        <v>25</v>
      </c>
      <c r="P182" s="2">
        <v>20</v>
      </c>
      <c r="Q182" s="2" t="s">
        <v>2014</v>
      </c>
      <c r="R182" s="2" t="s">
        <v>2015</v>
      </c>
      <c r="S182" s="4">
        <v>44837</v>
      </c>
    </row>
    <row r="183" spans="1:19" ht="12.5" hidden="1" x14ac:dyDescent="0.25">
      <c r="A183" s="14" t="str">
        <f>HYPERLINK("https://gerandofalcoes.my.salesforce.com/0014P00003YSp9bQAD", "0014P00003YSp9bQAD")</f>
        <v>0014P00003YSp9bQAD</v>
      </c>
      <c r="B183" s="2" t="s">
        <v>2016</v>
      </c>
      <c r="C183" s="2" t="s">
        <v>1800</v>
      </c>
      <c r="D183" s="2" t="s">
        <v>2</v>
      </c>
      <c r="E183" s="2">
        <v>38</v>
      </c>
      <c r="F183" s="2">
        <v>8</v>
      </c>
      <c r="G183" s="2">
        <v>3</v>
      </c>
      <c r="H183" s="2">
        <v>400216</v>
      </c>
      <c r="I183" s="2">
        <v>340</v>
      </c>
      <c r="J183" s="2" t="s">
        <v>1650</v>
      </c>
      <c r="K183" s="2">
        <v>68</v>
      </c>
      <c r="L183" s="2">
        <v>15</v>
      </c>
      <c r="M183" s="2">
        <v>10</v>
      </c>
      <c r="N183" s="2">
        <v>8</v>
      </c>
      <c r="O183" s="2">
        <v>20</v>
      </c>
      <c r="P183" s="2">
        <v>15</v>
      </c>
      <c r="Q183" s="2" t="s">
        <v>2017</v>
      </c>
      <c r="R183" s="2" t="s">
        <v>2018</v>
      </c>
      <c r="S183" s="4">
        <v>44837</v>
      </c>
    </row>
    <row r="184" spans="1:19" ht="12.5" hidden="1" x14ac:dyDescent="0.25">
      <c r="A184" s="14" t="str">
        <f>HYPERLINK("https://gerandofalcoes.my.salesforce.com/0014P00003YSp8vQAD", "0014P00003YSp8vQAD")</f>
        <v>0014P00003YSp8vQAD</v>
      </c>
      <c r="B184" s="2" t="s">
        <v>2019</v>
      </c>
      <c r="C184" s="2" t="s">
        <v>1800</v>
      </c>
      <c r="D184" s="2" t="s">
        <v>2</v>
      </c>
      <c r="E184" s="2">
        <v>38</v>
      </c>
      <c r="F184" s="2">
        <v>2</v>
      </c>
      <c r="G184" s="2">
        <v>2</v>
      </c>
      <c r="H184" s="2">
        <v>5000</v>
      </c>
      <c r="I184" s="2">
        <v>0</v>
      </c>
      <c r="J184" s="2" t="s">
        <v>1779</v>
      </c>
      <c r="K184" s="2">
        <v>31</v>
      </c>
      <c r="L184" s="2">
        <v>15</v>
      </c>
      <c r="M184" s="2">
        <v>5</v>
      </c>
      <c r="N184" s="2">
        <v>6</v>
      </c>
      <c r="O184" s="2">
        <v>5</v>
      </c>
      <c r="P184" s="2">
        <v>0</v>
      </c>
      <c r="Q184" s="2" t="s">
        <v>2020</v>
      </c>
      <c r="R184" s="2" t="s">
        <v>2021</v>
      </c>
      <c r="S184" s="4">
        <v>44837</v>
      </c>
    </row>
    <row r="185" spans="1:19" ht="12.5" hidden="1" x14ac:dyDescent="0.25">
      <c r="A185" s="14" t="str">
        <f>HYPERLINK("https://gerandofalcoes.my.salesforce.com/0014P00003YSp9tQAD", "0014P00003YSp9tQAD")</f>
        <v>0014P00003YSp9tQAD</v>
      </c>
      <c r="B185" s="2" t="s">
        <v>2022</v>
      </c>
      <c r="C185" s="2" t="s">
        <v>1684</v>
      </c>
      <c r="D185" s="2" t="s">
        <v>2</v>
      </c>
      <c r="E185" s="2">
        <v>38</v>
      </c>
      <c r="F185" s="2">
        <v>0</v>
      </c>
      <c r="G185" s="2">
        <v>0</v>
      </c>
      <c r="H185" s="2">
        <v>0</v>
      </c>
      <c r="I185" s="2">
        <v>0</v>
      </c>
      <c r="J185" s="2" t="s">
        <v>1779</v>
      </c>
      <c r="K185" s="2">
        <v>15</v>
      </c>
      <c r="L185" s="2">
        <v>15</v>
      </c>
      <c r="M185" s="2">
        <v>0</v>
      </c>
      <c r="N185" s="2">
        <v>0</v>
      </c>
      <c r="O185" s="2">
        <v>0</v>
      </c>
      <c r="P185" s="2">
        <v>0</v>
      </c>
      <c r="Q185" s="2" t="s">
        <v>2023</v>
      </c>
      <c r="R185" s="2" t="s">
        <v>2024</v>
      </c>
      <c r="S185" s="4">
        <v>44837</v>
      </c>
    </row>
    <row r="186" spans="1:19" ht="12.5" hidden="1" x14ac:dyDescent="0.25">
      <c r="A186" s="14" t="str">
        <f>HYPERLINK("https://gerandofalcoes.my.salesforce.com/0014P00003SGWQCQA5", "0014P00003SGWQCQA5")</f>
        <v>0014P00003SGWQCQA5</v>
      </c>
      <c r="B186" s="2" t="s">
        <v>248</v>
      </c>
      <c r="C186" s="2" t="s">
        <v>1684</v>
      </c>
      <c r="D186" s="2" t="s">
        <v>2</v>
      </c>
      <c r="E186" s="2">
        <v>37.9</v>
      </c>
      <c r="F186" s="2">
        <v>5</v>
      </c>
      <c r="G186" s="2">
        <v>3</v>
      </c>
      <c r="H186" s="2">
        <v>500000</v>
      </c>
      <c r="I186" s="2">
        <v>72</v>
      </c>
      <c r="J186" s="2" t="s">
        <v>1671</v>
      </c>
      <c r="K186" s="2">
        <v>53</v>
      </c>
      <c r="L186" s="2">
        <v>15</v>
      </c>
      <c r="M186" s="2">
        <v>5</v>
      </c>
      <c r="N186" s="2">
        <v>8</v>
      </c>
      <c r="O186" s="2">
        <v>20</v>
      </c>
      <c r="P186" s="2">
        <v>5</v>
      </c>
      <c r="Q186" s="2" t="s">
        <v>249</v>
      </c>
      <c r="R186" s="2" t="s">
        <v>2025</v>
      </c>
      <c r="S186" s="4">
        <v>44837</v>
      </c>
    </row>
    <row r="187" spans="1:19" ht="12.5" hidden="1" x14ac:dyDescent="0.25">
      <c r="A187" s="14" t="str">
        <f>HYPERLINK("https://gerandofalcoes.my.salesforce.com/0014X00002VKCr4QAH", "0014X00002VKCr4QAH")</f>
        <v>0014X00002VKCr4QAH</v>
      </c>
      <c r="B187" s="2" t="s">
        <v>2026</v>
      </c>
      <c r="C187" s="2" t="s">
        <v>423</v>
      </c>
      <c r="D187" s="2" t="s">
        <v>2</v>
      </c>
      <c r="E187" s="2">
        <v>37.01</v>
      </c>
      <c r="F187" s="2">
        <v>12</v>
      </c>
      <c r="G187" s="2">
        <v>5</v>
      </c>
      <c r="H187" s="2">
        <v>414092</v>
      </c>
      <c r="I187" s="2">
        <v>327</v>
      </c>
      <c r="J187" s="2" t="s">
        <v>1650</v>
      </c>
      <c r="K187" s="2">
        <v>72</v>
      </c>
      <c r="L187" s="2">
        <v>15</v>
      </c>
      <c r="M187" s="2">
        <v>12</v>
      </c>
      <c r="N187" s="2">
        <v>10</v>
      </c>
      <c r="O187" s="2">
        <v>20</v>
      </c>
      <c r="P187" s="2">
        <v>15</v>
      </c>
      <c r="Q187" s="2" t="s">
        <v>2027</v>
      </c>
      <c r="R187" s="2" t="s">
        <v>2027</v>
      </c>
      <c r="S187" s="4">
        <v>44837</v>
      </c>
    </row>
    <row r="188" spans="1:19" ht="12.5" hidden="1" x14ac:dyDescent="0.25">
      <c r="A188" s="14" t="str">
        <f>HYPERLINK("https://gerandofalcoes.my.salesforce.com/0014P00003YSp8nQAD", "0014P00003YSp8nQAD")</f>
        <v>0014P00003YSp8nQAD</v>
      </c>
      <c r="B188" s="2" t="s">
        <v>2028</v>
      </c>
      <c r="C188" s="2" t="s">
        <v>423</v>
      </c>
      <c r="D188" s="2" t="s">
        <v>2</v>
      </c>
      <c r="E188" s="2">
        <v>37.01</v>
      </c>
      <c r="F188" s="2">
        <v>6</v>
      </c>
      <c r="G188" s="2">
        <v>2</v>
      </c>
      <c r="H188" s="2">
        <v>7307750</v>
      </c>
      <c r="I188" s="2">
        <v>55</v>
      </c>
      <c r="J188" s="2" t="s">
        <v>1671</v>
      </c>
      <c r="K188" s="2">
        <v>61</v>
      </c>
      <c r="L188" s="2">
        <v>15</v>
      </c>
      <c r="M188" s="2">
        <v>10</v>
      </c>
      <c r="N188" s="2">
        <v>6</v>
      </c>
      <c r="O188" s="2">
        <v>25</v>
      </c>
      <c r="P188" s="2">
        <v>5</v>
      </c>
      <c r="Q188" s="2" t="s">
        <v>2029</v>
      </c>
      <c r="R188" s="2" t="s">
        <v>2030</v>
      </c>
      <c r="S188" s="4">
        <v>44837</v>
      </c>
    </row>
    <row r="189" spans="1:19" ht="12.5" hidden="1" x14ac:dyDescent="0.25">
      <c r="A189" s="14" t="str">
        <f>HYPERLINK("https://gerandofalcoes.my.salesforce.com/0014P00003SGWPaQAP", "0014P00003SGWPaQAP")</f>
        <v>0014P00003SGWPaQAP</v>
      </c>
      <c r="B189" s="2" t="s">
        <v>179</v>
      </c>
      <c r="C189" s="2" t="s">
        <v>423</v>
      </c>
      <c r="D189" s="2" t="s">
        <v>2</v>
      </c>
      <c r="E189" s="2">
        <v>37</v>
      </c>
      <c r="F189" s="2">
        <v>4</v>
      </c>
      <c r="G189" s="2">
        <v>3</v>
      </c>
      <c r="H189" s="2">
        <v>50000</v>
      </c>
      <c r="I189" s="2">
        <v>511</v>
      </c>
      <c r="J189" s="2" t="s">
        <v>1671</v>
      </c>
      <c r="K189" s="2">
        <v>58</v>
      </c>
      <c r="L189" s="2">
        <v>15</v>
      </c>
      <c r="M189" s="2">
        <v>5</v>
      </c>
      <c r="N189" s="2">
        <v>8</v>
      </c>
      <c r="O189" s="2">
        <v>10</v>
      </c>
      <c r="P189" s="2">
        <v>20</v>
      </c>
      <c r="Q189" s="2" t="s">
        <v>180</v>
      </c>
      <c r="R189" s="2" t="s">
        <v>2031</v>
      </c>
      <c r="S189" s="4">
        <v>44837</v>
      </c>
    </row>
    <row r="190" spans="1:19" ht="12.5" hidden="1" x14ac:dyDescent="0.25">
      <c r="A190" s="14" t="str">
        <f>HYPERLINK("https://gerandofalcoes.my.salesforce.com/0014X00002VKCqmQAH", "0014X00002VKCqmQAH")</f>
        <v>0014X00002VKCqmQAH</v>
      </c>
      <c r="B190" s="2" t="s">
        <v>2032</v>
      </c>
      <c r="C190" s="2" t="s">
        <v>423</v>
      </c>
      <c r="D190" s="2" t="s">
        <v>2</v>
      </c>
      <c r="E190" s="2">
        <v>37</v>
      </c>
      <c r="F190" s="2">
        <v>5</v>
      </c>
      <c r="G190" s="2">
        <v>1</v>
      </c>
      <c r="H190" s="2">
        <v>40000</v>
      </c>
      <c r="I190" s="2">
        <v>250</v>
      </c>
      <c r="J190" s="2" t="s">
        <v>1671</v>
      </c>
      <c r="K190" s="2">
        <v>46</v>
      </c>
      <c r="L190" s="2">
        <v>15</v>
      </c>
      <c r="M190" s="2">
        <v>5</v>
      </c>
      <c r="N190" s="2">
        <v>4</v>
      </c>
      <c r="O190" s="2">
        <v>10</v>
      </c>
      <c r="P190" s="2">
        <v>12</v>
      </c>
      <c r="Q190" s="2" t="s">
        <v>2033</v>
      </c>
      <c r="R190" s="2" t="s">
        <v>2034</v>
      </c>
      <c r="S190" s="4">
        <v>44837</v>
      </c>
    </row>
    <row r="191" spans="1:19" ht="12.5" hidden="1" x14ac:dyDescent="0.25">
      <c r="A191" s="14" t="str">
        <f>HYPERLINK("https://gerandofalcoes.my.salesforce.com/0014X00002VKCrNQAX", "0014X00002VKCrNQAX")</f>
        <v>0014X00002VKCrNQAX</v>
      </c>
      <c r="B191" s="2" t="s">
        <v>2035</v>
      </c>
      <c r="C191" s="2" t="s">
        <v>423</v>
      </c>
      <c r="D191" s="2" t="s">
        <v>2</v>
      </c>
      <c r="E191" s="2">
        <v>37</v>
      </c>
      <c r="F191" s="2">
        <v>10</v>
      </c>
      <c r="G191" s="2">
        <v>2</v>
      </c>
      <c r="H191" s="2">
        <v>20000</v>
      </c>
      <c r="I191" s="2">
        <v>130</v>
      </c>
      <c r="J191" s="2" t="s">
        <v>1671</v>
      </c>
      <c r="K191" s="2">
        <v>46</v>
      </c>
      <c r="L191" s="2">
        <v>15</v>
      </c>
      <c r="M191" s="2">
        <v>10</v>
      </c>
      <c r="N191" s="2">
        <v>6</v>
      </c>
      <c r="O191" s="2">
        <v>5</v>
      </c>
      <c r="P191" s="2">
        <v>10</v>
      </c>
      <c r="Q191" s="2" t="s">
        <v>2036</v>
      </c>
      <c r="R191" s="2" t="s">
        <v>2037</v>
      </c>
      <c r="S191" s="4">
        <v>44837</v>
      </c>
    </row>
    <row r="192" spans="1:19" ht="12.5" hidden="1" x14ac:dyDescent="0.25">
      <c r="A192" s="14" t="str">
        <f>HYPERLINK("https://gerandofalcoes.my.salesforce.com/0014X00002VKCuBQAX", "0014X00002VKCuBQAX")</f>
        <v>0014X00002VKCuBQAX</v>
      </c>
      <c r="B192" s="2" t="s">
        <v>2038</v>
      </c>
      <c r="C192" s="2" t="s">
        <v>423</v>
      </c>
      <c r="D192" s="2" t="s">
        <v>2</v>
      </c>
      <c r="E192" s="2">
        <v>37</v>
      </c>
      <c r="F192" s="2">
        <v>0</v>
      </c>
      <c r="G192" s="2">
        <v>2</v>
      </c>
      <c r="H192" s="2">
        <v>10000</v>
      </c>
      <c r="I192" s="2">
        <v>102</v>
      </c>
      <c r="J192" s="2" t="s">
        <v>1779</v>
      </c>
      <c r="K192" s="2">
        <v>36</v>
      </c>
      <c r="L192" s="2">
        <v>15</v>
      </c>
      <c r="M192" s="2">
        <v>0</v>
      </c>
      <c r="N192" s="2">
        <v>6</v>
      </c>
      <c r="O192" s="2">
        <v>5</v>
      </c>
      <c r="P192" s="2">
        <v>10</v>
      </c>
      <c r="Q192" s="2" t="s">
        <v>2039</v>
      </c>
      <c r="R192" s="2" t="s">
        <v>2039</v>
      </c>
      <c r="S192" s="4">
        <v>44837</v>
      </c>
    </row>
    <row r="193" spans="1:19" ht="12.5" hidden="1" x14ac:dyDescent="0.25">
      <c r="A193" s="14" t="str">
        <f>HYPERLINK("https://gerandofalcoes.my.salesforce.com/0014X00002VKCqbQAH", "0014X00002VKCqbQAH")</f>
        <v>0014X00002VKCqbQAH</v>
      </c>
      <c r="B193" s="2" t="s">
        <v>2040</v>
      </c>
      <c r="C193" s="2" t="s">
        <v>423</v>
      </c>
      <c r="D193" s="2" t="s">
        <v>2</v>
      </c>
      <c r="E193" s="2">
        <v>37</v>
      </c>
      <c r="F193" s="2">
        <v>0</v>
      </c>
      <c r="G193" s="2">
        <v>3</v>
      </c>
      <c r="H193" s="2">
        <v>70000</v>
      </c>
      <c r="I193" s="2">
        <v>100</v>
      </c>
      <c r="J193" s="2" t="s">
        <v>1671</v>
      </c>
      <c r="K193" s="2">
        <v>43</v>
      </c>
      <c r="L193" s="2">
        <v>15</v>
      </c>
      <c r="M193" s="2">
        <v>0</v>
      </c>
      <c r="N193" s="2">
        <v>8</v>
      </c>
      <c r="O193" s="2">
        <v>10</v>
      </c>
      <c r="P193" s="2">
        <v>10</v>
      </c>
      <c r="Q193" s="2" t="s">
        <v>2041</v>
      </c>
      <c r="R193" s="2" t="s">
        <v>2042</v>
      </c>
      <c r="S193" s="4">
        <v>44837</v>
      </c>
    </row>
    <row r="194" spans="1:19" ht="12.5" hidden="1" x14ac:dyDescent="0.25">
      <c r="A194" s="14" t="str">
        <f>HYPERLINK("https://gerandofalcoes.my.salesforce.com/0014X00002VKCp7QAH", "0014X00002VKCp7QAH")</f>
        <v>0014X00002VKCp7QAH</v>
      </c>
      <c r="B194" s="2" t="s">
        <v>2043</v>
      </c>
      <c r="C194" s="2" t="s">
        <v>423</v>
      </c>
      <c r="D194" s="2" t="s">
        <v>2</v>
      </c>
      <c r="E194" s="2">
        <v>37</v>
      </c>
      <c r="F194" s="2">
        <v>4</v>
      </c>
      <c r="G194" s="2">
        <v>3</v>
      </c>
      <c r="H194" s="2">
        <v>96000</v>
      </c>
      <c r="I194" s="2">
        <v>70</v>
      </c>
      <c r="J194" s="2" t="s">
        <v>1671</v>
      </c>
      <c r="K194" s="2">
        <v>43</v>
      </c>
      <c r="L194" s="2">
        <v>15</v>
      </c>
      <c r="M194" s="2">
        <v>5</v>
      </c>
      <c r="N194" s="2">
        <v>8</v>
      </c>
      <c r="O194" s="2">
        <v>10</v>
      </c>
      <c r="P194" s="2">
        <v>5</v>
      </c>
      <c r="Q194" s="2" t="s">
        <v>2044</v>
      </c>
      <c r="R194" s="2" t="s">
        <v>2045</v>
      </c>
      <c r="S194" s="4">
        <v>44837</v>
      </c>
    </row>
    <row r="195" spans="1:19" ht="12.5" hidden="1" x14ac:dyDescent="0.25">
      <c r="A195" s="14" t="str">
        <f>HYPERLINK("https://gerandofalcoes.my.salesforce.com/0014P00003YSp9JQAT", "0014P00003YSp9JQAT")</f>
        <v>0014P00003YSp9JQAT</v>
      </c>
      <c r="B195" s="2" t="s">
        <v>2046</v>
      </c>
      <c r="C195" s="2" t="s">
        <v>423</v>
      </c>
      <c r="D195" s="2" t="s">
        <v>2</v>
      </c>
      <c r="E195" s="2">
        <v>37</v>
      </c>
      <c r="F195" s="2">
        <v>4</v>
      </c>
      <c r="G195" s="2">
        <v>4</v>
      </c>
      <c r="H195" s="2">
        <v>125000</v>
      </c>
      <c r="I195" s="2">
        <v>60</v>
      </c>
      <c r="J195" s="2" t="s">
        <v>1671</v>
      </c>
      <c r="K195" s="2">
        <v>50</v>
      </c>
      <c r="L195" s="2">
        <v>15</v>
      </c>
      <c r="M195" s="2">
        <v>5</v>
      </c>
      <c r="N195" s="2">
        <v>10</v>
      </c>
      <c r="O195" s="2">
        <v>15</v>
      </c>
      <c r="P195" s="2">
        <v>5</v>
      </c>
      <c r="Q195" s="2" t="s">
        <v>2047</v>
      </c>
      <c r="R195" s="2" t="s">
        <v>2048</v>
      </c>
      <c r="S195" s="4">
        <v>44837</v>
      </c>
    </row>
    <row r="196" spans="1:19" ht="12.5" hidden="1" x14ac:dyDescent="0.25">
      <c r="A196" s="14" t="str">
        <f>HYPERLINK("https://gerandofalcoes.my.salesforce.com/0014X00002VKCuYQAX", "0014X00002VKCuYQAX")</f>
        <v>0014X00002VKCuYQAX</v>
      </c>
      <c r="B196" s="2" t="s">
        <v>2049</v>
      </c>
      <c r="C196" s="2" t="s">
        <v>423</v>
      </c>
      <c r="D196" s="2" t="s">
        <v>2</v>
      </c>
      <c r="E196" s="2">
        <v>37</v>
      </c>
      <c r="F196" s="2">
        <v>0</v>
      </c>
      <c r="G196" s="2">
        <v>4</v>
      </c>
      <c r="H196" s="2">
        <v>2500</v>
      </c>
      <c r="I196" s="2">
        <v>55</v>
      </c>
      <c r="J196" s="2" t="s">
        <v>1779</v>
      </c>
      <c r="K196" s="2">
        <v>35</v>
      </c>
      <c r="L196" s="2">
        <v>15</v>
      </c>
      <c r="M196" s="2">
        <v>0</v>
      </c>
      <c r="N196" s="2">
        <v>10</v>
      </c>
      <c r="O196" s="2">
        <v>5</v>
      </c>
      <c r="P196" s="2">
        <v>5</v>
      </c>
      <c r="Q196" s="2" t="s">
        <v>2050</v>
      </c>
      <c r="R196" s="2" t="s">
        <v>2050</v>
      </c>
      <c r="S196" s="4">
        <v>44837</v>
      </c>
    </row>
    <row r="197" spans="1:19" ht="12.5" hidden="1" x14ac:dyDescent="0.25">
      <c r="A197" s="14" t="str">
        <f>HYPERLINK("https://gerandofalcoes.my.salesforce.com/0014X00002VKCsEQAX", "0014X00002VKCsEQAX")</f>
        <v>0014X00002VKCsEQAX</v>
      </c>
      <c r="B197" s="2" t="s">
        <v>2051</v>
      </c>
      <c r="C197" s="2" t="s">
        <v>1800</v>
      </c>
      <c r="D197" s="2" t="s">
        <v>2</v>
      </c>
      <c r="E197" s="2">
        <v>37</v>
      </c>
      <c r="F197" s="2">
        <v>2</v>
      </c>
      <c r="G197" s="2">
        <v>3</v>
      </c>
      <c r="H197" s="2">
        <v>1000</v>
      </c>
      <c r="I197" s="2">
        <v>30</v>
      </c>
      <c r="J197" s="2" t="s">
        <v>1779</v>
      </c>
      <c r="K197" s="2">
        <v>38</v>
      </c>
      <c r="L197" s="2">
        <v>15</v>
      </c>
      <c r="M197" s="2">
        <v>5</v>
      </c>
      <c r="N197" s="2">
        <v>8</v>
      </c>
      <c r="O197" s="2">
        <v>5</v>
      </c>
      <c r="P197" s="2">
        <v>5</v>
      </c>
      <c r="Q197" s="2" t="s">
        <v>2052</v>
      </c>
      <c r="R197" s="2" t="s">
        <v>2053</v>
      </c>
      <c r="S197" s="4">
        <v>44837</v>
      </c>
    </row>
    <row r="198" spans="1:19" ht="12.5" hidden="1" x14ac:dyDescent="0.25">
      <c r="A198" s="14" t="str">
        <f>HYPERLINK("https://gerandofalcoes.my.salesforce.com/0014X00002VKCunQAH", "0014X00002VKCunQAH")</f>
        <v>0014X00002VKCunQAH</v>
      </c>
      <c r="B198" s="2" t="s">
        <v>2054</v>
      </c>
      <c r="C198" s="2" t="s">
        <v>423</v>
      </c>
      <c r="D198" s="2" t="s">
        <v>2</v>
      </c>
      <c r="E198" s="2">
        <v>37</v>
      </c>
      <c r="F198" s="2">
        <v>4</v>
      </c>
      <c r="G198" s="2">
        <v>6</v>
      </c>
      <c r="H198" s="2">
        <v>240</v>
      </c>
      <c r="I198" s="2">
        <v>12</v>
      </c>
      <c r="J198" s="2" t="s">
        <v>1671</v>
      </c>
      <c r="K198" s="2">
        <v>40</v>
      </c>
      <c r="L198" s="2">
        <v>15</v>
      </c>
      <c r="M198" s="2">
        <v>5</v>
      </c>
      <c r="N198" s="2">
        <v>10</v>
      </c>
      <c r="O198" s="2">
        <v>5</v>
      </c>
      <c r="P198" s="2">
        <v>5</v>
      </c>
      <c r="Q198" s="2" t="s">
        <v>2055</v>
      </c>
      <c r="R198" s="2" t="s">
        <v>2056</v>
      </c>
      <c r="S198" s="4">
        <v>44837</v>
      </c>
    </row>
    <row r="199" spans="1:19" ht="12.5" hidden="1" x14ac:dyDescent="0.25">
      <c r="A199" s="14" t="str">
        <f>HYPERLINK("https://gerandofalcoes.my.salesforce.com/0014P00003YSp7lQAD", "0014P00003YSp7lQAD")</f>
        <v>0014P00003YSp7lQAD</v>
      </c>
      <c r="B199" s="2" t="s">
        <v>2057</v>
      </c>
      <c r="C199" s="2" t="s">
        <v>423</v>
      </c>
      <c r="D199" s="2" t="s">
        <v>2</v>
      </c>
      <c r="E199" s="2">
        <v>37</v>
      </c>
      <c r="F199" s="2">
        <v>0</v>
      </c>
      <c r="G199" s="2">
        <v>2</v>
      </c>
      <c r="H199" s="2">
        <v>50000</v>
      </c>
      <c r="I199" s="2">
        <v>0</v>
      </c>
      <c r="J199" s="2" t="s">
        <v>1779</v>
      </c>
      <c r="K199" s="2">
        <v>31</v>
      </c>
      <c r="L199" s="2">
        <v>15</v>
      </c>
      <c r="M199" s="2">
        <v>0</v>
      </c>
      <c r="N199" s="2">
        <v>6</v>
      </c>
      <c r="O199" s="2">
        <v>10</v>
      </c>
      <c r="P199" s="2">
        <v>0</v>
      </c>
      <c r="Q199" s="2" t="s">
        <v>2058</v>
      </c>
      <c r="R199" s="2" t="s">
        <v>2059</v>
      </c>
      <c r="S199" s="4">
        <v>44837</v>
      </c>
    </row>
    <row r="200" spans="1:19" ht="12.5" hidden="1" x14ac:dyDescent="0.25">
      <c r="A200" s="14" t="str">
        <f>HYPERLINK("https://gerandofalcoes.my.salesforce.com/0014P00003YSpA6QAL", "0014P00003YSpA6QAL")</f>
        <v>0014P00003YSpA6QAL</v>
      </c>
      <c r="B200" s="2" t="s">
        <v>2060</v>
      </c>
      <c r="C200" s="2" t="s">
        <v>1800</v>
      </c>
      <c r="D200" s="2" t="s">
        <v>2</v>
      </c>
      <c r="E200" s="2">
        <v>37</v>
      </c>
      <c r="F200" s="2">
        <v>27</v>
      </c>
      <c r="G200" s="2">
        <v>3</v>
      </c>
      <c r="H200" s="2">
        <v>132000</v>
      </c>
      <c r="I200" s="2">
        <v>0</v>
      </c>
      <c r="J200" s="2" t="s">
        <v>1671</v>
      </c>
      <c r="K200" s="2">
        <v>50</v>
      </c>
      <c r="L200" s="2">
        <v>15</v>
      </c>
      <c r="M200" s="2">
        <v>12</v>
      </c>
      <c r="N200" s="2">
        <v>8</v>
      </c>
      <c r="O200" s="2">
        <v>15</v>
      </c>
      <c r="P200" s="2">
        <v>0</v>
      </c>
      <c r="Q200" s="2" t="s">
        <v>2061</v>
      </c>
      <c r="R200" s="2" t="s">
        <v>2061</v>
      </c>
      <c r="S200" s="4">
        <v>44837</v>
      </c>
    </row>
    <row r="201" spans="1:19" ht="12.5" hidden="1" x14ac:dyDescent="0.25">
      <c r="A201" s="14" t="str">
        <f>HYPERLINK("https://gerandofalcoes.my.salesforce.com/0014X00002VKCubQAH", "0014X00002VKCubQAH")</f>
        <v>0014X00002VKCubQAH</v>
      </c>
      <c r="B201" s="2" t="s">
        <v>2062</v>
      </c>
      <c r="C201" s="2" t="s">
        <v>423</v>
      </c>
      <c r="D201" s="2" t="s">
        <v>2</v>
      </c>
      <c r="E201" s="2">
        <v>37</v>
      </c>
      <c r="F201" s="2">
        <v>3</v>
      </c>
      <c r="G201" s="2">
        <v>3</v>
      </c>
      <c r="H201" s="2">
        <v>3000</v>
      </c>
      <c r="I201" s="2">
        <v>0</v>
      </c>
      <c r="J201" s="2" t="s">
        <v>1779</v>
      </c>
      <c r="K201" s="2">
        <v>33</v>
      </c>
      <c r="L201" s="2">
        <v>15</v>
      </c>
      <c r="M201" s="2">
        <v>5</v>
      </c>
      <c r="N201" s="2">
        <v>8</v>
      </c>
      <c r="O201" s="2">
        <v>5</v>
      </c>
      <c r="P201" s="2">
        <v>0</v>
      </c>
      <c r="Q201" s="2" t="s">
        <v>2063</v>
      </c>
      <c r="R201" s="2" t="s">
        <v>2064</v>
      </c>
      <c r="S201" s="4">
        <v>44837</v>
      </c>
    </row>
    <row r="202" spans="1:19" ht="12.5" hidden="1" x14ac:dyDescent="0.25">
      <c r="A202" s="14" t="str">
        <f>HYPERLINK("https://gerandofalcoes.my.salesforce.com/0014X00002PUObkQAH", "0014X00002PUObkQAH")</f>
        <v>0014X00002PUObkQAH</v>
      </c>
      <c r="B202" s="2" t="s">
        <v>2065</v>
      </c>
      <c r="C202" s="2" t="s">
        <v>423</v>
      </c>
      <c r="D202" s="2" t="s">
        <v>2</v>
      </c>
      <c r="E202" s="2">
        <v>36.840000000000003</v>
      </c>
      <c r="F202" s="2">
        <v>0</v>
      </c>
      <c r="G202" s="2">
        <v>2</v>
      </c>
      <c r="H202" s="2">
        <v>3520653</v>
      </c>
      <c r="I202" s="2">
        <v>313</v>
      </c>
      <c r="J202" s="2" t="s">
        <v>1671</v>
      </c>
      <c r="K202" s="2">
        <v>61</v>
      </c>
      <c r="L202" s="2">
        <v>15</v>
      </c>
      <c r="M202" s="2">
        <v>0</v>
      </c>
      <c r="N202" s="2">
        <v>6</v>
      </c>
      <c r="O202" s="2">
        <v>25</v>
      </c>
      <c r="P202" s="2">
        <v>15</v>
      </c>
      <c r="Q202" s="2" t="s">
        <v>2066</v>
      </c>
      <c r="R202" s="2" t="s">
        <v>477</v>
      </c>
      <c r="S202" s="4">
        <v>44837</v>
      </c>
    </row>
    <row r="203" spans="1:19" ht="12.5" hidden="1" x14ac:dyDescent="0.25">
      <c r="A203" s="14" t="str">
        <f>HYPERLINK("https://gerandofalcoes.my.salesforce.com/0014P00003YSm8CQAT", "0014P00003YSm8CQAT")</f>
        <v>0014P00003YSm8CQAT</v>
      </c>
      <c r="B203" s="2" t="s">
        <v>272</v>
      </c>
      <c r="C203" s="2" t="s">
        <v>423</v>
      </c>
      <c r="D203" s="2" t="s">
        <v>2</v>
      </c>
      <c r="E203" s="2">
        <v>36.67</v>
      </c>
      <c r="F203" s="2">
        <v>8</v>
      </c>
      <c r="G203" s="2">
        <v>0</v>
      </c>
      <c r="H203" s="2">
        <v>0</v>
      </c>
      <c r="I203" s="2">
        <v>98</v>
      </c>
      <c r="J203" s="2" t="s">
        <v>1779</v>
      </c>
      <c r="K203" s="2">
        <v>35</v>
      </c>
      <c r="L203" s="2">
        <v>15</v>
      </c>
      <c r="M203" s="2">
        <v>10</v>
      </c>
      <c r="N203" s="2">
        <v>0</v>
      </c>
      <c r="O203" s="2">
        <v>0</v>
      </c>
      <c r="P203" s="2">
        <v>10</v>
      </c>
      <c r="Q203" s="2" t="s">
        <v>273</v>
      </c>
      <c r="R203" s="2" t="s">
        <v>1518</v>
      </c>
      <c r="S203" s="4">
        <v>44837</v>
      </c>
    </row>
    <row r="204" spans="1:19" ht="12.5" hidden="1" x14ac:dyDescent="0.25">
      <c r="A204" s="14" t="str">
        <f>HYPERLINK("https://gerandofalcoes.my.salesforce.com/0014P00003SGWPTQA5", "0014P00003SGWPTQA5")</f>
        <v>0014P00003SGWPTQA5</v>
      </c>
      <c r="B204" s="2" t="s">
        <v>376</v>
      </c>
      <c r="C204" s="2" t="s">
        <v>423</v>
      </c>
      <c r="D204" s="2" t="s">
        <v>2</v>
      </c>
      <c r="E204" s="2">
        <v>36.65</v>
      </c>
      <c r="F204" s="2">
        <v>0</v>
      </c>
      <c r="G204" s="2">
        <v>1</v>
      </c>
      <c r="H204" s="2">
        <v>6000</v>
      </c>
      <c r="I204" s="2">
        <v>104</v>
      </c>
      <c r="J204" s="2" t="s">
        <v>1779</v>
      </c>
      <c r="K204" s="2">
        <v>34</v>
      </c>
      <c r="L204" s="2">
        <v>15</v>
      </c>
      <c r="M204" s="2">
        <v>0</v>
      </c>
      <c r="N204" s="2">
        <v>4</v>
      </c>
      <c r="O204" s="2">
        <v>5</v>
      </c>
      <c r="P204" s="2">
        <v>10</v>
      </c>
      <c r="Q204" s="2" t="s">
        <v>377</v>
      </c>
      <c r="R204" s="2" t="s">
        <v>1586</v>
      </c>
      <c r="S204" s="4">
        <v>44837</v>
      </c>
    </row>
    <row r="205" spans="1:19" ht="12.5" hidden="1" x14ac:dyDescent="0.25">
      <c r="A205" s="14" t="str">
        <f>HYPERLINK("https://gerandofalcoes.my.salesforce.com/0014X00002VKCr5QAH", "0014X00002VKCr5QAH")</f>
        <v>0014X00002VKCr5QAH</v>
      </c>
      <c r="B205" s="2" t="s">
        <v>2067</v>
      </c>
      <c r="C205" s="2" t="s">
        <v>423</v>
      </c>
      <c r="D205" s="2" t="s">
        <v>2</v>
      </c>
      <c r="E205" s="2">
        <v>36.520000000000003</v>
      </c>
      <c r="F205" s="2">
        <v>6</v>
      </c>
      <c r="G205" s="2">
        <v>2</v>
      </c>
      <c r="H205" s="2">
        <v>5356022</v>
      </c>
      <c r="I205" s="2">
        <v>0</v>
      </c>
      <c r="J205" s="2" t="s">
        <v>1671</v>
      </c>
      <c r="K205" s="2">
        <v>56</v>
      </c>
      <c r="L205" s="2">
        <v>15</v>
      </c>
      <c r="M205" s="2">
        <v>10</v>
      </c>
      <c r="N205" s="2">
        <v>6</v>
      </c>
      <c r="O205" s="2">
        <v>25</v>
      </c>
      <c r="P205" s="2">
        <v>0</v>
      </c>
      <c r="Q205" s="2" t="s">
        <v>2068</v>
      </c>
      <c r="R205" s="2" t="s">
        <v>2069</v>
      </c>
      <c r="S205" s="4">
        <v>44837</v>
      </c>
    </row>
    <row r="206" spans="1:19" ht="12.5" hidden="1" x14ac:dyDescent="0.25">
      <c r="A206" s="14" t="str">
        <f>HYPERLINK("https://gerandofalcoes.my.salesforce.com/0014P00003YSp9rQAD", "0014P00003YSp9rQAD")</f>
        <v>0014P00003YSp9rQAD</v>
      </c>
      <c r="B206" s="2" t="s">
        <v>2070</v>
      </c>
      <c r="C206" s="2" t="s">
        <v>1800</v>
      </c>
      <c r="D206" s="2" t="s">
        <v>2</v>
      </c>
      <c r="E206" s="2">
        <v>36</v>
      </c>
      <c r="F206" s="2">
        <v>7</v>
      </c>
      <c r="G206" s="2">
        <v>3</v>
      </c>
      <c r="H206" s="2">
        <v>0</v>
      </c>
      <c r="I206" s="2">
        <v>120</v>
      </c>
      <c r="J206" s="2" t="s">
        <v>1671</v>
      </c>
      <c r="K206" s="2">
        <v>43</v>
      </c>
      <c r="L206" s="2">
        <v>15</v>
      </c>
      <c r="M206" s="2">
        <v>10</v>
      </c>
      <c r="N206" s="2">
        <v>8</v>
      </c>
      <c r="O206" s="2">
        <v>0</v>
      </c>
      <c r="P206" s="2">
        <v>10</v>
      </c>
      <c r="Q206" s="2" t="s">
        <v>2071</v>
      </c>
      <c r="R206" s="2" t="s">
        <v>2072</v>
      </c>
      <c r="S206" s="4">
        <v>44837</v>
      </c>
    </row>
    <row r="207" spans="1:19" ht="12.5" hidden="1" x14ac:dyDescent="0.25">
      <c r="A207" s="14" t="str">
        <f>HYPERLINK("https://gerandofalcoes.my.salesforce.com/0014X00002VKCuJQAX", "0014X00002VKCuJQAX")</f>
        <v>0014X00002VKCuJQAX</v>
      </c>
      <c r="B207" s="2" t="s">
        <v>2073</v>
      </c>
      <c r="C207" s="2" t="s">
        <v>423</v>
      </c>
      <c r="D207" s="2" t="s">
        <v>2</v>
      </c>
      <c r="E207" s="2">
        <v>36</v>
      </c>
      <c r="F207" s="2">
        <v>0</v>
      </c>
      <c r="G207" s="2">
        <v>3</v>
      </c>
      <c r="H207" s="2">
        <v>3000</v>
      </c>
      <c r="I207" s="2">
        <v>100</v>
      </c>
      <c r="J207" s="2" t="s">
        <v>1779</v>
      </c>
      <c r="K207" s="2">
        <v>38</v>
      </c>
      <c r="L207" s="2">
        <v>15</v>
      </c>
      <c r="M207" s="2">
        <v>0</v>
      </c>
      <c r="N207" s="2">
        <v>8</v>
      </c>
      <c r="O207" s="2">
        <v>5</v>
      </c>
      <c r="P207" s="2">
        <v>10</v>
      </c>
      <c r="Q207" s="2" t="s">
        <v>2074</v>
      </c>
      <c r="R207" s="2" t="s">
        <v>2075</v>
      </c>
      <c r="S207" s="4">
        <v>44837</v>
      </c>
    </row>
    <row r="208" spans="1:19" ht="12.5" hidden="1" x14ac:dyDescent="0.25">
      <c r="A208" s="14" t="str">
        <f>HYPERLINK("https://gerandofalcoes.my.salesforce.com/0014X00002VKCqoQAH", "0014X00002VKCqoQAH")</f>
        <v>0014X00002VKCqoQAH</v>
      </c>
      <c r="B208" s="2" t="s">
        <v>2076</v>
      </c>
      <c r="C208" s="2" t="s">
        <v>1800</v>
      </c>
      <c r="D208" s="2" t="s">
        <v>2</v>
      </c>
      <c r="E208" s="2">
        <v>36</v>
      </c>
      <c r="F208" s="2">
        <v>1</v>
      </c>
      <c r="G208" s="2">
        <v>7</v>
      </c>
      <c r="H208" s="2">
        <v>13800</v>
      </c>
      <c r="I208" s="2">
        <v>100</v>
      </c>
      <c r="J208" s="2" t="s">
        <v>1671</v>
      </c>
      <c r="K208" s="2">
        <v>45</v>
      </c>
      <c r="L208" s="2">
        <v>15</v>
      </c>
      <c r="M208" s="2">
        <v>5</v>
      </c>
      <c r="N208" s="2">
        <v>10</v>
      </c>
      <c r="O208" s="2">
        <v>5</v>
      </c>
      <c r="P208" s="2">
        <v>10</v>
      </c>
      <c r="Q208" s="2" t="s">
        <v>2077</v>
      </c>
      <c r="R208" s="2" t="s">
        <v>2077</v>
      </c>
      <c r="S208" s="4">
        <v>44837</v>
      </c>
    </row>
    <row r="209" spans="1:19" ht="12.5" hidden="1" x14ac:dyDescent="0.25">
      <c r="A209" s="14" t="str">
        <f>HYPERLINK("https://gerandofalcoes.my.salesforce.com/0014X00002VKCqDQAX", "0014X00002VKCqDQAX")</f>
        <v>0014X00002VKCqDQAX</v>
      </c>
      <c r="B209" s="2" t="s">
        <v>2078</v>
      </c>
      <c r="C209" s="2" t="s">
        <v>423</v>
      </c>
      <c r="D209" s="2" t="s">
        <v>2</v>
      </c>
      <c r="E209" s="2">
        <v>36</v>
      </c>
      <c r="F209" s="2">
        <v>0</v>
      </c>
      <c r="G209" s="2">
        <v>2</v>
      </c>
      <c r="H209" s="2">
        <v>12000</v>
      </c>
      <c r="I209" s="2">
        <v>70</v>
      </c>
      <c r="J209" s="2" t="s">
        <v>1779</v>
      </c>
      <c r="K209" s="2">
        <v>31</v>
      </c>
      <c r="L209" s="2">
        <v>15</v>
      </c>
      <c r="M209" s="2">
        <v>0</v>
      </c>
      <c r="N209" s="2">
        <v>6</v>
      </c>
      <c r="O209" s="2">
        <v>5</v>
      </c>
      <c r="P209" s="2">
        <v>5</v>
      </c>
      <c r="Q209" s="2" t="s">
        <v>2079</v>
      </c>
      <c r="R209" s="2" t="s">
        <v>2080</v>
      </c>
      <c r="S209" s="4">
        <v>44837</v>
      </c>
    </row>
    <row r="210" spans="1:19" ht="12.5" hidden="1" x14ac:dyDescent="0.25">
      <c r="A210" s="14" t="str">
        <f>HYPERLINK("https://gerandofalcoes.my.salesforce.com/0014X00002VKCplQAH", "0014X00002VKCplQAH")</f>
        <v>0014X00002VKCplQAH</v>
      </c>
      <c r="B210" s="2" t="s">
        <v>2081</v>
      </c>
      <c r="C210" s="2" t="s">
        <v>1800</v>
      </c>
      <c r="D210" s="2" t="s">
        <v>2</v>
      </c>
      <c r="E210" s="2">
        <v>36</v>
      </c>
      <c r="F210" s="2">
        <v>20</v>
      </c>
      <c r="G210" s="2">
        <v>2</v>
      </c>
      <c r="H210" s="2">
        <v>300000</v>
      </c>
      <c r="I210" s="2">
        <v>50</v>
      </c>
      <c r="J210" s="2" t="s">
        <v>1671</v>
      </c>
      <c r="K210" s="2">
        <v>58</v>
      </c>
      <c r="L210" s="2">
        <v>15</v>
      </c>
      <c r="M210" s="2">
        <v>12</v>
      </c>
      <c r="N210" s="2">
        <v>6</v>
      </c>
      <c r="O210" s="2">
        <v>20</v>
      </c>
      <c r="P210" s="2">
        <v>5</v>
      </c>
      <c r="Q210" s="2" t="s">
        <v>2082</v>
      </c>
      <c r="R210" s="2" t="s">
        <v>2083</v>
      </c>
      <c r="S210" s="4">
        <v>44837</v>
      </c>
    </row>
    <row r="211" spans="1:19" ht="12.5" hidden="1" x14ac:dyDescent="0.25">
      <c r="A211" s="14" t="str">
        <f>HYPERLINK("https://gerandofalcoes.my.salesforce.com/0014P00003YSp9eQAD", "0014P00003YSp9eQAD")</f>
        <v>0014P00003YSp9eQAD</v>
      </c>
      <c r="B211" s="2" t="s">
        <v>2084</v>
      </c>
      <c r="C211" s="2" t="s">
        <v>1800</v>
      </c>
      <c r="D211" s="2" t="s">
        <v>2</v>
      </c>
      <c r="E211" s="2">
        <v>36</v>
      </c>
      <c r="F211" s="2">
        <v>4</v>
      </c>
      <c r="G211" s="2">
        <v>4</v>
      </c>
      <c r="H211" s="2">
        <v>270000</v>
      </c>
      <c r="I211" s="2">
        <v>0</v>
      </c>
      <c r="J211" s="2" t="s">
        <v>1671</v>
      </c>
      <c r="K211" s="2">
        <v>45</v>
      </c>
      <c r="L211" s="2">
        <v>15</v>
      </c>
      <c r="M211" s="2">
        <v>5</v>
      </c>
      <c r="N211" s="2">
        <v>10</v>
      </c>
      <c r="O211" s="2">
        <v>15</v>
      </c>
      <c r="P211" s="2">
        <v>0</v>
      </c>
      <c r="Q211" s="2" t="s">
        <v>2085</v>
      </c>
      <c r="R211" s="2" t="s">
        <v>2086</v>
      </c>
      <c r="S211" s="4">
        <v>44837</v>
      </c>
    </row>
    <row r="212" spans="1:19" ht="12.5" hidden="1" x14ac:dyDescent="0.25">
      <c r="A212" s="14" t="str">
        <f>HYPERLINK("https://gerandofalcoes.my.salesforce.com/0014P00003YSp8zQAD", "0014P00003YSp8zQAD")</f>
        <v>0014P00003YSp8zQAD</v>
      </c>
      <c r="B212" s="2" t="s">
        <v>2087</v>
      </c>
      <c r="C212" s="2" t="s">
        <v>423</v>
      </c>
      <c r="D212" s="2" t="s">
        <v>2</v>
      </c>
      <c r="E212" s="2">
        <v>35.69</v>
      </c>
      <c r="F212" s="2">
        <v>10</v>
      </c>
      <c r="G212" s="2">
        <v>2</v>
      </c>
      <c r="H212" s="2">
        <v>600000</v>
      </c>
      <c r="I212" s="2">
        <v>115</v>
      </c>
      <c r="J212" s="2" t="s">
        <v>1671</v>
      </c>
      <c r="K212" s="2">
        <v>61</v>
      </c>
      <c r="L212" s="2">
        <v>15</v>
      </c>
      <c r="M212" s="2">
        <v>10</v>
      </c>
      <c r="N212" s="2">
        <v>6</v>
      </c>
      <c r="O212" s="2">
        <v>20</v>
      </c>
      <c r="P212" s="2">
        <v>10</v>
      </c>
      <c r="Q212" s="2" t="s">
        <v>2088</v>
      </c>
      <c r="R212" s="2" t="s">
        <v>2089</v>
      </c>
      <c r="S212" s="4">
        <v>44837</v>
      </c>
    </row>
    <row r="213" spans="1:19" ht="12.5" hidden="1" x14ac:dyDescent="0.25">
      <c r="A213" s="14" t="str">
        <f>HYPERLINK("https://gerandofalcoes.my.salesforce.com/0014P00003SGWQ1QAP", "0014P00003SGWQ1QAP")</f>
        <v>0014P00003SGWQ1QAP</v>
      </c>
      <c r="B213" s="2" t="s">
        <v>205</v>
      </c>
      <c r="C213" s="2" t="s">
        <v>423</v>
      </c>
      <c r="D213" s="2" t="s">
        <v>2</v>
      </c>
      <c r="E213" s="2">
        <v>35.46</v>
      </c>
      <c r="F213" s="2">
        <v>6</v>
      </c>
      <c r="G213" s="2">
        <v>2</v>
      </c>
      <c r="H213" s="2">
        <v>926170</v>
      </c>
      <c r="I213" s="2">
        <v>600</v>
      </c>
      <c r="J213" s="2" t="s">
        <v>1650</v>
      </c>
      <c r="K213" s="2">
        <v>76</v>
      </c>
      <c r="L213" s="2">
        <v>15</v>
      </c>
      <c r="M213" s="2">
        <v>10</v>
      </c>
      <c r="N213" s="2">
        <v>6</v>
      </c>
      <c r="O213" s="2">
        <v>25</v>
      </c>
      <c r="P213" s="2">
        <v>20</v>
      </c>
      <c r="Q213" s="2" t="s">
        <v>206</v>
      </c>
      <c r="R213" s="2" t="s">
        <v>2090</v>
      </c>
      <c r="S213" s="4">
        <v>44837</v>
      </c>
    </row>
    <row r="214" spans="1:19" ht="12.5" hidden="1" x14ac:dyDescent="0.25">
      <c r="A214" s="14" t="str">
        <f>HYPERLINK("https://gerandofalcoes.my.salesforce.com/0014X00002VKCtTQAX", "0014X00002VKCtTQAX")</f>
        <v>0014X00002VKCtTQAX</v>
      </c>
      <c r="B214" s="2" t="s">
        <v>2091</v>
      </c>
      <c r="C214" s="2" t="s">
        <v>423</v>
      </c>
      <c r="D214" s="2" t="s">
        <v>2</v>
      </c>
      <c r="E214" s="2">
        <v>35.119999999999997</v>
      </c>
      <c r="F214" s="2">
        <v>0</v>
      </c>
      <c r="G214" s="2">
        <v>2</v>
      </c>
      <c r="H214" s="2">
        <v>21451</v>
      </c>
      <c r="I214" s="2">
        <v>56</v>
      </c>
      <c r="J214" s="2" t="s">
        <v>1779</v>
      </c>
      <c r="K214" s="2">
        <v>31</v>
      </c>
      <c r="L214" s="2">
        <v>15</v>
      </c>
      <c r="M214" s="2">
        <v>0</v>
      </c>
      <c r="N214" s="2">
        <v>6</v>
      </c>
      <c r="O214" s="2">
        <v>5</v>
      </c>
      <c r="P214" s="2">
        <v>5</v>
      </c>
      <c r="Q214" s="2" t="s">
        <v>2092</v>
      </c>
      <c r="R214" s="2" t="s">
        <v>2092</v>
      </c>
      <c r="S214" s="4">
        <v>44837</v>
      </c>
    </row>
    <row r="215" spans="1:19" ht="12.5" hidden="1" x14ac:dyDescent="0.25">
      <c r="A215" s="14" t="str">
        <f>HYPERLINK("https://gerandofalcoes.my.salesforce.com/0014X00002VKCrkQAH", "0014X00002VKCrkQAH")</f>
        <v>0014X00002VKCrkQAH</v>
      </c>
      <c r="B215" s="2" t="s">
        <v>2093</v>
      </c>
      <c r="C215" s="2" t="s">
        <v>423</v>
      </c>
      <c r="D215" s="2" t="s">
        <v>2</v>
      </c>
      <c r="E215" s="2">
        <v>35.049999999999997</v>
      </c>
      <c r="F215" s="2">
        <v>10</v>
      </c>
      <c r="G215" s="2">
        <v>3</v>
      </c>
      <c r="H215" s="2">
        <v>7986449</v>
      </c>
      <c r="I215" s="2">
        <v>30</v>
      </c>
      <c r="J215" s="2" t="s">
        <v>1671</v>
      </c>
      <c r="K215" s="2">
        <v>63</v>
      </c>
      <c r="L215" s="2">
        <v>15</v>
      </c>
      <c r="M215" s="2">
        <v>10</v>
      </c>
      <c r="N215" s="2">
        <v>8</v>
      </c>
      <c r="O215" s="2">
        <v>25</v>
      </c>
      <c r="P215" s="2">
        <v>5</v>
      </c>
      <c r="Q215" s="2" t="s">
        <v>2094</v>
      </c>
      <c r="R215" s="2" t="s">
        <v>2095</v>
      </c>
      <c r="S215" s="4">
        <v>44837</v>
      </c>
    </row>
    <row r="216" spans="1:19" ht="12.5" hidden="1" x14ac:dyDescent="0.25">
      <c r="A216" s="14" t="str">
        <f>HYPERLINK("https://gerandofalcoes.my.salesforce.com/0014X00002VKCpkQAH", "0014X00002VKCpkQAH")</f>
        <v>0014X00002VKCpkQAH</v>
      </c>
      <c r="B216" s="2" t="s">
        <v>2096</v>
      </c>
      <c r="C216" s="2" t="s">
        <v>423</v>
      </c>
      <c r="D216" s="2" t="s">
        <v>2</v>
      </c>
      <c r="E216" s="2">
        <v>35</v>
      </c>
      <c r="F216" s="2">
        <v>15</v>
      </c>
      <c r="G216" s="2">
        <v>4</v>
      </c>
      <c r="H216" s="2">
        <v>78000</v>
      </c>
      <c r="I216" s="2">
        <v>240</v>
      </c>
      <c r="J216" s="2" t="s">
        <v>1671</v>
      </c>
      <c r="K216" s="2">
        <v>59</v>
      </c>
      <c r="L216" s="2">
        <v>15</v>
      </c>
      <c r="M216" s="2">
        <v>12</v>
      </c>
      <c r="N216" s="2">
        <v>10</v>
      </c>
      <c r="O216" s="2">
        <v>10</v>
      </c>
      <c r="P216" s="2">
        <v>12</v>
      </c>
      <c r="Q216" s="2" t="s">
        <v>2097</v>
      </c>
      <c r="R216" s="2" t="s">
        <v>2097</v>
      </c>
      <c r="S216" s="4">
        <v>44837</v>
      </c>
    </row>
    <row r="217" spans="1:19" ht="12.5" hidden="1" x14ac:dyDescent="0.25">
      <c r="A217" s="14" t="str">
        <f>HYPERLINK("https://gerandofalcoes.my.salesforce.com/0014P00003YSp7UQAT", "0014P00003YSp7UQAT")</f>
        <v>0014P00003YSp7UQAT</v>
      </c>
      <c r="B217" s="2" t="s">
        <v>2098</v>
      </c>
      <c r="C217" s="2" t="s">
        <v>1800</v>
      </c>
      <c r="D217" s="2" t="s">
        <v>2</v>
      </c>
      <c r="E217" s="2">
        <v>35</v>
      </c>
      <c r="F217" s="2">
        <v>3</v>
      </c>
      <c r="G217" s="2">
        <v>0</v>
      </c>
      <c r="H217" s="2">
        <v>11000</v>
      </c>
      <c r="I217" s="2">
        <v>200</v>
      </c>
      <c r="J217" s="2" t="s">
        <v>1779</v>
      </c>
      <c r="K217" s="2">
        <v>37</v>
      </c>
      <c r="L217" s="2">
        <v>15</v>
      </c>
      <c r="M217" s="2">
        <v>5</v>
      </c>
      <c r="N217" s="2">
        <v>0</v>
      </c>
      <c r="O217" s="2">
        <v>5</v>
      </c>
      <c r="P217" s="2">
        <v>12</v>
      </c>
      <c r="Q217" s="2" t="s">
        <v>2099</v>
      </c>
      <c r="R217" s="2" t="s">
        <v>2099</v>
      </c>
      <c r="S217" s="4">
        <v>44837</v>
      </c>
    </row>
    <row r="218" spans="1:19" ht="12.5" hidden="1" x14ac:dyDescent="0.25">
      <c r="A218" s="14" t="str">
        <f>HYPERLINK("https://gerandofalcoes.my.salesforce.com/0014X00002VKCt9QAH", "0014X00002VKCt9QAH")</f>
        <v>0014X00002VKCt9QAH</v>
      </c>
      <c r="B218" s="2" t="s">
        <v>2100</v>
      </c>
      <c r="C218" s="2" t="s">
        <v>1684</v>
      </c>
      <c r="D218" s="2" t="s">
        <v>2</v>
      </c>
      <c r="E218" s="2">
        <v>35</v>
      </c>
      <c r="F218" s="2">
        <v>0</v>
      </c>
      <c r="G218" s="2">
        <v>2</v>
      </c>
      <c r="H218" s="2">
        <v>600</v>
      </c>
      <c r="I218" s="2">
        <v>150</v>
      </c>
      <c r="J218" s="2" t="s">
        <v>1779</v>
      </c>
      <c r="K218" s="2">
        <v>38</v>
      </c>
      <c r="L218" s="2">
        <v>15</v>
      </c>
      <c r="M218" s="2">
        <v>0</v>
      </c>
      <c r="N218" s="2">
        <v>6</v>
      </c>
      <c r="O218" s="2">
        <v>5</v>
      </c>
      <c r="P218" s="2">
        <v>12</v>
      </c>
      <c r="Q218" s="2" t="s">
        <v>2101</v>
      </c>
      <c r="R218" s="2" t="s">
        <v>2102</v>
      </c>
      <c r="S218" s="4">
        <v>44837</v>
      </c>
    </row>
    <row r="219" spans="1:19" ht="12.5" hidden="1" x14ac:dyDescent="0.25">
      <c r="A219" s="14" t="str">
        <f>HYPERLINK("https://gerandofalcoes.my.salesforce.com/0014P00003YSp9CQAT", "0014P00003YSp9CQAT")</f>
        <v>0014P00003YSp9CQAT</v>
      </c>
      <c r="B219" s="2" t="s">
        <v>2103</v>
      </c>
      <c r="C219" s="2" t="s">
        <v>1800</v>
      </c>
      <c r="D219" s="2" t="s">
        <v>2</v>
      </c>
      <c r="E219" s="2">
        <v>35</v>
      </c>
      <c r="F219" s="2">
        <v>1</v>
      </c>
      <c r="G219" s="2">
        <v>2</v>
      </c>
      <c r="H219" s="2">
        <v>120000</v>
      </c>
      <c r="I219" s="2">
        <v>100</v>
      </c>
      <c r="J219" s="2" t="s">
        <v>1671</v>
      </c>
      <c r="K219" s="2">
        <v>51</v>
      </c>
      <c r="L219" s="2">
        <v>15</v>
      </c>
      <c r="M219" s="2">
        <v>5</v>
      </c>
      <c r="N219" s="2">
        <v>6</v>
      </c>
      <c r="O219" s="2">
        <v>15</v>
      </c>
      <c r="P219" s="2">
        <v>10</v>
      </c>
      <c r="Q219" s="2" t="s">
        <v>2104</v>
      </c>
      <c r="R219" s="2" t="s">
        <v>2105</v>
      </c>
      <c r="S219" s="4">
        <v>44837</v>
      </c>
    </row>
    <row r="220" spans="1:19" ht="12.5" hidden="1" x14ac:dyDescent="0.25">
      <c r="A220" s="14" t="str">
        <f>HYPERLINK("https://gerandofalcoes.my.salesforce.com/0014P00003YSpALQA1", "0014P00003YSpALQA1")</f>
        <v>0014P00003YSpALQA1</v>
      </c>
      <c r="B220" s="2" t="s">
        <v>2106</v>
      </c>
      <c r="C220" s="2" t="s">
        <v>1684</v>
      </c>
      <c r="D220" s="2" t="s">
        <v>2</v>
      </c>
      <c r="E220" s="2">
        <v>35</v>
      </c>
      <c r="F220" s="2">
        <v>7</v>
      </c>
      <c r="G220" s="2">
        <v>6</v>
      </c>
      <c r="H220" s="2">
        <v>83455</v>
      </c>
      <c r="I220" s="2">
        <v>81</v>
      </c>
      <c r="J220" s="2" t="s">
        <v>1671</v>
      </c>
      <c r="K220" s="2">
        <v>55</v>
      </c>
      <c r="L220" s="2">
        <v>15</v>
      </c>
      <c r="M220" s="2">
        <v>10</v>
      </c>
      <c r="N220" s="2">
        <v>10</v>
      </c>
      <c r="O220" s="2">
        <v>10</v>
      </c>
      <c r="P220" s="2">
        <v>10</v>
      </c>
      <c r="Q220" s="2" t="s">
        <v>2107</v>
      </c>
      <c r="R220" s="2" t="s">
        <v>2108</v>
      </c>
      <c r="S220" s="4">
        <v>44837</v>
      </c>
    </row>
    <row r="221" spans="1:19" ht="12.5" hidden="1" x14ac:dyDescent="0.25">
      <c r="A221" s="14" t="str">
        <f>HYPERLINK("https://gerandofalcoes.my.salesforce.com/0014P00003YSp7mQAD", "0014P00003YSp7mQAD")</f>
        <v>0014P00003YSp7mQAD</v>
      </c>
      <c r="B221" s="2" t="s">
        <v>2109</v>
      </c>
      <c r="C221" s="2" t="s">
        <v>1800</v>
      </c>
      <c r="D221" s="2" t="s">
        <v>2</v>
      </c>
      <c r="E221" s="2">
        <v>35</v>
      </c>
      <c r="F221" s="2">
        <v>5</v>
      </c>
      <c r="G221" s="2">
        <v>4</v>
      </c>
      <c r="H221" s="2">
        <v>0</v>
      </c>
      <c r="I221" s="2">
        <v>53</v>
      </c>
      <c r="J221" s="2" t="s">
        <v>1779</v>
      </c>
      <c r="K221" s="2">
        <v>35</v>
      </c>
      <c r="L221" s="2">
        <v>15</v>
      </c>
      <c r="M221" s="2">
        <v>5</v>
      </c>
      <c r="N221" s="2">
        <v>10</v>
      </c>
      <c r="O221" s="2">
        <v>0</v>
      </c>
      <c r="P221" s="2">
        <v>5</v>
      </c>
      <c r="Q221" s="2" t="s">
        <v>2110</v>
      </c>
      <c r="R221" s="2" t="s">
        <v>2111</v>
      </c>
      <c r="S221" s="4">
        <v>44837</v>
      </c>
    </row>
    <row r="222" spans="1:19" ht="12.5" hidden="1" x14ac:dyDescent="0.25">
      <c r="A222" s="14" t="str">
        <f>HYPERLINK("https://gerandofalcoes.my.salesforce.com/0014X00002VKCtFQAX", "0014X00002VKCtFQAX")</f>
        <v>0014X00002VKCtFQAX</v>
      </c>
      <c r="B222" s="2" t="s">
        <v>2112</v>
      </c>
      <c r="C222" s="2" t="s">
        <v>423</v>
      </c>
      <c r="D222" s="2" t="s">
        <v>2</v>
      </c>
      <c r="E222" s="2">
        <v>35</v>
      </c>
      <c r="F222" s="2">
        <v>12</v>
      </c>
      <c r="G222" s="2">
        <v>2</v>
      </c>
      <c r="H222" s="2">
        <v>100000</v>
      </c>
      <c r="I222" s="2">
        <v>40</v>
      </c>
      <c r="J222" s="2" t="s">
        <v>1671</v>
      </c>
      <c r="K222" s="2">
        <v>53</v>
      </c>
      <c r="L222" s="2">
        <v>15</v>
      </c>
      <c r="M222" s="2">
        <v>12</v>
      </c>
      <c r="N222" s="2">
        <v>6</v>
      </c>
      <c r="O222" s="2">
        <v>15</v>
      </c>
      <c r="P222" s="2">
        <v>5</v>
      </c>
      <c r="Q222" s="2" t="s">
        <v>2113</v>
      </c>
      <c r="R222" s="2" t="s">
        <v>2113</v>
      </c>
      <c r="S222" s="4">
        <v>44837</v>
      </c>
    </row>
    <row r="223" spans="1:19" ht="12.5" hidden="1" x14ac:dyDescent="0.25">
      <c r="A223" s="14" t="str">
        <f>HYPERLINK("https://gerandofalcoes.my.salesforce.com/0014X00002VKCqWQAX", "0014X00002VKCqWQAX")</f>
        <v>0014X00002VKCqWQAX</v>
      </c>
      <c r="B223" s="2" t="s">
        <v>2114</v>
      </c>
      <c r="C223" s="2" t="s">
        <v>1800</v>
      </c>
      <c r="D223" s="2" t="s">
        <v>2</v>
      </c>
      <c r="E223" s="2">
        <v>35</v>
      </c>
      <c r="F223" s="2">
        <v>2</v>
      </c>
      <c r="G223" s="2">
        <v>3</v>
      </c>
      <c r="H223" s="2">
        <v>11579</v>
      </c>
      <c r="I223" s="2">
        <v>20</v>
      </c>
      <c r="J223" s="2" t="s">
        <v>1779</v>
      </c>
      <c r="K223" s="2">
        <v>38</v>
      </c>
      <c r="L223" s="2">
        <v>15</v>
      </c>
      <c r="M223" s="2">
        <v>5</v>
      </c>
      <c r="N223" s="2">
        <v>8</v>
      </c>
      <c r="O223" s="2">
        <v>5</v>
      </c>
      <c r="P223" s="2">
        <v>5</v>
      </c>
      <c r="Q223" s="2" t="s">
        <v>2115</v>
      </c>
      <c r="R223" s="2" t="s">
        <v>2116</v>
      </c>
      <c r="S223" s="4">
        <v>44837</v>
      </c>
    </row>
    <row r="224" spans="1:19" ht="12.5" hidden="1" x14ac:dyDescent="0.25">
      <c r="A224" s="14" t="str">
        <f>HYPERLINK("https://gerandofalcoes.my.salesforce.com/0014X00002VKCuzQAH", "0014X00002VKCuzQAH")</f>
        <v>0014X00002VKCuzQAH</v>
      </c>
      <c r="B224" s="2" t="s">
        <v>2117</v>
      </c>
      <c r="C224" s="2" t="s">
        <v>423</v>
      </c>
      <c r="D224" s="2" t="s">
        <v>2</v>
      </c>
      <c r="E224" s="2">
        <v>35</v>
      </c>
      <c r="F224" s="2">
        <v>0</v>
      </c>
      <c r="G224" s="2">
        <v>3</v>
      </c>
      <c r="H224" s="2">
        <v>34878</v>
      </c>
      <c r="I224" s="2">
        <v>7</v>
      </c>
      <c r="J224" s="2" t="s">
        <v>1779</v>
      </c>
      <c r="K224" s="2">
        <v>38</v>
      </c>
      <c r="L224" s="2">
        <v>15</v>
      </c>
      <c r="M224" s="2">
        <v>0</v>
      </c>
      <c r="N224" s="2">
        <v>8</v>
      </c>
      <c r="O224" s="2">
        <v>10</v>
      </c>
      <c r="P224" s="2">
        <v>5</v>
      </c>
      <c r="Q224" s="2" t="s">
        <v>2118</v>
      </c>
      <c r="R224" s="2" t="s">
        <v>2119</v>
      </c>
      <c r="S224" s="4">
        <v>44837</v>
      </c>
    </row>
    <row r="225" spans="1:19" ht="12.5" hidden="1" x14ac:dyDescent="0.25">
      <c r="A225" s="14" t="str">
        <f>HYPERLINK("https://gerandofalcoes.my.salesforce.com/0014P00003YSp7uQAD", "0014P00003YSp7uQAD")</f>
        <v>0014P00003YSp7uQAD</v>
      </c>
      <c r="B225" s="2" t="s">
        <v>2120</v>
      </c>
      <c r="C225" s="2" t="s">
        <v>423</v>
      </c>
      <c r="D225" s="2" t="s">
        <v>2</v>
      </c>
      <c r="E225" s="2">
        <v>35</v>
      </c>
      <c r="F225" s="2">
        <v>5</v>
      </c>
      <c r="G225" s="2">
        <v>2</v>
      </c>
      <c r="H225" s="2">
        <v>100000</v>
      </c>
      <c r="I225" s="2">
        <v>0</v>
      </c>
      <c r="J225" s="2" t="s">
        <v>1671</v>
      </c>
      <c r="K225" s="2">
        <v>41</v>
      </c>
      <c r="L225" s="2">
        <v>15</v>
      </c>
      <c r="M225" s="2">
        <v>5</v>
      </c>
      <c r="N225" s="2">
        <v>6</v>
      </c>
      <c r="O225" s="2">
        <v>15</v>
      </c>
      <c r="P225" s="2">
        <v>0</v>
      </c>
      <c r="Q225" s="2" t="s">
        <v>2121</v>
      </c>
      <c r="R225" s="2" t="s">
        <v>2121</v>
      </c>
      <c r="S225" s="4">
        <v>44837</v>
      </c>
    </row>
    <row r="226" spans="1:19" ht="12.5" hidden="1" x14ac:dyDescent="0.25">
      <c r="A226" s="14" t="str">
        <f>HYPERLINK("https://gerandofalcoes.my.salesforce.com/0014X00002VKCqPQAX", "0014X00002VKCqPQAX")</f>
        <v>0014X00002VKCqPQAX</v>
      </c>
      <c r="B226" s="2" t="s">
        <v>2122</v>
      </c>
      <c r="C226" s="2" t="s">
        <v>423</v>
      </c>
      <c r="D226" s="2" t="s">
        <v>2</v>
      </c>
      <c r="E226" s="2">
        <v>34.450000000000003</v>
      </c>
      <c r="F226" s="2">
        <v>5</v>
      </c>
      <c r="G226" s="2">
        <v>1</v>
      </c>
      <c r="H226" s="2">
        <v>0</v>
      </c>
      <c r="I226" s="2">
        <v>186</v>
      </c>
      <c r="J226" s="2" t="s">
        <v>1779</v>
      </c>
      <c r="K226" s="2">
        <v>36</v>
      </c>
      <c r="L226" s="2">
        <v>15</v>
      </c>
      <c r="M226" s="2">
        <v>5</v>
      </c>
      <c r="N226" s="2">
        <v>4</v>
      </c>
      <c r="O226" s="2">
        <v>0</v>
      </c>
      <c r="P226" s="2">
        <v>12</v>
      </c>
      <c r="Q226" s="2" t="s">
        <v>2123</v>
      </c>
      <c r="R226" s="2" t="s">
        <v>2124</v>
      </c>
      <c r="S226" s="4">
        <v>44837</v>
      </c>
    </row>
    <row r="227" spans="1:19" ht="12.5" hidden="1" x14ac:dyDescent="0.25">
      <c r="A227" s="14" t="str">
        <f>HYPERLINK("https://gerandofalcoes.my.salesforce.com/0014X00002VKCtYQAX", "0014X00002VKCtYQAX")</f>
        <v>0014X00002VKCtYQAX</v>
      </c>
      <c r="B227" s="2" t="s">
        <v>2125</v>
      </c>
      <c r="C227" s="2" t="s">
        <v>423</v>
      </c>
      <c r="D227" s="2" t="s">
        <v>2</v>
      </c>
      <c r="E227" s="2">
        <v>34.43</v>
      </c>
      <c r="F227" s="2">
        <v>3</v>
      </c>
      <c r="G227" s="2">
        <v>2</v>
      </c>
      <c r="H227" s="2">
        <v>7000</v>
      </c>
      <c r="I227" s="2">
        <v>70</v>
      </c>
      <c r="J227" s="2" t="s">
        <v>1779</v>
      </c>
      <c r="K227" s="2">
        <v>36</v>
      </c>
      <c r="L227" s="2">
        <v>15</v>
      </c>
      <c r="M227" s="2">
        <v>5</v>
      </c>
      <c r="N227" s="2">
        <v>6</v>
      </c>
      <c r="O227" s="2">
        <v>5</v>
      </c>
      <c r="P227" s="2">
        <v>5</v>
      </c>
      <c r="Q227" s="2" t="s">
        <v>2126</v>
      </c>
      <c r="R227" s="2" t="s">
        <v>2126</v>
      </c>
      <c r="S227" s="4">
        <v>44837</v>
      </c>
    </row>
    <row r="228" spans="1:19" ht="12.5" hidden="1" x14ac:dyDescent="0.25">
      <c r="A228" s="14" t="str">
        <f>HYPERLINK("https://gerandofalcoes.my.salesforce.com/0014P00003AN2FzQAL", "0014P00003AN2FzQAL")</f>
        <v>0014P00003AN2FzQAL</v>
      </c>
      <c r="B228" s="2" t="s">
        <v>2127</v>
      </c>
      <c r="C228" s="2" t="s">
        <v>423</v>
      </c>
      <c r="D228" s="2" t="s">
        <v>2</v>
      </c>
      <c r="E228" s="2">
        <v>34.17</v>
      </c>
      <c r="F228" s="2">
        <v>5</v>
      </c>
      <c r="G228" s="2">
        <v>5</v>
      </c>
      <c r="H228" s="2">
        <v>304000</v>
      </c>
      <c r="I228" s="2">
        <v>180</v>
      </c>
      <c r="J228" s="2" t="s">
        <v>1671</v>
      </c>
      <c r="K228" s="2">
        <v>62</v>
      </c>
      <c r="L228" s="2">
        <v>15</v>
      </c>
      <c r="M228" s="2">
        <v>5</v>
      </c>
      <c r="N228" s="2">
        <v>10</v>
      </c>
      <c r="O228" s="2">
        <v>20</v>
      </c>
      <c r="P228" s="2">
        <v>12</v>
      </c>
      <c r="Q228" s="2" t="s">
        <v>652</v>
      </c>
      <c r="R228" s="2" t="s">
        <v>652</v>
      </c>
      <c r="S228" s="4">
        <v>44837</v>
      </c>
    </row>
    <row r="229" spans="1:19" ht="12.5" hidden="1" x14ac:dyDescent="0.25">
      <c r="A229" s="14" t="str">
        <f>HYPERLINK("https://gerandofalcoes.my.salesforce.com/0014X00002VKCueQAH", "0014X00002VKCueQAH")</f>
        <v>0014X00002VKCueQAH</v>
      </c>
      <c r="B229" s="2" t="s">
        <v>2128</v>
      </c>
      <c r="C229" s="2" t="s">
        <v>423</v>
      </c>
      <c r="D229" s="2" t="s">
        <v>2</v>
      </c>
      <c r="E229" s="2">
        <v>34.020000000000003</v>
      </c>
      <c r="F229" s="2">
        <v>0</v>
      </c>
      <c r="G229" s="2">
        <v>3</v>
      </c>
      <c r="H229" s="2">
        <v>40000</v>
      </c>
      <c r="I229" s="2">
        <v>10</v>
      </c>
      <c r="J229" s="2" t="s">
        <v>1779</v>
      </c>
      <c r="K229" s="2">
        <v>38</v>
      </c>
      <c r="L229" s="2">
        <v>15</v>
      </c>
      <c r="M229" s="2">
        <v>0</v>
      </c>
      <c r="N229" s="2">
        <v>8</v>
      </c>
      <c r="O229" s="2">
        <v>10</v>
      </c>
      <c r="P229" s="2">
        <v>5</v>
      </c>
      <c r="Q229" s="2" t="s">
        <v>2129</v>
      </c>
      <c r="R229" s="2" t="s">
        <v>2130</v>
      </c>
      <c r="S229" s="4">
        <v>44837</v>
      </c>
    </row>
    <row r="230" spans="1:19" ht="12.5" hidden="1" x14ac:dyDescent="0.25">
      <c r="A230" s="14" t="str">
        <f>HYPERLINK("https://gerandofalcoes.my.salesforce.com/0014P00003YSp94QAD", "0014P00003YSp94QAD")</f>
        <v>0014P00003YSp94QAD</v>
      </c>
      <c r="B230" s="2" t="s">
        <v>2131</v>
      </c>
      <c r="C230" s="2" t="s">
        <v>1800</v>
      </c>
      <c r="D230" s="2" t="s">
        <v>2</v>
      </c>
      <c r="E230" s="2">
        <v>34</v>
      </c>
      <c r="F230" s="2">
        <v>0</v>
      </c>
      <c r="G230" s="2">
        <v>2</v>
      </c>
      <c r="H230" s="2">
        <v>25000</v>
      </c>
      <c r="I230" s="2">
        <v>600</v>
      </c>
      <c r="J230" s="2" t="s">
        <v>1671</v>
      </c>
      <c r="K230" s="2">
        <v>51</v>
      </c>
      <c r="L230" s="2">
        <v>15</v>
      </c>
      <c r="M230" s="2">
        <v>0</v>
      </c>
      <c r="N230" s="2">
        <v>6</v>
      </c>
      <c r="O230" s="2">
        <v>10</v>
      </c>
      <c r="P230" s="2">
        <v>20</v>
      </c>
      <c r="Q230" s="2" t="s">
        <v>2132</v>
      </c>
      <c r="R230" s="2" t="s">
        <v>2132</v>
      </c>
      <c r="S230" s="4">
        <v>44837</v>
      </c>
    </row>
    <row r="231" spans="1:19" ht="12.5" hidden="1" x14ac:dyDescent="0.25">
      <c r="A231" s="14" t="str">
        <f>HYPERLINK("https://gerandofalcoes.my.salesforce.com/0014P00003YSp9UQAT", "0014P00003YSp9UQAT")</f>
        <v>0014P00003YSp9UQAT</v>
      </c>
      <c r="B231" s="2" t="s">
        <v>2133</v>
      </c>
      <c r="C231" s="2" t="s">
        <v>1800</v>
      </c>
      <c r="D231" s="2" t="s">
        <v>2</v>
      </c>
      <c r="E231" s="2">
        <v>34</v>
      </c>
      <c r="F231" s="2">
        <v>39</v>
      </c>
      <c r="G231" s="2">
        <v>2</v>
      </c>
      <c r="H231" s="2">
        <v>2000</v>
      </c>
      <c r="I231" s="2">
        <v>280</v>
      </c>
      <c r="J231" s="2" t="s">
        <v>1671</v>
      </c>
      <c r="K231" s="2">
        <v>53</v>
      </c>
      <c r="L231" s="2">
        <v>15</v>
      </c>
      <c r="M231" s="2">
        <v>15</v>
      </c>
      <c r="N231" s="2">
        <v>6</v>
      </c>
      <c r="O231" s="2">
        <v>5</v>
      </c>
      <c r="P231" s="2">
        <v>12</v>
      </c>
      <c r="Q231" s="2" t="s">
        <v>2134</v>
      </c>
      <c r="R231" s="2" t="s">
        <v>2135</v>
      </c>
      <c r="S231" s="4">
        <v>44837</v>
      </c>
    </row>
    <row r="232" spans="1:19" ht="12.5" hidden="1" x14ac:dyDescent="0.25">
      <c r="A232" s="14" t="str">
        <f>HYPERLINK("https://gerandofalcoes.my.salesforce.com/0014P00003YSp7ZQAT", "0014P00003YSp7ZQAT")</f>
        <v>0014P00003YSp7ZQAT</v>
      </c>
      <c r="B232" s="2" t="s">
        <v>2136</v>
      </c>
      <c r="C232" s="2" t="s">
        <v>423</v>
      </c>
      <c r="D232" s="2" t="s">
        <v>2</v>
      </c>
      <c r="E232" s="2">
        <v>34</v>
      </c>
      <c r="F232" s="2">
        <v>0</v>
      </c>
      <c r="G232" s="2">
        <v>2</v>
      </c>
      <c r="H232" s="2">
        <v>50000</v>
      </c>
      <c r="I232" s="2">
        <v>210</v>
      </c>
      <c r="J232" s="2" t="s">
        <v>1671</v>
      </c>
      <c r="K232" s="2">
        <v>43</v>
      </c>
      <c r="L232" s="2">
        <v>15</v>
      </c>
      <c r="M232" s="2">
        <v>0</v>
      </c>
      <c r="N232" s="2">
        <v>6</v>
      </c>
      <c r="O232" s="2">
        <v>10</v>
      </c>
      <c r="P232" s="2">
        <v>12</v>
      </c>
      <c r="Q232" s="2" t="s">
        <v>2137</v>
      </c>
      <c r="R232" s="2" t="s">
        <v>2138</v>
      </c>
      <c r="S232" s="4">
        <v>44837</v>
      </c>
    </row>
    <row r="233" spans="1:19" ht="12.5" hidden="1" x14ac:dyDescent="0.25">
      <c r="A233" s="14" t="str">
        <f>HYPERLINK("https://gerandofalcoes.my.salesforce.com/0014P00003YSp8CQAT", "0014P00003YSp8CQAT")</f>
        <v>0014P00003YSp8CQAT</v>
      </c>
      <c r="B233" s="2" t="s">
        <v>2139</v>
      </c>
      <c r="C233" s="2" t="s">
        <v>423</v>
      </c>
      <c r="D233" s="2" t="s">
        <v>2</v>
      </c>
      <c r="E233" s="2">
        <v>34</v>
      </c>
      <c r="F233" s="2">
        <v>11</v>
      </c>
      <c r="G233" s="2">
        <v>4</v>
      </c>
      <c r="H233" s="2">
        <v>309270</v>
      </c>
      <c r="I233" s="2">
        <v>200</v>
      </c>
      <c r="J233" s="2" t="s">
        <v>1650</v>
      </c>
      <c r="K233" s="2">
        <v>69</v>
      </c>
      <c r="L233" s="2">
        <v>15</v>
      </c>
      <c r="M233" s="2">
        <v>12</v>
      </c>
      <c r="N233" s="2">
        <v>10</v>
      </c>
      <c r="O233" s="2">
        <v>20</v>
      </c>
      <c r="P233" s="2">
        <v>12</v>
      </c>
      <c r="Q233" s="2" t="s">
        <v>2140</v>
      </c>
      <c r="R233" s="2" t="s">
        <v>2140</v>
      </c>
      <c r="S233" s="4">
        <v>44837</v>
      </c>
    </row>
    <row r="234" spans="1:19" ht="12.5" hidden="1" x14ac:dyDescent="0.25">
      <c r="A234" s="14" t="str">
        <f>HYPERLINK("https://gerandofalcoes.my.salesforce.com/0014X00002VKCv3QAH", "0014X00002VKCv3QAH")</f>
        <v>0014X00002VKCv3QAH</v>
      </c>
      <c r="B234" s="2" t="s">
        <v>2141</v>
      </c>
      <c r="C234" s="2" t="s">
        <v>1800</v>
      </c>
      <c r="D234" s="2" t="s">
        <v>2</v>
      </c>
      <c r="E234" s="2">
        <v>34</v>
      </c>
      <c r="F234" s="2">
        <v>0</v>
      </c>
      <c r="G234" s="2">
        <v>3</v>
      </c>
      <c r="H234" s="2">
        <v>12000</v>
      </c>
      <c r="I234" s="2">
        <v>20</v>
      </c>
      <c r="J234" s="2" t="s">
        <v>1779</v>
      </c>
      <c r="K234" s="2">
        <v>33</v>
      </c>
      <c r="L234" s="2">
        <v>15</v>
      </c>
      <c r="M234" s="2">
        <v>0</v>
      </c>
      <c r="N234" s="2">
        <v>8</v>
      </c>
      <c r="O234" s="2">
        <v>5</v>
      </c>
      <c r="P234" s="2">
        <v>5</v>
      </c>
      <c r="Q234" s="2" t="s">
        <v>2142</v>
      </c>
      <c r="R234" s="2" t="s">
        <v>2143</v>
      </c>
      <c r="S234" s="4">
        <v>44837</v>
      </c>
    </row>
    <row r="235" spans="1:19" ht="12.5" hidden="1" x14ac:dyDescent="0.25">
      <c r="A235" s="14" t="str">
        <f>HYPERLINK("https://gerandofalcoes.my.salesforce.com/0014X00002VKCtjQAH", "0014X00002VKCtjQAH")</f>
        <v>0014X00002VKCtjQAH</v>
      </c>
      <c r="B235" s="2" t="s">
        <v>2144</v>
      </c>
      <c r="C235" s="2" t="s">
        <v>423</v>
      </c>
      <c r="D235" s="2" t="s">
        <v>2</v>
      </c>
      <c r="E235" s="2">
        <v>33.86</v>
      </c>
      <c r="F235" s="2">
        <v>0</v>
      </c>
      <c r="G235" s="2">
        <v>5</v>
      </c>
      <c r="H235" s="2">
        <v>120000</v>
      </c>
      <c r="I235" s="2">
        <v>100</v>
      </c>
      <c r="J235" s="2" t="s">
        <v>1671</v>
      </c>
      <c r="K235" s="2">
        <v>50</v>
      </c>
      <c r="L235" s="2">
        <v>15</v>
      </c>
      <c r="M235" s="2">
        <v>0</v>
      </c>
      <c r="N235" s="2">
        <v>10</v>
      </c>
      <c r="O235" s="2">
        <v>15</v>
      </c>
      <c r="P235" s="2">
        <v>10</v>
      </c>
      <c r="Q235" s="2" t="s">
        <v>2145</v>
      </c>
      <c r="R235" s="2" t="s">
        <v>2146</v>
      </c>
      <c r="S235" s="4">
        <v>44837</v>
      </c>
    </row>
    <row r="236" spans="1:19" ht="12.5" hidden="1" x14ac:dyDescent="0.25">
      <c r="A236" s="14" t="str">
        <f>HYPERLINK("https://gerandofalcoes.my.salesforce.com/0014P00003YSp9HQAT", "0014P00003YSp9HQAT")</f>
        <v>0014P00003YSp9HQAT</v>
      </c>
      <c r="B236" s="2" t="s">
        <v>2147</v>
      </c>
      <c r="C236" s="2" t="s">
        <v>423</v>
      </c>
      <c r="D236" s="2" t="s">
        <v>2</v>
      </c>
      <c r="E236" s="2">
        <v>33.74</v>
      </c>
      <c r="F236" s="2">
        <v>0</v>
      </c>
      <c r="G236" s="2">
        <v>2</v>
      </c>
      <c r="H236" s="2">
        <v>6435</v>
      </c>
      <c r="I236" s="2">
        <v>0</v>
      </c>
      <c r="J236" s="2" t="s">
        <v>1779</v>
      </c>
      <c r="K236" s="2">
        <v>26</v>
      </c>
      <c r="L236" s="2">
        <v>15</v>
      </c>
      <c r="M236" s="2">
        <v>0</v>
      </c>
      <c r="N236" s="2">
        <v>6</v>
      </c>
      <c r="O236" s="2">
        <v>5</v>
      </c>
      <c r="P236" s="2">
        <v>0</v>
      </c>
      <c r="Q236" s="2" t="s">
        <v>2148</v>
      </c>
      <c r="R236" s="2" t="s">
        <v>2149</v>
      </c>
      <c r="S236" s="4">
        <v>44837</v>
      </c>
    </row>
    <row r="237" spans="1:19" ht="12.5" hidden="1" x14ac:dyDescent="0.25">
      <c r="A237" s="14" t="str">
        <f>HYPERLINK("https://gerandofalcoes.my.salesforce.com/0014P00003AN2G2QAL", "0014P00003AN2G2QAL")</f>
        <v>0014P00003AN2G2QAL</v>
      </c>
      <c r="B237" s="2" t="s">
        <v>2150</v>
      </c>
      <c r="C237" s="2" t="s">
        <v>423</v>
      </c>
      <c r="D237" s="2" t="s">
        <v>2</v>
      </c>
      <c r="E237" s="2">
        <v>33.44</v>
      </c>
      <c r="F237" s="2">
        <v>10</v>
      </c>
      <c r="G237" s="2">
        <v>1</v>
      </c>
      <c r="H237" s="2">
        <v>30485954</v>
      </c>
      <c r="I237" s="2">
        <v>200</v>
      </c>
      <c r="J237" s="2" t="s">
        <v>1650</v>
      </c>
      <c r="K237" s="2">
        <v>66</v>
      </c>
      <c r="L237" s="2">
        <v>15</v>
      </c>
      <c r="M237" s="2">
        <v>10</v>
      </c>
      <c r="N237" s="2">
        <v>4</v>
      </c>
      <c r="O237" s="2">
        <v>25</v>
      </c>
      <c r="P237" s="2">
        <v>12</v>
      </c>
      <c r="Q237" s="2" t="s">
        <v>911</v>
      </c>
      <c r="R237" s="2" t="s">
        <v>2151</v>
      </c>
      <c r="S237" s="4">
        <v>44837</v>
      </c>
    </row>
    <row r="238" spans="1:19" ht="12.5" hidden="1" x14ac:dyDescent="0.25">
      <c r="A238" s="14" t="str">
        <f>HYPERLINK("https://gerandofalcoes.my.salesforce.com/0014X00002VKCpjQAH", "0014X00002VKCpjQAH")</f>
        <v>0014X00002VKCpjQAH</v>
      </c>
      <c r="B238" s="2" t="s">
        <v>2152</v>
      </c>
      <c r="C238" s="2" t="s">
        <v>423</v>
      </c>
      <c r="D238" s="2" t="s">
        <v>2</v>
      </c>
      <c r="E238" s="2">
        <v>33.44</v>
      </c>
      <c r="F238" s="2">
        <v>0</v>
      </c>
      <c r="G238" s="2">
        <v>2</v>
      </c>
      <c r="H238" s="2">
        <v>160028</v>
      </c>
      <c r="I238" s="2">
        <v>156</v>
      </c>
      <c r="J238" s="2" t="s">
        <v>1671</v>
      </c>
      <c r="K238" s="2">
        <v>48</v>
      </c>
      <c r="L238" s="2">
        <v>15</v>
      </c>
      <c r="M238" s="2">
        <v>0</v>
      </c>
      <c r="N238" s="2">
        <v>6</v>
      </c>
      <c r="O238" s="2">
        <v>15</v>
      </c>
      <c r="P238" s="2">
        <v>12</v>
      </c>
      <c r="Q238" s="2" t="s">
        <v>2153</v>
      </c>
      <c r="R238" s="2" t="s">
        <v>2154</v>
      </c>
      <c r="S238" s="4">
        <v>44837</v>
      </c>
    </row>
    <row r="239" spans="1:19" ht="12.5" hidden="1" x14ac:dyDescent="0.25">
      <c r="A239" s="14" t="str">
        <f>HYPERLINK("https://gerandofalcoes.my.salesforce.com/0014X00002VKCuAQAX", "0014X00002VKCuAQAX")</f>
        <v>0014X00002VKCuAQAX</v>
      </c>
      <c r="B239" s="2" t="s">
        <v>2155</v>
      </c>
      <c r="C239" s="2" t="s">
        <v>423</v>
      </c>
      <c r="D239" s="2" t="s">
        <v>2</v>
      </c>
      <c r="E239" s="2">
        <v>33.15</v>
      </c>
      <c r="F239" s="2">
        <v>0</v>
      </c>
      <c r="G239" s="2">
        <v>2</v>
      </c>
      <c r="H239" s="2">
        <v>25000</v>
      </c>
      <c r="I239" s="2">
        <v>25</v>
      </c>
      <c r="J239" s="2" t="s">
        <v>1779</v>
      </c>
      <c r="K239" s="2">
        <v>36</v>
      </c>
      <c r="L239" s="2">
        <v>15</v>
      </c>
      <c r="M239" s="2">
        <v>0</v>
      </c>
      <c r="N239" s="2">
        <v>6</v>
      </c>
      <c r="O239" s="2">
        <v>10</v>
      </c>
      <c r="P239" s="2">
        <v>5</v>
      </c>
      <c r="Q239" s="2" t="s">
        <v>2156</v>
      </c>
      <c r="R239" s="2" t="s">
        <v>2157</v>
      </c>
      <c r="S239" s="4">
        <v>44837</v>
      </c>
    </row>
    <row r="240" spans="1:19" ht="12.5" hidden="1" x14ac:dyDescent="0.25">
      <c r="A240" s="14" t="str">
        <f>HYPERLINK("https://gerandofalcoes.my.salesforce.com/0014X00002VKCu1QAH", "0014X00002VKCu1QAH")</f>
        <v>0014X00002VKCu1QAH</v>
      </c>
      <c r="B240" s="2" t="s">
        <v>2158</v>
      </c>
      <c r="C240" s="2" t="s">
        <v>1800</v>
      </c>
      <c r="D240" s="2" t="s">
        <v>2</v>
      </c>
      <c r="E240" s="2">
        <v>33</v>
      </c>
      <c r="F240" s="2">
        <v>0</v>
      </c>
      <c r="G240" s="2">
        <v>3</v>
      </c>
      <c r="H240" s="2">
        <v>10000</v>
      </c>
      <c r="I240" s="2">
        <v>3500</v>
      </c>
      <c r="J240" s="2" t="s">
        <v>1671</v>
      </c>
      <c r="K240" s="2">
        <v>48</v>
      </c>
      <c r="L240" s="2">
        <v>15</v>
      </c>
      <c r="M240" s="2">
        <v>0</v>
      </c>
      <c r="N240" s="2">
        <v>8</v>
      </c>
      <c r="O240" s="2">
        <v>5</v>
      </c>
      <c r="P240" s="2">
        <v>20</v>
      </c>
      <c r="Q240" s="2" t="s">
        <v>2159</v>
      </c>
      <c r="R240" s="2" t="s">
        <v>2160</v>
      </c>
      <c r="S240" s="4">
        <v>44837</v>
      </c>
    </row>
    <row r="241" spans="1:19" ht="12.5" hidden="1" x14ac:dyDescent="0.25">
      <c r="A241" s="14" t="str">
        <f>HYPERLINK("https://gerandofalcoes.my.salesforce.com/0014P00003YSp8uQAD", "0014P00003YSp8uQAD")</f>
        <v>0014P00003YSp8uQAD</v>
      </c>
      <c r="B241" s="2" t="s">
        <v>2161</v>
      </c>
      <c r="C241" s="2" t="s">
        <v>1800</v>
      </c>
      <c r="D241" s="2" t="s">
        <v>2</v>
      </c>
      <c r="E241" s="2">
        <v>33</v>
      </c>
      <c r="F241" s="2">
        <v>38</v>
      </c>
      <c r="G241" s="2">
        <v>3</v>
      </c>
      <c r="H241" s="2">
        <v>1726721</v>
      </c>
      <c r="I241" s="2">
        <v>1200</v>
      </c>
      <c r="J241" s="2" t="s">
        <v>1654</v>
      </c>
      <c r="K241" s="2">
        <v>83</v>
      </c>
      <c r="L241" s="2">
        <v>15</v>
      </c>
      <c r="M241" s="2">
        <v>15</v>
      </c>
      <c r="N241" s="2">
        <v>8</v>
      </c>
      <c r="O241" s="2">
        <v>25</v>
      </c>
      <c r="P241" s="2">
        <v>20</v>
      </c>
      <c r="Q241" s="2" t="s">
        <v>2162</v>
      </c>
      <c r="R241" s="2" t="s">
        <v>2163</v>
      </c>
      <c r="S241" s="4">
        <v>44837</v>
      </c>
    </row>
    <row r="242" spans="1:19" ht="12.5" hidden="1" x14ac:dyDescent="0.25">
      <c r="A242" s="14" t="str">
        <f>HYPERLINK("https://gerandofalcoes.my.salesforce.com/0014X00002VKCq1QAH", "0014X00002VKCq1QAH")</f>
        <v>0014X00002VKCq1QAH</v>
      </c>
      <c r="B242" s="2" t="s">
        <v>2164</v>
      </c>
      <c r="C242" s="2" t="s">
        <v>1684</v>
      </c>
      <c r="D242" s="2" t="s">
        <v>2</v>
      </c>
      <c r="E242" s="2">
        <v>33</v>
      </c>
      <c r="F242" s="2">
        <v>0</v>
      </c>
      <c r="G242" s="2">
        <v>2</v>
      </c>
      <c r="H242" s="2">
        <v>5000</v>
      </c>
      <c r="I242" s="2">
        <v>250</v>
      </c>
      <c r="J242" s="2" t="s">
        <v>1779</v>
      </c>
      <c r="K242" s="2">
        <v>38</v>
      </c>
      <c r="L242" s="2">
        <v>15</v>
      </c>
      <c r="M242" s="2">
        <v>0</v>
      </c>
      <c r="N242" s="2">
        <v>6</v>
      </c>
      <c r="O242" s="2">
        <v>5</v>
      </c>
      <c r="P242" s="2">
        <v>12</v>
      </c>
      <c r="Q242" s="2" t="s">
        <v>2165</v>
      </c>
      <c r="R242" s="2" t="s">
        <v>2166</v>
      </c>
      <c r="S242" s="4">
        <v>44837</v>
      </c>
    </row>
    <row r="243" spans="1:19" ht="12.5" hidden="1" x14ac:dyDescent="0.25">
      <c r="A243" s="14" t="str">
        <f>HYPERLINK("https://gerandofalcoes.my.salesforce.com/0014P00003YSp8KQAT", "0014P00003YSp8KQAT")</f>
        <v>0014P00003YSp8KQAT</v>
      </c>
      <c r="B243" s="2" t="s">
        <v>2167</v>
      </c>
      <c r="C243" s="2" t="s">
        <v>1800</v>
      </c>
      <c r="D243" s="2" t="s">
        <v>2</v>
      </c>
      <c r="E243" s="2">
        <v>33</v>
      </c>
      <c r="F243" s="2">
        <v>2</v>
      </c>
      <c r="G243" s="2">
        <v>4</v>
      </c>
      <c r="H243" s="2">
        <v>400000</v>
      </c>
      <c r="I243" s="2">
        <v>250</v>
      </c>
      <c r="J243" s="2" t="s">
        <v>1671</v>
      </c>
      <c r="K243" s="2">
        <v>62</v>
      </c>
      <c r="L243" s="2">
        <v>15</v>
      </c>
      <c r="M243" s="2">
        <v>5</v>
      </c>
      <c r="N243" s="2">
        <v>10</v>
      </c>
      <c r="O243" s="2">
        <v>20</v>
      </c>
      <c r="P243" s="2">
        <v>12</v>
      </c>
      <c r="Q243" s="2" t="s">
        <v>2168</v>
      </c>
      <c r="R243" s="2" t="s">
        <v>2168</v>
      </c>
      <c r="S243" s="4">
        <v>44837</v>
      </c>
    </row>
    <row r="244" spans="1:19" ht="12.5" hidden="1" x14ac:dyDescent="0.25">
      <c r="A244" s="14" t="str">
        <f>HYPERLINK("https://gerandofalcoes.my.salesforce.com/0014P00003YSp7bQAD", "0014P00003YSp7bQAD")</f>
        <v>0014P00003YSp7bQAD</v>
      </c>
      <c r="B244" s="2" t="s">
        <v>2169</v>
      </c>
      <c r="C244" s="2" t="s">
        <v>1684</v>
      </c>
      <c r="D244" s="2" t="s">
        <v>2</v>
      </c>
      <c r="E244" s="2">
        <v>33</v>
      </c>
      <c r="F244" s="2">
        <v>40</v>
      </c>
      <c r="G244" s="2">
        <v>2</v>
      </c>
      <c r="H244" s="2">
        <v>50000</v>
      </c>
      <c r="I244" s="2">
        <v>150</v>
      </c>
      <c r="J244" s="2" t="s">
        <v>1671</v>
      </c>
      <c r="K244" s="2">
        <v>58</v>
      </c>
      <c r="L244" s="2">
        <v>15</v>
      </c>
      <c r="M244" s="2">
        <v>15</v>
      </c>
      <c r="N244" s="2">
        <v>6</v>
      </c>
      <c r="O244" s="2">
        <v>10</v>
      </c>
      <c r="P244" s="2">
        <v>12</v>
      </c>
      <c r="Q244" s="2" t="s">
        <v>2170</v>
      </c>
      <c r="R244" s="2" t="s">
        <v>2171</v>
      </c>
      <c r="S244" s="4">
        <v>44837</v>
      </c>
    </row>
    <row r="245" spans="1:19" ht="12.5" hidden="1" x14ac:dyDescent="0.25">
      <c r="A245" s="14" t="str">
        <f>HYPERLINK("https://gerandofalcoes.my.salesforce.com/0014X00002VKCu5QAH", "0014X00002VKCu5QAH")</f>
        <v>0014X00002VKCu5QAH</v>
      </c>
      <c r="B245" s="2" t="s">
        <v>2172</v>
      </c>
      <c r="C245" s="2" t="s">
        <v>423</v>
      </c>
      <c r="D245" s="2" t="s">
        <v>2</v>
      </c>
      <c r="E245" s="2">
        <v>33</v>
      </c>
      <c r="F245" s="2">
        <v>17</v>
      </c>
      <c r="G245" s="2">
        <v>1</v>
      </c>
      <c r="H245" s="2">
        <v>12000</v>
      </c>
      <c r="I245" s="2">
        <v>125</v>
      </c>
      <c r="J245" s="2" t="s">
        <v>1671</v>
      </c>
      <c r="K245" s="2">
        <v>46</v>
      </c>
      <c r="L245" s="2">
        <v>15</v>
      </c>
      <c r="M245" s="2">
        <v>12</v>
      </c>
      <c r="N245" s="2">
        <v>4</v>
      </c>
      <c r="O245" s="2">
        <v>5</v>
      </c>
      <c r="P245" s="2">
        <v>10</v>
      </c>
      <c r="Q245" s="2" t="s">
        <v>2173</v>
      </c>
      <c r="R245" s="2" t="s">
        <v>2174</v>
      </c>
      <c r="S245" s="4">
        <v>44837</v>
      </c>
    </row>
    <row r="246" spans="1:19" ht="12.5" hidden="1" x14ac:dyDescent="0.25">
      <c r="A246" s="14" t="str">
        <f>HYPERLINK("https://gerandofalcoes.my.salesforce.com/0014P00003YSp90QAD", "0014P00003YSp90QAD")</f>
        <v>0014P00003YSp90QAD</v>
      </c>
      <c r="B246" s="2" t="s">
        <v>2175</v>
      </c>
      <c r="C246" s="2" t="s">
        <v>1800</v>
      </c>
      <c r="D246" s="2" t="s">
        <v>2</v>
      </c>
      <c r="E246" s="2">
        <v>33</v>
      </c>
      <c r="F246" s="2">
        <v>41</v>
      </c>
      <c r="G246" s="2">
        <v>4</v>
      </c>
      <c r="H246" s="2">
        <v>0</v>
      </c>
      <c r="I246" s="2">
        <v>98</v>
      </c>
      <c r="J246" s="2" t="s">
        <v>1671</v>
      </c>
      <c r="K246" s="2">
        <v>50</v>
      </c>
      <c r="L246" s="2">
        <v>15</v>
      </c>
      <c r="M246" s="2">
        <v>15</v>
      </c>
      <c r="N246" s="2">
        <v>10</v>
      </c>
      <c r="O246" s="2">
        <v>0</v>
      </c>
      <c r="P246" s="2">
        <v>10</v>
      </c>
      <c r="Q246" s="2" t="s">
        <v>2176</v>
      </c>
      <c r="R246" s="2" t="s">
        <v>2177</v>
      </c>
      <c r="S246" s="4">
        <v>44837</v>
      </c>
    </row>
    <row r="247" spans="1:19" ht="12.5" hidden="1" x14ac:dyDescent="0.25">
      <c r="A247" s="14" t="str">
        <f>HYPERLINK("https://gerandofalcoes.my.salesforce.com/0014P00003YSp8FQAT", "0014P00003YSp8FQAT")</f>
        <v>0014P00003YSp8FQAT</v>
      </c>
      <c r="B247" s="2" t="s">
        <v>2178</v>
      </c>
      <c r="C247" s="2" t="s">
        <v>1684</v>
      </c>
      <c r="D247" s="2" t="s">
        <v>2</v>
      </c>
      <c r="E247" s="2">
        <v>33</v>
      </c>
      <c r="F247" s="2">
        <v>10</v>
      </c>
      <c r="G247" s="2">
        <v>0</v>
      </c>
      <c r="H247" s="2">
        <v>0</v>
      </c>
      <c r="I247" s="2">
        <v>60</v>
      </c>
      <c r="J247" s="2" t="s">
        <v>1779</v>
      </c>
      <c r="K247" s="2">
        <v>30</v>
      </c>
      <c r="L247" s="2">
        <v>15</v>
      </c>
      <c r="M247" s="2">
        <v>10</v>
      </c>
      <c r="N247" s="2">
        <v>0</v>
      </c>
      <c r="O247" s="2">
        <v>0</v>
      </c>
      <c r="P247" s="2">
        <v>5</v>
      </c>
      <c r="Q247" s="2" t="s">
        <v>2179</v>
      </c>
      <c r="R247" s="2" t="s">
        <v>2179</v>
      </c>
      <c r="S247" s="4">
        <v>44837</v>
      </c>
    </row>
    <row r="248" spans="1:19" ht="12.5" hidden="1" x14ac:dyDescent="0.25">
      <c r="A248" s="14" t="str">
        <f>HYPERLINK("https://gerandofalcoes.my.salesforce.com/0014X00002VKCrTQAX", "0014X00002VKCrTQAX")</f>
        <v>0014X00002VKCrTQAX</v>
      </c>
      <c r="B248" s="2" t="s">
        <v>2180</v>
      </c>
      <c r="C248" s="2" t="s">
        <v>423</v>
      </c>
      <c r="D248" s="2" t="s">
        <v>2</v>
      </c>
      <c r="E248" s="2">
        <v>33</v>
      </c>
      <c r="F248" s="2">
        <v>0</v>
      </c>
      <c r="G248" s="2">
        <v>5</v>
      </c>
      <c r="H248" s="2">
        <v>0</v>
      </c>
      <c r="I248" s="2">
        <v>40</v>
      </c>
      <c r="J248" s="2" t="s">
        <v>1779</v>
      </c>
      <c r="K248" s="2">
        <v>30</v>
      </c>
      <c r="L248" s="2">
        <v>15</v>
      </c>
      <c r="M248" s="2">
        <v>0</v>
      </c>
      <c r="N248" s="2">
        <v>10</v>
      </c>
      <c r="O248" s="2">
        <v>0</v>
      </c>
      <c r="P248" s="2">
        <v>5</v>
      </c>
      <c r="Q248" s="2" t="s">
        <v>2181</v>
      </c>
      <c r="R248" s="2" t="s">
        <v>2181</v>
      </c>
      <c r="S248" s="4">
        <v>44837</v>
      </c>
    </row>
    <row r="249" spans="1:19" ht="12.5" hidden="1" x14ac:dyDescent="0.25">
      <c r="A249" s="14" t="str">
        <f>HYPERLINK("https://gerandofalcoes.my.salesforce.com/0014X00002VKCpCQAX", "0014X00002VKCpCQAX")</f>
        <v>0014X00002VKCpCQAX</v>
      </c>
      <c r="B249" s="2" t="s">
        <v>2182</v>
      </c>
      <c r="C249" s="2" t="s">
        <v>423</v>
      </c>
      <c r="D249" s="2" t="s">
        <v>2</v>
      </c>
      <c r="E249" s="2">
        <v>33</v>
      </c>
      <c r="F249" s="2">
        <v>0</v>
      </c>
      <c r="G249" s="2">
        <v>0</v>
      </c>
      <c r="H249" s="2">
        <v>0</v>
      </c>
      <c r="I249" s="2">
        <v>30</v>
      </c>
      <c r="J249" s="2" t="s">
        <v>1779</v>
      </c>
      <c r="K249" s="2">
        <v>20</v>
      </c>
      <c r="L249" s="2">
        <v>15</v>
      </c>
      <c r="M249" s="2">
        <v>0</v>
      </c>
      <c r="N249" s="2">
        <v>0</v>
      </c>
      <c r="O249" s="2">
        <v>0</v>
      </c>
      <c r="P249" s="2">
        <v>5</v>
      </c>
      <c r="Q249" s="2" t="s">
        <v>2183</v>
      </c>
      <c r="R249" s="2" t="s">
        <v>2184</v>
      </c>
      <c r="S249" s="4">
        <v>44837</v>
      </c>
    </row>
    <row r="250" spans="1:19" ht="12.5" hidden="1" x14ac:dyDescent="0.25">
      <c r="A250" s="14" t="str">
        <f>HYPERLINK("https://gerandofalcoes.my.salesforce.com/0014X00002VKCpNQAX", "0014X00002VKCpNQAX")</f>
        <v>0014X00002VKCpNQAX</v>
      </c>
      <c r="B250" s="2" t="s">
        <v>2185</v>
      </c>
      <c r="C250" s="2" t="s">
        <v>1800</v>
      </c>
      <c r="D250" s="2" t="s">
        <v>2</v>
      </c>
      <c r="E250" s="2">
        <v>33</v>
      </c>
      <c r="F250" s="2">
        <v>0</v>
      </c>
      <c r="G250" s="2">
        <v>4</v>
      </c>
      <c r="H250" s="2">
        <v>800</v>
      </c>
      <c r="I250" s="2">
        <v>25</v>
      </c>
      <c r="J250" s="2" t="s">
        <v>1779</v>
      </c>
      <c r="K250" s="2">
        <v>35</v>
      </c>
      <c r="L250" s="2">
        <v>15</v>
      </c>
      <c r="M250" s="2">
        <v>0</v>
      </c>
      <c r="N250" s="2">
        <v>10</v>
      </c>
      <c r="O250" s="2">
        <v>5</v>
      </c>
      <c r="P250" s="2">
        <v>5</v>
      </c>
      <c r="Q250" s="2" t="s">
        <v>2186</v>
      </c>
      <c r="R250" s="2" t="s">
        <v>2187</v>
      </c>
      <c r="S250" s="4">
        <v>44837</v>
      </c>
    </row>
    <row r="251" spans="1:19" ht="12.5" hidden="1" x14ac:dyDescent="0.25">
      <c r="A251" s="14" t="str">
        <f>HYPERLINK("https://gerandofalcoes.my.salesforce.com/0014X00002VKCtHQAX", "0014X00002VKCtHQAX")</f>
        <v>0014X00002VKCtHQAX</v>
      </c>
      <c r="B251" s="2" t="s">
        <v>2188</v>
      </c>
      <c r="C251" s="2" t="s">
        <v>423</v>
      </c>
      <c r="D251" s="2" t="s">
        <v>2</v>
      </c>
      <c r="E251" s="2">
        <v>33</v>
      </c>
      <c r="F251" s="2">
        <v>0</v>
      </c>
      <c r="G251" s="2">
        <v>3</v>
      </c>
      <c r="H251" s="2">
        <v>3000</v>
      </c>
      <c r="I251" s="2">
        <v>0</v>
      </c>
      <c r="J251" s="2" t="s">
        <v>1779</v>
      </c>
      <c r="K251" s="2">
        <v>28</v>
      </c>
      <c r="L251" s="2">
        <v>15</v>
      </c>
      <c r="M251" s="2">
        <v>0</v>
      </c>
      <c r="N251" s="2">
        <v>8</v>
      </c>
      <c r="O251" s="2">
        <v>5</v>
      </c>
      <c r="P251" s="2">
        <v>0</v>
      </c>
      <c r="Q251" s="2" t="s">
        <v>2189</v>
      </c>
      <c r="R251" s="2" t="s">
        <v>2190</v>
      </c>
      <c r="S251" s="4">
        <v>44837</v>
      </c>
    </row>
    <row r="252" spans="1:19" ht="12.5" hidden="1" x14ac:dyDescent="0.25">
      <c r="A252" s="14" t="str">
        <f>HYPERLINK("https://gerandofalcoes.my.salesforce.com/0014P00003YSpAFQA1", "0014P00003YSpAFQA1")</f>
        <v>0014P00003YSpAFQA1</v>
      </c>
      <c r="B252" s="2" t="s">
        <v>2191</v>
      </c>
      <c r="C252" s="2" t="s">
        <v>1684</v>
      </c>
      <c r="D252" s="2" t="s">
        <v>2</v>
      </c>
      <c r="E252" s="2">
        <v>33</v>
      </c>
      <c r="F252" s="2">
        <v>3</v>
      </c>
      <c r="G252" s="2">
        <v>0</v>
      </c>
      <c r="H252" s="2">
        <v>0</v>
      </c>
      <c r="I252" s="2">
        <v>0</v>
      </c>
      <c r="J252" s="2" t="s">
        <v>1779</v>
      </c>
      <c r="K252" s="2">
        <v>20</v>
      </c>
      <c r="L252" s="2">
        <v>15</v>
      </c>
      <c r="M252" s="2">
        <v>5</v>
      </c>
      <c r="N252" s="2">
        <v>0</v>
      </c>
      <c r="O252" s="2">
        <v>0</v>
      </c>
      <c r="P252" s="2">
        <v>0</v>
      </c>
      <c r="Q252" s="2" t="s">
        <v>2192</v>
      </c>
      <c r="R252" s="2" t="s">
        <v>2193</v>
      </c>
      <c r="S252" s="4">
        <v>44837</v>
      </c>
    </row>
    <row r="253" spans="1:19" ht="12.5" hidden="1" x14ac:dyDescent="0.25">
      <c r="A253" s="14" t="str">
        <f>HYPERLINK("https://gerandofalcoes.my.salesforce.com/0014P00003YSp9TQAT", "0014P00003YSp9TQAT")</f>
        <v>0014P00003YSp9TQAT</v>
      </c>
      <c r="B253" s="2" t="s">
        <v>2194</v>
      </c>
      <c r="C253" s="2" t="s">
        <v>423</v>
      </c>
      <c r="D253" s="2" t="s">
        <v>2</v>
      </c>
      <c r="E253" s="2">
        <v>33</v>
      </c>
      <c r="F253" s="2">
        <v>0</v>
      </c>
      <c r="G253" s="2">
        <v>3</v>
      </c>
      <c r="H253" s="2">
        <v>55000</v>
      </c>
      <c r="I253" s="2">
        <v>0</v>
      </c>
      <c r="J253" s="2" t="s">
        <v>1779</v>
      </c>
      <c r="K253" s="2">
        <v>33</v>
      </c>
      <c r="L253" s="2">
        <v>15</v>
      </c>
      <c r="M253" s="2">
        <v>0</v>
      </c>
      <c r="N253" s="2">
        <v>8</v>
      </c>
      <c r="O253" s="2">
        <v>10</v>
      </c>
      <c r="P253" s="2">
        <v>0</v>
      </c>
      <c r="Q253" s="2" t="s">
        <v>2195</v>
      </c>
      <c r="R253" s="2" t="s">
        <v>2196</v>
      </c>
      <c r="S253" s="4">
        <v>44837</v>
      </c>
    </row>
    <row r="254" spans="1:19" ht="12.5" hidden="1" x14ac:dyDescent="0.25">
      <c r="A254" s="14" t="str">
        <f>HYPERLINK("https://gerandofalcoes.my.salesforce.com/0014X00002VKCqSQAX", "0014X00002VKCqSQAX")</f>
        <v>0014X00002VKCqSQAX</v>
      </c>
      <c r="B254" s="2" t="s">
        <v>2197</v>
      </c>
      <c r="C254" s="2" t="s">
        <v>1800</v>
      </c>
      <c r="D254" s="2" t="s">
        <v>2</v>
      </c>
      <c r="E254" s="2">
        <v>33</v>
      </c>
      <c r="F254" s="2">
        <v>0</v>
      </c>
      <c r="G254" s="2">
        <v>3</v>
      </c>
      <c r="H254" s="2">
        <v>2160</v>
      </c>
      <c r="I254" s="2">
        <v>0</v>
      </c>
      <c r="J254" s="2" t="s">
        <v>1779</v>
      </c>
      <c r="K254" s="2">
        <v>28</v>
      </c>
      <c r="L254" s="2">
        <v>15</v>
      </c>
      <c r="M254" s="2">
        <v>0</v>
      </c>
      <c r="N254" s="2">
        <v>8</v>
      </c>
      <c r="O254" s="2">
        <v>5</v>
      </c>
      <c r="P254" s="2">
        <v>0</v>
      </c>
      <c r="Q254" s="2" t="s">
        <v>2198</v>
      </c>
      <c r="R254" s="2" t="s">
        <v>2199</v>
      </c>
      <c r="S254" s="4">
        <v>44837</v>
      </c>
    </row>
    <row r="255" spans="1:19" ht="12.5" hidden="1" x14ac:dyDescent="0.25">
      <c r="A255" s="14" t="str">
        <f>HYPERLINK("https://gerandofalcoes.my.salesforce.com/0014X00002VKCtkQAH", "0014X00002VKCtkQAH")</f>
        <v>0014X00002VKCtkQAH</v>
      </c>
      <c r="B255" s="2" t="s">
        <v>2200</v>
      </c>
      <c r="C255" s="2" t="s">
        <v>423</v>
      </c>
      <c r="D255" s="2" t="s">
        <v>2</v>
      </c>
      <c r="E255" s="2">
        <v>32.909999999999997</v>
      </c>
      <c r="F255" s="2">
        <v>14</v>
      </c>
      <c r="G255" s="2">
        <v>0</v>
      </c>
      <c r="H255" s="2">
        <v>345000</v>
      </c>
      <c r="I255" s="2">
        <v>300</v>
      </c>
      <c r="J255" s="2" t="s">
        <v>1671</v>
      </c>
      <c r="K255" s="2">
        <v>62</v>
      </c>
      <c r="L255" s="2">
        <v>15</v>
      </c>
      <c r="M255" s="2">
        <v>12</v>
      </c>
      <c r="N255" s="2">
        <v>0</v>
      </c>
      <c r="O255" s="2">
        <v>20</v>
      </c>
      <c r="P255" s="2">
        <v>15</v>
      </c>
      <c r="Q255" s="2" t="s">
        <v>2201</v>
      </c>
      <c r="R255" s="2" t="s">
        <v>2202</v>
      </c>
      <c r="S255" s="4">
        <v>44837</v>
      </c>
    </row>
    <row r="256" spans="1:19" ht="12.5" hidden="1" x14ac:dyDescent="0.25">
      <c r="A256" s="14" t="str">
        <f>HYPERLINK("https://gerandofalcoes.my.salesforce.com/0014P00003YSp9YQAT", "0014P00003YSp9YQAT")</f>
        <v>0014P00003YSp9YQAT</v>
      </c>
      <c r="B256" s="2" t="s">
        <v>2203</v>
      </c>
      <c r="C256" s="2" t="s">
        <v>423</v>
      </c>
      <c r="D256" s="2" t="s">
        <v>2</v>
      </c>
      <c r="E256" s="2">
        <v>32.74</v>
      </c>
      <c r="F256" s="2">
        <v>0</v>
      </c>
      <c r="G256" s="2">
        <v>2</v>
      </c>
      <c r="H256" s="2">
        <v>25822</v>
      </c>
      <c r="I256" s="2">
        <v>300</v>
      </c>
      <c r="J256" s="2" t="s">
        <v>1671</v>
      </c>
      <c r="K256" s="2">
        <v>46</v>
      </c>
      <c r="L256" s="2">
        <v>15</v>
      </c>
      <c r="M256" s="2">
        <v>0</v>
      </c>
      <c r="N256" s="2">
        <v>6</v>
      </c>
      <c r="O256" s="2">
        <v>10</v>
      </c>
      <c r="P256" s="2">
        <v>15</v>
      </c>
      <c r="Q256" s="2" t="s">
        <v>2204</v>
      </c>
      <c r="R256" s="2" t="s">
        <v>2204</v>
      </c>
      <c r="S256" s="4">
        <v>44837</v>
      </c>
    </row>
    <row r="257" spans="1:19" ht="12.5" hidden="1" x14ac:dyDescent="0.25">
      <c r="A257" s="14" t="str">
        <f>HYPERLINK("https://gerandofalcoes.my.salesforce.com/0014X00002VKCutQAH", "0014X00002VKCutQAH")</f>
        <v>0014X00002VKCutQAH</v>
      </c>
      <c r="B257" s="2" t="s">
        <v>2205</v>
      </c>
      <c r="C257" s="2" t="s">
        <v>423</v>
      </c>
      <c r="D257" s="2" t="s">
        <v>2</v>
      </c>
      <c r="E257" s="2">
        <v>32.54</v>
      </c>
      <c r="F257" s="2">
        <v>8</v>
      </c>
      <c r="G257" s="2">
        <v>3</v>
      </c>
      <c r="H257" s="2">
        <v>60000</v>
      </c>
      <c r="I257" s="2">
        <v>120</v>
      </c>
      <c r="J257" s="2" t="s">
        <v>1671</v>
      </c>
      <c r="K257" s="2">
        <v>53</v>
      </c>
      <c r="L257" s="2">
        <v>15</v>
      </c>
      <c r="M257" s="2">
        <v>10</v>
      </c>
      <c r="N257" s="2">
        <v>8</v>
      </c>
      <c r="O257" s="2">
        <v>10</v>
      </c>
      <c r="P257" s="2">
        <v>10</v>
      </c>
      <c r="Q257" s="2" t="s">
        <v>2206</v>
      </c>
      <c r="R257" s="2" t="s">
        <v>2207</v>
      </c>
      <c r="S257" s="4">
        <v>44837</v>
      </c>
    </row>
    <row r="258" spans="1:19" ht="12.5" hidden="1" x14ac:dyDescent="0.25">
      <c r="A258" s="14" t="str">
        <f>HYPERLINK("https://gerandofalcoes.my.salesforce.com/0014P00003YSp9RQAT", "0014P00003YSp9RQAT")</f>
        <v>0014P00003YSp9RQAT</v>
      </c>
      <c r="B258" s="2" t="s">
        <v>2208</v>
      </c>
      <c r="C258" s="2" t="s">
        <v>1800</v>
      </c>
      <c r="D258" s="2" t="s">
        <v>2</v>
      </c>
      <c r="E258" s="2">
        <v>32</v>
      </c>
      <c r="F258" s="2">
        <v>0</v>
      </c>
      <c r="G258" s="2">
        <v>4</v>
      </c>
      <c r="H258" s="2">
        <v>45000</v>
      </c>
      <c r="I258" s="2">
        <v>1700</v>
      </c>
      <c r="J258" s="2" t="s">
        <v>1671</v>
      </c>
      <c r="K258" s="2">
        <v>55</v>
      </c>
      <c r="L258" s="2">
        <v>15</v>
      </c>
      <c r="M258" s="2">
        <v>0</v>
      </c>
      <c r="N258" s="2">
        <v>10</v>
      </c>
      <c r="O258" s="2">
        <v>10</v>
      </c>
      <c r="P258" s="2">
        <v>20</v>
      </c>
      <c r="Q258" s="2" t="s">
        <v>2209</v>
      </c>
      <c r="R258" s="2" t="s">
        <v>2210</v>
      </c>
      <c r="S258" s="4">
        <v>44837</v>
      </c>
    </row>
    <row r="259" spans="1:19" ht="12.5" hidden="1" x14ac:dyDescent="0.25">
      <c r="A259" s="14" t="str">
        <f>HYPERLINK("https://gerandofalcoes.my.salesforce.com/0014X00002VKCsWQAX", "0014X00002VKCsWQAX")</f>
        <v>0014X00002VKCsWQAX</v>
      </c>
      <c r="B259" s="2" t="s">
        <v>2211</v>
      </c>
      <c r="C259" s="2" t="s">
        <v>423</v>
      </c>
      <c r="D259" s="2" t="s">
        <v>2</v>
      </c>
      <c r="E259" s="2">
        <v>32</v>
      </c>
      <c r="F259" s="2">
        <v>3</v>
      </c>
      <c r="G259" s="2">
        <v>2</v>
      </c>
      <c r="H259" s="2">
        <v>1000</v>
      </c>
      <c r="I259" s="2">
        <v>1200</v>
      </c>
      <c r="J259" s="2" t="s">
        <v>1671</v>
      </c>
      <c r="K259" s="2">
        <v>51</v>
      </c>
      <c r="L259" s="2">
        <v>15</v>
      </c>
      <c r="M259" s="2">
        <v>5</v>
      </c>
      <c r="N259" s="2">
        <v>6</v>
      </c>
      <c r="O259" s="2">
        <v>5</v>
      </c>
      <c r="P259" s="2">
        <v>20</v>
      </c>
      <c r="Q259" s="2" t="s">
        <v>2212</v>
      </c>
      <c r="R259" s="2" t="s">
        <v>2213</v>
      </c>
      <c r="S259" s="4">
        <v>44837</v>
      </c>
    </row>
    <row r="260" spans="1:19" ht="12.5" hidden="1" x14ac:dyDescent="0.25">
      <c r="A260" s="14" t="str">
        <f>HYPERLINK("https://gerandofalcoes.my.salesforce.com/0014P00003YSp8GQAT", "0014P00003YSp8GQAT")</f>
        <v>0014P00003YSp8GQAT</v>
      </c>
      <c r="B260" s="2" t="s">
        <v>2214</v>
      </c>
      <c r="C260" s="2" t="s">
        <v>1800</v>
      </c>
      <c r="D260" s="2" t="s">
        <v>2</v>
      </c>
      <c r="E260" s="2">
        <v>32</v>
      </c>
      <c r="F260" s="2">
        <v>1</v>
      </c>
      <c r="G260" s="2">
        <v>2</v>
      </c>
      <c r="H260" s="2">
        <v>0</v>
      </c>
      <c r="I260" s="2">
        <v>600</v>
      </c>
      <c r="J260" s="2" t="s">
        <v>1671</v>
      </c>
      <c r="K260" s="2">
        <v>46</v>
      </c>
      <c r="L260" s="2">
        <v>15</v>
      </c>
      <c r="M260" s="2">
        <v>5</v>
      </c>
      <c r="N260" s="2">
        <v>6</v>
      </c>
      <c r="O260" s="2">
        <v>0</v>
      </c>
      <c r="P260" s="2">
        <v>20</v>
      </c>
      <c r="Q260" s="2" t="s">
        <v>2215</v>
      </c>
      <c r="R260" s="2" t="s">
        <v>2216</v>
      </c>
      <c r="S260" s="4">
        <v>44837</v>
      </c>
    </row>
    <row r="261" spans="1:19" ht="12.5" hidden="1" x14ac:dyDescent="0.25">
      <c r="A261" s="14" t="str">
        <f>HYPERLINK("https://gerandofalcoes.my.salesforce.com/0014X00002VKCuIQAX", "0014X00002VKCuIQAX")</f>
        <v>0014X00002VKCuIQAX</v>
      </c>
      <c r="B261" s="2" t="s">
        <v>2217</v>
      </c>
      <c r="C261" s="2" t="s">
        <v>423</v>
      </c>
      <c r="D261" s="2" t="s">
        <v>2</v>
      </c>
      <c r="E261" s="2">
        <v>32</v>
      </c>
      <c r="F261" s="2">
        <v>0</v>
      </c>
      <c r="G261" s="2">
        <v>2</v>
      </c>
      <c r="H261" s="2">
        <v>10000</v>
      </c>
      <c r="I261" s="2">
        <v>300</v>
      </c>
      <c r="J261" s="2" t="s">
        <v>1671</v>
      </c>
      <c r="K261" s="2">
        <v>41</v>
      </c>
      <c r="L261" s="2">
        <v>15</v>
      </c>
      <c r="M261" s="2">
        <v>0</v>
      </c>
      <c r="N261" s="2">
        <v>6</v>
      </c>
      <c r="O261" s="2">
        <v>5</v>
      </c>
      <c r="P261" s="2">
        <v>15</v>
      </c>
      <c r="Q261" s="2" t="s">
        <v>2218</v>
      </c>
      <c r="R261" s="2" t="s">
        <v>2219</v>
      </c>
      <c r="S261" s="4">
        <v>44837</v>
      </c>
    </row>
    <row r="262" spans="1:19" ht="12.5" hidden="1" x14ac:dyDescent="0.25">
      <c r="A262" s="14" t="str">
        <f>HYPERLINK("https://gerandofalcoes.my.salesforce.com/0014X00002OEualQAD", "0014X00002OEualQAD")</f>
        <v>0014X00002OEualQAD</v>
      </c>
      <c r="B262" s="2" t="s">
        <v>2220</v>
      </c>
      <c r="C262" s="2" t="s">
        <v>1800</v>
      </c>
      <c r="D262" s="2" t="s">
        <v>2</v>
      </c>
      <c r="E262" s="2">
        <v>32</v>
      </c>
      <c r="F262" s="2">
        <v>2</v>
      </c>
      <c r="G262" s="2">
        <v>3</v>
      </c>
      <c r="H262" s="2">
        <v>40000</v>
      </c>
      <c r="I262" s="2">
        <v>80</v>
      </c>
      <c r="J262" s="2" t="s">
        <v>1671</v>
      </c>
      <c r="K262" s="2">
        <v>48</v>
      </c>
      <c r="L262" s="2">
        <v>15</v>
      </c>
      <c r="M262" s="2">
        <v>5</v>
      </c>
      <c r="N262" s="2">
        <v>8</v>
      </c>
      <c r="O262" s="2">
        <v>10</v>
      </c>
      <c r="P262" s="2">
        <v>10</v>
      </c>
      <c r="Q262" s="2" t="s">
        <v>2221</v>
      </c>
      <c r="R262" s="2" t="s">
        <v>2222</v>
      </c>
      <c r="S262" s="4">
        <v>44837</v>
      </c>
    </row>
    <row r="263" spans="1:19" ht="12.5" hidden="1" x14ac:dyDescent="0.25">
      <c r="A263" s="14" t="str">
        <f>HYPERLINK("https://gerandofalcoes.my.salesforce.com/0014X00002VKCp1QAH", "0014X00002VKCp1QAH")</f>
        <v>0014X00002VKCp1QAH</v>
      </c>
      <c r="B263" s="2" t="s">
        <v>2223</v>
      </c>
      <c r="C263" s="2" t="s">
        <v>423</v>
      </c>
      <c r="D263" s="2" t="s">
        <v>2</v>
      </c>
      <c r="E263" s="2">
        <v>32</v>
      </c>
      <c r="F263" s="2">
        <v>5</v>
      </c>
      <c r="G263" s="2">
        <v>9</v>
      </c>
      <c r="H263" s="2">
        <v>12000</v>
      </c>
      <c r="I263" s="2">
        <v>60</v>
      </c>
      <c r="J263" s="2" t="s">
        <v>1671</v>
      </c>
      <c r="K263" s="2">
        <v>40</v>
      </c>
      <c r="L263" s="2">
        <v>15</v>
      </c>
      <c r="M263" s="2">
        <v>5</v>
      </c>
      <c r="N263" s="2">
        <v>10</v>
      </c>
      <c r="O263" s="2">
        <v>5</v>
      </c>
      <c r="P263" s="2">
        <v>5</v>
      </c>
      <c r="Q263" s="2" t="s">
        <v>2224</v>
      </c>
      <c r="R263" s="2" t="s">
        <v>2224</v>
      </c>
      <c r="S263" s="4">
        <v>44837</v>
      </c>
    </row>
    <row r="264" spans="1:19" ht="12.5" hidden="1" x14ac:dyDescent="0.25">
      <c r="A264" s="14" t="str">
        <f>HYPERLINK("https://gerandofalcoes.my.salesforce.com/0014P00003YSp7kQAD", "0014P00003YSp7kQAD")</f>
        <v>0014P00003YSp7kQAD</v>
      </c>
      <c r="B264" s="2" t="s">
        <v>2225</v>
      </c>
      <c r="C264" s="2" t="s">
        <v>1800</v>
      </c>
      <c r="D264" s="2" t="s">
        <v>2</v>
      </c>
      <c r="E264" s="2">
        <v>32</v>
      </c>
      <c r="F264" s="2">
        <v>0</v>
      </c>
      <c r="G264" s="2">
        <v>2</v>
      </c>
      <c r="H264" s="2">
        <v>0</v>
      </c>
      <c r="I264" s="2">
        <v>17</v>
      </c>
      <c r="J264" s="2" t="s">
        <v>1779</v>
      </c>
      <c r="K264" s="2">
        <v>26</v>
      </c>
      <c r="L264" s="2">
        <v>15</v>
      </c>
      <c r="M264" s="2">
        <v>0</v>
      </c>
      <c r="N264" s="2">
        <v>6</v>
      </c>
      <c r="O264" s="2">
        <v>0</v>
      </c>
      <c r="P264" s="2">
        <v>5</v>
      </c>
      <c r="Q264" s="2" t="s">
        <v>2226</v>
      </c>
      <c r="R264" s="2" t="s">
        <v>2227</v>
      </c>
      <c r="S264" s="4">
        <v>44837</v>
      </c>
    </row>
    <row r="265" spans="1:19" ht="12.5" hidden="1" x14ac:dyDescent="0.25">
      <c r="A265" s="14" t="str">
        <f>HYPERLINK("https://gerandofalcoes.my.salesforce.com/0014P00003AN2GBQA1", "0014P00003AN2GBQA1")</f>
        <v>0014P00003AN2GBQA1</v>
      </c>
      <c r="B265" s="2" t="s">
        <v>2228</v>
      </c>
      <c r="C265" s="2" t="s">
        <v>423</v>
      </c>
      <c r="D265" s="2" t="s">
        <v>2</v>
      </c>
      <c r="E265" s="2">
        <v>31.57</v>
      </c>
      <c r="F265" s="2">
        <v>20</v>
      </c>
      <c r="G265" s="2">
        <v>2</v>
      </c>
      <c r="H265" s="2">
        <v>80000000</v>
      </c>
      <c r="I265" s="2">
        <v>60</v>
      </c>
      <c r="J265" s="2" t="s">
        <v>1671</v>
      </c>
      <c r="K265" s="2">
        <v>63</v>
      </c>
      <c r="L265" s="2">
        <v>15</v>
      </c>
      <c r="M265" s="2">
        <v>12</v>
      </c>
      <c r="N265" s="2">
        <v>6</v>
      </c>
      <c r="O265" s="2">
        <v>25</v>
      </c>
      <c r="P265" s="2">
        <v>5</v>
      </c>
      <c r="Q265" s="2" t="s">
        <v>2229</v>
      </c>
      <c r="R265" s="2" t="s">
        <v>2229</v>
      </c>
      <c r="S265" s="4">
        <v>44837</v>
      </c>
    </row>
    <row r="266" spans="1:19" ht="12.5" hidden="1" x14ac:dyDescent="0.25">
      <c r="A266" s="14" t="str">
        <f>HYPERLINK("https://gerandofalcoes.my.salesforce.com/0014X00002VKCptQAH", "0014X00002VKCptQAH")</f>
        <v>0014X00002VKCptQAH</v>
      </c>
      <c r="B266" s="2" t="s">
        <v>2230</v>
      </c>
      <c r="C266" s="2" t="s">
        <v>423</v>
      </c>
      <c r="D266" s="2" t="s">
        <v>2</v>
      </c>
      <c r="E266" s="2">
        <v>31.41</v>
      </c>
      <c r="F266" s="2">
        <v>8</v>
      </c>
      <c r="G266" s="2">
        <v>0</v>
      </c>
      <c r="H266" s="2">
        <v>0</v>
      </c>
      <c r="I266" s="2">
        <v>44</v>
      </c>
      <c r="J266" s="2" t="s">
        <v>1779</v>
      </c>
      <c r="K266" s="2">
        <v>30</v>
      </c>
      <c r="L266" s="2">
        <v>15</v>
      </c>
      <c r="M266" s="2">
        <v>10</v>
      </c>
      <c r="N266" s="2">
        <v>0</v>
      </c>
      <c r="O266" s="2">
        <v>0</v>
      </c>
      <c r="P266" s="2">
        <v>5</v>
      </c>
      <c r="Q266" s="2" t="s">
        <v>2231</v>
      </c>
      <c r="R266" s="2" t="s">
        <v>2232</v>
      </c>
      <c r="S266" s="4">
        <v>44837</v>
      </c>
    </row>
    <row r="267" spans="1:19" ht="12.5" hidden="1" x14ac:dyDescent="0.25">
      <c r="A267" s="14" t="str">
        <f>HYPERLINK("https://gerandofalcoes.my.salesforce.com/0014X00002VKCpKQAX", "0014X00002VKCpKQAX")</f>
        <v>0014X00002VKCpKQAX</v>
      </c>
      <c r="B267" s="2" t="s">
        <v>2225</v>
      </c>
      <c r="C267" s="2" t="s">
        <v>423</v>
      </c>
      <c r="D267" s="2" t="s">
        <v>2</v>
      </c>
      <c r="E267" s="2">
        <v>31.18</v>
      </c>
      <c r="F267" s="2">
        <v>0</v>
      </c>
      <c r="G267" s="2">
        <v>0</v>
      </c>
      <c r="H267" s="2">
        <v>0</v>
      </c>
      <c r="I267" s="2">
        <v>78</v>
      </c>
      <c r="J267" s="2" t="s">
        <v>1779</v>
      </c>
      <c r="K267" s="2">
        <v>20</v>
      </c>
      <c r="L267" s="2">
        <v>15</v>
      </c>
      <c r="M267" s="2">
        <v>0</v>
      </c>
      <c r="N267" s="2">
        <v>0</v>
      </c>
      <c r="O267" s="2">
        <v>0</v>
      </c>
      <c r="P267" s="2">
        <v>5</v>
      </c>
      <c r="Q267" s="2" t="s">
        <v>2233</v>
      </c>
      <c r="R267" s="2" t="s">
        <v>2234</v>
      </c>
      <c r="S267" s="4">
        <v>44837</v>
      </c>
    </row>
    <row r="268" spans="1:19" ht="12.5" hidden="1" x14ac:dyDescent="0.25">
      <c r="A268" s="14" t="str">
        <f>HYPERLINK("https://gerandofalcoes.my.salesforce.com/0014X00002VKCrWQAX", "0014X00002VKCrWQAX")</f>
        <v>0014X00002VKCrWQAX</v>
      </c>
      <c r="B268" s="2" t="s">
        <v>2235</v>
      </c>
      <c r="C268" s="2" t="s">
        <v>1800</v>
      </c>
      <c r="D268" s="2" t="s">
        <v>2</v>
      </c>
      <c r="E268" s="2">
        <v>31</v>
      </c>
      <c r="F268" s="2">
        <v>700</v>
      </c>
      <c r="G268" s="2">
        <v>3</v>
      </c>
      <c r="H268" s="2">
        <v>100000</v>
      </c>
      <c r="I268" s="2">
        <v>850</v>
      </c>
      <c r="J268" s="2" t="s">
        <v>1650</v>
      </c>
      <c r="K268" s="2">
        <v>73</v>
      </c>
      <c r="L268" s="2">
        <v>15</v>
      </c>
      <c r="M268" s="2">
        <v>15</v>
      </c>
      <c r="N268" s="2">
        <v>8</v>
      </c>
      <c r="O268" s="2">
        <v>15</v>
      </c>
      <c r="P268" s="2">
        <v>20</v>
      </c>
      <c r="Q268" s="2" t="s">
        <v>2236</v>
      </c>
      <c r="R268" s="2" t="s">
        <v>2237</v>
      </c>
      <c r="S268" s="4">
        <v>44837</v>
      </c>
    </row>
    <row r="269" spans="1:19" ht="12.5" hidden="1" x14ac:dyDescent="0.25">
      <c r="A269" s="14" t="str">
        <f>HYPERLINK("https://gerandofalcoes.my.salesforce.com/0014P00003YSpA1QAL", "0014P00003YSpA1QAL")</f>
        <v>0014P00003YSpA1QAL</v>
      </c>
      <c r="B269" s="2" t="s">
        <v>2238</v>
      </c>
      <c r="C269" s="2" t="s">
        <v>1800</v>
      </c>
      <c r="D269" s="2" t="s">
        <v>2</v>
      </c>
      <c r="E269" s="2">
        <v>31</v>
      </c>
      <c r="F269" s="2">
        <v>0</v>
      </c>
      <c r="G269" s="2">
        <v>2</v>
      </c>
      <c r="H269" s="2">
        <v>50000</v>
      </c>
      <c r="I269" s="2">
        <v>41</v>
      </c>
      <c r="J269" s="2" t="s">
        <v>1779</v>
      </c>
      <c r="K269" s="2">
        <v>36</v>
      </c>
      <c r="L269" s="2">
        <v>15</v>
      </c>
      <c r="M269" s="2">
        <v>0</v>
      </c>
      <c r="N269" s="2">
        <v>6</v>
      </c>
      <c r="O269" s="2">
        <v>10</v>
      </c>
      <c r="P269" s="2">
        <v>5</v>
      </c>
      <c r="Q269" s="2" t="s">
        <v>2239</v>
      </c>
      <c r="R269" s="2" t="s">
        <v>2239</v>
      </c>
      <c r="S269" s="4">
        <v>44837</v>
      </c>
    </row>
    <row r="270" spans="1:19" ht="12.5" hidden="1" x14ac:dyDescent="0.25">
      <c r="A270" s="14" t="str">
        <f>HYPERLINK("https://gerandofalcoes.my.salesforce.com/0014P00003YSpAMQA1", "0014P00003YSpAMQA1")</f>
        <v>0014P00003YSpAMQA1</v>
      </c>
      <c r="B270" s="2" t="s">
        <v>2240</v>
      </c>
      <c r="C270" s="2" t="s">
        <v>1800</v>
      </c>
      <c r="D270" s="2" t="s">
        <v>2</v>
      </c>
      <c r="E270" s="2">
        <v>31</v>
      </c>
      <c r="F270" s="2">
        <v>0</v>
      </c>
      <c r="G270" s="2">
        <v>2</v>
      </c>
      <c r="H270" s="2">
        <v>8000</v>
      </c>
      <c r="I270" s="2">
        <v>21</v>
      </c>
      <c r="J270" s="2" t="s">
        <v>1779</v>
      </c>
      <c r="K270" s="2">
        <v>31</v>
      </c>
      <c r="L270" s="2">
        <v>15</v>
      </c>
      <c r="M270" s="2">
        <v>0</v>
      </c>
      <c r="N270" s="2">
        <v>6</v>
      </c>
      <c r="O270" s="2">
        <v>5</v>
      </c>
      <c r="P270" s="2">
        <v>5</v>
      </c>
      <c r="Q270" s="2" t="s">
        <v>2241</v>
      </c>
      <c r="R270" s="2" t="s">
        <v>2242</v>
      </c>
      <c r="S270" s="4">
        <v>44837</v>
      </c>
    </row>
    <row r="271" spans="1:19" ht="12.5" hidden="1" x14ac:dyDescent="0.25">
      <c r="A271" s="14" t="str">
        <f>HYPERLINK("https://gerandofalcoes.my.salesforce.com/0014X00002VKCuRQAX", "0014X00002VKCuRQAX")</f>
        <v>0014X00002VKCuRQAX</v>
      </c>
      <c r="B271" s="2" t="s">
        <v>2243</v>
      </c>
      <c r="C271" s="2" t="s">
        <v>423</v>
      </c>
      <c r="D271" s="2" t="s">
        <v>2</v>
      </c>
      <c r="E271" s="2">
        <v>31</v>
      </c>
      <c r="F271" s="2">
        <v>3</v>
      </c>
      <c r="G271" s="2">
        <v>6</v>
      </c>
      <c r="H271" s="2">
        <v>100000</v>
      </c>
      <c r="I271" s="2">
        <v>0</v>
      </c>
      <c r="J271" s="2" t="s">
        <v>1671</v>
      </c>
      <c r="K271" s="2">
        <v>45</v>
      </c>
      <c r="L271" s="2">
        <v>15</v>
      </c>
      <c r="M271" s="2">
        <v>5</v>
      </c>
      <c r="N271" s="2">
        <v>10</v>
      </c>
      <c r="O271" s="2">
        <v>15</v>
      </c>
      <c r="P271" s="2">
        <v>0</v>
      </c>
      <c r="Q271" s="2" t="s">
        <v>2244</v>
      </c>
      <c r="R271" s="2" t="s">
        <v>2244</v>
      </c>
      <c r="S271" s="4">
        <v>44837</v>
      </c>
    </row>
    <row r="272" spans="1:19" ht="12.5" hidden="1" x14ac:dyDescent="0.25">
      <c r="A272" s="14" t="str">
        <f>HYPERLINK("https://gerandofalcoes.my.salesforce.com/0014P00003YSpAKQA1", "0014P00003YSpAKQA1")</f>
        <v>0014P00003YSpAKQA1</v>
      </c>
      <c r="B272" s="2" t="s">
        <v>2245</v>
      </c>
      <c r="C272" s="2" t="s">
        <v>1684</v>
      </c>
      <c r="D272" s="2" t="s">
        <v>2</v>
      </c>
      <c r="E272" s="2">
        <v>31</v>
      </c>
      <c r="F272" s="2">
        <v>0</v>
      </c>
      <c r="G272" s="2">
        <v>2</v>
      </c>
      <c r="H272" s="2">
        <v>15000</v>
      </c>
      <c r="I272" s="2">
        <v>0</v>
      </c>
      <c r="J272" s="2" t="s">
        <v>1779</v>
      </c>
      <c r="K272" s="2">
        <v>26</v>
      </c>
      <c r="L272" s="2">
        <v>15</v>
      </c>
      <c r="M272" s="2">
        <v>0</v>
      </c>
      <c r="N272" s="2">
        <v>6</v>
      </c>
      <c r="O272" s="2">
        <v>5</v>
      </c>
      <c r="P272" s="2">
        <v>0</v>
      </c>
      <c r="Q272" s="2" t="s">
        <v>2246</v>
      </c>
      <c r="R272" s="2" t="s">
        <v>2246</v>
      </c>
      <c r="S272" s="4">
        <v>44837</v>
      </c>
    </row>
    <row r="273" spans="1:19" ht="12.5" hidden="1" x14ac:dyDescent="0.25">
      <c r="A273" s="14" t="str">
        <f>HYPERLINK("https://gerandofalcoes.my.salesforce.com/0014X00002VKCp3QAH", "0014X00002VKCp3QAH")</f>
        <v>0014X00002VKCp3QAH</v>
      </c>
      <c r="B273" s="2" t="s">
        <v>2247</v>
      </c>
      <c r="C273" s="2" t="s">
        <v>1800</v>
      </c>
      <c r="D273" s="2" t="s">
        <v>2</v>
      </c>
      <c r="E273" s="2">
        <v>31</v>
      </c>
      <c r="F273" s="2">
        <v>0</v>
      </c>
      <c r="G273" s="2">
        <v>3</v>
      </c>
      <c r="H273" s="2">
        <v>0</v>
      </c>
      <c r="I273" s="2">
        <v>0</v>
      </c>
      <c r="J273" s="2" t="s">
        <v>1779</v>
      </c>
      <c r="K273" s="2">
        <v>23</v>
      </c>
      <c r="L273" s="2">
        <v>15</v>
      </c>
      <c r="M273" s="2">
        <v>0</v>
      </c>
      <c r="N273" s="2">
        <v>8</v>
      </c>
      <c r="O273" s="2">
        <v>0</v>
      </c>
      <c r="P273" s="2">
        <v>0</v>
      </c>
      <c r="Q273" s="2" t="s">
        <v>2248</v>
      </c>
      <c r="R273" s="2" t="s">
        <v>2248</v>
      </c>
      <c r="S273" s="4">
        <v>44837</v>
      </c>
    </row>
    <row r="274" spans="1:19" ht="12.5" hidden="1" x14ac:dyDescent="0.25">
      <c r="A274" s="14" t="str">
        <f>HYPERLINK("https://gerandofalcoes.my.salesforce.com/0014P00003YSp9aQAD", "0014P00003YSp9aQAD")</f>
        <v>0014P00003YSp9aQAD</v>
      </c>
      <c r="B274" s="2" t="s">
        <v>2249</v>
      </c>
      <c r="C274" s="2" t="s">
        <v>423</v>
      </c>
      <c r="D274" s="2" t="s">
        <v>2</v>
      </c>
      <c r="E274" s="2">
        <v>30.96</v>
      </c>
      <c r="F274" s="2">
        <v>0</v>
      </c>
      <c r="G274" s="2">
        <v>1</v>
      </c>
      <c r="H274" s="2">
        <v>2500</v>
      </c>
      <c r="I274" s="2">
        <v>50</v>
      </c>
      <c r="J274" s="2" t="s">
        <v>1779</v>
      </c>
      <c r="K274" s="2">
        <v>29</v>
      </c>
      <c r="L274" s="2">
        <v>15</v>
      </c>
      <c r="M274" s="2">
        <v>0</v>
      </c>
      <c r="N274" s="2">
        <v>4</v>
      </c>
      <c r="O274" s="2">
        <v>5</v>
      </c>
      <c r="P274" s="2">
        <v>5</v>
      </c>
      <c r="Q274" s="2" t="s">
        <v>2250</v>
      </c>
      <c r="R274" s="2" t="s">
        <v>2251</v>
      </c>
      <c r="S274" s="4">
        <v>44837</v>
      </c>
    </row>
    <row r="275" spans="1:19" ht="12.5" hidden="1" x14ac:dyDescent="0.25">
      <c r="A275" s="14" t="str">
        <f>HYPERLINK("https://gerandofalcoes.my.salesforce.com/0014X00002PUOUaQAP", "0014X00002PUOUaQAP")</f>
        <v>0014X00002PUOUaQAP</v>
      </c>
      <c r="B275" s="2" t="s">
        <v>8</v>
      </c>
      <c r="C275" s="2" t="s">
        <v>423</v>
      </c>
      <c r="D275" s="2" t="s">
        <v>2</v>
      </c>
      <c r="E275" s="2">
        <v>30.77</v>
      </c>
      <c r="F275" s="2">
        <v>2</v>
      </c>
      <c r="G275" s="2">
        <v>1</v>
      </c>
      <c r="H275" s="2">
        <v>24000</v>
      </c>
      <c r="I275" s="2">
        <v>200</v>
      </c>
      <c r="J275" s="2" t="s">
        <v>1671</v>
      </c>
      <c r="K275" s="2">
        <v>41</v>
      </c>
      <c r="L275" s="2">
        <v>15</v>
      </c>
      <c r="M275" s="2">
        <v>5</v>
      </c>
      <c r="N275" s="2">
        <v>4</v>
      </c>
      <c r="O275" s="2">
        <v>5</v>
      </c>
      <c r="P275" s="2">
        <v>12</v>
      </c>
      <c r="Q275" s="2" t="s">
        <v>2252</v>
      </c>
      <c r="R275" s="2" t="s">
        <v>2252</v>
      </c>
      <c r="S275" s="4">
        <v>44837</v>
      </c>
    </row>
    <row r="276" spans="1:19" ht="12.5" hidden="1" x14ac:dyDescent="0.25">
      <c r="A276" s="14" t="str">
        <f>HYPERLINK("https://gerandofalcoes.my.salesforce.com/0014P00003YSp9iQAD", "0014P00003YSp9iQAD")</f>
        <v>0014P00003YSp9iQAD</v>
      </c>
      <c r="B276" s="2" t="s">
        <v>2253</v>
      </c>
      <c r="C276" s="2" t="s">
        <v>423</v>
      </c>
      <c r="D276" s="2" t="s">
        <v>2</v>
      </c>
      <c r="E276" s="2">
        <v>30.76</v>
      </c>
      <c r="F276" s="2">
        <v>0</v>
      </c>
      <c r="G276" s="2">
        <v>3</v>
      </c>
      <c r="H276" s="2">
        <v>27240</v>
      </c>
      <c r="I276" s="2">
        <v>0</v>
      </c>
      <c r="J276" s="2" t="s">
        <v>1779</v>
      </c>
      <c r="K276" s="2">
        <v>33</v>
      </c>
      <c r="L276" s="2">
        <v>15</v>
      </c>
      <c r="M276" s="2">
        <v>0</v>
      </c>
      <c r="N276" s="2">
        <v>8</v>
      </c>
      <c r="O276" s="2">
        <v>10</v>
      </c>
      <c r="P276" s="2">
        <v>0</v>
      </c>
      <c r="Q276" s="2" t="s">
        <v>2254</v>
      </c>
      <c r="R276" s="2" t="s">
        <v>2255</v>
      </c>
      <c r="S276" s="4">
        <v>44837</v>
      </c>
    </row>
    <row r="277" spans="1:19" ht="12.5" hidden="1" x14ac:dyDescent="0.25">
      <c r="A277" s="14" t="str">
        <f>HYPERLINK("https://gerandofalcoes.my.salesforce.com/0014X00002VKCp6QAH", "0014X00002VKCp6QAH")</f>
        <v>0014X00002VKCp6QAH</v>
      </c>
      <c r="B277" s="2" t="s">
        <v>2256</v>
      </c>
      <c r="C277" s="2" t="s">
        <v>423</v>
      </c>
      <c r="D277" s="2" t="s">
        <v>2</v>
      </c>
      <c r="E277" s="2">
        <v>30.75</v>
      </c>
      <c r="F277" s="2">
        <v>0</v>
      </c>
      <c r="G277" s="2">
        <v>1</v>
      </c>
      <c r="H277" s="2">
        <v>155845</v>
      </c>
      <c r="I277" s="2">
        <v>50</v>
      </c>
      <c r="J277" s="2" t="s">
        <v>1779</v>
      </c>
      <c r="K277" s="2">
        <v>39</v>
      </c>
      <c r="L277" s="2">
        <v>15</v>
      </c>
      <c r="M277" s="2">
        <v>0</v>
      </c>
      <c r="N277" s="2">
        <v>4</v>
      </c>
      <c r="O277" s="2">
        <v>15</v>
      </c>
      <c r="P277" s="2">
        <v>5</v>
      </c>
      <c r="Q277" s="2" t="s">
        <v>2257</v>
      </c>
      <c r="R277" s="2" t="s">
        <v>2258</v>
      </c>
      <c r="S277" s="4">
        <v>44837</v>
      </c>
    </row>
    <row r="278" spans="1:19" ht="12.5" hidden="1" x14ac:dyDescent="0.25">
      <c r="A278" s="14" t="str">
        <f>HYPERLINK("https://gerandofalcoes.my.salesforce.com/0014X00002VKCstQAH", "0014X00002VKCstQAH")</f>
        <v>0014X00002VKCstQAH</v>
      </c>
      <c r="B278" s="2" t="s">
        <v>2259</v>
      </c>
      <c r="C278" s="2" t="s">
        <v>423</v>
      </c>
      <c r="D278" s="2" t="s">
        <v>2</v>
      </c>
      <c r="E278" s="2">
        <v>30.53</v>
      </c>
      <c r="F278" s="2">
        <v>2</v>
      </c>
      <c r="G278" s="2">
        <v>1</v>
      </c>
      <c r="H278" s="2">
        <v>5000</v>
      </c>
      <c r="I278" s="2">
        <v>50</v>
      </c>
      <c r="J278" s="2" t="s">
        <v>1779</v>
      </c>
      <c r="K278" s="2">
        <v>34</v>
      </c>
      <c r="L278" s="2">
        <v>15</v>
      </c>
      <c r="M278" s="2">
        <v>5</v>
      </c>
      <c r="N278" s="2">
        <v>4</v>
      </c>
      <c r="O278" s="2">
        <v>5</v>
      </c>
      <c r="P278" s="2">
        <v>5</v>
      </c>
      <c r="Q278" s="2" t="s">
        <v>2260</v>
      </c>
      <c r="R278" s="2" t="s">
        <v>2260</v>
      </c>
      <c r="S278" s="4">
        <v>44837</v>
      </c>
    </row>
    <row r="279" spans="1:19" ht="12.5" hidden="1" x14ac:dyDescent="0.25">
      <c r="A279" s="14" t="str">
        <f>HYPERLINK("https://gerandofalcoes.my.salesforce.com/0014X00002VKCqvQAH", "0014X00002VKCqvQAH")</f>
        <v>0014X00002VKCqvQAH</v>
      </c>
      <c r="B279" s="2" t="s">
        <v>2261</v>
      </c>
      <c r="C279" s="2" t="s">
        <v>1800</v>
      </c>
      <c r="D279" s="2" t="s">
        <v>2</v>
      </c>
      <c r="E279" s="2">
        <v>30</v>
      </c>
      <c r="F279" s="2">
        <v>0</v>
      </c>
      <c r="G279" s="2">
        <v>3</v>
      </c>
      <c r="H279" s="2">
        <v>10000</v>
      </c>
      <c r="I279" s="2">
        <v>300</v>
      </c>
      <c r="J279" s="2" t="s">
        <v>1671</v>
      </c>
      <c r="K279" s="2">
        <v>43</v>
      </c>
      <c r="L279" s="2">
        <v>15</v>
      </c>
      <c r="M279" s="2">
        <v>0</v>
      </c>
      <c r="N279" s="2">
        <v>8</v>
      </c>
      <c r="O279" s="2">
        <v>5</v>
      </c>
      <c r="P279" s="2">
        <v>15</v>
      </c>
      <c r="Q279" s="2" t="s">
        <v>2262</v>
      </c>
      <c r="R279" s="2" t="s">
        <v>2263</v>
      </c>
      <c r="S279" s="4">
        <v>44837</v>
      </c>
    </row>
    <row r="280" spans="1:19" ht="12.5" hidden="1" x14ac:dyDescent="0.25">
      <c r="A280" s="14" t="str">
        <f>HYPERLINK("https://gerandofalcoes.my.salesforce.com/0014X00002VKD05QAH", "0014X00002VKD05QAH")</f>
        <v>0014X00002VKD05QAH</v>
      </c>
      <c r="B280" s="2" t="s">
        <v>2264</v>
      </c>
      <c r="C280" s="2" t="s">
        <v>1684</v>
      </c>
      <c r="D280" s="2" t="s">
        <v>2</v>
      </c>
      <c r="E280" s="2">
        <v>30</v>
      </c>
      <c r="F280" s="2">
        <v>0</v>
      </c>
      <c r="G280" s="2">
        <v>2</v>
      </c>
      <c r="H280" s="2">
        <v>199010</v>
      </c>
      <c r="I280" s="2">
        <v>240</v>
      </c>
      <c r="J280" s="2" t="s">
        <v>1671</v>
      </c>
      <c r="K280" s="2">
        <v>48</v>
      </c>
      <c r="L280" s="2">
        <v>15</v>
      </c>
      <c r="M280" s="2">
        <v>0</v>
      </c>
      <c r="N280" s="2">
        <v>6</v>
      </c>
      <c r="O280" s="2">
        <v>15</v>
      </c>
      <c r="P280" s="2">
        <v>12</v>
      </c>
      <c r="Q280" s="2" t="s">
        <v>2265</v>
      </c>
      <c r="R280" s="2" t="s">
        <v>2266</v>
      </c>
      <c r="S280" s="4">
        <v>44837</v>
      </c>
    </row>
    <row r="281" spans="1:19" ht="12.5" hidden="1" x14ac:dyDescent="0.25">
      <c r="A281" s="14" t="str">
        <f>HYPERLINK("https://gerandofalcoes.my.salesforce.com/0014X00002VKCtAQAX", "0014X00002VKCtAQAX")</f>
        <v>0014X00002VKCtAQAX</v>
      </c>
      <c r="B281" s="2" t="s">
        <v>2267</v>
      </c>
      <c r="C281" s="2" t="s">
        <v>1800</v>
      </c>
      <c r="D281" s="2" t="s">
        <v>2</v>
      </c>
      <c r="E281" s="2">
        <v>30</v>
      </c>
      <c r="F281" s="2">
        <v>0</v>
      </c>
      <c r="G281" s="2">
        <v>3</v>
      </c>
      <c r="H281" s="2">
        <v>12000</v>
      </c>
      <c r="I281" s="2">
        <v>140</v>
      </c>
      <c r="J281" s="2" t="s">
        <v>1779</v>
      </c>
      <c r="K281" s="2">
        <v>38</v>
      </c>
      <c r="L281" s="2">
        <v>15</v>
      </c>
      <c r="M281" s="2">
        <v>0</v>
      </c>
      <c r="N281" s="2">
        <v>8</v>
      </c>
      <c r="O281" s="2">
        <v>5</v>
      </c>
      <c r="P281" s="2">
        <v>10</v>
      </c>
      <c r="Q281" s="2" t="s">
        <v>2268</v>
      </c>
      <c r="R281" s="2" t="s">
        <v>2269</v>
      </c>
      <c r="S281" s="4">
        <v>44837</v>
      </c>
    </row>
    <row r="282" spans="1:19" ht="12.5" hidden="1" x14ac:dyDescent="0.25">
      <c r="A282" s="14" t="str">
        <f>HYPERLINK("https://gerandofalcoes.my.salesforce.com/0014P00003YSp9jQAD", "0014P00003YSp9jQAD")</f>
        <v>0014P00003YSp9jQAD</v>
      </c>
      <c r="B282" s="2" t="s">
        <v>2270</v>
      </c>
      <c r="C282" s="2" t="s">
        <v>423</v>
      </c>
      <c r="D282" s="2" t="s">
        <v>2</v>
      </c>
      <c r="E282" s="2">
        <v>30</v>
      </c>
      <c r="F282" s="2">
        <v>1</v>
      </c>
      <c r="G282" s="2">
        <v>1</v>
      </c>
      <c r="H282" s="2">
        <v>6000</v>
      </c>
      <c r="I282" s="2">
        <v>110</v>
      </c>
      <c r="J282" s="2" t="s">
        <v>1779</v>
      </c>
      <c r="K282" s="2">
        <v>39</v>
      </c>
      <c r="L282" s="2">
        <v>15</v>
      </c>
      <c r="M282" s="2">
        <v>5</v>
      </c>
      <c r="N282" s="2">
        <v>4</v>
      </c>
      <c r="O282" s="2">
        <v>5</v>
      </c>
      <c r="P282" s="2">
        <v>10</v>
      </c>
      <c r="Q282" s="2" t="s">
        <v>2271</v>
      </c>
      <c r="R282" s="2" t="s">
        <v>2271</v>
      </c>
      <c r="S282" s="4">
        <v>44837</v>
      </c>
    </row>
    <row r="283" spans="1:19" ht="12.5" hidden="1" x14ac:dyDescent="0.25">
      <c r="A283" s="14" t="str">
        <f>HYPERLINK("https://gerandofalcoes.my.salesforce.com/0014P00003YSp7RQAT", "0014P00003YSp7RQAT")</f>
        <v>0014P00003YSp7RQAT</v>
      </c>
      <c r="B283" s="2" t="s">
        <v>2272</v>
      </c>
      <c r="C283" s="2" t="s">
        <v>423</v>
      </c>
      <c r="D283" s="2" t="s">
        <v>2</v>
      </c>
      <c r="E283" s="2">
        <v>30</v>
      </c>
      <c r="F283" s="2">
        <v>1</v>
      </c>
      <c r="G283" s="2">
        <v>2</v>
      </c>
      <c r="H283" s="2">
        <v>25000</v>
      </c>
      <c r="I283" s="2">
        <v>60</v>
      </c>
      <c r="J283" s="2" t="s">
        <v>1671</v>
      </c>
      <c r="K283" s="2">
        <v>41</v>
      </c>
      <c r="L283" s="2">
        <v>15</v>
      </c>
      <c r="M283" s="2">
        <v>5</v>
      </c>
      <c r="N283" s="2">
        <v>6</v>
      </c>
      <c r="O283" s="2">
        <v>10</v>
      </c>
      <c r="P283" s="2">
        <v>5</v>
      </c>
      <c r="Q283" s="2" t="s">
        <v>2273</v>
      </c>
      <c r="R283" s="2" t="s">
        <v>2274</v>
      </c>
      <c r="S283" s="4">
        <v>44837</v>
      </c>
    </row>
    <row r="284" spans="1:19" ht="12.5" hidden="1" x14ac:dyDescent="0.25">
      <c r="A284" s="14" t="str">
        <f>HYPERLINK("https://gerandofalcoes.my.salesforce.com/0014P00003YSp9NQAT", "0014P00003YSp9NQAT")</f>
        <v>0014P00003YSp9NQAT</v>
      </c>
      <c r="B284" s="2" t="s">
        <v>2275</v>
      </c>
      <c r="C284" s="2" t="s">
        <v>423</v>
      </c>
      <c r="D284" s="2" t="s">
        <v>2</v>
      </c>
      <c r="E284" s="2">
        <v>30</v>
      </c>
      <c r="F284" s="2">
        <v>0</v>
      </c>
      <c r="G284" s="2">
        <v>2</v>
      </c>
      <c r="H284" s="2">
        <v>11000</v>
      </c>
      <c r="I284" s="2">
        <v>20</v>
      </c>
      <c r="J284" s="2" t="s">
        <v>1779</v>
      </c>
      <c r="K284" s="2">
        <v>31</v>
      </c>
      <c r="L284" s="2">
        <v>15</v>
      </c>
      <c r="M284" s="2">
        <v>0</v>
      </c>
      <c r="N284" s="2">
        <v>6</v>
      </c>
      <c r="O284" s="2">
        <v>5</v>
      </c>
      <c r="P284" s="2">
        <v>5</v>
      </c>
      <c r="Q284" s="2" t="s">
        <v>2276</v>
      </c>
      <c r="R284" s="2" t="s">
        <v>2276</v>
      </c>
      <c r="S284" s="4">
        <v>44837</v>
      </c>
    </row>
    <row r="285" spans="1:19" ht="12.5" hidden="1" x14ac:dyDescent="0.25">
      <c r="A285" s="14" t="str">
        <f>HYPERLINK("https://gerandofalcoes.my.salesforce.com/0014X00002VKCqaQAH", "0014X00002VKCqaQAH")</f>
        <v>0014X00002VKCqaQAH</v>
      </c>
      <c r="B285" s="2" t="s">
        <v>2277</v>
      </c>
      <c r="C285" s="2" t="s">
        <v>1800</v>
      </c>
      <c r="D285" s="2" t="s">
        <v>2</v>
      </c>
      <c r="E285" s="2">
        <v>30</v>
      </c>
      <c r="F285" s="2">
        <v>0</v>
      </c>
      <c r="G285" s="2">
        <v>2</v>
      </c>
      <c r="H285" s="2">
        <v>0</v>
      </c>
      <c r="I285" s="2">
        <v>10</v>
      </c>
      <c r="J285" s="2" t="s">
        <v>1779</v>
      </c>
      <c r="K285" s="2">
        <v>26</v>
      </c>
      <c r="L285" s="2">
        <v>15</v>
      </c>
      <c r="M285" s="2">
        <v>0</v>
      </c>
      <c r="N285" s="2">
        <v>6</v>
      </c>
      <c r="O285" s="2">
        <v>0</v>
      </c>
      <c r="P285" s="2">
        <v>5</v>
      </c>
      <c r="Q285" s="2" t="s">
        <v>2278</v>
      </c>
      <c r="R285" s="2" t="s">
        <v>2278</v>
      </c>
      <c r="S285" s="4">
        <v>44837</v>
      </c>
    </row>
    <row r="286" spans="1:19" ht="12.5" hidden="1" x14ac:dyDescent="0.25">
      <c r="A286" s="14" t="str">
        <f>HYPERLINK("https://gerandofalcoes.my.salesforce.com/0014P00003YSp9EQAT", "0014P00003YSp9EQAT")</f>
        <v>0014P00003YSp9EQAT</v>
      </c>
      <c r="B286" s="2" t="s">
        <v>2279</v>
      </c>
      <c r="C286" s="2" t="s">
        <v>423</v>
      </c>
      <c r="D286" s="2" t="s">
        <v>2</v>
      </c>
      <c r="E286" s="2">
        <v>29.85</v>
      </c>
      <c r="F286" s="2">
        <v>2</v>
      </c>
      <c r="G286" s="2">
        <v>0</v>
      </c>
      <c r="H286" s="2">
        <v>0</v>
      </c>
      <c r="I286" s="2">
        <v>30</v>
      </c>
      <c r="J286" s="2" t="s">
        <v>1779</v>
      </c>
      <c r="K286" s="2">
        <v>25</v>
      </c>
      <c r="L286" s="2">
        <v>15</v>
      </c>
      <c r="M286" s="2">
        <v>5</v>
      </c>
      <c r="N286" s="2">
        <v>0</v>
      </c>
      <c r="O286" s="2">
        <v>0</v>
      </c>
      <c r="P286" s="2">
        <v>5</v>
      </c>
      <c r="Q286" s="2" t="s">
        <v>2280</v>
      </c>
      <c r="R286" s="2" t="s">
        <v>2281</v>
      </c>
      <c r="S286" s="4">
        <v>44837</v>
      </c>
    </row>
    <row r="287" spans="1:19" ht="12.5" hidden="1" x14ac:dyDescent="0.25">
      <c r="A287" s="14" t="str">
        <f>HYPERLINK("https://gerandofalcoes.my.salesforce.com/0014X00002VKD04QAH", "0014X00002VKD04QAH")</f>
        <v>0014X00002VKD04QAH</v>
      </c>
      <c r="B287" s="2" t="s">
        <v>2282</v>
      </c>
      <c r="C287" s="2" t="s">
        <v>423</v>
      </c>
      <c r="D287" s="2" t="s">
        <v>2</v>
      </c>
      <c r="E287" s="2">
        <v>29.75</v>
      </c>
      <c r="F287" s="2">
        <v>24</v>
      </c>
      <c r="G287" s="2">
        <v>3</v>
      </c>
      <c r="H287" s="2">
        <v>1200000</v>
      </c>
      <c r="I287" s="2">
        <v>35</v>
      </c>
      <c r="J287" s="2" t="s">
        <v>1650</v>
      </c>
      <c r="K287" s="2">
        <v>65</v>
      </c>
      <c r="L287" s="2">
        <v>15</v>
      </c>
      <c r="M287" s="2">
        <v>12</v>
      </c>
      <c r="N287" s="2">
        <v>8</v>
      </c>
      <c r="O287" s="2">
        <v>25</v>
      </c>
      <c r="P287" s="2">
        <v>5</v>
      </c>
      <c r="Q287" s="2" t="s">
        <v>2283</v>
      </c>
      <c r="R287" s="2" t="s">
        <v>2284</v>
      </c>
      <c r="S287" s="4">
        <v>44837</v>
      </c>
    </row>
    <row r="288" spans="1:19" ht="12.5" hidden="1" x14ac:dyDescent="0.25">
      <c r="A288" s="14" t="str">
        <f>HYPERLINK("https://gerandofalcoes.my.salesforce.com/0014P00003SGWQ9QAP", "0014P00003SGWQ9QAP")</f>
        <v>0014P00003SGWQ9QAP</v>
      </c>
      <c r="B288" s="2" t="s">
        <v>232</v>
      </c>
      <c r="C288" s="2" t="s">
        <v>423</v>
      </c>
      <c r="D288" s="2" t="s">
        <v>2</v>
      </c>
      <c r="E288" s="2">
        <v>29.74</v>
      </c>
      <c r="F288" s="2">
        <v>5</v>
      </c>
      <c r="G288" s="2">
        <v>3</v>
      </c>
      <c r="H288" s="2">
        <v>191584</v>
      </c>
      <c r="I288" s="2">
        <v>245</v>
      </c>
      <c r="J288" s="2" t="s">
        <v>1671</v>
      </c>
      <c r="K288" s="2">
        <v>55</v>
      </c>
      <c r="L288" s="2">
        <v>15</v>
      </c>
      <c r="M288" s="2">
        <v>5</v>
      </c>
      <c r="N288" s="2">
        <v>8</v>
      </c>
      <c r="O288" s="2">
        <v>15</v>
      </c>
      <c r="P288" s="2">
        <v>12</v>
      </c>
      <c r="Q288" s="2" t="s">
        <v>233</v>
      </c>
      <c r="R288" s="2" t="s">
        <v>2285</v>
      </c>
      <c r="S288" s="4">
        <v>44837</v>
      </c>
    </row>
    <row r="289" spans="1:19" ht="12.5" hidden="1" x14ac:dyDescent="0.25">
      <c r="A289" s="14" t="str">
        <f>HYPERLINK("https://gerandofalcoes.my.salesforce.com/0014X00002PUOdWQAX", "0014X00002PUOdWQAX")</f>
        <v>0014X00002PUOdWQAX</v>
      </c>
      <c r="B289" s="2" t="s">
        <v>22</v>
      </c>
      <c r="C289" s="2" t="s">
        <v>423</v>
      </c>
      <c r="D289" s="2" t="s">
        <v>2</v>
      </c>
      <c r="E289" s="2">
        <v>29.59</v>
      </c>
      <c r="F289" s="2">
        <v>10</v>
      </c>
      <c r="G289" s="2">
        <v>0</v>
      </c>
      <c r="H289" s="2">
        <v>0</v>
      </c>
      <c r="I289" s="2">
        <v>100</v>
      </c>
      <c r="J289" s="2" t="s">
        <v>1779</v>
      </c>
      <c r="K289" s="2">
        <v>35</v>
      </c>
      <c r="L289" s="2">
        <v>15</v>
      </c>
      <c r="M289" s="2">
        <v>10</v>
      </c>
      <c r="N289" s="2">
        <v>0</v>
      </c>
      <c r="O289" s="2">
        <v>0</v>
      </c>
      <c r="P289" s="2">
        <v>10</v>
      </c>
      <c r="Q289" s="2" t="s">
        <v>485</v>
      </c>
      <c r="R289" s="2" t="s">
        <v>485</v>
      </c>
      <c r="S289" s="4">
        <v>44837</v>
      </c>
    </row>
    <row r="290" spans="1:19" ht="12.5" hidden="1" x14ac:dyDescent="0.25">
      <c r="A290" s="14" t="str">
        <f>HYPERLINK("https://gerandofalcoes.my.salesforce.com/0014P00003YSp9WQAT", "0014P00003YSp9WQAT")</f>
        <v>0014P00003YSp9WQAT</v>
      </c>
      <c r="B290" s="2" t="s">
        <v>2286</v>
      </c>
      <c r="C290" s="2" t="s">
        <v>423</v>
      </c>
      <c r="D290" s="2" t="s">
        <v>2</v>
      </c>
      <c r="E290" s="2">
        <v>29.45</v>
      </c>
      <c r="F290" s="2">
        <v>0</v>
      </c>
      <c r="G290" s="2">
        <v>2</v>
      </c>
      <c r="H290" s="2">
        <v>0</v>
      </c>
      <c r="I290" s="2">
        <v>353</v>
      </c>
      <c r="J290" s="2" t="s">
        <v>1779</v>
      </c>
      <c r="K290" s="2">
        <v>36</v>
      </c>
      <c r="L290" s="2">
        <v>15</v>
      </c>
      <c r="M290" s="2">
        <v>0</v>
      </c>
      <c r="N290" s="2">
        <v>6</v>
      </c>
      <c r="O290" s="2">
        <v>0</v>
      </c>
      <c r="P290" s="2">
        <v>15</v>
      </c>
      <c r="Q290" s="2" t="s">
        <v>2287</v>
      </c>
      <c r="R290" s="2" t="s">
        <v>2287</v>
      </c>
      <c r="S290" s="4">
        <v>44837</v>
      </c>
    </row>
    <row r="291" spans="1:19" ht="12.5" hidden="1" x14ac:dyDescent="0.25">
      <c r="A291" s="14" t="str">
        <f>HYPERLINK("https://gerandofalcoes.my.salesforce.com/0014P00003SGWQ0QAP", "0014P00003SGWQ0QAP")</f>
        <v>0014P00003SGWQ0QAP</v>
      </c>
      <c r="B291" s="2" t="s">
        <v>201</v>
      </c>
      <c r="C291" s="2" t="s">
        <v>423</v>
      </c>
      <c r="D291" s="2" t="s">
        <v>2</v>
      </c>
      <c r="E291" s="2">
        <v>29.44</v>
      </c>
      <c r="F291" s="2">
        <v>6</v>
      </c>
      <c r="G291" s="2">
        <v>3</v>
      </c>
      <c r="H291" s="2">
        <v>24338140</v>
      </c>
      <c r="I291" s="2">
        <v>90</v>
      </c>
      <c r="J291" s="2" t="s">
        <v>1650</v>
      </c>
      <c r="K291" s="2">
        <v>68</v>
      </c>
      <c r="L291" s="2">
        <v>15</v>
      </c>
      <c r="M291" s="2">
        <v>10</v>
      </c>
      <c r="N291" s="2">
        <v>8</v>
      </c>
      <c r="O291" s="2">
        <v>25</v>
      </c>
      <c r="P291" s="2">
        <v>10</v>
      </c>
      <c r="Q291" s="2" t="s">
        <v>202</v>
      </c>
      <c r="R291" s="2" t="s">
        <v>1077</v>
      </c>
      <c r="S291" s="4">
        <v>44837</v>
      </c>
    </row>
    <row r="292" spans="1:19" ht="12.5" hidden="1" x14ac:dyDescent="0.25">
      <c r="A292" s="14" t="str">
        <f>HYPERLINK("https://gerandofalcoes.my.salesforce.com/0014P00003AN2etQAD", "0014P00003AN2etQAD")</f>
        <v>0014P00003AN2etQAD</v>
      </c>
      <c r="B292" s="2" t="s">
        <v>2288</v>
      </c>
      <c r="C292" s="2" t="s">
        <v>423</v>
      </c>
      <c r="D292" s="2" t="s">
        <v>2</v>
      </c>
      <c r="E292" s="2">
        <v>29.3</v>
      </c>
      <c r="F292" s="2">
        <v>10</v>
      </c>
      <c r="G292" s="2">
        <v>4</v>
      </c>
      <c r="H292" s="2">
        <v>180000</v>
      </c>
      <c r="I292" s="2">
        <v>320</v>
      </c>
      <c r="J292" s="2" t="s">
        <v>1650</v>
      </c>
      <c r="K292" s="2">
        <v>65</v>
      </c>
      <c r="L292" s="2">
        <v>15</v>
      </c>
      <c r="M292" s="2">
        <v>10</v>
      </c>
      <c r="N292" s="2">
        <v>10</v>
      </c>
      <c r="O292" s="2">
        <v>15</v>
      </c>
      <c r="P292" s="2">
        <v>15</v>
      </c>
      <c r="Q292" s="2" t="s">
        <v>572</v>
      </c>
      <c r="R292" s="2" t="s">
        <v>572</v>
      </c>
      <c r="S292" s="4">
        <v>44837</v>
      </c>
    </row>
    <row r="293" spans="1:19" ht="12.5" hidden="1" x14ac:dyDescent="0.25">
      <c r="A293" s="14" t="str">
        <f>HYPERLINK("https://gerandofalcoes.my.salesforce.com/0014X00002VKCp5QAH", "0014X00002VKCp5QAH")</f>
        <v>0014X00002VKCp5QAH</v>
      </c>
      <c r="B293" s="2" t="s">
        <v>2289</v>
      </c>
      <c r="C293" s="2" t="s">
        <v>423</v>
      </c>
      <c r="D293" s="2" t="s">
        <v>2</v>
      </c>
      <c r="E293" s="2">
        <v>29</v>
      </c>
      <c r="F293" s="2">
        <v>0</v>
      </c>
      <c r="G293" s="2">
        <v>8</v>
      </c>
      <c r="H293" s="2">
        <v>52000</v>
      </c>
      <c r="I293" s="2">
        <v>2500</v>
      </c>
      <c r="J293" s="2" t="s">
        <v>1671</v>
      </c>
      <c r="K293" s="2">
        <v>55</v>
      </c>
      <c r="L293" s="2">
        <v>15</v>
      </c>
      <c r="M293" s="2">
        <v>0</v>
      </c>
      <c r="N293" s="2">
        <v>10</v>
      </c>
      <c r="O293" s="2">
        <v>10</v>
      </c>
      <c r="P293" s="2">
        <v>20</v>
      </c>
      <c r="Q293" s="2" t="s">
        <v>2290</v>
      </c>
      <c r="R293" s="2" t="s">
        <v>2291</v>
      </c>
      <c r="S293" s="4">
        <v>44837</v>
      </c>
    </row>
    <row r="294" spans="1:19" ht="12.5" hidden="1" x14ac:dyDescent="0.25">
      <c r="A294" s="14" t="str">
        <f>HYPERLINK("https://gerandofalcoes.my.salesforce.com/0014P00003YSp8NQAT", "0014P00003YSp8NQAT")</f>
        <v>0014P00003YSp8NQAT</v>
      </c>
      <c r="B294" s="2" t="s">
        <v>2292</v>
      </c>
      <c r="C294" s="2" t="s">
        <v>1800</v>
      </c>
      <c r="D294" s="2" t="s">
        <v>2</v>
      </c>
      <c r="E294" s="2">
        <v>29</v>
      </c>
      <c r="F294" s="2">
        <v>3</v>
      </c>
      <c r="G294" s="2">
        <v>2</v>
      </c>
      <c r="H294" s="2">
        <v>13121</v>
      </c>
      <c r="I294" s="2">
        <v>800</v>
      </c>
      <c r="J294" s="2" t="s">
        <v>1671</v>
      </c>
      <c r="K294" s="2">
        <v>51</v>
      </c>
      <c r="L294" s="2">
        <v>15</v>
      </c>
      <c r="M294" s="2">
        <v>5</v>
      </c>
      <c r="N294" s="2">
        <v>6</v>
      </c>
      <c r="O294" s="2">
        <v>5</v>
      </c>
      <c r="P294" s="2">
        <v>20</v>
      </c>
      <c r="Q294" s="2" t="s">
        <v>2293</v>
      </c>
      <c r="R294" s="2" t="s">
        <v>2294</v>
      </c>
      <c r="S294" s="4">
        <v>44837</v>
      </c>
    </row>
    <row r="295" spans="1:19" ht="12.5" hidden="1" x14ac:dyDescent="0.25">
      <c r="A295" s="14" t="str">
        <f>HYPERLINK("https://gerandofalcoes.my.salesforce.com/0014P00003YSp8kQAD", "0014P00003YSp8kQAD")</f>
        <v>0014P00003YSp8kQAD</v>
      </c>
      <c r="B295" s="2" t="s">
        <v>2295</v>
      </c>
      <c r="C295" s="2" t="s">
        <v>1800</v>
      </c>
      <c r="D295" s="2" t="s">
        <v>2</v>
      </c>
      <c r="E295" s="2">
        <v>29</v>
      </c>
      <c r="F295" s="2">
        <v>2</v>
      </c>
      <c r="G295" s="2">
        <v>2</v>
      </c>
      <c r="H295" s="2">
        <v>12000</v>
      </c>
      <c r="I295" s="2">
        <v>300</v>
      </c>
      <c r="J295" s="2" t="s">
        <v>1671</v>
      </c>
      <c r="K295" s="2">
        <v>46</v>
      </c>
      <c r="L295" s="2">
        <v>15</v>
      </c>
      <c r="M295" s="2">
        <v>5</v>
      </c>
      <c r="N295" s="2">
        <v>6</v>
      </c>
      <c r="O295" s="2">
        <v>5</v>
      </c>
      <c r="P295" s="2">
        <v>15</v>
      </c>
      <c r="Q295" s="2" t="s">
        <v>2296</v>
      </c>
      <c r="R295" s="2" t="s">
        <v>2297</v>
      </c>
      <c r="S295" s="4">
        <v>44837</v>
      </c>
    </row>
    <row r="296" spans="1:19" ht="12.5" hidden="1" x14ac:dyDescent="0.25">
      <c r="A296" s="14" t="str">
        <f>HYPERLINK("https://gerandofalcoes.my.salesforce.com/0014X00002VKCphQAH", "0014X00002VKCphQAH")</f>
        <v>0014X00002VKCphQAH</v>
      </c>
      <c r="B296" s="2" t="s">
        <v>2298</v>
      </c>
      <c r="C296" s="2" t="s">
        <v>1800</v>
      </c>
      <c r="D296" s="2" t="s">
        <v>2</v>
      </c>
      <c r="E296" s="2">
        <v>29</v>
      </c>
      <c r="F296" s="2">
        <v>0</v>
      </c>
      <c r="G296" s="2">
        <v>3</v>
      </c>
      <c r="H296" s="2">
        <v>30000</v>
      </c>
      <c r="I296" s="2">
        <v>150</v>
      </c>
      <c r="J296" s="2" t="s">
        <v>1671</v>
      </c>
      <c r="K296" s="2">
        <v>45</v>
      </c>
      <c r="L296" s="2">
        <v>15</v>
      </c>
      <c r="M296" s="2">
        <v>0</v>
      </c>
      <c r="N296" s="2">
        <v>8</v>
      </c>
      <c r="O296" s="2">
        <v>10</v>
      </c>
      <c r="P296" s="2">
        <v>12</v>
      </c>
      <c r="Q296" s="2" t="s">
        <v>2299</v>
      </c>
      <c r="R296" s="2" t="s">
        <v>2300</v>
      </c>
      <c r="S296" s="4">
        <v>44837</v>
      </c>
    </row>
    <row r="297" spans="1:19" ht="12.5" hidden="1" x14ac:dyDescent="0.25">
      <c r="A297" s="14" t="str">
        <f>HYPERLINK("https://gerandofalcoes.my.salesforce.com/0014X00002VKCqXQAX", "0014X00002VKCqXQAX")</f>
        <v>0014X00002VKCqXQAX</v>
      </c>
      <c r="B297" s="2" t="s">
        <v>2301</v>
      </c>
      <c r="C297" s="2" t="s">
        <v>1684</v>
      </c>
      <c r="D297" s="2" t="s">
        <v>2</v>
      </c>
      <c r="E297" s="2">
        <v>29</v>
      </c>
      <c r="F297" s="2">
        <v>0</v>
      </c>
      <c r="G297" s="2">
        <v>5</v>
      </c>
      <c r="H297" s="2">
        <v>70000</v>
      </c>
      <c r="I297" s="2">
        <v>100</v>
      </c>
      <c r="J297" s="2" t="s">
        <v>1671</v>
      </c>
      <c r="K297" s="2">
        <v>45</v>
      </c>
      <c r="L297" s="2">
        <v>15</v>
      </c>
      <c r="M297" s="2">
        <v>0</v>
      </c>
      <c r="N297" s="2">
        <v>10</v>
      </c>
      <c r="O297" s="2">
        <v>10</v>
      </c>
      <c r="P297" s="2">
        <v>10</v>
      </c>
      <c r="Q297" s="2" t="s">
        <v>2302</v>
      </c>
      <c r="R297" s="2" t="s">
        <v>2303</v>
      </c>
      <c r="S297" s="4">
        <v>44837</v>
      </c>
    </row>
    <row r="298" spans="1:19" ht="12.5" hidden="1" x14ac:dyDescent="0.25">
      <c r="A298" s="14" t="str">
        <f>HYPERLINK("https://gerandofalcoes.my.salesforce.com/0014X00002VKCq5QAH", "0014X00002VKCq5QAH")</f>
        <v>0014X00002VKCq5QAH</v>
      </c>
      <c r="B298" s="2" t="s">
        <v>2304</v>
      </c>
      <c r="C298" s="2" t="s">
        <v>423</v>
      </c>
      <c r="D298" s="2" t="s">
        <v>2</v>
      </c>
      <c r="E298" s="2">
        <v>29</v>
      </c>
      <c r="F298" s="2">
        <v>3</v>
      </c>
      <c r="G298" s="2">
        <v>3</v>
      </c>
      <c r="H298" s="2">
        <v>30000</v>
      </c>
      <c r="I298" s="2">
        <v>50</v>
      </c>
      <c r="J298" s="2" t="s">
        <v>1671</v>
      </c>
      <c r="K298" s="2">
        <v>43</v>
      </c>
      <c r="L298" s="2">
        <v>15</v>
      </c>
      <c r="M298" s="2">
        <v>5</v>
      </c>
      <c r="N298" s="2">
        <v>8</v>
      </c>
      <c r="O298" s="2">
        <v>10</v>
      </c>
      <c r="P298" s="2">
        <v>5</v>
      </c>
      <c r="Q298" s="2" t="s">
        <v>2305</v>
      </c>
      <c r="R298" s="2" t="s">
        <v>2306</v>
      </c>
      <c r="S298" s="4">
        <v>44837</v>
      </c>
    </row>
    <row r="299" spans="1:19" ht="12.5" hidden="1" x14ac:dyDescent="0.25">
      <c r="A299" s="14" t="str">
        <f>HYPERLINK("https://gerandofalcoes.my.salesforce.com/0014X00002VKCv1QAH", "0014X00002VKCv1QAH")</f>
        <v>0014X00002VKCv1QAH</v>
      </c>
      <c r="B299" s="2" t="s">
        <v>2307</v>
      </c>
      <c r="C299" s="2" t="s">
        <v>423</v>
      </c>
      <c r="D299" s="2" t="s">
        <v>2</v>
      </c>
      <c r="E299" s="2">
        <v>29</v>
      </c>
      <c r="F299" s="2">
        <v>0</v>
      </c>
      <c r="G299" s="2">
        <v>2</v>
      </c>
      <c r="H299" s="2">
        <v>10000</v>
      </c>
      <c r="I299" s="2">
        <v>20</v>
      </c>
      <c r="J299" s="2" t="s">
        <v>1779</v>
      </c>
      <c r="K299" s="2">
        <v>31</v>
      </c>
      <c r="L299" s="2">
        <v>15</v>
      </c>
      <c r="M299" s="2">
        <v>0</v>
      </c>
      <c r="N299" s="2">
        <v>6</v>
      </c>
      <c r="O299" s="2">
        <v>5</v>
      </c>
      <c r="P299" s="2">
        <v>5</v>
      </c>
      <c r="Q299" s="2" t="s">
        <v>2308</v>
      </c>
      <c r="R299" s="2" t="s">
        <v>2308</v>
      </c>
      <c r="S299" s="4">
        <v>44837</v>
      </c>
    </row>
    <row r="300" spans="1:19" ht="12.5" hidden="1" x14ac:dyDescent="0.25">
      <c r="A300" s="14" t="str">
        <f>HYPERLINK("https://gerandofalcoes.my.salesforce.com/0014P00003YSp8eQAD", "0014P00003YSp8eQAD")</f>
        <v>0014P00003YSp8eQAD</v>
      </c>
      <c r="B300" s="2" t="s">
        <v>2309</v>
      </c>
      <c r="C300" s="2" t="s">
        <v>1800</v>
      </c>
      <c r="D300" s="2" t="s">
        <v>2</v>
      </c>
      <c r="E300" s="2">
        <v>29</v>
      </c>
      <c r="F300" s="2">
        <v>0</v>
      </c>
      <c r="G300" s="2">
        <v>3</v>
      </c>
      <c r="H300" s="2">
        <v>350000</v>
      </c>
      <c r="I300" s="2">
        <v>0</v>
      </c>
      <c r="J300" s="2" t="s">
        <v>1671</v>
      </c>
      <c r="K300" s="2">
        <v>43</v>
      </c>
      <c r="L300" s="2">
        <v>15</v>
      </c>
      <c r="M300" s="2">
        <v>0</v>
      </c>
      <c r="N300" s="2">
        <v>8</v>
      </c>
      <c r="O300" s="2">
        <v>20</v>
      </c>
      <c r="P300" s="2">
        <v>0</v>
      </c>
      <c r="Q300" s="2" t="s">
        <v>2310</v>
      </c>
      <c r="R300" s="2" t="s">
        <v>2311</v>
      </c>
      <c r="S300" s="4">
        <v>44837</v>
      </c>
    </row>
    <row r="301" spans="1:19" ht="12.5" hidden="1" x14ac:dyDescent="0.25">
      <c r="A301" s="14" t="str">
        <f>HYPERLINK("https://gerandofalcoes.my.salesforce.com/0014P00003YSp9PQAT", "0014P00003YSp9PQAT")</f>
        <v>0014P00003YSp9PQAT</v>
      </c>
      <c r="B301" s="2" t="s">
        <v>2312</v>
      </c>
      <c r="C301" s="2" t="s">
        <v>423</v>
      </c>
      <c r="D301" s="2" t="s">
        <v>2</v>
      </c>
      <c r="E301" s="2">
        <v>28.92</v>
      </c>
      <c r="F301" s="2">
        <v>1</v>
      </c>
      <c r="G301" s="2">
        <v>2</v>
      </c>
      <c r="H301" s="2">
        <v>105000</v>
      </c>
      <c r="I301" s="2">
        <v>0</v>
      </c>
      <c r="J301" s="2" t="s">
        <v>1671</v>
      </c>
      <c r="K301" s="2">
        <v>41</v>
      </c>
      <c r="L301" s="2">
        <v>15</v>
      </c>
      <c r="M301" s="2">
        <v>5</v>
      </c>
      <c r="N301" s="2">
        <v>6</v>
      </c>
      <c r="O301" s="2">
        <v>15</v>
      </c>
      <c r="P301" s="2">
        <v>0</v>
      </c>
      <c r="Q301" s="2" t="s">
        <v>2313</v>
      </c>
      <c r="R301" s="2" t="s">
        <v>2313</v>
      </c>
      <c r="S301" s="4">
        <v>44837</v>
      </c>
    </row>
    <row r="302" spans="1:19" ht="12.5" hidden="1" x14ac:dyDescent="0.25">
      <c r="A302" s="14" t="str">
        <f>HYPERLINK("https://gerandofalcoes.my.salesforce.com/0014P00003SGWQ2QAP", "0014P00003SGWQ2QAP")</f>
        <v>0014P00003SGWQ2QAP</v>
      </c>
      <c r="B302" s="2" t="s">
        <v>194</v>
      </c>
      <c r="C302" s="2" t="s">
        <v>423</v>
      </c>
      <c r="D302" s="2" t="s">
        <v>2</v>
      </c>
      <c r="E302" s="2">
        <v>28.78</v>
      </c>
      <c r="F302" s="2">
        <v>0</v>
      </c>
      <c r="G302" s="2">
        <v>3</v>
      </c>
      <c r="H302" s="2">
        <v>0</v>
      </c>
      <c r="I302" s="2">
        <v>150</v>
      </c>
      <c r="J302" s="2" t="s">
        <v>1779</v>
      </c>
      <c r="K302" s="2">
        <v>35</v>
      </c>
      <c r="L302" s="2">
        <v>15</v>
      </c>
      <c r="M302" s="2">
        <v>0</v>
      </c>
      <c r="N302" s="2">
        <v>8</v>
      </c>
      <c r="O302" s="2">
        <v>0</v>
      </c>
      <c r="P302" s="2">
        <v>12</v>
      </c>
      <c r="Q302" s="2" t="s">
        <v>195</v>
      </c>
      <c r="R302" s="2" t="s">
        <v>1128</v>
      </c>
      <c r="S302" s="4">
        <v>44837</v>
      </c>
    </row>
    <row r="303" spans="1:19" ht="12.5" hidden="1" x14ac:dyDescent="0.25">
      <c r="A303" s="14" t="str">
        <f>HYPERLINK("https://gerandofalcoes.my.salesforce.com/0014P00003SGWPLQA5", "0014P00003SGWPLQA5")</f>
        <v>0014P00003SGWPLQA5</v>
      </c>
      <c r="B303" s="2" t="s">
        <v>356</v>
      </c>
      <c r="C303" s="2" t="s">
        <v>423</v>
      </c>
      <c r="D303" s="2" t="s">
        <v>2</v>
      </c>
      <c r="E303" s="2">
        <v>28.48</v>
      </c>
      <c r="F303" s="2">
        <v>0</v>
      </c>
      <c r="G303" s="2">
        <v>3</v>
      </c>
      <c r="H303" s="2">
        <v>43894</v>
      </c>
      <c r="I303" s="2">
        <v>100</v>
      </c>
      <c r="J303" s="2" t="s">
        <v>1671</v>
      </c>
      <c r="K303" s="2">
        <v>43</v>
      </c>
      <c r="L303" s="2">
        <v>15</v>
      </c>
      <c r="M303" s="2">
        <v>0</v>
      </c>
      <c r="N303" s="2">
        <v>8</v>
      </c>
      <c r="O303" s="2">
        <v>10</v>
      </c>
      <c r="P303" s="2">
        <v>10</v>
      </c>
      <c r="Q303" s="2" t="s">
        <v>357</v>
      </c>
      <c r="R303" s="2" t="s">
        <v>2314</v>
      </c>
      <c r="S303" s="4">
        <v>44837</v>
      </c>
    </row>
    <row r="304" spans="1:19" ht="12.5" hidden="1" x14ac:dyDescent="0.25">
      <c r="A304" s="14" t="str">
        <f>HYPERLINK("https://gerandofalcoes.my.salesforce.com/0014X00002VKCqZQAX", "0014X00002VKCqZQAX")</f>
        <v>0014X00002VKCqZQAX</v>
      </c>
      <c r="B304" s="2" t="s">
        <v>2315</v>
      </c>
      <c r="C304" s="2" t="s">
        <v>423</v>
      </c>
      <c r="D304" s="2" t="s">
        <v>2</v>
      </c>
      <c r="E304" s="2">
        <v>28.46</v>
      </c>
      <c r="F304" s="2">
        <v>0</v>
      </c>
      <c r="G304" s="2">
        <v>25</v>
      </c>
      <c r="H304" s="2">
        <v>31680</v>
      </c>
      <c r="I304" s="2">
        <v>30</v>
      </c>
      <c r="J304" s="2" t="s">
        <v>1671</v>
      </c>
      <c r="K304" s="2">
        <v>40</v>
      </c>
      <c r="L304" s="2">
        <v>15</v>
      </c>
      <c r="M304" s="2">
        <v>0</v>
      </c>
      <c r="N304" s="2">
        <v>10</v>
      </c>
      <c r="O304" s="2">
        <v>10</v>
      </c>
      <c r="P304" s="2">
        <v>5</v>
      </c>
      <c r="Q304" s="2" t="s">
        <v>2316</v>
      </c>
      <c r="R304" s="2" t="s">
        <v>2316</v>
      </c>
      <c r="S304" s="4">
        <v>44837</v>
      </c>
    </row>
    <row r="305" spans="1:19" ht="12.5" hidden="1" x14ac:dyDescent="0.25">
      <c r="A305" s="14" t="str">
        <f>HYPERLINK("https://gerandofalcoes.my.salesforce.com/0014X00002PUOY7QAP", "0014X00002PUOY7QAP")</f>
        <v>0014X00002PUOY7QAP</v>
      </c>
      <c r="B305" s="2" t="s">
        <v>2317</v>
      </c>
      <c r="C305" s="2" t="s">
        <v>423</v>
      </c>
      <c r="D305" s="2" t="s">
        <v>2</v>
      </c>
      <c r="E305" s="2">
        <v>28</v>
      </c>
      <c r="F305" s="2">
        <v>28</v>
      </c>
      <c r="G305" s="2">
        <v>3</v>
      </c>
      <c r="H305" s="2">
        <v>200000</v>
      </c>
      <c r="I305" s="2">
        <v>500</v>
      </c>
      <c r="J305" s="2" t="s">
        <v>1650</v>
      </c>
      <c r="K305" s="2">
        <v>70</v>
      </c>
      <c r="L305" s="2">
        <v>15</v>
      </c>
      <c r="M305" s="2">
        <v>12</v>
      </c>
      <c r="N305" s="2">
        <v>8</v>
      </c>
      <c r="O305" s="2">
        <v>15</v>
      </c>
      <c r="P305" s="2">
        <v>20</v>
      </c>
      <c r="Q305" s="2" t="s">
        <v>448</v>
      </c>
      <c r="R305" s="2" t="s">
        <v>448</v>
      </c>
      <c r="S305" s="4">
        <v>44837</v>
      </c>
    </row>
    <row r="306" spans="1:19" ht="12.5" hidden="1" x14ac:dyDescent="0.25">
      <c r="A306" s="14" t="str">
        <f>HYPERLINK("https://gerandofalcoes.my.salesforce.com/0014P00003AN2FbQAL", "0014P00003AN2FbQAL")</f>
        <v>0014P00003AN2FbQAL</v>
      </c>
      <c r="B306" s="2" t="s">
        <v>2318</v>
      </c>
      <c r="C306" s="2" t="s">
        <v>423</v>
      </c>
      <c r="D306" s="2" t="s">
        <v>2</v>
      </c>
      <c r="E306" s="2">
        <v>28</v>
      </c>
      <c r="F306" s="2">
        <v>0</v>
      </c>
      <c r="G306" s="2">
        <v>0</v>
      </c>
      <c r="H306" s="2">
        <v>20000</v>
      </c>
      <c r="I306" s="2">
        <v>330</v>
      </c>
      <c r="J306" s="2" t="s">
        <v>1779</v>
      </c>
      <c r="K306" s="2">
        <v>35</v>
      </c>
      <c r="L306" s="2">
        <v>15</v>
      </c>
      <c r="M306" s="2">
        <v>0</v>
      </c>
      <c r="N306" s="2">
        <v>0</v>
      </c>
      <c r="O306" s="2">
        <v>5</v>
      </c>
      <c r="P306" s="2">
        <v>15</v>
      </c>
      <c r="Q306" s="2" t="s">
        <v>88</v>
      </c>
      <c r="R306" s="2" t="s">
        <v>88</v>
      </c>
      <c r="S306" s="4">
        <v>44837</v>
      </c>
    </row>
    <row r="307" spans="1:19" ht="12.5" hidden="1" x14ac:dyDescent="0.25">
      <c r="A307" s="14" t="str">
        <f>HYPERLINK("https://gerandofalcoes.my.salesforce.com/0014P00003YSp8UQAT", "0014P00003YSp8UQAT")</f>
        <v>0014P00003YSp8UQAT</v>
      </c>
      <c r="B307" s="2" t="s">
        <v>2319</v>
      </c>
      <c r="C307" s="2" t="s">
        <v>423</v>
      </c>
      <c r="D307" s="2" t="s">
        <v>2</v>
      </c>
      <c r="E307" s="2">
        <v>28</v>
      </c>
      <c r="F307" s="2">
        <v>0</v>
      </c>
      <c r="G307" s="2">
        <v>3</v>
      </c>
      <c r="H307" s="2">
        <v>9994</v>
      </c>
      <c r="I307" s="2">
        <v>110</v>
      </c>
      <c r="J307" s="2" t="s">
        <v>1779</v>
      </c>
      <c r="K307" s="2">
        <v>38</v>
      </c>
      <c r="L307" s="2">
        <v>15</v>
      </c>
      <c r="M307" s="2">
        <v>0</v>
      </c>
      <c r="N307" s="2">
        <v>8</v>
      </c>
      <c r="O307" s="2">
        <v>5</v>
      </c>
      <c r="P307" s="2">
        <v>10</v>
      </c>
      <c r="Q307" s="2" t="s">
        <v>2320</v>
      </c>
      <c r="R307" s="2" t="s">
        <v>2321</v>
      </c>
      <c r="S307" s="4">
        <v>44837</v>
      </c>
    </row>
    <row r="308" spans="1:19" ht="12.5" hidden="1" x14ac:dyDescent="0.25">
      <c r="A308" s="14" t="str">
        <f>HYPERLINK("https://gerandofalcoes.my.salesforce.com/0014X00002VKCqYQAX", "0014X00002VKCqYQAX")</f>
        <v>0014X00002VKCqYQAX</v>
      </c>
      <c r="B308" s="2" t="s">
        <v>2322</v>
      </c>
      <c r="C308" s="2" t="s">
        <v>1800</v>
      </c>
      <c r="D308" s="2" t="s">
        <v>2</v>
      </c>
      <c r="E308" s="2">
        <v>28</v>
      </c>
      <c r="F308" s="2">
        <v>1</v>
      </c>
      <c r="G308" s="2">
        <v>6</v>
      </c>
      <c r="H308" s="2">
        <v>5000</v>
      </c>
      <c r="I308" s="2">
        <v>80</v>
      </c>
      <c r="J308" s="2" t="s">
        <v>1671</v>
      </c>
      <c r="K308" s="2">
        <v>45</v>
      </c>
      <c r="L308" s="2">
        <v>15</v>
      </c>
      <c r="M308" s="2">
        <v>5</v>
      </c>
      <c r="N308" s="2">
        <v>10</v>
      </c>
      <c r="O308" s="2">
        <v>5</v>
      </c>
      <c r="P308" s="2">
        <v>10</v>
      </c>
      <c r="Q308" s="2" t="s">
        <v>2323</v>
      </c>
      <c r="R308" s="2" t="s">
        <v>2324</v>
      </c>
      <c r="S308" s="4">
        <v>44837</v>
      </c>
    </row>
    <row r="309" spans="1:19" ht="12.5" hidden="1" x14ac:dyDescent="0.25">
      <c r="A309" s="14" t="str">
        <f>HYPERLINK("https://gerandofalcoes.my.salesforce.com/0014P00003YSp88QAD", "0014P00003YSp88QAD")</f>
        <v>0014P00003YSp88QAD</v>
      </c>
      <c r="B309" s="2" t="s">
        <v>2325</v>
      </c>
      <c r="C309" s="2" t="s">
        <v>1800</v>
      </c>
      <c r="D309" s="2" t="s">
        <v>2</v>
      </c>
      <c r="E309" s="2">
        <v>28</v>
      </c>
      <c r="F309" s="2">
        <v>0</v>
      </c>
      <c r="G309" s="2">
        <v>2</v>
      </c>
      <c r="H309" s="2">
        <v>0</v>
      </c>
      <c r="I309" s="2">
        <v>80</v>
      </c>
      <c r="J309" s="2" t="s">
        <v>1779</v>
      </c>
      <c r="K309" s="2">
        <v>31</v>
      </c>
      <c r="L309" s="2">
        <v>15</v>
      </c>
      <c r="M309" s="2">
        <v>0</v>
      </c>
      <c r="N309" s="2">
        <v>6</v>
      </c>
      <c r="O309" s="2">
        <v>0</v>
      </c>
      <c r="P309" s="2">
        <v>10</v>
      </c>
      <c r="Q309" s="2" t="s">
        <v>2326</v>
      </c>
      <c r="R309" s="2" t="s">
        <v>2327</v>
      </c>
      <c r="S309" s="4">
        <v>44837</v>
      </c>
    </row>
    <row r="310" spans="1:19" ht="12.5" hidden="1" x14ac:dyDescent="0.25">
      <c r="A310" s="14" t="str">
        <f>HYPERLINK("https://gerandofalcoes.my.salesforce.com/0014X00002VKCpYQAX", "0014X00002VKCpYQAX")</f>
        <v>0014X00002VKCpYQAX</v>
      </c>
      <c r="B310" s="2" t="s">
        <v>2328</v>
      </c>
      <c r="C310" s="2" t="s">
        <v>423</v>
      </c>
      <c r="D310" s="2" t="s">
        <v>2</v>
      </c>
      <c r="E310" s="2">
        <v>28</v>
      </c>
      <c r="F310" s="2">
        <v>0</v>
      </c>
      <c r="G310" s="2">
        <v>5</v>
      </c>
      <c r="H310" s="2">
        <v>4000</v>
      </c>
      <c r="I310" s="2">
        <v>30</v>
      </c>
      <c r="J310" s="2" t="s">
        <v>1779</v>
      </c>
      <c r="K310" s="2">
        <v>35</v>
      </c>
      <c r="L310" s="2">
        <v>15</v>
      </c>
      <c r="M310" s="2">
        <v>0</v>
      </c>
      <c r="N310" s="2">
        <v>10</v>
      </c>
      <c r="O310" s="2">
        <v>5</v>
      </c>
      <c r="P310" s="2">
        <v>5</v>
      </c>
      <c r="Q310" s="2" t="s">
        <v>2329</v>
      </c>
      <c r="R310" s="2" t="s">
        <v>2329</v>
      </c>
      <c r="S310" s="4">
        <v>44837</v>
      </c>
    </row>
    <row r="311" spans="1:19" ht="12.5" hidden="1" x14ac:dyDescent="0.25">
      <c r="A311" s="14" t="str">
        <f>HYPERLINK("https://gerandofalcoes.my.salesforce.com/0014P00003YSp9xQAD", "0014P00003YSp9xQAD")</f>
        <v>0014P00003YSp9xQAD</v>
      </c>
      <c r="B311" s="2" t="s">
        <v>2330</v>
      </c>
      <c r="C311" s="2" t="s">
        <v>1800</v>
      </c>
      <c r="D311" s="2" t="s">
        <v>2</v>
      </c>
      <c r="E311" s="2">
        <v>28</v>
      </c>
      <c r="F311" s="2">
        <v>0</v>
      </c>
      <c r="G311" s="2">
        <v>2</v>
      </c>
      <c r="H311" s="2">
        <v>120000</v>
      </c>
      <c r="I311" s="2">
        <v>29</v>
      </c>
      <c r="J311" s="2" t="s">
        <v>1671</v>
      </c>
      <c r="K311" s="2">
        <v>41</v>
      </c>
      <c r="L311" s="2">
        <v>15</v>
      </c>
      <c r="M311" s="2">
        <v>0</v>
      </c>
      <c r="N311" s="2">
        <v>6</v>
      </c>
      <c r="O311" s="2">
        <v>15</v>
      </c>
      <c r="P311" s="2">
        <v>5</v>
      </c>
      <c r="Q311" s="2" t="s">
        <v>2331</v>
      </c>
      <c r="R311" s="2" t="s">
        <v>2331</v>
      </c>
      <c r="S311" s="4">
        <v>44837</v>
      </c>
    </row>
    <row r="312" spans="1:19" ht="12.5" hidden="1" x14ac:dyDescent="0.25">
      <c r="A312" s="14" t="str">
        <f>HYPERLINK("https://gerandofalcoes.my.salesforce.com/0014X00002VKCpRQAX", "0014X00002VKCpRQAX")</f>
        <v>0014X00002VKCpRQAX</v>
      </c>
      <c r="B312" s="2" t="s">
        <v>2332</v>
      </c>
      <c r="C312" s="2" t="s">
        <v>1800</v>
      </c>
      <c r="D312" s="2" t="s">
        <v>2</v>
      </c>
      <c r="E312" s="2">
        <v>28</v>
      </c>
      <c r="F312" s="2">
        <v>0</v>
      </c>
      <c r="G312" s="2">
        <v>2</v>
      </c>
      <c r="H312" s="2">
        <v>32500000</v>
      </c>
      <c r="I312" s="2">
        <v>0</v>
      </c>
      <c r="J312" s="2" t="s">
        <v>1671</v>
      </c>
      <c r="K312" s="2">
        <v>46</v>
      </c>
      <c r="L312" s="2">
        <v>15</v>
      </c>
      <c r="M312" s="2">
        <v>0</v>
      </c>
      <c r="N312" s="2">
        <v>6</v>
      </c>
      <c r="O312" s="2">
        <v>25</v>
      </c>
      <c r="P312" s="2">
        <v>0</v>
      </c>
      <c r="Q312" s="2" t="s">
        <v>2333</v>
      </c>
      <c r="R312" s="2" t="s">
        <v>2334</v>
      </c>
      <c r="S312" s="4">
        <v>44837</v>
      </c>
    </row>
    <row r="313" spans="1:19" ht="12.5" hidden="1" x14ac:dyDescent="0.25">
      <c r="A313" s="14" t="str">
        <f>HYPERLINK("https://gerandofalcoes.my.salesforce.com/0014P00003YSp8IQAT", "0014P00003YSp8IQAT")</f>
        <v>0014P00003YSp8IQAT</v>
      </c>
      <c r="B313" s="2" t="s">
        <v>2335</v>
      </c>
      <c r="C313" s="2" t="s">
        <v>423</v>
      </c>
      <c r="D313" s="2" t="s">
        <v>2</v>
      </c>
      <c r="E313" s="2">
        <v>27.89</v>
      </c>
      <c r="F313" s="2">
        <v>0</v>
      </c>
      <c r="G313" s="2">
        <v>3</v>
      </c>
      <c r="H313" s="2">
        <v>9000000</v>
      </c>
      <c r="I313" s="2">
        <v>250</v>
      </c>
      <c r="J313" s="2" t="s">
        <v>1671</v>
      </c>
      <c r="K313" s="2">
        <v>60</v>
      </c>
      <c r="L313" s="2">
        <v>15</v>
      </c>
      <c r="M313" s="2">
        <v>0</v>
      </c>
      <c r="N313" s="2">
        <v>8</v>
      </c>
      <c r="O313" s="2">
        <v>25</v>
      </c>
      <c r="P313" s="2">
        <v>12</v>
      </c>
      <c r="Q313" s="2" t="s">
        <v>2336</v>
      </c>
      <c r="R313" s="2" t="s">
        <v>2337</v>
      </c>
      <c r="S313" s="4">
        <v>44837</v>
      </c>
    </row>
    <row r="314" spans="1:19" ht="12.5" hidden="1" x14ac:dyDescent="0.25">
      <c r="A314" s="14" t="str">
        <f>HYPERLINK("https://gerandofalcoes.my.salesforce.com/0014X00002VKCqeQAH", "0014X00002VKCqeQAH")</f>
        <v>0014X00002VKCqeQAH</v>
      </c>
      <c r="B314" s="2" t="s">
        <v>2338</v>
      </c>
      <c r="C314" s="2" t="s">
        <v>423</v>
      </c>
      <c r="D314" s="2" t="s">
        <v>2</v>
      </c>
      <c r="E314" s="2">
        <v>27.33</v>
      </c>
      <c r="F314" s="2">
        <v>0</v>
      </c>
      <c r="G314" s="2">
        <v>0</v>
      </c>
      <c r="H314" s="2">
        <v>0</v>
      </c>
      <c r="I314" s="2">
        <v>120</v>
      </c>
      <c r="J314" s="2" t="s">
        <v>1779</v>
      </c>
      <c r="K314" s="2">
        <v>25</v>
      </c>
      <c r="L314" s="2">
        <v>15</v>
      </c>
      <c r="M314" s="2">
        <v>0</v>
      </c>
      <c r="N314" s="2">
        <v>0</v>
      </c>
      <c r="O314" s="2">
        <v>0</v>
      </c>
      <c r="P314" s="2">
        <v>10</v>
      </c>
      <c r="Q314" s="2" t="s">
        <v>2339</v>
      </c>
      <c r="R314" s="2" t="s">
        <v>2339</v>
      </c>
      <c r="S314" s="4">
        <v>44837</v>
      </c>
    </row>
    <row r="315" spans="1:19" ht="12.5" hidden="1" x14ac:dyDescent="0.25">
      <c r="A315" s="14" t="str">
        <f>HYPERLINK("https://gerandofalcoes.my.salesforce.com/0014X00002VKCpyQAH", "0014X00002VKCpyQAH")</f>
        <v>0014X00002VKCpyQAH</v>
      </c>
      <c r="B315" s="2" t="s">
        <v>2340</v>
      </c>
      <c r="C315" s="2" t="s">
        <v>423</v>
      </c>
      <c r="D315" s="2" t="s">
        <v>2</v>
      </c>
      <c r="E315" s="2">
        <v>27.22</v>
      </c>
      <c r="F315" s="2">
        <v>0</v>
      </c>
      <c r="G315" s="2">
        <v>3</v>
      </c>
      <c r="H315" s="2">
        <v>20030</v>
      </c>
      <c r="I315" s="2">
        <v>294</v>
      </c>
      <c r="J315" s="2" t="s">
        <v>1671</v>
      </c>
      <c r="K315" s="2">
        <v>40</v>
      </c>
      <c r="L315" s="2">
        <v>15</v>
      </c>
      <c r="M315" s="2">
        <v>0</v>
      </c>
      <c r="N315" s="2">
        <v>8</v>
      </c>
      <c r="O315" s="2">
        <v>5</v>
      </c>
      <c r="P315" s="2">
        <v>12</v>
      </c>
      <c r="Q315" s="2" t="s">
        <v>2341</v>
      </c>
      <c r="R315" s="2" t="s">
        <v>2342</v>
      </c>
      <c r="S315" s="4">
        <v>44837</v>
      </c>
    </row>
    <row r="316" spans="1:19" ht="12.5" hidden="1" x14ac:dyDescent="0.25">
      <c r="A316" s="14" t="str">
        <f>HYPERLINK("https://gerandofalcoes.my.salesforce.com/0014X00002VKCv8QAH", "0014X00002VKCv8QAH")</f>
        <v>0014X00002VKCv8QAH</v>
      </c>
      <c r="B316" s="2" t="s">
        <v>2343</v>
      </c>
      <c r="C316" s="2" t="s">
        <v>423</v>
      </c>
      <c r="D316" s="2" t="s">
        <v>2</v>
      </c>
      <c r="E316" s="2">
        <v>27.08</v>
      </c>
      <c r="F316" s="2">
        <v>0</v>
      </c>
      <c r="G316" s="2">
        <v>0</v>
      </c>
      <c r="H316" s="2">
        <v>0</v>
      </c>
      <c r="I316" s="2">
        <v>400</v>
      </c>
      <c r="J316" s="2" t="s">
        <v>1779</v>
      </c>
      <c r="K316" s="2">
        <v>30</v>
      </c>
      <c r="L316" s="2">
        <v>15</v>
      </c>
      <c r="M316" s="2">
        <v>0</v>
      </c>
      <c r="N316" s="2">
        <v>0</v>
      </c>
      <c r="O316" s="2">
        <v>0</v>
      </c>
      <c r="P316" s="2">
        <v>15</v>
      </c>
      <c r="Q316" s="2" t="s">
        <v>2344</v>
      </c>
      <c r="R316" s="2" t="s">
        <v>2345</v>
      </c>
      <c r="S316" s="4">
        <v>44837</v>
      </c>
    </row>
    <row r="317" spans="1:19" ht="12.5" hidden="1" x14ac:dyDescent="0.25">
      <c r="A317" s="14" t="str">
        <f>HYPERLINK("https://gerandofalcoes.my.salesforce.com/0014X00002VKCpzQAH", "0014X00002VKCpzQAH")</f>
        <v>0014X00002VKCpzQAH</v>
      </c>
      <c r="B317" s="2" t="s">
        <v>2346</v>
      </c>
      <c r="C317" s="2" t="s">
        <v>423</v>
      </c>
      <c r="D317" s="2" t="s">
        <v>2</v>
      </c>
      <c r="E317" s="2">
        <v>27.04</v>
      </c>
      <c r="F317" s="2">
        <v>0</v>
      </c>
      <c r="G317" s="2">
        <v>2</v>
      </c>
      <c r="H317" s="2">
        <v>38315</v>
      </c>
      <c r="I317" s="2">
        <v>120</v>
      </c>
      <c r="J317" s="2" t="s">
        <v>1671</v>
      </c>
      <c r="K317" s="2">
        <v>41</v>
      </c>
      <c r="L317" s="2">
        <v>15</v>
      </c>
      <c r="M317" s="2">
        <v>0</v>
      </c>
      <c r="N317" s="2">
        <v>6</v>
      </c>
      <c r="O317" s="2">
        <v>10</v>
      </c>
      <c r="P317" s="2">
        <v>10</v>
      </c>
      <c r="Q317" s="2" t="s">
        <v>2347</v>
      </c>
      <c r="R317" s="2" t="s">
        <v>2348</v>
      </c>
      <c r="S317" s="4">
        <v>44837</v>
      </c>
    </row>
    <row r="318" spans="1:19" ht="12.5" hidden="1" x14ac:dyDescent="0.25">
      <c r="A318" s="14" t="str">
        <f>HYPERLINK("https://gerandofalcoes.my.salesforce.com/0014X00002VKCqEQAX", "0014X00002VKCqEQAX")</f>
        <v>0014X00002VKCqEQAX</v>
      </c>
      <c r="B318" s="2" t="s">
        <v>2349</v>
      </c>
      <c r="C318" s="2" t="s">
        <v>1800</v>
      </c>
      <c r="D318" s="2" t="s">
        <v>2</v>
      </c>
      <c r="E318" s="2">
        <v>27</v>
      </c>
      <c r="F318" s="2">
        <v>0</v>
      </c>
      <c r="G318" s="2">
        <v>6</v>
      </c>
      <c r="H318" s="2">
        <v>18500</v>
      </c>
      <c r="I318" s="2">
        <v>116</v>
      </c>
      <c r="J318" s="2" t="s">
        <v>1671</v>
      </c>
      <c r="K318" s="2">
        <v>40</v>
      </c>
      <c r="L318" s="2">
        <v>15</v>
      </c>
      <c r="M318" s="2">
        <v>0</v>
      </c>
      <c r="N318" s="2">
        <v>10</v>
      </c>
      <c r="O318" s="2">
        <v>5</v>
      </c>
      <c r="P318" s="2">
        <v>10</v>
      </c>
      <c r="Q318" s="2" t="s">
        <v>2350</v>
      </c>
      <c r="R318" s="2" t="s">
        <v>2351</v>
      </c>
      <c r="S318" s="4">
        <v>44837</v>
      </c>
    </row>
    <row r="319" spans="1:19" ht="12.5" hidden="1" x14ac:dyDescent="0.25">
      <c r="A319" s="14" t="str">
        <f>HYPERLINK("https://gerandofalcoes.my.salesforce.com/0014P00003SGWPVQA5", "0014P00003SGWPVQA5")</f>
        <v>0014P00003SGWPVQA5</v>
      </c>
      <c r="B319" s="2" t="s">
        <v>2352</v>
      </c>
      <c r="C319" s="2" t="s">
        <v>1684</v>
      </c>
      <c r="D319" s="2" t="s">
        <v>2</v>
      </c>
      <c r="E319" s="2">
        <v>27</v>
      </c>
      <c r="F319" s="2">
        <v>0</v>
      </c>
      <c r="G319" s="2">
        <v>1</v>
      </c>
      <c r="H319" s="2">
        <v>2000</v>
      </c>
      <c r="I319" s="2">
        <v>70</v>
      </c>
      <c r="J319" s="2" t="s">
        <v>1779</v>
      </c>
      <c r="K319" s="2">
        <v>29</v>
      </c>
      <c r="L319" s="2">
        <v>15</v>
      </c>
      <c r="M319" s="2">
        <v>0</v>
      </c>
      <c r="N319" s="2">
        <v>4</v>
      </c>
      <c r="O319" s="2">
        <v>5</v>
      </c>
      <c r="P319" s="2">
        <v>5</v>
      </c>
      <c r="Q319" s="2" t="s">
        <v>381</v>
      </c>
      <c r="R319" s="2" t="s">
        <v>2353</v>
      </c>
      <c r="S319" s="4">
        <v>44837</v>
      </c>
    </row>
    <row r="320" spans="1:19" ht="12.5" hidden="1" x14ac:dyDescent="0.25">
      <c r="A320" s="14" t="str">
        <f>HYPERLINK("https://gerandofalcoes.my.salesforce.com/0014X00002VKCsSQAX", "0014X00002VKCsSQAX")</f>
        <v>0014X00002VKCsSQAX</v>
      </c>
      <c r="B320" s="2" t="s">
        <v>2354</v>
      </c>
      <c r="C320" s="2" t="s">
        <v>423</v>
      </c>
      <c r="D320" s="2" t="s">
        <v>2</v>
      </c>
      <c r="E320" s="2">
        <v>27</v>
      </c>
      <c r="F320" s="2">
        <v>0</v>
      </c>
      <c r="G320" s="2">
        <v>3</v>
      </c>
      <c r="H320" s="2">
        <v>28800</v>
      </c>
      <c r="I320" s="2">
        <v>65</v>
      </c>
      <c r="J320" s="2" t="s">
        <v>1779</v>
      </c>
      <c r="K320" s="2">
        <v>38</v>
      </c>
      <c r="L320" s="2">
        <v>15</v>
      </c>
      <c r="M320" s="2">
        <v>0</v>
      </c>
      <c r="N320" s="2">
        <v>8</v>
      </c>
      <c r="O320" s="2">
        <v>10</v>
      </c>
      <c r="P320" s="2">
        <v>5</v>
      </c>
      <c r="Q320" s="2" t="s">
        <v>2355</v>
      </c>
      <c r="R320" s="2" t="s">
        <v>2356</v>
      </c>
      <c r="S320" s="4">
        <v>44837</v>
      </c>
    </row>
    <row r="321" spans="1:19" ht="12.5" hidden="1" x14ac:dyDescent="0.25">
      <c r="A321" s="14" t="str">
        <f>HYPERLINK("https://gerandofalcoes.my.salesforce.com/0014X00002VKCr9QAH", "0014X00002VKCr9QAH")</f>
        <v>0014X00002VKCr9QAH</v>
      </c>
      <c r="B321" s="2" t="s">
        <v>2357</v>
      </c>
      <c r="C321" s="2" t="s">
        <v>423</v>
      </c>
      <c r="D321" s="2" t="s">
        <v>2</v>
      </c>
      <c r="E321" s="2">
        <v>27</v>
      </c>
      <c r="F321" s="2">
        <v>0</v>
      </c>
      <c r="G321" s="2">
        <v>2</v>
      </c>
      <c r="H321" s="2">
        <v>0</v>
      </c>
      <c r="I321" s="2">
        <v>30</v>
      </c>
      <c r="J321" s="2" t="s">
        <v>1779</v>
      </c>
      <c r="K321" s="2">
        <v>26</v>
      </c>
      <c r="L321" s="2">
        <v>15</v>
      </c>
      <c r="M321" s="2">
        <v>0</v>
      </c>
      <c r="N321" s="2">
        <v>6</v>
      </c>
      <c r="O321" s="2">
        <v>0</v>
      </c>
      <c r="P321" s="2">
        <v>5</v>
      </c>
      <c r="Q321" s="2" t="s">
        <v>2358</v>
      </c>
      <c r="R321" s="2" t="s">
        <v>2358</v>
      </c>
      <c r="S321" s="4">
        <v>44837</v>
      </c>
    </row>
    <row r="322" spans="1:19" ht="12.5" hidden="1" x14ac:dyDescent="0.25">
      <c r="A322" s="14" t="str">
        <f>HYPERLINK("https://gerandofalcoes.my.salesforce.com/0014P00003YSp8HQAT", "0014P00003YSp8HQAT")</f>
        <v>0014P00003YSp8HQAT</v>
      </c>
      <c r="B322" s="2" t="s">
        <v>2359</v>
      </c>
      <c r="C322" s="2" t="s">
        <v>423</v>
      </c>
      <c r="D322" s="2" t="s">
        <v>2</v>
      </c>
      <c r="E322" s="2">
        <v>26.96</v>
      </c>
      <c r="F322" s="2">
        <v>2</v>
      </c>
      <c r="G322" s="2">
        <v>1</v>
      </c>
      <c r="H322" s="2">
        <v>35000</v>
      </c>
      <c r="I322" s="2">
        <v>729</v>
      </c>
      <c r="J322" s="2" t="s">
        <v>1671</v>
      </c>
      <c r="K322" s="2">
        <v>54</v>
      </c>
      <c r="L322" s="2">
        <v>15</v>
      </c>
      <c r="M322" s="2">
        <v>5</v>
      </c>
      <c r="N322" s="2">
        <v>4</v>
      </c>
      <c r="O322" s="2">
        <v>10</v>
      </c>
      <c r="P322" s="2">
        <v>20</v>
      </c>
      <c r="Q322" s="2" t="s">
        <v>2360</v>
      </c>
      <c r="R322" s="2" t="s">
        <v>2361</v>
      </c>
      <c r="S322" s="4">
        <v>44837</v>
      </c>
    </row>
    <row r="323" spans="1:19" ht="12.5" hidden="1" x14ac:dyDescent="0.25">
      <c r="A323" s="14" t="str">
        <f>HYPERLINK("https://gerandofalcoes.my.salesforce.com/0014P00003YSp82QAD", "0014P00003YSp82QAD")</f>
        <v>0014P00003YSp82QAD</v>
      </c>
      <c r="B323" s="2" t="s">
        <v>2362</v>
      </c>
      <c r="C323" s="2" t="s">
        <v>423</v>
      </c>
      <c r="D323" s="2" t="s">
        <v>2</v>
      </c>
      <c r="E323" s="2">
        <v>26.88</v>
      </c>
      <c r="F323" s="2">
        <v>9</v>
      </c>
      <c r="G323" s="2">
        <v>5</v>
      </c>
      <c r="H323" s="2">
        <v>5224158</v>
      </c>
      <c r="I323" s="2">
        <v>80</v>
      </c>
      <c r="J323" s="2" t="s">
        <v>1650</v>
      </c>
      <c r="K323" s="2">
        <v>70</v>
      </c>
      <c r="L323" s="2">
        <v>15</v>
      </c>
      <c r="M323" s="2">
        <v>10</v>
      </c>
      <c r="N323" s="2">
        <v>10</v>
      </c>
      <c r="O323" s="2">
        <v>25</v>
      </c>
      <c r="P323" s="2">
        <v>10</v>
      </c>
      <c r="Q323" s="2" t="s">
        <v>2363</v>
      </c>
      <c r="R323" s="2" t="s">
        <v>2364</v>
      </c>
      <c r="S323" s="4">
        <v>44837</v>
      </c>
    </row>
    <row r="324" spans="1:19" ht="12.5" hidden="1" x14ac:dyDescent="0.25">
      <c r="A324" s="14" t="str">
        <f>HYPERLINK("https://gerandofalcoes.my.salesforce.com/0014P00003YSp8rQAD", "0014P00003YSp8rQAD")</f>
        <v>0014P00003YSp8rQAD</v>
      </c>
      <c r="B324" s="2" t="s">
        <v>2365</v>
      </c>
      <c r="C324" s="2" t="s">
        <v>423</v>
      </c>
      <c r="D324" s="2" t="s">
        <v>2</v>
      </c>
      <c r="E324" s="2">
        <v>26.07</v>
      </c>
      <c r="F324" s="2">
        <v>2</v>
      </c>
      <c r="G324" s="2">
        <v>3</v>
      </c>
      <c r="H324" s="2">
        <v>60000</v>
      </c>
      <c r="I324" s="2">
        <v>120</v>
      </c>
      <c r="J324" s="2" t="s">
        <v>1671</v>
      </c>
      <c r="K324" s="2">
        <v>48</v>
      </c>
      <c r="L324" s="2">
        <v>15</v>
      </c>
      <c r="M324" s="2">
        <v>5</v>
      </c>
      <c r="N324" s="2">
        <v>8</v>
      </c>
      <c r="O324" s="2">
        <v>10</v>
      </c>
      <c r="P324" s="2">
        <v>10</v>
      </c>
      <c r="Q324" s="2" t="s">
        <v>2366</v>
      </c>
      <c r="R324" s="2" t="s">
        <v>2367</v>
      </c>
      <c r="S324" s="4">
        <v>44837</v>
      </c>
    </row>
    <row r="325" spans="1:19" ht="12.5" hidden="1" x14ac:dyDescent="0.25">
      <c r="A325" s="14" t="str">
        <f>HYPERLINK("https://gerandofalcoes.my.salesforce.com/0014X00002VKCteQAH", "0014X00002VKCteQAH")</f>
        <v>0014X00002VKCteQAH</v>
      </c>
      <c r="B325" s="2" t="s">
        <v>2368</v>
      </c>
      <c r="C325" s="2" t="s">
        <v>423</v>
      </c>
      <c r="D325" s="2" t="s">
        <v>2</v>
      </c>
      <c r="E325" s="2">
        <v>26</v>
      </c>
      <c r="F325" s="2">
        <v>0</v>
      </c>
      <c r="G325" s="2">
        <v>4</v>
      </c>
      <c r="H325" s="2">
        <v>120000</v>
      </c>
      <c r="I325" s="2">
        <v>60</v>
      </c>
      <c r="J325" s="2" t="s">
        <v>1671</v>
      </c>
      <c r="K325" s="2">
        <v>45</v>
      </c>
      <c r="L325" s="2">
        <v>15</v>
      </c>
      <c r="M325" s="2">
        <v>0</v>
      </c>
      <c r="N325" s="2">
        <v>10</v>
      </c>
      <c r="O325" s="2">
        <v>15</v>
      </c>
      <c r="P325" s="2">
        <v>5</v>
      </c>
      <c r="Q325" s="2" t="s">
        <v>2369</v>
      </c>
      <c r="R325" s="2" t="s">
        <v>2369</v>
      </c>
      <c r="S325" s="4">
        <v>44837</v>
      </c>
    </row>
    <row r="326" spans="1:19" ht="12.5" hidden="1" x14ac:dyDescent="0.25">
      <c r="A326" s="14" t="str">
        <f>HYPERLINK("https://gerandofalcoes.my.salesforce.com/0014X00002VKCsmQAH", "0014X00002VKCsmQAH")</f>
        <v>0014X00002VKCsmQAH</v>
      </c>
      <c r="B326" s="2" t="s">
        <v>2370</v>
      </c>
      <c r="C326" s="2" t="s">
        <v>423</v>
      </c>
      <c r="D326" s="2" t="s">
        <v>2</v>
      </c>
      <c r="E326" s="2">
        <v>26</v>
      </c>
      <c r="F326" s="2">
        <v>0</v>
      </c>
      <c r="G326" s="2">
        <v>2</v>
      </c>
      <c r="H326" s="2">
        <v>8000</v>
      </c>
      <c r="I326" s="2">
        <v>20</v>
      </c>
      <c r="J326" s="2" t="s">
        <v>1779</v>
      </c>
      <c r="K326" s="2">
        <v>31</v>
      </c>
      <c r="L326" s="2">
        <v>15</v>
      </c>
      <c r="M326" s="2">
        <v>0</v>
      </c>
      <c r="N326" s="2">
        <v>6</v>
      </c>
      <c r="O326" s="2">
        <v>5</v>
      </c>
      <c r="P326" s="2">
        <v>5</v>
      </c>
      <c r="Q326" s="2" t="s">
        <v>2371</v>
      </c>
      <c r="R326" s="2" t="s">
        <v>2371</v>
      </c>
      <c r="S326" s="4">
        <v>44837</v>
      </c>
    </row>
    <row r="327" spans="1:19" ht="12.5" hidden="1" x14ac:dyDescent="0.25">
      <c r="A327" s="14" t="str">
        <f>HYPERLINK("https://gerandofalcoes.my.salesforce.com/0014X00002VKCqGQAX", "0014X00002VKCqGQAX")</f>
        <v>0014X00002VKCqGQAX</v>
      </c>
      <c r="B327" s="2" t="s">
        <v>2372</v>
      </c>
      <c r="C327" s="2" t="s">
        <v>423</v>
      </c>
      <c r="D327" s="2" t="s">
        <v>2</v>
      </c>
      <c r="E327" s="2">
        <v>26</v>
      </c>
      <c r="F327" s="2">
        <v>0</v>
      </c>
      <c r="G327" s="2">
        <v>2</v>
      </c>
      <c r="H327" s="2">
        <v>0</v>
      </c>
      <c r="I327" s="2">
        <v>0</v>
      </c>
      <c r="J327" s="2" t="s">
        <v>1779</v>
      </c>
      <c r="K327" s="2">
        <v>21</v>
      </c>
      <c r="L327" s="2">
        <v>15</v>
      </c>
      <c r="M327" s="2">
        <v>0</v>
      </c>
      <c r="N327" s="2">
        <v>6</v>
      </c>
      <c r="O327" s="2">
        <v>0</v>
      </c>
      <c r="P327" s="2">
        <v>0</v>
      </c>
      <c r="Q327" s="2" t="s">
        <v>2373</v>
      </c>
      <c r="R327" s="2" t="s">
        <v>2374</v>
      </c>
      <c r="S327" s="4">
        <v>44837</v>
      </c>
    </row>
    <row r="328" spans="1:19" ht="12.5" hidden="1" x14ac:dyDescent="0.25">
      <c r="A328" s="14" t="str">
        <f>HYPERLINK("https://gerandofalcoes.my.salesforce.com/0014X00002VKCrJQAX", "0014X00002VKCrJQAX")</f>
        <v>0014X00002VKCrJQAX</v>
      </c>
      <c r="B328" s="2" t="s">
        <v>2375</v>
      </c>
      <c r="C328" s="2" t="s">
        <v>1684</v>
      </c>
      <c r="D328" s="2" t="s">
        <v>2</v>
      </c>
      <c r="E328" s="2">
        <v>26</v>
      </c>
      <c r="F328" s="2">
        <v>0</v>
      </c>
      <c r="G328" s="2">
        <v>4</v>
      </c>
      <c r="H328" s="2">
        <v>1</v>
      </c>
      <c r="I328" s="2">
        <v>0</v>
      </c>
      <c r="J328" s="2" t="s">
        <v>1779</v>
      </c>
      <c r="K328" s="2">
        <v>30</v>
      </c>
      <c r="L328" s="2">
        <v>15</v>
      </c>
      <c r="M328" s="2">
        <v>0</v>
      </c>
      <c r="N328" s="2">
        <v>10</v>
      </c>
      <c r="O328" s="2">
        <v>5</v>
      </c>
      <c r="P328" s="2">
        <v>0</v>
      </c>
      <c r="Q328" s="2" t="s">
        <v>2376</v>
      </c>
      <c r="R328" s="2" t="s">
        <v>2377</v>
      </c>
      <c r="S328" s="4">
        <v>44837</v>
      </c>
    </row>
    <row r="329" spans="1:19" ht="12.5" hidden="1" x14ac:dyDescent="0.25">
      <c r="A329" s="14" t="str">
        <f>HYPERLINK("https://gerandofalcoes.my.salesforce.com/0014X00002VKCuwQAH", "0014X00002VKCuwQAH")</f>
        <v>0014X00002VKCuwQAH</v>
      </c>
      <c r="B329" s="2" t="s">
        <v>2378</v>
      </c>
      <c r="C329" s="2" t="s">
        <v>1800</v>
      </c>
      <c r="D329" s="2" t="s">
        <v>2</v>
      </c>
      <c r="E329" s="2">
        <v>26</v>
      </c>
      <c r="F329" s="2">
        <v>0</v>
      </c>
      <c r="G329" s="2">
        <v>2</v>
      </c>
      <c r="H329" s="2">
        <v>50000</v>
      </c>
      <c r="I329" s="2">
        <v>0</v>
      </c>
      <c r="J329" s="2" t="s">
        <v>1779</v>
      </c>
      <c r="K329" s="2">
        <v>31</v>
      </c>
      <c r="L329" s="2">
        <v>15</v>
      </c>
      <c r="M329" s="2">
        <v>0</v>
      </c>
      <c r="N329" s="2">
        <v>6</v>
      </c>
      <c r="O329" s="2">
        <v>10</v>
      </c>
      <c r="P329" s="2">
        <v>0</v>
      </c>
      <c r="Q329" s="2" t="s">
        <v>2379</v>
      </c>
      <c r="R329" s="2" t="s">
        <v>2380</v>
      </c>
      <c r="S329" s="4">
        <v>44837</v>
      </c>
    </row>
    <row r="330" spans="1:19" ht="12.5" hidden="1" x14ac:dyDescent="0.25">
      <c r="A330" s="14" t="str">
        <f>HYPERLINK("https://gerandofalcoes.my.salesforce.com/0014P00003YSp9ZQAT", "0014P00003YSp9ZQAT")</f>
        <v>0014P00003YSp9ZQAT</v>
      </c>
      <c r="B330" s="2" t="s">
        <v>2381</v>
      </c>
      <c r="C330" s="2" t="s">
        <v>1800</v>
      </c>
      <c r="D330" s="2" t="s">
        <v>2</v>
      </c>
      <c r="E330" s="2">
        <v>26</v>
      </c>
      <c r="F330" s="2">
        <v>2</v>
      </c>
      <c r="G330" s="2">
        <v>0</v>
      </c>
      <c r="H330" s="2">
        <v>0</v>
      </c>
      <c r="I330" s="2">
        <v>0</v>
      </c>
      <c r="J330" s="2" t="s">
        <v>1779</v>
      </c>
      <c r="K330" s="2">
        <v>20</v>
      </c>
      <c r="L330" s="2">
        <v>15</v>
      </c>
      <c r="M330" s="2">
        <v>5</v>
      </c>
      <c r="N330" s="2">
        <v>0</v>
      </c>
      <c r="O330" s="2">
        <v>0</v>
      </c>
      <c r="P330" s="2">
        <v>0</v>
      </c>
      <c r="Q330" s="2" t="s">
        <v>2382</v>
      </c>
      <c r="R330" s="2" t="s">
        <v>2383</v>
      </c>
      <c r="S330" s="4">
        <v>44837</v>
      </c>
    </row>
    <row r="331" spans="1:19" ht="12.5" hidden="1" x14ac:dyDescent="0.25">
      <c r="A331" s="14" t="str">
        <f>HYPERLINK("https://gerandofalcoes.my.salesforce.com/0014X00002VKCp9QAH", "0014X00002VKCp9QAH")</f>
        <v>0014X00002VKCp9QAH</v>
      </c>
      <c r="B331" s="2" t="s">
        <v>2384</v>
      </c>
      <c r="C331" s="2" t="s">
        <v>423</v>
      </c>
      <c r="D331" s="2" t="s">
        <v>2</v>
      </c>
      <c r="E331" s="2">
        <v>26</v>
      </c>
      <c r="F331" s="2">
        <v>17</v>
      </c>
      <c r="G331" s="2">
        <v>5</v>
      </c>
      <c r="H331" s="2">
        <v>0</v>
      </c>
      <c r="I331" s="2">
        <v>0</v>
      </c>
      <c r="J331" s="2" t="s">
        <v>1779</v>
      </c>
      <c r="K331" s="2">
        <v>37</v>
      </c>
      <c r="L331" s="2">
        <v>15</v>
      </c>
      <c r="M331" s="2">
        <v>12</v>
      </c>
      <c r="N331" s="2">
        <v>10</v>
      </c>
      <c r="O331" s="2">
        <v>0</v>
      </c>
      <c r="P331" s="2">
        <v>0</v>
      </c>
      <c r="Q331" s="2" t="s">
        <v>2385</v>
      </c>
      <c r="R331" s="2" t="s">
        <v>2386</v>
      </c>
      <c r="S331" s="4">
        <v>44837</v>
      </c>
    </row>
    <row r="332" spans="1:19" ht="12.5" hidden="1" x14ac:dyDescent="0.25">
      <c r="A332" s="14" t="str">
        <f>HYPERLINK("https://gerandofalcoes.my.salesforce.com/0014X00002VKCpuQAH", "0014X00002VKCpuQAH")</f>
        <v>0014X00002VKCpuQAH</v>
      </c>
      <c r="B332" s="2" t="s">
        <v>2387</v>
      </c>
      <c r="C332" s="2" t="s">
        <v>423</v>
      </c>
      <c r="D332" s="2" t="s">
        <v>2</v>
      </c>
      <c r="E332" s="2">
        <v>25.71</v>
      </c>
      <c r="F332" s="2">
        <v>0</v>
      </c>
      <c r="G332" s="2">
        <v>2</v>
      </c>
      <c r="H332" s="2">
        <v>40000</v>
      </c>
      <c r="I332" s="2">
        <v>50</v>
      </c>
      <c r="J332" s="2" t="s">
        <v>1779</v>
      </c>
      <c r="K332" s="2">
        <v>36</v>
      </c>
      <c r="L332" s="2">
        <v>15</v>
      </c>
      <c r="M332" s="2">
        <v>0</v>
      </c>
      <c r="N332" s="2">
        <v>6</v>
      </c>
      <c r="O332" s="2">
        <v>10</v>
      </c>
      <c r="P332" s="2">
        <v>5</v>
      </c>
      <c r="Q332" s="2" t="s">
        <v>2388</v>
      </c>
      <c r="R332" s="2" t="s">
        <v>2389</v>
      </c>
      <c r="S332" s="4">
        <v>44837</v>
      </c>
    </row>
    <row r="333" spans="1:19" ht="12.5" hidden="1" x14ac:dyDescent="0.25">
      <c r="A333" s="14" t="str">
        <f>HYPERLINK("https://gerandofalcoes.my.salesforce.com/0014X00002VKCq2QAH", "0014X00002VKCq2QAH")</f>
        <v>0014X00002VKCq2QAH</v>
      </c>
      <c r="B333" s="2" t="s">
        <v>2390</v>
      </c>
      <c r="C333" s="2" t="s">
        <v>423</v>
      </c>
      <c r="D333" s="2" t="s">
        <v>2</v>
      </c>
      <c r="E333" s="2">
        <v>25.27</v>
      </c>
      <c r="F333" s="2">
        <v>0</v>
      </c>
      <c r="G333" s="2">
        <v>0</v>
      </c>
      <c r="H333" s="2">
        <v>0</v>
      </c>
      <c r="I333" s="2">
        <v>312</v>
      </c>
      <c r="J333" s="2" t="s">
        <v>1779</v>
      </c>
      <c r="K333" s="2">
        <v>30</v>
      </c>
      <c r="L333" s="2">
        <v>15</v>
      </c>
      <c r="M333" s="2">
        <v>0</v>
      </c>
      <c r="N333" s="2">
        <v>0</v>
      </c>
      <c r="O333" s="2">
        <v>0</v>
      </c>
      <c r="P333" s="2">
        <v>15</v>
      </c>
      <c r="Q333" s="2" t="s">
        <v>2391</v>
      </c>
      <c r="R333" s="2" t="s">
        <v>2392</v>
      </c>
      <c r="S333" s="4">
        <v>44837</v>
      </c>
    </row>
    <row r="334" spans="1:19" ht="12.5" hidden="1" x14ac:dyDescent="0.25">
      <c r="A334" s="14" t="str">
        <f>HYPERLINK("https://gerandofalcoes.my.salesforce.com/0014P00003YSp8JQAT", "0014P00003YSp8JQAT")</f>
        <v>0014P00003YSp8JQAT</v>
      </c>
      <c r="B334" s="2" t="s">
        <v>2393</v>
      </c>
      <c r="C334" s="2" t="s">
        <v>423</v>
      </c>
      <c r="D334" s="2" t="s">
        <v>2</v>
      </c>
      <c r="E334" s="2">
        <v>25.23</v>
      </c>
      <c r="F334" s="2">
        <v>9</v>
      </c>
      <c r="G334" s="2">
        <v>2</v>
      </c>
      <c r="H334" s="2">
        <v>85000000</v>
      </c>
      <c r="I334" s="2">
        <v>309</v>
      </c>
      <c r="J334" s="2" t="s">
        <v>1650</v>
      </c>
      <c r="K334" s="2">
        <v>71</v>
      </c>
      <c r="L334" s="2">
        <v>15</v>
      </c>
      <c r="M334" s="2">
        <v>10</v>
      </c>
      <c r="N334" s="2">
        <v>6</v>
      </c>
      <c r="O334" s="2">
        <v>25</v>
      </c>
      <c r="P334" s="2">
        <v>15</v>
      </c>
      <c r="Q334" s="2" t="s">
        <v>2394</v>
      </c>
      <c r="R334" s="2" t="s">
        <v>2394</v>
      </c>
      <c r="S334" s="4">
        <v>44837</v>
      </c>
    </row>
    <row r="335" spans="1:19" ht="12.5" hidden="1" x14ac:dyDescent="0.25">
      <c r="A335" s="14" t="str">
        <f>HYPERLINK("https://gerandofalcoes.my.salesforce.com/0014P00003AN2FWQA1", "0014P00003AN2FWQA1")</f>
        <v>0014P00003AN2FWQA1</v>
      </c>
      <c r="B335" s="2" t="s">
        <v>2395</v>
      </c>
      <c r="C335" s="2" t="s">
        <v>423</v>
      </c>
      <c r="D335" s="2" t="s">
        <v>2</v>
      </c>
      <c r="E335" s="2">
        <v>25.16</v>
      </c>
      <c r="F335" s="2">
        <v>2</v>
      </c>
      <c r="G335" s="2">
        <v>1</v>
      </c>
      <c r="H335" s="2">
        <v>300000</v>
      </c>
      <c r="I335" s="2">
        <v>280</v>
      </c>
      <c r="J335" s="2" t="s">
        <v>1671</v>
      </c>
      <c r="K335" s="2">
        <v>56</v>
      </c>
      <c r="L335" s="2">
        <v>15</v>
      </c>
      <c r="M335" s="2">
        <v>5</v>
      </c>
      <c r="N335" s="2">
        <v>4</v>
      </c>
      <c r="O335" s="2">
        <v>20</v>
      </c>
      <c r="P335" s="2">
        <v>12</v>
      </c>
      <c r="Q335" s="2" t="s">
        <v>2396</v>
      </c>
      <c r="R335" s="2" t="s">
        <v>2396</v>
      </c>
      <c r="S335" s="4">
        <v>44837</v>
      </c>
    </row>
    <row r="336" spans="1:19" ht="12.5" hidden="1" x14ac:dyDescent="0.25">
      <c r="A336" s="14" t="str">
        <f>HYPERLINK("https://gerandofalcoes.my.salesforce.com/0014P00003SGWPdQAP", "0014P00003SGWPdQAP")</f>
        <v>0014P00003SGWPdQAP</v>
      </c>
      <c r="B336" s="2" t="s">
        <v>2397</v>
      </c>
      <c r="C336" s="2" t="s">
        <v>423</v>
      </c>
      <c r="D336" s="2" t="s">
        <v>2</v>
      </c>
      <c r="E336" s="2">
        <v>25</v>
      </c>
      <c r="F336" s="2">
        <v>1</v>
      </c>
      <c r="G336" s="2">
        <v>5</v>
      </c>
      <c r="H336" s="2">
        <v>22850</v>
      </c>
      <c r="I336" s="2">
        <v>1500</v>
      </c>
      <c r="J336" s="2" t="s">
        <v>1671</v>
      </c>
      <c r="K336" s="2">
        <v>55</v>
      </c>
      <c r="L336" s="2">
        <v>15</v>
      </c>
      <c r="M336" s="2">
        <v>5</v>
      </c>
      <c r="N336" s="2">
        <v>10</v>
      </c>
      <c r="O336" s="2">
        <v>5</v>
      </c>
      <c r="P336" s="2">
        <v>20</v>
      </c>
      <c r="Q336" s="2" t="s">
        <v>283</v>
      </c>
      <c r="R336" s="2" t="s">
        <v>2398</v>
      </c>
      <c r="S336" s="4">
        <v>44837</v>
      </c>
    </row>
    <row r="337" spans="1:19" ht="12.5" hidden="1" x14ac:dyDescent="0.25">
      <c r="A337" s="14" t="str">
        <f>HYPERLINK("https://gerandofalcoes.my.salesforce.com/0014X00002VKCr3QAH", "0014X00002VKCr3QAH")</f>
        <v>0014X00002VKCr3QAH</v>
      </c>
      <c r="B337" s="2" t="s">
        <v>2399</v>
      </c>
      <c r="C337" s="2" t="s">
        <v>423</v>
      </c>
      <c r="D337" s="2" t="s">
        <v>2</v>
      </c>
      <c r="E337" s="2">
        <v>25</v>
      </c>
      <c r="F337" s="2">
        <v>0</v>
      </c>
      <c r="G337" s="2">
        <v>0</v>
      </c>
      <c r="H337" s="2">
        <v>0</v>
      </c>
      <c r="I337" s="2">
        <v>700</v>
      </c>
      <c r="J337" s="2" t="s">
        <v>1779</v>
      </c>
      <c r="K337" s="2">
        <v>35</v>
      </c>
      <c r="L337" s="2">
        <v>15</v>
      </c>
      <c r="M337" s="2">
        <v>0</v>
      </c>
      <c r="N337" s="2">
        <v>0</v>
      </c>
      <c r="O337" s="2">
        <v>0</v>
      </c>
      <c r="P337" s="2">
        <v>20</v>
      </c>
      <c r="Q337" s="2" t="s">
        <v>2400</v>
      </c>
      <c r="R337" s="2" t="s">
        <v>2400</v>
      </c>
      <c r="S337" s="4">
        <v>44837</v>
      </c>
    </row>
    <row r="338" spans="1:19" ht="12.5" hidden="1" x14ac:dyDescent="0.25">
      <c r="A338" s="14" t="str">
        <f>HYPERLINK("https://gerandofalcoes.my.salesforce.com/0014P00003YSp7nQAD", "0014P00003YSp7nQAD")</f>
        <v>0014P00003YSp7nQAD</v>
      </c>
      <c r="B338" s="2" t="s">
        <v>2401</v>
      </c>
      <c r="C338" s="2" t="s">
        <v>1800</v>
      </c>
      <c r="D338" s="2" t="s">
        <v>2</v>
      </c>
      <c r="E338" s="2">
        <v>25</v>
      </c>
      <c r="F338" s="2">
        <v>7</v>
      </c>
      <c r="G338" s="2">
        <v>6</v>
      </c>
      <c r="H338" s="2">
        <v>200000</v>
      </c>
      <c r="I338" s="2">
        <v>350</v>
      </c>
      <c r="J338" s="2" t="s">
        <v>1650</v>
      </c>
      <c r="K338" s="2">
        <v>65</v>
      </c>
      <c r="L338" s="2">
        <v>15</v>
      </c>
      <c r="M338" s="2">
        <v>10</v>
      </c>
      <c r="N338" s="2">
        <v>10</v>
      </c>
      <c r="O338" s="2">
        <v>15</v>
      </c>
      <c r="P338" s="2">
        <v>15</v>
      </c>
      <c r="Q338" s="2" t="s">
        <v>2402</v>
      </c>
      <c r="R338" s="2" t="s">
        <v>2403</v>
      </c>
      <c r="S338" s="4">
        <v>44837</v>
      </c>
    </row>
    <row r="339" spans="1:19" ht="12.5" hidden="1" x14ac:dyDescent="0.25">
      <c r="A339" s="14" t="str">
        <f>HYPERLINK("https://gerandofalcoes.my.salesforce.com/0014X00002VKCpEQAX", "0014X00002VKCpEQAX")</f>
        <v>0014X00002VKCpEQAX</v>
      </c>
      <c r="B339" s="2" t="s">
        <v>2404</v>
      </c>
      <c r="C339" s="2" t="s">
        <v>423</v>
      </c>
      <c r="D339" s="2" t="s">
        <v>2</v>
      </c>
      <c r="E339" s="2">
        <v>25</v>
      </c>
      <c r="F339" s="2">
        <v>11</v>
      </c>
      <c r="G339" s="2">
        <v>2</v>
      </c>
      <c r="H339" s="2">
        <v>40000</v>
      </c>
      <c r="I339" s="2">
        <v>276</v>
      </c>
      <c r="J339" s="2" t="s">
        <v>1671</v>
      </c>
      <c r="K339" s="2">
        <v>55</v>
      </c>
      <c r="L339" s="2">
        <v>15</v>
      </c>
      <c r="M339" s="2">
        <v>12</v>
      </c>
      <c r="N339" s="2">
        <v>6</v>
      </c>
      <c r="O339" s="2">
        <v>10</v>
      </c>
      <c r="P339" s="2">
        <v>12</v>
      </c>
      <c r="Q339" s="2" t="s">
        <v>2405</v>
      </c>
      <c r="R339" s="2" t="s">
        <v>2406</v>
      </c>
      <c r="S339" s="4">
        <v>44837</v>
      </c>
    </row>
    <row r="340" spans="1:19" ht="12.5" hidden="1" x14ac:dyDescent="0.25">
      <c r="A340" s="14" t="str">
        <f>HYPERLINK("https://gerandofalcoes.my.salesforce.com/0014P00003YSp8EQAT", "0014P00003YSp8EQAT")</f>
        <v>0014P00003YSp8EQAT</v>
      </c>
      <c r="B340" s="2" t="s">
        <v>2407</v>
      </c>
      <c r="C340" s="2" t="s">
        <v>423</v>
      </c>
      <c r="D340" s="2" t="s">
        <v>2</v>
      </c>
      <c r="E340" s="2">
        <v>25</v>
      </c>
      <c r="F340" s="2">
        <v>0</v>
      </c>
      <c r="G340" s="2">
        <v>2</v>
      </c>
      <c r="H340" s="2">
        <v>6300</v>
      </c>
      <c r="I340" s="2">
        <v>250</v>
      </c>
      <c r="J340" s="2" t="s">
        <v>1779</v>
      </c>
      <c r="K340" s="2">
        <v>38</v>
      </c>
      <c r="L340" s="2">
        <v>15</v>
      </c>
      <c r="M340" s="2">
        <v>0</v>
      </c>
      <c r="N340" s="2">
        <v>6</v>
      </c>
      <c r="O340" s="2">
        <v>5</v>
      </c>
      <c r="P340" s="2">
        <v>12</v>
      </c>
      <c r="Q340" s="2" t="s">
        <v>2408</v>
      </c>
      <c r="R340" s="2" t="s">
        <v>2409</v>
      </c>
      <c r="S340" s="4">
        <v>44837</v>
      </c>
    </row>
    <row r="341" spans="1:19" ht="12.5" hidden="1" x14ac:dyDescent="0.25">
      <c r="A341" s="14" t="str">
        <f>HYPERLINK("https://gerandofalcoes.my.salesforce.com/0014P00003SGWPbQAP", "0014P00003SGWPbQAP")</f>
        <v>0014P00003SGWPbQAP</v>
      </c>
      <c r="B341" s="2" t="s">
        <v>276</v>
      </c>
      <c r="C341" s="2" t="s">
        <v>423</v>
      </c>
      <c r="D341" s="2" t="s">
        <v>2</v>
      </c>
      <c r="E341" s="2">
        <v>25</v>
      </c>
      <c r="F341" s="2">
        <v>21</v>
      </c>
      <c r="G341" s="2">
        <v>8</v>
      </c>
      <c r="H341" s="2">
        <v>1406000</v>
      </c>
      <c r="I341" s="2">
        <v>121</v>
      </c>
      <c r="J341" s="2" t="s">
        <v>1650</v>
      </c>
      <c r="K341" s="2">
        <v>72</v>
      </c>
      <c r="L341" s="2">
        <v>15</v>
      </c>
      <c r="M341" s="2">
        <v>12</v>
      </c>
      <c r="N341" s="2">
        <v>10</v>
      </c>
      <c r="O341" s="2">
        <v>25</v>
      </c>
      <c r="P341" s="2">
        <v>10</v>
      </c>
      <c r="Q341" s="2" t="s">
        <v>277</v>
      </c>
      <c r="R341" s="2" t="s">
        <v>1257</v>
      </c>
      <c r="S341" s="4">
        <v>44837</v>
      </c>
    </row>
    <row r="342" spans="1:19" ht="12.5" hidden="1" x14ac:dyDescent="0.25">
      <c r="A342" s="14" t="str">
        <f>HYPERLINK("https://gerandofalcoes.my.salesforce.com/0014X00002VKCt7QAH", "0014X00002VKCt7QAH")</f>
        <v>0014X00002VKCt7QAH</v>
      </c>
      <c r="B342" s="2" t="s">
        <v>2410</v>
      </c>
      <c r="C342" s="2" t="s">
        <v>1800</v>
      </c>
      <c r="D342" s="2" t="s">
        <v>2</v>
      </c>
      <c r="E342" s="2">
        <v>25</v>
      </c>
      <c r="F342" s="2">
        <v>0</v>
      </c>
      <c r="G342" s="2">
        <v>3</v>
      </c>
      <c r="H342" s="2">
        <v>11000</v>
      </c>
      <c r="I342" s="2">
        <v>100</v>
      </c>
      <c r="J342" s="2" t="s">
        <v>1779</v>
      </c>
      <c r="K342" s="2">
        <v>38</v>
      </c>
      <c r="L342" s="2">
        <v>15</v>
      </c>
      <c r="M342" s="2">
        <v>0</v>
      </c>
      <c r="N342" s="2">
        <v>8</v>
      </c>
      <c r="O342" s="2">
        <v>5</v>
      </c>
      <c r="P342" s="2">
        <v>10</v>
      </c>
      <c r="Q342" s="2" t="s">
        <v>2411</v>
      </c>
      <c r="R342" s="2" t="s">
        <v>2412</v>
      </c>
      <c r="S342" s="4">
        <v>44837</v>
      </c>
    </row>
    <row r="343" spans="1:19" ht="12.5" hidden="1" x14ac:dyDescent="0.25">
      <c r="A343" s="14" t="str">
        <f>HYPERLINK("https://gerandofalcoes.my.salesforce.com/0014X00002VKCsYQAX", "0014X00002VKCsYQAX")</f>
        <v>0014X00002VKCsYQAX</v>
      </c>
      <c r="B343" s="2" t="s">
        <v>2413</v>
      </c>
      <c r="C343" s="2" t="s">
        <v>423</v>
      </c>
      <c r="D343" s="2" t="s">
        <v>2</v>
      </c>
      <c r="E343" s="2">
        <v>25</v>
      </c>
      <c r="F343" s="2">
        <v>0</v>
      </c>
      <c r="G343" s="2">
        <v>1</v>
      </c>
      <c r="H343" s="2">
        <v>0</v>
      </c>
      <c r="I343" s="2">
        <v>64</v>
      </c>
      <c r="J343" s="2" t="s">
        <v>1779</v>
      </c>
      <c r="K343" s="2">
        <v>24</v>
      </c>
      <c r="L343" s="2">
        <v>15</v>
      </c>
      <c r="M343" s="2">
        <v>0</v>
      </c>
      <c r="N343" s="2">
        <v>4</v>
      </c>
      <c r="O343" s="2">
        <v>0</v>
      </c>
      <c r="P343" s="2">
        <v>5</v>
      </c>
      <c r="Q343" s="2" t="s">
        <v>2414</v>
      </c>
      <c r="R343" s="2" t="s">
        <v>2414</v>
      </c>
      <c r="S343" s="4">
        <v>44837</v>
      </c>
    </row>
    <row r="344" spans="1:19" ht="12.5" hidden="1" x14ac:dyDescent="0.25">
      <c r="A344" s="14" t="str">
        <f>HYPERLINK("https://gerandofalcoes.my.salesforce.com/0014X00002VKCvCQAX", "0014X00002VKCvCQAX")</f>
        <v>0014X00002VKCvCQAX</v>
      </c>
      <c r="B344" s="2" t="s">
        <v>2415</v>
      </c>
      <c r="C344" s="2" t="s">
        <v>423</v>
      </c>
      <c r="D344" s="2" t="s">
        <v>2</v>
      </c>
      <c r="E344" s="2">
        <v>25</v>
      </c>
      <c r="F344" s="2">
        <v>0</v>
      </c>
      <c r="G344" s="2">
        <v>4</v>
      </c>
      <c r="H344" s="2">
        <v>25000</v>
      </c>
      <c r="I344" s="2">
        <v>0</v>
      </c>
      <c r="J344" s="2" t="s">
        <v>1779</v>
      </c>
      <c r="K344" s="2">
        <v>35</v>
      </c>
      <c r="L344" s="2">
        <v>15</v>
      </c>
      <c r="M344" s="2">
        <v>0</v>
      </c>
      <c r="N344" s="2">
        <v>10</v>
      </c>
      <c r="O344" s="2">
        <v>10</v>
      </c>
      <c r="P344" s="2">
        <v>0</v>
      </c>
      <c r="Q344" s="2" t="s">
        <v>2416</v>
      </c>
      <c r="R344" s="2" t="s">
        <v>2417</v>
      </c>
      <c r="S344" s="4">
        <v>44837</v>
      </c>
    </row>
    <row r="345" spans="1:19" ht="12.5" hidden="1" x14ac:dyDescent="0.25">
      <c r="A345" s="14" t="str">
        <f>HYPERLINK("https://gerandofalcoes.my.salesforce.com/0014P00003YSp7tQAD", "0014P00003YSp7tQAD")</f>
        <v>0014P00003YSp7tQAD</v>
      </c>
      <c r="B345" s="2" t="s">
        <v>2418</v>
      </c>
      <c r="C345" s="2" t="s">
        <v>1800</v>
      </c>
      <c r="D345" s="2" t="s">
        <v>2</v>
      </c>
      <c r="E345" s="2">
        <v>25</v>
      </c>
      <c r="F345" s="2">
        <v>8</v>
      </c>
      <c r="G345" s="2">
        <v>2</v>
      </c>
      <c r="H345" s="2">
        <v>0</v>
      </c>
      <c r="I345" s="2">
        <v>0</v>
      </c>
      <c r="J345" s="2" t="s">
        <v>1779</v>
      </c>
      <c r="K345" s="2">
        <v>31</v>
      </c>
      <c r="L345" s="2">
        <v>15</v>
      </c>
      <c r="M345" s="2">
        <v>10</v>
      </c>
      <c r="N345" s="2">
        <v>6</v>
      </c>
      <c r="O345" s="2">
        <v>0</v>
      </c>
      <c r="P345" s="2">
        <v>0</v>
      </c>
      <c r="Q345" s="2" t="s">
        <v>2419</v>
      </c>
      <c r="R345" s="2" t="s">
        <v>2419</v>
      </c>
      <c r="S345" s="4">
        <v>44837</v>
      </c>
    </row>
    <row r="346" spans="1:19" ht="12.5" hidden="1" x14ac:dyDescent="0.25">
      <c r="A346" s="14" t="str">
        <f>HYPERLINK("https://gerandofalcoes.my.salesforce.com/0014X00002OEuasQAD", "0014X00002OEuasQAD")</f>
        <v>0014X00002OEuasQAD</v>
      </c>
      <c r="B346" s="2" t="s">
        <v>2420</v>
      </c>
      <c r="C346" s="2" t="s">
        <v>423</v>
      </c>
      <c r="D346" s="2" t="s">
        <v>2</v>
      </c>
      <c r="E346" s="2">
        <v>25</v>
      </c>
      <c r="F346" s="2">
        <v>0</v>
      </c>
      <c r="G346" s="2">
        <v>4</v>
      </c>
      <c r="H346" s="2">
        <v>20000</v>
      </c>
      <c r="I346" s="2">
        <v>0</v>
      </c>
      <c r="J346" s="2" t="s">
        <v>1779</v>
      </c>
      <c r="K346" s="2">
        <v>30</v>
      </c>
      <c r="L346" s="2">
        <v>15</v>
      </c>
      <c r="M346" s="2">
        <v>0</v>
      </c>
      <c r="N346" s="2">
        <v>10</v>
      </c>
      <c r="O346" s="2">
        <v>5</v>
      </c>
      <c r="P346" s="2">
        <v>0</v>
      </c>
      <c r="Q346" s="2" t="s">
        <v>2421</v>
      </c>
      <c r="R346" s="2" t="s">
        <v>2422</v>
      </c>
      <c r="S346" s="4">
        <v>44837</v>
      </c>
    </row>
    <row r="347" spans="1:19" ht="12.5" hidden="1" x14ac:dyDescent="0.25">
      <c r="A347" s="14" t="str">
        <f>HYPERLINK("https://gerandofalcoes.my.salesforce.com/0014X00002VKCuhQAH", "0014X00002VKCuhQAH")</f>
        <v>0014X00002VKCuhQAH</v>
      </c>
      <c r="B347" s="2" t="s">
        <v>2423</v>
      </c>
      <c r="C347" s="2" t="s">
        <v>1800</v>
      </c>
      <c r="D347" s="2" t="s">
        <v>2</v>
      </c>
      <c r="E347" s="2">
        <v>25</v>
      </c>
      <c r="F347" s="2">
        <v>0</v>
      </c>
      <c r="G347" s="2">
        <v>3</v>
      </c>
      <c r="H347" s="2">
        <v>12000</v>
      </c>
      <c r="I347" s="2">
        <v>0</v>
      </c>
      <c r="J347" s="2" t="s">
        <v>1779</v>
      </c>
      <c r="K347" s="2">
        <v>28</v>
      </c>
      <c r="L347" s="2">
        <v>15</v>
      </c>
      <c r="M347" s="2">
        <v>0</v>
      </c>
      <c r="N347" s="2">
        <v>8</v>
      </c>
      <c r="O347" s="2">
        <v>5</v>
      </c>
      <c r="P347" s="2">
        <v>0</v>
      </c>
      <c r="Q347" s="2" t="s">
        <v>2424</v>
      </c>
      <c r="R347" s="2" t="s">
        <v>2424</v>
      </c>
      <c r="S347" s="4">
        <v>44837</v>
      </c>
    </row>
    <row r="348" spans="1:19" ht="12.5" hidden="1" x14ac:dyDescent="0.25">
      <c r="A348" s="14" t="str">
        <f>HYPERLINK("https://gerandofalcoes.my.salesforce.com/0014P00003YSp9IQAT", "0014P00003YSp9IQAT")</f>
        <v>0014P00003YSp9IQAT</v>
      </c>
      <c r="B348" s="2" t="s">
        <v>2425</v>
      </c>
      <c r="C348" s="2" t="s">
        <v>1684</v>
      </c>
      <c r="D348" s="2" t="s">
        <v>2</v>
      </c>
      <c r="E348" s="2">
        <v>25</v>
      </c>
      <c r="F348" s="2">
        <v>0</v>
      </c>
      <c r="G348" s="2">
        <v>0</v>
      </c>
      <c r="H348" s="2">
        <v>0</v>
      </c>
      <c r="I348" s="2">
        <v>0</v>
      </c>
      <c r="J348" s="2" t="s">
        <v>1779</v>
      </c>
      <c r="K348" s="2">
        <v>15</v>
      </c>
      <c r="L348" s="2">
        <v>15</v>
      </c>
      <c r="M348" s="2">
        <v>0</v>
      </c>
      <c r="N348" s="2">
        <v>0</v>
      </c>
      <c r="O348" s="2">
        <v>0</v>
      </c>
      <c r="P348" s="2">
        <v>0</v>
      </c>
      <c r="Q348" s="2" t="s">
        <v>2426</v>
      </c>
      <c r="R348" s="2" t="s">
        <v>2427</v>
      </c>
      <c r="S348" s="4">
        <v>44837</v>
      </c>
    </row>
    <row r="349" spans="1:19" ht="12.5" hidden="1" x14ac:dyDescent="0.25">
      <c r="A349" s="14" t="str">
        <f>HYPERLINK("https://gerandofalcoes.my.salesforce.com/0014P00003YSpAAQA1", "0014P00003YSpAAQA1")</f>
        <v>0014P00003YSpAAQA1</v>
      </c>
      <c r="B349" s="2" t="s">
        <v>2428</v>
      </c>
      <c r="C349" s="2" t="s">
        <v>1684</v>
      </c>
      <c r="D349" s="2" t="s">
        <v>2</v>
      </c>
      <c r="E349" s="2">
        <v>25</v>
      </c>
      <c r="F349" s="2">
        <v>0</v>
      </c>
      <c r="G349" s="2">
        <v>0</v>
      </c>
      <c r="H349" s="2">
        <v>0</v>
      </c>
      <c r="I349" s="2">
        <v>0</v>
      </c>
      <c r="J349" s="2" t="s">
        <v>1779</v>
      </c>
      <c r="K349" s="2">
        <v>15</v>
      </c>
      <c r="L349" s="2">
        <v>15</v>
      </c>
      <c r="M349" s="2">
        <v>0</v>
      </c>
      <c r="N349" s="2">
        <v>0</v>
      </c>
      <c r="O349" s="2">
        <v>0</v>
      </c>
      <c r="P349" s="2">
        <v>0</v>
      </c>
      <c r="Q349" s="2" t="s">
        <v>2429</v>
      </c>
      <c r="R349" s="2" t="s">
        <v>2430</v>
      </c>
      <c r="S349" s="4">
        <v>44837</v>
      </c>
    </row>
    <row r="350" spans="1:19" ht="12.5" hidden="1" x14ac:dyDescent="0.25">
      <c r="A350" s="14" t="str">
        <f>HYPERLINK("https://gerandofalcoes.my.salesforce.com/0014X00002VKCqTQAX", "0014X00002VKCqTQAX")</f>
        <v>0014X00002VKCqTQAX</v>
      </c>
      <c r="B350" s="2" t="s">
        <v>2431</v>
      </c>
      <c r="C350" s="2" t="s">
        <v>423</v>
      </c>
      <c r="D350" s="2" t="s">
        <v>2</v>
      </c>
      <c r="E350" s="2">
        <v>24.9</v>
      </c>
      <c r="F350" s="2">
        <v>0</v>
      </c>
      <c r="G350" s="2">
        <v>1</v>
      </c>
      <c r="H350" s="2">
        <v>7500</v>
      </c>
      <c r="I350" s="2">
        <v>250</v>
      </c>
      <c r="J350" s="2" t="s">
        <v>1779</v>
      </c>
      <c r="K350" s="2">
        <v>31</v>
      </c>
      <c r="L350" s="2">
        <v>10</v>
      </c>
      <c r="M350" s="2">
        <v>0</v>
      </c>
      <c r="N350" s="2">
        <v>4</v>
      </c>
      <c r="O350" s="2">
        <v>5</v>
      </c>
      <c r="P350" s="2">
        <v>12</v>
      </c>
      <c r="Q350" s="2" t="s">
        <v>2432</v>
      </c>
      <c r="R350" s="2" t="s">
        <v>2432</v>
      </c>
      <c r="S350" s="4">
        <v>44837</v>
      </c>
    </row>
    <row r="351" spans="1:19" ht="12.5" hidden="1" x14ac:dyDescent="0.25">
      <c r="A351" s="14" t="str">
        <f>HYPERLINK("https://gerandofalcoes.my.salesforce.com/0014P00003YSp9hQAD", "0014P00003YSp9hQAD")</f>
        <v>0014P00003YSp9hQAD</v>
      </c>
      <c r="B351" s="2" t="s">
        <v>2433</v>
      </c>
      <c r="C351" s="2" t="s">
        <v>423</v>
      </c>
      <c r="D351" s="2" t="s">
        <v>2</v>
      </c>
      <c r="E351" s="2">
        <v>24.36</v>
      </c>
      <c r="F351" s="2">
        <v>15</v>
      </c>
      <c r="G351" s="2">
        <v>5</v>
      </c>
      <c r="H351" s="2">
        <v>3886816</v>
      </c>
      <c r="I351" s="2">
        <v>100</v>
      </c>
      <c r="J351" s="2" t="s">
        <v>1650</v>
      </c>
      <c r="K351" s="2">
        <v>67</v>
      </c>
      <c r="L351" s="2">
        <v>10</v>
      </c>
      <c r="M351" s="2">
        <v>12</v>
      </c>
      <c r="N351" s="2">
        <v>10</v>
      </c>
      <c r="O351" s="2">
        <v>25</v>
      </c>
      <c r="P351" s="2">
        <v>10</v>
      </c>
      <c r="Q351" s="2" t="s">
        <v>2434</v>
      </c>
      <c r="R351" s="2" t="s">
        <v>2435</v>
      </c>
      <c r="S351" s="4">
        <v>44837</v>
      </c>
    </row>
    <row r="352" spans="1:19" ht="12.5" hidden="1" x14ac:dyDescent="0.25">
      <c r="A352" s="14" t="str">
        <f>HYPERLINK("https://gerandofalcoes.my.salesforce.com/0014P00003YSp9fQAD", "0014P00003YSp9fQAD")</f>
        <v>0014P00003YSp9fQAD</v>
      </c>
      <c r="B352" s="2" t="s">
        <v>2436</v>
      </c>
      <c r="C352" s="2" t="s">
        <v>1800</v>
      </c>
      <c r="D352" s="2" t="s">
        <v>2</v>
      </c>
      <c r="E352" s="2">
        <v>24.24</v>
      </c>
      <c r="F352" s="2">
        <v>0</v>
      </c>
      <c r="G352" s="2">
        <v>0</v>
      </c>
      <c r="H352" s="2">
        <v>0</v>
      </c>
      <c r="I352" s="2">
        <v>114</v>
      </c>
      <c r="J352" s="2" t="s">
        <v>1779</v>
      </c>
      <c r="K352" s="2">
        <v>20</v>
      </c>
      <c r="L352" s="2">
        <v>10</v>
      </c>
      <c r="M352" s="2">
        <v>0</v>
      </c>
      <c r="N352" s="2">
        <v>0</v>
      </c>
      <c r="O352" s="2">
        <v>0</v>
      </c>
      <c r="P352" s="2">
        <v>10</v>
      </c>
      <c r="Q352" s="2" t="s">
        <v>2437</v>
      </c>
      <c r="R352" s="2" t="s">
        <v>2437</v>
      </c>
      <c r="S352" s="4">
        <v>44837</v>
      </c>
    </row>
    <row r="353" spans="1:19" ht="12.5" hidden="1" x14ac:dyDescent="0.25">
      <c r="A353" s="14" t="str">
        <f>HYPERLINK("https://gerandofalcoes.my.salesforce.com/0014P00003YSp7qQAD", "0014P00003YSp7qQAD")</f>
        <v>0014P00003YSp7qQAD</v>
      </c>
      <c r="B353" s="2" t="s">
        <v>2438</v>
      </c>
      <c r="C353" s="2" t="s">
        <v>423</v>
      </c>
      <c r="D353" s="2" t="s">
        <v>2</v>
      </c>
      <c r="E353" s="2">
        <v>24</v>
      </c>
      <c r="F353" s="2">
        <v>5</v>
      </c>
      <c r="G353" s="2">
        <v>2</v>
      </c>
      <c r="H353" s="2">
        <v>7000</v>
      </c>
      <c r="I353" s="2">
        <v>1250</v>
      </c>
      <c r="J353" s="2" t="s">
        <v>1671</v>
      </c>
      <c r="K353" s="2">
        <v>46</v>
      </c>
      <c r="L353" s="2">
        <v>10</v>
      </c>
      <c r="M353" s="2">
        <v>5</v>
      </c>
      <c r="N353" s="2">
        <v>6</v>
      </c>
      <c r="O353" s="2">
        <v>5</v>
      </c>
      <c r="P353" s="2">
        <v>20</v>
      </c>
      <c r="Q353" s="2" t="s">
        <v>2439</v>
      </c>
      <c r="R353" s="2" t="s">
        <v>2440</v>
      </c>
      <c r="S353" s="4">
        <v>44837</v>
      </c>
    </row>
    <row r="354" spans="1:19" ht="12.5" hidden="1" x14ac:dyDescent="0.25">
      <c r="A354" s="14" t="str">
        <f>HYPERLINK("https://gerandofalcoes.my.salesforce.com/0014P00003YSp7zQAD", "0014P00003YSp7zQAD")</f>
        <v>0014P00003YSp7zQAD</v>
      </c>
      <c r="B354" s="2" t="s">
        <v>2441</v>
      </c>
      <c r="C354" s="2" t="s">
        <v>423</v>
      </c>
      <c r="D354" s="2" t="s">
        <v>2</v>
      </c>
      <c r="E354" s="2">
        <v>24</v>
      </c>
      <c r="F354" s="2">
        <v>1</v>
      </c>
      <c r="G354" s="2">
        <v>0</v>
      </c>
      <c r="H354" s="2">
        <v>380000</v>
      </c>
      <c r="I354" s="2">
        <v>780</v>
      </c>
      <c r="J354" s="2" t="s">
        <v>1671</v>
      </c>
      <c r="K354" s="2">
        <v>55</v>
      </c>
      <c r="L354" s="2">
        <v>10</v>
      </c>
      <c r="M354" s="2">
        <v>5</v>
      </c>
      <c r="N354" s="2">
        <v>0</v>
      </c>
      <c r="O354" s="2">
        <v>20</v>
      </c>
      <c r="P354" s="2">
        <v>20</v>
      </c>
      <c r="Q354" s="2" t="s">
        <v>2442</v>
      </c>
      <c r="R354" s="2" t="s">
        <v>2443</v>
      </c>
      <c r="S354" s="4">
        <v>44837</v>
      </c>
    </row>
    <row r="355" spans="1:19" ht="12.5" hidden="1" x14ac:dyDescent="0.25">
      <c r="A355" s="14" t="str">
        <f>HYPERLINK("https://gerandofalcoes.my.salesforce.com/0014X00002VKCuSQAX", "0014X00002VKCuSQAX")</f>
        <v>0014X00002VKCuSQAX</v>
      </c>
      <c r="B355" s="2" t="s">
        <v>2444</v>
      </c>
      <c r="C355" s="2" t="s">
        <v>1800</v>
      </c>
      <c r="D355" s="2" t="s">
        <v>2</v>
      </c>
      <c r="E355" s="2">
        <v>24</v>
      </c>
      <c r="F355" s="2">
        <v>6</v>
      </c>
      <c r="G355" s="2">
        <v>2</v>
      </c>
      <c r="H355" s="2">
        <v>15000</v>
      </c>
      <c r="I355" s="2">
        <v>336</v>
      </c>
      <c r="J355" s="2" t="s">
        <v>1671</v>
      </c>
      <c r="K355" s="2">
        <v>46</v>
      </c>
      <c r="L355" s="2">
        <v>10</v>
      </c>
      <c r="M355" s="2">
        <v>10</v>
      </c>
      <c r="N355" s="2">
        <v>6</v>
      </c>
      <c r="O355" s="2">
        <v>5</v>
      </c>
      <c r="P355" s="2">
        <v>15</v>
      </c>
      <c r="Q355" s="2" t="s">
        <v>2445</v>
      </c>
      <c r="R355" s="2" t="s">
        <v>2446</v>
      </c>
      <c r="S355" s="4">
        <v>44837</v>
      </c>
    </row>
    <row r="356" spans="1:19" ht="12.5" hidden="1" x14ac:dyDescent="0.25">
      <c r="A356" s="14" t="str">
        <f>HYPERLINK("https://gerandofalcoes.my.salesforce.com/0014P00003YSp8aQAD", "0014P00003YSp8aQAD")</f>
        <v>0014P00003YSp8aQAD</v>
      </c>
      <c r="B356" s="2" t="s">
        <v>2447</v>
      </c>
      <c r="C356" s="2" t="s">
        <v>423</v>
      </c>
      <c r="D356" s="2" t="s">
        <v>2</v>
      </c>
      <c r="E356" s="2">
        <v>24</v>
      </c>
      <c r="F356" s="2">
        <v>0</v>
      </c>
      <c r="G356" s="2">
        <v>2</v>
      </c>
      <c r="H356" s="2">
        <v>40000</v>
      </c>
      <c r="I356" s="2">
        <v>200</v>
      </c>
      <c r="J356" s="2" t="s">
        <v>1779</v>
      </c>
      <c r="K356" s="2">
        <v>38</v>
      </c>
      <c r="L356" s="2">
        <v>10</v>
      </c>
      <c r="M356" s="2">
        <v>0</v>
      </c>
      <c r="N356" s="2">
        <v>6</v>
      </c>
      <c r="O356" s="2">
        <v>10</v>
      </c>
      <c r="P356" s="2">
        <v>12</v>
      </c>
      <c r="Q356" s="2" t="s">
        <v>2448</v>
      </c>
      <c r="R356" s="2" t="s">
        <v>2449</v>
      </c>
      <c r="S356" s="4">
        <v>44837</v>
      </c>
    </row>
    <row r="357" spans="1:19" ht="12.5" hidden="1" x14ac:dyDescent="0.25">
      <c r="A357" s="14" t="str">
        <f>HYPERLINK("https://gerandofalcoes.my.salesforce.com/0014X00002VKCv2QAH", "0014X00002VKCv2QAH")</f>
        <v>0014X00002VKCv2QAH</v>
      </c>
      <c r="B357" s="2" t="s">
        <v>2450</v>
      </c>
      <c r="C357" s="2" t="s">
        <v>423</v>
      </c>
      <c r="D357" s="2" t="s">
        <v>2</v>
      </c>
      <c r="E357" s="2">
        <v>24</v>
      </c>
      <c r="F357" s="2">
        <v>5</v>
      </c>
      <c r="G357" s="2">
        <v>3</v>
      </c>
      <c r="H357" s="2">
        <v>500</v>
      </c>
      <c r="I357" s="2">
        <v>0</v>
      </c>
      <c r="J357" s="2" t="s">
        <v>1779</v>
      </c>
      <c r="K357" s="2">
        <v>28</v>
      </c>
      <c r="L357" s="2">
        <v>10</v>
      </c>
      <c r="M357" s="2">
        <v>5</v>
      </c>
      <c r="N357" s="2">
        <v>8</v>
      </c>
      <c r="O357" s="2">
        <v>5</v>
      </c>
      <c r="P357" s="2">
        <v>0</v>
      </c>
      <c r="Q357" s="2" t="s">
        <v>2451</v>
      </c>
      <c r="R357" s="2" t="s">
        <v>2451</v>
      </c>
      <c r="S357" s="4">
        <v>44837</v>
      </c>
    </row>
    <row r="358" spans="1:19" ht="12.5" hidden="1" x14ac:dyDescent="0.25">
      <c r="A358" s="14" t="str">
        <f>HYPERLINK("https://gerandofalcoes.my.salesforce.com/0014X00002VKCt1QAH", "0014X00002VKCt1QAH")</f>
        <v>0014X00002VKCt1QAH</v>
      </c>
      <c r="B358" s="2" t="s">
        <v>2452</v>
      </c>
      <c r="C358" s="2" t="s">
        <v>423</v>
      </c>
      <c r="D358" s="2" t="s">
        <v>2</v>
      </c>
      <c r="E358" s="2">
        <v>23.64</v>
      </c>
      <c r="F358" s="2">
        <v>0</v>
      </c>
      <c r="G358" s="2">
        <v>1</v>
      </c>
      <c r="H358" s="2">
        <v>48000</v>
      </c>
      <c r="I358" s="2">
        <v>125</v>
      </c>
      <c r="J358" s="2" t="s">
        <v>1779</v>
      </c>
      <c r="K358" s="2">
        <v>34</v>
      </c>
      <c r="L358" s="2">
        <v>10</v>
      </c>
      <c r="M358" s="2">
        <v>0</v>
      </c>
      <c r="N358" s="2">
        <v>4</v>
      </c>
      <c r="O358" s="2">
        <v>10</v>
      </c>
      <c r="P358" s="2">
        <v>10</v>
      </c>
      <c r="Q358" s="2" t="s">
        <v>2453</v>
      </c>
      <c r="R358" s="2" t="s">
        <v>2453</v>
      </c>
      <c r="S358" s="4">
        <v>44837</v>
      </c>
    </row>
    <row r="359" spans="1:19" ht="12.5" hidden="1" x14ac:dyDescent="0.25">
      <c r="A359" s="14" t="str">
        <f>HYPERLINK("https://gerandofalcoes.my.salesforce.com/0014P00003YSp84QAD", "0014P00003YSp84QAD")</f>
        <v>0014P00003YSp84QAD</v>
      </c>
      <c r="B359" s="2" t="s">
        <v>2454</v>
      </c>
      <c r="C359" s="2" t="s">
        <v>423</v>
      </c>
      <c r="D359" s="2" t="s">
        <v>2</v>
      </c>
      <c r="E359" s="2">
        <v>23.19</v>
      </c>
      <c r="F359" s="2">
        <v>0</v>
      </c>
      <c r="G359" s="2">
        <v>0</v>
      </c>
      <c r="H359" s="2">
        <v>0</v>
      </c>
      <c r="I359" s="2">
        <v>203</v>
      </c>
      <c r="J359" s="2" t="s">
        <v>1779</v>
      </c>
      <c r="K359" s="2">
        <v>22</v>
      </c>
      <c r="L359" s="2">
        <v>10</v>
      </c>
      <c r="M359" s="2">
        <v>0</v>
      </c>
      <c r="N359" s="2">
        <v>0</v>
      </c>
      <c r="O359" s="2">
        <v>0</v>
      </c>
      <c r="P359" s="2">
        <v>12</v>
      </c>
      <c r="Q359" s="2" t="s">
        <v>2455</v>
      </c>
      <c r="R359" s="2" t="s">
        <v>2456</v>
      </c>
      <c r="S359" s="4">
        <v>44837</v>
      </c>
    </row>
    <row r="360" spans="1:19" ht="12.5" hidden="1" x14ac:dyDescent="0.25">
      <c r="A360" s="14" t="str">
        <f>HYPERLINK("https://gerandofalcoes.my.salesforce.com/0014X00002VKCu0QAH", "0014X00002VKCu0QAH")</f>
        <v>0014X00002VKCu0QAH</v>
      </c>
      <c r="B360" s="2" t="s">
        <v>2457</v>
      </c>
      <c r="C360" s="2" t="s">
        <v>423</v>
      </c>
      <c r="D360" s="2" t="s">
        <v>2</v>
      </c>
      <c r="E360" s="2">
        <v>23</v>
      </c>
      <c r="F360" s="2">
        <v>0</v>
      </c>
      <c r="G360" s="2">
        <v>2</v>
      </c>
      <c r="H360" s="2">
        <v>2500</v>
      </c>
      <c r="I360" s="2">
        <v>120</v>
      </c>
      <c r="J360" s="2" t="s">
        <v>1779</v>
      </c>
      <c r="K360" s="2">
        <v>31</v>
      </c>
      <c r="L360" s="2">
        <v>10</v>
      </c>
      <c r="M360" s="2">
        <v>0</v>
      </c>
      <c r="N360" s="2">
        <v>6</v>
      </c>
      <c r="O360" s="2">
        <v>5</v>
      </c>
      <c r="P360" s="2">
        <v>10</v>
      </c>
      <c r="Q360" s="2" t="s">
        <v>2458</v>
      </c>
      <c r="R360" s="2" t="s">
        <v>2458</v>
      </c>
      <c r="S360" s="4">
        <v>44837</v>
      </c>
    </row>
    <row r="361" spans="1:19" ht="12.5" hidden="1" x14ac:dyDescent="0.25">
      <c r="A361" s="14" t="str">
        <f>HYPERLINK("https://gerandofalcoes.my.salesforce.com/0014X00002VKCtGQAX", "0014X00002VKCtGQAX")</f>
        <v>0014X00002VKCtGQAX</v>
      </c>
      <c r="B361" s="2" t="s">
        <v>2459</v>
      </c>
      <c r="C361" s="2" t="s">
        <v>423</v>
      </c>
      <c r="D361" s="2" t="s">
        <v>2</v>
      </c>
      <c r="E361" s="2">
        <v>23</v>
      </c>
      <c r="F361" s="2">
        <v>0</v>
      </c>
      <c r="G361" s="2">
        <v>4</v>
      </c>
      <c r="H361" s="2">
        <v>2000</v>
      </c>
      <c r="I361" s="2">
        <v>90</v>
      </c>
      <c r="J361" s="2" t="s">
        <v>1779</v>
      </c>
      <c r="K361" s="2">
        <v>35</v>
      </c>
      <c r="L361" s="2">
        <v>10</v>
      </c>
      <c r="M361" s="2">
        <v>0</v>
      </c>
      <c r="N361" s="2">
        <v>10</v>
      </c>
      <c r="O361" s="2">
        <v>5</v>
      </c>
      <c r="P361" s="2">
        <v>10</v>
      </c>
      <c r="Q361" s="2" t="s">
        <v>2460</v>
      </c>
      <c r="R361" s="2" t="s">
        <v>2461</v>
      </c>
      <c r="S361" s="4">
        <v>44837</v>
      </c>
    </row>
    <row r="362" spans="1:19" ht="12.5" hidden="1" x14ac:dyDescent="0.25">
      <c r="A362" s="14" t="str">
        <f>HYPERLINK("https://gerandofalcoes.my.salesforce.com/0014X00002VKCtXQAX", "0014X00002VKCtXQAX")</f>
        <v>0014X00002VKCtXQAX</v>
      </c>
      <c r="B362" s="2" t="s">
        <v>2462</v>
      </c>
      <c r="C362" s="2" t="s">
        <v>423</v>
      </c>
      <c r="D362" s="2" t="s">
        <v>2</v>
      </c>
      <c r="E362" s="2">
        <v>23</v>
      </c>
      <c r="F362" s="2">
        <v>0</v>
      </c>
      <c r="G362" s="2">
        <v>2</v>
      </c>
      <c r="H362" s="2">
        <v>25000</v>
      </c>
      <c r="I362" s="2">
        <v>60</v>
      </c>
      <c r="J362" s="2" t="s">
        <v>1779</v>
      </c>
      <c r="K362" s="2">
        <v>31</v>
      </c>
      <c r="L362" s="2">
        <v>10</v>
      </c>
      <c r="M362" s="2">
        <v>0</v>
      </c>
      <c r="N362" s="2">
        <v>6</v>
      </c>
      <c r="O362" s="2">
        <v>10</v>
      </c>
      <c r="P362" s="2">
        <v>5</v>
      </c>
      <c r="Q362" s="2" t="s">
        <v>2463</v>
      </c>
      <c r="R362" s="2" t="s">
        <v>2464</v>
      </c>
      <c r="S362" s="4">
        <v>44837</v>
      </c>
    </row>
    <row r="363" spans="1:19" ht="12.5" hidden="1" x14ac:dyDescent="0.25">
      <c r="A363" s="14" t="str">
        <f>HYPERLINK("https://gerandofalcoes.my.salesforce.com/0014P00003YSp7fQAD", "0014P00003YSp7fQAD")</f>
        <v>0014P00003YSp7fQAD</v>
      </c>
      <c r="B363" s="2" t="s">
        <v>2465</v>
      </c>
      <c r="C363" s="2" t="s">
        <v>423</v>
      </c>
      <c r="D363" s="2" t="s">
        <v>2</v>
      </c>
      <c r="E363" s="2">
        <v>23</v>
      </c>
      <c r="F363" s="2">
        <v>0</v>
      </c>
      <c r="G363" s="2">
        <v>2</v>
      </c>
      <c r="H363" s="2">
        <v>5000</v>
      </c>
      <c r="I363" s="2">
        <v>50</v>
      </c>
      <c r="J363" s="2" t="s">
        <v>1779</v>
      </c>
      <c r="K363" s="2">
        <v>26</v>
      </c>
      <c r="L363" s="2">
        <v>10</v>
      </c>
      <c r="M363" s="2">
        <v>0</v>
      </c>
      <c r="N363" s="2">
        <v>6</v>
      </c>
      <c r="O363" s="2">
        <v>5</v>
      </c>
      <c r="P363" s="2">
        <v>5</v>
      </c>
      <c r="Q363" s="2" t="s">
        <v>2466</v>
      </c>
      <c r="R363" s="2" t="s">
        <v>4223</v>
      </c>
      <c r="S363" s="4">
        <v>44837</v>
      </c>
    </row>
    <row r="364" spans="1:19" ht="12.5" hidden="1" x14ac:dyDescent="0.25">
      <c r="A364" s="14" t="str">
        <f>HYPERLINK("https://gerandofalcoes.my.salesforce.com/0014X00002VKCsvQAH", "0014X00002VKCsvQAH")</f>
        <v>0014X00002VKCsvQAH</v>
      </c>
      <c r="B364" s="2" t="s">
        <v>2467</v>
      </c>
      <c r="C364" s="2" t="s">
        <v>423</v>
      </c>
      <c r="D364" s="2" t="s">
        <v>2</v>
      </c>
      <c r="E364" s="2">
        <v>23</v>
      </c>
      <c r="F364" s="2">
        <v>4</v>
      </c>
      <c r="G364" s="2">
        <v>0</v>
      </c>
      <c r="H364" s="2">
        <v>15000</v>
      </c>
      <c r="I364" s="2">
        <v>0</v>
      </c>
      <c r="J364" s="2" t="s">
        <v>1779</v>
      </c>
      <c r="K364" s="2">
        <v>20</v>
      </c>
      <c r="L364" s="2">
        <v>10</v>
      </c>
      <c r="M364" s="2">
        <v>5</v>
      </c>
      <c r="N364" s="2">
        <v>0</v>
      </c>
      <c r="O364" s="2">
        <v>5</v>
      </c>
      <c r="P364" s="2">
        <v>0</v>
      </c>
      <c r="Q364" s="2" t="s">
        <v>2468</v>
      </c>
      <c r="R364" s="2" t="s">
        <v>2468</v>
      </c>
      <c r="S364" s="4">
        <v>44837</v>
      </c>
    </row>
    <row r="365" spans="1:19" ht="12.5" hidden="1" x14ac:dyDescent="0.25">
      <c r="A365" s="14" t="str">
        <f>HYPERLINK("https://gerandofalcoes.my.salesforce.com/0014P00003YSpA2QAL", "0014P00003YSpA2QAL")</f>
        <v>0014P00003YSpA2QAL</v>
      </c>
      <c r="B365" s="2" t="s">
        <v>2469</v>
      </c>
      <c r="C365" s="2" t="s">
        <v>423</v>
      </c>
      <c r="D365" s="2" t="s">
        <v>2</v>
      </c>
      <c r="E365" s="2">
        <v>23</v>
      </c>
      <c r="F365" s="2">
        <v>0</v>
      </c>
      <c r="G365" s="2">
        <v>2</v>
      </c>
      <c r="H365" s="2">
        <v>12000</v>
      </c>
      <c r="I365" s="2">
        <v>0</v>
      </c>
      <c r="J365" s="2" t="s">
        <v>1779</v>
      </c>
      <c r="K365" s="2">
        <v>21</v>
      </c>
      <c r="L365" s="2">
        <v>10</v>
      </c>
      <c r="M365" s="2">
        <v>0</v>
      </c>
      <c r="N365" s="2">
        <v>6</v>
      </c>
      <c r="O365" s="2">
        <v>5</v>
      </c>
      <c r="P365" s="2">
        <v>0</v>
      </c>
      <c r="Q365" s="2" t="s">
        <v>2470</v>
      </c>
      <c r="R365" s="2" t="s">
        <v>2471</v>
      </c>
      <c r="S365" s="4">
        <v>44837</v>
      </c>
    </row>
    <row r="366" spans="1:19" ht="12.5" hidden="1" x14ac:dyDescent="0.25">
      <c r="A366" s="14" t="str">
        <f>HYPERLINK("https://gerandofalcoes.my.salesforce.com/0014P00003AN2FeQAL", "0014P00003AN2FeQAL")</f>
        <v>0014P00003AN2FeQAL</v>
      </c>
      <c r="B366" s="2" t="s">
        <v>100</v>
      </c>
      <c r="C366" s="2" t="s">
        <v>423</v>
      </c>
      <c r="D366" s="2" t="s">
        <v>2</v>
      </c>
      <c r="E366" s="2">
        <v>22.95</v>
      </c>
      <c r="F366" s="2">
        <v>10</v>
      </c>
      <c r="G366" s="2">
        <v>3</v>
      </c>
      <c r="H366" s="2">
        <v>105000</v>
      </c>
      <c r="I366" s="2">
        <v>64</v>
      </c>
      <c r="J366" s="2" t="s">
        <v>1671</v>
      </c>
      <c r="K366" s="2">
        <v>48</v>
      </c>
      <c r="L366" s="2">
        <v>10</v>
      </c>
      <c r="M366" s="2">
        <v>10</v>
      </c>
      <c r="N366" s="2">
        <v>8</v>
      </c>
      <c r="O366" s="2">
        <v>15</v>
      </c>
      <c r="P366" s="2">
        <v>5</v>
      </c>
      <c r="Q366" s="2" t="s">
        <v>101</v>
      </c>
      <c r="R366" s="2" t="s">
        <v>2472</v>
      </c>
      <c r="S366" s="4">
        <v>44837</v>
      </c>
    </row>
    <row r="367" spans="1:19" ht="12.5" hidden="1" x14ac:dyDescent="0.25">
      <c r="A367" s="14" t="str">
        <f>HYPERLINK("https://gerandofalcoes.my.salesforce.com/0014X00002VKCszQAH", "0014X00002VKCszQAH")</f>
        <v>0014X00002VKCszQAH</v>
      </c>
      <c r="B367" s="2" t="s">
        <v>2473</v>
      </c>
      <c r="C367" s="2" t="s">
        <v>423</v>
      </c>
      <c r="D367" s="2" t="s">
        <v>2</v>
      </c>
      <c r="E367" s="2">
        <v>22.35</v>
      </c>
      <c r="F367" s="2">
        <v>0</v>
      </c>
      <c r="G367" s="2">
        <v>3</v>
      </c>
      <c r="H367" s="2">
        <v>116114</v>
      </c>
      <c r="I367" s="2">
        <v>35</v>
      </c>
      <c r="J367" s="2" t="s">
        <v>1779</v>
      </c>
      <c r="K367" s="2">
        <v>38</v>
      </c>
      <c r="L367" s="2">
        <v>10</v>
      </c>
      <c r="M367" s="2">
        <v>0</v>
      </c>
      <c r="N367" s="2">
        <v>8</v>
      </c>
      <c r="O367" s="2">
        <v>15</v>
      </c>
      <c r="P367" s="2">
        <v>5</v>
      </c>
      <c r="Q367" s="2" t="s">
        <v>2474</v>
      </c>
      <c r="R367" s="2" t="s">
        <v>2475</v>
      </c>
      <c r="S367" s="4">
        <v>44837</v>
      </c>
    </row>
    <row r="368" spans="1:19" ht="12.5" hidden="1" x14ac:dyDescent="0.25">
      <c r="A368" s="14" t="str">
        <f>HYPERLINK("https://gerandofalcoes.my.salesforce.com/0014P00003YSp8SQAT", "0014P00003YSp8SQAT")</f>
        <v>0014P00003YSp8SQAT</v>
      </c>
      <c r="B368" s="2" t="s">
        <v>2476</v>
      </c>
      <c r="C368" s="2" t="s">
        <v>423</v>
      </c>
      <c r="D368" s="2" t="s">
        <v>2</v>
      </c>
      <c r="E368" s="2">
        <v>22</v>
      </c>
      <c r="F368" s="2">
        <v>0</v>
      </c>
      <c r="G368" s="2">
        <v>2</v>
      </c>
      <c r="H368" s="2">
        <v>150000</v>
      </c>
      <c r="I368" s="2">
        <v>382</v>
      </c>
      <c r="J368" s="2" t="s">
        <v>1671</v>
      </c>
      <c r="K368" s="2">
        <v>46</v>
      </c>
      <c r="L368" s="2">
        <v>10</v>
      </c>
      <c r="M368" s="2">
        <v>0</v>
      </c>
      <c r="N368" s="2">
        <v>6</v>
      </c>
      <c r="O368" s="2">
        <v>15</v>
      </c>
      <c r="P368" s="2">
        <v>15</v>
      </c>
      <c r="Q368" s="2" t="s">
        <v>2477</v>
      </c>
      <c r="R368" s="2" t="s">
        <v>2477</v>
      </c>
      <c r="S368" s="4">
        <v>44837</v>
      </c>
    </row>
    <row r="369" spans="1:19" ht="12.5" hidden="1" x14ac:dyDescent="0.25">
      <c r="A369" s="14" t="str">
        <f>HYPERLINK("https://gerandofalcoes.my.salesforce.com/0014X00002VKCrHQAX", "0014X00002VKCrHQAX")</f>
        <v>0014X00002VKCrHQAX</v>
      </c>
      <c r="B369" s="2" t="s">
        <v>2478</v>
      </c>
      <c r="C369" s="2" t="s">
        <v>423</v>
      </c>
      <c r="D369" s="2" t="s">
        <v>2</v>
      </c>
      <c r="E369" s="2">
        <v>22</v>
      </c>
      <c r="F369" s="2">
        <v>0</v>
      </c>
      <c r="G369" s="2">
        <v>3</v>
      </c>
      <c r="H369" s="2">
        <v>500</v>
      </c>
      <c r="I369" s="2">
        <v>114</v>
      </c>
      <c r="J369" s="2" t="s">
        <v>1779</v>
      </c>
      <c r="K369" s="2">
        <v>33</v>
      </c>
      <c r="L369" s="2">
        <v>10</v>
      </c>
      <c r="M369" s="2">
        <v>0</v>
      </c>
      <c r="N369" s="2">
        <v>8</v>
      </c>
      <c r="O369" s="2">
        <v>5</v>
      </c>
      <c r="P369" s="2">
        <v>10</v>
      </c>
      <c r="Q369" s="2" t="s">
        <v>2479</v>
      </c>
      <c r="R369" s="2" t="s">
        <v>2479</v>
      </c>
      <c r="S369" s="4">
        <v>44837</v>
      </c>
    </row>
    <row r="370" spans="1:19" ht="12.5" hidden="1" x14ac:dyDescent="0.25">
      <c r="A370" s="14" t="str">
        <f>HYPERLINK("https://gerandofalcoes.my.salesforce.com/0014P00003SGWQJQA5", "0014P00003SGWQJQA5")</f>
        <v>0014P00003SGWQJQA5</v>
      </c>
      <c r="B370" s="2" t="s">
        <v>2480</v>
      </c>
      <c r="C370" s="2" t="s">
        <v>423</v>
      </c>
      <c r="D370" s="2" t="s">
        <v>2</v>
      </c>
      <c r="E370" s="2">
        <v>22</v>
      </c>
      <c r="F370" s="2">
        <v>2</v>
      </c>
      <c r="G370" s="2">
        <v>2</v>
      </c>
      <c r="H370" s="2">
        <v>11000</v>
      </c>
      <c r="I370" s="2">
        <v>103</v>
      </c>
      <c r="J370" s="2" t="s">
        <v>1779</v>
      </c>
      <c r="K370" s="2">
        <v>36</v>
      </c>
      <c r="L370" s="2">
        <v>10</v>
      </c>
      <c r="M370" s="2">
        <v>5</v>
      </c>
      <c r="N370" s="2">
        <v>6</v>
      </c>
      <c r="O370" s="2">
        <v>5</v>
      </c>
      <c r="P370" s="2">
        <v>10</v>
      </c>
      <c r="Q370" s="2" t="s">
        <v>269</v>
      </c>
      <c r="R370" s="2" t="s">
        <v>1248</v>
      </c>
      <c r="S370" s="4">
        <v>44837</v>
      </c>
    </row>
    <row r="371" spans="1:19" ht="12.5" hidden="1" x14ac:dyDescent="0.25">
      <c r="A371" s="14" t="str">
        <f>HYPERLINK("https://gerandofalcoes.my.salesforce.com/0014P00003YSp8bQAD", "0014P00003YSp8bQAD")</f>
        <v>0014P00003YSp8bQAD</v>
      </c>
      <c r="B371" s="2" t="s">
        <v>2481</v>
      </c>
      <c r="C371" s="2" t="s">
        <v>423</v>
      </c>
      <c r="D371" s="2" t="s">
        <v>2</v>
      </c>
      <c r="E371" s="2">
        <v>22</v>
      </c>
      <c r="F371" s="2">
        <v>4</v>
      </c>
      <c r="G371" s="2">
        <v>2</v>
      </c>
      <c r="H371" s="2">
        <v>80000</v>
      </c>
      <c r="I371" s="2">
        <v>100</v>
      </c>
      <c r="J371" s="2" t="s">
        <v>1671</v>
      </c>
      <c r="K371" s="2">
        <v>41</v>
      </c>
      <c r="L371" s="2">
        <v>10</v>
      </c>
      <c r="M371" s="2">
        <v>5</v>
      </c>
      <c r="N371" s="2">
        <v>6</v>
      </c>
      <c r="O371" s="2">
        <v>10</v>
      </c>
      <c r="P371" s="2">
        <v>10</v>
      </c>
      <c r="Q371" s="2" t="s">
        <v>2482</v>
      </c>
      <c r="R371" s="2" t="s">
        <v>2483</v>
      </c>
      <c r="S371" s="4">
        <v>44837</v>
      </c>
    </row>
    <row r="372" spans="1:19" ht="12.5" hidden="1" x14ac:dyDescent="0.25">
      <c r="A372" s="14" t="str">
        <f>HYPERLINK("https://gerandofalcoes.my.salesforce.com/0014X00002VKCurQAH", "0014X00002VKCurQAH")</f>
        <v>0014X00002VKCurQAH</v>
      </c>
      <c r="B372" s="2" t="s">
        <v>2484</v>
      </c>
      <c r="C372" s="2" t="s">
        <v>423</v>
      </c>
      <c r="D372" s="2" t="s">
        <v>2</v>
      </c>
      <c r="E372" s="2">
        <v>22</v>
      </c>
      <c r="F372" s="2">
        <v>0</v>
      </c>
      <c r="G372" s="2">
        <v>2</v>
      </c>
      <c r="H372" s="2">
        <v>30000</v>
      </c>
      <c r="I372" s="2">
        <v>90</v>
      </c>
      <c r="J372" s="2" t="s">
        <v>1779</v>
      </c>
      <c r="K372" s="2">
        <v>36</v>
      </c>
      <c r="L372" s="2">
        <v>10</v>
      </c>
      <c r="M372" s="2">
        <v>0</v>
      </c>
      <c r="N372" s="2">
        <v>6</v>
      </c>
      <c r="O372" s="2">
        <v>10</v>
      </c>
      <c r="P372" s="2">
        <v>10</v>
      </c>
      <c r="Q372" s="2" t="s">
        <v>2485</v>
      </c>
      <c r="R372" s="2" t="s">
        <v>2486</v>
      </c>
      <c r="S372" s="4">
        <v>44837</v>
      </c>
    </row>
    <row r="373" spans="1:19" ht="12.5" hidden="1" x14ac:dyDescent="0.25">
      <c r="A373" s="14" t="str">
        <f>HYPERLINK("https://gerandofalcoes.my.salesforce.com/0014X00002VKCs4QAH", "0014X00002VKCs4QAH")</f>
        <v>0014X00002VKCs4QAH</v>
      </c>
      <c r="B373" s="2" t="s">
        <v>2487</v>
      </c>
      <c r="C373" s="2" t="s">
        <v>1800</v>
      </c>
      <c r="D373" s="2" t="s">
        <v>2</v>
      </c>
      <c r="E373" s="2">
        <v>22</v>
      </c>
      <c r="F373" s="2">
        <v>0</v>
      </c>
      <c r="G373" s="2">
        <v>2</v>
      </c>
      <c r="H373" s="2">
        <v>0</v>
      </c>
      <c r="I373" s="2">
        <v>10</v>
      </c>
      <c r="J373" s="2" t="s">
        <v>1779</v>
      </c>
      <c r="K373" s="2">
        <v>21</v>
      </c>
      <c r="L373" s="2">
        <v>10</v>
      </c>
      <c r="M373" s="2">
        <v>0</v>
      </c>
      <c r="N373" s="2">
        <v>6</v>
      </c>
      <c r="O373" s="2">
        <v>0</v>
      </c>
      <c r="P373" s="2">
        <v>5</v>
      </c>
      <c r="Q373" s="2" t="s">
        <v>2488</v>
      </c>
      <c r="R373" s="2" t="s">
        <v>2489</v>
      </c>
      <c r="S373" s="4">
        <v>44837</v>
      </c>
    </row>
    <row r="374" spans="1:19" ht="12.5" hidden="1" x14ac:dyDescent="0.25">
      <c r="A374" s="14" t="str">
        <f>HYPERLINK("https://gerandofalcoes.my.salesforce.com/0014X00002VKCqzQAH", "0014X00002VKCqzQAH")</f>
        <v>0014X00002VKCqzQAH</v>
      </c>
      <c r="B374" s="2" t="s">
        <v>2490</v>
      </c>
      <c r="C374" s="2" t="s">
        <v>1800</v>
      </c>
      <c r="D374" s="2" t="s">
        <v>2</v>
      </c>
      <c r="E374" s="2">
        <v>22</v>
      </c>
      <c r="F374" s="2">
        <v>0</v>
      </c>
      <c r="G374" s="2">
        <v>3</v>
      </c>
      <c r="H374" s="2">
        <v>3000</v>
      </c>
      <c r="I374" s="2">
        <v>0</v>
      </c>
      <c r="J374" s="2" t="s">
        <v>1779</v>
      </c>
      <c r="K374" s="2">
        <v>23</v>
      </c>
      <c r="L374" s="2">
        <v>10</v>
      </c>
      <c r="M374" s="2">
        <v>0</v>
      </c>
      <c r="N374" s="2">
        <v>8</v>
      </c>
      <c r="O374" s="2">
        <v>5</v>
      </c>
      <c r="P374" s="2">
        <v>0</v>
      </c>
      <c r="Q374" s="2" t="s">
        <v>2491</v>
      </c>
      <c r="R374" s="2" t="s">
        <v>2491</v>
      </c>
      <c r="S374" s="4">
        <v>44837</v>
      </c>
    </row>
    <row r="375" spans="1:19" ht="12.5" hidden="1" x14ac:dyDescent="0.25">
      <c r="A375" s="14" t="str">
        <f>HYPERLINK("https://gerandofalcoes.my.salesforce.com/0014P00003YSp7vQAD", "0014P00003YSp7vQAD")</f>
        <v>0014P00003YSp7vQAD</v>
      </c>
      <c r="B375" s="2" t="s">
        <v>2492</v>
      </c>
      <c r="C375" s="2" t="s">
        <v>423</v>
      </c>
      <c r="D375" s="2" t="s">
        <v>2</v>
      </c>
      <c r="E375" s="2">
        <v>21.77</v>
      </c>
      <c r="F375" s="2">
        <v>2</v>
      </c>
      <c r="G375" s="2">
        <v>1</v>
      </c>
      <c r="H375" s="2">
        <v>42000</v>
      </c>
      <c r="I375" s="2">
        <v>71</v>
      </c>
      <c r="J375" s="2" t="s">
        <v>1779</v>
      </c>
      <c r="K375" s="2">
        <v>34</v>
      </c>
      <c r="L375" s="2">
        <v>10</v>
      </c>
      <c r="M375" s="2">
        <v>5</v>
      </c>
      <c r="N375" s="2">
        <v>4</v>
      </c>
      <c r="O375" s="2">
        <v>10</v>
      </c>
      <c r="P375" s="2">
        <v>5</v>
      </c>
      <c r="Q375" s="2" t="s">
        <v>2493</v>
      </c>
      <c r="R375" s="2" t="s">
        <v>2493</v>
      </c>
      <c r="S375" s="4">
        <v>44837</v>
      </c>
    </row>
    <row r="376" spans="1:19" ht="12.5" hidden="1" x14ac:dyDescent="0.25">
      <c r="A376" s="14" t="str">
        <f>HYPERLINK("https://gerandofalcoes.my.salesforce.com/0014X00002VKCr1QAH", "0014X00002VKCr1QAH")</f>
        <v>0014X00002VKCr1QAH</v>
      </c>
      <c r="B376" s="2" t="s">
        <v>2494</v>
      </c>
      <c r="C376" s="2" t="s">
        <v>423</v>
      </c>
      <c r="D376" s="2" t="s">
        <v>2</v>
      </c>
      <c r="E376" s="2">
        <v>21.76</v>
      </c>
      <c r="F376" s="2">
        <v>5</v>
      </c>
      <c r="G376" s="2">
        <v>3</v>
      </c>
      <c r="H376" s="2">
        <v>92000</v>
      </c>
      <c r="I376" s="2">
        <v>0</v>
      </c>
      <c r="J376" s="2" t="s">
        <v>1779</v>
      </c>
      <c r="K376" s="2">
        <v>33</v>
      </c>
      <c r="L376" s="2">
        <v>10</v>
      </c>
      <c r="M376" s="2">
        <v>5</v>
      </c>
      <c r="N376" s="2">
        <v>8</v>
      </c>
      <c r="O376" s="2">
        <v>10</v>
      </c>
      <c r="P376" s="2">
        <v>0</v>
      </c>
      <c r="Q376" s="2" t="s">
        <v>2495</v>
      </c>
      <c r="R376" s="2" t="s">
        <v>2496</v>
      </c>
      <c r="S376" s="4">
        <v>44837</v>
      </c>
    </row>
    <row r="377" spans="1:19" ht="12.5" hidden="1" x14ac:dyDescent="0.25">
      <c r="A377" s="14" t="str">
        <f>HYPERLINK("https://gerandofalcoes.my.salesforce.com/0014P00003YSp9wQAD", "0014P00003YSp9wQAD")</f>
        <v>0014P00003YSp9wQAD</v>
      </c>
      <c r="B377" s="2" t="s">
        <v>2497</v>
      </c>
      <c r="C377" s="2" t="s">
        <v>423</v>
      </c>
      <c r="D377" s="2" t="s">
        <v>2</v>
      </c>
      <c r="E377" s="2">
        <v>21.74</v>
      </c>
      <c r="F377" s="2">
        <v>6</v>
      </c>
      <c r="G377" s="2">
        <v>2</v>
      </c>
      <c r="H377" s="2">
        <v>2600000</v>
      </c>
      <c r="I377" s="2">
        <v>200</v>
      </c>
      <c r="J377" s="2" t="s">
        <v>1671</v>
      </c>
      <c r="K377" s="2">
        <v>63</v>
      </c>
      <c r="L377" s="2">
        <v>10</v>
      </c>
      <c r="M377" s="2">
        <v>10</v>
      </c>
      <c r="N377" s="2">
        <v>6</v>
      </c>
      <c r="O377" s="2">
        <v>25</v>
      </c>
      <c r="P377" s="2">
        <v>12</v>
      </c>
      <c r="Q377" s="2" t="s">
        <v>2498</v>
      </c>
      <c r="R377" s="2" t="s">
        <v>2498</v>
      </c>
      <c r="S377" s="4">
        <v>44837</v>
      </c>
    </row>
    <row r="378" spans="1:19" ht="12.5" hidden="1" x14ac:dyDescent="0.25">
      <c r="A378" s="14" t="str">
        <f>HYPERLINK("https://gerandofalcoes.my.salesforce.com/0014P00003SGWPvQAP", "0014P00003SGWPvQAP")</f>
        <v>0014P00003SGWPvQAP</v>
      </c>
      <c r="B378" s="2" t="s">
        <v>2499</v>
      </c>
      <c r="C378" s="2" t="s">
        <v>423</v>
      </c>
      <c r="D378" s="2" t="s">
        <v>2</v>
      </c>
      <c r="E378" s="2">
        <v>21.55</v>
      </c>
      <c r="F378" s="2">
        <v>0</v>
      </c>
      <c r="G378" s="2">
        <v>1</v>
      </c>
      <c r="H378" s="2">
        <v>33000</v>
      </c>
      <c r="I378" s="2">
        <v>100</v>
      </c>
      <c r="J378" s="2" t="s">
        <v>1779</v>
      </c>
      <c r="K378" s="2">
        <v>34</v>
      </c>
      <c r="L378" s="2">
        <v>10</v>
      </c>
      <c r="M378" s="2">
        <v>0</v>
      </c>
      <c r="N378" s="2">
        <v>4</v>
      </c>
      <c r="O378" s="2">
        <v>10</v>
      </c>
      <c r="P378" s="2">
        <v>10</v>
      </c>
      <c r="Q378" s="2" t="s">
        <v>189</v>
      </c>
      <c r="R378" s="2" t="s">
        <v>189</v>
      </c>
      <c r="S378" s="4">
        <v>44837</v>
      </c>
    </row>
    <row r="379" spans="1:19" ht="12.5" hidden="1" x14ac:dyDescent="0.25">
      <c r="A379" s="14" t="str">
        <f>HYPERLINK("https://gerandofalcoes.my.salesforce.com/0014X00002VKCsxQAH", "0014X00002VKCsxQAH")</f>
        <v>0014X00002VKCsxQAH</v>
      </c>
      <c r="B379" s="2" t="s">
        <v>2500</v>
      </c>
      <c r="C379" s="2" t="s">
        <v>423</v>
      </c>
      <c r="D379" s="2" t="s">
        <v>2</v>
      </c>
      <c r="E379" s="2">
        <v>21.32</v>
      </c>
      <c r="F379" s="2">
        <v>0</v>
      </c>
      <c r="G379" s="2">
        <v>1</v>
      </c>
      <c r="H379" s="2">
        <v>3500000</v>
      </c>
      <c r="I379" s="2">
        <v>150</v>
      </c>
      <c r="J379" s="2" t="s">
        <v>1671</v>
      </c>
      <c r="K379" s="2">
        <v>51</v>
      </c>
      <c r="L379" s="2">
        <v>10</v>
      </c>
      <c r="M379" s="2">
        <v>0</v>
      </c>
      <c r="N379" s="2">
        <v>4</v>
      </c>
      <c r="O379" s="2">
        <v>25</v>
      </c>
      <c r="P379" s="2">
        <v>12</v>
      </c>
      <c r="Q379" s="2" t="s">
        <v>2501</v>
      </c>
      <c r="R379" s="2" t="s">
        <v>2502</v>
      </c>
      <c r="S379" s="4">
        <v>44837</v>
      </c>
    </row>
    <row r="380" spans="1:19" ht="12.5" hidden="1" x14ac:dyDescent="0.25">
      <c r="A380" s="14" t="str">
        <f>HYPERLINK("https://gerandofalcoes.my.salesforce.com/0014P00003AN2GHQA1", "0014P00003AN2GHQA1")</f>
        <v>0014P00003AN2GHQA1</v>
      </c>
      <c r="B380" s="2" t="s">
        <v>2503</v>
      </c>
      <c r="C380" s="2" t="s">
        <v>423</v>
      </c>
      <c r="D380" s="2" t="s">
        <v>2</v>
      </c>
      <c r="E380" s="2">
        <v>21.22</v>
      </c>
      <c r="F380" s="2">
        <v>2</v>
      </c>
      <c r="G380" s="2">
        <v>3</v>
      </c>
      <c r="H380" s="2">
        <v>165000</v>
      </c>
      <c r="I380" s="2">
        <v>90</v>
      </c>
      <c r="J380" s="2" t="s">
        <v>1671</v>
      </c>
      <c r="K380" s="2">
        <v>48</v>
      </c>
      <c r="L380" s="2">
        <v>10</v>
      </c>
      <c r="M380" s="2">
        <v>5</v>
      </c>
      <c r="N380" s="2">
        <v>8</v>
      </c>
      <c r="O380" s="2">
        <v>15</v>
      </c>
      <c r="P380" s="2">
        <v>10</v>
      </c>
      <c r="Q380" s="2" t="s">
        <v>1010</v>
      </c>
      <c r="R380" s="2" t="s">
        <v>1010</v>
      </c>
      <c r="S380" s="4">
        <v>44837</v>
      </c>
    </row>
    <row r="381" spans="1:19" ht="12.5" hidden="1" x14ac:dyDescent="0.25">
      <c r="A381" s="14" t="str">
        <f>HYPERLINK("https://gerandofalcoes.my.salesforce.com/0014X00002VKCpBQAX", "0014X00002VKCpBQAX")</f>
        <v>0014X00002VKCpBQAX</v>
      </c>
      <c r="B381" s="2" t="s">
        <v>2504</v>
      </c>
      <c r="C381" s="2" t="s">
        <v>423</v>
      </c>
      <c r="D381" s="2" t="s">
        <v>2</v>
      </c>
      <c r="E381" s="2">
        <v>21.13</v>
      </c>
      <c r="F381" s="2">
        <v>0</v>
      </c>
      <c r="G381" s="2">
        <v>3</v>
      </c>
      <c r="H381" s="2">
        <v>128350</v>
      </c>
      <c r="I381" s="2">
        <v>160</v>
      </c>
      <c r="J381" s="2" t="s">
        <v>1671</v>
      </c>
      <c r="K381" s="2">
        <v>45</v>
      </c>
      <c r="L381" s="2">
        <v>10</v>
      </c>
      <c r="M381" s="2">
        <v>0</v>
      </c>
      <c r="N381" s="2">
        <v>8</v>
      </c>
      <c r="O381" s="2">
        <v>15</v>
      </c>
      <c r="P381" s="2">
        <v>12</v>
      </c>
      <c r="Q381" s="2" t="s">
        <v>2505</v>
      </c>
      <c r="R381" s="2" t="s">
        <v>2505</v>
      </c>
      <c r="S381" s="4">
        <v>44837</v>
      </c>
    </row>
    <row r="382" spans="1:19" ht="12.5" hidden="1" x14ac:dyDescent="0.25">
      <c r="A382" s="14" t="str">
        <f>HYPERLINK("https://gerandofalcoes.my.salesforce.com/0014X00002VKCspQAH", "0014X00002VKCspQAH")</f>
        <v>0014X00002VKCspQAH</v>
      </c>
      <c r="B382" s="2" t="s">
        <v>2506</v>
      </c>
      <c r="C382" s="2" t="s">
        <v>423</v>
      </c>
      <c r="D382" s="2" t="s">
        <v>2</v>
      </c>
      <c r="E382" s="2">
        <v>21.12</v>
      </c>
      <c r="F382" s="2">
        <v>0</v>
      </c>
      <c r="G382" s="2">
        <v>0</v>
      </c>
      <c r="H382" s="2">
        <v>0</v>
      </c>
      <c r="I382" s="2">
        <v>100</v>
      </c>
      <c r="J382" s="2" t="s">
        <v>1779</v>
      </c>
      <c r="K382" s="2">
        <v>20</v>
      </c>
      <c r="L382" s="2">
        <v>10</v>
      </c>
      <c r="M382" s="2">
        <v>0</v>
      </c>
      <c r="N382" s="2">
        <v>0</v>
      </c>
      <c r="O382" s="2">
        <v>0</v>
      </c>
      <c r="P382" s="2">
        <v>10</v>
      </c>
      <c r="Q382" s="2" t="s">
        <v>2507</v>
      </c>
      <c r="R382" s="2" t="s">
        <v>2508</v>
      </c>
      <c r="S382" s="4">
        <v>44837</v>
      </c>
    </row>
    <row r="383" spans="1:19" ht="12.5" hidden="1" x14ac:dyDescent="0.25">
      <c r="A383" s="14" t="str">
        <f>HYPERLINK("https://gerandofalcoes.my.salesforce.com/0014P00003YSp7rQAD", "0014P00003YSp7rQAD")</f>
        <v>0014P00003YSp7rQAD</v>
      </c>
      <c r="B383" s="2" t="s">
        <v>2509</v>
      </c>
      <c r="C383" s="2" t="s">
        <v>1800</v>
      </c>
      <c r="D383" s="2" t="s">
        <v>2</v>
      </c>
      <c r="E383" s="2">
        <v>21</v>
      </c>
      <c r="F383" s="2">
        <v>1</v>
      </c>
      <c r="G383" s="2">
        <v>2</v>
      </c>
      <c r="H383" s="2">
        <v>11000</v>
      </c>
      <c r="I383" s="2">
        <v>320</v>
      </c>
      <c r="J383" s="2" t="s">
        <v>1671</v>
      </c>
      <c r="K383" s="2">
        <v>41</v>
      </c>
      <c r="L383" s="2">
        <v>10</v>
      </c>
      <c r="M383" s="2">
        <v>5</v>
      </c>
      <c r="N383" s="2">
        <v>6</v>
      </c>
      <c r="O383" s="2">
        <v>5</v>
      </c>
      <c r="P383" s="2">
        <v>15</v>
      </c>
      <c r="Q383" s="2" t="s">
        <v>2510</v>
      </c>
      <c r="R383" s="2" t="s">
        <v>2510</v>
      </c>
      <c r="S383" s="4">
        <v>44837</v>
      </c>
    </row>
    <row r="384" spans="1:19" ht="12.5" hidden="1" x14ac:dyDescent="0.25">
      <c r="A384" s="14" t="str">
        <f>HYPERLINK("https://gerandofalcoes.my.salesforce.com/0014P00003YSp7XQAT", "0014P00003YSp7XQAT")</f>
        <v>0014P00003YSp7XQAT</v>
      </c>
      <c r="B384" s="2" t="s">
        <v>2511</v>
      </c>
      <c r="C384" s="2" t="s">
        <v>423</v>
      </c>
      <c r="D384" s="2" t="s">
        <v>2</v>
      </c>
      <c r="E384" s="2">
        <v>21</v>
      </c>
      <c r="F384" s="2">
        <v>0</v>
      </c>
      <c r="G384" s="2">
        <v>3</v>
      </c>
      <c r="H384" s="2">
        <v>8200</v>
      </c>
      <c r="I384" s="2">
        <v>109</v>
      </c>
      <c r="J384" s="2" t="s">
        <v>1779</v>
      </c>
      <c r="K384" s="2">
        <v>33</v>
      </c>
      <c r="L384" s="2">
        <v>10</v>
      </c>
      <c r="M384" s="2">
        <v>0</v>
      </c>
      <c r="N384" s="2">
        <v>8</v>
      </c>
      <c r="O384" s="2">
        <v>5</v>
      </c>
      <c r="P384" s="2">
        <v>10</v>
      </c>
      <c r="Q384" s="2" t="s">
        <v>2512</v>
      </c>
      <c r="R384" s="2" t="s">
        <v>2513</v>
      </c>
      <c r="S384" s="4">
        <v>44837</v>
      </c>
    </row>
    <row r="385" spans="1:19" ht="12.5" hidden="1" x14ac:dyDescent="0.25">
      <c r="A385" s="14" t="str">
        <f>HYPERLINK("https://gerandofalcoes.my.salesforce.com/0014P00003YSp86QAD", "0014P00003YSp86QAD")</f>
        <v>0014P00003YSp86QAD</v>
      </c>
      <c r="B385" s="2" t="s">
        <v>2514</v>
      </c>
      <c r="C385" s="2" t="s">
        <v>1684</v>
      </c>
      <c r="D385" s="2" t="s">
        <v>2</v>
      </c>
      <c r="E385" s="2">
        <v>21</v>
      </c>
      <c r="F385" s="2">
        <v>0</v>
      </c>
      <c r="G385" s="2">
        <v>2</v>
      </c>
      <c r="H385" s="2">
        <v>10000</v>
      </c>
      <c r="I385" s="2">
        <v>100</v>
      </c>
      <c r="J385" s="2" t="s">
        <v>1779</v>
      </c>
      <c r="K385" s="2">
        <v>31</v>
      </c>
      <c r="L385" s="2">
        <v>10</v>
      </c>
      <c r="M385" s="2">
        <v>0</v>
      </c>
      <c r="N385" s="2">
        <v>6</v>
      </c>
      <c r="O385" s="2">
        <v>5</v>
      </c>
      <c r="P385" s="2">
        <v>10</v>
      </c>
      <c r="Q385" s="2" t="s">
        <v>2515</v>
      </c>
      <c r="R385" s="2" t="s">
        <v>2515</v>
      </c>
      <c r="S385" s="4">
        <v>44837</v>
      </c>
    </row>
    <row r="386" spans="1:19" ht="12.5" hidden="1" x14ac:dyDescent="0.25">
      <c r="A386" s="14" t="str">
        <f>HYPERLINK("https://gerandofalcoes.my.salesforce.com/0014X00002VKCseQAH", "0014X00002VKCseQAH")</f>
        <v>0014X00002VKCseQAH</v>
      </c>
      <c r="B386" s="2" t="s">
        <v>2516</v>
      </c>
      <c r="C386" s="2" t="s">
        <v>423</v>
      </c>
      <c r="D386" s="2" t="s">
        <v>2</v>
      </c>
      <c r="E386" s="2">
        <v>21</v>
      </c>
      <c r="F386" s="2">
        <v>0</v>
      </c>
      <c r="G386" s="2">
        <v>4</v>
      </c>
      <c r="H386" s="2">
        <v>6000</v>
      </c>
      <c r="I386" s="2">
        <v>100</v>
      </c>
      <c r="J386" s="2" t="s">
        <v>1779</v>
      </c>
      <c r="K386" s="2">
        <v>35</v>
      </c>
      <c r="L386" s="2">
        <v>10</v>
      </c>
      <c r="M386" s="2">
        <v>0</v>
      </c>
      <c r="N386" s="2">
        <v>10</v>
      </c>
      <c r="O386" s="2">
        <v>5</v>
      </c>
      <c r="P386" s="2">
        <v>10</v>
      </c>
      <c r="Q386" s="2" t="s">
        <v>2517</v>
      </c>
      <c r="R386" s="2" t="s">
        <v>2517</v>
      </c>
      <c r="S386" s="4">
        <v>44837</v>
      </c>
    </row>
    <row r="387" spans="1:19" ht="12.5" hidden="1" x14ac:dyDescent="0.25">
      <c r="A387" s="14" t="str">
        <f>HYPERLINK("https://gerandofalcoes.my.salesforce.com/0014X00002VKCp4QAH", "0014X00002VKCp4QAH")</f>
        <v>0014X00002VKCp4QAH</v>
      </c>
      <c r="B387" s="2" t="s">
        <v>2518</v>
      </c>
      <c r="C387" s="2" t="s">
        <v>1800</v>
      </c>
      <c r="D387" s="2" t="s">
        <v>2</v>
      </c>
      <c r="E387" s="2">
        <v>21</v>
      </c>
      <c r="F387" s="2">
        <v>0</v>
      </c>
      <c r="G387" s="2">
        <v>2</v>
      </c>
      <c r="H387" s="2">
        <v>0</v>
      </c>
      <c r="I387" s="2">
        <v>70</v>
      </c>
      <c r="J387" s="2" t="s">
        <v>1779</v>
      </c>
      <c r="K387" s="2">
        <v>21</v>
      </c>
      <c r="L387" s="2">
        <v>10</v>
      </c>
      <c r="M387" s="2">
        <v>0</v>
      </c>
      <c r="N387" s="2">
        <v>6</v>
      </c>
      <c r="O387" s="2">
        <v>0</v>
      </c>
      <c r="P387" s="2">
        <v>5</v>
      </c>
      <c r="Q387" s="2" t="s">
        <v>2519</v>
      </c>
      <c r="R387" s="2" t="s">
        <v>2520</v>
      </c>
      <c r="S387" s="4">
        <v>44837</v>
      </c>
    </row>
    <row r="388" spans="1:19" ht="12.5" hidden="1" x14ac:dyDescent="0.25">
      <c r="A388" s="14" t="str">
        <f>HYPERLINK("https://gerandofalcoes.my.salesforce.com/0014X00002VKCqOQAX", "0014X00002VKCqOQAX")</f>
        <v>0014X00002VKCqOQAX</v>
      </c>
      <c r="B388" s="2" t="s">
        <v>2521</v>
      </c>
      <c r="C388" s="2" t="s">
        <v>423</v>
      </c>
      <c r="D388" s="2" t="s">
        <v>2</v>
      </c>
      <c r="E388" s="2">
        <v>21</v>
      </c>
      <c r="F388" s="2">
        <v>2</v>
      </c>
      <c r="G388" s="2">
        <v>2</v>
      </c>
      <c r="H388" s="2">
        <v>0</v>
      </c>
      <c r="I388" s="2">
        <v>70</v>
      </c>
      <c r="J388" s="2" t="s">
        <v>1779</v>
      </c>
      <c r="K388" s="2">
        <v>26</v>
      </c>
      <c r="L388" s="2">
        <v>10</v>
      </c>
      <c r="M388" s="2">
        <v>5</v>
      </c>
      <c r="N388" s="2">
        <v>6</v>
      </c>
      <c r="O388" s="2">
        <v>0</v>
      </c>
      <c r="P388" s="2">
        <v>5</v>
      </c>
      <c r="Q388" s="2" t="s">
        <v>2522</v>
      </c>
      <c r="R388" s="2" t="s">
        <v>2522</v>
      </c>
      <c r="S388" s="4">
        <v>44837</v>
      </c>
    </row>
    <row r="389" spans="1:19" ht="12.5" hidden="1" x14ac:dyDescent="0.25">
      <c r="A389" s="14" t="str">
        <f>HYPERLINK("https://gerandofalcoes.my.salesforce.com/0014X00002VKCpIQAX", "0014X00002VKCpIQAX")</f>
        <v>0014X00002VKCpIQAX</v>
      </c>
      <c r="B389" s="2" t="s">
        <v>2523</v>
      </c>
      <c r="C389" s="2" t="s">
        <v>423</v>
      </c>
      <c r="D389" s="2" t="s">
        <v>2</v>
      </c>
      <c r="E389" s="2">
        <v>21</v>
      </c>
      <c r="F389" s="2">
        <v>0</v>
      </c>
      <c r="G389" s="2">
        <v>4</v>
      </c>
      <c r="H389" s="2">
        <v>300</v>
      </c>
      <c r="I389" s="2">
        <v>50</v>
      </c>
      <c r="J389" s="2" t="s">
        <v>1779</v>
      </c>
      <c r="K389" s="2">
        <v>30</v>
      </c>
      <c r="L389" s="2">
        <v>10</v>
      </c>
      <c r="M389" s="2">
        <v>0</v>
      </c>
      <c r="N389" s="2">
        <v>10</v>
      </c>
      <c r="O389" s="2">
        <v>5</v>
      </c>
      <c r="P389" s="2">
        <v>5</v>
      </c>
      <c r="Q389" s="2" t="s">
        <v>2524</v>
      </c>
      <c r="R389" s="2" t="s">
        <v>2525</v>
      </c>
      <c r="S389" s="4">
        <v>44837</v>
      </c>
    </row>
    <row r="390" spans="1:19" ht="12.5" hidden="1" x14ac:dyDescent="0.25">
      <c r="A390" s="14" t="str">
        <f>HYPERLINK("https://gerandofalcoes.my.salesforce.com/0014P00003YSp8XQAT", "0014P00003YSp8XQAT")</f>
        <v>0014P00003YSp8XQAT</v>
      </c>
      <c r="B390" s="2" t="s">
        <v>2526</v>
      </c>
      <c r="C390" s="2" t="s">
        <v>423</v>
      </c>
      <c r="D390" s="2" t="s">
        <v>2</v>
      </c>
      <c r="E390" s="2">
        <v>21</v>
      </c>
      <c r="F390" s="2">
        <v>0</v>
      </c>
      <c r="G390" s="2">
        <v>1</v>
      </c>
      <c r="H390" s="2">
        <v>250</v>
      </c>
      <c r="I390" s="2">
        <v>50</v>
      </c>
      <c r="J390" s="2" t="s">
        <v>1779</v>
      </c>
      <c r="K390" s="2">
        <v>24</v>
      </c>
      <c r="L390" s="2">
        <v>10</v>
      </c>
      <c r="M390" s="2">
        <v>0</v>
      </c>
      <c r="N390" s="2">
        <v>4</v>
      </c>
      <c r="O390" s="2">
        <v>5</v>
      </c>
      <c r="P390" s="2">
        <v>5</v>
      </c>
      <c r="Q390" s="2" t="s">
        <v>2527</v>
      </c>
      <c r="R390" s="2" t="s">
        <v>2528</v>
      </c>
      <c r="S390" s="4">
        <v>44837</v>
      </c>
    </row>
    <row r="391" spans="1:19" ht="12.5" hidden="1" x14ac:dyDescent="0.25">
      <c r="A391" s="14" t="str">
        <f>HYPERLINK("https://gerandofalcoes.my.salesforce.com/0014X00002VKCtRQAX", "0014X00002VKCtRQAX")</f>
        <v>0014X00002VKCtRQAX</v>
      </c>
      <c r="B391" s="2" t="s">
        <v>2529</v>
      </c>
      <c r="C391" s="2" t="s">
        <v>1800</v>
      </c>
      <c r="D391" s="2" t="s">
        <v>2</v>
      </c>
      <c r="E391" s="2">
        <v>21</v>
      </c>
      <c r="F391" s="2">
        <v>1</v>
      </c>
      <c r="G391" s="2">
        <v>6</v>
      </c>
      <c r="H391" s="2">
        <v>300</v>
      </c>
      <c r="I391" s="2">
        <v>30</v>
      </c>
      <c r="J391" s="2" t="s">
        <v>1779</v>
      </c>
      <c r="K391" s="2">
        <v>35</v>
      </c>
      <c r="L391" s="2">
        <v>10</v>
      </c>
      <c r="M391" s="2">
        <v>5</v>
      </c>
      <c r="N391" s="2">
        <v>10</v>
      </c>
      <c r="O391" s="2">
        <v>5</v>
      </c>
      <c r="P391" s="2">
        <v>5</v>
      </c>
      <c r="Q391" s="2" t="s">
        <v>2530</v>
      </c>
      <c r="R391" s="2" t="s">
        <v>2530</v>
      </c>
      <c r="S391" s="4">
        <v>44837</v>
      </c>
    </row>
    <row r="392" spans="1:19" ht="12.5" hidden="1" x14ac:dyDescent="0.25">
      <c r="A392" s="14" t="str">
        <f>HYPERLINK("https://gerandofalcoes.my.salesforce.com/0014X00002VKCt6QAH", "0014X00002VKCt6QAH")</f>
        <v>0014X00002VKCt6QAH</v>
      </c>
      <c r="B392" s="2" t="s">
        <v>2531</v>
      </c>
      <c r="C392" s="2" t="s">
        <v>1800</v>
      </c>
      <c r="D392" s="2" t="s">
        <v>2</v>
      </c>
      <c r="E392" s="2">
        <v>21</v>
      </c>
      <c r="F392" s="2">
        <v>15</v>
      </c>
      <c r="G392" s="2">
        <v>3</v>
      </c>
      <c r="H392" s="2">
        <v>4500</v>
      </c>
      <c r="I392" s="2">
        <v>10</v>
      </c>
      <c r="J392" s="2" t="s">
        <v>1671</v>
      </c>
      <c r="K392" s="2">
        <v>40</v>
      </c>
      <c r="L392" s="2">
        <v>10</v>
      </c>
      <c r="M392" s="2">
        <v>12</v>
      </c>
      <c r="N392" s="2">
        <v>8</v>
      </c>
      <c r="O392" s="2">
        <v>5</v>
      </c>
      <c r="P392" s="2">
        <v>5</v>
      </c>
      <c r="Q392" s="2" t="s">
        <v>2532</v>
      </c>
      <c r="R392" s="2" t="s">
        <v>2533</v>
      </c>
      <c r="S392" s="4">
        <v>44837</v>
      </c>
    </row>
    <row r="393" spans="1:19" ht="12.5" hidden="1" x14ac:dyDescent="0.25">
      <c r="A393" s="14" t="str">
        <f>HYPERLINK("https://gerandofalcoes.my.salesforce.com/0014X00002VKCrCQAX", "0014X00002VKCrCQAX")</f>
        <v>0014X00002VKCrCQAX</v>
      </c>
      <c r="B393" s="2" t="s">
        <v>2534</v>
      </c>
      <c r="C393" s="2" t="s">
        <v>1684</v>
      </c>
      <c r="D393" s="2" t="s">
        <v>2</v>
      </c>
      <c r="E393" s="2">
        <v>21</v>
      </c>
      <c r="F393" s="2">
        <v>0</v>
      </c>
      <c r="G393" s="2">
        <v>2</v>
      </c>
      <c r="H393" s="2">
        <v>12000</v>
      </c>
      <c r="I393" s="2">
        <v>0</v>
      </c>
      <c r="J393" s="2" t="s">
        <v>1779</v>
      </c>
      <c r="K393" s="2">
        <v>21</v>
      </c>
      <c r="L393" s="2">
        <v>10</v>
      </c>
      <c r="M393" s="2">
        <v>0</v>
      </c>
      <c r="N393" s="2">
        <v>6</v>
      </c>
      <c r="O393" s="2">
        <v>5</v>
      </c>
      <c r="P393" s="2">
        <v>0</v>
      </c>
      <c r="Q393" s="2" t="s">
        <v>2535</v>
      </c>
      <c r="R393" s="2" t="s">
        <v>2535</v>
      </c>
      <c r="S393" s="4">
        <v>44837</v>
      </c>
    </row>
    <row r="394" spans="1:19" ht="12.5" hidden="1" x14ac:dyDescent="0.25">
      <c r="A394" s="14" t="str">
        <f>HYPERLINK("https://gerandofalcoes.my.salesforce.com/0014P00003YSp8yQAD", "0014P00003YSp8yQAD")</f>
        <v>0014P00003YSp8yQAD</v>
      </c>
      <c r="B394" s="2" t="s">
        <v>2536</v>
      </c>
      <c r="C394" s="2" t="s">
        <v>1800</v>
      </c>
      <c r="D394" s="2" t="s">
        <v>2</v>
      </c>
      <c r="E394" s="2">
        <v>21</v>
      </c>
      <c r="F394" s="2">
        <v>2</v>
      </c>
      <c r="G394" s="2">
        <v>2</v>
      </c>
      <c r="H394" s="2">
        <v>0</v>
      </c>
      <c r="I394" s="2">
        <v>0</v>
      </c>
      <c r="J394" s="2" t="s">
        <v>1779</v>
      </c>
      <c r="K394" s="2">
        <v>21</v>
      </c>
      <c r="L394" s="2">
        <v>10</v>
      </c>
      <c r="M394" s="2">
        <v>5</v>
      </c>
      <c r="N394" s="2">
        <v>6</v>
      </c>
      <c r="O394" s="2">
        <v>0</v>
      </c>
      <c r="P394" s="2">
        <v>0</v>
      </c>
      <c r="Q394" s="2" t="s">
        <v>2537</v>
      </c>
      <c r="R394" s="2" t="s">
        <v>2538</v>
      </c>
      <c r="S394" s="4">
        <v>44837</v>
      </c>
    </row>
    <row r="395" spans="1:19" ht="12.5" hidden="1" x14ac:dyDescent="0.25">
      <c r="A395" s="14" t="str">
        <f>HYPERLINK("https://gerandofalcoes.my.salesforce.com/0014P00003YSp9DQAT", "0014P00003YSp9DQAT")</f>
        <v>0014P00003YSp9DQAT</v>
      </c>
      <c r="B395" s="2" t="s">
        <v>2539</v>
      </c>
      <c r="C395" s="2" t="s">
        <v>1684</v>
      </c>
      <c r="D395" s="2" t="s">
        <v>2</v>
      </c>
      <c r="E395" s="2">
        <v>21</v>
      </c>
      <c r="F395" s="2">
        <v>1</v>
      </c>
      <c r="G395" s="2">
        <v>0</v>
      </c>
      <c r="H395" s="2">
        <v>0</v>
      </c>
      <c r="I395" s="2">
        <v>0</v>
      </c>
      <c r="J395" s="2" t="s">
        <v>1779</v>
      </c>
      <c r="K395" s="2">
        <v>15</v>
      </c>
      <c r="L395" s="2">
        <v>10</v>
      </c>
      <c r="M395" s="2">
        <v>5</v>
      </c>
      <c r="N395" s="2">
        <v>0</v>
      </c>
      <c r="O395" s="2">
        <v>0</v>
      </c>
      <c r="P395" s="2">
        <v>0</v>
      </c>
      <c r="Q395" s="2" t="s">
        <v>2540</v>
      </c>
      <c r="R395" s="2" t="s">
        <v>2540</v>
      </c>
      <c r="S395" s="4">
        <v>44837</v>
      </c>
    </row>
    <row r="396" spans="1:19" ht="12.5" hidden="1" x14ac:dyDescent="0.25">
      <c r="A396" s="14" t="str">
        <f>HYPERLINK("https://gerandofalcoes.my.salesforce.com/0014P00003AN2FiQAL", "0014P00003AN2FiQAL")</f>
        <v>0014P00003AN2FiQAL</v>
      </c>
      <c r="B396" s="2" t="s">
        <v>2541</v>
      </c>
      <c r="C396" s="2" t="s">
        <v>423</v>
      </c>
      <c r="D396" s="2" t="s">
        <v>2</v>
      </c>
      <c r="E396" s="2">
        <v>20.92</v>
      </c>
      <c r="F396" s="2">
        <v>2</v>
      </c>
      <c r="G396" s="2">
        <v>3</v>
      </c>
      <c r="H396" s="2">
        <v>230600</v>
      </c>
      <c r="I396" s="2">
        <v>170</v>
      </c>
      <c r="J396" s="2" t="s">
        <v>1671</v>
      </c>
      <c r="K396" s="2">
        <v>50</v>
      </c>
      <c r="L396" s="2">
        <v>10</v>
      </c>
      <c r="M396" s="2">
        <v>5</v>
      </c>
      <c r="N396" s="2">
        <v>8</v>
      </c>
      <c r="O396" s="2">
        <v>15</v>
      </c>
      <c r="P396" s="2">
        <v>12</v>
      </c>
      <c r="Q396" s="2" t="s">
        <v>2542</v>
      </c>
      <c r="R396" s="2" t="s">
        <v>2542</v>
      </c>
      <c r="S396" s="4">
        <v>44837</v>
      </c>
    </row>
    <row r="397" spans="1:19" ht="12.5" hidden="1" x14ac:dyDescent="0.25">
      <c r="A397" s="14" t="str">
        <f>HYPERLINK("https://gerandofalcoes.my.salesforce.com/0014X00002VKCqtQAH", "0014X00002VKCqtQAH")</f>
        <v>0014X00002VKCqtQAH</v>
      </c>
      <c r="B397" s="2" t="s">
        <v>2543</v>
      </c>
      <c r="C397" s="2" t="s">
        <v>423</v>
      </c>
      <c r="D397" s="2" t="s">
        <v>2</v>
      </c>
      <c r="E397" s="2">
        <v>20.38</v>
      </c>
      <c r="F397" s="2">
        <v>0</v>
      </c>
      <c r="G397" s="2">
        <v>1</v>
      </c>
      <c r="H397" s="2">
        <v>5</v>
      </c>
      <c r="I397" s="2">
        <v>105</v>
      </c>
      <c r="J397" s="2" t="s">
        <v>1779</v>
      </c>
      <c r="K397" s="2">
        <v>29</v>
      </c>
      <c r="L397" s="2">
        <v>10</v>
      </c>
      <c r="M397" s="2">
        <v>0</v>
      </c>
      <c r="N397" s="2">
        <v>4</v>
      </c>
      <c r="O397" s="2">
        <v>5</v>
      </c>
      <c r="P397" s="2">
        <v>10</v>
      </c>
      <c r="Q397" s="2" t="s">
        <v>2544</v>
      </c>
      <c r="R397" s="2" t="s">
        <v>2545</v>
      </c>
      <c r="S397" s="4">
        <v>44837</v>
      </c>
    </row>
    <row r="398" spans="1:19" ht="12.5" hidden="1" x14ac:dyDescent="0.25">
      <c r="A398" s="14" t="str">
        <f>HYPERLINK("https://gerandofalcoes.my.salesforce.com/0014P00003YSp7VQAT", "0014P00003YSp7VQAT")</f>
        <v>0014P00003YSp7VQAT</v>
      </c>
      <c r="B398" s="2" t="s">
        <v>2546</v>
      </c>
      <c r="C398" s="2" t="s">
        <v>423</v>
      </c>
      <c r="D398" s="2" t="s">
        <v>2</v>
      </c>
      <c r="E398" s="2">
        <v>20.14</v>
      </c>
      <c r="F398" s="2">
        <v>0</v>
      </c>
      <c r="G398" s="2">
        <v>2</v>
      </c>
      <c r="H398" s="2">
        <v>12700</v>
      </c>
      <c r="I398" s="2">
        <v>50</v>
      </c>
      <c r="J398" s="2" t="s">
        <v>1779</v>
      </c>
      <c r="K398" s="2">
        <v>26</v>
      </c>
      <c r="L398" s="2">
        <v>10</v>
      </c>
      <c r="M398" s="2">
        <v>0</v>
      </c>
      <c r="N398" s="2">
        <v>6</v>
      </c>
      <c r="O398" s="2">
        <v>5</v>
      </c>
      <c r="P398" s="2">
        <v>5</v>
      </c>
      <c r="Q398" s="2" t="s">
        <v>2547</v>
      </c>
      <c r="R398" s="2" t="s">
        <v>2548</v>
      </c>
      <c r="S398" s="4">
        <v>44837</v>
      </c>
    </row>
    <row r="399" spans="1:19" ht="12.5" hidden="1" x14ac:dyDescent="0.25">
      <c r="A399" s="14" t="str">
        <f>HYPERLINK("https://gerandofalcoes.my.salesforce.com/0014X00002VKCowQAH", "0014X00002VKCowQAH")</f>
        <v>0014X00002VKCowQAH</v>
      </c>
      <c r="B399" s="2" t="s">
        <v>2549</v>
      </c>
      <c r="C399" s="2" t="s">
        <v>423</v>
      </c>
      <c r="D399" s="2" t="s">
        <v>2</v>
      </c>
      <c r="E399" s="2">
        <v>20.059999999999999</v>
      </c>
      <c r="F399" s="2">
        <v>0</v>
      </c>
      <c r="G399" s="2">
        <v>0</v>
      </c>
      <c r="H399" s="2">
        <v>0</v>
      </c>
      <c r="I399" s="2">
        <v>100</v>
      </c>
      <c r="J399" s="2" t="s">
        <v>1779</v>
      </c>
      <c r="K399" s="2">
        <v>20</v>
      </c>
      <c r="L399" s="2">
        <v>10</v>
      </c>
      <c r="M399" s="2">
        <v>0</v>
      </c>
      <c r="N399" s="2">
        <v>0</v>
      </c>
      <c r="O399" s="2">
        <v>0</v>
      </c>
      <c r="P399" s="2">
        <v>10</v>
      </c>
      <c r="Q399" s="2" t="s">
        <v>2550</v>
      </c>
      <c r="R399" s="2" t="s">
        <v>2550</v>
      </c>
      <c r="S399" s="4">
        <v>44837</v>
      </c>
    </row>
    <row r="400" spans="1:19" ht="12.5" hidden="1" x14ac:dyDescent="0.25">
      <c r="A400" s="14" t="str">
        <f>HYPERLINK("https://gerandofalcoes.my.salesforce.com/0014X00002VKCpxQAH", "0014X00002VKCpxQAH")</f>
        <v>0014X00002VKCpxQAH</v>
      </c>
      <c r="B400" s="2" t="s">
        <v>2551</v>
      </c>
      <c r="C400" s="2" t="s">
        <v>1800</v>
      </c>
      <c r="D400" s="2" t="s">
        <v>2</v>
      </c>
      <c r="E400" s="2">
        <v>20</v>
      </c>
      <c r="F400" s="2">
        <v>5</v>
      </c>
      <c r="G400" s="2">
        <v>7</v>
      </c>
      <c r="H400" s="2">
        <v>21530</v>
      </c>
      <c r="I400" s="2">
        <v>387</v>
      </c>
      <c r="J400" s="2" t="s">
        <v>1671</v>
      </c>
      <c r="K400" s="2">
        <v>45</v>
      </c>
      <c r="L400" s="2">
        <v>10</v>
      </c>
      <c r="M400" s="2">
        <v>5</v>
      </c>
      <c r="N400" s="2">
        <v>10</v>
      </c>
      <c r="O400" s="2">
        <v>5</v>
      </c>
      <c r="P400" s="2">
        <v>15</v>
      </c>
      <c r="Q400" s="2" t="s">
        <v>2552</v>
      </c>
      <c r="R400" s="2" t="s">
        <v>2553</v>
      </c>
      <c r="S400" s="4">
        <v>44837</v>
      </c>
    </row>
    <row r="401" spans="1:19" ht="12.5" hidden="1" x14ac:dyDescent="0.25">
      <c r="A401" s="14" t="str">
        <f>HYPERLINK("https://gerandofalcoes.my.salesforce.com/0014P00003AN2FfQAL", "0014P00003AN2FfQAL")</f>
        <v>0014P00003AN2FfQAL</v>
      </c>
      <c r="B401" s="2" t="s">
        <v>105</v>
      </c>
      <c r="C401" s="2" t="s">
        <v>423</v>
      </c>
      <c r="D401" s="2" t="s">
        <v>2</v>
      </c>
      <c r="E401" s="2">
        <v>20</v>
      </c>
      <c r="F401" s="2">
        <v>0</v>
      </c>
      <c r="G401" s="2">
        <v>1</v>
      </c>
      <c r="H401" s="2">
        <v>10000</v>
      </c>
      <c r="I401" s="2">
        <v>120</v>
      </c>
      <c r="J401" s="2" t="s">
        <v>1779</v>
      </c>
      <c r="K401" s="2">
        <v>29</v>
      </c>
      <c r="L401" s="2">
        <v>10</v>
      </c>
      <c r="M401" s="2">
        <v>0</v>
      </c>
      <c r="N401" s="2">
        <v>4</v>
      </c>
      <c r="O401" s="2">
        <v>5</v>
      </c>
      <c r="P401" s="2">
        <v>10</v>
      </c>
      <c r="Q401" s="2" t="s">
        <v>2554</v>
      </c>
      <c r="R401" s="2" t="s">
        <v>2554</v>
      </c>
      <c r="S401" s="4">
        <v>44837</v>
      </c>
    </row>
    <row r="402" spans="1:19" ht="12.5" hidden="1" x14ac:dyDescent="0.25">
      <c r="A402" s="14" t="str">
        <f>HYPERLINK("https://gerandofalcoes.my.salesforce.com/0014X00002VKCpmQAH", "0014X00002VKCpmQAH")</f>
        <v>0014X00002VKCpmQAH</v>
      </c>
      <c r="B402" s="2" t="s">
        <v>2555</v>
      </c>
      <c r="C402" s="2" t="s">
        <v>1800</v>
      </c>
      <c r="D402" s="2" t="s">
        <v>2</v>
      </c>
      <c r="E402" s="2">
        <v>20</v>
      </c>
      <c r="F402" s="2">
        <v>0</v>
      </c>
      <c r="G402" s="2">
        <v>3</v>
      </c>
      <c r="H402" s="2">
        <v>7000</v>
      </c>
      <c r="I402" s="2">
        <v>80</v>
      </c>
      <c r="J402" s="2" t="s">
        <v>1779</v>
      </c>
      <c r="K402" s="2">
        <v>33</v>
      </c>
      <c r="L402" s="2">
        <v>10</v>
      </c>
      <c r="M402" s="2">
        <v>0</v>
      </c>
      <c r="N402" s="2">
        <v>8</v>
      </c>
      <c r="O402" s="2">
        <v>5</v>
      </c>
      <c r="P402" s="2">
        <v>10</v>
      </c>
      <c r="Q402" s="2" t="s">
        <v>2556</v>
      </c>
      <c r="R402" s="2" t="s">
        <v>2556</v>
      </c>
      <c r="S402" s="4">
        <v>44837</v>
      </c>
    </row>
    <row r="403" spans="1:19" ht="12.5" hidden="1" x14ac:dyDescent="0.25">
      <c r="A403" s="14" t="str">
        <f>HYPERLINK("https://gerandofalcoes.my.salesforce.com/0014X00002VKCtzQAH", "0014X00002VKCtzQAH")</f>
        <v>0014X00002VKCtzQAH</v>
      </c>
      <c r="B403" s="2" t="s">
        <v>2557</v>
      </c>
      <c r="C403" s="2" t="s">
        <v>423</v>
      </c>
      <c r="D403" s="2" t="s">
        <v>2</v>
      </c>
      <c r="E403" s="2">
        <v>20</v>
      </c>
      <c r="F403" s="2">
        <v>0</v>
      </c>
      <c r="G403" s="2">
        <v>2</v>
      </c>
      <c r="H403" s="2">
        <v>55000</v>
      </c>
      <c r="I403" s="2">
        <v>50</v>
      </c>
      <c r="J403" s="2" t="s">
        <v>1779</v>
      </c>
      <c r="K403" s="2">
        <v>31</v>
      </c>
      <c r="L403" s="2">
        <v>10</v>
      </c>
      <c r="M403" s="2">
        <v>0</v>
      </c>
      <c r="N403" s="2">
        <v>6</v>
      </c>
      <c r="O403" s="2">
        <v>10</v>
      </c>
      <c r="P403" s="2">
        <v>5</v>
      </c>
      <c r="Q403" s="2" t="s">
        <v>2558</v>
      </c>
      <c r="R403" s="2" t="s">
        <v>2558</v>
      </c>
      <c r="S403" s="4">
        <v>44837</v>
      </c>
    </row>
    <row r="404" spans="1:19" ht="12.5" hidden="1" x14ac:dyDescent="0.25">
      <c r="A404" s="14" t="str">
        <f>HYPERLINK("https://gerandofalcoes.my.salesforce.com/0014P00003YSp9gQAD", "0014P00003YSp9gQAD")</f>
        <v>0014P00003YSp9gQAD</v>
      </c>
      <c r="B404" s="2" t="s">
        <v>2559</v>
      </c>
      <c r="C404" s="2" t="s">
        <v>1800</v>
      </c>
      <c r="D404" s="2" t="s">
        <v>2</v>
      </c>
      <c r="E404" s="2">
        <v>20</v>
      </c>
      <c r="F404" s="2">
        <v>5</v>
      </c>
      <c r="G404" s="2">
        <v>2</v>
      </c>
      <c r="H404" s="2">
        <v>2000</v>
      </c>
      <c r="I404" s="2">
        <v>50</v>
      </c>
      <c r="J404" s="2" t="s">
        <v>1779</v>
      </c>
      <c r="K404" s="2">
        <v>31</v>
      </c>
      <c r="L404" s="2">
        <v>10</v>
      </c>
      <c r="M404" s="2">
        <v>5</v>
      </c>
      <c r="N404" s="2">
        <v>6</v>
      </c>
      <c r="O404" s="2">
        <v>5</v>
      </c>
      <c r="P404" s="2">
        <v>5</v>
      </c>
      <c r="Q404" s="2" t="s">
        <v>2560</v>
      </c>
      <c r="R404" s="2" t="s">
        <v>2561</v>
      </c>
      <c r="S404" s="4">
        <v>44837</v>
      </c>
    </row>
    <row r="405" spans="1:19" ht="12.5" hidden="1" x14ac:dyDescent="0.25">
      <c r="A405" s="14" t="str">
        <f>HYPERLINK("https://gerandofalcoes.my.salesforce.com/0014P00003SGWPgQAP", "0014P00003SGWPgQAP")</f>
        <v>0014P00003SGWPgQAP</v>
      </c>
      <c r="B405" s="2" t="s">
        <v>298</v>
      </c>
      <c r="C405" s="2" t="s">
        <v>1684</v>
      </c>
      <c r="D405" s="2" t="s">
        <v>2</v>
      </c>
      <c r="E405" s="2">
        <v>20</v>
      </c>
      <c r="F405" s="2">
        <v>4</v>
      </c>
      <c r="G405" s="2">
        <v>0</v>
      </c>
      <c r="H405" s="2">
        <v>11000</v>
      </c>
      <c r="I405" s="2">
        <v>20</v>
      </c>
      <c r="J405" s="2" t="s">
        <v>1779</v>
      </c>
      <c r="K405" s="2">
        <v>25</v>
      </c>
      <c r="L405" s="2">
        <v>10</v>
      </c>
      <c r="M405" s="2">
        <v>5</v>
      </c>
      <c r="N405" s="2">
        <v>0</v>
      </c>
      <c r="O405" s="2">
        <v>5</v>
      </c>
      <c r="P405" s="2">
        <v>5</v>
      </c>
      <c r="Q405" s="2" t="s">
        <v>299</v>
      </c>
      <c r="R405" s="2" t="s">
        <v>1310</v>
      </c>
      <c r="S405" s="4">
        <v>44837</v>
      </c>
    </row>
    <row r="406" spans="1:19" ht="12.5" hidden="1" x14ac:dyDescent="0.25">
      <c r="A406" s="14" t="str">
        <f>HYPERLINK("https://gerandofalcoes.my.salesforce.com/0014X00002VKCrKQAX", "0014X00002VKCrKQAX")</f>
        <v>0014X00002VKCrKQAX</v>
      </c>
      <c r="B406" s="2" t="s">
        <v>2562</v>
      </c>
      <c r="C406" s="2" t="s">
        <v>1800</v>
      </c>
      <c r="D406" s="2" t="s">
        <v>2</v>
      </c>
      <c r="E406" s="2">
        <v>20</v>
      </c>
      <c r="F406" s="2">
        <v>7</v>
      </c>
      <c r="G406" s="2">
        <v>5</v>
      </c>
      <c r="H406" s="2">
        <v>2000</v>
      </c>
      <c r="I406" s="2">
        <v>20</v>
      </c>
      <c r="J406" s="2" t="s">
        <v>1671</v>
      </c>
      <c r="K406" s="2">
        <v>40</v>
      </c>
      <c r="L406" s="2">
        <v>10</v>
      </c>
      <c r="M406" s="2">
        <v>10</v>
      </c>
      <c r="N406" s="2">
        <v>10</v>
      </c>
      <c r="O406" s="2">
        <v>5</v>
      </c>
      <c r="P406" s="2">
        <v>5</v>
      </c>
      <c r="Q406" s="2" t="s">
        <v>2563</v>
      </c>
      <c r="R406" s="2" t="s">
        <v>2564</v>
      </c>
      <c r="S406" s="4">
        <v>44837</v>
      </c>
    </row>
    <row r="407" spans="1:19" ht="12.5" hidden="1" x14ac:dyDescent="0.25">
      <c r="A407" s="14" t="str">
        <f>HYPERLINK("https://gerandofalcoes.my.salesforce.com/0014X00002VKCpXQAX", "0014X00002VKCpXQAX")</f>
        <v>0014X00002VKCpXQAX</v>
      </c>
      <c r="B407" s="2" t="s">
        <v>2565</v>
      </c>
      <c r="C407" s="2" t="s">
        <v>1800</v>
      </c>
      <c r="D407" s="2" t="s">
        <v>2</v>
      </c>
      <c r="E407" s="2">
        <v>20</v>
      </c>
      <c r="F407" s="2">
        <v>6</v>
      </c>
      <c r="G407" s="2">
        <v>4</v>
      </c>
      <c r="H407" s="2">
        <v>0</v>
      </c>
      <c r="I407" s="2">
        <v>0</v>
      </c>
      <c r="J407" s="2" t="s">
        <v>1779</v>
      </c>
      <c r="K407" s="2">
        <v>30</v>
      </c>
      <c r="L407" s="2">
        <v>10</v>
      </c>
      <c r="M407" s="2">
        <v>10</v>
      </c>
      <c r="N407" s="2">
        <v>10</v>
      </c>
      <c r="O407" s="2">
        <v>0</v>
      </c>
      <c r="P407" s="2">
        <v>0</v>
      </c>
      <c r="Q407" s="2" t="s">
        <v>2566</v>
      </c>
      <c r="R407" s="2" t="s">
        <v>2567</v>
      </c>
      <c r="S407" s="4">
        <v>44837</v>
      </c>
    </row>
    <row r="408" spans="1:19" ht="12.5" hidden="1" x14ac:dyDescent="0.25">
      <c r="A408" s="14" t="str">
        <f>HYPERLINK("https://gerandofalcoes.my.salesforce.com/0014X00002VKCv7QAH", "0014X00002VKCv7QAH")</f>
        <v>0014X00002VKCv7QAH</v>
      </c>
      <c r="B408" s="2" t="s">
        <v>2568</v>
      </c>
      <c r="C408" s="2" t="s">
        <v>1800</v>
      </c>
      <c r="D408" s="2" t="s">
        <v>2</v>
      </c>
      <c r="E408" s="2">
        <v>20</v>
      </c>
      <c r="F408" s="2">
        <v>0</v>
      </c>
      <c r="G408" s="2">
        <v>3</v>
      </c>
      <c r="H408" s="2">
        <v>2000</v>
      </c>
      <c r="I408" s="2">
        <v>0</v>
      </c>
      <c r="J408" s="2" t="s">
        <v>1779</v>
      </c>
      <c r="K408" s="2">
        <v>23</v>
      </c>
      <c r="L408" s="2">
        <v>10</v>
      </c>
      <c r="M408" s="2">
        <v>0</v>
      </c>
      <c r="N408" s="2">
        <v>8</v>
      </c>
      <c r="O408" s="2">
        <v>5</v>
      </c>
      <c r="P408" s="2">
        <v>0</v>
      </c>
      <c r="Q408" s="2" t="s">
        <v>2569</v>
      </c>
      <c r="R408" s="2" t="s">
        <v>2570</v>
      </c>
      <c r="S408" s="4">
        <v>44837</v>
      </c>
    </row>
    <row r="409" spans="1:19" ht="12.5" hidden="1" x14ac:dyDescent="0.25">
      <c r="A409" s="14" t="str">
        <f>HYPERLINK("https://gerandofalcoes.my.salesforce.com/0014X00002VKCtmQAH", "0014X00002VKCtmQAH")</f>
        <v>0014X00002VKCtmQAH</v>
      </c>
      <c r="B409" s="2" t="s">
        <v>2571</v>
      </c>
      <c r="C409" s="2" t="s">
        <v>1800</v>
      </c>
      <c r="D409" s="2" t="s">
        <v>2</v>
      </c>
      <c r="E409" s="2">
        <v>20</v>
      </c>
      <c r="F409" s="2">
        <v>0</v>
      </c>
      <c r="G409" s="2">
        <v>2</v>
      </c>
      <c r="H409" s="2">
        <v>30000</v>
      </c>
      <c r="I409" s="2">
        <v>0</v>
      </c>
      <c r="J409" s="2" t="s">
        <v>1779</v>
      </c>
      <c r="K409" s="2">
        <v>26</v>
      </c>
      <c r="L409" s="2">
        <v>10</v>
      </c>
      <c r="M409" s="2">
        <v>0</v>
      </c>
      <c r="N409" s="2">
        <v>6</v>
      </c>
      <c r="O409" s="2">
        <v>10</v>
      </c>
      <c r="P409" s="2">
        <v>0</v>
      </c>
      <c r="Q409" s="2" t="s">
        <v>2572</v>
      </c>
      <c r="R409" s="2" t="s">
        <v>2572</v>
      </c>
      <c r="S409" s="4">
        <v>44837</v>
      </c>
    </row>
    <row r="410" spans="1:19" ht="12.5" hidden="1" x14ac:dyDescent="0.25">
      <c r="A410" s="14" t="str">
        <f>HYPERLINK("https://gerandofalcoes.my.salesforce.com/0014P00003YSp9lQAD", "0014P00003YSp9lQAD")</f>
        <v>0014P00003YSp9lQAD</v>
      </c>
      <c r="B410" s="2" t="s">
        <v>2573</v>
      </c>
      <c r="C410" s="2" t="s">
        <v>423</v>
      </c>
      <c r="D410" s="2" t="s">
        <v>2</v>
      </c>
      <c r="E410" s="2">
        <v>20</v>
      </c>
      <c r="F410" s="2">
        <v>8</v>
      </c>
      <c r="G410" s="2">
        <v>2</v>
      </c>
      <c r="H410" s="2">
        <v>12000</v>
      </c>
      <c r="I410" s="2">
        <v>0</v>
      </c>
      <c r="J410" s="2" t="s">
        <v>1779</v>
      </c>
      <c r="K410" s="2">
        <v>31</v>
      </c>
      <c r="L410" s="2">
        <v>10</v>
      </c>
      <c r="M410" s="2">
        <v>10</v>
      </c>
      <c r="N410" s="2">
        <v>6</v>
      </c>
      <c r="O410" s="2">
        <v>5</v>
      </c>
      <c r="P410" s="2">
        <v>0</v>
      </c>
      <c r="Q410" s="2" t="s">
        <v>2574</v>
      </c>
      <c r="R410" s="2" t="s">
        <v>2575</v>
      </c>
      <c r="S410" s="4">
        <v>44837</v>
      </c>
    </row>
    <row r="411" spans="1:19" ht="12.5" hidden="1" x14ac:dyDescent="0.25">
      <c r="A411" s="14" t="str">
        <f>HYPERLINK("https://gerandofalcoes.my.salesforce.com/0014X00002VKCsjQAH", "0014X00002VKCsjQAH")</f>
        <v>0014X00002VKCsjQAH</v>
      </c>
      <c r="B411" s="2" t="s">
        <v>2576</v>
      </c>
      <c r="C411" s="2" t="s">
        <v>423</v>
      </c>
      <c r="D411" s="2" t="s">
        <v>2</v>
      </c>
      <c r="E411" s="2">
        <v>19.98</v>
      </c>
      <c r="F411" s="2">
        <v>0</v>
      </c>
      <c r="G411" s="2">
        <v>1</v>
      </c>
      <c r="H411" s="2">
        <v>1251382</v>
      </c>
      <c r="I411" s="2">
        <v>0</v>
      </c>
      <c r="J411" s="2" t="s">
        <v>1779</v>
      </c>
      <c r="K411" s="2">
        <v>39</v>
      </c>
      <c r="L411" s="2">
        <v>10</v>
      </c>
      <c r="M411" s="2">
        <v>0</v>
      </c>
      <c r="N411" s="2">
        <v>4</v>
      </c>
      <c r="O411" s="2">
        <v>25</v>
      </c>
      <c r="P411" s="2">
        <v>0</v>
      </c>
      <c r="Q411" s="2" t="s">
        <v>2577</v>
      </c>
      <c r="R411" s="2" t="s">
        <v>2578</v>
      </c>
      <c r="S411" s="4">
        <v>44837</v>
      </c>
    </row>
    <row r="412" spans="1:19" ht="12.5" hidden="1" x14ac:dyDescent="0.25">
      <c r="A412" s="14" t="str">
        <f>HYPERLINK("https://gerandofalcoes.my.salesforce.com/0014X00002VKCrtQAH", "0014X00002VKCrtQAH")</f>
        <v>0014X00002VKCrtQAH</v>
      </c>
      <c r="B412" s="2" t="s">
        <v>2579</v>
      </c>
      <c r="C412" s="2" t="s">
        <v>423</v>
      </c>
      <c r="D412" s="2" t="s">
        <v>2</v>
      </c>
      <c r="E412" s="2">
        <v>19.850000000000001</v>
      </c>
      <c r="F412" s="2">
        <v>0</v>
      </c>
      <c r="G412" s="2">
        <v>2</v>
      </c>
      <c r="H412" s="2">
        <v>6000</v>
      </c>
      <c r="I412" s="2">
        <v>33</v>
      </c>
      <c r="J412" s="2" t="s">
        <v>1779</v>
      </c>
      <c r="K412" s="2">
        <v>26</v>
      </c>
      <c r="L412" s="2">
        <v>10</v>
      </c>
      <c r="M412" s="2">
        <v>0</v>
      </c>
      <c r="N412" s="2">
        <v>6</v>
      </c>
      <c r="O412" s="2">
        <v>5</v>
      </c>
      <c r="P412" s="2">
        <v>5</v>
      </c>
      <c r="Q412" s="2" t="s">
        <v>2580</v>
      </c>
      <c r="R412" s="2" t="s">
        <v>2581</v>
      </c>
      <c r="S412" s="4">
        <v>44837</v>
      </c>
    </row>
    <row r="413" spans="1:19" ht="12.5" hidden="1" x14ac:dyDescent="0.25">
      <c r="A413" s="14" t="str">
        <f>HYPERLINK("https://gerandofalcoes.my.salesforce.com/0014X00002VKCoxQAH", "0014X00002VKCoxQAH")</f>
        <v>0014X00002VKCoxQAH</v>
      </c>
      <c r="B413" s="2" t="s">
        <v>2582</v>
      </c>
      <c r="C413" s="2" t="s">
        <v>423</v>
      </c>
      <c r="D413" s="2" t="s">
        <v>2</v>
      </c>
      <c r="E413" s="2">
        <v>19.68</v>
      </c>
      <c r="F413" s="2">
        <v>6</v>
      </c>
      <c r="G413" s="2">
        <v>1</v>
      </c>
      <c r="H413" s="2">
        <v>550</v>
      </c>
      <c r="I413" s="2">
        <v>0</v>
      </c>
      <c r="J413" s="2" t="s">
        <v>1779</v>
      </c>
      <c r="K413" s="2">
        <v>29</v>
      </c>
      <c r="L413" s="2">
        <v>10</v>
      </c>
      <c r="M413" s="2">
        <v>10</v>
      </c>
      <c r="N413" s="2">
        <v>4</v>
      </c>
      <c r="O413" s="2">
        <v>5</v>
      </c>
      <c r="P413" s="2">
        <v>0</v>
      </c>
      <c r="Q413" s="2" t="s">
        <v>2583</v>
      </c>
      <c r="R413" s="2" t="s">
        <v>2584</v>
      </c>
      <c r="S413" s="4">
        <v>44837</v>
      </c>
    </row>
    <row r="414" spans="1:19" ht="12.5" hidden="1" x14ac:dyDescent="0.25">
      <c r="A414" s="14" t="str">
        <f>HYPERLINK("https://gerandofalcoes.my.salesforce.com/0014X00002VKCsIQAX", "0014X00002VKCsIQAX")</f>
        <v>0014X00002VKCsIQAX</v>
      </c>
      <c r="B414" s="2" t="s">
        <v>2585</v>
      </c>
      <c r="C414" s="2" t="s">
        <v>423</v>
      </c>
      <c r="D414" s="2" t="s">
        <v>2</v>
      </c>
      <c r="E414" s="2">
        <v>19.5</v>
      </c>
      <c r="F414" s="2">
        <v>0</v>
      </c>
      <c r="G414" s="2">
        <v>890</v>
      </c>
      <c r="H414" s="2">
        <v>14400</v>
      </c>
      <c r="I414" s="2">
        <v>80</v>
      </c>
      <c r="J414" s="2" t="s">
        <v>1779</v>
      </c>
      <c r="K414" s="2">
        <v>35</v>
      </c>
      <c r="L414" s="2">
        <v>10</v>
      </c>
      <c r="M414" s="2">
        <v>0</v>
      </c>
      <c r="N414" s="2">
        <v>10</v>
      </c>
      <c r="O414" s="2">
        <v>5</v>
      </c>
      <c r="P414" s="2">
        <v>10</v>
      </c>
      <c r="Q414" s="2" t="s">
        <v>2586</v>
      </c>
      <c r="R414" s="2" t="s">
        <v>2587</v>
      </c>
      <c r="S414" s="4">
        <v>44837</v>
      </c>
    </row>
    <row r="415" spans="1:19" ht="12.5" hidden="1" x14ac:dyDescent="0.25">
      <c r="A415" s="14" t="str">
        <f>HYPERLINK("https://gerandofalcoes.my.salesforce.com/0014X00002VKCs5QAH", "0014X00002VKCs5QAH")</f>
        <v>0014X00002VKCs5QAH</v>
      </c>
      <c r="B415" s="2" t="s">
        <v>2588</v>
      </c>
      <c r="C415" s="2" t="s">
        <v>423</v>
      </c>
      <c r="D415" s="2" t="s">
        <v>2</v>
      </c>
      <c r="E415" s="2">
        <v>19.38</v>
      </c>
      <c r="F415" s="2">
        <v>0</v>
      </c>
      <c r="G415" s="2">
        <v>3</v>
      </c>
      <c r="H415" s="2">
        <v>140000</v>
      </c>
      <c r="I415" s="2">
        <v>0</v>
      </c>
      <c r="J415" s="2" t="s">
        <v>1779</v>
      </c>
      <c r="K415" s="2">
        <v>33</v>
      </c>
      <c r="L415" s="2">
        <v>10</v>
      </c>
      <c r="M415" s="2">
        <v>0</v>
      </c>
      <c r="N415" s="2">
        <v>8</v>
      </c>
      <c r="O415" s="2">
        <v>15</v>
      </c>
      <c r="P415" s="2">
        <v>0</v>
      </c>
      <c r="Q415" s="2" t="s">
        <v>2589</v>
      </c>
      <c r="R415" s="2" t="s">
        <v>2590</v>
      </c>
      <c r="S415" s="4">
        <v>44837</v>
      </c>
    </row>
    <row r="416" spans="1:19" ht="12.5" hidden="1" x14ac:dyDescent="0.25">
      <c r="A416" s="14" t="str">
        <f>HYPERLINK("https://gerandofalcoes.my.salesforce.com/0014X00002VKCpPQAX", "0014X00002VKCpPQAX")</f>
        <v>0014X00002VKCpPQAX</v>
      </c>
      <c r="B416" s="2" t="s">
        <v>2591</v>
      </c>
      <c r="C416" s="2" t="s">
        <v>423</v>
      </c>
      <c r="D416" s="2" t="s">
        <v>2</v>
      </c>
      <c r="E416" s="2">
        <v>19.07</v>
      </c>
      <c r="F416" s="2">
        <v>0</v>
      </c>
      <c r="G416" s="2">
        <v>3</v>
      </c>
      <c r="H416" s="2">
        <v>75000</v>
      </c>
      <c r="I416" s="2">
        <v>0</v>
      </c>
      <c r="J416" s="2" t="s">
        <v>1779</v>
      </c>
      <c r="K416" s="2">
        <v>28</v>
      </c>
      <c r="L416" s="2">
        <v>10</v>
      </c>
      <c r="M416" s="2">
        <v>0</v>
      </c>
      <c r="N416" s="2">
        <v>8</v>
      </c>
      <c r="O416" s="2">
        <v>10</v>
      </c>
      <c r="P416" s="2">
        <v>0</v>
      </c>
      <c r="Q416" s="2" t="s">
        <v>2592</v>
      </c>
      <c r="R416" s="2" t="s">
        <v>2592</v>
      </c>
      <c r="S416" s="4">
        <v>44837</v>
      </c>
    </row>
    <row r="417" spans="1:19" ht="12.5" hidden="1" x14ac:dyDescent="0.25">
      <c r="A417" s="14" t="str">
        <f>HYPERLINK("https://gerandofalcoes.my.salesforce.com/0014P00003YSp9OQAT", "0014P00003YSp9OQAT")</f>
        <v>0014P00003YSp9OQAT</v>
      </c>
      <c r="B417" s="2" t="s">
        <v>2593</v>
      </c>
      <c r="C417" s="2" t="s">
        <v>1800</v>
      </c>
      <c r="D417" s="2" t="s">
        <v>2</v>
      </c>
      <c r="E417" s="2">
        <v>19</v>
      </c>
      <c r="F417" s="2">
        <v>0</v>
      </c>
      <c r="G417" s="2">
        <v>8</v>
      </c>
      <c r="H417" s="2">
        <v>15000</v>
      </c>
      <c r="I417" s="2">
        <v>958</v>
      </c>
      <c r="J417" s="2" t="s">
        <v>1671</v>
      </c>
      <c r="K417" s="2">
        <v>45</v>
      </c>
      <c r="L417" s="2">
        <v>10</v>
      </c>
      <c r="M417" s="2">
        <v>0</v>
      </c>
      <c r="N417" s="2">
        <v>10</v>
      </c>
      <c r="O417" s="2">
        <v>5</v>
      </c>
      <c r="P417" s="2">
        <v>20</v>
      </c>
      <c r="Q417" s="2" t="s">
        <v>2594</v>
      </c>
      <c r="R417" s="2" t="s">
        <v>2595</v>
      </c>
      <c r="S417" s="4">
        <v>44837</v>
      </c>
    </row>
    <row r="418" spans="1:19" ht="12.5" hidden="1" x14ac:dyDescent="0.25">
      <c r="A418" s="14" t="str">
        <f>HYPERLINK("https://gerandofalcoes.my.salesforce.com/0014P00003YSp7pQAD", "0014P00003YSp7pQAD")</f>
        <v>0014P00003YSp7pQAD</v>
      </c>
      <c r="B418" s="2" t="s">
        <v>2596</v>
      </c>
      <c r="C418" s="2" t="s">
        <v>1800</v>
      </c>
      <c r="D418" s="2" t="s">
        <v>2</v>
      </c>
      <c r="E418" s="2">
        <v>19</v>
      </c>
      <c r="F418" s="2">
        <v>0</v>
      </c>
      <c r="G418" s="2">
        <v>3</v>
      </c>
      <c r="H418" s="2">
        <v>150000</v>
      </c>
      <c r="I418" s="2">
        <v>190</v>
      </c>
      <c r="J418" s="2" t="s">
        <v>1671</v>
      </c>
      <c r="K418" s="2">
        <v>45</v>
      </c>
      <c r="L418" s="2">
        <v>10</v>
      </c>
      <c r="M418" s="2">
        <v>0</v>
      </c>
      <c r="N418" s="2">
        <v>8</v>
      </c>
      <c r="O418" s="2">
        <v>15</v>
      </c>
      <c r="P418" s="2">
        <v>12</v>
      </c>
      <c r="Q418" s="2" t="s">
        <v>2597</v>
      </c>
      <c r="R418" s="2" t="s">
        <v>2598</v>
      </c>
      <c r="S418" s="4">
        <v>44837</v>
      </c>
    </row>
    <row r="419" spans="1:19" ht="12.5" hidden="1" x14ac:dyDescent="0.25">
      <c r="A419" s="14" t="str">
        <f>HYPERLINK("https://gerandofalcoes.my.salesforce.com/0014P00003YSp8mQAD", "0014P00003YSp8mQAD")</f>
        <v>0014P00003YSp8mQAD</v>
      </c>
      <c r="B419" s="2" t="s">
        <v>2599</v>
      </c>
      <c r="C419" s="2" t="s">
        <v>1800</v>
      </c>
      <c r="D419" s="2" t="s">
        <v>2</v>
      </c>
      <c r="E419" s="2">
        <v>19</v>
      </c>
      <c r="F419" s="2">
        <v>11</v>
      </c>
      <c r="G419" s="2">
        <v>4</v>
      </c>
      <c r="H419" s="2">
        <v>700</v>
      </c>
      <c r="I419" s="2">
        <v>160</v>
      </c>
      <c r="J419" s="2" t="s">
        <v>1671</v>
      </c>
      <c r="K419" s="2">
        <v>49</v>
      </c>
      <c r="L419" s="2">
        <v>10</v>
      </c>
      <c r="M419" s="2">
        <v>12</v>
      </c>
      <c r="N419" s="2">
        <v>10</v>
      </c>
      <c r="O419" s="2">
        <v>5</v>
      </c>
      <c r="P419" s="2">
        <v>12</v>
      </c>
      <c r="Q419" s="2" t="s">
        <v>2600</v>
      </c>
      <c r="R419" s="2" t="s">
        <v>2600</v>
      </c>
      <c r="S419" s="4">
        <v>44837</v>
      </c>
    </row>
    <row r="420" spans="1:19" ht="12.5" hidden="1" x14ac:dyDescent="0.25">
      <c r="A420" s="14" t="str">
        <f>HYPERLINK("https://gerandofalcoes.my.salesforce.com/0014P00003YSpACQA1", "0014P00003YSpACQA1")</f>
        <v>0014P00003YSpACQA1</v>
      </c>
      <c r="B420" s="2" t="s">
        <v>2601</v>
      </c>
      <c r="C420" s="2" t="s">
        <v>1800</v>
      </c>
      <c r="D420" s="2" t="s">
        <v>2</v>
      </c>
      <c r="E420" s="2">
        <v>19</v>
      </c>
      <c r="F420" s="2">
        <v>2</v>
      </c>
      <c r="G420" s="2">
        <v>2</v>
      </c>
      <c r="H420" s="2">
        <v>0</v>
      </c>
      <c r="I420" s="2">
        <v>120</v>
      </c>
      <c r="J420" s="2" t="s">
        <v>1779</v>
      </c>
      <c r="K420" s="2">
        <v>31</v>
      </c>
      <c r="L420" s="2">
        <v>10</v>
      </c>
      <c r="M420" s="2">
        <v>5</v>
      </c>
      <c r="N420" s="2">
        <v>6</v>
      </c>
      <c r="O420" s="2">
        <v>0</v>
      </c>
      <c r="P420" s="2">
        <v>10</v>
      </c>
      <c r="Q420" s="2" t="s">
        <v>2602</v>
      </c>
      <c r="R420" s="2" t="s">
        <v>2602</v>
      </c>
      <c r="S420" s="4">
        <v>44837</v>
      </c>
    </row>
    <row r="421" spans="1:19" ht="12.5" hidden="1" x14ac:dyDescent="0.25">
      <c r="A421" s="14" t="str">
        <f>HYPERLINK("https://gerandofalcoes.my.salesforce.com/0014P00003YSp9cQAD", "0014P00003YSp9cQAD")</f>
        <v>0014P00003YSp9cQAD</v>
      </c>
      <c r="B421" s="2" t="s">
        <v>2603</v>
      </c>
      <c r="C421" s="2" t="s">
        <v>1800</v>
      </c>
      <c r="D421" s="2" t="s">
        <v>2</v>
      </c>
      <c r="E421" s="2">
        <v>19</v>
      </c>
      <c r="F421" s="2">
        <v>2</v>
      </c>
      <c r="G421" s="2">
        <v>4</v>
      </c>
      <c r="H421" s="2">
        <v>2000</v>
      </c>
      <c r="I421" s="2">
        <v>60</v>
      </c>
      <c r="J421" s="2" t="s">
        <v>1779</v>
      </c>
      <c r="K421" s="2">
        <v>35</v>
      </c>
      <c r="L421" s="2">
        <v>10</v>
      </c>
      <c r="M421" s="2">
        <v>5</v>
      </c>
      <c r="N421" s="2">
        <v>10</v>
      </c>
      <c r="O421" s="2">
        <v>5</v>
      </c>
      <c r="P421" s="2">
        <v>5</v>
      </c>
      <c r="Q421" s="2" t="s">
        <v>2604</v>
      </c>
      <c r="R421" s="2" t="s">
        <v>2605</v>
      </c>
      <c r="S421" s="4">
        <v>44837</v>
      </c>
    </row>
    <row r="422" spans="1:19" ht="12.5" hidden="1" x14ac:dyDescent="0.25">
      <c r="A422" s="14" t="str">
        <f>HYPERLINK("https://gerandofalcoes.my.salesforce.com/0014X00002VKCuHQAX", "0014X00002VKCuHQAX")</f>
        <v>0014X00002VKCuHQAX</v>
      </c>
      <c r="B422" s="2" t="s">
        <v>2606</v>
      </c>
      <c r="C422" s="2" t="s">
        <v>423</v>
      </c>
      <c r="D422" s="2" t="s">
        <v>2</v>
      </c>
      <c r="E422" s="2">
        <v>19</v>
      </c>
      <c r="F422" s="2">
        <v>0</v>
      </c>
      <c r="G422" s="2">
        <v>2</v>
      </c>
      <c r="H422" s="2">
        <v>25500</v>
      </c>
      <c r="I422" s="2">
        <v>30</v>
      </c>
      <c r="J422" s="2" t="s">
        <v>1779</v>
      </c>
      <c r="K422" s="2">
        <v>31</v>
      </c>
      <c r="L422" s="2">
        <v>10</v>
      </c>
      <c r="M422" s="2">
        <v>0</v>
      </c>
      <c r="N422" s="2">
        <v>6</v>
      </c>
      <c r="O422" s="2">
        <v>10</v>
      </c>
      <c r="P422" s="2">
        <v>5</v>
      </c>
      <c r="Q422" s="2" t="s">
        <v>2607</v>
      </c>
      <c r="R422" s="2" t="s">
        <v>2608</v>
      </c>
      <c r="S422" s="4">
        <v>44837</v>
      </c>
    </row>
    <row r="423" spans="1:19" ht="12.5" hidden="1" x14ac:dyDescent="0.25">
      <c r="A423" s="14" t="str">
        <f>HYPERLINK("https://gerandofalcoes.my.salesforce.com/0014X00002VKCrcQAH", "0014X00002VKCrcQAH")</f>
        <v>0014X00002VKCrcQAH</v>
      </c>
      <c r="B423" s="2" t="s">
        <v>2609</v>
      </c>
      <c r="C423" s="2" t="s">
        <v>423</v>
      </c>
      <c r="D423" s="2" t="s">
        <v>2</v>
      </c>
      <c r="E423" s="2">
        <v>19</v>
      </c>
      <c r="F423" s="2">
        <v>0</v>
      </c>
      <c r="G423" s="2">
        <v>3</v>
      </c>
      <c r="H423" s="2">
        <v>2000</v>
      </c>
      <c r="I423" s="2">
        <v>0</v>
      </c>
      <c r="J423" s="2" t="s">
        <v>1779</v>
      </c>
      <c r="K423" s="2">
        <v>23</v>
      </c>
      <c r="L423" s="2">
        <v>10</v>
      </c>
      <c r="M423" s="2">
        <v>0</v>
      </c>
      <c r="N423" s="2">
        <v>8</v>
      </c>
      <c r="O423" s="2">
        <v>5</v>
      </c>
      <c r="P423" s="2">
        <v>0</v>
      </c>
      <c r="Q423" s="2" t="s">
        <v>2610</v>
      </c>
      <c r="R423" s="2" t="s">
        <v>2611</v>
      </c>
      <c r="S423" s="4">
        <v>44837</v>
      </c>
    </row>
    <row r="424" spans="1:19" ht="12.5" hidden="1" x14ac:dyDescent="0.25">
      <c r="A424" s="14" t="str">
        <f>HYPERLINK("https://gerandofalcoes.my.salesforce.com/0014X00002OEuamQAD", "0014X00002OEuamQAD")</f>
        <v>0014X00002OEuamQAD</v>
      </c>
      <c r="B424" s="2" t="s">
        <v>2612</v>
      </c>
      <c r="C424" s="2" t="s">
        <v>1800</v>
      </c>
      <c r="D424" s="2" t="s">
        <v>2</v>
      </c>
      <c r="E424" s="2">
        <v>19</v>
      </c>
      <c r="F424" s="2">
        <v>0</v>
      </c>
      <c r="G424" s="2">
        <v>4</v>
      </c>
      <c r="H424" s="2">
        <v>7000</v>
      </c>
      <c r="I424" s="2">
        <v>0</v>
      </c>
      <c r="J424" s="2" t="s">
        <v>1779</v>
      </c>
      <c r="K424" s="2">
        <v>25</v>
      </c>
      <c r="L424" s="2">
        <v>10</v>
      </c>
      <c r="M424" s="2">
        <v>0</v>
      </c>
      <c r="N424" s="2">
        <v>10</v>
      </c>
      <c r="O424" s="2">
        <v>5</v>
      </c>
      <c r="P424" s="2">
        <v>0</v>
      </c>
      <c r="Q424" s="2" t="s">
        <v>2613</v>
      </c>
      <c r="R424" s="2" t="s">
        <v>2613</v>
      </c>
      <c r="S424" s="4">
        <v>44837</v>
      </c>
    </row>
    <row r="425" spans="1:19" ht="12.5" hidden="1" x14ac:dyDescent="0.25">
      <c r="A425" s="14" t="str">
        <f>HYPERLINK("https://gerandofalcoes.my.salesforce.com/0014P00003YSp7TQAT", "0014P00003YSp7TQAT")</f>
        <v>0014P00003YSp7TQAT</v>
      </c>
      <c r="B425" s="2" t="s">
        <v>2614</v>
      </c>
      <c r="C425" s="2" t="s">
        <v>1800</v>
      </c>
      <c r="D425" s="2" t="s">
        <v>2</v>
      </c>
      <c r="E425" s="2">
        <v>19</v>
      </c>
      <c r="F425" s="2">
        <v>0</v>
      </c>
      <c r="G425" s="2">
        <v>0</v>
      </c>
      <c r="H425" s="2">
        <v>0</v>
      </c>
      <c r="I425" s="2">
        <v>0</v>
      </c>
      <c r="J425" s="2" t="s">
        <v>1779</v>
      </c>
      <c r="K425" s="2">
        <v>10</v>
      </c>
      <c r="L425" s="2">
        <v>10</v>
      </c>
      <c r="M425" s="2">
        <v>0</v>
      </c>
      <c r="N425" s="2">
        <v>0</v>
      </c>
      <c r="O425" s="2">
        <v>0</v>
      </c>
      <c r="P425" s="2">
        <v>0</v>
      </c>
      <c r="Q425" s="2" t="s">
        <v>2615</v>
      </c>
      <c r="R425" s="2" t="s">
        <v>2615</v>
      </c>
      <c r="S425" s="4">
        <v>44837</v>
      </c>
    </row>
    <row r="426" spans="1:19" ht="12.5" hidden="1" x14ac:dyDescent="0.25">
      <c r="A426" s="14" t="str">
        <f>HYPERLINK("https://gerandofalcoes.my.salesforce.com/0014X00002VKCtpQAH", "0014X00002VKCtpQAH")</f>
        <v>0014X00002VKCtpQAH</v>
      </c>
      <c r="B426" s="2" t="s">
        <v>2616</v>
      </c>
      <c r="C426" s="2" t="s">
        <v>423</v>
      </c>
      <c r="D426" s="2" t="s">
        <v>2</v>
      </c>
      <c r="E426" s="2">
        <v>19</v>
      </c>
      <c r="F426" s="2">
        <v>0</v>
      </c>
      <c r="G426" s="2">
        <v>2</v>
      </c>
      <c r="H426" s="2">
        <v>0</v>
      </c>
      <c r="I426" s="2">
        <v>0</v>
      </c>
      <c r="J426" s="2" t="s">
        <v>1779</v>
      </c>
      <c r="K426" s="2">
        <v>16</v>
      </c>
      <c r="L426" s="2">
        <v>10</v>
      </c>
      <c r="M426" s="2">
        <v>0</v>
      </c>
      <c r="N426" s="2">
        <v>6</v>
      </c>
      <c r="O426" s="2">
        <v>0</v>
      </c>
      <c r="P426" s="2">
        <v>0</v>
      </c>
      <c r="Q426" s="2" t="s">
        <v>2617</v>
      </c>
      <c r="R426" s="2" t="s">
        <v>2618</v>
      </c>
      <c r="S426" s="4">
        <v>44837</v>
      </c>
    </row>
    <row r="427" spans="1:19" ht="12.5" hidden="1" x14ac:dyDescent="0.25">
      <c r="A427" s="14" t="str">
        <f>HYPERLINK("https://gerandofalcoes.my.salesforce.com/0014P00003SGWQ4QAP", "0014P00003SGWQ4QAP")</f>
        <v>0014P00003SGWQ4QAP</v>
      </c>
      <c r="B427" s="2" t="s">
        <v>217</v>
      </c>
      <c r="C427" s="2" t="s">
        <v>423</v>
      </c>
      <c r="D427" s="2" t="s">
        <v>2</v>
      </c>
      <c r="E427" s="2">
        <v>18.579999999999998</v>
      </c>
      <c r="F427" s="2">
        <v>0</v>
      </c>
      <c r="G427" s="2">
        <v>2</v>
      </c>
      <c r="H427" s="2">
        <v>8324</v>
      </c>
      <c r="I427" s="2">
        <v>117</v>
      </c>
      <c r="J427" s="2" t="s">
        <v>1779</v>
      </c>
      <c r="K427" s="2">
        <v>31</v>
      </c>
      <c r="L427" s="2">
        <v>10</v>
      </c>
      <c r="M427" s="2">
        <v>0</v>
      </c>
      <c r="N427" s="2">
        <v>6</v>
      </c>
      <c r="O427" s="2">
        <v>5</v>
      </c>
      <c r="P427" s="2">
        <v>10</v>
      </c>
      <c r="Q427" s="2" t="s">
        <v>218</v>
      </c>
      <c r="R427" s="2" t="s">
        <v>1140</v>
      </c>
      <c r="S427" s="4">
        <v>44837</v>
      </c>
    </row>
    <row r="428" spans="1:19" ht="12.5" hidden="1" x14ac:dyDescent="0.25">
      <c r="A428" s="14" t="str">
        <f>HYPERLINK("https://gerandofalcoes.my.salesforce.com/0014P00003YSp7SQAT", "0014P00003YSp7SQAT")</f>
        <v>0014P00003YSp7SQAT</v>
      </c>
      <c r="B428" s="2" t="s">
        <v>2619</v>
      </c>
      <c r="C428" s="2" t="s">
        <v>423</v>
      </c>
      <c r="D428" s="2" t="s">
        <v>2</v>
      </c>
      <c r="E428" s="2">
        <v>18.54</v>
      </c>
      <c r="F428" s="2">
        <v>0</v>
      </c>
      <c r="G428" s="2">
        <v>4</v>
      </c>
      <c r="H428" s="2">
        <v>39200</v>
      </c>
      <c r="I428" s="2">
        <v>1</v>
      </c>
      <c r="J428" s="2" t="s">
        <v>1779</v>
      </c>
      <c r="K428" s="2">
        <v>35</v>
      </c>
      <c r="L428" s="2">
        <v>10</v>
      </c>
      <c r="M428" s="2">
        <v>0</v>
      </c>
      <c r="N428" s="2">
        <v>10</v>
      </c>
      <c r="O428" s="2">
        <v>10</v>
      </c>
      <c r="P428" s="2">
        <v>5</v>
      </c>
      <c r="Q428" s="2" t="s">
        <v>2620</v>
      </c>
      <c r="R428" s="2" t="s">
        <v>2621</v>
      </c>
      <c r="S428" s="4">
        <v>44837</v>
      </c>
    </row>
    <row r="429" spans="1:19" ht="12.5" hidden="1" x14ac:dyDescent="0.25">
      <c r="A429" s="14" t="str">
        <f>HYPERLINK("https://gerandofalcoes.my.salesforce.com/0014P00003YSp8tQAD", "0014P00003YSp8tQAD")</f>
        <v>0014P00003YSp8tQAD</v>
      </c>
      <c r="B429" s="2" t="s">
        <v>2622</v>
      </c>
      <c r="C429" s="2" t="s">
        <v>423</v>
      </c>
      <c r="D429" s="2" t="s">
        <v>2</v>
      </c>
      <c r="E429" s="2">
        <v>18.18</v>
      </c>
      <c r="F429" s="2">
        <v>0</v>
      </c>
      <c r="G429" s="2">
        <v>1</v>
      </c>
      <c r="H429" s="2">
        <v>420000</v>
      </c>
      <c r="I429" s="2">
        <v>0</v>
      </c>
      <c r="J429" s="2" t="s">
        <v>1779</v>
      </c>
      <c r="K429" s="2">
        <v>34</v>
      </c>
      <c r="L429" s="2">
        <v>10</v>
      </c>
      <c r="M429" s="2">
        <v>0</v>
      </c>
      <c r="N429" s="2">
        <v>4</v>
      </c>
      <c r="O429" s="2">
        <v>20</v>
      </c>
      <c r="P429" s="2">
        <v>0</v>
      </c>
      <c r="Q429" s="2" t="s">
        <v>2623</v>
      </c>
      <c r="R429" s="2" t="s">
        <v>2624</v>
      </c>
      <c r="S429" s="4">
        <v>44837</v>
      </c>
    </row>
    <row r="430" spans="1:19" ht="12.5" hidden="1" x14ac:dyDescent="0.25">
      <c r="A430" s="14" t="str">
        <f>HYPERLINK("https://gerandofalcoes.my.salesforce.com/0014X00002VKCsFQAX", "0014X00002VKCsFQAX")</f>
        <v>0014X00002VKCsFQAX</v>
      </c>
      <c r="B430" s="2" t="s">
        <v>2625</v>
      </c>
      <c r="C430" s="2" t="s">
        <v>423</v>
      </c>
      <c r="D430" s="2" t="s">
        <v>2</v>
      </c>
      <c r="E430" s="2">
        <v>18.13</v>
      </c>
      <c r="F430" s="2">
        <v>0</v>
      </c>
      <c r="G430" s="2">
        <v>1</v>
      </c>
      <c r="H430" s="2">
        <v>998</v>
      </c>
      <c r="I430" s="2">
        <v>70</v>
      </c>
      <c r="J430" s="2" t="s">
        <v>1779</v>
      </c>
      <c r="K430" s="2">
        <v>24</v>
      </c>
      <c r="L430" s="2">
        <v>10</v>
      </c>
      <c r="M430" s="2">
        <v>0</v>
      </c>
      <c r="N430" s="2">
        <v>4</v>
      </c>
      <c r="O430" s="2">
        <v>5</v>
      </c>
      <c r="P430" s="2">
        <v>5</v>
      </c>
      <c r="Q430" s="2" t="s">
        <v>2626</v>
      </c>
      <c r="R430" s="2" t="s">
        <v>2627</v>
      </c>
      <c r="S430" s="4">
        <v>44837</v>
      </c>
    </row>
    <row r="431" spans="1:19" ht="12.5" hidden="1" x14ac:dyDescent="0.25">
      <c r="A431" s="14" t="str">
        <f>HYPERLINK("https://gerandofalcoes.my.salesforce.com/0014P00003SGWPtQAP", "0014P00003SGWPtQAP")</f>
        <v>0014P00003SGWPtQAP</v>
      </c>
      <c r="B431" s="2" t="s">
        <v>2628</v>
      </c>
      <c r="C431" s="2" t="s">
        <v>423</v>
      </c>
      <c r="D431" s="2" t="s">
        <v>2</v>
      </c>
      <c r="E431" s="2">
        <v>18.04</v>
      </c>
      <c r="F431" s="2">
        <v>3</v>
      </c>
      <c r="G431" s="2">
        <v>0</v>
      </c>
      <c r="H431" s="2">
        <v>400000</v>
      </c>
      <c r="I431" s="2">
        <v>134</v>
      </c>
      <c r="J431" s="2" t="s">
        <v>1671</v>
      </c>
      <c r="K431" s="2">
        <v>45</v>
      </c>
      <c r="L431" s="2">
        <v>10</v>
      </c>
      <c r="M431" s="2">
        <v>5</v>
      </c>
      <c r="N431" s="2">
        <v>0</v>
      </c>
      <c r="O431" s="2">
        <v>20</v>
      </c>
      <c r="P431" s="2">
        <v>10</v>
      </c>
      <c r="Q431" s="2" t="s">
        <v>336</v>
      </c>
      <c r="R431" s="2" t="s">
        <v>336</v>
      </c>
      <c r="S431" s="4">
        <v>44837</v>
      </c>
    </row>
    <row r="432" spans="1:19" ht="12.5" hidden="1" x14ac:dyDescent="0.25">
      <c r="A432" s="14" t="str">
        <f>HYPERLINK("https://gerandofalcoes.my.salesforce.com/0014X00002OEuaqQAD", "0014X00002OEuaqQAD")</f>
        <v>0014X00002OEuaqQAD</v>
      </c>
      <c r="B432" s="2" t="s">
        <v>2629</v>
      </c>
      <c r="C432" s="2" t="s">
        <v>423</v>
      </c>
      <c r="D432" s="2" t="s">
        <v>2</v>
      </c>
      <c r="E432" s="2">
        <v>18</v>
      </c>
      <c r="F432" s="2">
        <v>20</v>
      </c>
      <c r="G432" s="2">
        <v>2</v>
      </c>
      <c r="H432" s="2">
        <v>3000</v>
      </c>
      <c r="I432" s="2">
        <v>300</v>
      </c>
      <c r="J432" s="2" t="s">
        <v>1671</v>
      </c>
      <c r="K432" s="2">
        <v>48</v>
      </c>
      <c r="L432" s="2">
        <v>10</v>
      </c>
      <c r="M432" s="2">
        <v>12</v>
      </c>
      <c r="N432" s="2">
        <v>6</v>
      </c>
      <c r="O432" s="2">
        <v>5</v>
      </c>
      <c r="P432" s="2">
        <v>15</v>
      </c>
      <c r="Q432" s="2" t="s">
        <v>2630</v>
      </c>
      <c r="R432" s="2" t="s">
        <v>2631</v>
      </c>
      <c r="S432" s="4">
        <v>44837</v>
      </c>
    </row>
    <row r="433" spans="1:19" ht="12.5" hidden="1" x14ac:dyDescent="0.25">
      <c r="A433" s="14" t="str">
        <f>HYPERLINK("https://gerandofalcoes.my.salesforce.com/0014X00002VKCroQAH", "0014X00002VKCroQAH")</f>
        <v>0014X00002VKCroQAH</v>
      </c>
      <c r="B433" s="2" t="s">
        <v>2632</v>
      </c>
      <c r="C433" s="2" t="s">
        <v>1800</v>
      </c>
      <c r="D433" s="2" t="s">
        <v>2</v>
      </c>
      <c r="E433" s="2">
        <v>18</v>
      </c>
      <c r="F433" s="2">
        <v>0</v>
      </c>
      <c r="G433" s="2">
        <v>3</v>
      </c>
      <c r="H433" s="2">
        <v>8400</v>
      </c>
      <c r="I433" s="2">
        <v>100</v>
      </c>
      <c r="J433" s="2" t="s">
        <v>1779</v>
      </c>
      <c r="K433" s="2">
        <v>33</v>
      </c>
      <c r="L433" s="2">
        <v>10</v>
      </c>
      <c r="M433" s="2">
        <v>0</v>
      </c>
      <c r="N433" s="2">
        <v>8</v>
      </c>
      <c r="O433" s="2">
        <v>5</v>
      </c>
      <c r="P433" s="2">
        <v>10</v>
      </c>
      <c r="Q433" s="2" t="s">
        <v>2633</v>
      </c>
      <c r="R433" s="2" t="s">
        <v>2634</v>
      </c>
      <c r="S433" s="4">
        <v>44837</v>
      </c>
    </row>
    <row r="434" spans="1:19" ht="12.5" hidden="1" x14ac:dyDescent="0.25">
      <c r="A434" s="14" t="str">
        <f>HYPERLINK("https://gerandofalcoes.my.salesforce.com/0014P00003YSp8gQAD", "0014P00003YSp8gQAD")</f>
        <v>0014P00003YSp8gQAD</v>
      </c>
      <c r="B434" s="2" t="s">
        <v>2635</v>
      </c>
      <c r="C434" s="2" t="s">
        <v>1684</v>
      </c>
      <c r="D434" s="2" t="s">
        <v>2</v>
      </c>
      <c r="E434" s="2">
        <v>18</v>
      </c>
      <c r="F434" s="2">
        <v>4</v>
      </c>
      <c r="G434" s="2">
        <v>2</v>
      </c>
      <c r="H434" s="2">
        <v>2000</v>
      </c>
      <c r="I434" s="2">
        <v>70</v>
      </c>
      <c r="J434" s="2" t="s">
        <v>1779</v>
      </c>
      <c r="K434" s="2">
        <v>31</v>
      </c>
      <c r="L434" s="2">
        <v>10</v>
      </c>
      <c r="M434" s="2">
        <v>5</v>
      </c>
      <c r="N434" s="2">
        <v>6</v>
      </c>
      <c r="O434" s="2">
        <v>5</v>
      </c>
      <c r="P434" s="2">
        <v>5</v>
      </c>
      <c r="Q434" s="2" t="s">
        <v>2636</v>
      </c>
      <c r="R434" s="2" t="s">
        <v>2636</v>
      </c>
      <c r="S434" s="4">
        <v>44837</v>
      </c>
    </row>
    <row r="435" spans="1:19" ht="12.5" hidden="1" x14ac:dyDescent="0.25">
      <c r="A435" s="14" t="str">
        <f>HYPERLINK("https://gerandofalcoes.my.salesforce.com/0014X00002VKCrLQAX", "0014X00002VKCrLQAX")</f>
        <v>0014X00002VKCrLQAX</v>
      </c>
      <c r="B435" s="2" t="s">
        <v>2637</v>
      </c>
      <c r="C435" s="2" t="s">
        <v>1800</v>
      </c>
      <c r="D435" s="2" t="s">
        <v>2</v>
      </c>
      <c r="E435" s="2">
        <v>18</v>
      </c>
      <c r="F435" s="2">
        <v>0</v>
      </c>
      <c r="G435" s="2">
        <v>4</v>
      </c>
      <c r="H435" s="2">
        <v>6.5</v>
      </c>
      <c r="I435" s="2">
        <v>45</v>
      </c>
      <c r="J435" s="2" t="s">
        <v>1779</v>
      </c>
      <c r="K435" s="2">
        <v>30</v>
      </c>
      <c r="L435" s="2">
        <v>10</v>
      </c>
      <c r="M435" s="2">
        <v>0</v>
      </c>
      <c r="N435" s="2">
        <v>10</v>
      </c>
      <c r="O435" s="2">
        <v>5</v>
      </c>
      <c r="P435" s="2">
        <v>5</v>
      </c>
      <c r="Q435" s="2" t="s">
        <v>2638</v>
      </c>
      <c r="R435" s="2" t="s">
        <v>2638</v>
      </c>
      <c r="S435" s="4">
        <v>44837</v>
      </c>
    </row>
    <row r="436" spans="1:19" ht="12.5" hidden="1" x14ac:dyDescent="0.25">
      <c r="A436" s="14" t="str">
        <f>HYPERLINK("https://gerandofalcoes.my.salesforce.com/0014X00002OEuauQAD", "0014X00002OEuauQAD")</f>
        <v>0014X00002OEuauQAD</v>
      </c>
      <c r="B436" s="2" t="s">
        <v>2639</v>
      </c>
      <c r="C436" s="2" t="s">
        <v>423</v>
      </c>
      <c r="D436" s="2" t="s">
        <v>2</v>
      </c>
      <c r="E436" s="2">
        <v>18</v>
      </c>
      <c r="F436" s="2">
        <v>2</v>
      </c>
      <c r="G436" s="2">
        <v>2</v>
      </c>
      <c r="H436" s="2">
        <v>5000</v>
      </c>
      <c r="I436" s="2">
        <v>14</v>
      </c>
      <c r="J436" s="2" t="s">
        <v>1779</v>
      </c>
      <c r="K436" s="2">
        <v>31</v>
      </c>
      <c r="L436" s="2">
        <v>10</v>
      </c>
      <c r="M436" s="2">
        <v>5</v>
      </c>
      <c r="N436" s="2">
        <v>6</v>
      </c>
      <c r="O436" s="2">
        <v>5</v>
      </c>
      <c r="P436" s="2">
        <v>5</v>
      </c>
      <c r="Q436" s="2" t="s">
        <v>2640</v>
      </c>
      <c r="R436" s="2" t="s">
        <v>2641</v>
      </c>
      <c r="S436" s="4">
        <v>44837</v>
      </c>
    </row>
    <row r="437" spans="1:19" ht="12.5" hidden="1" x14ac:dyDescent="0.25">
      <c r="A437" s="14" t="str">
        <f>HYPERLINK("https://gerandofalcoes.my.salesforce.com/0014X00002VKCouQAH", "0014X00002VKCouQAH")</f>
        <v>0014X00002VKCouQAH</v>
      </c>
      <c r="B437" s="2" t="s">
        <v>2642</v>
      </c>
      <c r="C437" s="2" t="s">
        <v>1800</v>
      </c>
      <c r="D437" s="2" t="s">
        <v>2</v>
      </c>
      <c r="E437" s="2">
        <v>18</v>
      </c>
      <c r="F437" s="2">
        <v>0</v>
      </c>
      <c r="G437" s="2">
        <v>2</v>
      </c>
      <c r="H437" s="2">
        <v>11000</v>
      </c>
      <c r="I437" s="2">
        <v>0</v>
      </c>
      <c r="J437" s="2" t="s">
        <v>1779</v>
      </c>
      <c r="K437" s="2">
        <v>21</v>
      </c>
      <c r="L437" s="2">
        <v>10</v>
      </c>
      <c r="M437" s="2">
        <v>0</v>
      </c>
      <c r="N437" s="2">
        <v>6</v>
      </c>
      <c r="O437" s="2">
        <v>5</v>
      </c>
      <c r="P437" s="2">
        <v>0</v>
      </c>
      <c r="Q437" s="2" t="s">
        <v>2643</v>
      </c>
      <c r="R437" s="2" t="s">
        <v>2643</v>
      </c>
      <c r="S437" s="4">
        <v>44837</v>
      </c>
    </row>
    <row r="438" spans="1:19" ht="12.5" hidden="1" x14ac:dyDescent="0.25">
      <c r="A438" s="14" t="str">
        <f>HYPERLINK("https://gerandofalcoes.my.salesforce.com/0014P00003YSp8pQAD", "0014P00003YSp8pQAD")</f>
        <v>0014P00003YSp8pQAD</v>
      </c>
      <c r="B438" s="2" t="s">
        <v>2644</v>
      </c>
      <c r="C438" s="2" t="s">
        <v>423</v>
      </c>
      <c r="D438" s="2" t="s">
        <v>2</v>
      </c>
      <c r="E438" s="2">
        <v>18</v>
      </c>
      <c r="F438" s="2">
        <v>0</v>
      </c>
      <c r="G438" s="2">
        <v>2</v>
      </c>
      <c r="H438" s="2">
        <v>3000</v>
      </c>
      <c r="I438" s="2">
        <v>0</v>
      </c>
      <c r="J438" s="2" t="s">
        <v>1779</v>
      </c>
      <c r="K438" s="2">
        <v>21</v>
      </c>
      <c r="L438" s="2">
        <v>10</v>
      </c>
      <c r="M438" s="2">
        <v>0</v>
      </c>
      <c r="N438" s="2">
        <v>6</v>
      </c>
      <c r="O438" s="2">
        <v>5</v>
      </c>
      <c r="P438" s="2">
        <v>0</v>
      </c>
      <c r="Q438" s="2" t="s">
        <v>2645</v>
      </c>
      <c r="R438" s="2" t="s">
        <v>2646</v>
      </c>
      <c r="S438" s="4">
        <v>44837</v>
      </c>
    </row>
    <row r="439" spans="1:19" ht="12.5" hidden="1" x14ac:dyDescent="0.25">
      <c r="A439" s="14" t="str">
        <f>HYPERLINK("https://gerandofalcoes.my.salesforce.com/0014P00003YSpA8QAL", "0014P00003YSpA8QAL")</f>
        <v>0014P00003YSpA8QAL</v>
      </c>
      <c r="B439" s="2" t="s">
        <v>2647</v>
      </c>
      <c r="C439" s="2" t="s">
        <v>1800</v>
      </c>
      <c r="D439" s="2" t="s">
        <v>2</v>
      </c>
      <c r="E439" s="2">
        <v>18</v>
      </c>
      <c r="F439" s="2">
        <v>0</v>
      </c>
      <c r="G439" s="2">
        <v>2</v>
      </c>
      <c r="H439" s="2">
        <v>0</v>
      </c>
      <c r="I439" s="2">
        <v>0</v>
      </c>
      <c r="J439" s="2" t="s">
        <v>1779</v>
      </c>
      <c r="K439" s="2">
        <v>16</v>
      </c>
      <c r="L439" s="2">
        <v>10</v>
      </c>
      <c r="M439" s="2">
        <v>0</v>
      </c>
      <c r="N439" s="2">
        <v>6</v>
      </c>
      <c r="O439" s="2">
        <v>0</v>
      </c>
      <c r="P439" s="2">
        <v>0</v>
      </c>
      <c r="Q439" s="2" t="s">
        <v>2648</v>
      </c>
      <c r="R439" s="2" t="s">
        <v>2648</v>
      </c>
      <c r="S439" s="4">
        <v>44837</v>
      </c>
    </row>
    <row r="440" spans="1:19" ht="12.5" hidden="1" x14ac:dyDescent="0.25">
      <c r="A440" s="14" t="str">
        <f>HYPERLINK("https://gerandofalcoes.my.salesforce.com/0014X00002VKCuqQAH", "0014X00002VKCuqQAH")</f>
        <v>0014X00002VKCuqQAH</v>
      </c>
      <c r="B440" s="2" t="s">
        <v>2649</v>
      </c>
      <c r="C440" s="2" t="s">
        <v>423</v>
      </c>
      <c r="D440" s="2" t="s">
        <v>2</v>
      </c>
      <c r="E440" s="2">
        <v>17.440000000000001</v>
      </c>
      <c r="F440" s="2">
        <v>0</v>
      </c>
      <c r="G440" s="2">
        <v>3</v>
      </c>
      <c r="H440" s="2">
        <v>7019</v>
      </c>
      <c r="I440" s="2">
        <v>100</v>
      </c>
      <c r="J440" s="2" t="s">
        <v>1779</v>
      </c>
      <c r="K440" s="2">
        <v>33</v>
      </c>
      <c r="L440" s="2">
        <v>10</v>
      </c>
      <c r="M440" s="2">
        <v>0</v>
      </c>
      <c r="N440" s="2">
        <v>8</v>
      </c>
      <c r="O440" s="2">
        <v>5</v>
      </c>
      <c r="P440" s="2">
        <v>10</v>
      </c>
      <c r="Q440" s="2" t="s">
        <v>2650</v>
      </c>
      <c r="R440" s="2" t="s">
        <v>2650</v>
      </c>
      <c r="S440" s="4">
        <v>44837</v>
      </c>
    </row>
    <row r="441" spans="1:19" ht="12.5" hidden="1" x14ac:dyDescent="0.25">
      <c r="A441" s="14" t="str">
        <f>HYPERLINK("https://gerandofalcoes.my.salesforce.com/0014X00002VKCtWQAX", "0014X00002VKCtWQAX")</f>
        <v>0014X00002VKCtWQAX</v>
      </c>
      <c r="B441" s="2" t="s">
        <v>2651</v>
      </c>
      <c r="C441" s="2" t="s">
        <v>423</v>
      </c>
      <c r="D441" s="2" t="s">
        <v>2</v>
      </c>
      <c r="E441" s="2">
        <v>17.36</v>
      </c>
      <c r="F441" s="2">
        <v>0</v>
      </c>
      <c r="G441" s="2">
        <v>0</v>
      </c>
      <c r="H441" s="2">
        <v>1000</v>
      </c>
      <c r="I441" s="2">
        <v>150</v>
      </c>
      <c r="J441" s="2" t="s">
        <v>1779</v>
      </c>
      <c r="K441" s="2">
        <v>27</v>
      </c>
      <c r="L441" s="2">
        <v>10</v>
      </c>
      <c r="M441" s="2">
        <v>0</v>
      </c>
      <c r="N441" s="2">
        <v>0</v>
      </c>
      <c r="O441" s="2">
        <v>5</v>
      </c>
      <c r="P441" s="2">
        <v>12</v>
      </c>
      <c r="Q441" s="2" t="s">
        <v>2652</v>
      </c>
      <c r="R441" s="2" t="s">
        <v>2653</v>
      </c>
      <c r="S441" s="4">
        <v>44837</v>
      </c>
    </row>
    <row r="442" spans="1:19" ht="12.5" hidden="1" x14ac:dyDescent="0.25">
      <c r="A442" s="14" t="str">
        <f>HYPERLINK("https://gerandofalcoes.my.salesforce.com/0014X00002UGqWjQAL", "0014X00002UGqWjQAL")</f>
        <v>0014X00002UGqWjQAL</v>
      </c>
      <c r="B442" s="2" t="s">
        <v>2654</v>
      </c>
      <c r="C442" s="2" t="s">
        <v>423</v>
      </c>
      <c r="D442" s="2" t="s">
        <v>2</v>
      </c>
      <c r="E442" s="2">
        <v>17</v>
      </c>
      <c r="F442" s="2">
        <v>0</v>
      </c>
      <c r="G442" s="2">
        <v>2</v>
      </c>
      <c r="H442" s="2">
        <v>2000</v>
      </c>
      <c r="I442" s="2">
        <v>150</v>
      </c>
      <c r="J442" s="2" t="s">
        <v>1779</v>
      </c>
      <c r="K442" s="2">
        <v>33</v>
      </c>
      <c r="L442" s="2">
        <v>10</v>
      </c>
      <c r="M442" s="2">
        <v>0</v>
      </c>
      <c r="N442" s="2">
        <v>6</v>
      </c>
      <c r="O442" s="2">
        <v>5</v>
      </c>
      <c r="P442" s="2">
        <v>12</v>
      </c>
      <c r="Q442" s="2" t="s">
        <v>2655</v>
      </c>
      <c r="R442" s="2" t="s">
        <v>2656</v>
      </c>
      <c r="S442" s="4">
        <v>44837</v>
      </c>
    </row>
    <row r="443" spans="1:19" ht="12.5" hidden="1" x14ac:dyDescent="0.25">
      <c r="A443" s="14" t="str">
        <f>HYPERLINK("https://gerandofalcoes.my.salesforce.com/0014X00002VKCsGQAX", "0014X00002VKCsGQAX")</f>
        <v>0014X00002VKCsGQAX</v>
      </c>
      <c r="B443" s="2" t="s">
        <v>2657</v>
      </c>
      <c r="C443" s="2" t="s">
        <v>423</v>
      </c>
      <c r="D443" s="2" t="s">
        <v>2</v>
      </c>
      <c r="E443" s="2">
        <v>17</v>
      </c>
      <c r="F443" s="2">
        <v>0</v>
      </c>
      <c r="G443" s="2">
        <v>2</v>
      </c>
      <c r="H443" s="2">
        <v>50</v>
      </c>
      <c r="I443" s="2">
        <v>100</v>
      </c>
      <c r="J443" s="2" t="s">
        <v>1779</v>
      </c>
      <c r="K443" s="2">
        <v>31</v>
      </c>
      <c r="L443" s="2">
        <v>10</v>
      </c>
      <c r="M443" s="2">
        <v>0</v>
      </c>
      <c r="N443" s="2">
        <v>6</v>
      </c>
      <c r="O443" s="2">
        <v>5</v>
      </c>
      <c r="P443" s="2">
        <v>10</v>
      </c>
      <c r="Q443" s="2" t="s">
        <v>2658</v>
      </c>
      <c r="R443" s="2" t="s">
        <v>2659</v>
      </c>
      <c r="S443" s="4">
        <v>44837</v>
      </c>
    </row>
    <row r="444" spans="1:19" ht="12.5" hidden="1" x14ac:dyDescent="0.25">
      <c r="A444" s="14" t="str">
        <f>HYPERLINK("https://gerandofalcoes.my.salesforce.com/0014X00002VKCpMQAX", "0014X00002VKCpMQAX")</f>
        <v>0014X00002VKCpMQAX</v>
      </c>
      <c r="B444" s="2" t="s">
        <v>2660</v>
      </c>
      <c r="C444" s="2" t="s">
        <v>1800</v>
      </c>
      <c r="D444" s="2" t="s">
        <v>2</v>
      </c>
      <c r="E444" s="2">
        <v>17</v>
      </c>
      <c r="F444" s="2">
        <v>0</v>
      </c>
      <c r="G444" s="2">
        <v>2</v>
      </c>
      <c r="H444" s="2">
        <v>6000</v>
      </c>
      <c r="I444" s="2">
        <v>90</v>
      </c>
      <c r="J444" s="2" t="s">
        <v>1779</v>
      </c>
      <c r="K444" s="2">
        <v>31</v>
      </c>
      <c r="L444" s="2">
        <v>10</v>
      </c>
      <c r="M444" s="2">
        <v>0</v>
      </c>
      <c r="N444" s="2">
        <v>6</v>
      </c>
      <c r="O444" s="2">
        <v>5</v>
      </c>
      <c r="P444" s="2">
        <v>10</v>
      </c>
      <c r="Q444" s="2" t="s">
        <v>2661</v>
      </c>
      <c r="R444" s="2" t="s">
        <v>2661</v>
      </c>
      <c r="S444" s="4">
        <v>44837</v>
      </c>
    </row>
    <row r="445" spans="1:19" ht="12.5" hidden="1" x14ac:dyDescent="0.25">
      <c r="A445" s="14" t="str">
        <f>HYPERLINK("https://gerandofalcoes.my.salesforce.com/0014X00002QTWZVQA5", "0014X00002QTWZVQA5")</f>
        <v>0014X00002QTWZVQA5</v>
      </c>
      <c r="B445" s="2" t="s">
        <v>2662</v>
      </c>
      <c r="C445" s="2" t="s">
        <v>1800</v>
      </c>
      <c r="D445" s="2" t="s">
        <v>2</v>
      </c>
      <c r="E445" s="2">
        <v>17</v>
      </c>
      <c r="F445" s="2">
        <v>4</v>
      </c>
      <c r="G445" s="2">
        <v>3</v>
      </c>
      <c r="H445" s="2">
        <v>69000</v>
      </c>
      <c r="I445" s="2">
        <v>35</v>
      </c>
      <c r="J445" s="2" t="s">
        <v>1779</v>
      </c>
      <c r="K445" s="2">
        <v>38</v>
      </c>
      <c r="L445" s="2">
        <v>10</v>
      </c>
      <c r="M445" s="2">
        <v>5</v>
      </c>
      <c r="N445" s="2">
        <v>8</v>
      </c>
      <c r="O445" s="2">
        <v>10</v>
      </c>
      <c r="P445" s="2">
        <v>5</v>
      </c>
      <c r="Q445" s="2" t="s">
        <v>2663</v>
      </c>
      <c r="R445" s="2" t="s">
        <v>2664</v>
      </c>
      <c r="S445" s="4">
        <v>44837</v>
      </c>
    </row>
    <row r="446" spans="1:19" ht="12.5" hidden="1" x14ac:dyDescent="0.25">
      <c r="A446" s="14" t="str">
        <f>HYPERLINK("https://gerandofalcoes.my.salesforce.com/0014X00002VKCtVQAX", "0014X00002VKCtVQAX")</f>
        <v>0014X00002VKCtVQAX</v>
      </c>
      <c r="B446" s="2" t="s">
        <v>2665</v>
      </c>
      <c r="C446" s="2" t="s">
        <v>1800</v>
      </c>
      <c r="D446" s="2" t="s">
        <v>2</v>
      </c>
      <c r="E446" s="2">
        <v>17</v>
      </c>
      <c r="F446" s="2">
        <v>8</v>
      </c>
      <c r="G446" s="2">
        <v>2</v>
      </c>
      <c r="H446" s="2">
        <v>8000</v>
      </c>
      <c r="I446" s="2">
        <v>16</v>
      </c>
      <c r="J446" s="2" t="s">
        <v>1779</v>
      </c>
      <c r="K446" s="2">
        <v>36</v>
      </c>
      <c r="L446" s="2">
        <v>10</v>
      </c>
      <c r="M446" s="2">
        <v>10</v>
      </c>
      <c r="N446" s="2">
        <v>6</v>
      </c>
      <c r="O446" s="2">
        <v>5</v>
      </c>
      <c r="P446" s="2">
        <v>5</v>
      </c>
      <c r="Q446" s="2" t="s">
        <v>2666</v>
      </c>
      <c r="R446" s="2" t="s">
        <v>2666</v>
      </c>
      <c r="S446" s="4">
        <v>44837</v>
      </c>
    </row>
    <row r="447" spans="1:19" ht="12.5" hidden="1" x14ac:dyDescent="0.25">
      <c r="A447" s="14" t="str">
        <f>HYPERLINK("https://gerandofalcoes.my.salesforce.com/0014X00002VKCslQAH", "0014X00002VKCslQAH")</f>
        <v>0014X00002VKCslQAH</v>
      </c>
      <c r="B447" s="2" t="s">
        <v>2667</v>
      </c>
      <c r="C447" s="2" t="s">
        <v>423</v>
      </c>
      <c r="D447" s="2" t="s">
        <v>2</v>
      </c>
      <c r="E447" s="2">
        <v>17</v>
      </c>
      <c r="F447" s="2">
        <v>0</v>
      </c>
      <c r="G447" s="2">
        <v>2</v>
      </c>
      <c r="H447" s="2">
        <v>18000</v>
      </c>
      <c r="I447" s="2">
        <v>10</v>
      </c>
      <c r="J447" s="2" t="s">
        <v>1779</v>
      </c>
      <c r="K447" s="2">
        <v>26</v>
      </c>
      <c r="L447" s="2">
        <v>10</v>
      </c>
      <c r="M447" s="2">
        <v>0</v>
      </c>
      <c r="N447" s="2">
        <v>6</v>
      </c>
      <c r="O447" s="2">
        <v>5</v>
      </c>
      <c r="P447" s="2">
        <v>5</v>
      </c>
      <c r="Q447" s="2" t="s">
        <v>2668</v>
      </c>
      <c r="R447" s="2" t="s">
        <v>2669</v>
      </c>
      <c r="S447" s="4">
        <v>44837</v>
      </c>
    </row>
    <row r="448" spans="1:19" ht="12.5" hidden="1" x14ac:dyDescent="0.25">
      <c r="A448" s="14" t="str">
        <f>HYPERLINK("https://gerandofalcoes.my.salesforce.com/0014X00002VKCrIQAX", "0014X00002VKCrIQAX")</f>
        <v>0014X00002VKCrIQAX</v>
      </c>
      <c r="B448" s="2" t="s">
        <v>2670</v>
      </c>
      <c r="C448" s="2" t="s">
        <v>1684</v>
      </c>
      <c r="D448" s="2" t="s">
        <v>2</v>
      </c>
      <c r="E448" s="2">
        <v>17</v>
      </c>
      <c r="F448" s="2">
        <v>0</v>
      </c>
      <c r="G448" s="2">
        <v>2</v>
      </c>
      <c r="H448" s="2">
        <v>1</v>
      </c>
      <c r="I448" s="2">
        <v>0</v>
      </c>
      <c r="J448" s="2" t="s">
        <v>1779</v>
      </c>
      <c r="K448" s="2">
        <v>21</v>
      </c>
      <c r="L448" s="2">
        <v>10</v>
      </c>
      <c r="M448" s="2">
        <v>0</v>
      </c>
      <c r="N448" s="2">
        <v>6</v>
      </c>
      <c r="O448" s="2">
        <v>5</v>
      </c>
      <c r="P448" s="2">
        <v>0</v>
      </c>
      <c r="Q448" s="2" t="s">
        <v>2671</v>
      </c>
      <c r="R448" s="2" t="s">
        <v>2671</v>
      </c>
      <c r="S448" s="4">
        <v>44837</v>
      </c>
    </row>
    <row r="449" spans="1:19" ht="12.5" hidden="1" x14ac:dyDescent="0.25">
      <c r="A449" s="14" t="str">
        <f>HYPERLINK("https://gerandofalcoes.my.salesforce.com/0014X00002VKCtJQAX", "0014X00002VKCtJQAX")</f>
        <v>0014X00002VKCtJQAX</v>
      </c>
      <c r="B449" s="2" t="s">
        <v>2672</v>
      </c>
      <c r="C449" s="2" t="s">
        <v>423</v>
      </c>
      <c r="D449" s="2" t="s">
        <v>2</v>
      </c>
      <c r="E449" s="2">
        <v>17</v>
      </c>
      <c r="F449" s="2">
        <v>0</v>
      </c>
      <c r="G449" s="2">
        <v>3</v>
      </c>
      <c r="H449" s="2">
        <v>0</v>
      </c>
      <c r="I449" s="2">
        <v>0</v>
      </c>
      <c r="J449" s="2" t="s">
        <v>1779</v>
      </c>
      <c r="K449" s="2">
        <v>18</v>
      </c>
      <c r="L449" s="2">
        <v>10</v>
      </c>
      <c r="M449" s="2">
        <v>0</v>
      </c>
      <c r="N449" s="2">
        <v>8</v>
      </c>
      <c r="O449" s="2">
        <v>0</v>
      </c>
      <c r="P449" s="2">
        <v>0</v>
      </c>
      <c r="Q449" s="2" t="s">
        <v>2673</v>
      </c>
      <c r="R449" s="2" t="s">
        <v>2674</v>
      </c>
      <c r="S449" s="4">
        <v>44837</v>
      </c>
    </row>
    <row r="450" spans="1:19" ht="12.5" hidden="1" x14ac:dyDescent="0.25">
      <c r="A450" s="14" t="str">
        <f>HYPERLINK("https://gerandofalcoes.my.salesforce.com/0014X00002VKCuVQAX", "0014X00002VKCuVQAX")</f>
        <v>0014X00002VKCuVQAX</v>
      </c>
      <c r="B450" s="2" t="s">
        <v>2675</v>
      </c>
      <c r="C450" s="2" t="s">
        <v>1800</v>
      </c>
      <c r="D450" s="2" t="s">
        <v>2</v>
      </c>
      <c r="E450" s="2">
        <v>17</v>
      </c>
      <c r="F450" s="2">
        <v>0</v>
      </c>
      <c r="G450" s="2">
        <v>2</v>
      </c>
      <c r="H450" s="2">
        <v>12000</v>
      </c>
      <c r="I450" s="2">
        <v>0</v>
      </c>
      <c r="J450" s="2" t="s">
        <v>1779</v>
      </c>
      <c r="K450" s="2">
        <v>21</v>
      </c>
      <c r="L450" s="2">
        <v>10</v>
      </c>
      <c r="M450" s="2">
        <v>0</v>
      </c>
      <c r="N450" s="2">
        <v>6</v>
      </c>
      <c r="O450" s="2">
        <v>5</v>
      </c>
      <c r="P450" s="2">
        <v>0</v>
      </c>
      <c r="Q450" s="2" t="s">
        <v>2676</v>
      </c>
      <c r="R450" s="2" t="s">
        <v>2676</v>
      </c>
      <c r="S450" s="4">
        <v>44837</v>
      </c>
    </row>
    <row r="451" spans="1:19" ht="12.5" hidden="1" x14ac:dyDescent="0.25">
      <c r="A451" s="14" t="str">
        <f>HYPERLINK("https://gerandofalcoes.my.salesforce.com/0014X00002VKD06QAH", "0014X00002VKD06QAH")</f>
        <v>0014X00002VKD06QAH</v>
      </c>
      <c r="B451" s="2" t="s">
        <v>2677</v>
      </c>
      <c r="C451" s="2" t="s">
        <v>423</v>
      </c>
      <c r="D451" s="2" t="s">
        <v>2</v>
      </c>
      <c r="E451" s="2">
        <v>16.739999999999998</v>
      </c>
      <c r="F451" s="2">
        <v>17</v>
      </c>
      <c r="G451" s="2">
        <v>4</v>
      </c>
      <c r="H451" s="2">
        <v>56138481</v>
      </c>
      <c r="I451" s="2">
        <v>74</v>
      </c>
      <c r="J451" s="2" t="s">
        <v>1671</v>
      </c>
      <c r="K451" s="2">
        <v>62</v>
      </c>
      <c r="L451" s="2">
        <v>10</v>
      </c>
      <c r="M451" s="2">
        <v>12</v>
      </c>
      <c r="N451" s="2">
        <v>10</v>
      </c>
      <c r="O451" s="2">
        <v>25</v>
      </c>
      <c r="P451" s="2">
        <v>5</v>
      </c>
      <c r="Q451" s="2" t="s">
        <v>2678</v>
      </c>
      <c r="R451" s="2" t="s">
        <v>2679</v>
      </c>
      <c r="S451" s="4">
        <v>44837</v>
      </c>
    </row>
    <row r="452" spans="1:19" ht="12.5" hidden="1" x14ac:dyDescent="0.25">
      <c r="A452" s="14" t="str">
        <f>HYPERLINK("https://gerandofalcoes.my.salesforce.com/0014P00003YSp7iQAD", "0014P00003YSp7iQAD")</f>
        <v>0014P00003YSp7iQAD</v>
      </c>
      <c r="B452" s="2" t="s">
        <v>2680</v>
      </c>
      <c r="C452" s="2" t="s">
        <v>423</v>
      </c>
      <c r="D452" s="2" t="s">
        <v>2</v>
      </c>
      <c r="E452" s="2">
        <v>16.309999999999999</v>
      </c>
      <c r="F452" s="2">
        <v>0</v>
      </c>
      <c r="G452" s="2">
        <v>1</v>
      </c>
      <c r="H452" s="2">
        <v>2000</v>
      </c>
      <c r="I452" s="2">
        <v>300</v>
      </c>
      <c r="J452" s="2" t="s">
        <v>1779</v>
      </c>
      <c r="K452" s="2">
        <v>34</v>
      </c>
      <c r="L452" s="2">
        <v>10</v>
      </c>
      <c r="M452" s="2">
        <v>0</v>
      </c>
      <c r="N452" s="2">
        <v>4</v>
      </c>
      <c r="O452" s="2">
        <v>5</v>
      </c>
      <c r="P452" s="2">
        <v>15</v>
      </c>
      <c r="Q452" s="2" t="s">
        <v>2681</v>
      </c>
      <c r="R452" s="2" t="s">
        <v>2682</v>
      </c>
      <c r="S452" s="4">
        <v>44837</v>
      </c>
    </row>
    <row r="453" spans="1:19" ht="12.5" hidden="1" x14ac:dyDescent="0.25">
      <c r="A453" s="14" t="str">
        <f>HYPERLINK("https://gerandofalcoes.my.salesforce.com/0014X00002VKCqjQAH", "0014X00002VKCqjQAH")</f>
        <v>0014X00002VKCqjQAH</v>
      </c>
      <c r="B453" s="2" t="s">
        <v>2683</v>
      </c>
      <c r="C453" s="2" t="s">
        <v>423</v>
      </c>
      <c r="D453" s="2" t="s">
        <v>2</v>
      </c>
      <c r="E453" s="2">
        <v>16.13</v>
      </c>
      <c r="F453" s="2">
        <v>0</v>
      </c>
      <c r="G453" s="2">
        <v>3</v>
      </c>
      <c r="H453" s="2">
        <v>8000</v>
      </c>
      <c r="I453" s="2">
        <v>200</v>
      </c>
      <c r="J453" s="2" t="s">
        <v>1779</v>
      </c>
      <c r="K453" s="2">
        <v>35</v>
      </c>
      <c r="L453" s="2">
        <v>10</v>
      </c>
      <c r="M453" s="2">
        <v>0</v>
      </c>
      <c r="N453" s="2">
        <v>8</v>
      </c>
      <c r="O453" s="2">
        <v>5</v>
      </c>
      <c r="P453" s="2">
        <v>12</v>
      </c>
      <c r="Q453" s="2" t="s">
        <v>2684</v>
      </c>
      <c r="R453" s="2" t="s">
        <v>2685</v>
      </c>
      <c r="S453" s="4">
        <v>44837</v>
      </c>
    </row>
    <row r="454" spans="1:19" ht="12.5" hidden="1" x14ac:dyDescent="0.25">
      <c r="A454" s="14" t="str">
        <f>HYPERLINK("https://gerandofalcoes.my.salesforce.com/0014P00003YSp8wQAD", "0014P00003YSp8wQAD")</f>
        <v>0014P00003YSp8wQAD</v>
      </c>
      <c r="B454" s="2" t="s">
        <v>2686</v>
      </c>
      <c r="C454" s="2" t="s">
        <v>423</v>
      </c>
      <c r="D454" s="2" t="s">
        <v>2</v>
      </c>
      <c r="E454" s="2">
        <v>16</v>
      </c>
      <c r="F454" s="2">
        <v>8</v>
      </c>
      <c r="G454" s="2">
        <v>2</v>
      </c>
      <c r="H454" s="2">
        <v>55000</v>
      </c>
      <c r="I454" s="2">
        <v>3000</v>
      </c>
      <c r="J454" s="2" t="s">
        <v>1671</v>
      </c>
      <c r="K454" s="2">
        <v>56</v>
      </c>
      <c r="L454" s="2">
        <v>10</v>
      </c>
      <c r="M454" s="2">
        <v>10</v>
      </c>
      <c r="N454" s="2">
        <v>6</v>
      </c>
      <c r="O454" s="2">
        <v>10</v>
      </c>
      <c r="P454" s="2">
        <v>20</v>
      </c>
      <c r="Q454" s="2" t="s">
        <v>2687</v>
      </c>
      <c r="R454" s="2" t="s">
        <v>2688</v>
      </c>
      <c r="S454" s="4">
        <v>44837</v>
      </c>
    </row>
    <row r="455" spans="1:19" ht="12.5" hidden="1" x14ac:dyDescent="0.25">
      <c r="A455" s="14" t="str">
        <f>HYPERLINK("https://gerandofalcoes.my.salesforce.com/0014X00002VKCpcQAH", "0014X00002VKCpcQAH")</f>
        <v>0014X00002VKCpcQAH</v>
      </c>
      <c r="B455" s="2" t="s">
        <v>2689</v>
      </c>
      <c r="C455" s="2" t="s">
        <v>1800</v>
      </c>
      <c r="D455" s="2" t="s">
        <v>2</v>
      </c>
      <c r="E455" s="2">
        <v>16</v>
      </c>
      <c r="F455" s="2">
        <v>0</v>
      </c>
      <c r="G455" s="2">
        <v>2</v>
      </c>
      <c r="H455" s="2">
        <v>98000</v>
      </c>
      <c r="I455" s="2">
        <v>20</v>
      </c>
      <c r="J455" s="2" t="s">
        <v>1779</v>
      </c>
      <c r="K455" s="2">
        <v>31</v>
      </c>
      <c r="L455" s="2">
        <v>10</v>
      </c>
      <c r="M455" s="2">
        <v>0</v>
      </c>
      <c r="N455" s="2">
        <v>6</v>
      </c>
      <c r="O455" s="2">
        <v>10</v>
      </c>
      <c r="P455" s="2">
        <v>5</v>
      </c>
      <c r="Q455" s="2" t="s">
        <v>2690</v>
      </c>
      <c r="R455" s="2" t="s">
        <v>2690</v>
      </c>
      <c r="S455" s="4">
        <v>44837</v>
      </c>
    </row>
    <row r="456" spans="1:19" ht="12.5" hidden="1" x14ac:dyDescent="0.25">
      <c r="A456" s="14" t="str">
        <f>HYPERLINK("https://gerandofalcoes.my.salesforce.com/0014P00003YSp9dQAD", "0014P00003YSp9dQAD")</f>
        <v>0014P00003YSp9dQAD</v>
      </c>
      <c r="B456" s="2" t="s">
        <v>2691</v>
      </c>
      <c r="C456" s="2" t="s">
        <v>1684</v>
      </c>
      <c r="D456" s="2" t="s">
        <v>2</v>
      </c>
      <c r="E456" s="2">
        <v>16</v>
      </c>
      <c r="F456" s="2">
        <v>0</v>
      </c>
      <c r="G456" s="2">
        <v>2</v>
      </c>
      <c r="H456" s="2">
        <v>10000</v>
      </c>
      <c r="I456" s="2">
        <v>0</v>
      </c>
      <c r="J456" s="2" t="s">
        <v>1779</v>
      </c>
      <c r="K456" s="2">
        <v>21</v>
      </c>
      <c r="L456" s="2">
        <v>10</v>
      </c>
      <c r="M456" s="2">
        <v>0</v>
      </c>
      <c r="N456" s="2">
        <v>6</v>
      </c>
      <c r="O456" s="2">
        <v>5</v>
      </c>
      <c r="P456" s="2">
        <v>0</v>
      </c>
      <c r="Q456" s="2" t="s">
        <v>2692</v>
      </c>
      <c r="R456" s="2" t="s">
        <v>2693</v>
      </c>
      <c r="S456" s="4">
        <v>44837</v>
      </c>
    </row>
    <row r="457" spans="1:19" ht="12.5" hidden="1" x14ac:dyDescent="0.25">
      <c r="A457" s="14" t="str">
        <f>HYPERLINK("https://gerandofalcoes.my.salesforce.com/0014P00003YSp7OQAT", "0014P00003YSp7OQAT")</f>
        <v>0014P00003YSp7OQAT</v>
      </c>
      <c r="B457" s="2" t="s">
        <v>2694</v>
      </c>
      <c r="C457" s="2" t="s">
        <v>423</v>
      </c>
      <c r="D457" s="2" t="s">
        <v>2</v>
      </c>
      <c r="E457" s="2">
        <v>15.95</v>
      </c>
      <c r="F457" s="2">
        <v>5</v>
      </c>
      <c r="G457" s="2">
        <v>1</v>
      </c>
      <c r="H457" s="2">
        <v>20785</v>
      </c>
      <c r="I457" s="2">
        <v>20</v>
      </c>
      <c r="J457" s="2" t="s">
        <v>1779</v>
      </c>
      <c r="K457" s="2">
        <v>29</v>
      </c>
      <c r="L457" s="2">
        <v>10</v>
      </c>
      <c r="M457" s="2">
        <v>5</v>
      </c>
      <c r="N457" s="2">
        <v>4</v>
      </c>
      <c r="O457" s="2">
        <v>5</v>
      </c>
      <c r="P457" s="2">
        <v>5</v>
      </c>
      <c r="Q457" s="2" t="s">
        <v>2695</v>
      </c>
      <c r="R457" s="2" t="s">
        <v>2696</v>
      </c>
      <c r="S457" s="4">
        <v>44837</v>
      </c>
    </row>
    <row r="458" spans="1:19" ht="12.5" hidden="1" x14ac:dyDescent="0.25">
      <c r="A458" s="14" t="str">
        <f>HYPERLINK("https://gerandofalcoes.my.salesforce.com/0014P00003YSp91QAD", "0014P00003YSp91QAD")</f>
        <v>0014P00003YSp91QAD</v>
      </c>
      <c r="B458" s="2" t="s">
        <v>2697</v>
      </c>
      <c r="C458" s="2" t="s">
        <v>423</v>
      </c>
      <c r="D458" s="2" t="s">
        <v>2</v>
      </c>
      <c r="E458" s="2">
        <v>15.63</v>
      </c>
      <c r="F458" s="2">
        <v>8</v>
      </c>
      <c r="G458" s="2">
        <v>1</v>
      </c>
      <c r="H458" s="2">
        <v>24000</v>
      </c>
      <c r="I458" s="2">
        <v>200</v>
      </c>
      <c r="J458" s="2" t="s">
        <v>1671</v>
      </c>
      <c r="K458" s="2">
        <v>41</v>
      </c>
      <c r="L458" s="2">
        <v>10</v>
      </c>
      <c r="M458" s="2">
        <v>10</v>
      </c>
      <c r="N458" s="2">
        <v>4</v>
      </c>
      <c r="O458" s="2">
        <v>5</v>
      </c>
      <c r="P458" s="2">
        <v>12</v>
      </c>
      <c r="Q458" s="2" t="s">
        <v>2698</v>
      </c>
      <c r="R458" s="2" t="s">
        <v>2699</v>
      </c>
      <c r="S458" s="4">
        <v>44837</v>
      </c>
    </row>
    <row r="459" spans="1:19" ht="12.5" hidden="1" x14ac:dyDescent="0.25">
      <c r="A459" s="14" t="str">
        <f>HYPERLINK("https://gerandofalcoes.my.salesforce.com/0014X00002VKCqsQAH", "0014X00002VKCqsQAH")</f>
        <v>0014X00002VKCqsQAH</v>
      </c>
      <c r="B459" s="2" t="s">
        <v>2700</v>
      </c>
      <c r="C459" s="2" t="s">
        <v>423</v>
      </c>
      <c r="D459" s="2" t="s">
        <v>2</v>
      </c>
      <c r="E459" s="2">
        <v>15.37</v>
      </c>
      <c r="F459" s="2">
        <v>8</v>
      </c>
      <c r="G459" s="2">
        <v>2</v>
      </c>
      <c r="H459" s="2">
        <v>47000</v>
      </c>
      <c r="I459" s="2">
        <v>100</v>
      </c>
      <c r="J459" s="2" t="s">
        <v>1671</v>
      </c>
      <c r="K459" s="2">
        <v>46</v>
      </c>
      <c r="L459" s="2">
        <v>10</v>
      </c>
      <c r="M459" s="2">
        <v>10</v>
      </c>
      <c r="N459" s="2">
        <v>6</v>
      </c>
      <c r="O459" s="2">
        <v>10</v>
      </c>
      <c r="P459" s="2">
        <v>10</v>
      </c>
      <c r="Q459" s="2" t="s">
        <v>2701</v>
      </c>
      <c r="R459" s="2" t="s">
        <v>2702</v>
      </c>
      <c r="S459" s="4">
        <v>44837</v>
      </c>
    </row>
    <row r="460" spans="1:19" ht="12.5" hidden="1" x14ac:dyDescent="0.25">
      <c r="A460" s="14" t="str">
        <f>HYPERLINK("https://gerandofalcoes.my.salesforce.com/0014X00002VKCtNQAX", "0014X00002VKCtNQAX")</f>
        <v>0014X00002VKCtNQAX</v>
      </c>
      <c r="B460" s="2" t="s">
        <v>2703</v>
      </c>
      <c r="C460" s="2" t="s">
        <v>423</v>
      </c>
      <c r="D460" s="2" t="s">
        <v>2</v>
      </c>
      <c r="E460" s="2">
        <v>15.28</v>
      </c>
      <c r="F460" s="2">
        <v>0</v>
      </c>
      <c r="G460" s="2">
        <v>2</v>
      </c>
      <c r="H460" s="2">
        <v>2014715</v>
      </c>
      <c r="I460" s="2">
        <v>50</v>
      </c>
      <c r="J460" s="2" t="s">
        <v>1671</v>
      </c>
      <c r="K460" s="2">
        <v>46</v>
      </c>
      <c r="L460" s="2">
        <v>10</v>
      </c>
      <c r="M460" s="2">
        <v>0</v>
      </c>
      <c r="N460" s="2">
        <v>6</v>
      </c>
      <c r="O460" s="2">
        <v>25</v>
      </c>
      <c r="P460" s="2">
        <v>5</v>
      </c>
      <c r="Q460" s="2" t="s">
        <v>2704</v>
      </c>
      <c r="R460" s="2" t="s">
        <v>2705</v>
      </c>
      <c r="S460" s="4">
        <v>44837</v>
      </c>
    </row>
    <row r="461" spans="1:19" ht="12.5" hidden="1" x14ac:dyDescent="0.25">
      <c r="A461" s="14" t="str">
        <f>HYPERLINK("https://gerandofalcoes.my.salesforce.com/0014X00002VKCt3QAH", "0014X00002VKCt3QAH")</f>
        <v>0014X00002VKCt3QAH</v>
      </c>
      <c r="B461" s="2" t="s">
        <v>2706</v>
      </c>
      <c r="C461" s="2" t="s">
        <v>423</v>
      </c>
      <c r="D461" s="2" t="s">
        <v>2</v>
      </c>
      <c r="E461" s="2">
        <v>15.21</v>
      </c>
      <c r="F461" s="2">
        <v>0</v>
      </c>
      <c r="G461" s="2">
        <v>0</v>
      </c>
      <c r="H461" s="2">
        <v>0</v>
      </c>
      <c r="I461" s="2">
        <v>100</v>
      </c>
      <c r="J461" s="2" t="s">
        <v>1779</v>
      </c>
      <c r="K461" s="2">
        <v>20</v>
      </c>
      <c r="L461" s="2">
        <v>10</v>
      </c>
      <c r="M461" s="2">
        <v>0</v>
      </c>
      <c r="N461" s="2">
        <v>0</v>
      </c>
      <c r="O461" s="2">
        <v>0</v>
      </c>
      <c r="P461" s="2">
        <v>10</v>
      </c>
      <c r="Q461" s="2" t="s">
        <v>2707</v>
      </c>
      <c r="R461" s="2" t="s">
        <v>2708</v>
      </c>
      <c r="S461" s="4">
        <v>44837</v>
      </c>
    </row>
    <row r="462" spans="1:19" ht="12.5" hidden="1" x14ac:dyDescent="0.25">
      <c r="A462" s="14" t="str">
        <f>HYPERLINK("https://gerandofalcoes.my.salesforce.com/0014P00003YSp80QAD", "0014P00003YSp80QAD")</f>
        <v>0014P00003YSp80QAD</v>
      </c>
      <c r="B462" s="2" t="s">
        <v>2709</v>
      </c>
      <c r="C462" s="2" t="s">
        <v>423</v>
      </c>
      <c r="D462" s="2" t="s">
        <v>2</v>
      </c>
      <c r="E462" s="2">
        <v>15.15</v>
      </c>
      <c r="F462" s="2">
        <v>1</v>
      </c>
      <c r="G462" s="2">
        <v>4</v>
      </c>
      <c r="H462" s="2">
        <v>17400</v>
      </c>
      <c r="I462" s="2">
        <v>87</v>
      </c>
      <c r="J462" s="2" t="s">
        <v>1671</v>
      </c>
      <c r="K462" s="2">
        <v>40</v>
      </c>
      <c r="L462" s="2">
        <v>10</v>
      </c>
      <c r="M462" s="2">
        <v>5</v>
      </c>
      <c r="N462" s="2">
        <v>10</v>
      </c>
      <c r="O462" s="2">
        <v>5</v>
      </c>
      <c r="P462" s="2">
        <v>10</v>
      </c>
      <c r="Q462" s="2" t="s">
        <v>2710</v>
      </c>
      <c r="R462" s="2" t="s">
        <v>2710</v>
      </c>
      <c r="S462" s="4">
        <v>44837</v>
      </c>
    </row>
    <row r="463" spans="1:19" ht="12.5" hidden="1" x14ac:dyDescent="0.25">
      <c r="A463" s="14" t="str">
        <f>HYPERLINK("https://gerandofalcoes.my.salesforce.com/0014P00003AN2GGQA1", "0014P00003AN2GGQA1")</f>
        <v>0014P00003AN2GGQA1</v>
      </c>
      <c r="B463" s="2" t="s">
        <v>2711</v>
      </c>
      <c r="C463" s="2" t="s">
        <v>423</v>
      </c>
      <c r="D463" s="2" t="s">
        <v>2</v>
      </c>
      <c r="E463" s="2">
        <v>15.14</v>
      </c>
      <c r="F463" s="2">
        <v>5</v>
      </c>
      <c r="G463" s="2">
        <v>1</v>
      </c>
      <c r="H463" s="2">
        <v>0</v>
      </c>
      <c r="I463" s="2">
        <v>25</v>
      </c>
      <c r="J463" s="2" t="s">
        <v>1779</v>
      </c>
      <c r="K463" s="2">
        <v>24</v>
      </c>
      <c r="L463" s="2">
        <v>10</v>
      </c>
      <c r="M463" s="2">
        <v>5</v>
      </c>
      <c r="N463" s="2">
        <v>4</v>
      </c>
      <c r="O463" s="2">
        <v>0</v>
      </c>
      <c r="P463" s="2">
        <v>5</v>
      </c>
      <c r="Q463" s="2" t="s">
        <v>2712</v>
      </c>
      <c r="R463" s="2" t="s">
        <v>2712</v>
      </c>
      <c r="S463" s="4">
        <v>44837</v>
      </c>
    </row>
    <row r="464" spans="1:19" ht="12.5" hidden="1" x14ac:dyDescent="0.25">
      <c r="A464" s="14" t="str">
        <f>HYPERLINK("https://gerandofalcoes.my.salesforce.com/0014P00003YSp7hQAD", "0014P00003YSp7hQAD")</f>
        <v>0014P00003YSp7hQAD</v>
      </c>
      <c r="B464" s="2" t="s">
        <v>2713</v>
      </c>
      <c r="C464" s="2" t="s">
        <v>423</v>
      </c>
      <c r="D464" s="2" t="s">
        <v>2</v>
      </c>
      <c r="E464" s="2">
        <v>15</v>
      </c>
      <c r="F464" s="2">
        <v>4</v>
      </c>
      <c r="G464" s="2">
        <v>3</v>
      </c>
      <c r="H464" s="2">
        <v>89000</v>
      </c>
      <c r="I464" s="2">
        <v>820</v>
      </c>
      <c r="J464" s="2" t="s">
        <v>1671</v>
      </c>
      <c r="K464" s="2">
        <v>53</v>
      </c>
      <c r="L464" s="2">
        <v>10</v>
      </c>
      <c r="M464" s="2">
        <v>5</v>
      </c>
      <c r="N464" s="2">
        <v>8</v>
      </c>
      <c r="O464" s="2">
        <v>10</v>
      </c>
      <c r="P464" s="2">
        <v>20</v>
      </c>
      <c r="Q464" s="2" t="s">
        <v>2714</v>
      </c>
      <c r="R464" s="2" t="s">
        <v>2714</v>
      </c>
      <c r="S464" s="4">
        <v>44837</v>
      </c>
    </row>
    <row r="465" spans="1:19" ht="12.5" hidden="1" x14ac:dyDescent="0.25">
      <c r="A465" s="14" t="str">
        <f>HYPERLINK("https://gerandofalcoes.my.salesforce.com/0014X00002VKCrOQAX", "0014X00002VKCrOQAX")</f>
        <v>0014X00002VKCrOQAX</v>
      </c>
      <c r="B465" s="2" t="s">
        <v>2715</v>
      </c>
      <c r="C465" s="2" t="s">
        <v>1800</v>
      </c>
      <c r="D465" s="2" t="s">
        <v>2</v>
      </c>
      <c r="E465" s="2">
        <v>15</v>
      </c>
      <c r="F465" s="2">
        <v>0</v>
      </c>
      <c r="G465" s="2">
        <v>3</v>
      </c>
      <c r="H465" s="2">
        <v>15000</v>
      </c>
      <c r="I465" s="2">
        <v>255</v>
      </c>
      <c r="J465" s="2" t="s">
        <v>1779</v>
      </c>
      <c r="K465" s="2">
        <v>35</v>
      </c>
      <c r="L465" s="2">
        <v>10</v>
      </c>
      <c r="M465" s="2">
        <v>0</v>
      </c>
      <c r="N465" s="2">
        <v>8</v>
      </c>
      <c r="O465" s="2">
        <v>5</v>
      </c>
      <c r="P465" s="2">
        <v>12</v>
      </c>
      <c r="Q465" s="2" t="s">
        <v>2716</v>
      </c>
      <c r="R465" s="2" t="s">
        <v>2716</v>
      </c>
      <c r="S465" s="4">
        <v>44837</v>
      </c>
    </row>
    <row r="466" spans="1:19" ht="12.5" hidden="1" x14ac:dyDescent="0.25">
      <c r="A466" s="14" t="str">
        <f>HYPERLINK("https://gerandofalcoes.my.salesforce.com/0014X00002VKCtEQAX", "0014X00002VKCtEQAX")</f>
        <v>0014X00002VKCtEQAX</v>
      </c>
      <c r="B466" s="2" t="s">
        <v>2717</v>
      </c>
      <c r="C466" s="2" t="s">
        <v>423</v>
      </c>
      <c r="D466" s="2" t="s">
        <v>2</v>
      </c>
      <c r="E466" s="2">
        <v>15</v>
      </c>
      <c r="F466" s="2">
        <v>0</v>
      </c>
      <c r="G466" s="2">
        <v>3</v>
      </c>
      <c r="H466" s="2">
        <v>0</v>
      </c>
      <c r="I466" s="2">
        <v>187</v>
      </c>
      <c r="J466" s="2" t="s">
        <v>1779</v>
      </c>
      <c r="K466" s="2">
        <v>30</v>
      </c>
      <c r="L466" s="2">
        <v>10</v>
      </c>
      <c r="M466" s="2">
        <v>0</v>
      </c>
      <c r="N466" s="2">
        <v>8</v>
      </c>
      <c r="O466" s="2">
        <v>0</v>
      </c>
      <c r="P466" s="2">
        <v>12</v>
      </c>
      <c r="Q466" s="2" t="s">
        <v>2718</v>
      </c>
      <c r="R466" s="2" t="s">
        <v>2719</v>
      </c>
      <c r="S466" s="4">
        <v>44837</v>
      </c>
    </row>
    <row r="467" spans="1:19" ht="12.5" hidden="1" x14ac:dyDescent="0.25">
      <c r="A467" s="14" t="str">
        <f>HYPERLINK("https://gerandofalcoes.my.salesforce.com/0014P00003SGWPeQAP", "0014P00003SGWPeQAP")</f>
        <v>0014P00003SGWPeQAP</v>
      </c>
      <c r="B467" s="2" t="s">
        <v>2720</v>
      </c>
      <c r="C467" s="2" t="s">
        <v>423</v>
      </c>
      <c r="D467" s="2" t="s">
        <v>2</v>
      </c>
      <c r="E467" s="2">
        <v>15</v>
      </c>
      <c r="F467" s="2">
        <v>0</v>
      </c>
      <c r="G467" s="2">
        <v>1</v>
      </c>
      <c r="H467" s="2">
        <v>12000</v>
      </c>
      <c r="I467" s="2">
        <v>70</v>
      </c>
      <c r="J467" s="2" t="s">
        <v>1779</v>
      </c>
      <c r="K467" s="2">
        <v>24</v>
      </c>
      <c r="L467" s="2">
        <v>10</v>
      </c>
      <c r="M467" s="2">
        <v>0</v>
      </c>
      <c r="N467" s="2">
        <v>4</v>
      </c>
      <c r="O467" s="2">
        <v>5</v>
      </c>
      <c r="P467" s="2">
        <v>5</v>
      </c>
      <c r="Q467" s="2" t="s">
        <v>291</v>
      </c>
      <c r="R467" s="2" t="s">
        <v>1288</v>
      </c>
      <c r="S467" s="4">
        <v>44837</v>
      </c>
    </row>
    <row r="468" spans="1:19" ht="12.5" hidden="1" x14ac:dyDescent="0.25">
      <c r="A468" s="14" t="str">
        <f>HYPERLINK("https://gerandofalcoes.my.salesforce.com/0014X00002VKCq8QAH", "0014X00002VKCq8QAH")</f>
        <v>0014X00002VKCq8QAH</v>
      </c>
      <c r="B468" s="2" t="s">
        <v>2721</v>
      </c>
      <c r="C468" s="2" t="s">
        <v>1800</v>
      </c>
      <c r="D468" s="2" t="s">
        <v>2</v>
      </c>
      <c r="E468" s="2">
        <v>15</v>
      </c>
      <c r="F468" s="2">
        <v>0</v>
      </c>
      <c r="G468" s="2">
        <v>3</v>
      </c>
      <c r="H468" s="2">
        <v>7000</v>
      </c>
      <c r="I468" s="2">
        <v>70</v>
      </c>
      <c r="J468" s="2" t="s">
        <v>1779</v>
      </c>
      <c r="K468" s="2">
        <v>28</v>
      </c>
      <c r="L468" s="2">
        <v>10</v>
      </c>
      <c r="M468" s="2">
        <v>0</v>
      </c>
      <c r="N468" s="2">
        <v>8</v>
      </c>
      <c r="O468" s="2">
        <v>5</v>
      </c>
      <c r="P468" s="2">
        <v>5</v>
      </c>
      <c r="Q468" s="2" t="s">
        <v>2722</v>
      </c>
      <c r="R468" s="2" t="s">
        <v>2723</v>
      </c>
      <c r="S468" s="4">
        <v>44837</v>
      </c>
    </row>
    <row r="469" spans="1:19" ht="12.5" hidden="1" x14ac:dyDescent="0.25">
      <c r="A469" s="14" t="str">
        <f>HYPERLINK("https://gerandofalcoes.my.salesforce.com/0014X00002VKCtCQAX", "0014X00002VKCtCQAX")</f>
        <v>0014X00002VKCtCQAX</v>
      </c>
      <c r="B469" s="2" t="s">
        <v>2724</v>
      </c>
      <c r="C469" s="2" t="s">
        <v>423</v>
      </c>
      <c r="D469" s="2" t="s">
        <v>2</v>
      </c>
      <c r="E469" s="2">
        <v>15</v>
      </c>
      <c r="F469" s="2">
        <v>0</v>
      </c>
      <c r="G469" s="2">
        <v>1</v>
      </c>
      <c r="H469" s="2">
        <v>6000</v>
      </c>
      <c r="I469" s="2">
        <v>40</v>
      </c>
      <c r="J469" s="2" t="s">
        <v>1779</v>
      </c>
      <c r="K469" s="2">
        <v>24</v>
      </c>
      <c r="L469" s="2">
        <v>10</v>
      </c>
      <c r="M469" s="2">
        <v>0</v>
      </c>
      <c r="N469" s="2">
        <v>4</v>
      </c>
      <c r="O469" s="2">
        <v>5</v>
      </c>
      <c r="P469" s="2">
        <v>5</v>
      </c>
      <c r="Q469" s="2" t="s">
        <v>2725</v>
      </c>
      <c r="R469" s="2" t="s">
        <v>2726</v>
      </c>
      <c r="S469" s="4">
        <v>44837</v>
      </c>
    </row>
    <row r="470" spans="1:19" ht="12.5" hidden="1" x14ac:dyDescent="0.25">
      <c r="A470" s="14" t="str">
        <f>HYPERLINK("https://gerandofalcoes.my.salesforce.com/0014X00002VKCs2QAH", "0014X00002VKCs2QAH")</f>
        <v>0014X00002VKCs2QAH</v>
      </c>
      <c r="B470" s="2" t="s">
        <v>2727</v>
      </c>
      <c r="C470" s="2" t="s">
        <v>1800</v>
      </c>
      <c r="D470" s="2" t="s">
        <v>2</v>
      </c>
      <c r="E470" s="2">
        <v>15</v>
      </c>
      <c r="F470" s="2">
        <v>0</v>
      </c>
      <c r="G470" s="2">
        <v>2</v>
      </c>
      <c r="H470" s="2">
        <v>2500</v>
      </c>
      <c r="I470" s="2">
        <v>0</v>
      </c>
      <c r="J470" s="2" t="s">
        <v>1779</v>
      </c>
      <c r="K470" s="2">
        <v>21</v>
      </c>
      <c r="L470" s="2">
        <v>10</v>
      </c>
      <c r="M470" s="2">
        <v>0</v>
      </c>
      <c r="N470" s="2">
        <v>6</v>
      </c>
      <c r="O470" s="2">
        <v>5</v>
      </c>
      <c r="P470" s="2">
        <v>0</v>
      </c>
      <c r="Q470" s="2" t="s">
        <v>2728</v>
      </c>
      <c r="R470" s="2" t="s">
        <v>2729</v>
      </c>
      <c r="S470" s="4">
        <v>44837</v>
      </c>
    </row>
    <row r="471" spans="1:19" ht="12.5" hidden="1" x14ac:dyDescent="0.25">
      <c r="A471" s="14" t="str">
        <f>HYPERLINK("https://gerandofalcoes.my.salesforce.com/0014X00002VKCr7QAH", "0014X00002VKCr7QAH")</f>
        <v>0014X00002VKCr7QAH</v>
      </c>
      <c r="B471" s="2" t="s">
        <v>2730</v>
      </c>
      <c r="C471" s="2" t="s">
        <v>423</v>
      </c>
      <c r="D471" s="2" t="s">
        <v>2</v>
      </c>
      <c r="E471" s="2">
        <v>15</v>
      </c>
      <c r="F471" s="2">
        <v>0</v>
      </c>
      <c r="G471" s="2">
        <v>2</v>
      </c>
      <c r="H471" s="2">
        <v>0</v>
      </c>
      <c r="I471" s="2">
        <v>0</v>
      </c>
      <c r="J471" s="2" t="s">
        <v>1779</v>
      </c>
      <c r="K471" s="2">
        <v>16</v>
      </c>
      <c r="L471" s="2">
        <v>10</v>
      </c>
      <c r="M471" s="2">
        <v>0</v>
      </c>
      <c r="N471" s="2">
        <v>6</v>
      </c>
      <c r="O471" s="2">
        <v>0</v>
      </c>
      <c r="P471" s="2">
        <v>0</v>
      </c>
      <c r="Q471" s="2" t="s">
        <v>2731</v>
      </c>
      <c r="R471" s="2" t="s">
        <v>2731</v>
      </c>
      <c r="S471" s="4">
        <v>44837</v>
      </c>
    </row>
    <row r="472" spans="1:19" ht="12.5" hidden="1" x14ac:dyDescent="0.25">
      <c r="A472" s="14" t="str">
        <f>HYPERLINK("https://gerandofalcoes.my.salesforce.com/0014X00002OEuapQAD", "0014X00002OEuapQAD")</f>
        <v>0014X00002OEuapQAD</v>
      </c>
      <c r="B472" s="2" t="s">
        <v>2732</v>
      </c>
      <c r="C472" s="2" t="s">
        <v>1800</v>
      </c>
      <c r="D472" s="2" t="s">
        <v>2</v>
      </c>
      <c r="E472" s="2">
        <v>15</v>
      </c>
      <c r="F472" s="2">
        <v>0</v>
      </c>
      <c r="G472" s="2">
        <v>0</v>
      </c>
      <c r="H472" s="2">
        <v>0</v>
      </c>
      <c r="I472" s="2">
        <v>0</v>
      </c>
      <c r="J472" s="2" t="s">
        <v>1779</v>
      </c>
      <c r="K472" s="2">
        <v>10</v>
      </c>
      <c r="L472" s="2">
        <v>10</v>
      </c>
      <c r="M472" s="2">
        <v>0</v>
      </c>
      <c r="N472" s="2">
        <v>0</v>
      </c>
      <c r="O472" s="2">
        <v>0</v>
      </c>
      <c r="P472" s="2">
        <v>0</v>
      </c>
      <c r="Q472" s="2" t="s">
        <v>2733</v>
      </c>
      <c r="R472" s="2" t="s">
        <v>2733</v>
      </c>
      <c r="S472" s="4">
        <v>44837</v>
      </c>
    </row>
    <row r="473" spans="1:19" ht="12.5" hidden="1" x14ac:dyDescent="0.25">
      <c r="A473" s="14" t="str">
        <f>HYPERLINK("https://gerandofalcoes.my.salesforce.com/0014P00003SGWFsQAP", "0014P00003SGWFsQAP")</f>
        <v>0014P00003SGWFsQAP</v>
      </c>
      <c r="B473" s="2" t="s">
        <v>339</v>
      </c>
      <c r="C473" s="2" t="s">
        <v>423</v>
      </c>
      <c r="D473" s="2" t="s">
        <v>2</v>
      </c>
      <c r="E473" s="2">
        <v>14.9</v>
      </c>
      <c r="F473" s="2">
        <v>0</v>
      </c>
      <c r="G473" s="2">
        <v>0</v>
      </c>
      <c r="H473" s="2">
        <v>0</v>
      </c>
      <c r="I473" s="2">
        <v>106</v>
      </c>
      <c r="J473" s="2" t="s">
        <v>1779</v>
      </c>
      <c r="K473" s="2">
        <v>20</v>
      </c>
      <c r="L473" s="2">
        <v>10</v>
      </c>
      <c r="M473" s="2">
        <v>0</v>
      </c>
      <c r="N473" s="2">
        <v>0</v>
      </c>
      <c r="O473" s="2">
        <v>0</v>
      </c>
      <c r="P473" s="2">
        <v>10</v>
      </c>
      <c r="Q473" s="2" t="s">
        <v>340</v>
      </c>
      <c r="R473" s="2" t="s">
        <v>340</v>
      </c>
      <c r="S473" s="4">
        <v>44837</v>
      </c>
    </row>
    <row r="474" spans="1:19" ht="12.5" hidden="1" x14ac:dyDescent="0.25">
      <c r="A474" s="14" t="str">
        <f>HYPERLINK("https://gerandofalcoes.my.salesforce.com/0014P00003YSpA0QAL", "0014P00003YSpA0QAL")</f>
        <v>0014P00003YSpA0QAL</v>
      </c>
      <c r="B474" s="2" t="s">
        <v>2734</v>
      </c>
      <c r="C474" s="2" t="s">
        <v>423</v>
      </c>
      <c r="D474" s="2" t="s">
        <v>2</v>
      </c>
      <c r="E474" s="2">
        <v>14.83</v>
      </c>
      <c r="F474" s="2">
        <v>10</v>
      </c>
      <c r="G474" s="2">
        <v>0</v>
      </c>
      <c r="H474" s="2">
        <v>0</v>
      </c>
      <c r="I474" s="2">
        <v>52</v>
      </c>
      <c r="J474" s="2" t="s">
        <v>1779</v>
      </c>
      <c r="K474" s="2">
        <v>25</v>
      </c>
      <c r="L474" s="2">
        <v>10</v>
      </c>
      <c r="M474" s="2">
        <v>10</v>
      </c>
      <c r="N474" s="2">
        <v>0</v>
      </c>
      <c r="O474" s="2">
        <v>0</v>
      </c>
      <c r="P474" s="2">
        <v>5</v>
      </c>
      <c r="Q474" s="2" t="s">
        <v>2735</v>
      </c>
      <c r="R474" s="2" t="s">
        <v>2736</v>
      </c>
      <c r="S474" s="4">
        <v>44837</v>
      </c>
    </row>
    <row r="475" spans="1:19" ht="12.5" hidden="1" x14ac:dyDescent="0.25">
      <c r="A475" s="14" t="str">
        <f>HYPERLINK("https://gerandofalcoes.my.salesforce.com/0014X00002VKCqMQAX", "0014X00002VKCqMQAX")</f>
        <v>0014X00002VKCqMQAX</v>
      </c>
      <c r="B475" s="2" t="s">
        <v>2737</v>
      </c>
      <c r="C475" s="2" t="s">
        <v>423</v>
      </c>
      <c r="D475" s="2" t="s">
        <v>2</v>
      </c>
      <c r="E475" s="2">
        <v>14.66</v>
      </c>
      <c r="F475" s="2">
        <v>2</v>
      </c>
      <c r="G475" s="2">
        <v>3</v>
      </c>
      <c r="H475" s="2">
        <v>5010380</v>
      </c>
      <c r="I475" s="2">
        <v>86</v>
      </c>
      <c r="J475" s="2" t="s">
        <v>1671</v>
      </c>
      <c r="K475" s="2">
        <v>58</v>
      </c>
      <c r="L475" s="2">
        <v>10</v>
      </c>
      <c r="M475" s="2">
        <v>5</v>
      </c>
      <c r="N475" s="2">
        <v>8</v>
      </c>
      <c r="O475" s="2">
        <v>25</v>
      </c>
      <c r="P475" s="2">
        <v>10</v>
      </c>
      <c r="Q475" s="2" t="s">
        <v>2738</v>
      </c>
      <c r="R475" s="2" t="s">
        <v>2739</v>
      </c>
      <c r="S475" s="4">
        <v>44837</v>
      </c>
    </row>
    <row r="476" spans="1:19" ht="12.5" hidden="1" x14ac:dyDescent="0.25">
      <c r="A476" s="14" t="str">
        <f>HYPERLINK("https://gerandofalcoes.my.salesforce.com/0014X00002VKCsBQAX", "0014X00002VKCsBQAX")</f>
        <v>0014X00002VKCsBQAX</v>
      </c>
      <c r="B476" s="2" t="s">
        <v>2740</v>
      </c>
      <c r="C476" s="2" t="s">
        <v>423</v>
      </c>
      <c r="D476" s="2" t="s">
        <v>2</v>
      </c>
      <c r="E476" s="2">
        <v>14.54</v>
      </c>
      <c r="F476" s="2">
        <v>1</v>
      </c>
      <c r="G476" s="2">
        <v>1</v>
      </c>
      <c r="H476" s="2">
        <v>68583</v>
      </c>
      <c r="I476" s="2">
        <v>120</v>
      </c>
      <c r="J476" s="2" t="s">
        <v>1779</v>
      </c>
      <c r="K476" s="2">
        <v>39</v>
      </c>
      <c r="L476" s="2">
        <v>10</v>
      </c>
      <c r="M476" s="2">
        <v>5</v>
      </c>
      <c r="N476" s="2">
        <v>4</v>
      </c>
      <c r="O476" s="2">
        <v>10</v>
      </c>
      <c r="P476" s="2">
        <v>10</v>
      </c>
      <c r="Q476" s="2" t="s">
        <v>2741</v>
      </c>
      <c r="R476" s="2" t="s">
        <v>2742</v>
      </c>
      <c r="S476" s="4">
        <v>44837</v>
      </c>
    </row>
    <row r="477" spans="1:19" ht="12.5" hidden="1" x14ac:dyDescent="0.25">
      <c r="A477" s="14" t="str">
        <f>HYPERLINK("https://gerandofalcoes.my.salesforce.com/0014X00002VKCqnQAH", "0014X00002VKCqnQAH")</f>
        <v>0014X00002VKCqnQAH</v>
      </c>
      <c r="B477" s="2" t="s">
        <v>2743</v>
      </c>
      <c r="C477" s="2" t="s">
        <v>423</v>
      </c>
      <c r="D477" s="2" t="s">
        <v>2</v>
      </c>
      <c r="E477" s="2">
        <v>14.17</v>
      </c>
      <c r="F477" s="2">
        <v>0</v>
      </c>
      <c r="G477" s="2">
        <v>4</v>
      </c>
      <c r="H477" s="2">
        <v>99683</v>
      </c>
      <c r="I477" s="2">
        <v>180</v>
      </c>
      <c r="J477" s="2" t="s">
        <v>1671</v>
      </c>
      <c r="K477" s="2">
        <v>42</v>
      </c>
      <c r="L477" s="2">
        <v>10</v>
      </c>
      <c r="M477" s="2">
        <v>0</v>
      </c>
      <c r="N477" s="2">
        <v>10</v>
      </c>
      <c r="O477" s="2">
        <v>10</v>
      </c>
      <c r="P477" s="2">
        <v>12</v>
      </c>
      <c r="Q477" s="2" t="s">
        <v>2744</v>
      </c>
      <c r="R477" s="2" t="s">
        <v>2745</v>
      </c>
      <c r="S477" s="4">
        <v>44837</v>
      </c>
    </row>
    <row r="478" spans="1:19" ht="12.5" hidden="1" x14ac:dyDescent="0.25">
      <c r="A478" s="14" t="str">
        <f>HYPERLINK("https://gerandofalcoes.my.salesforce.com/0014P00003YSp7oQAD", "0014P00003YSp7oQAD")</f>
        <v>0014P00003YSp7oQAD</v>
      </c>
      <c r="B478" s="2" t="s">
        <v>2746</v>
      </c>
      <c r="C478" s="2" t="s">
        <v>1800</v>
      </c>
      <c r="D478" s="2" t="s">
        <v>2</v>
      </c>
      <c r="E478" s="2">
        <v>14</v>
      </c>
      <c r="F478" s="2">
        <v>30</v>
      </c>
      <c r="G478" s="2">
        <v>2</v>
      </c>
      <c r="H478" s="2">
        <v>10000</v>
      </c>
      <c r="I478" s="2">
        <v>350</v>
      </c>
      <c r="J478" s="2" t="s">
        <v>1671</v>
      </c>
      <c r="K478" s="2">
        <v>48</v>
      </c>
      <c r="L478" s="2">
        <v>10</v>
      </c>
      <c r="M478" s="2">
        <v>12</v>
      </c>
      <c r="N478" s="2">
        <v>6</v>
      </c>
      <c r="O478" s="2">
        <v>5</v>
      </c>
      <c r="P478" s="2">
        <v>15</v>
      </c>
      <c r="Q478" s="2" t="s">
        <v>2747</v>
      </c>
      <c r="R478" s="2" t="s">
        <v>2748</v>
      </c>
      <c r="S478" s="4">
        <v>44837</v>
      </c>
    </row>
    <row r="479" spans="1:19" ht="12.5" hidden="1" x14ac:dyDescent="0.25">
      <c r="A479" s="14" t="str">
        <f>HYPERLINK("https://gerandofalcoes.my.salesforce.com/0014X00002OEuaoQAD", "0014X00002OEuaoQAD")</f>
        <v>0014X00002OEuaoQAD</v>
      </c>
      <c r="B479" s="2" t="s">
        <v>2749</v>
      </c>
      <c r="C479" s="2" t="s">
        <v>1800</v>
      </c>
      <c r="D479" s="2" t="s">
        <v>2</v>
      </c>
      <c r="E479" s="2">
        <v>14</v>
      </c>
      <c r="F479" s="2">
        <v>0</v>
      </c>
      <c r="G479" s="2">
        <v>2</v>
      </c>
      <c r="H479" s="2">
        <v>0</v>
      </c>
      <c r="I479" s="2">
        <v>230</v>
      </c>
      <c r="J479" s="2" t="s">
        <v>1779</v>
      </c>
      <c r="K479" s="2">
        <v>28</v>
      </c>
      <c r="L479" s="2">
        <v>10</v>
      </c>
      <c r="M479" s="2">
        <v>0</v>
      </c>
      <c r="N479" s="2">
        <v>6</v>
      </c>
      <c r="O479" s="2">
        <v>0</v>
      </c>
      <c r="P479" s="2">
        <v>12</v>
      </c>
      <c r="Q479" s="2" t="s">
        <v>2750</v>
      </c>
      <c r="R479" s="2" t="s">
        <v>2751</v>
      </c>
      <c r="S479" s="4">
        <v>44837</v>
      </c>
    </row>
    <row r="480" spans="1:19" ht="12.5" hidden="1" x14ac:dyDescent="0.25">
      <c r="A480" s="14" t="str">
        <f>HYPERLINK("https://gerandofalcoes.my.salesforce.com/0014P00003YSpP9QAL", "0014P00003YSpP9QAL")</f>
        <v>0014P00003YSpP9QAL</v>
      </c>
      <c r="B480" s="2" t="s">
        <v>2752</v>
      </c>
      <c r="C480" s="2" t="s">
        <v>423</v>
      </c>
      <c r="D480" s="2" t="s">
        <v>2</v>
      </c>
      <c r="E480" s="2">
        <v>14</v>
      </c>
      <c r="F480" s="2">
        <v>0</v>
      </c>
      <c r="G480" s="2">
        <v>12</v>
      </c>
      <c r="H480" s="2">
        <v>13000</v>
      </c>
      <c r="I480" s="2">
        <v>208</v>
      </c>
      <c r="J480" s="2" t="s">
        <v>1779</v>
      </c>
      <c r="K480" s="2">
        <v>37</v>
      </c>
      <c r="L480" s="2">
        <v>10</v>
      </c>
      <c r="M480" s="2">
        <v>0</v>
      </c>
      <c r="N480" s="2">
        <v>10</v>
      </c>
      <c r="O480" s="2">
        <v>5</v>
      </c>
      <c r="P480" s="2">
        <v>12</v>
      </c>
      <c r="Q480" s="2" t="s">
        <v>2753</v>
      </c>
      <c r="R480" s="2" t="s">
        <v>2754</v>
      </c>
      <c r="S480" s="4">
        <v>44837</v>
      </c>
    </row>
    <row r="481" spans="1:19" ht="12.5" hidden="1" x14ac:dyDescent="0.25">
      <c r="A481" s="14" t="str">
        <f>HYPERLINK("https://gerandofalcoes.my.salesforce.com/0014X00002VKCrDQAX", "0014X00002VKCrDQAX")</f>
        <v>0014X00002VKCrDQAX</v>
      </c>
      <c r="B481" s="2" t="s">
        <v>2755</v>
      </c>
      <c r="C481" s="2" t="s">
        <v>1684</v>
      </c>
      <c r="D481" s="2" t="s">
        <v>2</v>
      </c>
      <c r="E481" s="2">
        <v>14</v>
      </c>
      <c r="F481" s="2">
        <v>2</v>
      </c>
      <c r="G481" s="2">
        <v>0</v>
      </c>
      <c r="H481" s="2">
        <v>0</v>
      </c>
      <c r="I481" s="2">
        <v>60</v>
      </c>
      <c r="J481" s="2" t="s">
        <v>1779</v>
      </c>
      <c r="K481" s="2">
        <v>20</v>
      </c>
      <c r="L481" s="2">
        <v>10</v>
      </c>
      <c r="M481" s="2">
        <v>5</v>
      </c>
      <c r="N481" s="2">
        <v>0</v>
      </c>
      <c r="O481" s="2">
        <v>0</v>
      </c>
      <c r="P481" s="2">
        <v>5</v>
      </c>
      <c r="Q481" s="2" t="s">
        <v>2756</v>
      </c>
      <c r="R481" s="2" t="s">
        <v>2756</v>
      </c>
      <c r="S481" s="4">
        <v>44837</v>
      </c>
    </row>
    <row r="482" spans="1:19" ht="12.5" hidden="1" x14ac:dyDescent="0.25">
      <c r="A482" s="14" t="str">
        <f>HYPERLINK("https://gerandofalcoes.my.salesforce.com/0014X00002VKCpFQAX", "0014X00002VKCpFQAX")</f>
        <v>0014X00002VKCpFQAX</v>
      </c>
      <c r="B482" s="2" t="s">
        <v>2757</v>
      </c>
      <c r="C482" s="2" t="s">
        <v>423</v>
      </c>
      <c r="D482" s="2" t="s">
        <v>2</v>
      </c>
      <c r="E482" s="2">
        <v>14</v>
      </c>
      <c r="F482" s="2">
        <v>0</v>
      </c>
      <c r="G482" s="2">
        <v>2</v>
      </c>
      <c r="H482" s="2">
        <v>5000</v>
      </c>
      <c r="I482" s="2">
        <v>30</v>
      </c>
      <c r="J482" s="2" t="s">
        <v>1779</v>
      </c>
      <c r="K482" s="2">
        <v>26</v>
      </c>
      <c r="L482" s="2">
        <v>10</v>
      </c>
      <c r="M482" s="2">
        <v>0</v>
      </c>
      <c r="N482" s="2">
        <v>6</v>
      </c>
      <c r="O482" s="2">
        <v>5</v>
      </c>
      <c r="P482" s="2">
        <v>5</v>
      </c>
      <c r="Q482" s="2" t="s">
        <v>2758</v>
      </c>
      <c r="R482" s="2" t="s">
        <v>2758</v>
      </c>
      <c r="S482" s="4">
        <v>44837</v>
      </c>
    </row>
    <row r="483" spans="1:19" ht="12.5" hidden="1" x14ac:dyDescent="0.25">
      <c r="A483" s="14" t="str">
        <f>HYPERLINK("https://gerandofalcoes.my.salesforce.com/0014X00002VKCqVQAX", "0014X00002VKCqVQAX")</f>
        <v>0014X00002VKCqVQAX</v>
      </c>
      <c r="B483" s="2" t="s">
        <v>2759</v>
      </c>
      <c r="C483" s="2" t="s">
        <v>423</v>
      </c>
      <c r="D483" s="2" t="s">
        <v>2</v>
      </c>
      <c r="E483" s="2">
        <v>14</v>
      </c>
      <c r="F483" s="2">
        <v>0</v>
      </c>
      <c r="G483" s="2">
        <v>15</v>
      </c>
      <c r="H483" s="2">
        <v>1850078</v>
      </c>
      <c r="I483" s="2">
        <v>20</v>
      </c>
      <c r="J483" s="2" t="s">
        <v>1671</v>
      </c>
      <c r="K483" s="2">
        <v>50</v>
      </c>
      <c r="L483" s="2">
        <v>10</v>
      </c>
      <c r="M483" s="2">
        <v>0</v>
      </c>
      <c r="N483" s="2">
        <v>10</v>
      </c>
      <c r="O483" s="2">
        <v>25</v>
      </c>
      <c r="P483" s="2">
        <v>5</v>
      </c>
      <c r="Q483" s="2" t="s">
        <v>2760</v>
      </c>
      <c r="R483" s="2" t="s">
        <v>2761</v>
      </c>
      <c r="S483" s="4">
        <v>44837</v>
      </c>
    </row>
    <row r="484" spans="1:19" ht="12.5" hidden="1" x14ac:dyDescent="0.25">
      <c r="A484" s="14" t="str">
        <f>HYPERLINK("https://gerandofalcoes.my.salesforce.com/0014X00002VKCtMQAX", "0014X00002VKCtMQAX")</f>
        <v>0014X00002VKCtMQAX</v>
      </c>
      <c r="B484" s="2" t="s">
        <v>2762</v>
      </c>
      <c r="C484" s="2" t="s">
        <v>1800</v>
      </c>
      <c r="D484" s="2" t="s">
        <v>2</v>
      </c>
      <c r="E484" s="2">
        <v>14</v>
      </c>
      <c r="F484" s="2">
        <v>5</v>
      </c>
      <c r="G484" s="2">
        <v>2</v>
      </c>
      <c r="H484" s="2">
        <v>500</v>
      </c>
      <c r="I484" s="2">
        <v>0</v>
      </c>
      <c r="J484" s="2" t="s">
        <v>1779</v>
      </c>
      <c r="K484" s="2">
        <v>26</v>
      </c>
      <c r="L484" s="2">
        <v>10</v>
      </c>
      <c r="M484" s="2">
        <v>5</v>
      </c>
      <c r="N484" s="2">
        <v>6</v>
      </c>
      <c r="O484" s="2">
        <v>5</v>
      </c>
      <c r="P484" s="2">
        <v>0</v>
      </c>
      <c r="Q484" s="2" t="s">
        <v>2763</v>
      </c>
      <c r="R484" s="2" t="s">
        <v>2764</v>
      </c>
      <c r="S484" s="4">
        <v>44837</v>
      </c>
    </row>
    <row r="485" spans="1:19" ht="12.5" hidden="1" x14ac:dyDescent="0.25">
      <c r="A485" s="14" t="str">
        <f>HYPERLINK("https://gerandofalcoes.my.salesforce.com/0014X00002VKCrQQAX", "0014X00002VKCrQQAX")</f>
        <v>0014X00002VKCrQQAX</v>
      </c>
      <c r="B485" s="2" t="s">
        <v>2765</v>
      </c>
      <c r="C485" s="2" t="s">
        <v>1800</v>
      </c>
      <c r="D485" s="2" t="s">
        <v>2</v>
      </c>
      <c r="E485" s="2">
        <v>14</v>
      </c>
      <c r="F485" s="2">
        <v>0</v>
      </c>
      <c r="G485" s="2">
        <v>2</v>
      </c>
      <c r="H485" s="2">
        <v>40000</v>
      </c>
      <c r="I485" s="2">
        <v>0</v>
      </c>
      <c r="J485" s="2" t="s">
        <v>1779</v>
      </c>
      <c r="K485" s="2">
        <v>26</v>
      </c>
      <c r="L485" s="2">
        <v>10</v>
      </c>
      <c r="M485" s="2">
        <v>0</v>
      </c>
      <c r="N485" s="2">
        <v>6</v>
      </c>
      <c r="O485" s="2">
        <v>10</v>
      </c>
      <c r="P485" s="2">
        <v>0</v>
      </c>
      <c r="Q485" s="2" t="s">
        <v>2766</v>
      </c>
      <c r="R485" s="2" t="s">
        <v>2767</v>
      </c>
      <c r="S485" s="4">
        <v>44837</v>
      </c>
    </row>
    <row r="486" spans="1:19" ht="12.5" hidden="1" x14ac:dyDescent="0.25">
      <c r="A486" s="14" t="str">
        <f>HYPERLINK("https://gerandofalcoes.my.salesforce.com/0014X00002VKCtuQAH", "0014X00002VKCtuQAH")</f>
        <v>0014X00002VKCtuQAH</v>
      </c>
      <c r="B486" s="2" t="s">
        <v>2768</v>
      </c>
      <c r="C486" s="2" t="s">
        <v>423</v>
      </c>
      <c r="D486" s="2" t="s">
        <v>2</v>
      </c>
      <c r="E486" s="2">
        <v>13.78</v>
      </c>
      <c r="F486" s="2">
        <v>0</v>
      </c>
      <c r="G486" s="2">
        <v>2</v>
      </c>
      <c r="H486" s="2">
        <v>254344</v>
      </c>
      <c r="I486" s="2">
        <v>0</v>
      </c>
      <c r="J486" s="2" t="s">
        <v>1779</v>
      </c>
      <c r="K486" s="2">
        <v>31</v>
      </c>
      <c r="L486" s="2">
        <v>10</v>
      </c>
      <c r="M486" s="2">
        <v>0</v>
      </c>
      <c r="N486" s="2">
        <v>6</v>
      </c>
      <c r="O486" s="2">
        <v>15</v>
      </c>
      <c r="P486" s="2">
        <v>0</v>
      </c>
      <c r="Q486" s="2" t="s">
        <v>2769</v>
      </c>
      <c r="R486" s="2" t="s">
        <v>2770</v>
      </c>
      <c r="S486" s="4">
        <v>44837</v>
      </c>
    </row>
    <row r="487" spans="1:19" ht="12.5" hidden="1" x14ac:dyDescent="0.25">
      <c r="A487" s="14" t="str">
        <f>HYPERLINK("https://gerandofalcoes.my.salesforce.com/0014X00002VKCscQAH", "0014X00002VKCscQAH")</f>
        <v>0014X00002VKCscQAH</v>
      </c>
      <c r="B487" s="2" t="s">
        <v>2771</v>
      </c>
      <c r="C487" s="2" t="s">
        <v>423</v>
      </c>
      <c r="D487" s="2" t="s">
        <v>2</v>
      </c>
      <c r="E487" s="2">
        <v>13.67</v>
      </c>
      <c r="F487" s="2">
        <v>6</v>
      </c>
      <c r="G487" s="2">
        <v>0</v>
      </c>
      <c r="H487" s="2">
        <v>0</v>
      </c>
      <c r="I487" s="2">
        <v>150</v>
      </c>
      <c r="J487" s="2" t="s">
        <v>1779</v>
      </c>
      <c r="K487" s="2">
        <v>32</v>
      </c>
      <c r="L487" s="2">
        <v>10</v>
      </c>
      <c r="M487" s="2">
        <v>10</v>
      </c>
      <c r="N487" s="2">
        <v>0</v>
      </c>
      <c r="O487" s="2">
        <v>0</v>
      </c>
      <c r="P487" s="2">
        <v>12</v>
      </c>
      <c r="Q487" s="2" t="s">
        <v>2772</v>
      </c>
      <c r="R487" s="2" t="s">
        <v>2773</v>
      </c>
      <c r="S487" s="4">
        <v>44837</v>
      </c>
    </row>
    <row r="488" spans="1:19" ht="12.5" hidden="1" x14ac:dyDescent="0.25">
      <c r="A488" s="14" t="str">
        <f>HYPERLINK("https://gerandofalcoes.my.salesforce.com/0014P00003SGWPrQAP", "0014P00003SGWPrQAP")</f>
        <v>0014P00003SGWPrQAP</v>
      </c>
      <c r="B488" s="2" t="s">
        <v>2774</v>
      </c>
      <c r="C488" s="2" t="s">
        <v>423</v>
      </c>
      <c r="D488" s="2" t="s">
        <v>2</v>
      </c>
      <c r="E488" s="2">
        <v>13.4</v>
      </c>
      <c r="F488" s="2">
        <v>0</v>
      </c>
      <c r="G488" s="2">
        <v>2</v>
      </c>
      <c r="H488" s="2">
        <v>50000</v>
      </c>
      <c r="I488" s="2">
        <v>52</v>
      </c>
      <c r="J488" s="2" t="s">
        <v>1779</v>
      </c>
      <c r="K488" s="2">
        <v>31</v>
      </c>
      <c r="L488" s="2">
        <v>10</v>
      </c>
      <c r="M488" s="2">
        <v>0</v>
      </c>
      <c r="N488" s="2">
        <v>6</v>
      </c>
      <c r="O488" s="2">
        <v>10</v>
      </c>
      <c r="P488" s="2">
        <v>5</v>
      </c>
      <c r="Q488" s="2" t="s">
        <v>329</v>
      </c>
      <c r="R488" s="2" t="s">
        <v>1419</v>
      </c>
      <c r="S488" s="4">
        <v>44837</v>
      </c>
    </row>
    <row r="489" spans="1:19" ht="12.5" hidden="1" x14ac:dyDescent="0.25">
      <c r="A489" s="14" t="str">
        <f>HYPERLINK("https://gerandofalcoes.my.salesforce.com/0014P00003YSp8lQAD", "0014P00003YSp8lQAD")</f>
        <v>0014P00003YSp8lQAD</v>
      </c>
      <c r="B489" s="2" t="s">
        <v>2775</v>
      </c>
      <c r="C489" s="2" t="s">
        <v>423</v>
      </c>
      <c r="D489" s="2" t="s">
        <v>2</v>
      </c>
      <c r="E489" s="2">
        <v>13.27</v>
      </c>
      <c r="F489" s="2">
        <v>0</v>
      </c>
      <c r="G489" s="2">
        <v>5</v>
      </c>
      <c r="H489" s="2">
        <v>111840</v>
      </c>
      <c r="I489" s="2">
        <v>30</v>
      </c>
      <c r="J489" s="2" t="s">
        <v>1671</v>
      </c>
      <c r="K489" s="2">
        <v>40</v>
      </c>
      <c r="L489" s="2">
        <v>10</v>
      </c>
      <c r="M489" s="2">
        <v>0</v>
      </c>
      <c r="N489" s="2">
        <v>10</v>
      </c>
      <c r="O489" s="2">
        <v>15</v>
      </c>
      <c r="P489" s="2">
        <v>5</v>
      </c>
      <c r="Q489" s="2" t="s">
        <v>2776</v>
      </c>
      <c r="R489" s="2" t="s">
        <v>2776</v>
      </c>
      <c r="S489" s="4">
        <v>44837</v>
      </c>
    </row>
    <row r="490" spans="1:19" ht="12.5" hidden="1" x14ac:dyDescent="0.25">
      <c r="A490" s="14" t="str">
        <f>HYPERLINK("https://gerandofalcoes.my.salesforce.com/0014X00002VKCu7QAH", "0014X00002VKCu7QAH")</f>
        <v>0014X00002VKCu7QAH</v>
      </c>
      <c r="B490" s="2" t="s">
        <v>2777</v>
      </c>
      <c r="C490" s="2" t="s">
        <v>423</v>
      </c>
      <c r="D490" s="2" t="s">
        <v>2</v>
      </c>
      <c r="E490" s="2">
        <v>13.06</v>
      </c>
      <c r="F490" s="2">
        <v>4</v>
      </c>
      <c r="G490" s="2">
        <v>2</v>
      </c>
      <c r="H490" s="2">
        <v>64700000</v>
      </c>
      <c r="I490" s="2">
        <v>210</v>
      </c>
      <c r="J490" s="2" t="s">
        <v>1671</v>
      </c>
      <c r="K490" s="2">
        <v>58</v>
      </c>
      <c r="L490" s="2">
        <v>10</v>
      </c>
      <c r="M490" s="2">
        <v>5</v>
      </c>
      <c r="N490" s="2">
        <v>6</v>
      </c>
      <c r="O490" s="2">
        <v>25</v>
      </c>
      <c r="P490" s="2">
        <v>12</v>
      </c>
      <c r="Q490" s="2" t="s">
        <v>2778</v>
      </c>
      <c r="R490" s="2" t="s">
        <v>2779</v>
      </c>
      <c r="S490" s="4">
        <v>44837</v>
      </c>
    </row>
    <row r="491" spans="1:19" ht="12.5" hidden="1" x14ac:dyDescent="0.25">
      <c r="A491" s="14" t="str">
        <f>HYPERLINK("https://gerandofalcoes.my.salesforce.com/0014X00002VKCsQQAX", "0014X00002VKCsQQAX")</f>
        <v>0014X00002VKCsQQAX</v>
      </c>
      <c r="B491" s="2" t="s">
        <v>2780</v>
      </c>
      <c r="C491" s="2" t="s">
        <v>423</v>
      </c>
      <c r="D491" s="2" t="s">
        <v>2</v>
      </c>
      <c r="E491" s="2">
        <v>13</v>
      </c>
      <c r="F491" s="2">
        <v>0</v>
      </c>
      <c r="G491" s="2">
        <v>2</v>
      </c>
      <c r="H491" s="2">
        <v>0</v>
      </c>
      <c r="I491" s="2">
        <v>585</v>
      </c>
      <c r="J491" s="2" t="s">
        <v>1779</v>
      </c>
      <c r="K491" s="2">
        <v>36</v>
      </c>
      <c r="L491" s="2">
        <v>10</v>
      </c>
      <c r="M491" s="2">
        <v>0</v>
      </c>
      <c r="N491" s="2">
        <v>6</v>
      </c>
      <c r="O491" s="2">
        <v>0</v>
      </c>
      <c r="P491" s="2">
        <v>20</v>
      </c>
      <c r="Q491" s="2" t="s">
        <v>2781</v>
      </c>
      <c r="R491" s="2" t="s">
        <v>2782</v>
      </c>
      <c r="S491" s="4">
        <v>44837</v>
      </c>
    </row>
    <row r="492" spans="1:19" ht="12.5" hidden="1" x14ac:dyDescent="0.25">
      <c r="A492" s="14" t="str">
        <f>HYPERLINK("https://gerandofalcoes.my.salesforce.com/0014X00002VKCqNQAX", "0014X00002VKCqNQAX")</f>
        <v>0014X00002VKCqNQAX</v>
      </c>
      <c r="B492" s="2" t="s">
        <v>2783</v>
      </c>
      <c r="C492" s="2" t="s">
        <v>423</v>
      </c>
      <c r="D492" s="2" t="s">
        <v>2</v>
      </c>
      <c r="E492" s="2">
        <v>13</v>
      </c>
      <c r="F492" s="2">
        <v>10</v>
      </c>
      <c r="G492" s="2">
        <v>10</v>
      </c>
      <c r="H492" s="2">
        <v>275000</v>
      </c>
      <c r="I492" s="2">
        <v>348</v>
      </c>
      <c r="J492" s="2" t="s">
        <v>1671</v>
      </c>
      <c r="K492" s="2">
        <v>60</v>
      </c>
      <c r="L492" s="2">
        <v>10</v>
      </c>
      <c r="M492" s="2">
        <v>10</v>
      </c>
      <c r="N492" s="2">
        <v>10</v>
      </c>
      <c r="O492" s="2">
        <v>15</v>
      </c>
      <c r="P492" s="2">
        <v>15</v>
      </c>
      <c r="Q492" s="2" t="s">
        <v>2784</v>
      </c>
      <c r="R492" s="2" t="s">
        <v>2785</v>
      </c>
      <c r="S492" s="4">
        <v>44837</v>
      </c>
    </row>
    <row r="493" spans="1:19" ht="12.5" hidden="1" x14ac:dyDescent="0.25">
      <c r="A493" s="14" t="str">
        <f>HYPERLINK("https://gerandofalcoes.my.salesforce.com/0014X00002VKCqhQAH", "0014X00002VKCqhQAH")</f>
        <v>0014X00002VKCqhQAH</v>
      </c>
      <c r="B493" s="2" t="s">
        <v>2786</v>
      </c>
      <c r="C493" s="2" t="s">
        <v>423</v>
      </c>
      <c r="D493" s="2" t="s">
        <v>2</v>
      </c>
      <c r="E493" s="2">
        <v>13</v>
      </c>
      <c r="F493" s="2">
        <v>0</v>
      </c>
      <c r="G493" s="2">
        <v>0</v>
      </c>
      <c r="H493" s="2">
        <v>0</v>
      </c>
      <c r="I493" s="2">
        <v>300</v>
      </c>
      <c r="J493" s="2" t="s">
        <v>1779</v>
      </c>
      <c r="K493" s="2">
        <v>25</v>
      </c>
      <c r="L493" s="2">
        <v>10</v>
      </c>
      <c r="M493" s="2">
        <v>0</v>
      </c>
      <c r="N493" s="2">
        <v>0</v>
      </c>
      <c r="O493" s="2">
        <v>0</v>
      </c>
      <c r="P493" s="2">
        <v>15</v>
      </c>
      <c r="Q493" s="2" t="s">
        <v>2787</v>
      </c>
      <c r="R493" s="2" t="s">
        <v>2788</v>
      </c>
      <c r="S493" s="4">
        <v>44837</v>
      </c>
    </row>
    <row r="494" spans="1:19" ht="12.5" hidden="1" x14ac:dyDescent="0.25">
      <c r="A494" s="14" t="str">
        <f>HYPERLINK("https://gerandofalcoes.my.salesforce.com/0014X00002VKCsDQAX", "0014X00002VKCsDQAX")</f>
        <v>0014X00002VKCsDQAX</v>
      </c>
      <c r="B494" s="2" t="s">
        <v>2789</v>
      </c>
      <c r="C494" s="2" t="s">
        <v>423</v>
      </c>
      <c r="D494" s="2" t="s">
        <v>2</v>
      </c>
      <c r="E494" s="2">
        <v>13</v>
      </c>
      <c r="F494" s="2">
        <v>0</v>
      </c>
      <c r="G494" s="2">
        <v>2</v>
      </c>
      <c r="H494" s="2">
        <v>14000</v>
      </c>
      <c r="I494" s="2">
        <v>60</v>
      </c>
      <c r="J494" s="2" t="s">
        <v>1779</v>
      </c>
      <c r="K494" s="2">
        <v>26</v>
      </c>
      <c r="L494" s="2">
        <v>10</v>
      </c>
      <c r="M494" s="2">
        <v>0</v>
      </c>
      <c r="N494" s="2">
        <v>6</v>
      </c>
      <c r="O494" s="2">
        <v>5</v>
      </c>
      <c r="P494" s="2">
        <v>5</v>
      </c>
      <c r="Q494" s="2" t="s">
        <v>2790</v>
      </c>
      <c r="R494" s="2" t="s">
        <v>2791</v>
      </c>
      <c r="S494" s="4">
        <v>44837</v>
      </c>
    </row>
    <row r="495" spans="1:19" ht="12.5" hidden="1" x14ac:dyDescent="0.25">
      <c r="A495" s="14" t="str">
        <f>HYPERLINK("https://gerandofalcoes.my.salesforce.com/0014P00003YSp9qQAD", "0014P00003YSp9qQAD")</f>
        <v>0014P00003YSp9qQAD</v>
      </c>
      <c r="B495" s="2" t="s">
        <v>2792</v>
      </c>
      <c r="C495" s="2" t="s">
        <v>1800</v>
      </c>
      <c r="D495" s="2" t="s">
        <v>2</v>
      </c>
      <c r="E495" s="2">
        <v>13</v>
      </c>
      <c r="F495" s="2">
        <v>0</v>
      </c>
      <c r="G495" s="2">
        <v>4</v>
      </c>
      <c r="H495" s="2">
        <v>3000</v>
      </c>
      <c r="I495" s="2">
        <v>60</v>
      </c>
      <c r="J495" s="2" t="s">
        <v>1779</v>
      </c>
      <c r="K495" s="2">
        <v>30</v>
      </c>
      <c r="L495" s="2">
        <v>10</v>
      </c>
      <c r="M495" s="2">
        <v>0</v>
      </c>
      <c r="N495" s="2">
        <v>10</v>
      </c>
      <c r="O495" s="2">
        <v>5</v>
      </c>
      <c r="P495" s="2">
        <v>5</v>
      </c>
      <c r="Q495" s="2" t="s">
        <v>2793</v>
      </c>
      <c r="R495" s="2" t="s">
        <v>2794</v>
      </c>
      <c r="S495" s="4">
        <v>44837</v>
      </c>
    </row>
    <row r="496" spans="1:19" ht="12.5" hidden="1" x14ac:dyDescent="0.25">
      <c r="A496" s="14" t="str">
        <f>HYPERLINK("https://gerandofalcoes.my.salesforce.com/0014X00002VKCpUQAX", "0014X00002VKCpUQAX")</f>
        <v>0014X00002VKCpUQAX</v>
      </c>
      <c r="B496" s="2" t="s">
        <v>2795</v>
      </c>
      <c r="C496" s="2" t="s">
        <v>423</v>
      </c>
      <c r="D496" s="2" t="s">
        <v>2</v>
      </c>
      <c r="E496" s="2">
        <v>13</v>
      </c>
      <c r="F496" s="2">
        <v>3</v>
      </c>
      <c r="G496" s="2">
        <v>1</v>
      </c>
      <c r="H496" s="2">
        <v>1200</v>
      </c>
      <c r="I496" s="2">
        <v>50</v>
      </c>
      <c r="J496" s="2" t="s">
        <v>1779</v>
      </c>
      <c r="K496" s="2">
        <v>29</v>
      </c>
      <c r="L496" s="2">
        <v>10</v>
      </c>
      <c r="M496" s="2">
        <v>5</v>
      </c>
      <c r="N496" s="2">
        <v>4</v>
      </c>
      <c r="O496" s="2">
        <v>5</v>
      </c>
      <c r="P496" s="2">
        <v>5</v>
      </c>
      <c r="Q496" s="2" t="s">
        <v>2796</v>
      </c>
      <c r="R496" s="2" t="s">
        <v>2797</v>
      </c>
      <c r="S496" s="4">
        <v>44837</v>
      </c>
    </row>
    <row r="497" spans="1:19" ht="12.5" hidden="1" x14ac:dyDescent="0.25">
      <c r="A497" s="14" t="str">
        <f>HYPERLINK("https://gerandofalcoes.my.salesforce.com/0014X00002VKCsLQAX", "0014X00002VKCsLQAX")</f>
        <v>0014X00002VKCsLQAX</v>
      </c>
      <c r="B497" s="2" t="s">
        <v>2798</v>
      </c>
      <c r="C497" s="2" t="s">
        <v>1800</v>
      </c>
      <c r="D497" s="2" t="s">
        <v>2</v>
      </c>
      <c r="E497" s="2">
        <v>13</v>
      </c>
      <c r="F497" s="2">
        <v>0</v>
      </c>
      <c r="G497" s="2">
        <v>3</v>
      </c>
      <c r="H497" s="2">
        <v>500</v>
      </c>
      <c r="I497" s="2">
        <v>30</v>
      </c>
      <c r="J497" s="2" t="s">
        <v>1779</v>
      </c>
      <c r="K497" s="2">
        <v>28</v>
      </c>
      <c r="L497" s="2">
        <v>10</v>
      </c>
      <c r="M497" s="2">
        <v>0</v>
      </c>
      <c r="N497" s="2">
        <v>8</v>
      </c>
      <c r="O497" s="2">
        <v>5</v>
      </c>
      <c r="P497" s="2">
        <v>5</v>
      </c>
      <c r="Q497" s="2" t="s">
        <v>2799</v>
      </c>
      <c r="R497" s="2" t="s">
        <v>2800</v>
      </c>
      <c r="S497" s="4">
        <v>44837</v>
      </c>
    </row>
    <row r="498" spans="1:19" ht="12.5" hidden="1" x14ac:dyDescent="0.25">
      <c r="A498" s="14" t="str">
        <f>HYPERLINK("https://gerandofalcoes.my.salesforce.com/0014P00003YSp7xQAD", "0014P00003YSp7xQAD")</f>
        <v>0014P00003YSp7xQAD</v>
      </c>
      <c r="B498" s="2" t="s">
        <v>2801</v>
      </c>
      <c r="C498" s="2" t="s">
        <v>1800</v>
      </c>
      <c r="D498" s="2" t="s">
        <v>2</v>
      </c>
      <c r="E498" s="2">
        <v>13</v>
      </c>
      <c r="F498" s="2">
        <v>7</v>
      </c>
      <c r="G498" s="2">
        <v>3</v>
      </c>
      <c r="H498" s="2">
        <v>1000</v>
      </c>
      <c r="I498" s="2">
        <v>30</v>
      </c>
      <c r="J498" s="2" t="s">
        <v>1779</v>
      </c>
      <c r="K498" s="2">
        <v>38</v>
      </c>
      <c r="L498" s="2">
        <v>10</v>
      </c>
      <c r="M498" s="2">
        <v>10</v>
      </c>
      <c r="N498" s="2">
        <v>8</v>
      </c>
      <c r="O498" s="2">
        <v>5</v>
      </c>
      <c r="P498" s="2">
        <v>5</v>
      </c>
      <c r="Q498" s="2" t="s">
        <v>2802</v>
      </c>
      <c r="R498" s="2" t="s">
        <v>2803</v>
      </c>
      <c r="S498" s="4">
        <v>44837</v>
      </c>
    </row>
    <row r="499" spans="1:19" ht="12.5" hidden="1" x14ac:dyDescent="0.25">
      <c r="A499" s="14" t="str">
        <f>HYPERLINK("https://gerandofalcoes.my.salesforce.com/0014X00002VKCrfQAH", "0014X00002VKCrfQAH")</f>
        <v>0014X00002VKCrfQAH</v>
      </c>
      <c r="B499" s="2" t="s">
        <v>2804</v>
      </c>
      <c r="C499" s="2" t="s">
        <v>1800</v>
      </c>
      <c r="D499" s="2" t="s">
        <v>2</v>
      </c>
      <c r="E499" s="2">
        <v>13</v>
      </c>
      <c r="F499" s="2">
        <v>0</v>
      </c>
      <c r="G499" s="2">
        <v>4</v>
      </c>
      <c r="H499" s="2">
        <v>10000</v>
      </c>
      <c r="I499" s="2">
        <v>2</v>
      </c>
      <c r="J499" s="2" t="s">
        <v>1779</v>
      </c>
      <c r="K499" s="2">
        <v>30</v>
      </c>
      <c r="L499" s="2">
        <v>10</v>
      </c>
      <c r="M499" s="2">
        <v>0</v>
      </c>
      <c r="N499" s="2">
        <v>10</v>
      </c>
      <c r="O499" s="2">
        <v>5</v>
      </c>
      <c r="P499" s="2">
        <v>5</v>
      </c>
      <c r="Q499" s="2" t="s">
        <v>2805</v>
      </c>
      <c r="R499" s="2" t="s">
        <v>2806</v>
      </c>
      <c r="S499" s="4">
        <v>44837</v>
      </c>
    </row>
    <row r="500" spans="1:19" ht="12.5" hidden="1" x14ac:dyDescent="0.25">
      <c r="A500" s="14" t="str">
        <f>HYPERLINK("https://gerandofalcoes.my.salesforce.com/0014X00002VKCqUQAX", "0014X00002VKCqUQAX")</f>
        <v>0014X00002VKCqUQAX</v>
      </c>
      <c r="B500" s="2" t="s">
        <v>2807</v>
      </c>
      <c r="C500" s="2" t="s">
        <v>1800</v>
      </c>
      <c r="D500" s="2" t="s">
        <v>2</v>
      </c>
      <c r="E500" s="2">
        <v>13</v>
      </c>
      <c r="F500" s="2">
        <v>0</v>
      </c>
      <c r="G500" s="2">
        <v>3</v>
      </c>
      <c r="H500" s="2">
        <v>10000</v>
      </c>
      <c r="I500" s="2">
        <v>0</v>
      </c>
      <c r="J500" s="2" t="s">
        <v>1779</v>
      </c>
      <c r="K500" s="2">
        <v>23</v>
      </c>
      <c r="L500" s="2">
        <v>10</v>
      </c>
      <c r="M500" s="2">
        <v>0</v>
      </c>
      <c r="N500" s="2">
        <v>8</v>
      </c>
      <c r="O500" s="2">
        <v>5</v>
      </c>
      <c r="P500" s="2">
        <v>0</v>
      </c>
      <c r="Q500" s="2" t="s">
        <v>2808</v>
      </c>
      <c r="R500" s="2" t="s">
        <v>2808</v>
      </c>
      <c r="S500" s="4">
        <v>44837</v>
      </c>
    </row>
    <row r="501" spans="1:19" ht="12.5" hidden="1" x14ac:dyDescent="0.25">
      <c r="A501" s="14" t="str">
        <f>HYPERLINK("https://gerandofalcoes.my.salesforce.com/0014P00003Ck7X8QAJ", "0014P00003Ck7X8QAJ")</f>
        <v>0014P00003Ck7X8QAJ</v>
      </c>
      <c r="B501" s="2" t="s">
        <v>2809</v>
      </c>
      <c r="C501" s="2" t="s">
        <v>423</v>
      </c>
      <c r="D501" s="2" t="s">
        <v>2</v>
      </c>
      <c r="E501" s="2">
        <v>12.87</v>
      </c>
      <c r="F501" s="2">
        <v>0</v>
      </c>
      <c r="G501" s="2">
        <v>0</v>
      </c>
      <c r="H501" s="2">
        <v>12550</v>
      </c>
      <c r="I501" s="2">
        <v>50</v>
      </c>
      <c r="J501" s="2" t="s">
        <v>1779</v>
      </c>
      <c r="K501" s="2">
        <v>20</v>
      </c>
      <c r="L501" s="2">
        <v>10</v>
      </c>
      <c r="M501" s="2">
        <v>0</v>
      </c>
      <c r="N501" s="2">
        <v>0</v>
      </c>
      <c r="O501" s="2">
        <v>5</v>
      </c>
      <c r="P501" s="2">
        <v>5</v>
      </c>
      <c r="Q501" s="2" t="s">
        <v>891</v>
      </c>
      <c r="R501" s="2" t="s">
        <v>891</v>
      </c>
      <c r="S501" s="4">
        <v>44837</v>
      </c>
    </row>
    <row r="502" spans="1:19" ht="12.5" hidden="1" x14ac:dyDescent="0.25">
      <c r="A502" s="14" t="str">
        <f>HYPERLINK("https://gerandofalcoes.my.salesforce.com/0014X00002VKCu2QAH", "0014X00002VKCu2QAH")</f>
        <v>0014X00002VKCu2QAH</v>
      </c>
      <c r="B502" s="2" t="s">
        <v>2810</v>
      </c>
      <c r="C502" s="2" t="s">
        <v>423</v>
      </c>
      <c r="D502" s="2" t="s">
        <v>2</v>
      </c>
      <c r="E502" s="2">
        <v>12.84</v>
      </c>
      <c r="F502" s="2">
        <v>0</v>
      </c>
      <c r="G502" s="2">
        <v>2</v>
      </c>
      <c r="H502" s="2">
        <v>3</v>
      </c>
      <c r="I502" s="2">
        <v>300</v>
      </c>
      <c r="J502" s="2" t="s">
        <v>1779</v>
      </c>
      <c r="K502" s="2">
        <v>36</v>
      </c>
      <c r="L502" s="2">
        <v>10</v>
      </c>
      <c r="M502" s="2">
        <v>0</v>
      </c>
      <c r="N502" s="2">
        <v>6</v>
      </c>
      <c r="O502" s="2">
        <v>5</v>
      </c>
      <c r="P502" s="2">
        <v>15</v>
      </c>
      <c r="Q502" s="2" t="s">
        <v>2811</v>
      </c>
      <c r="R502" s="2" t="s">
        <v>2812</v>
      </c>
      <c r="S502" s="4">
        <v>44837</v>
      </c>
    </row>
    <row r="503" spans="1:19" ht="12.5" hidden="1" x14ac:dyDescent="0.25">
      <c r="A503" s="14" t="str">
        <f>HYPERLINK("https://gerandofalcoes.my.salesforce.com/0014P00003SGWQ8QAP", "0014P00003SGWQ8QAP")</f>
        <v>0014P00003SGWQ8QAP</v>
      </c>
      <c r="B503" s="2" t="s">
        <v>213</v>
      </c>
      <c r="C503" s="2" t="s">
        <v>423</v>
      </c>
      <c r="D503" s="2" t="s">
        <v>2</v>
      </c>
      <c r="E503" s="2">
        <v>12.73</v>
      </c>
      <c r="F503" s="2">
        <v>0</v>
      </c>
      <c r="G503" s="2">
        <v>2</v>
      </c>
      <c r="H503" s="2">
        <v>300000</v>
      </c>
      <c r="I503" s="2">
        <v>0</v>
      </c>
      <c r="J503" s="2" t="s">
        <v>1779</v>
      </c>
      <c r="K503" s="2">
        <v>36</v>
      </c>
      <c r="L503" s="2">
        <v>10</v>
      </c>
      <c r="M503" s="2">
        <v>0</v>
      </c>
      <c r="N503" s="2">
        <v>6</v>
      </c>
      <c r="O503" s="2">
        <v>20</v>
      </c>
      <c r="P503" s="2">
        <v>0</v>
      </c>
      <c r="Q503" s="2" t="s">
        <v>214</v>
      </c>
      <c r="R503" s="2" t="s">
        <v>1170</v>
      </c>
      <c r="S503" s="4">
        <v>44837</v>
      </c>
    </row>
    <row r="504" spans="1:19" ht="12.5" hidden="1" x14ac:dyDescent="0.25">
      <c r="A504" s="14" t="str">
        <f>HYPERLINK("https://gerandofalcoes.my.salesforce.com/0014P00003YSp8BQAT", "0014P00003YSp8BQAT")</f>
        <v>0014P00003YSp8BQAT</v>
      </c>
      <c r="B504" s="2" t="s">
        <v>2813</v>
      </c>
      <c r="C504" s="2" t="s">
        <v>423</v>
      </c>
      <c r="D504" s="2" t="s">
        <v>2</v>
      </c>
      <c r="E504" s="2">
        <v>12.55</v>
      </c>
      <c r="F504" s="2">
        <v>0</v>
      </c>
      <c r="G504" s="2">
        <v>0</v>
      </c>
      <c r="H504" s="2">
        <v>0</v>
      </c>
      <c r="I504" s="2">
        <v>239</v>
      </c>
      <c r="J504" s="2" t="s">
        <v>1779</v>
      </c>
      <c r="K504" s="2">
        <v>22</v>
      </c>
      <c r="L504" s="2">
        <v>10</v>
      </c>
      <c r="M504" s="2">
        <v>0</v>
      </c>
      <c r="N504" s="2">
        <v>0</v>
      </c>
      <c r="O504" s="2">
        <v>0</v>
      </c>
      <c r="P504" s="2">
        <v>12</v>
      </c>
      <c r="Q504" s="2" t="s">
        <v>2814</v>
      </c>
      <c r="R504" s="2" t="s">
        <v>2815</v>
      </c>
      <c r="S504" s="4">
        <v>44837</v>
      </c>
    </row>
    <row r="505" spans="1:19" ht="12.5" hidden="1" x14ac:dyDescent="0.25">
      <c r="A505" s="14" t="str">
        <f>HYPERLINK("https://gerandofalcoes.my.salesforce.com/0014X00002VKCrvQAH", "0014X00002VKCrvQAH")</f>
        <v>0014X00002VKCrvQAH</v>
      </c>
      <c r="B505" s="2" t="s">
        <v>2816</v>
      </c>
      <c r="C505" s="2" t="s">
        <v>423</v>
      </c>
      <c r="D505" s="2" t="s">
        <v>2</v>
      </c>
      <c r="E505" s="2">
        <v>12.54</v>
      </c>
      <c r="F505" s="2">
        <v>4</v>
      </c>
      <c r="G505" s="2">
        <v>1</v>
      </c>
      <c r="H505" s="2">
        <v>1200</v>
      </c>
      <c r="I505" s="2">
        <v>150</v>
      </c>
      <c r="J505" s="2" t="s">
        <v>1779</v>
      </c>
      <c r="K505" s="2">
        <v>36</v>
      </c>
      <c r="L505" s="2">
        <v>10</v>
      </c>
      <c r="M505" s="2">
        <v>5</v>
      </c>
      <c r="N505" s="2">
        <v>4</v>
      </c>
      <c r="O505" s="2">
        <v>5</v>
      </c>
      <c r="P505" s="2">
        <v>12</v>
      </c>
      <c r="Q505" s="2" t="s">
        <v>2817</v>
      </c>
      <c r="R505" s="2" t="s">
        <v>2817</v>
      </c>
      <c r="S505" s="4">
        <v>44837</v>
      </c>
    </row>
    <row r="506" spans="1:19" ht="12.5" hidden="1" x14ac:dyDescent="0.25">
      <c r="A506" s="14" t="str">
        <f>HYPERLINK("https://gerandofalcoes.my.salesforce.com/0014P00003YSpA7QAL", "0014P00003YSpA7QAL")</f>
        <v>0014P00003YSpA7QAL</v>
      </c>
      <c r="B506" s="2" t="s">
        <v>2818</v>
      </c>
      <c r="C506" s="2" t="s">
        <v>423</v>
      </c>
      <c r="D506" s="2" t="s">
        <v>2</v>
      </c>
      <c r="E506" s="2">
        <v>12.03</v>
      </c>
      <c r="F506" s="2">
        <v>1</v>
      </c>
      <c r="G506" s="2">
        <v>1</v>
      </c>
      <c r="H506" s="2">
        <v>200000</v>
      </c>
      <c r="I506" s="2">
        <v>120</v>
      </c>
      <c r="J506" s="2" t="s">
        <v>1671</v>
      </c>
      <c r="K506" s="2">
        <v>44</v>
      </c>
      <c r="L506" s="2">
        <v>10</v>
      </c>
      <c r="M506" s="2">
        <v>5</v>
      </c>
      <c r="N506" s="2">
        <v>4</v>
      </c>
      <c r="O506" s="2">
        <v>15</v>
      </c>
      <c r="P506" s="2">
        <v>10</v>
      </c>
      <c r="Q506" s="2" t="s">
        <v>2819</v>
      </c>
      <c r="R506" s="2" t="s">
        <v>2819</v>
      </c>
      <c r="S506" s="4">
        <v>44837</v>
      </c>
    </row>
    <row r="507" spans="1:19" ht="12.5" hidden="1" x14ac:dyDescent="0.25">
      <c r="A507" s="14" t="str">
        <f>HYPERLINK("https://gerandofalcoes.my.salesforce.com/0014X00002VKCrbQAH", "0014X00002VKCrbQAH")</f>
        <v>0014X00002VKCrbQAH</v>
      </c>
      <c r="B507" s="2" t="s">
        <v>2820</v>
      </c>
      <c r="C507" s="2" t="s">
        <v>423</v>
      </c>
      <c r="D507" s="2" t="s">
        <v>2</v>
      </c>
      <c r="E507" s="2">
        <v>12</v>
      </c>
      <c r="F507" s="2">
        <v>0</v>
      </c>
      <c r="G507" s="2">
        <v>0</v>
      </c>
      <c r="H507" s="2">
        <v>0</v>
      </c>
      <c r="I507" s="2">
        <v>300</v>
      </c>
      <c r="J507" s="2" t="s">
        <v>1779</v>
      </c>
      <c r="K507" s="2">
        <v>25</v>
      </c>
      <c r="L507" s="2">
        <v>10</v>
      </c>
      <c r="M507" s="2">
        <v>0</v>
      </c>
      <c r="N507" s="2">
        <v>0</v>
      </c>
      <c r="O507" s="2">
        <v>0</v>
      </c>
      <c r="P507" s="2">
        <v>15</v>
      </c>
      <c r="Q507" s="2" t="s">
        <v>2821</v>
      </c>
      <c r="R507" s="2" t="s">
        <v>2822</v>
      </c>
      <c r="S507" s="4">
        <v>44837</v>
      </c>
    </row>
    <row r="508" spans="1:19" ht="12.5" hidden="1" x14ac:dyDescent="0.25">
      <c r="A508" s="14" t="str">
        <f>HYPERLINK("https://gerandofalcoes.my.salesforce.com/0014P00003YSp7yQAD", "0014P00003YSp7yQAD")</f>
        <v>0014P00003YSp7yQAD</v>
      </c>
      <c r="B508" s="2" t="s">
        <v>2823</v>
      </c>
      <c r="C508" s="2" t="s">
        <v>423</v>
      </c>
      <c r="D508" s="2" t="s">
        <v>2</v>
      </c>
      <c r="E508" s="2">
        <v>12</v>
      </c>
      <c r="F508" s="2">
        <v>0</v>
      </c>
      <c r="G508" s="2">
        <v>3</v>
      </c>
      <c r="H508" s="2">
        <v>10000</v>
      </c>
      <c r="I508" s="2">
        <v>200</v>
      </c>
      <c r="J508" s="2" t="s">
        <v>1779</v>
      </c>
      <c r="K508" s="2">
        <v>35</v>
      </c>
      <c r="L508" s="2">
        <v>10</v>
      </c>
      <c r="M508" s="2">
        <v>0</v>
      </c>
      <c r="N508" s="2">
        <v>8</v>
      </c>
      <c r="O508" s="2">
        <v>5</v>
      </c>
      <c r="P508" s="2">
        <v>12</v>
      </c>
      <c r="Q508" s="2" t="s">
        <v>2824</v>
      </c>
      <c r="R508" s="2" t="s">
        <v>2825</v>
      </c>
      <c r="S508" s="4">
        <v>44837</v>
      </c>
    </row>
    <row r="509" spans="1:19" ht="12.5" hidden="1" x14ac:dyDescent="0.25">
      <c r="A509" s="14" t="str">
        <f>HYPERLINK("https://gerandofalcoes.my.salesforce.com/0014X00002VKCsCQAX", "0014X00002VKCsCQAX")</f>
        <v>0014X00002VKCsCQAX</v>
      </c>
      <c r="B509" s="2" t="s">
        <v>2826</v>
      </c>
      <c r="C509" s="2" t="s">
        <v>423</v>
      </c>
      <c r="D509" s="2" t="s">
        <v>2</v>
      </c>
      <c r="E509" s="2">
        <v>11.65</v>
      </c>
      <c r="F509" s="2">
        <v>0</v>
      </c>
      <c r="G509" s="2">
        <v>2</v>
      </c>
      <c r="H509" s="2">
        <v>30000</v>
      </c>
      <c r="I509" s="2">
        <v>70</v>
      </c>
      <c r="J509" s="2" t="s">
        <v>1779</v>
      </c>
      <c r="K509" s="2">
        <v>31</v>
      </c>
      <c r="L509" s="2">
        <v>10</v>
      </c>
      <c r="M509" s="2">
        <v>0</v>
      </c>
      <c r="N509" s="2">
        <v>6</v>
      </c>
      <c r="O509" s="2">
        <v>10</v>
      </c>
      <c r="P509" s="2">
        <v>5</v>
      </c>
      <c r="Q509" s="2" t="s">
        <v>2827</v>
      </c>
      <c r="R509" s="2" t="s">
        <v>2827</v>
      </c>
      <c r="S509" s="4">
        <v>44837</v>
      </c>
    </row>
    <row r="510" spans="1:19" ht="12.5" hidden="1" x14ac:dyDescent="0.25">
      <c r="A510" s="14" t="str">
        <f>HYPERLINK("https://gerandofalcoes.my.salesforce.com/0014X00002VKCtKQAX", "0014X00002VKCtKQAX")</f>
        <v>0014X00002VKCtKQAX</v>
      </c>
      <c r="B510" s="2" t="s">
        <v>2828</v>
      </c>
      <c r="C510" s="2" t="s">
        <v>423</v>
      </c>
      <c r="D510" s="2" t="s">
        <v>2</v>
      </c>
      <c r="E510" s="2">
        <v>11.48</v>
      </c>
      <c r="F510" s="2">
        <v>8</v>
      </c>
      <c r="G510" s="2">
        <v>12</v>
      </c>
      <c r="H510" s="2">
        <v>5479</v>
      </c>
      <c r="I510" s="2">
        <v>80</v>
      </c>
      <c r="J510" s="2" t="s">
        <v>1671</v>
      </c>
      <c r="K510" s="2">
        <v>45</v>
      </c>
      <c r="L510" s="2">
        <v>10</v>
      </c>
      <c r="M510" s="2">
        <v>10</v>
      </c>
      <c r="N510" s="2">
        <v>10</v>
      </c>
      <c r="O510" s="2">
        <v>5</v>
      </c>
      <c r="P510" s="2">
        <v>10</v>
      </c>
      <c r="Q510" s="2" t="s">
        <v>2829</v>
      </c>
      <c r="R510" s="2" t="s">
        <v>2829</v>
      </c>
      <c r="S510" s="4">
        <v>44837</v>
      </c>
    </row>
    <row r="511" spans="1:19" ht="12.5" hidden="1" x14ac:dyDescent="0.25">
      <c r="A511" s="14" t="str">
        <f>HYPERLINK("https://gerandofalcoes.my.salesforce.com/0014X00002VKCr8QAH", "0014X00002VKCr8QAH")</f>
        <v>0014X00002VKCr8QAH</v>
      </c>
      <c r="B511" s="2" t="s">
        <v>2830</v>
      </c>
      <c r="C511" s="2" t="s">
        <v>1684</v>
      </c>
      <c r="D511" s="2" t="s">
        <v>2</v>
      </c>
      <c r="E511" s="2">
        <v>11.33</v>
      </c>
      <c r="F511" s="2">
        <v>9</v>
      </c>
      <c r="G511" s="2">
        <v>3</v>
      </c>
      <c r="H511" s="2">
        <v>56000000</v>
      </c>
      <c r="I511" s="2">
        <v>0</v>
      </c>
      <c r="J511" s="2" t="s">
        <v>1671</v>
      </c>
      <c r="K511" s="2">
        <v>53</v>
      </c>
      <c r="L511" s="2">
        <v>10</v>
      </c>
      <c r="M511" s="2">
        <v>10</v>
      </c>
      <c r="N511" s="2">
        <v>8</v>
      </c>
      <c r="O511" s="2">
        <v>25</v>
      </c>
      <c r="P511" s="2">
        <v>0</v>
      </c>
      <c r="Q511" s="2" t="s">
        <v>2831</v>
      </c>
      <c r="R511" s="2" t="s">
        <v>2831</v>
      </c>
      <c r="S511" s="4">
        <v>44837</v>
      </c>
    </row>
    <row r="512" spans="1:19" ht="12.5" hidden="1" x14ac:dyDescent="0.25">
      <c r="A512" s="14" t="str">
        <f>HYPERLINK("https://gerandofalcoes.my.salesforce.com/0014P00003YSp8PQAT", "0014P00003YSp8PQAT")</f>
        <v>0014P00003YSp8PQAT</v>
      </c>
      <c r="B512" s="2" t="s">
        <v>2832</v>
      </c>
      <c r="C512" s="2" t="s">
        <v>1684</v>
      </c>
      <c r="D512" s="2" t="s">
        <v>2</v>
      </c>
      <c r="E512" s="2">
        <v>11.28</v>
      </c>
      <c r="F512" s="2">
        <v>0</v>
      </c>
      <c r="G512" s="2">
        <v>1</v>
      </c>
      <c r="H512" s="2">
        <v>4546832</v>
      </c>
      <c r="I512" s="2">
        <v>0</v>
      </c>
      <c r="J512" s="2" t="s">
        <v>1779</v>
      </c>
      <c r="K512" s="2">
        <v>39</v>
      </c>
      <c r="L512" s="2">
        <v>10</v>
      </c>
      <c r="M512" s="2">
        <v>0</v>
      </c>
      <c r="N512" s="2">
        <v>4</v>
      </c>
      <c r="O512" s="2">
        <v>25</v>
      </c>
      <c r="P512" s="2">
        <v>0</v>
      </c>
      <c r="Q512" s="2" t="s">
        <v>2833</v>
      </c>
      <c r="R512" s="2" t="s">
        <v>2834</v>
      </c>
      <c r="S512" s="4">
        <v>44837</v>
      </c>
    </row>
    <row r="513" spans="1:19" ht="12.5" hidden="1" x14ac:dyDescent="0.25">
      <c r="A513" s="14" t="str">
        <f>HYPERLINK("https://gerandofalcoes.my.salesforce.com/0014P00003SGWPqQAP", "0014P00003SGWPqQAP")</f>
        <v>0014P00003SGWPqQAP</v>
      </c>
      <c r="B513" s="2" t="s">
        <v>2835</v>
      </c>
      <c r="C513" s="2" t="s">
        <v>1800</v>
      </c>
      <c r="D513" s="2" t="s">
        <v>2</v>
      </c>
      <c r="E513" s="2">
        <v>11</v>
      </c>
      <c r="F513" s="2">
        <v>2</v>
      </c>
      <c r="G513" s="2">
        <v>0</v>
      </c>
      <c r="H513" s="2">
        <v>140000</v>
      </c>
      <c r="I513" s="2">
        <v>200</v>
      </c>
      <c r="J513" s="2" t="s">
        <v>1671</v>
      </c>
      <c r="K513" s="2">
        <v>42</v>
      </c>
      <c r="L513" s="2">
        <v>10</v>
      </c>
      <c r="M513" s="2">
        <v>5</v>
      </c>
      <c r="N513" s="2">
        <v>0</v>
      </c>
      <c r="O513" s="2">
        <v>15</v>
      </c>
      <c r="P513" s="2">
        <v>12</v>
      </c>
      <c r="Q513" s="2" t="s">
        <v>327</v>
      </c>
      <c r="R513" s="2" t="s">
        <v>1409</v>
      </c>
      <c r="S513" s="4">
        <v>44837</v>
      </c>
    </row>
    <row r="514" spans="1:19" ht="12.5" hidden="1" x14ac:dyDescent="0.25">
      <c r="A514" s="14" t="str">
        <f>HYPERLINK("https://gerandofalcoes.my.salesforce.com/0014X00002VKCraQAH", "0014X00002VKCraQAH")</f>
        <v>0014X00002VKCraQAH</v>
      </c>
      <c r="B514" s="2" t="s">
        <v>2836</v>
      </c>
      <c r="C514" s="2" t="s">
        <v>423</v>
      </c>
      <c r="D514" s="2" t="s">
        <v>2</v>
      </c>
      <c r="E514" s="2">
        <v>11</v>
      </c>
      <c r="F514" s="2">
        <v>0</v>
      </c>
      <c r="G514" s="2">
        <v>1</v>
      </c>
      <c r="H514" s="2">
        <v>970224</v>
      </c>
      <c r="I514" s="2">
        <v>150</v>
      </c>
      <c r="J514" s="2" t="s">
        <v>1671</v>
      </c>
      <c r="K514" s="2">
        <v>51</v>
      </c>
      <c r="L514" s="2">
        <v>10</v>
      </c>
      <c r="M514" s="2">
        <v>0</v>
      </c>
      <c r="N514" s="2">
        <v>4</v>
      </c>
      <c r="O514" s="2">
        <v>25</v>
      </c>
      <c r="P514" s="2">
        <v>12</v>
      </c>
      <c r="Q514" s="2" t="s">
        <v>2837</v>
      </c>
      <c r="R514" s="2" t="s">
        <v>2838</v>
      </c>
      <c r="S514" s="4">
        <v>44837</v>
      </c>
    </row>
    <row r="515" spans="1:19" ht="12.5" hidden="1" x14ac:dyDescent="0.25">
      <c r="A515" s="14" t="str">
        <f>HYPERLINK("https://gerandofalcoes.my.salesforce.com/0014P00003YSp9BQAT", "0014P00003YSp9BQAT")</f>
        <v>0014P00003YSp9BQAT</v>
      </c>
      <c r="B515" s="2" t="s">
        <v>2839</v>
      </c>
      <c r="C515" s="2" t="s">
        <v>1800</v>
      </c>
      <c r="D515" s="2" t="s">
        <v>2</v>
      </c>
      <c r="E515" s="2">
        <v>11</v>
      </c>
      <c r="F515" s="2">
        <v>24</v>
      </c>
      <c r="G515" s="2">
        <v>4</v>
      </c>
      <c r="H515" s="2">
        <v>200</v>
      </c>
      <c r="I515" s="2">
        <v>112</v>
      </c>
      <c r="J515" s="2" t="s">
        <v>1671</v>
      </c>
      <c r="K515" s="2">
        <v>47</v>
      </c>
      <c r="L515" s="2">
        <v>10</v>
      </c>
      <c r="M515" s="2">
        <v>12</v>
      </c>
      <c r="N515" s="2">
        <v>10</v>
      </c>
      <c r="O515" s="2">
        <v>5</v>
      </c>
      <c r="P515" s="2">
        <v>10</v>
      </c>
      <c r="Q515" s="2" t="s">
        <v>2840</v>
      </c>
      <c r="R515" s="2" t="s">
        <v>2841</v>
      </c>
      <c r="S515" s="4">
        <v>44837</v>
      </c>
    </row>
    <row r="516" spans="1:19" ht="12.5" hidden="1" x14ac:dyDescent="0.25">
      <c r="A516" s="14" t="str">
        <f>HYPERLINK("https://gerandofalcoes.my.salesforce.com/0014P00003YSp8hQAD", "0014P00003YSp8hQAD")</f>
        <v>0014P00003YSp8hQAD</v>
      </c>
      <c r="B516" s="2" t="s">
        <v>2842</v>
      </c>
      <c r="C516" s="2" t="s">
        <v>423</v>
      </c>
      <c r="D516" s="2" t="s">
        <v>2</v>
      </c>
      <c r="E516" s="2">
        <v>11</v>
      </c>
      <c r="F516" s="2">
        <v>10</v>
      </c>
      <c r="G516" s="2">
        <v>2</v>
      </c>
      <c r="H516" s="2">
        <v>90000</v>
      </c>
      <c r="I516" s="2">
        <v>0</v>
      </c>
      <c r="J516" s="2" t="s">
        <v>1779</v>
      </c>
      <c r="K516" s="2">
        <v>36</v>
      </c>
      <c r="L516" s="2">
        <v>10</v>
      </c>
      <c r="M516" s="2">
        <v>10</v>
      </c>
      <c r="N516" s="2">
        <v>6</v>
      </c>
      <c r="O516" s="2">
        <v>10</v>
      </c>
      <c r="P516" s="2">
        <v>0</v>
      </c>
      <c r="Q516" s="2" t="s">
        <v>2843</v>
      </c>
      <c r="R516" s="2" t="s">
        <v>2843</v>
      </c>
      <c r="S516" s="4">
        <v>44837</v>
      </c>
    </row>
    <row r="517" spans="1:19" ht="12.5" hidden="1" x14ac:dyDescent="0.25">
      <c r="A517" s="14" t="str">
        <f>HYPERLINK("https://gerandofalcoes.my.salesforce.com/0014X00002VKCpWQAX", "0014X00002VKCpWQAX")</f>
        <v>0014X00002VKCpWQAX</v>
      </c>
      <c r="B517" s="2" t="s">
        <v>2844</v>
      </c>
      <c r="C517" s="2" t="s">
        <v>423</v>
      </c>
      <c r="D517" s="2" t="s">
        <v>2</v>
      </c>
      <c r="E517" s="2">
        <v>10.64</v>
      </c>
      <c r="F517" s="2">
        <v>5</v>
      </c>
      <c r="G517" s="2">
        <v>1</v>
      </c>
      <c r="H517" s="2">
        <v>35619</v>
      </c>
      <c r="I517" s="2">
        <v>500</v>
      </c>
      <c r="J517" s="2" t="s">
        <v>1671</v>
      </c>
      <c r="K517" s="2">
        <v>49</v>
      </c>
      <c r="L517" s="2">
        <v>10</v>
      </c>
      <c r="M517" s="2">
        <v>5</v>
      </c>
      <c r="N517" s="2">
        <v>4</v>
      </c>
      <c r="O517" s="2">
        <v>10</v>
      </c>
      <c r="P517" s="2">
        <v>20</v>
      </c>
      <c r="Q517" s="2" t="s">
        <v>2845</v>
      </c>
      <c r="R517" s="2" t="s">
        <v>2846</v>
      </c>
      <c r="S517" s="4">
        <v>44837</v>
      </c>
    </row>
    <row r="518" spans="1:19" ht="12.5" hidden="1" x14ac:dyDescent="0.25">
      <c r="A518" s="14" t="str">
        <f>HYPERLINK("https://gerandofalcoes.my.salesforce.com/0014X00002VKCqkQAH", "0014X00002VKCqkQAH")</f>
        <v>0014X00002VKCqkQAH</v>
      </c>
      <c r="B518" s="2" t="s">
        <v>2847</v>
      </c>
      <c r="C518" s="2" t="s">
        <v>1800</v>
      </c>
      <c r="D518" s="2" t="s">
        <v>2</v>
      </c>
      <c r="E518" s="2">
        <v>10.39</v>
      </c>
      <c r="F518" s="2">
        <v>0</v>
      </c>
      <c r="G518" s="2">
        <v>2</v>
      </c>
      <c r="H518" s="2">
        <v>12000</v>
      </c>
      <c r="I518" s="2">
        <v>500</v>
      </c>
      <c r="J518" s="2" t="s">
        <v>1671</v>
      </c>
      <c r="K518" s="2">
        <v>41</v>
      </c>
      <c r="L518" s="2">
        <v>10</v>
      </c>
      <c r="M518" s="2">
        <v>0</v>
      </c>
      <c r="N518" s="2">
        <v>6</v>
      </c>
      <c r="O518" s="2">
        <v>5</v>
      </c>
      <c r="P518" s="2">
        <v>20</v>
      </c>
      <c r="Q518" s="2" t="s">
        <v>2848</v>
      </c>
      <c r="R518" s="2" t="s">
        <v>2849</v>
      </c>
      <c r="S518" s="4">
        <v>44837</v>
      </c>
    </row>
    <row r="519" spans="1:19" ht="12.5" hidden="1" x14ac:dyDescent="0.25">
      <c r="A519" s="14" t="str">
        <f>HYPERLINK("https://gerandofalcoes.my.salesforce.com/0014P00003YSpAGQA1", "0014P00003YSpAGQA1")</f>
        <v>0014P00003YSpAGQA1</v>
      </c>
      <c r="B519" s="2" t="s">
        <v>2850</v>
      </c>
      <c r="C519" s="2" t="s">
        <v>423</v>
      </c>
      <c r="D519" s="2" t="s">
        <v>2</v>
      </c>
      <c r="E519" s="2">
        <v>10.220000000000001</v>
      </c>
      <c r="F519" s="2">
        <v>0</v>
      </c>
      <c r="G519" s="2">
        <v>2</v>
      </c>
      <c r="H519" s="2">
        <v>3156570</v>
      </c>
      <c r="I519" s="2">
        <v>120</v>
      </c>
      <c r="J519" s="2" t="s">
        <v>1671</v>
      </c>
      <c r="K519" s="2">
        <v>51</v>
      </c>
      <c r="L519" s="2">
        <v>10</v>
      </c>
      <c r="M519" s="2">
        <v>0</v>
      </c>
      <c r="N519" s="2">
        <v>6</v>
      </c>
      <c r="O519" s="2">
        <v>25</v>
      </c>
      <c r="P519" s="2">
        <v>10</v>
      </c>
      <c r="Q519" s="2" t="s">
        <v>2851</v>
      </c>
      <c r="R519" s="2" t="s">
        <v>2852</v>
      </c>
      <c r="S519" s="4">
        <v>44837</v>
      </c>
    </row>
    <row r="520" spans="1:19" ht="12.5" hidden="1" x14ac:dyDescent="0.25">
      <c r="A520" s="14" t="str">
        <f>HYPERLINK("https://gerandofalcoes.my.salesforce.com/0014X00002VKCqCQAX", "0014X00002VKCqCQAX")</f>
        <v>0014X00002VKCqCQAX</v>
      </c>
      <c r="B520" s="2" t="s">
        <v>2853</v>
      </c>
      <c r="C520" s="2" t="s">
        <v>423</v>
      </c>
      <c r="D520" s="2" t="s">
        <v>2</v>
      </c>
      <c r="E520" s="2">
        <v>10.18</v>
      </c>
      <c r="F520" s="2">
        <v>0</v>
      </c>
      <c r="G520" s="2">
        <v>0</v>
      </c>
      <c r="H520" s="2">
        <v>63000</v>
      </c>
      <c r="I520" s="2">
        <v>49</v>
      </c>
      <c r="J520" s="2" t="s">
        <v>1779</v>
      </c>
      <c r="K520" s="2">
        <v>25</v>
      </c>
      <c r="L520" s="2">
        <v>10</v>
      </c>
      <c r="M520" s="2">
        <v>0</v>
      </c>
      <c r="N520" s="2">
        <v>0</v>
      </c>
      <c r="O520" s="2">
        <v>10</v>
      </c>
      <c r="P520" s="2">
        <v>5</v>
      </c>
      <c r="Q520" s="2" t="s">
        <v>2854</v>
      </c>
      <c r="R520" s="2" t="s">
        <v>2855</v>
      </c>
      <c r="S520" s="4">
        <v>44837</v>
      </c>
    </row>
    <row r="521" spans="1:19" ht="12.5" hidden="1" x14ac:dyDescent="0.25">
      <c r="A521" s="14" t="str">
        <f>HYPERLINK("https://gerandofalcoes.my.salesforce.com/0014P00003SGWQFQA5", "0014P00003SGWQFQA5")</f>
        <v>0014P00003SGWQFQA5</v>
      </c>
      <c r="B521" s="2" t="s">
        <v>2856</v>
      </c>
      <c r="C521" s="2" t="s">
        <v>423</v>
      </c>
      <c r="D521" s="2" t="s">
        <v>2</v>
      </c>
      <c r="E521" s="2">
        <v>10</v>
      </c>
      <c r="F521" s="2">
        <v>2</v>
      </c>
      <c r="G521" s="2">
        <v>1</v>
      </c>
      <c r="H521" s="2">
        <v>8000</v>
      </c>
      <c r="I521" s="2">
        <v>210</v>
      </c>
      <c r="J521" s="2" t="s">
        <v>1779</v>
      </c>
      <c r="K521" s="2">
        <v>36</v>
      </c>
      <c r="L521" s="2">
        <v>10</v>
      </c>
      <c r="M521" s="2">
        <v>5</v>
      </c>
      <c r="N521" s="2">
        <v>4</v>
      </c>
      <c r="O521" s="2">
        <v>5</v>
      </c>
      <c r="P521" s="2">
        <v>12</v>
      </c>
      <c r="Q521" s="2" t="s">
        <v>256</v>
      </c>
      <c r="R521" s="2" t="s">
        <v>1221</v>
      </c>
      <c r="S521" s="4">
        <v>44837</v>
      </c>
    </row>
    <row r="522" spans="1:19" ht="12.5" hidden="1" x14ac:dyDescent="0.25">
      <c r="A522" s="14" t="str">
        <f>HYPERLINK("https://gerandofalcoes.my.salesforce.com/0014X00002VKCsdQAH", "0014X00002VKCsdQAH")</f>
        <v>0014X00002VKCsdQAH</v>
      </c>
      <c r="B522" s="2" t="s">
        <v>2857</v>
      </c>
      <c r="C522" s="2" t="s">
        <v>1800</v>
      </c>
      <c r="D522" s="2" t="s">
        <v>2</v>
      </c>
      <c r="E522" s="2">
        <v>10</v>
      </c>
      <c r="F522" s="2">
        <v>0</v>
      </c>
      <c r="G522" s="2">
        <v>2</v>
      </c>
      <c r="H522" s="2">
        <v>24000</v>
      </c>
      <c r="I522" s="2">
        <v>95</v>
      </c>
      <c r="J522" s="2" t="s">
        <v>1779</v>
      </c>
      <c r="K522" s="2">
        <v>31</v>
      </c>
      <c r="L522" s="2">
        <v>10</v>
      </c>
      <c r="M522" s="2">
        <v>0</v>
      </c>
      <c r="N522" s="2">
        <v>6</v>
      </c>
      <c r="O522" s="2">
        <v>5</v>
      </c>
      <c r="P522" s="2">
        <v>10</v>
      </c>
      <c r="Q522" s="2" t="s">
        <v>2858</v>
      </c>
      <c r="R522" s="2" t="s">
        <v>2859</v>
      </c>
      <c r="S522" s="4">
        <v>44837</v>
      </c>
    </row>
    <row r="523" spans="1:19" ht="12.5" hidden="1" x14ac:dyDescent="0.25">
      <c r="A523" s="14" t="str">
        <f>HYPERLINK("https://gerandofalcoes.my.salesforce.com/0014X00002VKCuUQAX", "0014X00002VKCuUQAX")</f>
        <v>0014X00002VKCuUQAX</v>
      </c>
      <c r="B523" s="2" t="s">
        <v>2860</v>
      </c>
      <c r="C523" s="2" t="s">
        <v>1800</v>
      </c>
      <c r="D523" s="2" t="s">
        <v>2</v>
      </c>
      <c r="E523" s="2">
        <v>10</v>
      </c>
      <c r="F523" s="2">
        <v>83</v>
      </c>
      <c r="G523" s="2">
        <v>8</v>
      </c>
      <c r="H523" s="2">
        <v>0</v>
      </c>
      <c r="I523" s="2">
        <v>5</v>
      </c>
      <c r="J523" s="2" t="s">
        <v>1671</v>
      </c>
      <c r="K523" s="2">
        <v>40</v>
      </c>
      <c r="L523" s="2">
        <v>10</v>
      </c>
      <c r="M523" s="2">
        <v>15</v>
      </c>
      <c r="N523" s="2">
        <v>10</v>
      </c>
      <c r="O523" s="2">
        <v>0</v>
      </c>
      <c r="P523" s="2">
        <v>5</v>
      </c>
      <c r="Q523" s="2" t="s">
        <v>2861</v>
      </c>
      <c r="R523" s="2" t="s">
        <v>2862</v>
      </c>
      <c r="S523" s="4">
        <v>44837</v>
      </c>
    </row>
    <row r="524" spans="1:19" ht="12.5" hidden="1" x14ac:dyDescent="0.25">
      <c r="A524" s="14" t="str">
        <f>HYPERLINK("https://gerandofalcoes.my.salesforce.com/0014X00002VKCpLQAX", "0014X00002VKCpLQAX")</f>
        <v>0014X00002VKCpLQAX</v>
      </c>
      <c r="B524" s="2" t="s">
        <v>2335</v>
      </c>
      <c r="C524" s="2" t="s">
        <v>1800</v>
      </c>
      <c r="D524" s="2" t="s">
        <v>2</v>
      </c>
      <c r="E524" s="2">
        <v>10</v>
      </c>
      <c r="F524" s="2">
        <v>0</v>
      </c>
      <c r="G524" s="2">
        <v>3</v>
      </c>
      <c r="H524" s="2">
        <v>5000</v>
      </c>
      <c r="I524" s="2">
        <v>0</v>
      </c>
      <c r="J524" s="2" t="s">
        <v>1779</v>
      </c>
      <c r="K524" s="2">
        <v>23</v>
      </c>
      <c r="L524" s="2">
        <v>10</v>
      </c>
      <c r="M524" s="2">
        <v>0</v>
      </c>
      <c r="N524" s="2">
        <v>8</v>
      </c>
      <c r="O524" s="2">
        <v>5</v>
      </c>
      <c r="P524" s="2">
        <v>0</v>
      </c>
      <c r="Q524" s="2" t="s">
        <v>2863</v>
      </c>
      <c r="R524" s="2" t="s">
        <v>2864</v>
      </c>
      <c r="S524" s="4">
        <v>44837</v>
      </c>
    </row>
    <row r="525" spans="1:19" ht="12.5" hidden="1" x14ac:dyDescent="0.25">
      <c r="A525" s="14" t="str">
        <f>HYPERLINK("https://gerandofalcoes.my.salesforce.com/0014P00003YSp8VQAT", "0014P00003YSp8VQAT")</f>
        <v>0014P00003YSp8VQAT</v>
      </c>
      <c r="B525" s="2" t="s">
        <v>2865</v>
      </c>
      <c r="C525" s="2" t="s">
        <v>1800</v>
      </c>
      <c r="D525" s="2" t="s">
        <v>2</v>
      </c>
      <c r="E525" s="2">
        <v>10</v>
      </c>
      <c r="F525" s="2">
        <v>0</v>
      </c>
      <c r="G525" s="2">
        <v>0</v>
      </c>
      <c r="H525" s="2">
        <v>0</v>
      </c>
      <c r="I525" s="2">
        <v>0</v>
      </c>
      <c r="J525" s="2" t="s">
        <v>1779</v>
      </c>
      <c r="K525" s="2">
        <v>10</v>
      </c>
      <c r="L525" s="2">
        <v>10</v>
      </c>
      <c r="M525" s="2">
        <v>0</v>
      </c>
      <c r="N525" s="2">
        <v>0</v>
      </c>
      <c r="O525" s="2">
        <v>0</v>
      </c>
      <c r="P525" s="2">
        <v>0</v>
      </c>
      <c r="Q525" s="2" t="s">
        <v>2866</v>
      </c>
      <c r="R525" s="2" t="s">
        <v>2867</v>
      </c>
      <c r="S525" s="4">
        <v>44837</v>
      </c>
    </row>
    <row r="526" spans="1:19" ht="12.5" hidden="1" x14ac:dyDescent="0.25">
      <c r="A526" s="14" t="str">
        <f>HYPERLINK("https://gerandofalcoes.my.salesforce.com/0014X00002VKCqJQAX", "0014X00002VKCqJQAX")</f>
        <v>0014X00002VKCqJQAX</v>
      </c>
      <c r="B526" s="2" t="s">
        <v>2868</v>
      </c>
      <c r="C526" s="2" t="s">
        <v>423</v>
      </c>
      <c r="D526" s="2" t="s">
        <v>2</v>
      </c>
      <c r="E526" s="2">
        <v>9.99</v>
      </c>
      <c r="F526" s="2">
        <v>0</v>
      </c>
      <c r="G526" s="2">
        <v>1</v>
      </c>
      <c r="H526" s="2">
        <v>16278</v>
      </c>
      <c r="I526" s="2">
        <v>100</v>
      </c>
      <c r="J526" s="2" t="s">
        <v>1779</v>
      </c>
      <c r="K526" s="2">
        <v>29</v>
      </c>
      <c r="L526" s="2">
        <v>10</v>
      </c>
      <c r="M526" s="2">
        <v>0</v>
      </c>
      <c r="N526" s="2">
        <v>4</v>
      </c>
      <c r="O526" s="2">
        <v>5</v>
      </c>
      <c r="P526" s="2">
        <v>10</v>
      </c>
      <c r="Q526" s="2" t="s">
        <v>2869</v>
      </c>
      <c r="R526" s="2" t="s">
        <v>2870</v>
      </c>
      <c r="S526" s="4">
        <v>44837</v>
      </c>
    </row>
    <row r="527" spans="1:19" ht="12.5" hidden="1" x14ac:dyDescent="0.25">
      <c r="A527" s="14" t="str">
        <f>HYPERLINK("https://gerandofalcoes.my.salesforce.com/0014X00002VKCtbQAH", "0014X00002VKCtbQAH")</f>
        <v>0014X00002VKCtbQAH</v>
      </c>
      <c r="B527" s="2" t="s">
        <v>2871</v>
      </c>
      <c r="C527" s="2" t="s">
        <v>423</v>
      </c>
      <c r="D527" s="2" t="s">
        <v>2</v>
      </c>
      <c r="E527" s="2">
        <v>9.98</v>
      </c>
      <c r="F527" s="2">
        <v>11</v>
      </c>
      <c r="G527" s="2">
        <v>0</v>
      </c>
      <c r="H527" s="2">
        <v>0</v>
      </c>
      <c r="I527" s="2">
        <v>80</v>
      </c>
      <c r="J527" s="2" t="s">
        <v>1779</v>
      </c>
      <c r="K527" s="2">
        <v>32</v>
      </c>
      <c r="L527" s="2">
        <v>10</v>
      </c>
      <c r="M527" s="2">
        <v>12</v>
      </c>
      <c r="N527" s="2">
        <v>0</v>
      </c>
      <c r="O527" s="2">
        <v>0</v>
      </c>
      <c r="P527" s="2">
        <v>10</v>
      </c>
      <c r="Q527" s="2" t="s">
        <v>2872</v>
      </c>
      <c r="R527" s="2" t="s">
        <v>2873</v>
      </c>
      <c r="S527" s="4">
        <v>44837</v>
      </c>
    </row>
    <row r="528" spans="1:19" ht="12.5" hidden="1" x14ac:dyDescent="0.25">
      <c r="A528" s="14" t="str">
        <f>HYPERLINK("https://gerandofalcoes.my.salesforce.com/0014X00002VKCv9QAH", "0014X00002VKCv9QAH")</f>
        <v>0014X00002VKCv9QAH</v>
      </c>
      <c r="B528" s="2" t="s">
        <v>2874</v>
      </c>
      <c r="C528" s="2" t="s">
        <v>423</v>
      </c>
      <c r="D528" s="2" t="s">
        <v>2</v>
      </c>
      <c r="E528" s="2">
        <v>9.92</v>
      </c>
      <c r="F528" s="2">
        <v>0</v>
      </c>
      <c r="G528" s="2">
        <v>0</v>
      </c>
      <c r="H528" s="2">
        <v>0</v>
      </c>
      <c r="I528" s="2">
        <v>200</v>
      </c>
      <c r="J528" s="2" t="s">
        <v>1779</v>
      </c>
      <c r="K528" s="2">
        <v>22</v>
      </c>
      <c r="L528" s="2">
        <v>10</v>
      </c>
      <c r="M528" s="2">
        <v>0</v>
      </c>
      <c r="N528" s="2">
        <v>0</v>
      </c>
      <c r="O528" s="2">
        <v>0</v>
      </c>
      <c r="P528" s="2">
        <v>12</v>
      </c>
      <c r="Q528" s="2" t="s">
        <v>2875</v>
      </c>
      <c r="R528" s="2" t="s">
        <v>2875</v>
      </c>
      <c r="S528" s="4">
        <v>44837</v>
      </c>
    </row>
    <row r="529" spans="1:19" ht="12.5" hidden="1" x14ac:dyDescent="0.25">
      <c r="A529" s="14" t="str">
        <f>HYPERLINK("https://gerandofalcoes.my.salesforce.com/0014P00003SGWPlQAP", "0014P00003SGWPlQAP")</f>
        <v>0014P00003SGWPlQAP</v>
      </c>
      <c r="B529" s="2" t="s">
        <v>311</v>
      </c>
      <c r="C529" s="2" t="s">
        <v>423</v>
      </c>
      <c r="D529" s="2" t="s">
        <v>2</v>
      </c>
      <c r="E529" s="2">
        <v>9.83</v>
      </c>
      <c r="F529" s="2">
        <v>0</v>
      </c>
      <c r="G529" s="2">
        <v>2</v>
      </c>
      <c r="H529" s="2">
        <v>30000</v>
      </c>
      <c r="I529" s="2">
        <v>120</v>
      </c>
      <c r="J529" s="2" t="s">
        <v>1779</v>
      </c>
      <c r="K529" s="2">
        <v>36</v>
      </c>
      <c r="L529" s="2">
        <v>10</v>
      </c>
      <c r="M529" s="2">
        <v>0</v>
      </c>
      <c r="N529" s="2">
        <v>6</v>
      </c>
      <c r="O529" s="2">
        <v>10</v>
      </c>
      <c r="P529" s="2">
        <v>10</v>
      </c>
      <c r="Q529" s="2" t="s">
        <v>312</v>
      </c>
      <c r="R529" s="2" t="s">
        <v>312</v>
      </c>
      <c r="S529" s="4">
        <v>44837</v>
      </c>
    </row>
    <row r="530" spans="1:19" ht="12.5" hidden="1" x14ac:dyDescent="0.25">
      <c r="A530" s="14" t="str">
        <f>HYPERLINK("https://gerandofalcoes.my.salesforce.com/0014P00003AN2FyQAL", "0014P00003AN2FyQAL")</f>
        <v>0014P00003AN2FyQAL</v>
      </c>
      <c r="B530" s="2" t="s">
        <v>2876</v>
      </c>
      <c r="C530" s="2" t="s">
        <v>423</v>
      </c>
      <c r="D530" s="2" t="s">
        <v>2</v>
      </c>
      <c r="E530" s="2">
        <v>9.58</v>
      </c>
      <c r="F530" s="2">
        <v>0</v>
      </c>
      <c r="G530" s="2">
        <v>3</v>
      </c>
      <c r="H530" s="2">
        <v>90000</v>
      </c>
      <c r="I530" s="2">
        <v>200</v>
      </c>
      <c r="J530" s="2" t="s">
        <v>1671</v>
      </c>
      <c r="K530" s="2">
        <v>40</v>
      </c>
      <c r="L530" s="2">
        <v>10</v>
      </c>
      <c r="M530" s="2">
        <v>0</v>
      </c>
      <c r="N530" s="2">
        <v>8</v>
      </c>
      <c r="O530" s="2">
        <v>10</v>
      </c>
      <c r="P530" s="2">
        <v>12</v>
      </c>
      <c r="Q530" s="2" t="s">
        <v>2877</v>
      </c>
      <c r="R530" s="2" t="s">
        <v>2877</v>
      </c>
      <c r="S530" s="4">
        <v>44837</v>
      </c>
    </row>
    <row r="531" spans="1:19" ht="12.5" hidden="1" x14ac:dyDescent="0.25">
      <c r="A531" s="14" t="str">
        <f>HYPERLINK("https://gerandofalcoes.my.salesforce.com/0014X00002VKCsRQAX", "0014X00002VKCsRQAX")</f>
        <v>0014X00002VKCsRQAX</v>
      </c>
      <c r="B531" s="2" t="s">
        <v>2878</v>
      </c>
      <c r="C531" s="2" t="s">
        <v>423</v>
      </c>
      <c r="D531" s="2" t="s">
        <v>2</v>
      </c>
      <c r="E531" s="2">
        <v>9.08</v>
      </c>
      <c r="F531" s="2">
        <v>0</v>
      </c>
      <c r="G531" s="2">
        <v>1</v>
      </c>
      <c r="H531" s="2">
        <v>15000</v>
      </c>
      <c r="I531" s="2">
        <v>250</v>
      </c>
      <c r="J531" s="2" t="s">
        <v>1779</v>
      </c>
      <c r="K531" s="2">
        <v>31</v>
      </c>
      <c r="L531" s="2">
        <v>10</v>
      </c>
      <c r="M531" s="2">
        <v>0</v>
      </c>
      <c r="N531" s="2">
        <v>4</v>
      </c>
      <c r="O531" s="2">
        <v>5</v>
      </c>
      <c r="P531" s="2">
        <v>12</v>
      </c>
      <c r="Q531" s="2" t="s">
        <v>2879</v>
      </c>
      <c r="R531" s="2" t="s">
        <v>2880</v>
      </c>
      <c r="S531" s="4">
        <v>44837</v>
      </c>
    </row>
    <row r="532" spans="1:19" ht="12.5" hidden="1" x14ac:dyDescent="0.25">
      <c r="A532" s="14" t="str">
        <f>HYPERLINK("https://gerandofalcoes.my.salesforce.com/0014X00002VKCrMQAX", "0014X00002VKCrMQAX")</f>
        <v>0014X00002VKCrMQAX</v>
      </c>
      <c r="B532" s="2" t="s">
        <v>2881</v>
      </c>
      <c r="C532" s="2" t="s">
        <v>423</v>
      </c>
      <c r="D532" s="2" t="s">
        <v>2</v>
      </c>
      <c r="E532" s="2">
        <v>9.0299999999999994</v>
      </c>
      <c r="F532" s="2">
        <v>0</v>
      </c>
      <c r="G532" s="2">
        <v>6</v>
      </c>
      <c r="H532" s="2">
        <v>3057</v>
      </c>
      <c r="I532" s="2">
        <v>3</v>
      </c>
      <c r="J532" s="2" t="s">
        <v>1779</v>
      </c>
      <c r="K532" s="2">
        <v>30</v>
      </c>
      <c r="L532" s="2">
        <v>10</v>
      </c>
      <c r="M532" s="2">
        <v>0</v>
      </c>
      <c r="N532" s="2">
        <v>10</v>
      </c>
      <c r="O532" s="2">
        <v>5</v>
      </c>
      <c r="P532" s="2">
        <v>5</v>
      </c>
      <c r="Q532" s="2" t="s">
        <v>2882</v>
      </c>
      <c r="R532" s="2" t="s">
        <v>2883</v>
      </c>
      <c r="S532" s="4">
        <v>44837</v>
      </c>
    </row>
    <row r="533" spans="1:19" ht="12.5" hidden="1" x14ac:dyDescent="0.25">
      <c r="A533" s="14" t="str">
        <f>HYPERLINK("https://gerandofalcoes.my.salesforce.com/0014P00003YSp9vQAD", "0014P00003YSp9vQAD")</f>
        <v>0014P00003YSp9vQAD</v>
      </c>
      <c r="B533" s="2" t="s">
        <v>2884</v>
      </c>
      <c r="C533" s="2" t="s">
        <v>423</v>
      </c>
      <c r="D533" s="2" t="s">
        <v>2</v>
      </c>
      <c r="E533" s="2">
        <v>9</v>
      </c>
      <c r="F533" s="2">
        <v>0</v>
      </c>
      <c r="G533" s="2">
        <v>2</v>
      </c>
      <c r="H533" s="2">
        <v>11000</v>
      </c>
      <c r="I533" s="2">
        <v>759</v>
      </c>
      <c r="J533" s="2" t="s">
        <v>1671</v>
      </c>
      <c r="K533" s="2">
        <v>41</v>
      </c>
      <c r="L533" s="2">
        <v>10</v>
      </c>
      <c r="M533" s="2">
        <v>0</v>
      </c>
      <c r="N533" s="2">
        <v>6</v>
      </c>
      <c r="O533" s="2">
        <v>5</v>
      </c>
      <c r="P533" s="2">
        <v>20</v>
      </c>
      <c r="Q533" s="2" t="s">
        <v>2885</v>
      </c>
      <c r="R533" s="2" t="s">
        <v>2886</v>
      </c>
      <c r="S533" s="4">
        <v>44837</v>
      </c>
    </row>
    <row r="534" spans="1:19" ht="12.5" hidden="1" x14ac:dyDescent="0.25">
      <c r="A534" s="14" t="str">
        <f>HYPERLINK("https://gerandofalcoes.my.salesforce.com/0014X00002VKCrpQAH", "0014X00002VKCrpQAH")</f>
        <v>0014X00002VKCrpQAH</v>
      </c>
      <c r="B534" s="2" t="s">
        <v>2887</v>
      </c>
      <c r="C534" s="2" t="s">
        <v>1800</v>
      </c>
      <c r="D534" s="2" t="s">
        <v>2</v>
      </c>
      <c r="E534" s="2">
        <v>9</v>
      </c>
      <c r="F534" s="2">
        <v>0</v>
      </c>
      <c r="G534" s="2">
        <v>4</v>
      </c>
      <c r="H534" s="2">
        <v>2700</v>
      </c>
      <c r="I534" s="2">
        <v>80</v>
      </c>
      <c r="J534" s="2" t="s">
        <v>1779</v>
      </c>
      <c r="K534" s="2">
        <v>35</v>
      </c>
      <c r="L534" s="2">
        <v>10</v>
      </c>
      <c r="M534" s="2">
        <v>0</v>
      </c>
      <c r="N534" s="2">
        <v>10</v>
      </c>
      <c r="O534" s="2">
        <v>5</v>
      </c>
      <c r="P534" s="2">
        <v>10</v>
      </c>
      <c r="Q534" s="2" t="s">
        <v>2888</v>
      </c>
      <c r="R534" s="2" t="s">
        <v>2889</v>
      </c>
      <c r="S534" s="4">
        <v>44837</v>
      </c>
    </row>
    <row r="535" spans="1:19" ht="12.5" hidden="1" x14ac:dyDescent="0.25">
      <c r="A535" s="14" t="str">
        <f>HYPERLINK("https://gerandofalcoes.my.salesforce.com/0014P00003YSp8qQAD", "0014P00003YSp8qQAD")</f>
        <v>0014P00003YSp8qQAD</v>
      </c>
      <c r="B535" s="2" t="s">
        <v>2890</v>
      </c>
      <c r="C535" s="2" t="s">
        <v>423</v>
      </c>
      <c r="D535" s="2" t="s">
        <v>2</v>
      </c>
      <c r="E535" s="2">
        <v>8.92</v>
      </c>
      <c r="F535" s="2">
        <v>0</v>
      </c>
      <c r="G535" s="2">
        <v>1</v>
      </c>
      <c r="H535" s="2">
        <v>1500</v>
      </c>
      <c r="I535" s="2">
        <v>80</v>
      </c>
      <c r="J535" s="2" t="s">
        <v>1779</v>
      </c>
      <c r="K535" s="2">
        <v>29</v>
      </c>
      <c r="L535" s="2">
        <v>10</v>
      </c>
      <c r="M535" s="2">
        <v>0</v>
      </c>
      <c r="N535" s="2">
        <v>4</v>
      </c>
      <c r="O535" s="2">
        <v>5</v>
      </c>
      <c r="P535" s="2">
        <v>10</v>
      </c>
      <c r="Q535" s="2" t="s">
        <v>2891</v>
      </c>
      <c r="R535" s="2" t="s">
        <v>2892</v>
      </c>
      <c r="S535" s="4">
        <v>44837</v>
      </c>
    </row>
    <row r="536" spans="1:19" ht="12.5" hidden="1" x14ac:dyDescent="0.25">
      <c r="A536" s="14" t="str">
        <f>HYPERLINK("https://gerandofalcoes.my.salesforce.com/0014X00002VKCshQAH", "0014X00002VKCshQAH")</f>
        <v>0014X00002VKCshQAH</v>
      </c>
      <c r="B536" s="2" t="s">
        <v>2893</v>
      </c>
      <c r="C536" s="2" t="s">
        <v>423</v>
      </c>
      <c r="D536" s="2" t="s">
        <v>2</v>
      </c>
      <c r="E536" s="2">
        <v>8.9</v>
      </c>
      <c r="F536" s="2">
        <v>0</v>
      </c>
      <c r="G536" s="2">
        <v>2</v>
      </c>
      <c r="H536" s="2">
        <v>25000</v>
      </c>
      <c r="I536" s="2">
        <v>83</v>
      </c>
      <c r="J536" s="2" t="s">
        <v>1779</v>
      </c>
      <c r="K536" s="2">
        <v>36</v>
      </c>
      <c r="L536" s="2">
        <v>10</v>
      </c>
      <c r="M536" s="2">
        <v>0</v>
      </c>
      <c r="N536" s="2">
        <v>6</v>
      </c>
      <c r="O536" s="2">
        <v>10</v>
      </c>
      <c r="P536" s="2">
        <v>10</v>
      </c>
      <c r="Q536" s="2" t="s">
        <v>2894</v>
      </c>
      <c r="R536" s="2" t="s">
        <v>2895</v>
      </c>
      <c r="S536" s="4">
        <v>44837</v>
      </c>
    </row>
    <row r="537" spans="1:19" ht="12.5" hidden="1" x14ac:dyDescent="0.25">
      <c r="A537" s="14" t="str">
        <f>HYPERLINK("https://gerandofalcoes.my.salesforce.com/0014P00003SGWPcQAP", "0014P00003SGWPcQAP")</f>
        <v>0014P00003SGWPcQAP</v>
      </c>
      <c r="B537" s="2" t="s">
        <v>2896</v>
      </c>
      <c r="C537" s="2" t="s">
        <v>1684</v>
      </c>
      <c r="D537" s="2" t="s">
        <v>2</v>
      </c>
      <c r="E537" s="2">
        <v>8.81</v>
      </c>
      <c r="F537" s="2">
        <v>0</v>
      </c>
      <c r="G537" s="2">
        <v>0</v>
      </c>
      <c r="H537" s="2">
        <v>0</v>
      </c>
      <c r="I537" s="2">
        <v>-25</v>
      </c>
      <c r="J537" s="2" t="s">
        <v>1779</v>
      </c>
      <c r="K537" s="2">
        <v>10</v>
      </c>
      <c r="L537" s="2">
        <v>10</v>
      </c>
      <c r="M537" s="2">
        <v>0</v>
      </c>
      <c r="N537" s="2">
        <v>0</v>
      </c>
      <c r="O537" s="2">
        <v>0</v>
      </c>
      <c r="P537" s="2">
        <v>0</v>
      </c>
      <c r="Q537" s="2" t="s">
        <v>282</v>
      </c>
      <c r="R537" s="2" t="s">
        <v>2897</v>
      </c>
      <c r="S537" s="4">
        <v>44837</v>
      </c>
    </row>
    <row r="538" spans="1:19" ht="12.5" hidden="1" x14ac:dyDescent="0.25">
      <c r="A538" s="14" t="str">
        <f>HYPERLINK("https://gerandofalcoes.my.salesforce.com/0014X00002VKCpgQAH", "0014X00002VKCpgQAH")</f>
        <v>0014X00002VKCpgQAH</v>
      </c>
      <c r="B538" s="2" t="s">
        <v>2898</v>
      </c>
      <c r="C538" s="2" t="s">
        <v>423</v>
      </c>
      <c r="D538" s="2" t="s">
        <v>2</v>
      </c>
      <c r="E538" s="2">
        <v>8.61</v>
      </c>
      <c r="F538" s="2">
        <v>1</v>
      </c>
      <c r="G538" s="2">
        <v>1</v>
      </c>
      <c r="H538" s="2">
        <v>1224</v>
      </c>
      <c r="I538" s="2">
        <v>25</v>
      </c>
      <c r="J538" s="2" t="s">
        <v>1779</v>
      </c>
      <c r="K538" s="2">
        <v>29</v>
      </c>
      <c r="L538" s="2">
        <v>10</v>
      </c>
      <c r="M538" s="2">
        <v>5</v>
      </c>
      <c r="N538" s="2">
        <v>4</v>
      </c>
      <c r="O538" s="2">
        <v>5</v>
      </c>
      <c r="P538" s="2">
        <v>5</v>
      </c>
      <c r="Q538" s="2" t="s">
        <v>2899</v>
      </c>
      <c r="R538" s="2" t="s">
        <v>2899</v>
      </c>
      <c r="S538" s="4">
        <v>44837</v>
      </c>
    </row>
    <row r="539" spans="1:19" ht="12.5" hidden="1" x14ac:dyDescent="0.25">
      <c r="A539" s="14" t="str">
        <f>HYPERLINK("https://gerandofalcoes.my.salesforce.com/0014P00003SGWQGQA5", "0014P00003SGWQGQA5")</f>
        <v>0014P00003SGWQGQA5</v>
      </c>
      <c r="B539" s="2" t="s">
        <v>259</v>
      </c>
      <c r="C539" s="2" t="s">
        <v>423</v>
      </c>
      <c r="D539" s="2" t="s">
        <v>2</v>
      </c>
      <c r="E539" s="2">
        <v>8.2899999999999991</v>
      </c>
      <c r="F539" s="2">
        <v>7</v>
      </c>
      <c r="G539" s="2">
        <v>1</v>
      </c>
      <c r="H539" s="2">
        <v>32000</v>
      </c>
      <c r="I539" s="2">
        <v>30</v>
      </c>
      <c r="J539" s="2" t="s">
        <v>1779</v>
      </c>
      <c r="K539" s="2">
        <v>39</v>
      </c>
      <c r="L539" s="2">
        <v>10</v>
      </c>
      <c r="M539" s="2">
        <v>10</v>
      </c>
      <c r="N539" s="2">
        <v>4</v>
      </c>
      <c r="O539" s="2">
        <v>10</v>
      </c>
      <c r="P539" s="2">
        <v>5</v>
      </c>
      <c r="Q539" s="2" t="s">
        <v>260</v>
      </c>
      <c r="R539" s="2" t="s">
        <v>1232</v>
      </c>
      <c r="S539" s="4">
        <v>44837</v>
      </c>
    </row>
    <row r="540" spans="1:19" ht="12.5" hidden="1" x14ac:dyDescent="0.25">
      <c r="A540" s="14" t="str">
        <f>HYPERLINK("https://gerandofalcoes.my.salesforce.com/0014X00002VKCuDQAX", "0014X00002VKCuDQAX")</f>
        <v>0014X00002VKCuDQAX</v>
      </c>
      <c r="B540" s="2" t="s">
        <v>2900</v>
      </c>
      <c r="C540" s="2" t="s">
        <v>1684</v>
      </c>
      <c r="D540" s="2" t="s">
        <v>2</v>
      </c>
      <c r="E540" s="2">
        <v>8.27</v>
      </c>
      <c r="F540" s="2">
        <v>0</v>
      </c>
      <c r="G540" s="2">
        <v>1</v>
      </c>
      <c r="H540" s="2">
        <v>20000</v>
      </c>
      <c r="I540" s="2">
        <v>30</v>
      </c>
      <c r="J540" s="2" t="s">
        <v>1779</v>
      </c>
      <c r="K540" s="2">
        <v>24</v>
      </c>
      <c r="L540" s="2">
        <v>10</v>
      </c>
      <c r="M540" s="2">
        <v>0</v>
      </c>
      <c r="N540" s="2">
        <v>4</v>
      </c>
      <c r="O540" s="2">
        <v>5</v>
      </c>
      <c r="P540" s="2">
        <v>5</v>
      </c>
      <c r="Q540" s="2" t="s">
        <v>2901</v>
      </c>
      <c r="R540" s="2" t="s">
        <v>2901</v>
      </c>
      <c r="S540" s="4">
        <v>44837</v>
      </c>
    </row>
    <row r="541" spans="1:19" ht="12.5" hidden="1" x14ac:dyDescent="0.25">
      <c r="A541" s="14" t="str">
        <f>HYPERLINK("https://gerandofalcoes.my.salesforce.com/0014X00002VKCsMQAX", "0014X00002VKCsMQAX")</f>
        <v>0014X00002VKCsMQAX</v>
      </c>
      <c r="B541" s="2" t="s">
        <v>2902</v>
      </c>
      <c r="C541" s="2" t="s">
        <v>423</v>
      </c>
      <c r="D541" s="2" t="s">
        <v>2</v>
      </c>
      <c r="E541" s="2">
        <v>8</v>
      </c>
      <c r="F541" s="2">
        <v>10</v>
      </c>
      <c r="G541" s="2">
        <v>2</v>
      </c>
      <c r="H541" s="2">
        <v>5000</v>
      </c>
      <c r="I541" s="2">
        <v>106</v>
      </c>
      <c r="J541" s="2" t="s">
        <v>1671</v>
      </c>
      <c r="K541" s="2">
        <v>41</v>
      </c>
      <c r="L541" s="2">
        <v>10</v>
      </c>
      <c r="M541" s="2">
        <v>10</v>
      </c>
      <c r="N541" s="2">
        <v>6</v>
      </c>
      <c r="O541" s="2">
        <v>5</v>
      </c>
      <c r="P541" s="2">
        <v>10</v>
      </c>
      <c r="Q541" s="2" t="s">
        <v>2903</v>
      </c>
      <c r="R541" s="2" t="s">
        <v>2904</v>
      </c>
      <c r="S541" s="4">
        <v>44837</v>
      </c>
    </row>
    <row r="542" spans="1:19" ht="12.5" hidden="1" x14ac:dyDescent="0.25">
      <c r="A542" s="14" t="str">
        <f>HYPERLINK("https://gerandofalcoes.my.salesforce.com/0014X00002VKCpOQAX", "0014X00002VKCpOQAX")</f>
        <v>0014X00002VKCpOQAX</v>
      </c>
      <c r="B542" s="2" t="s">
        <v>2905</v>
      </c>
      <c r="C542" s="2" t="s">
        <v>423</v>
      </c>
      <c r="D542" s="2" t="s">
        <v>2</v>
      </c>
      <c r="E542" s="2">
        <v>8</v>
      </c>
      <c r="F542" s="2">
        <v>4</v>
      </c>
      <c r="G542" s="2">
        <v>10</v>
      </c>
      <c r="H542" s="2">
        <v>0</v>
      </c>
      <c r="I542" s="2">
        <v>100</v>
      </c>
      <c r="J542" s="2" t="s">
        <v>1779</v>
      </c>
      <c r="K542" s="2">
        <v>35</v>
      </c>
      <c r="L542" s="2">
        <v>10</v>
      </c>
      <c r="M542" s="2">
        <v>5</v>
      </c>
      <c r="N542" s="2">
        <v>10</v>
      </c>
      <c r="O542" s="2">
        <v>0</v>
      </c>
      <c r="P542" s="2">
        <v>10</v>
      </c>
      <c r="Q542" s="2" t="s">
        <v>2906</v>
      </c>
      <c r="R542" s="2" t="s">
        <v>2906</v>
      </c>
      <c r="S542" s="4">
        <v>44837</v>
      </c>
    </row>
    <row r="543" spans="1:19" ht="12.5" hidden="1" x14ac:dyDescent="0.25">
      <c r="A543" s="14" t="str">
        <f>HYPERLINK("https://gerandofalcoes.my.salesforce.com/0014P00003YSp8LQAT", "0014P00003YSp8LQAT")</f>
        <v>0014P00003YSp8LQAT</v>
      </c>
      <c r="B543" s="2" t="s">
        <v>2907</v>
      </c>
      <c r="C543" s="2" t="s">
        <v>423</v>
      </c>
      <c r="D543" s="2" t="s">
        <v>2</v>
      </c>
      <c r="E543" s="2">
        <v>7.95</v>
      </c>
      <c r="F543" s="2">
        <v>0</v>
      </c>
      <c r="G543" s="2">
        <v>0</v>
      </c>
      <c r="H543" s="2">
        <v>0</v>
      </c>
      <c r="I543" s="2">
        <v>200</v>
      </c>
      <c r="J543" s="2" t="s">
        <v>1779</v>
      </c>
      <c r="K543" s="2">
        <v>22</v>
      </c>
      <c r="L543" s="2">
        <v>10</v>
      </c>
      <c r="M543" s="2">
        <v>0</v>
      </c>
      <c r="N543" s="2">
        <v>0</v>
      </c>
      <c r="O543" s="2">
        <v>0</v>
      </c>
      <c r="P543" s="2">
        <v>12</v>
      </c>
      <c r="Q543" s="2" t="s">
        <v>2908</v>
      </c>
      <c r="R543" s="2" t="s">
        <v>2908</v>
      </c>
      <c r="S543" s="4">
        <v>44837</v>
      </c>
    </row>
    <row r="544" spans="1:19" ht="12.5" hidden="1" x14ac:dyDescent="0.25">
      <c r="A544" s="14" t="str">
        <f>HYPERLINK("https://gerandofalcoes.my.salesforce.com/0014X00002VKCuPQAX", "0014X00002VKCuPQAX")</f>
        <v>0014X00002VKCuPQAX</v>
      </c>
      <c r="B544" s="2" t="s">
        <v>2909</v>
      </c>
      <c r="C544" s="2" t="s">
        <v>423</v>
      </c>
      <c r="D544" s="2" t="s">
        <v>2</v>
      </c>
      <c r="E544" s="2">
        <v>7.84</v>
      </c>
      <c r="F544" s="2">
        <v>0</v>
      </c>
      <c r="G544" s="2">
        <v>0</v>
      </c>
      <c r="H544" s="2">
        <v>0</v>
      </c>
      <c r="I544" s="2">
        <v>0</v>
      </c>
      <c r="J544" s="2" t="s">
        <v>1779</v>
      </c>
      <c r="K544" s="2">
        <v>10</v>
      </c>
      <c r="L544" s="2">
        <v>10</v>
      </c>
      <c r="M544" s="2">
        <v>0</v>
      </c>
      <c r="N544" s="2">
        <v>0</v>
      </c>
      <c r="O544" s="2">
        <v>0</v>
      </c>
      <c r="P544" s="2">
        <v>0</v>
      </c>
      <c r="Q544" s="2" t="s">
        <v>2910</v>
      </c>
      <c r="R544" s="2" t="s">
        <v>2911</v>
      </c>
      <c r="S544" s="4">
        <v>44837</v>
      </c>
    </row>
    <row r="545" spans="1:19" ht="12.5" hidden="1" x14ac:dyDescent="0.25">
      <c r="A545" s="14" t="str">
        <f>HYPERLINK("https://gerandofalcoes.my.salesforce.com/0014X00002VKCqAQAX", "0014X00002VKCqAQAX")</f>
        <v>0014X00002VKCqAQAX</v>
      </c>
      <c r="B545" s="2" t="s">
        <v>2912</v>
      </c>
      <c r="C545" s="2" t="s">
        <v>423</v>
      </c>
      <c r="D545" s="2" t="s">
        <v>2</v>
      </c>
      <c r="E545" s="2">
        <v>7.72</v>
      </c>
      <c r="F545" s="2">
        <v>7</v>
      </c>
      <c r="G545" s="2">
        <v>1</v>
      </c>
      <c r="H545" s="2">
        <v>78000</v>
      </c>
      <c r="I545" s="2">
        <v>250</v>
      </c>
      <c r="J545" s="2" t="s">
        <v>1671</v>
      </c>
      <c r="K545" s="2">
        <v>46</v>
      </c>
      <c r="L545" s="2">
        <v>10</v>
      </c>
      <c r="M545" s="2">
        <v>10</v>
      </c>
      <c r="N545" s="2">
        <v>4</v>
      </c>
      <c r="O545" s="2">
        <v>10</v>
      </c>
      <c r="P545" s="2">
        <v>12</v>
      </c>
      <c r="Q545" s="2" t="s">
        <v>2913</v>
      </c>
      <c r="R545" s="2" t="s">
        <v>2913</v>
      </c>
      <c r="S545" s="4">
        <v>44837</v>
      </c>
    </row>
    <row r="546" spans="1:19" ht="12.5" hidden="1" x14ac:dyDescent="0.25">
      <c r="A546" s="14" t="str">
        <f>HYPERLINK("https://gerandofalcoes.my.salesforce.com/0014X00002VKCreQAH", "0014X00002VKCreQAH")</f>
        <v>0014X00002VKCreQAH</v>
      </c>
      <c r="B546" s="2" t="s">
        <v>2914</v>
      </c>
      <c r="C546" s="2" t="s">
        <v>423</v>
      </c>
      <c r="D546" s="2" t="s">
        <v>2</v>
      </c>
      <c r="E546" s="2">
        <v>7.56</v>
      </c>
      <c r="F546" s="2">
        <v>0</v>
      </c>
      <c r="G546" s="2">
        <v>1</v>
      </c>
      <c r="H546" s="2">
        <v>3245</v>
      </c>
      <c r="I546" s="2">
        <v>0</v>
      </c>
      <c r="J546" s="2" t="s">
        <v>1779</v>
      </c>
      <c r="K546" s="2">
        <v>19</v>
      </c>
      <c r="L546" s="2">
        <v>10</v>
      </c>
      <c r="M546" s="2">
        <v>0</v>
      </c>
      <c r="N546" s="2">
        <v>4</v>
      </c>
      <c r="O546" s="2">
        <v>5</v>
      </c>
      <c r="P546" s="2">
        <v>0</v>
      </c>
      <c r="Q546" s="2" t="s">
        <v>2915</v>
      </c>
      <c r="R546" s="2" t="s">
        <v>2915</v>
      </c>
      <c r="S546" s="4">
        <v>44837</v>
      </c>
    </row>
    <row r="547" spans="1:19" ht="12.5" hidden="1" x14ac:dyDescent="0.25">
      <c r="A547" s="14" t="str">
        <f>HYPERLINK("https://gerandofalcoes.my.salesforce.com/0014X00002VMXzMQAX", "0014X00002VMXzMQAX")</f>
        <v>0014X00002VMXzMQAX</v>
      </c>
      <c r="B547" s="2" t="s">
        <v>2916</v>
      </c>
      <c r="C547" s="2" t="s">
        <v>423</v>
      </c>
      <c r="D547" s="2" t="s">
        <v>2</v>
      </c>
      <c r="E547" s="2">
        <v>7.48</v>
      </c>
      <c r="F547" s="2">
        <v>1</v>
      </c>
      <c r="G547" s="2">
        <v>2</v>
      </c>
      <c r="H547" s="2">
        <v>18000</v>
      </c>
      <c r="I547" s="2">
        <v>10</v>
      </c>
      <c r="J547" s="2" t="s">
        <v>1779</v>
      </c>
      <c r="K547" s="2">
        <v>31</v>
      </c>
      <c r="L547" s="2">
        <v>10</v>
      </c>
      <c r="M547" s="2">
        <v>5</v>
      </c>
      <c r="N547" s="2">
        <v>6</v>
      </c>
      <c r="O547" s="2">
        <v>5</v>
      </c>
      <c r="P547" s="2">
        <v>5</v>
      </c>
      <c r="Q547" s="2" t="s">
        <v>2917</v>
      </c>
      <c r="R547" s="2" t="s">
        <v>2918</v>
      </c>
      <c r="S547" s="4">
        <v>44837</v>
      </c>
    </row>
    <row r="548" spans="1:19" ht="12.5" hidden="1" x14ac:dyDescent="0.25">
      <c r="A548" s="14" t="str">
        <f>HYPERLINK("https://gerandofalcoes.my.salesforce.com/0014X00002VKCqKQAX", "0014X00002VKCqKQAX")</f>
        <v>0014X00002VKCqKQAX</v>
      </c>
      <c r="B548" s="2" t="s">
        <v>2919</v>
      </c>
      <c r="C548" s="2" t="s">
        <v>423</v>
      </c>
      <c r="D548" s="2" t="s">
        <v>2</v>
      </c>
      <c r="E548" s="2">
        <v>7.34</v>
      </c>
      <c r="F548" s="2">
        <v>0</v>
      </c>
      <c r="G548" s="2">
        <v>1</v>
      </c>
      <c r="H548" s="2">
        <v>7500</v>
      </c>
      <c r="I548" s="2">
        <v>26</v>
      </c>
      <c r="J548" s="2" t="s">
        <v>1779</v>
      </c>
      <c r="K548" s="2">
        <v>24</v>
      </c>
      <c r="L548" s="2">
        <v>10</v>
      </c>
      <c r="M548" s="2">
        <v>0</v>
      </c>
      <c r="N548" s="2">
        <v>4</v>
      </c>
      <c r="O548" s="2">
        <v>5</v>
      </c>
      <c r="P548" s="2">
        <v>5</v>
      </c>
      <c r="Q548" s="2" t="s">
        <v>2920</v>
      </c>
      <c r="R548" s="2" t="s">
        <v>2921</v>
      </c>
      <c r="S548" s="4">
        <v>44837</v>
      </c>
    </row>
    <row r="549" spans="1:19" ht="12.5" hidden="1" x14ac:dyDescent="0.25">
      <c r="A549" s="14" t="str">
        <f>HYPERLINK("https://gerandofalcoes.my.salesforce.com/0014P00003YSp7aQAD", "0014P00003YSp7aQAD")</f>
        <v>0014P00003YSp7aQAD</v>
      </c>
      <c r="B549" s="2" t="s">
        <v>2922</v>
      </c>
      <c r="C549" s="2" t="s">
        <v>423</v>
      </c>
      <c r="D549" s="2" t="s">
        <v>2</v>
      </c>
      <c r="E549" s="2">
        <v>7.27</v>
      </c>
      <c r="F549" s="2">
        <v>8</v>
      </c>
      <c r="G549" s="2">
        <v>0</v>
      </c>
      <c r="H549" s="2">
        <v>5000</v>
      </c>
      <c r="I549" s="2">
        <v>30</v>
      </c>
      <c r="J549" s="2" t="s">
        <v>1779</v>
      </c>
      <c r="K549" s="2">
        <v>30</v>
      </c>
      <c r="L549" s="2">
        <v>10</v>
      </c>
      <c r="M549" s="2">
        <v>10</v>
      </c>
      <c r="N549" s="2">
        <v>0</v>
      </c>
      <c r="O549" s="2">
        <v>5</v>
      </c>
      <c r="P549" s="2">
        <v>5</v>
      </c>
      <c r="Q549" s="2" t="s">
        <v>2923</v>
      </c>
      <c r="R549" s="2" t="s">
        <v>2924</v>
      </c>
      <c r="S549" s="4">
        <v>44837</v>
      </c>
    </row>
    <row r="550" spans="1:19" ht="12.5" hidden="1" x14ac:dyDescent="0.25">
      <c r="A550" s="14" t="str">
        <f>HYPERLINK("https://gerandofalcoes.my.salesforce.com/0014P00003AN2FdQAL", "0014P00003AN2FdQAL")</f>
        <v>0014P00003AN2FdQAL</v>
      </c>
      <c r="B550" s="2" t="s">
        <v>95</v>
      </c>
      <c r="C550" s="2" t="s">
        <v>423</v>
      </c>
      <c r="D550" s="2" t="s">
        <v>2</v>
      </c>
      <c r="E550" s="2">
        <v>7</v>
      </c>
      <c r="F550" s="2">
        <v>0</v>
      </c>
      <c r="G550" s="2">
        <v>0</v>
      </c>
      <c r="H550" s="2">
        <v>0</v>
      </c>
      <c r="I550" s="2">
        <v>300</v>
      </c>
      <c r="J550" s="2" t="s">
        <v>1779</v>
      </c>
      <c r="K550" s="2">
        <v>25</v>
      </c>
      <c r="L550" s="2">
        <v>10</v>
      </c>
      <c r="M550" s="2">
        <v>0</v>
      </c>
      <c r="N550" s="2">
        <v>0</v>
      </c>
      <c r="O550" s="2">
        <v>0</v>
      </c>
      <c r="P550" s="2">
        <v>15</v>
      </c>
      <c r="Q550" s="2" t="s">
        <v>96</v>
      </c>
      <c r="R550" s="2" t="s">
        <v>685</v>
      </c>
      <c r="S550" s="4">
        <v>44837</v>
      </c>
    </row>
    <row r="551" spans="1:19" ht="12.5" hidden="1" x14ac:dyDescent="0.25">
      <c r="A551" s="14" t="str">
        <f>HYPERLINK("https://gerandofalcoes.my.salesforce.com/0014P00003YSp8dQAD", "0014P00003YSp8dQAD")</f>
        <v>0014P00003YSp8dQAD</v>
      </c>
      <c r="B551" s="2" t="s">
        <v>2925</v>
      </c>
      <c r="C551" s="2" t="s">
        <v>423</v>
      </c>
      <c r="D551" s="2" t="s">
        <v>2</v>
      </c>
      <c r="E551" s="2">
        <v>7</v>
      </c>
      <c r="F551" s="2">
        <v>3</v>
      </c>
      <c r="G551" s="2">
        <v>2</v>
      </c>
      <c r="H551" s="2">
        <v>0</v>
      </c>
      <c r="I551" s="2">
        <v>150</v>
      </c>
      <c r="J551" s="2" t="s">
        <v>1779</v>
      </c>
      <c r="K551" s="2">
        <v>33</v>
      </c>
      <c r="L551" s="2">
        <v>10</v>
      </c>
      <c r="M551" s="2">
        <v>5</v>
      </c>
      <c r="N551" s="2">
        <v>6</v>
      </c>
      <c r="O551" s="2">
        <v>0</v>
      </c>
      <c r="P551" s="2">
        <v>12</v>
      </c>
      <c r="Q551" s="2" t="s">
        <v>2926</v>
      </c>
      <c r="R551" s="2" t="s">
        <v>2926</v>
      </c>
      <c r="S551" s="4">
        <v>44837</v>
      </c>
    </row>
    <row r="552" spans="1:19" ht="12.5" hidden="1" x14ac:dyDescent="0.25">
      <c r="A552" s="14" t="str">
        <f>HYPERLINK("https://gerandofalcoes.my.salesforce.com/0014X00002VKCvAQAX", "0014X00002VKCvAQAX")</f>
        <v>0014X00002VKCvAQAX</v>
      </c>
      <c r="B552" s="2" t="s">
        <v>2927</v>
      </c>
      <c r="C552" s="2" t="s">
        <v>423</v>
      </c>
      <c r="D552" s="2" t="s">
        <v>2</v>
      </c>
      <c r="E552" s="2">
        <v>6.68</v>
      </c>
      <c r="F552" s="2">
        <v>0</v>
      </c>
      <c r="G552" s="2">
        <v>1</v>
      </c>
      <c r="H552" s="2">
        <v>35000</v>
      </c>
      <c r="I552" s="2">
        <v>0</v>
      </c>
      <c r="J552" s="2" t="s">
        <v>1779</v>
      </c>
      <c r="K552" s="2">
        <v>24</v>
      </c>
      <c r="L552" s="2">
        <v>10</v>
      </c>
      <c r="M552" s="2">
        <v>0</v>
      </c>
      <c r="N552" s="2">
        <v>4</v>
      </c>
      <c r="O552" s="2">
        <v>10</v>
      </c>
      <c r="P552" s="2">
        <v>0</v>
      </c>
      <c r="Q552" s="2" t="s">
        <v>2928</v>
      </c>
      <c r="R552" s="2" t="s">
        <v>2929</v>
      </c>
      <c r="S552" s="4">
        <v>44837</v>
      </c>
    </row>
    <row r="553" spans="1:19" ht="12.5" hidden="1" x14ac:dyDescent="0.25">
      <c r="A553" s="14" t="str">
        <f>HYPERLINK("https://gerandofalcoes.my.salesforce.com/0014X00002VKCq0QAH", "0014X00002VKCq0QAH")</f>
        <v>0014X00002VKCq0QAH</v>
      </c>
      <c r="B553" s="2" t="s">
        <v>2930</v>
      </c>
      <c r="C553" s="2" t="s">
        <v>1800</v>
      </c>
      <c r="D553" s="2" t="s">
        <v>2</v>
      </c>
      <c r="E553" s="2">
        <v>6</v>
      </c>
      <c r="F553" s="2">
        <v>2</v>
      </c>
      <c r="G553" s="2">
        <v>3</v>
      </c>
      <c r="H553" s="2">
        <v>929000</v>
      </c>
      <c r="I553" s="2">
        <v>300</v>
      </c>
      <c r="J553" s="2" t="s">
        <v>1671</v>
      </c>
      <c r="K553" s="2">
        <v>63</v>
      </c>
      <c r="L553" s="2">
        <v>10</v>
      </c>
      <c r="M553" s="2">
        <v>5</v>
      </c>
      <c r="N553" s="2">
        <v>8</v>
      </c>
      <c r="O553" s="2">
        <v>25</v>
      </c>
      <c r="P553" s="2">
        <v>15</v>
      </c>
      <c r="Q553" s="2" t="s">
        <v>2931</v>
      </c>
      <c r="R553" s="2" t="s">
        <v>2932</v>
      </c>
      <c r="S553" s="4">
        <v>44837</v>
      </c>
    </row>
    <row r="554" spans="1:19" ht="12.5" hidden="1" x14ac:dyDescent="0.25">
      <c r="A554" s="14" t="str">
        <f>HYPERLINK("https://gerandofalcoes.my.salesforce.com/0014X00002VKCuuQAH", "0014X00002VKCuuQAH")</f>
        <v>0014X00002VKCuuQAH</v>
      </c>
      <c r="B554" s="2" t="s">
        <v>2933</v>
      </c>
      <c r="C554" s="2" t="s">
        <v>423</v>
      </c>
      <c r="D554" s="2" t="s">
        <v>2</v>
      </c>
      <c r="E554" s="2">
        <v>6</v>
      </c>
      <c r="F554" s="2">
        <v>5</v>
      </c>
      <c r="G554" s="2">
        <v>5</v>
      </c>
      <c r="H554" s="2">
        <v>0</v>
      </c>
      <c r="I554" s="2">
        <v>220</v>
      </c>
      <c r="J554" s="2" t="s">
        <v>1779</v>
      </c>
      <c r="K554" s="2">
        <v>37</v>
      </c>
      <c r="L554" s="2">
        <v>10</v>
      </c>
      <c r="M554" s="2">
        <v>5</v>
      </c>
      <c r="N554" s="2">
        <v>10</v>
      </c>
      <c r="O554" s="2">
        <v>0</v>
      </c>
      <c r="P554" s="2">
        <v>12</v>
      </c>
      <c r="Q554" s="2" t="s">
        <v>2934</v>
      </c>
      <c r="R554" s="2" t="s">
        <v>2934</v>
      </c>
      <c r="S554" s="4">
        <v>44837</v>
      </c>
    </row>
    <row r="555" spans="1:19" ht="12.5" hidden="1" x14ac:dyDescent="0.25">
      <c r="A555" s="14" t="str">
        <f>HYPERLINK("https://gerandofalcoes.my.salesforce.com/0014X00002VKCugQAH", "0014X00002VKCugQAH")</f>
        <v>0014X00002VKCugQAH</v>
      </c>
      <c r="B555" s="2" t="s">
        <v>2935</v>
      </c>
      <c r="C555" s="2" t="s">
        <v>1800</v>
      </c>
      <c r="D555" s="2" t="s">
        <v>2</v>
      </c>
      <c r="E555" s="2">
        <v>6</v>
      </c>
      <c r="F555" s="2">
        <v>0</v>
      </c>
      <c r="G555" s="2">
        <v>2</v>
      </c>
      <c r="H555" s="2">
        <v>3000</v>
      </c>
      <c r="I555" s="2">
        <v>0</v>
      </c>
      <c r="J555" s="2" t="s">
        <v>1779</v>
      </c>
      <c r="K555" s="2">
        <v>21</v>
      </c>
      <c r="L555" s="2">
        <v>10</v>
      </c>
      <c r="M555" s="2">
        <v>0</v>
      </c>
      <c r="N555" s="2">
        <v>6</v>
      </c>
      <c r="O555" s="2">
        <v>5</v>
      </c>
      <c r="P555" s="2">
        <v>0</v>
      </c>
      <c r="Q555" s="2" t="s">
        <v>2936</v>
      </c>
      <c r="R555" s="2" t="s">
        <v>2937</v>
      </c>
      <c r="S555" s="4">
        <v>44837</v>
      </c>
    </row>
    <row r="556" spans="1:19" ht="12.5" hidden="1" x14ac:dyDescent="0.25">
      <c r="A556" s="14" t="str">
        <f>HYPERLINK("https://gerandofalcoes.my.salesforce.com/0014X00002VKCt8QAH", "0014X00002VKCt8QAH")</f>
        <v>0014X00002VKCt8QAH</v>
      </c>
      <c r="B556" s="2" t="s">
        <v>2938</v>
      </c>
      <c r="C556" s="2" t="s">
        <v>1684</v>
      </c>
      <c r="D556" s="2" t="s">
        <v>2</v>
      </c>
      <c r="E556" s="2">
        <v>5.84</v>
      </c>
      <c r="F556" s="2">
        <v>0</v>
      </c>
      <c r="G556" s="2">
        <v>0</v>
      </c>
      <c r="H556" s="2">
        <v>0</v>
      </c>
      <c r="I556" s="2">
        <v>0</v>
      </c>
      <c r="J556" s="2" t="s">
        <v>1779</v>
      </c>
      <c r="K556" s="2">
        <v>10</v>
      </c>
      <c r="L556" s="2">
        <v>10</v>
      </c>
      <c r="M556" s="2">
        <v>0</v>
      </c>
      <c r="N556" s="2">
        <v>0</v>
      </c>
      <c r="O556" s="2">
        <v>0</v>
      </c>
      <c r="P556" s="2">
        <v>0</v>
      </c>
      <c r="Q556" s="2" t="s">
        <v>2939</v>
      </c>
      <c r="R556" s="2" t="s">
        <v>2940</v>
      </c>
      <c r="S556" s="4">
        <v>44837</v>
      </c>
    </row>
    <row r="557" spans="1:19" ht="12.5" hidden="1" x14ac:dyDescent="0.25">
      <c r="A557" s="14" t="str">
        <f>HYPERLINK("https://gerandofalcoes.my.salesforce.com/0014X00002VKCv6QAH", "0014X00002VKCv6QAH")</f>
        <v>0014X00002VKCv6QAH</v>
      </c>
      <c r="B557" s="2" t="s">
        <v>2941</v>
      </c>
      <c r="C557" s="2" t="s">
        <v>423</v>
      </c>
      <c r="D557" s="2" t="s">
        <v>2</v>
      </c>
      <c r="E557" s="2">
        <v>5.6</v>
      </c>
      <c r="F557" s="2">
        <v>0</v>
      </c>
      <c r="G557" s="2">
        <v>0</v>
      </c>
      <c r="H557" s="2">
        <v>0</v>
      </c>
      <c r="I557" s="2">
        <v>44</v>
      </c>
      <c r="J557" s="2" t="s">
        <v>1779</v>
      </c>
      <c r="K557" s="2">
        <v>15</v>
      </c>
      <c r="L557" s="2">
        <v>10</v>
      </c>
      <c r="M557" s="2">
        <v>0</v>
      </c>
      <c r="N557" s="2">
        <v>0</v>
      </c>
      <c r="O557" s="2">
        <v>0</v>
      </c>
      <c r="P557" s="2">
        <v>5</v>
      </c>
      <c r="Q557" s="2" t="s">
        <v>2942</v>
      </c>
      <c r="R557" s="2" t="s">
        <v>2943</v>
      </c>
      <c r="S557" s="4">
        <v>44837</v>
      </c>
    </row>
    <row r="558" spans="1:19" ht="12.5" hidden="1" x14ac:dyDescent="0.25">
      <c r="A558" s="14" t="str">
        <f>HYPERLINK("https://gerandofalcoes.my.salesforce.com/0014X00002VKCucQAH", "0014X00002VKCucQAH")</f>
        <v>0014X00002VKCucQAH</v>
      </c>
      <c r="B558" s="2" t="s">
        <v>2944</v>
      </c>
      <c r="C558" s="2" t="s">
        <v>423</v>
      </c>
      <c r="D558" s="2" t="s">
        <v>2</v>
      </c>
      <c r="E558" s="2">
        <v>5.56</v>
      </c>
      <c r="F558" s="2">
        <v>0</v>
      </c>
      <c r="G558" s="2">
        <v>1</v>
      </c>
      <c r="H558" s="2">
        <v>300</v>
      </c>
      <c r="I558" s="2">
        <v>0</v>
      </c>
      <c r="J558" s="2" t="s">
        <v>1779</v>
      </c>
      <c r="K558" s="2">
        <v>19</v>
      </c>
      <c r="L558" s="2">
        <v>10</v>
      </c>
      <c r="M558" s="2">
        <v>0</v>
      </c>
      <c r="N558" s="2">
        <v>4</v>
      </c>
      <c r="O558" s="2">
        <v>5</v>
      </c>
      <c r="P558" s="2">
        <v>0</v>
      </c>
      <c r="Q558" s="2" t="s">
        <v>2945</v>
      </c>
      <c r="R558" s="2" t="s">
        <v>2946</v>
      </c>
      <c r="S558" s="4">
        <v>44837</v>
      </c>
    </row>
    <row r="559" spans="1:19" ht="12.5" hidden="1" x14ac:dyDescent="0.25">
      <c r="A559" s="14" t="str">
        <f>HYPERLINK("https://gerandofalcoes.my.salesforce.com/0014X00002VKCuMQAX", "0014X00002VKCuMQAX")</f>
        <v>0014X00002VKCuMQAX</v>
      </c>
      <c r="B559" s="2" t="s">
        <v>2947</v>
      </c>
      <c r="C559" s="2" t="s">
        <v>423</v>
      </c>
      <c r="D559" s="2" t="s">
        <v>2</v>
      </c>
      <c r="E559" s="2">
        <v>5.54</v>
      </c>
      <c r="F559" s="2">
        <v>0</v>
      </c>
      <c r="G559" s="2">
        <v>1</v>
      </c>
      <c r="H559" s="2">
        <v>0</v>
      </c>
      <c r="I559" s="2">
        <v>420</v>
      </c>
      <c r="J559" s="2" t="s">
        <v>1779</v>
      </c>
      <c r="K559" s="2">
        <v>29</v>
      </c>
      <c r="L559" s="2">
        <v>10</v>
      </c>
      <c r="M559" s="2">
        <v>0</v>
      </c>
      <c r="N559" s="2">
        <v>4</v>
      </c>
      <c r="O559" s="2">
        <v>0</v>
      </c>
      <c r="P559" s="2">
        <v>15</v>
      </c>
      <c r="Q559" s="2" t="s">
        <v>2948</v>
      </c>
      <c r="R559" s="2" t="s">
        <v>2949</v>
      </c>
      <c r="S559" s="4">
        <v>44837</v>
      </c>
    </row>
    <row r="560" spans="1:19" ht="12.5" hidden="1" x14ac:dyDescent="0.25">
      <c r="A560" s="14" t="str">
        <f>HYPERLINK("https://gerandofalcoes.my.salesforce.com/0014P00003SGWQHQA5", "0014P00003SGWQHQA5")</f>
        <v>0014P00003SGWQHQA5</v>
      </c>
      <c r="B560" s="2" t="s">
        <v>265</v>
      </c>
      <c r="C560" s="2" t="s">
        <v>423</v>
      </c>
      <c r="D560" s="2" t="s">
        <v>2</v>
      </c>
      <c r="E560" s="2">
        <v>5</v>
      </c>
      <c r="F560" s="2">
        <v>0</v>
      </c>
      <c r="G560" s="2">
        <v>1</v>
      </c>
      <c r="H560" s="2">
        <v>13000</v>
      </c>
      <c r="I560" s="2">
        <v>100</v>
      </c>
      <c r="J560" s="2" t="s">
        <v>1779</v>
      </c>
      <c r="K560" s="2">
        <v>29</v>
      </c>
      <c r="L560" s="2">
        <v>10</v>
      </c>
      <c r="M560" s="2">
        <v>0</v>
      </c>
      <c r="N560" s="2">
        <v>4</v>
      </c>
      <c r="O560" s="2">
        <v>5</v>
      </c>
      <c r="P560" s="2">
        <v>10</v>
      </c>
      <c r="Q560" s="2" t="s">
        <v>266</v>
      </c>
      <c r="R560" s="2" t="s">
        <v>266</v>
      </c>
      <c r="S560" s="4">
        <v>44837</v>
      </c>
    </row>
    <row r="561" spans="1:19" ht="12.5" hidden="1" x14ac:dyDescent="0.25">
      <c r="A561" s="14" t="str">
        <f>HYPERLINK("https://gerandofalcoes.my.salesforce.com/0014X00002VKCuLQAX", "0014X00002VKCuLQAX")</f>
        <v>0014X00002VKCuLQAX</v>
      </c>
      <c r="B561" s="2" t="s">
        <v>2950</v>
      </c>
      <c r="C561" s="2" t="s">
        <v>423</v>
      </c>
      <c r="D561" s="2" t="s">
        <v>2</v>
      </c>
      <c r="E561" s="2">
        <v>4.84</v>
      </c>
      <c r="F561" s="2">
        <v>0</v>
      </c>
      <c r="G561" s="2">
        <v>2</v>
      </c>
      <c r="H561" s="2">
        <v>5000</v>
      </c>
      <c r="I561" s="2">
        <v>130</v>
      </c>
      <c r="J561" s="2" t="s">
        <v>1779</v>
      </c>
      <c r="K561" s="2">
        <v>31</v>
      </c>
      <c r="L561" s="2">
        <v>10</v>
      </c>
      <c r="M561" s="2">
        <v>0</v>
      </c>
      <c r="N561" s="2">
        <v>6</v>
      </c>
      <c r="O561" s="2">
        <v>5</v>
      </c>
      <c r="P561" s="2">
        <v>10</v>
      </c>
      <c r="Q561" s="2" t="s">
        <v>2951</v>
      </c>
      <c r="R561" s="2" t="s">
        <v>2951</v>
      </c>
      <c r="S561" s="4">
        <v>44837</v>
      </c>
    </row>
    <row r="562" spans="1:19" ht="12.5" hidden="1" x14ac:dyDescent="0.25">
      <c r="A562" s="14" t="str">
        <f>HYPERLINK("https://gerandofalcoes.my.salesforce.com/0014X00002VKCqQQAX", "0014X00002VKCqQQAX")</f>
        <v>0014X00002VKCqQQAX</v>
      </c>
      <c r="B562" s="2" t="s">
        <v>2952</v>
      </c>
      <c r="C562" s="2" t="s">
        <v>423</v>
      </c>
      <c r="D562" s="2" t="s">
        <v>2</v>
      </c>
      <c r="E562" s="2">
        <v>4.43</v>
      </c>
      <c r="F562" s="2">
        <v>0</v>
      </c>
      <c r="G562" s="2">
        <v>2</v>
      </c>
      <c r="H562" s="2">
        <v>0</v>
      </c>
      <c r="I562" s="2">
        <v>40</v>
      </c>
      <c r="J562" s="2" t="s">
        <v>1779</v>
      </c>
      <c r="K562" s="2">
        <v>21</v>
      </c>
      <c r="L562" s="2">
        <v>10</v>
      </c>
      <c r="M562" s="2">
        <v>0</v>
      </c>
      <c r="N562" s="2">
        <v>6</v>
      </c>
      <c r="O562" s="2">
        <v>0</v>
      </c>
      <c r="P562" s="2">
        <v>5</v>
      </c>
      <c r="Q562" s="2" t="s">
        <v>2953</v>
      </c>
      <c r="R562" s="2" t="s">
        <v>2954</v>
      </c>
      <c r="S562" s="4">
        <v>44837</v>
      </c>
    </row>
    <row r="563" spans="1:19" ht="12.5" hidden="1" x14ac:dyDescent="0.25">
      <c r="A563" s="14" t="str">
        <f>HYPERLINK("https://gerandofalcoes.my.salesforce.com/0014P00003SGWQBQA5", "0014P00003SGWQBQA5")</f>
        <v>0014P00003SGWQBQA5</v>
      </c>
      <c r="B563" s="2" t="s">
        <v>242</v>
      </c>
      <c r="C563" s="2" t="s">
        <v>423</v>
      </c>
      <c r="D563" s="2" t="s">
        <v>2</v>
      </c>
      <c r="E563" s="2">
        <v>4.26</v>
      </c>
      <c r="F563" s="2">
        <v>12</v>
      </c>
      <c r="G563" s="2">
        <v>0</v>
      </c>
      <c r="H563" s="2">
        <v>0</v>
      </c>
      <c r="I563" s="2">
        <v>300</v>
      </c>
      <c r="J563" s="2" t="s">
        <v>1779</v>
      </c>
      <c r="K563" s="2">
        <v>37</v>
      </c>
      <c r="L563" s="2">
        <v>10</v>
      </c>
      <c r="M563" s="2">
        <v>12</v>
      </c>
      <c r="N563" s="2">
        <v>0</v>
      </c>
      <c r="O563" s="2">
        <v>0</v>
      </c>
      <c r="P563" s="2">
        <v>15</v>
      </c>
      <c r="Q563" s="2" t="s">
        <v>243</v>
      </c>
      <c r="R563" s="2" t="s">
        <v>1201</v>
      </c>
      <c r="S563" s="4">
        <v>44837</v>
      </c>
    </row>
    <row r="564" spans="1:19" ht="12.5" hidden="1" x14ac:dyDescent="0.25">
      <c r="A564" s="14" t="str">
        <f>HYPERLINK("https://gerandofalcoes.my.salesforce.com/0014X00002VKCtDQAX", "0014X00002VKCtDQAX")</f>
        <v>0014X00002VKCtDQAX</v>
      </c>
      <c r="B564" s="2" t="s">
        <v>2955</v>
      </c>
      <c r="C564" s="2" t="s">
        <v>423</v>
      </c>
      <c r="D564" s="2" t="s">
        <v>2</v>
      </c>
      <c r="E564" s="2">
        <v>4.16</v>
      </c>
      <c r="F564" s="2">
        <v>5</v>
      </c>
      <c r="G564" s="2">
        <v>0</v>
      </c>
      <c r="H564" s="2">
        <v>0</v>
      </c>
      <c r="I564" s="2">
        <v>50</v>
      </c>
      <c r="J564" s="2" t="s">
        <v>1779</v>
      </c>
      <c r="K564" s="2">
        <v>20</v>
      </c>
      <c r="L564" s="2">
        <v>10</v>
      </c>
      <c r="M564" s="2">
        <v>5</v>
      </c>
      <c r="N564" s="2">
        <v>0</v>
      </c>
      <c r="O564" s="2">
        <v>0</v>
      </c>
      <c r="P564" s="2">
        <v>5</v>
      </c>
      <c r="Q564" s="2" t="s">
        <v>2956</v>
      </c>
      <c r="R564" s="2" t="s">
        <v>2957</v>
      </c>
      <c r="S564" s="4">
        <v>44837</v>
      </c>
    </row>
    <row r="565" spans="1:19" ht="12.5" hidden="1" x14ac:dyDescent="0.25">
      <c r="A565" s="14" t="str">
        <f>HYPERLINK("https://gerandofalcoes.my.salesforce.com/0014P00003SGWQAQA5", "0014P00003SGWQAQA5")</f>
        <v>0014P00003SGWQAQA5</v>
      </c>
      <c r="B565" s="2" t="s">
        <v>2958</v>
      </c>
      <c r="C565" s="2" t="s">
        <v>423</v>
      </c>
      <c r="D565" s="2" t="s">
        <v>2</v>
      </c>
      <c r="E565" s="2">
        <v>4</v>
      </c>
      <c r="F565" s="2">
        <v>0</v>
      </c>
      <c r="G565" s="2">
        <v>1</v>
      </c>
      <c r="H565" s="2">
        <v>16000</v>
      </c>
      <c r="I565" s="2">
        <v>200</v>
      </c>
      <c r="J565" s="2" t="s">
        <v>1779</v>
      </c>
      <c r="K565" s="2">
        <v>31</v>
      </c>
      <c r="L565" s="2">
        <v>10</v>
      </c>
      <c r="M565" s="2">
        <v>0</v>
      </c>
      <c r="N565" s="2">
        <v>4</v>
      </c>
      <c r="O565" s="2">
        <v>5</v>
      </c>
      <c r="P565" s="2">
        <v>12</v>
      </c>
      <c r="Q565" s="2" t="s">
        <v>238</v>
      </c>
      <c r="R565" s="2" t="s">
        <v>1191</v>
      </c>
      <c r="S565" s="4">
        <v>44837</v>
      </c>
    </row>
    <row r="566" spans="1:19" ht="12.5" hidden="1" x14ac:dyDescent="0.25">
      <c r="A566" s="14" t="str">
        <f>HYPERLINK("https://gerandofalcoes.my.salesforce.com/0014X00002VKCrwQAH", "0014X00002VKCrwQAH")</f>
        <v>0014X00002VKCrwQAH</v>
      </c>
      <c r="B566" s="2" t="s">
        <v>2959</v>
      </c>
      <c r="C566" s="2" t="s">
        <v>423</v>
      </c>
      <c r="D566" s="2" t="s">
        <v>2</v>
      </c>
      <c r="E566" s="2">
        <v>3.94</v>
      </c>
      <c r="F566" s="2">
        <v>0</v>
      </c>
      <c r="G566" s="2">
        <v>2</v>
      </c>
      <c r="H566" s="2">
        <v>15000</v>
      </c>
      <c r="I566" s="2">
        <v>30</v>
      </c>
      <c r="J566" s="2" t="s">
        <v>1779</v>
      </c>
      <c r="K566" s="2">
        <v>26</v>
      </c>
      <c r="L566" s="2">
        <v>10</v>
      </c>
      <c r="M566" s="2">
        <v>0</v>
      </c>
      <c r="N566" s="2">
        <v>6</v>
      </c>
      <c r="O566" s="2">
        <v>5</v>
      </c>
      <c r="P566" s="2">
        <v>5</v>
      </c>
      <c r="Q566" s="2" t="s">
        <v>2960</v>
      </c>
      <c r="R566" s="2" t="s">
        <v>2961</v>
      </c>
      <c r="S566" s="4">
        <v>44837</v>
      </c>
    </row>
    <row r="567" spans="1:19" ht="12.5" hidden="1" x14ac:dyDescent="0.25">
      <c r="A567" s="14" t="str">
        <f>HYPERLINK("https://gerandofalcoes.my.salesforce.com/0014P00003YSpAEQA1", "0014P00003YSpAEQA1")</f>
        <v>0014P00003YSpAEQA1</v>
      </c>
      <c r="B567" s="2" t="s">
        <v>2962</v>
      </c>
      <c r="C567" s="2" t="s">
        <v>423</v>
      </c>
      <c r="D567" s="2" t="s">
        <v>2</v>
      </c>
      <c r="E567" s="2">
        <v>3.64</v>
      </c>
      <c r="F567" s="2">
        <v>0</v>
      </c>
      <c r="G567" s="2">
        <v>0</v>
      </c>
      <c r="H567" s="2">
        <v>0</v>
      </c>
      <c r="I567" s="2">
        <v>300</v>
      </c>
      <c r="J567" s="2" t="s">
        <v>1779</v>
      </c>
      <c r="K567" s="2">
        <v>25</v>
      </c>
      <c r="L567" s="2">
        <v>10</v>
      </c>
      <c r="M567" s="2">
        <v>0</v>
      </c>
      <c r="N567" s="2">
        <v>0</v>
      </c>
      <c r="O567" s="2">
        <v>0</v>
      </c>
      <c r="P567" s="2">
        <v>15</v>
      </c>
      <c r="Q567" s="2" t="s">
        <v>2963</v>
      </c>
      <c r="R567" s="2" t="s">
        <v>2964</v>
      </c>
      <c r="S567" s="4">
        <v>44837</v>
      </c>
    </row>
    <row r="568" spans="1:19" ht="12.5" hidden="1" x14ac:dyDescent="0.25">
      <c r="A568" s="14" t="str">
        <f>HYPERLINK("https://gerandofalcoes.my.salesforce.com/0014P00003SGWPMQA5", "0014P00003SGWPMQA5")</f>
        <v>0014P00003SGWPMQA5</v>
      </c>
      <c r="B568" s="2" t="s">
        <v>347</v>
      </c>
      <c r="C568" s="2" t="s">
        <v>423</v>
      </c>
      <c r="D568" s="2" t="s">
        <v>2</v>
      </c>
      <c r="E568" s="2">
        <v>3.21</v>
      </c>
      <c r="F568" s="2">
        <v>0</v>
      </c>
      <c r="G568" s="2">
        <v>0</v>
      </c>
      <c r="H568" s="2">
        <v>0</v>
      </c>
      <c r="I568" s="2">
        <v>0</v>
      </c>
      <c r="J568" s="2" t="s">
        <v>1779</v>
      </c>
      <c r="K568" s="2">
        <v>10</v>
      </c>
      <c r="L568" s="2">
        <v>10</v>
      </c>
      <c r="M568" s="2">
        <v>0</v>
      </c>
      <c r="N568" s="2">
        <v>0</v>
      </c>
      <c r="O568" s="2">
        <v>0</v>
      </c>
      <c r="P568" s="2">
        <v>0</v>
      </c>
      <c r="Q568" s="2" t="s">
        <v>348</v>
      </c>
      <c r="R568" s="2" t="s">
        <v>1488</v>
      </c>
      <c r="S568" s="4">
        <v>44837</v>
      </c>
    </row>
    <row r="569" spans="1:19" ht="12.5" hidden="1" x14ac:dyDescent="0.25">
      <c r="A569" s="14" t="str">
        <f>HYPERLINK("https://gerandofalcoes.my.salesforce.com/0014X00002VKCpnQAH", "0014X00002VKCpnQAH")</f>
        <v>0014X00002VKCpnQAH</v>
      </c>
      <c r="B569" s="2" t="s">
        <v>2965</v>
      </c>
      <c r="C569" s="2" t="s">
        <v>423</v>
      </c>
      <c r="D569" s="2" t="s">
        <v>2</v>
      </c>
      <c r="E569" s="2">
        <v>2.57</v>
      </c>
      <c r="F569" s="2">
        <v>0</v>
      </c>
      <c r="G569" s="2">
        <v>1</v>
      </c>
      <c r="H569" s="2">
        <v>10000</v>
      </c>
      <c r="I569" s="2">
        <v>0</v>
      </c>
      <c r="J569" s="2" t="s">
        <v>1779</v>
      </c>
      <c r="K569" s="2">
        <v>19</v>
      </c>
      <c r="L569" s="2">
        <v>10</v>
      </c>
      <c r="M569" s="2">
        <v>0</v>
      </c>
      <c r="N569" s="2">
        <v>4</v>
      </c>
      <c r="O569" s="2">
        <v>5</v>
      </c>
      <c r="P569" s="2">
        <v>0</v>
      </c>
      <c r="Q569" s="2" t="s">
        <v>2966</v>
      </c>
      <c r="R569" s="2" t="s">
        <v>2966</v>
      </c>
      <c r="S569" s="4">
        <v>44837</v>
      </c>
    </row>
    <row r="570" spans="1:19" ht="12.5" hidden="1" x14ac:dyDescent="0.25">
      <c r="A570" s="14" t="str">
        <f>HYPERLINK("https://gerandofalcoes.my.salesforce.com/0014X00002VKCpvQAH", "0014X00002VKCpvQAH")</f>
        <v>0014X00002VKCpvQAH</v>
      </c>
      <c r="B570" s="2" t="s">
        <v>2967</v>
      </c>
      <c r="C570" s="2" t="s">
        <v>1684</v>
      </c>
      <c r="D570" s="2" t="s">
        <v>2</v>
      </c>
      <c r="E570" s="2">
        <v>2.25</v>
      </c>
      <c r="F570" s="2">
        <v>1</v>
      </c>
      <c r="G570" s="2">
        <v>1</v>
      </c>
      <c r="H570" s="2">
        <v>1000</v>
      </c>
      <c r="I570" s="2">
        <v>70</v>
      </c>
      <c r="J570" s="2" t="s">
        <v>1779</v>
      </c>
      <c r="K570" s="2">
        <v>29</v>
      </c>
      <c r="L570" s="2">
        <v>10</v>
      </c>
      <c r="M570" s="2">
        <v>5</v>
      </c>
      <c r="N570" s="2">
        <v>4</v>
      </c>
      <c r="O570" s="2">
        <v>5</v>
      </c>
      <c r="P570" s="2">
        <v>5</v>
      </c>
      <c r="Q570" s="2" t="s">
        <v>2968</v>
      </c>
      <c r="R570" s="2" t="s">
        <v>2969</v>
      </c>
      <c r="S570" s="4">
        <v>44837</v>
      </c>
    </row>
    <row r="571" spans="1:19" ht="12.5" hidden="1" x14ac:dyDescent="0.25">
      <c r="A571" s="14" t="str">
        <f>HYPERLINK("https://gerandofalcoes.my.salesforce.com/0014X00002VKCrxQAH", "0014X00002VKCrxQAH")</f>
        <v>0014X00002VKCrxQAH</v>
      </c>
      <c r="B571" s="2" t="s">
        <v>2970</v>
      </c>
      <c r="C571" s="2" t="s">
        <v>423</v>
      </c>
      <c r="D571" s="2" t="s">
        <v>2</v>
      </c>
      <c r="E571" s="2">
        <v>2.25</v>
      </c>
      <c r="F571" s="2">
        <v>0</v>
      </c>
      <c r="G571" s="2">
        <v>0</v>
      </c>
      <c r="H571" s="2">
        <v>0</v>
      </c>
      <c r="I571" s="2">
        <v>60</v>
      </c>
      <c r="J571" s="2" t="s">
        <v>1779</v>
      </c>
      <c r="K571" s="2">
        <v>15</v>
      </c>
      <c r="L571" s="2">
        <v>10</v>
      </c>
      <c r="M571" s="2">
        <v>0</v>
      </c>
      <c r="N571" s="2">
        <v>0</v>
      </c>
      <c r="O571" s="2">
        <v>0</v>
      </c>
      <c r="P571" s="2">
        <v>5</v>
      </c>
      <c r="Q571" s="2" t="s">
        <v>2971</v>
      </c>
      <c r="R571" s="2" t="s">
        <v>2972</v>
      </c>
      <c r="S571" s="4">
        <v>44837</v>
      </c>
    </row>
    <row r="572" spans="1:19" ht="12.5" hidden="1" x14ac:dyDescent="0.25">
      <c r="A572" s="14" t="str">
        <f>HYPERLINK("https://gerandofalcoes.my.salesforce.com/0014X00002VKCrVQAX", "0014X00002VKCrVQAX")</f>
        <v>0014X00002VKCrVQAX</v>
      </c>
      <c r="B572" s="2" t="s">
        <v>2973</v>
      </c>
      <c r="C572" s="2" t="s">
        <v>423</v>
      </c>
      <c r="D572" s="2" t="s">
        <v>2</v>
      </c>
      <c r="E572" s="2">
        <v>2.08</v>
      </c>
      <c r="F572" s="2">
        <v>0</v>
      </c>
      <c r="G572" s="2">
        <v>0</v>
      </c>
      <c r="H572" s="2">
        <v>0</v>
      </c>
      <c r="I572" s="2">
        <v>0</v>
      </c>
      <c r="J572" s="2" t="s">
        <v>1779</v>
      </c>
      <c r="K572" s="2">
        <v>10</v>
      </c>
      <c r="L572" s="2">
        <v>10</v>
      </c>
      <c r="M572" s="2">
        <v>0</v>
      </c>
      <c r="N572" s="2">
        <v>0</v>
      </c>
      <c r="O572" s="2">
        <v>0</v>
      </c>
      <c r="P572" s="2">
        <v>0</v>
      </c>
      <c r="Q572" s="2" t="s">
        <v>2974</v>
      </c>
      <c r="R572" s="2" t="s">
        <v>2975</v>
      </c>
      <c r="S572" s="4">
        <v>44837</v>
      </c>
    </row>
    <row r="573" spans="1:19" ht="12.5" hidden="1" x14ac:dyDescent="0.25">
      <c r="A573" s="14" t="str">
        <f>HYPERLINK("https://gerandofalcoes.my.salesforce.com/0014P00003MjNTIQA3", "0014P00003MjNTIQA3")</f>
        <v>0014P00003MjNTIQA3</v>
      </c>
      <c r="B573" s="2" t="s">
        <v>2976</v>
      </c>
      <c r="C573" s="2" t="s">
        <v>423</v>
      </c>
      <c r="D573" s="2" t="s">
        <v>66</v>
      </c>
      <c r="E573" s="2">
        <v>0</v>
      </c>
      <c r="F573" s="2">
        <v>10</v>
      </c>
      <c r="G573" s="2">
        <v>0</v>
      </c>
      <c r="H573" s="2">
        <v>0</v>
      </c>
      <c r="I573" s="2">
        <v>0</v>
      </c>
      <c r="J573" s="2" t="s">
        <v>1779</v>
      </c>
      <c r="K573" s="2">
        <v>10</v>
      </c>
      <c r="L573" s="2">
        <v>0</v>
      </c>
      <c r="M573" s="2">
        <v>10</v>
      </c>
      <c r="N573" s="2">
        <v>0</v>
      </c>
      <c r="O573" s="2">
        <v>0</v>
      </c>
      <c r="P573" s="2">
        <v>0</v>
      </c>
      <c r="Q573" s="2" t="s">
        <v>862</v>
      </c>
      <c r="R573" s="2" t="s">
        <v>862</v>
      </c>
      <c r="S573" s="4">
        <v>44837</v>
      </c>
    </row>
    <row r="574" spans="1:19" ht="12.5" hidden="1" x14ac:dyDescent="0.25">
      <c r="A574" s="14" t="str">
        <f>HYPERLINK("https://gerandofalcoes.my.salesforce.com/0014P00003MjOsqQAF", "0014P00003MjOsqQAF")</f>
        <v>0014P00003MjOsqQAF</v>
      </c>
      <c r="B574" s="2" t="s">
        <v>2977</v>
      </c>
      <c r="C574" s="2" t="s">
        <v>1684</v>
      </c>
      <c r="D574" s="2" t="s">
        <v>66</v>
      </c>
      <c r="E574" s="2">
        <v>0</v>
      </c>
      <c r="F574" s="2">
        <v>6</v>
      </c>
      <c r="G574" s="2">
        <v>1</v>
      </c>
      <c r="H574" s="2">
        <v>0</v>
      </c>
      <c r="I574" s="2">
        <v>0</v>
      </c>
      <c r="J574" s="2" t="s">
        <v>1779</v>
      </c>
      <c r="K574" s="2">
        <v>14</v>
      </c>
      <c r="L574" s="2">
        <v>0</v>
      </c>
      <c r="M574" s="2">
        <v>10</v>
      </c>
      <c r="N574" s="2">
        <v>4</v>
      </c>
      <c r="O574" s="2">
        <v>0</v>
      </c>
      <c r="P574" s="2">
        <v>0</v>
      </c>
      <c r="Q574" s="2" t="s">
        <v>71</v>
      </c>
      <c r="R574" s="2" t="s">
        <v>870</v>
      </c>
      <c r="S574" s="4">
        <v>44837</v>
      </c>
    </row>
    <row r="575" spans="1:19" ht="12.5" hidden="1" x14ac:dyDescent="0.25">
      <c r="A575" s="14" t="str">
        <f>HYPERLINK("https://gerandofalcoes.my.salesforce.com/0014P00003MjR9oQAF", "0014P00003MjR9oQAF")</f>
        <v>0014P00003MjR9oQAF</v>
      </c>
      <c r="B575" s="2" t="s">
        <v>2978</v>
      </c>
      <c r="C575" s="2" t="s">
        <v>423</v>
      </c>
      <c r="D575" s="2" t="s">
        <v>66</v>
      </c>
      <c r="E575" s="2">
        <v>0</v>
      </c>
      <c r="F575" s="2">
        <v>23</v>
      </c>
      <c r="G575" s="2">
        <v>1</v>
      </c>
      <c r="H575" s="2">
        <v>0</v>
      </c>
      <c r="I575" s="2">
        <v>0</v>
      </c>
      <c r="J575" s="2" t="s">
        <v>1779</v>
      </c>
      <c r="K575" s="2">
        <v>16</v>
      </c>
      <c r="L575" s="2">
        <v>0</v>
      </c>
      <c r="M575" s="2">
        <v>12</v>
      </c>
      <c r="N575" s="2">
        <v>4</v>
      </c>
      <c r="O575" s="2">
        <v>0</v>
      </c>
      <c r="P575" s="2">
        <v>0</v>
      </c>
      <c r="Q575" s="2" t="s">
        <v>67</v>
      </c>
      <c r="R575" s="2" t="s">
        <v>2979</v>
      </c>
      <c r="S575" s="4">
        <v>44837</v>
      </c>
    </row>
    <row r="576" spans="1:19" ht="12.5" hidden="1" x14ac:dyDescent="0.25">
      <c r="A576" s="14" t="str">
        <f>HYPERLINK("https://gerandofalcoes.my.salesforce.com/0014P00003AN2GFQA1", "0014P00003AN2GFQA1")</f>
        <v>0014P00003AN2GFQA1</v>
      </c>
      <c r="B576" s="2" t="s">
        <v>2980</v>
      </c>
      <c r="C576" s="2" t="s">
        <v>423</v>
      </c>
      <c r="D576" s="2" t="s">
        <v>2</v>
      </c>
      <c r="E576" s="2"/>
      <c r="F576" s="2">
        <v>23</v>
      </c>
      <c r="G576" s="2">
        <v>4</v>
      </c>
      <c r="H576" s="2">
        <v>531000</v>
      </c>
      <c r="I576" s="2">
        <v>15185</v>
      </c>
      <c r="J576" s="2" t="s">
        <v>1671</v>
      </c>
      <c r="K576" s="2">
        <v>62</v>
      </c>
      <c r="L576" s="2">
        <v>0</v>
      </c>
      <c r="M576" s="2">
        <v>12</v>
      </c>
      <c r="N576" s="2">
        <v>10</v>
      </c>
      <c r="O576" s="2">
        <v>20</v>
      </c>
      <c r="P576" s="2">
        <v>20</v>
      </c>
      <c r="Q576" s="2" t="s">
        <v>995</v>
      </c>
      <c r="R576" s="2" t="s">
        <v>995</v>
      </c>
      <c r="S576" s="4">
        <v>44837</v>
      </c>
    </row>
    <row r="577" spans="1:19" ht="12.5" hidden="1" x14ac:dyDescent="0.25">
      <c r="A577" s="14" t="str">
        <f>HYPERLINK("https://gerandofalcoes.my.salesforce.com/0014P00003AN2GAQA1", "0014P00003AN2GAQA1")</f>
        <v>0014P00003AN2GAQA1</v>
      </c>
      <c r="B577" s="2" t="s">
        <v>2981</v>
      </c>
      <c r="C577" s="2" t="s">
        <v>423</v>
      </c>
      <c r="D577" s="2" t="s">
        <v>2</v>
      </c>
      <c r="E577" s="2"/>
      <c r="F577" s="2">
        <v>1</v>
      </c>
      <c r="G577" s="2">
        <v>0</v>
      </c>
      <c r="H577" s="2">
        <v>0</v>
      </c>
      <c r="I577" s="2">
        <v>1200</v>
      </c>
      <c r="J577" s="2" t="s">
        <v>1779</v>
      </c>
      <c r="K577" s="2">
        <v>25</v>
      </c>
      <c r="L577" s="2">
        <v>0</v>
      </c>
      <c r="M577" s="2">
        <v>5</v>
      </c>
      <c r="N577" s="2">
        <v>0</v>
      </c>
      <c r="O577" s="2">
        <v>0</v>
      </c>
      <c r="P577" s="2">
        <v>20</v>
      </c>
      <c r="Q577" s="2" t="s">
        <v>2982</v>
      </c>
      <c r="R577" s="2" t="s">
        <v>2982</v>
      </c>
      <c r="S577" s="4">
        <v>44837</v>
      </c>
    </row>
    <row r="578" spans="1:19" ht="12.5" hidden="1" x14ac:dyDescent="0.25">
      <c r="A578" s="14" t="str">
        <f>HYPERLINK("https://gerandofalcoes.my.salesforce.com/0014P00003ERakHQAT", "0014P00003ERakHQAT")</f>
        <v>0014P00003ERakHQAT</v>
      </c>
      <c r="B578" s="2" t="s">
        <v>2983</v>
      </c>
      <c r="C578" s="2" t="s">
        <v>1684</v>
      </c>
      <c r="D578" s="2" t="s">
        <v>2</v>
      </c>
      <c r="E578" s="2"/>
      <c r="F578" s="2">
        <v>0</v>
      </c>
      <c r="G578" s="2">
        <v>0</v>
      </c>
      <c r="H578" s="2">
        <v>0</v>
      </c>
      <c r="I578" s="2">
        <v>300</v>
      </c>
      <c r="J578" s="2" t="s">
        <v>1779</v>
      </c>
      <c r="K578" s="2">
        <v>15</v>
      </c>
      <c r="L578" s="2">
        <v>0</v>
      </c>
      <c r="M578" s="2">
        <v>0</v>
      </c>
      <c r="N578" s="2">
        <v>0</v>
      </c>
      <c r="O578" s="2">
        <v>0</v>
      </c>
      <c r="P578" s="2">
        <v>15</v>
      </c>
      <c r="Q578" s="2" t="s">
        <v>2984</v>
      </c>
      <c r="R578" s="2" t="s">
        <v>2984</v>
      </c>
      <c r="S578" s="4">
        <v>44837</v>
      </c>
    </row>
    <row r="579" spans="1:19" ht="12.5" hidden="1" x14ac:dyDescent="0.25">
      <c r="A579" s="14" t="str">
        <f>HYPERLINK("https://gerandofalcoes.my.salesforce.com/0014P00003SGWQ6QAP", "0014P00003SGWQ6QAP")</f>
        <v>0014P00003SGWQ6QAP</v>
      </c>
      <c r="B579" s="2" t="s">
        <v>221</v>
      </c>
      <c r="C579" s="2" t="s">
        <v>423</v>
      </c>
      <c r="D579" s="2" t="s">
        <v>2</v>
      </c>
      <c r="E579" s="2"/>
      <c r="F579" s="2">
        <v>20</v>
      </c>
      <c r="G579" s="2">
        <v>3</v>
      </c>
      <c r="H579" s="2">
        <v>149830</v>
      </c>
      <c r="I579" s="2">
        <v>250</v>
      </c>
      <c r="J579" s="2" t="s">
        <v>1671</v>
      </c>
      <c r="K579" s="2">
        <v>47</v>
      </c>
      <c r="L579" s="2">
        <v>0</v>
      </c>
      <c r="M579" s="2">
        <v>12</v>
      </c>
      <c r="N579" s="2">
        <v>8</v>
      </c>
      <c r="O579" s="2">
        <v>15</v>
      </c>
      <c r="P579" s="2">
        <v>12</v>
      </c>
      <c r="Q579" s="2" t="s">
        <v>222</v>
      </c>
      <c r="R579" s="2" t="s">
        <v>2985</v>
      </c>
      <c r="S579" s="4">
        <v>44837</v>
      </c>
    </row>
    <row r="580" spans="1:19" ht="12.5" hidden="1" x14ac:dyDescent="0.25">
      <c r="A580" s="14" t="str">
        <f>HYPERLINK("https://gerandofalcoes.my.salesforce.com/0014P00003SGWPjQAP", "0014P00003SGWPjQAP")</f>
        <v>0014P00003SGWPjQAP</v>
      </c>
      <c r="B580" s="2" t="s">
        <v>2986</v>
      </c>
      <c r="C580" s="2" t="s">
        <v>423</v>
      </c>
      <c r="D580" s="2" t="s">
        <v>2</v>
      </c>
      <c r="E580" s="2"/>
      <c r="F580" s="2">
        <v>0</v>
      </c>
      <c r="G580" s="2">
        <v>0</v>
      </c>
      <c r="H580" s="2">
        <v>0</v>
      </c>
      <c r="I580" s="2">
        <v>250</v>
      </c>
      <c r="J580" s="2" t="s">
        <v>1779</v>
      </c>
      <c r="K580" s="2">
        <v>12</v>
      </c>
      <c r="L580" s="2">
        <v>0</v>
      </c>
      <c r="M580" s="2">
        <v>0</v>
      </c>
      <c r="N580" s="2">
        <v>0</v>
      </c>
      <c r="O580" s="2">
        <v>0</v>
      </c>
      <c r="P580" s="2">
        <v>12</v>
      </c>
      <c r="Q580" s="2" t="s">
        <v>303</v>
      </c>
      <c r="R580" s="2" t="s">
        <v>2987</v>
      </c>
      <c r="S580" s="4">
        <v>44837</v>
      </c>
    </row>
    <row r="581" spans="1:19" ht="12.5" hidden="1" x14ac:dyDescent="0.25">
      <c r="A581" s="14" t="str">
        <f>HYPERLINK("https://gerandofalcoes.my.salesforce.com/0014P00003AN2h7QAD", "0014P00003AN2h7QAD")</f>
        <v>0014P00003AN2h7QAD</v>
      </c>
      <c r="B581" s="2" t="s">
        <v>2988</v>
      </c>
      <c r="C581" s="2" t="s">
        <v>1684</v>
      </c>
      <c r="D581" s="2" t="s">
        <v>2</v>
      </c>
      <c r="E581" s="2"/>
      <c r="F581" s="2">
        <v>0</v>
      </c>
      <c r="G581" s="2">
        <v>0</v>
      </c>
      <c r="H581" s="2">
        <v>0</v>
      </c>
      <c r="I581" s="2">
        <v>130</v>
      </c>
      <c r="J581" s="2" t="s">
        <v>1779</v>
      </c>
      <c r="K581" s="2">
        <v>10</v>
      </c>
      <c r="L581" s="2">
        <v>0</v>
      </c>
      <c r="M581" s="2">
        <v>0</v>
      </c>
      <c r="N581" s="2">
        <v>0</v>
      </c>
      <c r="O581" s="2">
        <v>0</v>
      </c>
      <c r="P581" s="2">
        <v>10</v>
      </c>
      <c r="Q581" s="2" t="s">
        <v>2989</v>
      </c>
      <c r="R581" s="2" t="s">
        <v>602</v>
      </c>
      <c r="S581" s="4">
        <v>44837</v>
      </c>
    </row>
    <row r="582" spans="1:19" ht="12.5" hidden="1" x14ac:dyDescent="0.25">
      <c r="A582" s="14" t="str">
        <f>HYPERLINK("https://gerandofalcoes.my.salesforce.com/0014X00002VKCukQAH", "0014X00002VKCukQAH")</f>
        <v>0014X00002VKCukQAH</v>
      </c>
      <c r="B582" s="2" t="s">
        <v>2990</v>
      </c>
      <c r="C582" s="2" t="s">
        <v>1800</v>
      </c>
      <c r="D582" s="2" t="s">
        <v>2</v>
      </c>
      <c r="E582" s="2"/>
      <c r="F582" s="2">
        <v>8</v>
      </c>
      <c r="G582" s="2">
        <v>2</v>
      </c>
      <c r="H582" s="2">
        <v>0</v>
      </c>
      <c r="I582" s="2">
        <v>50</v>
      </c>
      <c r="J582" s="2" t="s">
        <v>1779</v>
      </c>
      <c r="K582" s="2">
        <v>21</v>
      </c>
      <c r="L582" s="2">
        <v>0</v>
      </c>
      <c r="M582" s="2">
        <v>10</v>
      </c>
      <c r="N582" s="2">
        <v>6</v>
      </c>
      <c r="O582" s="2">
        <v>0</v>
      </c>
      <c r="P582" s="2">
        <v>5</v>
      </c>
      <c r="Q582" s="2" t="s">
        <v>2991</v>
      </c>
      <c r="R582" s="2" t="s">
        <v>2991</v>
      </c>
      <c r="S582" s="4">
        <v>44837</v>
      </c>
    </row>
    <row r="583" spans="1:19" ht="12.5" hidden="1" x14ac:dyDescent="0.25">
      <c r="A583" s="14" t="str">
        <f>HYPERLINK("https://gerandofalcoes.my.salesforce.com/0014P00003SGWQIQA5", "0014P00003SGWQIQA5")</f>
        <v>0014P00003SGWQIQA5</v>
      </c>
      <c r="B583" s="2" t="s">
        <v>2992</v>
      </c>
      <c r="C583" s="2" t="s">
        <v>1684</v>
      </c>
      <c r="D583" s="2" t="s">
        <v>2</v>
      </c>
      <c r="E583" s="2"/>
      <c r="F583" s="2">
        <v>0</v>
      </c>
      <c r="G583" s="2">
        <v>2</v>
      </c>
      <c r="H583" s="2">
        <v>20000</v>
      </c>
      <c r="I583" s="2">
        <v>0</v>
      </c>
      <c r="J583" s="2" t="s">
        <v>1779</v>
      </c>
      <c r="K583" s="2">
        <v>11</v>
      </c>
      <c r="L583" s="2">
        <v>0</v>
      </c>
      <c r="M583" s="2">
        <v>0</v>
      </c>
      <c r="N583" s="2">
        <v>6</v>
      </c>
      <c r="O583" s="2">
        <v>5</v>
      </c>
      <c r="P583" s="2">
        <v>0</v>
      </c>
      <c r="Q583" s="2" t="s">
        <v>2993</v>
      </c>
      <c r="R583" s="2" t="s">
        <v>2994</v>
      </c>
      <c r="S583" s="4">
        <v>44837</v>
      </c>
    </row>
    <row r="584" spans="1:19" ht="12.5" hidden="1" x14ac:dyDescent="0.25">
      <c r="A584" s="14" t="str">
        <f>HYPERLINK("https://gerandofalcoes.my.salesforce.com/0014X00002UGscXQAT", "0014X00002UGscXQAT")</f>
        <v>0014X00002UGscXQAT</v>
      </c>
      <c r="B584" s="2" t="s">
        <v>2995</v>
      </c>
      <c r="C584" s="2" t="s">
        <v>1800</v>
      </c>
      <c r="D584" s="2" t="s">
        <v>2</v>
      </c>
      <c r="E584" s="2"/>
      <c r="F584" s="2">
        <v>2</v>
      </c>
      <c r="G584" s="2">
        <v>2</v>
      </c>
      <c r="H584" s="2">
        <v>1000</v>
      </c>
      <c r="I584" s="2">
        <v>0</v>
      </c>
      <c r="J584" s="2" t="s">
        <v>1779</v>
      </c>
      <c r="K584" s="2">
        <v>16</v>
      </c>
      <c r="L584" s="2">
        <v>0</v>
      </c>
      <c r="M584" s="2">
        <v>5</v>
      </c>
      <c r="N584" s="2">
        <v>6</v>
      </c>
      <c r="O584" s="2">
        <v>5</v>
      </c>
      <c r="P584" s="2">
        <v>0</v>
      </c>
      <c r="Q584" s="2" t="s">
        <v>2996</v>
      </c>
      <c r="R584" s="2" t="s">
        <v>2997</v>
      </c>
      <c r="S584" s="4">
        <v>44837</v>
      </c>
    </row>
    <row r="585" spans="1:19" ht="12.5" hidden="1" x14ac:dyDescent="0.25">
      <c r="A585" s="14" t="str">
        <f>HYPERLINK("https://gerandofalcoes.my.salesforce.com/0014P00003SGWPNQA5", "0014P00003SGWPNQA5")</f>
        <v>0014P00003SGWPNQA5</v>
      </c>
      <c r="B585" s="2" t="s">
        <v>2998</v>
      </c>
      <c r="C585" s="2" t="s">
        <v>1684</v>
      </c>
      <c r="D585" s="2" t="s">
        <v>2</v>
      </c>
      <c r="E585" s="2"/>
      <c r="F585" s="2">
        <v>0</v>
      </c>
      <c r="G585" s="2">
        <v>1</v>
      </c>
      <c r="H585" s="2">
        <v>6000</v>
      </c>
      <c r="I585" s="2">
        <v>0</v>
      </c>
      <c r="J585" s="2" t="s">
        <v>1779</v>
      </c>
      <c r="K585" s="2">
        <v>9</v>
      </c>
      <c r="L585" s="2">
        <v>0</v>
      </c>
      <c r="M585" s="2">
        <v>0</v>
      </c>
      <c r="N585" s="2">
        <v>4</v>
      </c>
      <c r="O585" s="2">
        <v>5</v>
      </c>
      <c r="P585" s="2">
        <v>0</v>
      </c>
      <c r="Q585" s="2" t="s">
        <v>359</v>
      </c>
      <c r="R585" s="2" t="s">
        <v>359</v>
      </c>
      <c r="S585" s="4">
        <v>44837</v>
      </c>
    </row>
    <row r="586" spans="1:19" ht="12.5" hidden="1" x14ac:dyDescent="0.25">
      <c r="A586" s="14" t="str">
        <f>HYPERLINK("https://gerandofalcoes.my.salesforce.com/0014P00003SGWPwQAP", "0014P00003SGWPwQAP")</f>
        <v>0014P00003SGWPwQAP</v>
      </c>
      <c r="B586" s="2" t="s">
        <v>2999</v>
      </c>
      <c r="C586" s="2" t="s">
        <v>1684</v>
      </c>
      <c r="D586" s="2" t="s">
        <v>2</v>
      </c>
      <c r="E586" s="2"/>
      <c r="F586" s="2">
        <v>0</v>
      </c>
      <c r="G586" s="2">
        <v>1</v>
      </c>
      <c r="H586" s="2">
        <v>0</v>
      </c>
      <c r="I586" s="2">
        <v>0</v>
      </c>
      <c r="J586" s="2" t="s">
        <v>1779</v>
      </c>
      <c r="K586" s="2">
        <v>4</v>
      </c>
      <c r="L586" s="2">
        <v>0</v>
      </c>
      <c r="M586" s="2">
        <v>0</v>
      </c>
      <c r="N586" s="2">
        <v>4</v>
      </c>
      <c r="O586" s="2">
        <v>0</v>
      </c>
      <c r="P586" s="2">
        <v>0</v>
      </c>
      <c r="Q586" s="2" t="s">
        <v>193</v>
      </c>
      <c r="R586" s="2" t="s">
        <v>1095</v>
      </c>
      <c r="S586" s="4">
        <v>44837</v>
      </c>
    </row>
    <row r="587" spans="1:19" ht="12.5" hidden="1" x14ac:dyDescent="0.25">
      <c r="A587" s="14" t="str">
        <f>HYPERLINK("https://gerandofalcoes.my.salesforce.com/0014P00003YSp7jQAD", "0014P00003YSp7jQAD")</f>
        <v>0014P00003YSp7jQAD</v>
      </c>
      <c r="B587" s="2" t="s">
        <v>3000</v>
      </c>
      <c r="C587" s="2" t="s">
        <v>1684</v>
      </c>
      <c r="D587" s="2" t="s">
        <v>2</v>
      </c>
      <c r="E587" s="2">
        <v>41</v>
      </c>
      <c r="F587" s="2">
        <v>12</v>
      </c>
      <c r="G587" s="2">
        <v>3</v>
      </c>
      <c r="H587" s="2">
        <v>200000</v>
      </c>
      <c r="I587" s="2">
        <v>0</v>
      </c>
      <c r="J587" s="2" t="s">
        <v>1671</v>
      </c>
      <c r="K587" s="2">
        <v>50</v>
      </c>
      <c r="L587" s="2">
        <v>15</v>
      </c>
      <c r="M587" s="2">
        <v>12</v>
      </c>
      <c r="N587" s="2">
        <v>8</v>
      </c>
      <c r="O587" s="2">
        <v>15</v>
      </c>
      <c r="P587" s="2">
        <v>0</v>
      </c>
      <c r="Q587" s="2" t="s">
        <v>3001</v>
      </c>
      <c r="R587" s="2"/>
      <c r="S587" s="4">
        <v>44911</v>
      </c>
    </row>
    <row r="588" spans="1:19" ht="12.5" hidden="1" x14ac:dyDescent="0.25">
      <c r="A588" s="14" t="str">
        <f>HYPERLINK("https://gerandofalcoes.my.salesforce.com/0014X00002Yggr1QAB", "0014X00002Yggr1QAB")</f>
        <v>0014X00002Yggr1QAB</v>
      </c>
      <c r="B588" s="2" t="s">
        <v>3002</v>
      </c>
      <c r="C588" s="2" t="s">
        <v>423</v>
      </c>
      <c r="D588" s="2" t="s">
        <v>2</v>
      </c>
      <c r="E588" s="2">
        <v>16.079999999999998</v>
      </c>
      <c r="F588" s="2">
        <v>24</v>
      </c>
      <c r="G588" s="2">
        <v>5</v>
      </c>
      <c r="H588" s="2">
        <v>35000</v>
      </c>
      <c r="I588" s="2">
        <v>85</v>
      </c>
      <c r="J588" s="2" t="s">
        <v>1671</v>
      </c>
      <c r="K588" s="2">
        <v>52</v>
      </c>
      <c r="L588" s="2">
        <v>10</v>
      </c>
      <c r="M588" s="2">
        <v>12</v>
      </c>
      <c r="N588" s="2">
        <v>10</v>
      </c>
      <c r="O588" s="2">
        <v>10</v>
      </c>
      <c r="P588" s="2">
        <v>10</v>
      </c>
      <c r="Q588" s="2" t="s">
        <v>3003</v>
      </c>
      <c r="R588" s="2" t="s">
        <v>3004</v>
      </c>
      <c r="S588" s="4">
        <v>44944</v>
      </c>
    </row>
    <row r="589" spans="1:19" ht="12.5" hidden="1" x14ac:dyDescent="0.25">
      <c r="A589" s="14" t="str">
        <f>HYPERLINK("https://gerandofalcoes.my.salesforce.com/0014X00002YggmgQAB", "0014X00002YggmgQAB")</f>
        <v>0014X00002YggmgQAB</v>
      </c>
      <c r="B589" s="2" t="s">
        <v>3005</v>
      </c>
      <c r="C589" s="2" t="s">
        <v>1684</v>
      </c>
      <c r="D589" s="2" t="s">
        <v>2</v>
      </c>
      <c r="E589" s="2">
        <v>11.72</v>
      </c>
      <c r="F589" s="2">
        <v>0</v>
      </c>
      <c r="G589" s="2">
        <v>4</v>
      </c>
      <c r="H589" s="2">
        <v>600</v>
      </c>
      <c r="I589" s="2">
        <v>150</v>
      </c>
      <c r="J589" s="2" t="s">
        <v>1779</v>
      </c>
      <c r="K589" s="2">
        <v>37</v>
      </c>
      <c r="L589" s="2">
        <v>10</v>
      </c>
      <c r="M589" s="2">
        <v>0</v>
      </c>
      <c r="N589" s="2">
        <v>10</v>
      </c>
      <c r="O589" s="2">
        <v>5</v>
      </c>
      <c r="P589" s="2">
        <v>12</v>
      </c>
      <c r="Q589" s="2" t="s">
        <v>2987</v>
      </c>
      <c r="R589" s="2" t="s">
        <v>2987</v>
      </c>
      <c r="S589" s="4">
        <v>44944</v>
      </c>
    </row>
    <row r="590" spans="1:19" ht="12.5" hidden="1" x14ac:dyDescent="0.25">
      <c r="A590" s="14" t="str">
        <f>HYPERLINK("https://gerandofalcoes.my.salesforce.com/0014X00002YggkfQAB", "0014X00002YggkfQAB")</f>
        <v>0014X00002YggkfQAB</v>
      </c>
      <c r="B590" s="2" t="s">
        <v>3006</v>
      </c>
      <c r="C590" s="2" t="s">
        <v>423</v>
      </c>
      <c r="D590" s="2" t="s">
        <v>2</v>
      </c>
      <c r="E590" s="2"/>
      <c r="F590" s="2">
        <v>8</v>
      </c>
      <c r="G590" s="2">
        <v>2</v>
      </c>
      <c r="H590" s="2">
        <v>700</v>
      </c>
      <c r="I590" s="2">
        <v>400</v>
      </c>
      <c r="J590" s="2" t="s">
        <v>1779</v>
      </c>
      <c r="K590" s="2">
        <v>36</v>
      </c>
      <c r="L590" s="2">
        <v>0</v>
      </c>
      <c r="M590" s="2">
        <v>10</v>
      </c>
      <c r="N590" s="2">
        <v>6</v>
      </c>
      <c r="O590" s="2">
        <v>5</v>
      </c>
      <c r="P590" s="2">
        <v>15</v>
      </c>
      <c r="Q590" s="2" t="s">
        <v>3007</v>
      </c>
      <c r="R590" s="2" t="s">
        <v>3007</v>
      </c>
      <c r="S590" s="4">
        <v>44944</v>
      </c>
    </row>
    <row r="591" spans="1:19" ht="12.5" hidden="1" x14ac:dyDescent="0.25">
      <c r="A591" s="14" t="str">
        <f>HYPERLINK("https://gerandofalcoes.my.salesforce.com/0014X00002YgggEQAR", "0014X00002YgggEQAR")</f>
        <v>0014X00002YgggEQAR</v>
      </c>
      <c r="B591" s="2" t="s">
        <v>3008</v>
      </c>
      <c r="C591" s="2" t="s">
        <v>423</v>
      </c>
      <c r="D591" s="2" t="s">
        <v>2</v>
      </c>
      <c r="E591" s="2"/>
      <c r="F591" s="2">
        <v>112</v>
      </c>
      <c r="G591" s="2">
        <v>3</v>
      </c>
      <c r="H591" s="2">
        <v>6</v>
      </c>
      <c r="I591" s="2">
        <v>50</v>
      </c>
      <c r="J591" s="2" t="s">
        <v>1779</v>
      </c>
      <c r="K591" s="2">
        <v>33</v>
      </c>
      <c r="L591" s="2">
        <v>0</v>
      </c>
      <c r="M591" s="2">
        <v>15</v>
      </c>
      <c r="N591" s="2">
        <v>8</v>
      </c>
      <c r="O591" s="2">
        <v>5</v>
      </c>
      <c r="P591" s="2">
        <v>5</v>
      </c>
      <c r="Q591" s="2" t="s">
        <v>3009</v>
      </c>
      <c r="R591" s="2" t="s">
        <v>3010</v>
      </c>
      <c r="S591" s="4">
        <v>44944</v>
      </c>
    </row>
    <row r="592" spans="1:19" ht="12.5" hidden="1" x14ac:dyDescent="0.25">
      <c r="A592" s="14" t="str">
        <f>HYPERLINK("https://gerandofalcoes.my.salesforce.com/0014X00002YggjJQAR", "0014X00002YggjJQAR")</f>
        <v>0014X00002YggjJQAR</v>
      </c>
      <c r="B592" s="2" t="s">
        <v>3011</v>
      </c>
      <c r="C592" s="2" t="s">
        <v>423</v>
      </c>
      <c r="D592" s="2" t="s">
        <v>2</v>
      </c>
      <c r="E592" s="2">
        <v>37.549999999999997</v>
      </c>
      <c r="F592" s="2">
        <v>24</v>
      </c>
      <c r="G592" s="2">
        <v>4</v>
      </c>
      <c r="H592" s="2">
        <v>89800000</v>
      </c>
      <c r="I592" s="2">
        <v>250</v>
      </c>
      <c r="J592" s="2" t="s">
        <v>1650</v>
      </c>
      <c r="K592" s="2">
        <v>74</v>
      </c>
      <c r="L592" s="2">
        <v>15</v>
      </c>
      <c r="M592" s="2">
        <v>12</v>
      </c>
      <c r="N592" s="2">
        <v>10</v>
      </c>
      <c r="O592" s="2">
        <v>25</v>
      </c>
      <c r="P592" s="2">
        <v>12</v>
      </c>
      <c r="Q592" s="2" t="s">
        <v>3012</v>
      </c>
      <c r="R592" s="2" t="s">
        <v>3012</v>
      </c>
      <c r="S592" s="4">
        <v>44945</v>
      </c>
    </row>
    <row r="593" spans="1:19" ht="12.5" hidden="1" x14ac:dyDescent="0.25">
      <c r="A593" s="14" t="str">
        <f>HYPERLINK("https://gerandofalcoes.my.salesforce.com/0014X00002YggqVQAR", "0014X00002YggqVQAR")</f>
        <v>0014X00002YggqVQAR</v>
      </c>
      <c r="B593" s="2" t="s">
        <v>3013</v>
      </c>
      <c r="C593" s="2" t="s">
        <v>423</v>
      </c>
      <c r="D593" s="2" t="s">
        <v>2</v>
      </c>
      <c r="E593" s="2">
        <v>32.76</v>
      </c>
      <c r="F593" s="2">
        <v>1</v>
      </c>
      <c r="G593" s="2">
        <v>3</v>
      </c>
      <c r="H593" s="2">
        <v>12000</v>
      </c>
      <c r="I593" s="2">
        <v>40</v>
      </c>
      <c r="J593" s="2" t="s">
        <v>1779</v>
      </c>
      <c r="K593" s="2">
        <v>38</v>
      </c>
      <c r="L593" s="2">
        <v>15</v>
      </c>
      <c r="M593" s="2">
        <v>5</v>
      </c>
      <c r="N593" s="2">
        <v>8</v>
      </c>
      <c r="O593" s="2">
        <v>5</v>
      </c>
      <c r="P593" s="2">
        <v>5</v>
      </c>
      <c r="Q593" s="2" t="s">
        <v>3014</v>
      </c>
      <c r="R593" s="2" t="s">
        <v>3015</v>
      </c>
      <c r="S593" s="4">
        <v>44945</v>
      </c>
    </row>
    <row r="594" spans="1:19" ht="12.5" hidden="1" x14ac:dyDescent="0.25">
      <c r="A594" s="14" t="str">
        <f>HYPERLINK("https://gerandofalcoes.my.salesforce.com/0014X00002YggmHQAR", "0014X00002YggmHQAR")</f>
        <v>0014X00002YggmHQAR</v>
      </c>
      <c r="B594" s="2" t="s">
        <v>3016</v>
      </c>
      <c r="C594" s="2" t="s">
        <v>423</v>
      </c>
      <c r="D594" s="2" t="s">
        <v>2</v>
      </c>
      <c r="E594" s="2">
        <v>27.03</v>
      </c>
      <c r="F594" s="2">
        <v>0</v>
      </c>
      <c r="G594" s="2">
        <v>5</v>
      </c>
      <c r="H594" s="2">
        <v>280524</v>
      </c>
      <c r="I594" s="2">
        <v>100</v>
      </c>
      <c r="J594" s="2" t="s">
        <v>1671</v>
      </c>
      <c r="K594" s="2">
        <v>50</v>
      </c>
      <c r="L594" s="2">
        <v>15</v>
      </c>
      <c r="M594" s="2">
        <v>0</v>
      </c>
      <c r="N594" s="2">
        <v>10</v>
      </c>
      <c r="O594" s="2">
        <v>15</v>
      </c>
      <c r="P594" s="2">
        <v>10</v>
      </c>
      <c r="Q594" s="2" t="s">
        <v>3017</v>
      </c>
      <c r="R594" s="2" t="s">
        <v>3018</v>
      </c>
      <c r="S594" s="4">
        <v>44945</v>
      </c>
    </row>
    <row r="595" spans="1:19" ht="12.5" hidden="1" x14ac:dyDescent="0.25">
      <c r="A595" s="14" t="str">
        <f>HYPERLINK("https://gerandofalcoes.my.salesforce.com/0014X00002YggoKQAR", "0014X00002YggoKQAR")</f>
        <v>0014X00002YggoKQAR</v>
      </c>
      <c r="B595" s="2" t="s">
        <v>3019</v>
      </c>
      <c r="C595" s="2" t="s">
        <v>423</v>
      </c>
      <c r="D595" s="2" t="s">
        <v>2</v>
      </c>
      <c r="E595" s="2">
        <v>10.95</v>
      </c>
      <c r="F595" s="2">
        <v>1</v>
      </c>
      <c r="G595" s="2">
        <v>2</v>
      </c>
      <c r="H595" s="2">
        <v>7000</v>
      </c>
      <c r="I595" s="2">
        <v>0</v>
      </c>
      <c r="J595" s="2" t="s">
        <v>1779</v>
      </c>
      <c r="K595" s="2">
        <v>26</v>
      </c>
      <c r="L595" s="2">
        <v>10</v>
      </c>
      <c r="M595" s="2">
        <v>5</v>
      </c>
      <c r="N595" s="2">
        <v>6</v>
      </c>
      <c r="O595" s="2">
        <v>5</v>
      </c>
      <c r="P595" s="2">
        <v>0</v>
      </c>
      <c r="Q595" s="2" t="s">
        <v>3020</v>
      </c>
      <c r="R595" s="2" t="s">
        <v>3020</v>
      </c>
      <c r="S595" s="4">
        <v>44945</v>
      </c>
    </row>
    <row r="596" spans="1:19" ht="12.5" hidden="1" x14ac:dyDescent="0.25">
      <c r="A596" s="14" t="str">
        <f>HYPERLINK("https://gerandofalcoes.my.salesforce.com/0014X00002YggqSQAR", "0014X00002YggqSQAR")</f>
        <v>0014X00002YggqSQAR</v>
      </c>
      <c r="B596" s="2" t="s">
        <v>3021</v>
      </c>
      <c r="C596" s="2" t="s">
        <v>423</v>
      </c>
      <c r="D596" s="2" t="s">
        <v>2</v>
      </c>
      <c r="E596" s="2">
        <v>10.71</v>
      </c>
      <c r="F596" s="2">
        <v>0</v>
      </c>
      <c r="G596" s="2">
        <v>3</v>
      </c>
      <c r="H596" s="2">
        <v>7000</v>
      </c>
      <c r="I596" s="2">
        <v>100</v>
      </c>
      <c r="J596" s="2" t="s">
        <v>1779</v>
      </c>
      <c r="K596" s="2">
        <v>33</v>
      </c>
      <c r="L596" s="2">
        <v>10</v>
      </c>
      <c r="M596" s="2">
        <v>0</v>
      </c>
      <c r="N596" s="2">
        <v>8</v>
      </c>
      <c r="O596" s="2">
        <v>5</v>
      </c>
      <c r="P596" s="2">
        <v>10</v>
      </c>
      <c r="Q596" s="2" t="s">
        <v>3022</v>
      </c>
      <c r="R596" s="2" t="s">
        <v>3022</v>
      </c>
      <c r="S596" s="4">
        <v>44945</v>
      </c>
    </row>
    <row r="597" spans="1:19" ht="12.5" hidden="1" x14ac:dyDescent="0.25">
      <c r="A597" s="14" t="str">
        <f>HYPERLINK("https://gerandofalcoes.my.salesforce.com/0014X00002YggkDQAR", "0014X00002YggkDQAR")</f>
        <v>0014X00002YggkDQAR</v>
      </c>
      <c r="B597" s="2" t="s">
        <v>3023</v>
      </c>
      <c r="C597" s="2" t="s">
        <v>423</v>
      </c>
      <c r="D597" s="2" t="s">
        <v>2</v>
      </c>
      <c r="E597" s="2">
        <v>9.2100000000000009</v>
      </c>
      <c r="F597" s="2">
        <v>0</v>
      </c>
      <c r="G597" s="2">
        <v>4</v>
      </c>
      <c r="H597" s="2">
        <v>78654</v>
      </c>
      <c r="I597" s="2">
        <v>0</v>
      </c>
      <c r="J597" s="2" t="s">
        <v>1779</v>
      </c>
      <c r="K597" s="2">
        <v>30</v>
      </c>
      <c r="L597" s="2">
        <v>10</v>
      </c>
      <c r="M597" s="2">
        <v>0</v>
      </c>
      <c r="N597" s="2">
        <v>10</v>
      </c>
      <c r="O597" s="2">
        <v>10</v>
      </c>
      <c r="P597" s="2">
        <v>0</v>
      </c>
      <c r="Q597" s="2" t="s">
        <v>3024</v>
      </c>
      <c r="R597" s="2" t="s">
        <v>3025</v>
      </c>
      <c r="S597" s="4">
        <v>44945</v>
      </c>
    </row>
    <row r="598" spans="1:19" ht="12.5" hidden="1" x14ac:dyDescent="0.25">
      <c r="A598" s="14" t="str">
        <f>HYPERLINK("https://gerandofalcoes.my.salesforce.com/0014X00002YggibQAB", "0014X00002YggibQAB")</f>
        <v>0014X00002YggibQAB</v>
      </c>
      <c r="B598" s="2" t="s">
        <v>3026</v>
      </c>
      <c r="C598" s="2" t="s">
        <v>423</v>
      </c>
      <c r="D598" s="2" t="s">
        <v>2</v>
      </c>
      <c r="E598" s="2">
        <v>4.3899999999999997</v>
      </c>
      <c r="F598" s="2">
        <v>0</v>
      </c>
      <c r="G598" s="2">
        <v>6</v>
      </c>
      <c r="H598" s="2">
        <v>8000</v>
      </c>
      <c r="I598" s="2">
        <v>16</v>
      </c>
      <c r="J598" s="2" t="s">
        <v>1779</v>
      </c>
      <c r="K598" s="2">
        <v>30</v>
      </c>
      <c r="L598" s="2">
        <v>10</v>
      </c>
      <c r="M598" s="2">
        <v>0</v>
      </c>
      <c r="N598" s="2">
        <v>10</v>
      </c>
      <c r="O598" s="2">
        <v>5</v>
      </c>
      <c r="P598" s="2">
        <v>5</v>
      </c>
      <c r="Q598" s="2" t="s">
        <v>3027</v>
      </c>
      <c r="R598" s="2" t="s">
        <v>3027</v>
      </c>
      <c r="S598" s="4">
        <v>44945</v>
      </c>
    </row>
    <row r="599" spans="1:19" ht="12.5" hidden="1" x14ac:dyDescent="0.25">
      <c r="A599" s="14" t="str">
        <f>HYPERLINK("https://gerandofalcoes.my.salesforce.com/0014X00002YggoGQAR", "0014X00002YggoGQAR")</f>
        <v>0014X00002YggoGQAR</v>
      </c>
      <c r="B599" s="2" t="s">
        <v>3028</v>
      </c>
      <c r="C599" s="2" t="s">
        <v>423</v>
      </c>
      <c r="D599" s="2" t="s">
        <v>2</v>
      </c>
      <c r="E599" s="2">
        <v>3.1</v>
      </c>
      <c r="F599" s="2">
        <v>12</v>
      </c>
      <c r="G599" s="2">
        <v>3</v>
      </c>
      <c r="H599" s="2">
        <v>3000</v>
      </c>
      <c r="I599" s="2">
        <v>40</v>
      </c>
      <c r="J599" s="2" t="s">
        <v>1671</v>
      </c>
      <c r="K599" s="2">
        <v>40</v>
      </c>
      <c r="L599" s="2">
        <v>10</v>
      </c>
      <c r="M599" s="2">
        <v>12</v>
      </c>
      <c r="N599" s="2">
        <v>8</v>
      </c>
      <c r="O599" s="2">
        <v>5</v>
      </c>
      <c r="P599" s="2">
        <v>5</v>
      </c>
      <c r="Q599" s="2" t="s">
        <v>3029</v>
      </c>
      <c r="R599" s="2" t="s">
        <v>3030</v>
      </c>
      <c r="S599" s="4">
        <v>44945</v>
      </c>
    </row>
    <row r="600" spans="1:19" ht="12.5" hidden="1" x14ac:dyDescent="0.25">
      <c r="A600" s="14" t="str">
        <f>HYPERLINK("https://gerandofalcoes.my.salesforce.com/0014X00002YggiuQAB", "0014X00002YggiuQAB")</f>
        <v>0014X00002YggiuQAB</v>
      </c>
      <c r="B600" s="2" t="s">
        <v>3031</v>
      </c>
      <c r="C600" s="2" t="s">
        <v>423</v>
      </c>
      <c r="D600" s="2" t="s">
        <v>2</v>
      </c>
      <c r="E600" s="2">
        <v>2.86</v>
      </c>
      <c r="F600" s="2">
        <v>0</v>
      </c>
      <c r="G600" s="2">
        <v>2</v>
      </c>
      <c r="H600" s="2">
        <v>7000</v>
      </c>
      <c r="I600" s="2">
        <v>100</v>
      </c>
      <c r="J600" s="2" t="s">
        <v>1779</v>
      </c>
      <c r="K600" s="2">
        <v>31</v>
      </c>
      <c r="L600" s="2">
        <v>10</v>
      </c>
      <c r="M600" s="2">
        <v>0</v>
      </c>
      <c r="N600" s="2">
        <v>6</v>
      </c>
      <c r="O600" s="2">
        <v>5</v>
      </c>
      <c r="P600" s="2">
        <v>10</v>
      </c>
      <c r="Q600" s="2" t="s">
        <v>3032</v>
      </c>
      <c r="R600" s="2" t="s">
        <v>3032</v>
      </c>
      <c r="S600" s="4">
        <v>44945</v>
      </c>
    </row>
    <row r="601" spans="1:19" ht="12.5" hidden="1" x14ac:dyDescent="0.25">
      <c r="A601" s="14" t="str">
        <f>HYPERLINK("https://gerandofalcoes.my.salesforce.com/0014X00002YggiPQAR", "0014X00002YggiPQAR")</f>
        <v>0014X00002YggiPQAR</v>
      </c>
      <c r="B601" s="2" t="s">
        <v>3033</v>
      </c>
      <c r="C601" s="2" t="s">
        <v>1684</v>
      </c>
      <c r="D601" s="2" t="s">
        <v>2</v>
      </c>
      <c r="E601" s="2">
        <v>0</v>
      </c>
      <c r="F601" s="2">
        <v>1</v>
      </c>
      <c r="G601" s="2">
        <v>2</v>
      </c>
      <c r="H601" s="2">
        <v>600</v>
      </c>
      <c r="I601" s="2">
        <v>0</v>
      </c>
      <c r="J601" s="2" t="s">
        <v>1779</v>
      </c>
      <c r="K601" s="2">
        <v>16</v>
      </c>
      <c r="L601" s="2">
        <v>0</v>
      </c>
      <c r="M601" s="2">
        <v>5</v>
      </c>
      <c r="N601" s="2">
        <v>6</v>
      </c>
      <c r="O601" s="2">
        <v>5</v>
      </c>
      <c r="P601" s="2">
        <v>0</v>
      </c>
      <c r="Q601" s="2" t="s">
        <v>3034</v>
      </c>
      <c r="R601" s="2" t="s">
        <v>3034</v>
      </c>
      <c r="S601" s="4">
        <v>44945</v>
      </c>
    </row>
    <row r="602" spans="1:19" ht="12.5" hidden="1" x14ac:dyDescent="0.25">
      <c r="A602" s="14" t="str">
        <f>HYPERLINK("https://gerandofalcoes.my.salesforce.com/0014X00002YggkqQAB", "0014X00002YggkqQAB")</f>
        <v>0014X00002YggkqQAB</v>
      </c>
      <c r="B602" s="2" t="s">
        <v>3035</v>
      </c>
      <c r="C602" s="2" t="s">
        <v>423</v>
      </c>
      <c r="D602" s="2" t="s">
        <v>2</v>
      </c>
      <c r="E602" s="2"/>
      <c r="F602" s="2">
        <v>0</v>
      </c>
      <c r="G602" s="2">
        <v>3</v>
      </c>
      <c r="H602" s="2">
        <v>11000</v>
      </c>
      <c r="I602" s="2">
        <v>530</v>
      </c>
      <c r="J602" s="2" t="s">
        <v>1779</v>
      </c>
      <c r="K602" s="2">
        <v>33</v>
      </c>
      <c r="L602" s="2">
        <v>0</v>
      </c>
      <c r="M602" s="2">
        <v>0</v>
      </c>
      <c r="N602" s="2">
        <v>8</v>
      </c>
      <c r="O602" s="2">
        <v>5</v>
      </c>
      <c r="P602" s="2">
        <v>20</v>
      </c>
      <c r="Q602" s="2" t="s">
        <v>3036</v>
      </c>
      <c r="R602" s="2" t="s">
        <v>3037</v>
      </c>
      <c r="S602" s="4">
        <v>44945</v>
      </c>
    </row>
    <row r="603" spans="1:19" ht="12.5" hidden="1" x14ac:dyDescent="0.25">
      <c r="A603" s="14" t="str">
        <f>HYPERLINK("https://gerandofalcoes.my.salesforce.com/0014X00002YggpbQAB", "0014X00002YggpbQAB")</f>
        <v>0014X00002YggpbQAB</v>
      </c>
      <c r="B603" s="2" t="s">
        <v>3038</v>
      </c>
      <c r="C603" s="2" t="s">
        <v>423</v>
      </c>
      <c r="D603" s="2" t="s">
        <v>2</v>
      </c>
      <c r="E603" s="2"/>
      <c r="F603" s="2">
        <v>10</v>
      </c>
      <c r="G603" s="2">
        <v>2</v>
      </c>
      <c r="H603" s="2">
        <v>15000</v>
      </c>
      <c r="I603" s="2">
        <v>240</v>
      </c>
      <c r="J603" s="2" t="s">
        <v>1779</v>
      </c>
      <c r="K603" s="2">
        <v>33</v>
      </c>
      <c r="L603" s="2">
        <v>0</v>
      </c>
      <c r="M603" s="2">
        <v>10</v>
      </c>
      <c r="N603" s="2">
        <v>6</v>
      </c>
      <c r="O603" s="2">
        <v>5</v>
      </c>
      <c r="P603" s="2">
        <v>12</v>
      </c>
      <c r="Q603" s="2" t="s">
        <v>3039</v>
      </c>
      <c r="R603" s="2" t="s">
        <v>3039</v>
      </c>
      <c r="S603" s="4">
        <v>44945</v>
      </c>
    </row>
    <row r="604" spans="1:19" ht="12.5" hidden="1" x14ac:dyDescent="0.25">
      <c r="A604" s="14" t="str">
        <f>HYPERLINK("https://gerandofalcoes.my.salesforce.com/0014X00002YggjrQAB", "0014X00002YggjrQAB")</f>
        <v>0014X00002YggjrQAB</v>
      </c>
      <c r="B604" s="2" t="s">
        <v>3040</v>
      </c>
      <c r="C604" s="2" t="s">
        <v>423</v>
      </c>
      <c r="D604" s="2" t="s">
        <v>2</v>
      </c>
      <c r="E604" s="2"/>
      <c r="F604" s="2">
        <v>0</v>
      </c>
      <c r="G604" s="2">
        <v>2</v>
      </c>
      <c r="H604" s="2">
        <v>86000</v>
      </c>
      <c r="I604" s="2">
        <v>170</v>
      </c>
      <c r="J604" s="2" t="s">
        <v>1779</v>
      </c>
      <c r="K604" s="2">
        <v>28</v>
      </c>
      <c r="L604" s="2">
        <v>0</v>
      </c>
      <c r="M604" s="2">
        <v>0</v>
      </c>
      <c r="N604" s="2">
        <v>6</v>
      </c>
      <c r="O604" s="2">
        <v>10</v>
      </c>
      <c r="P604" s="2">
        <v>12</v>
      </c>
      <c r="Q604" s="2" t="s">
        <v>3041</v>
      </c>
      <c r="R604" s="2" t="s">
        <v>3042</v>
      </c>
      <c r="S604" s="4">
        <v>44945</v>
      </c>
    </row>
    <row r="605" spans="1:19" ht="12.5" hidden="1" x14ac:dyDescent="0.25">
      <c r="A605" s="14" t="str">
        <f>HYPERLINK("https://gerandofalcoes.my.salesforce.com/0014X00002YggmKQAR", "0014X00002YggmKQAR")</f>
        <v>0014X00002YggmKQAR</v>
      </c>
      <c r="B605" s="2" t="s">
        <v>3043</v>
      </c>
      <c r="C605" s="2" t="s">
        <v>423</v>
      </c>
      <c r="D605" s="2" t="s">
        <v>2</v>
      </c>
      <c r="E605" s="2"/>
      <c r="F605" s="2">
        <v>0</v>
      </c>
      <c r="G605" s="2">
        <v>2</v>
      </c>
      <c r="H605" s="2">
        <v>10000</v>
      </c>
      <c r="I605" s="2">
        <v>0</v>
      </c>
      <c r="J605" s="2" t="s">
        <v>1779</v>
      </c>
      <c r="K605" s="2">
        <v>11</v>
      </c>
      <c r="L605" s="2">
        <v>0</v>
      </c>
      <c r="M605" s="2">
        <v>0</v>
      </c>
      <c r="N605" s="2">
        <v>6</v>
      </c>
      <c r="O605" s="2">
        <v>5</v>
      </c>
      <c r="P605" s="2">
        <v>0</v>
      </c>
      <c r="Q605" s="2" t="s">
        <v>3044</v>
      </c>
      <c r="R605" s="2" t="s">
        <v>3044</v>
      </c>
      <c r="S605" s="4">
        <v>44945</v>
      </c>
    </row>
    <row r="606" spans="1:19" ht="12.5" hidden="1" x14ac:dyDescent="0.25">
      <c r="A606" s="14" t="str">
        <f>HYPERLINK("https://gerandofalcoes.my.salesforce.com/0014X00002YggqMQAR", "0014X00002YggqMQAR")</f>
        <v>0014X00002YggqMQAR</v>
      </c>
      <c r="B606" s="2" t="s">
        <v>3045</v>
      </c>
      <c r="C606" s="2" t="s">
        <v>1684</v>
      </c>
      <c r="D606" s="2" t="s">
        <v>2</v>
      </c>
      <c r="E606" s="2"/>
      <c r="F606" s="2">
        <v>0</v>
      </c>
      <c r="G606" s="2">
        <v>2</v>
      </c>
      <c r="H606" s="2">
        <v>0</v>
      </c>
      <c r="I606" s="2">
        <v>0</v>
      </c>
      <c r="J606" s="2" t="s">
        <v>1779</v>
      </c>
      <c r="K606" s="2">
        <v>6</v>
      </c>
      <c r="L606" s="2">
        <v>0</v>
      </c>
      <c r="M606" s="2">
        <v>0</v>
      </c>
      <c r="N606" s="2">
        <v>6</v>
      </c>
      <c r="O606" s="2">
        <v>0</v>
      </c>
      <c r="P606" s="2">
        <v>0</v>
      </c>
      <c r="Q606" s="2" t="s">
        <v>3046</v>
      </c>
      <c r="R606" s="2" t="s">
        <v>3046</v>
      </c>
      <c r="S606" s="4">
        <v>44945</v>
      </c>
    </row>
    <row r="607" spans="1:19" ht="12.5" hidden="1" x14ac:dyDescent="0.25">
      <c r="A607" s="14" t="str">
        <f>HYPERLINK("https://gerandofalcoes.my.salesforce.com/0014X00002YggooQAB", "0014X00002YggooQAB")</f>
        <v>0014X00002YggooQAB</v>
      </c>
      <c r="B607" s="2" t="s">
        <v>3047</v>
      </c>
      <c r="C607" s="2" t="s">
        <v>423</v>
      </c>
      <c r="D607" s="2" t="s">
        <v>2</v>
      </c>
      <c r="E607" s="2">
        <v>11.06</v>
      </c>
      <c r="F607" s="2">
        <v>1</v>
      </c>
      <c r="G607" s="2">
        <v>3</v>
      </c>
      <c r="H607" s="2">
        <v>19000</v>
      </c>
      <c r="I607" s="2">
        <v>30</v>
      </c>
      <c r="J607" s="2" t="s">
        <v>1779</v>
      </c>
      <c r="K607" s="2">
        <v>33</v>
      </c>
      <c r="L607" s="2">
        <v>10</v>
      </c>
      <c r="M607" s="2">
        <v>5</v>
      </c>
      <c r="N607" s="2">
        <v>8</v>
      </c>
      <c r="O607" s="2">
        <v>5</v>
      </c>
      <c r="P607" s="2">
        <v>5</v>
      </c>
      <c r="Q607" s="2" t="s">
        <v>3048</v>
      </c>
      <c r="R607" s="2" t="s">
        <v>3049</v>
      </c>
      <c r="S607" s="4">
        <v>44946</v>
      </c>
    </row>
    <row r="608" spans="1:19" ht="12.5" hidden="1" x14ac:dyDescent="0.25">
      <c r="A608" s="14" t="str">
        <f>HYPERLINK("https://gerandofalcoes.my.salesforce.com/0014X00002Yggp5QAB", "0014X00002Yggp5QAB")</f>
        <v>0014X00002Yggp5QAB</v>
      </c>
      <c r="B608" s="2" t="s">
        <v>3050</v>
      </c>
      <c r="C608" s="2" t="s">
        <v>423</v>
      </c>
      <c r="D608" s="2" t="s">
        <v>2</v>
      </c>
      <c r="E608" s="2">
        <v>10.88</v>
      </c>
      <c r="F608" s="2">
        <v>0</v>
      </c>
      <c r="G608" s="2">
        <v>2</v>
      </c>
      <c r="H608" s="2">
        <v>0</v>
      </c>
      <c r="I608" s="2">
        <v>0</v>
      </c>
      <c r="J608" s="2" t="s">
        <v>1779</v>
      </c>
      <c r="K608" s="2">
        <v>16</v>
      </c>
      <c r="L608" s="2">
        <v>10</v>
      </c>
      <c r="M608" s="2">
        <v>0</v>
      </c>
      <c r="N608" s="2">
        <v>6</v>
      </c>
      <c r="O608" s="2">
        <v>0</v>
      </c>
      <c r="P608" s="2">
        <v>0</v>
      </c>
      <c r="Q608" s="2" t="s">
        <v>3051</v>
      </c>
      <c r="R608" s="2" t="s">
        <v>3052</v>
      </c>
      <c r="S608" s="4">
        <v>44946</v>
      </c>
    </row>
    <row r="609" spans="1:19" ht="12.5" hidden="1" x14ac:dyDescent="0.25">
      <c r="A609" s="14" t="str">
        <f>HYPERLINK("https://gerandofalcoes.my.salesforce.com/0014X00002YggpOQAR", "0014X00002YggpOQAR")</f>
        <v>0014X00002YggpOQAR</v>
      </c>
      <c r="B609" s="2" t="s">
        <v>3053</v>
      </c>
      <c r="C609" s="2" t="s">
        <v>423</v>
      </c>
      <c r="D609" s="2" t="s">
        <v>2</v>
      </c>
      <c r="E609" s="2">
        <v>8.25</v>
      </c>
      <c r="F609" s="2">
        <v>34</v>
      </c>
      <c r="G609" s="2">
        <v>2</v>
      </c>
      <c r="H609" s="2">
        <v>343</v>
      </c>
      <c r="I609" s="2">
        <v>64</v>
      </c>
      <c r="J609" s="2" t="s">
        <v>1671</v>
      </c>
      <c r="K609" s="2">
        <v>41</v>
      </c>
      <c r="L609" s="2">
        <v>10</v>
      </c>
      <c r="M609" s="2">
        <v>15</v>
      </c>
      <c r="N609" s="2">
        <v>6</v>
      </c>
      <c r="O609" s="2">
        <v>5</v>
      </c>
      <c r="P609" s="2">
        <v>5</v>
      </c>
      <c r="Q609" s="2" t="s">
        <v>3054</v>
      </c>
      <c r="R609" s="2" t="s">
        <v>3055</v>
      </c>
      <c r="S609" s="4">
        <v>44946</v>
      </c>
    </row>
    <row r="610" spans="1:19" ht="12.5" hidden="1" x14ac:dyDescent="0.25">
      <c r="A610" s="14" t="str">
        <f>HYPERLINK("https://gerandofalcoes.my.salesforce.com/0014X00002YggmXQAR", "0014X00002YggmXQAR")</f>
        <v>0014X00002YggmXQAR</v>
      </c>
      <c r="B610" s="2" t="s">
        <v>3056</v>
      </c>
      <c r="C610" s="2" t="s">
        <v>423</v>
      </c>
      <c r="D610" s="2" t="s">
        <v>2</v>
      </c>
      <c r="E610" s="2">
        <v>7.22</v>
      </c>
      <c r="F610" s="2">
        <v>0</v>
      </c>
      <c r="G610" s="2">
        <v>2</v>
      </c>
      <c r="H610" s="2">
        <v>1000</v>
      </c>
      <c r="I610" s="2">
        <v>73</v>
      </c>
      <c r="J610" s="2" t="s">
        <v>1779</v>
      </c>
      <c r="K610" s="2">
        <v>26</v>
      </c>
      <c r="L610" s="2">
        <v>10</v>
      </c>
      <c r="M610" s="2">
        <v>0</v>
      </c>
      <c r="N610" s="2">
        <v>6</v>
      </c>
      <c r="O610" s="2">
        <v>5</v>
      </c>
      <c r="P610" s="2">
        <v>5</v>
      </c>
      <c r="Q610" s="2" t="s">
        <v>3057</v>
      </c>
      <c r="R610" s="2" t="s">
        <v>3058</v>
      </c>
      <c r="S610" s="4">
        <v>44946</v>
      </c>
    </row>
    <row r="611" spans="1:19" ht="12.5" hidden="1" x14ac:dyDescent="0.25">
      <c r="A611" s="14" t="str">
        <f>HYPERLINK("https://gerandofalcoes.my.salesforce.com/0014X00002YggmSQAR", "0014X00002YggmSQAR")</f>
        <v>0014X00002YggmSQAR</v>
      </c>
      <c r="B611" s="2" t="s">
        <v>3059</v>
      </c>
      <c r="C611" s="2" t="s">
        <v>423</v>
      </c>
      <c r="D611" s="2" t="s">
        <v>2</v>
      </c>
      <c r="E611" s="2">
        <v>6.98</v>
      </c>
      <c r="F611" s="2">
        <v>4</v>
      </c>
      <c r="G611" s="2">
        <v>5</v>
      </c>
      <c r="H611" s="2">
        <v>12000</v>
      </c>
      <c r="I611" s="2">
        <v>0</v>
      </c>
      <c r="J611" s="2" t="s">
        <v>1779</v>
      </c>
      <c r="K611" s="2">
        <v>30</v>
      </c>
      <c r="L611" s="2">
        <v>10</v>
      </c>
      <c r="M611" s="2">
        <v>5</v>
      </c>
      <c r="N611" s="2">
        <v>10</v>
      </c>
      <c r="O611" s="2">
        <v>5</v>
      </c>
      <c r="P611" s="2">
        <v>0</v>
      </c>
      <c r="Q611" s="2" t="s">
        <v>3060</v>
      </c>
      <c r="R611" s="2" t="s">
        <v>3061</v>
      </c>
      <c r="S611" s="4">
        <v>44946</v>
      </c>
    </row>
    <row r="612" spans="1:19" ht="12.5" hidden="1" x14ac:dyDescent="0.25">
      <c r="A612" s="14" t="str">
        <f>HYPERLINK("https://gerandofalcoes.my.salesforce.com/0014X00002YgglqQAB", "0014X00002YgglqQAB")</f>
        <v>0014X00002YgglqQAB</v>
      </c>
      <c r="B612" s="2" t="s">
        <v>3062</v>
      </c>
      <c r="C612" s="2" t="s">
        <v>423</v>
      </c>
      <c r="D612" s="2" t="s">
        <v>2</v>
      </c>
      <c r="E612" s="2">
        <v>5.37</v>
      </c>
      <c r="F612" s="2">
        <v>0</v>
      </c>
      <c r="G612" s="2">
        <v>3</v>
      </c>
      <c r="H612" s="2">
        <v>200</v>
      </c>
      <c r="I612" s="2">
        <v>0</v>
      </c>
      <c r="J612" s="2" t="s">
        <v>1779</v>
      </c>
      <c r="K612" s="2">
        <v>23</v>
      </c>
      <c r="L612" s="2">
        <v>10</v>
      </c>
      <c r="M612" s="2">
        <v>0</v>
      </c>
      <c r="N612" s="2">
        <v>8</v>
      </c>
      <c r="O612" s="2">
        <v>5</v>
      </c>
      <c r="P612" s="2">
        <v>0</v>
      </c>
      <c r="Q612" s="2" t="s">
        <v>3063</v>
      </c>
      <c r="R612" s="2" t="s">
        <v>3064</v>
      </c>
      <c r="S612" s="4">
        <v>44946</v>
      </c>
    </row>
    <row r="613" spans="1:19" ht="12.5" hidden="1" x14ac:dyDescent="0.25">
      <c r="A613" s="14" t="str">
        <f>HYPERLINK("https://gerandofalcoes.my.salesforce.com/0014X00002YgghKQAR", "0014X00002YgghKQAR")</f>
        <v>0014X00002YgghKQAR</v>
      </c>
      <c r="B613" s="2" t="s">
        <v>3065</v>
      </c>
      <c r="C613" s="2" t="s">
        <v>423</v>
      </c>
      <c r="D613" s="2" t="s">
        <v>2</v>
      </c>
      <c r="E613" s="2">
        <v>2.38</v>
      </c>
      <c r="F613" s="2">
        <v>0</v>
      </c>
      <c r="G613" s="2">
        <v>5</v>
      </c>
      <c r="H613" s="2">
        <v>500</v>
      </c>
      <c r="I613" s="2">
        <v>0</v>
      </c>
      <c r="J613" s="2" t="s">
        <v>1779</v>
      </c>
      <c r="K613" s="2">
        <v>25</v>
      </c>
      <c r="L613" s="2">
        <v>10</v>
      </c>
      <c r="M613" s="2">
        <v>0</v>
      </c>
      <c r="N613" s="2">
        <v>10</v>
      </c>
      <c r="O613" s="2">
        <v>5</v>
      </c>
      <c r="P613" s="2">
        <v>0</v>
      </c>
      <c r="Q613" s="2" t="s">
        <v>3066</v>
      </c>
      <c r="R613" s="2" t="s">
        <v>3066</v>
      </c>
      <c r="S613" s="4">
        <v>44946</v>
      </c>
    </row>
    <row r="614" spans="1:19" ht="12.5" hidden="1" x14ac:dyDescent="0.25">
      <c r="A614" s="14" t="str">
        <f>HYPERLINK("https://gerandofalcoes.my.salesforce.com/0014X00002YggkiQAB", "0014X00002YggkiQAB")</f>
        <v>0014X00002YggkiQAB</v>
      </c>
      <c r="B614" s="2" t="s">
        <v>3067</v>
      </c>
      <c r="C614" s="2" t="s">
        <v>423</v>
      </c>
      <c r="D614" s="2" t="s">
        <v>2</v>
      </c>
      <c r="E614" s="2">
        <v>1.67</v>
      </c>
      <c r="F614" s="2">
        <v>0</v>
      </c>
      <c r="G614" s="2">
        <v>2</v>
      </c>
      <c r="H614" s="2">
        <v>0</v>
      </c>
      <c r="I614" s="2">
        <v>80</v>
      </c>
      <c r="J614" s="2" t="s">
        <v>1779</v>
      </c>
      <c r="K614" s="2">
        <v>26</v>
      </c>
      <c r="L614" s="2">
        <v>10</v>
      </c>
      <c r="M614" s="2">
        <v>0</v>
      </c>
      <c r="N614" s="2">
        <v>6</v>
      </c>
      <c r="O614" s="2">
        <v>0</v>
      </c>
      <c r="P614" s="2">
        <v>10</v>
      </c>
      <c r="Q614" s="2" t="s">
        <v>3068</v>
      </c>
      <c r="R614" s="2" t="s">
        <v>3068</v>
      </c>
      <c r="S614" s="4">
        <v>44946</v>
      </c>
    </row>
    <row r="615" spans="1:19" ht="12.5" hidden="1" x14ac:dyDescent="0.25">
      <c r="A615" s="14" t="str">
        <f>HYPERLINK("https://gerandofalcoes.my.salesforce.com/0014X00002YggiJQAR", "0014X00002YggiJQAR")</f>
        <v>0014X00002YggiJQAR</v>
      </c>
      <c r="B615" s="2" t="s">
        <v>3069</v>
      </c>
      <c r="C615" s="2" t="s">
        <v>423</v>
      </c>
      <c r="D615" s="2" t="s">
        <v>2</v>
      </c>
      <c r="E615" s="2"/>
      <c r="F615" s="2">
        <v>1</v>
      </c>
      <c r="G615" s="2">
        <v>2</v>
      </c>
      <c r="H615" s="2">
        <v>0</v>
      </c>
      <c r="I615" s="2">
        <v>1200</v>
      </c>
      <c r="J615" s="2" t="s">
        <v>1779</v>
      </c>
      <c r="K615" s="2">
        <v>31</v>
      </c>
      <c r="L615" s="2">
        <v>0</v>
      </c>
      <c r="M615" s="2">
        <v>5</v>
      </c>
      <c r="N615" s="2">
        <v>6</v>
      </c>
      <c r="O615" s="2">
        <v>0</v>
      </c>
      <c r="P615" s="2">
        <v>20</v>
      </c>
      <c r="Q615" s="2" t="s">
        <v>3070</v>
      </c>
      <c r="R615" s="2" t="s">
        <v>3071</v>
      </c>
      <c r="S615" s="4">
        <v>44946</v>
      </c>
    </row>
    <row r="616" spans="1:19" ht="12.5" hidden="1" x14ac:dyDescent="0.25">
      <c r="A616" s="14" t="str">
        <f>HYPERLINK("https://gerandofalcoes.my.salesforce.com/0014X00002YggpVQAR", "0014X00002YggpVQAR")</f>
        <v>0014X00002YggpVQAR</v>
      </c>
      <c r="B616" s="2" t="s">
        <v>3072</v>
      </c>
      <c r="C616" s="2" t="s">
        <v>423</v>
      </c>
      <c r="D616" s="2" t="s">
        <v>2</v>
      </c>
      <c r="E616" s="2"/>
      <c r="F616" s="2">
        <v>0</v>
      </c>
      <c r="G616" s="2">
        <v>2</v>
      </c>
      <c r="H616" s="2">
        <v>13000</v>
      </c>
      <c r="I616" s="2">
        <v>190</v>
      </c>
      <c r="J616" s="2" t="s">
        <v>1779</v>
      </c>
      <c r="K616" s="2">
        <v>23</v>
      </c>
      <c r="L616" s="2">
        <v>0</v>
      </c>
      <c r="M616" s="2">
        <v>0</v>
      </c>
      <c r="N616" s="2">
        <v>6</v>
      </c>
      <c r="O616" s="2">
        <v>5</v>
      </c>
      <c r="P616" s="2">
        <v>12</v>
      </c>
      <c r="Q616" s="2" t="s">
        <v>3073</v>
      </c>
      <c r="R616" s="2" t="s">
        <v>3074</v>
      </c>
      <c r="S616" s="4">
        <v>44946</v>
      </c>
    </row>
    <row r="617" spans="1:19" ht="12.5" hidden="1" x14ac:dyDescent="0.25">
      <c r="A617" s="14" t="str">
        <f>HYPERLINK("https://gerandofalcoes.my.salesforce.com/0014X00002YggiSQAR", "0014X00002YggiSQAR")</f>
        <v>0014X00002YggiSQAR</v>
      </c>
      <c r="B617" s="2" t="s">
        <v>3075</v>
      </c>
      <c r="C617" s="2" t="s">
        <v>423</v>
      </c>
      <c r="D617" s="2" t="s">
        <v>2</v>
      </c>
      <c r="E617" s="2"/>
      <c r="F617" s="2">
        <v>0</v>
      </c>
      <c r="G617" s="2">
        <v>3</v>
      </c>
      <c r="H617" s="2">
        <v>10000</v>
      </c>
      <c r="I617" s="2">
        <v>100</v>
      </c>
      <c r="J617" s="2" t="s">
        <v>1779</v>
      </c>
      <c r="K617" s="2">
        <v>23</v>
      </c>
      <c r="L617" s="2">
        <v>0</v>
      </c>
      <c r="M617" s="2">
        <v>0</v>
      </c>
      <c r="N617" s="2">
        <v>8</v>
      </c>
      <c r="O617" s="2">
        <v>5</v>
      </c>
      <c r="P617" s="2">
        <v>10</v>
      </c>
      <c r="Q617" s="2" t="s">
        <v>3076</v>
      </c>
      <c r="R617" s="2" t="s">
        <v>3077</v>
      </c>
      <c r="S617" s="4">
        <v>44946</v>
      </c>
    </row>
    <row r="618" spans="1:19" ht="12.5" hidden="1" x14ac:dyDescent="0.25">
      <c r="A618" s="14" t="str">
        <f>HYPERLINK("https://gerandofalcoes.my.salesforce.com/0014X00002YggmlQAB", "0014X00002YggmlQAB")</f>
        <v>0014X00002YggmlQAB</v>
      </c>
      <c r="B618" s="2" t="s">
        <v>3078</v>
      </c>
      <c r="C618" s="2" t="s">
        <v>423</v>
      </c>
      <c r="D618" s="2" t="s">
        <v>2</v>
      </c>
      <c r="E618" s="2"/>
      <c r="F618" s="2">
        <v>1</v>
      </c>
      <c r="G618" s="2">
        <v>2</v>
      </c>
      <c r="H618" s="2">
        <v>30000</v>
      </c>
      <c r="I618" s="2">
        <v>90</v>
      </c>
      <c r="J618" s="2" t="s">
        <v>1779</v>
      </c>
      <c r="K618" s="2">
        <v>31</v>
      </c>
      <c r="L618" s="2">
        <v>0</v>
      </c>
      <c r="M618" s="2">
        <v>5</v>
      </c>
      <c r="N618" s="2">
        <v>6</v>
      </c>
      <c r="O618" s="2">
        <v>10</v>
      </c>
      <c r="P618" s="2">
        <v>10</v>
      </c>
      <c r="Q618" s="2" t="s">
        <v>3079</v>
      </c>
      <c r="R618" s="2" t="s">
        <v>3080</v>
      </c>
      <c r="S618" s="4">
        <v>44946</v>
      </c>
    </row>
    <row r="619" spans="1:19" ht="12.5" hidden="1" x14ac:dyDescent="0.25">
      <c r="A619" s="14" t="str">
        <f>HYPERLINK("https://gerandofalcoes.my.salesforce.com/0014X00002Yggi8QAB", "0014X00002Yggi8QAB")</f>
        <v>0014X00002Yggi8QAB</v>
      </c>
      <c r="B619" s="2" t="s">
        <v>3081</v>
      </c>
      <c r="C619" s="2" t="s">
        <v>423</v>
      </c>
      <c r="D619" s="2" t="s">
        <v>2</v>
      </c>
      <c r="E619" s="2"/>
      <c r="F619" s="2">
        <v>0</v>
      </c>
      <c r="G619" s="2">
        <v>2</v>
      </c>
      <c r="H619" s="2">
        <v>50</v>
      </c>
      <c r="I619" s="2">
        <v>50</v>
      </c>
      <c r="J619" s="2" t="s">
        <v>1779</v>
      </c>
      <c r="K619" s="2">
        <v>16</v>
      </c>
      <c r="L619" s="2">
        <v>0</v>
      </c>
      <c r="M619" s="2">
        <v>0</v>
      </c>
      <c r="N619" s="2">
        <v>6</v>
      </c>
      <c r="O619" s="2">
        <v>5</v>
      </c>
      <c r="P619" s="2">
        <v>5</v>
      </c>
      <c r="Q619" s="2" t="s">
        <v>3082</v>
      </c>
      <c r="R619" s="2" t="s">
        <v>3082</v>
      </c>
      <c r="S619" s="4">
        <v>44946</v>
      </c>
    </row>
    <row r="620" spans="1:19" ht="12.5" hidden="1" x14ac:dyDescent="0.25">
      <c r="A620" s="14" t="str">
        <f>HYPERLINK("https://gerandofalcoes.my.salesforce.com/0014X00002YggleQAB", "0014X00002YggleQAB")</f>
        <v>0014X00002YggleQAB</v>
      </c>
      <c r="B620" s="2" t="s">
        <v>3083</v>
      </c>
      <c r="C620" s="2" t="s">
        <v>423</v>
      </c>
      <c r="D620" s="2" t="s">
        <v>2</v>
      </c>
      <c r="E620" s="2"/>
      <c r="F620" s="2">
        <v>0</v>
      </c>
      <c r="G620" s="2">
        <v>2</v>
      </c>
      <c r="H620" s="2">
        <v>50000</v>
      </c>
      <c r="I620" s="2">
        <v>50</v>
      </c>
      <c r="J620" s="2" t="s">
        <v>1779</v>
      </c>
      <c r="K620" s="2">
        <v>21</v>
      </c>
      <c r="L620" s="2">
        <v>0</v>
      </c>
      <c r="M620" s="2">
        <v>0</v>
      </c>
      <c r="N620" s="2">
        <v>6</v>
      </c>
      <c r="O620" s="2">
        <v>10</v>
      </c>
      <c r="P620" s="2">
        <v>5</v>
      </c>
      <c r="Q620" s="2" t="s">
        <v>3084</v>
      </c>
      <c r="R620" s="2" t="s">
        <v>3084</v>
      </c>
      <c r="S620" s="4">
        <v>44946</v>
      </c>
    </row>
    <row r="621" spans="1:19" ht="12.5" hidden="1" x14ac:dyDescent="0.25">
      <c r="A621" s="14" t="str">
        <f>HYPERLINK("https://gerandofalcoes.my.salesforce.com/0014X00002YggjdQAB", "0014X00002YggjdQAB")</f>
        <v>0014X00002YggjdQAB</v>
      </c>
      <c r="B621" s="2" t="s">
        <v>3085</v>
      </c>
      <c r="C621" s="2" t="s">
        <v>423</v>
      </c>
      <c r="D621" s="2" t="s">
        <v>2</v>
      </c>
      <c r="E621" s="2"/>
      <c r="F621" s="2">
        <v>3</v>
      </c>
      <c r="G621" s="2">
        <v>2</v>
      </c>
      <c r="H621" s="2">
        <v>1000</v>
      </c>
      <c r="I621" s="2">
        <v>30</v>
      </c>
      <c r="J621" s="2" t="s">
        <v>1779</v>
      </c>
      <c r="K621" s="2">
        <v>21</v>
      </c>
      <c r="L621" s="2">
        <v>0</v>
      </c>
      <c r="M621" s="2">
        <v>5</v>
      </c>
      <c r="N621" s="2">
        <v>6</v>
      </c>
      <c r="O621" s="2">
        <v>5</v>
      </c>
      <c r="P621" s="2">
        <v>5</v>
      </c>
      <c r="Q621" s="2" t="s">
        <v>3086</v>
      </c>
      <c r="R621" s="2" t="s">
        <v>3086</v>
      </c>
      <c r="S621" s="4">
        <v>44946</v>
      </c>
    </row>
    <row r="622" spans="1:19" ht="12.5" hidden="1" x14ac:dyDescent="0.25">
      <c r="A622" s="14" t="str">
        <f>HYPERLINK("https://gerandofalcoes.my.salesforce.com/0014X00002YgglFQAR", "0014X00002YgglFQAR")</f>
        <v>0014X00002YgglFQAR</v>
      </c>
      <c r="B622" s="2" t="s">
        <v>3087</v>
      </c>
      <c r="C622" s="2" t="s">
        <v>423</v>
      </c>
      <c r="D622" s="2" t="s">
        <v>2</v>
      </c>
      <c r="E622" s="2"/>
      <c r="F622" s="2">
        <v>0</v>
      </c>
      <c r="G622" s="2">
        <v>5</v>
      </c>
      <c r="H622" s="2">
        <v>0</v>
      </c>
      <c r="I622" s="2">
        <v>0</v>
      </c>
      <c r="J622" s="2" t="s">
        <v>1779</v>
      </c>
      <c r="K622" s="2">
        <v>10</v>
      </c>
      <c r="L622" s="2">
        <v>0</v>
      </c>
      <c r="M622" s="2">
        <v>0</v>
      </c>
      <c r="N622" s="2">
        <v>10</v>
      </c>
      <c r="O622" s="2">
        <v>0</v>
      </c>
      <c r="P622" s="2">
        <v>0</v>
      </c>
      <c r="Q622" s="2" t="s">
        <v>3088</v>
      </c>
      <c r="R622" s="2" t="s">
        <v>3089</v>
      </c>
      <c r="S622" s="4">
        <v>44946</v>
      </c>
    </row>
    <row r="623" spans="1:19" ht="12.5" hidden="1" x14ac:dyDescent="0.25">
      <c r="A623" s="14" t="str">
        <f>HYPERLINK("https://gerandofalcoes.my.salesforce.com/0014X00002Yggj9QAB", "0014X00002Yggj9QAB")</f>
        <v>0014X00002Yggj9QAB</v>
      </c>
      <c r="B623" s="2" t="s">
        <v>3090</v>
      </c>
      <c r="C623" s="2" t="s">
        <v>1800</v>
      </c>
      <c r="D623" s="2" t="s">
        <v>2</v>
      </c>
      <c r="E623" s="2"/>
      <c r="F623" s="2">
        <v>30</v>
      </c>
      <c r="G623" s="2">
        <v>3</v>
      </c>
      <c r="H623" s="2">
        <v>1200000</v>
      </c>
      <c r="I623" s="2">
        <v>0</v>
      </c>
      <c r="J623" s="2" t="s">
        <v>1671</v>
      </c>
      <c r="K623" s="2">
        <v>45</v>
      </c>
      <c r="L623" s="2">
        <v>0</v>
      </c>
      <c r="M623" s="2">
        <v>12</v>
      </c>
      <c r="N623" s="2">
        <v>8</v>
      </c>
      <c r="O623" s="2">
        <v>25</v>
      </c>
      <c r="P623" s="2">
        <v>0</v>
      </c>
      <c r="Q623" s="2" t="s">
        <v>3091</v>
      </c>
      <c r="R623" s="2" t="s">
        <v>3092</v>
      </c>
      <c r="S623" s="4">
        <v>44946</v>
      </c>
    </row>
    <row r="624" spans="1:19" ht="12.5" hidden="1" x14ac:dyDescent="0.25">
      <c r="A624" s="14" t="str">
        <f>HYPERLINK("https://gerandofalcoes.my.salesforce.com/0014X00002YgghgQAB", "0014X00002YgghgQAB")</f>
        <v>0014X00002YgghgQAB</v>
      </c>
      <c r="B624" s="2" t="s">
        <v>3093</v>
      </c>
      <c r="C624" s="2" t="s">
        <v>423</v>
      </c>
      <c r="D624" s="2" t="s">
        <v>2</v>
      </c>
      <c r="E624" s="2"/>
      <c r="F624" s="2">
        <v>0</v>
      </c>
      <c r="G624" s="2">
        <v>10</v>
      </c>
      <c r="H624" s="2">
        <v>5000</v>
      </c>
      <c r="I624" s="2">
        <v>132</v>
      </c>
      <c r="J624" s="2" t="s">
        <v>1779</v>
      </c>
      <c r="K624" s="2">
        <v>25</v>
      </c>
      <c r="L624" s="2">
        <v>0</v>
      </c>
      <c r="M624" s="2">
        <v>0</v>
      </c>
      <c r="N624" s="2">
        <v>10</v>
      </c>
      <c r="O624" s="2">
        <v>5</v>
      </c>
      <c r="P624" s="2">
        <v>10</v>
      </c>
      <c r="Q624" s="2" t="s">
        <v>3094</v>
      </c>
      <c r="R624" s="2" t="s">
        <v>3095</v>
      </c>
      <c r="S624" s="4">
        <v>44947</v>
      </c>
    </row>
    <row r="625" spans="1:19" ht="12.5" hidden="1" x14ac:dyDescent="0.25">
      <c r="A625" s="14" t="str">
        <f>HYPERLINK("https://gerandofalcoes.my.salesforce.com/0014X00002YgbknQAB", "0014X00002YgbknQAB")</f>
        <v>0014X00002YgbknQAB</v>
      </c>
      <c r="B625" s="2" t="s">
        <v>3096</v>
      </c>
      <c r="C625" s="2" t="s">
        <v>423</v>
      </c>
      <c r="D625" s="2" t="s">
        <v>2</v>
      </c>
      <c r="E625" s="2"/>
      <c r="F625" s="2">
        <v>0</v>
      </c>
      <c r="G625" s="2">
        <v>0</v>
      </c>
      <c r="H625" s="2">
        <v>0</v>
      </c>
      <c r="I625" s="2">
        <v>0</v>
      </c>
      <c r="J625" s="2" t="s">
        <v>1779</v>
      </c>
      <c r="K625" s="2">
        <v>0</v>
      </c>
      <c r="L625" s="2">
        <v>0</v>
      </c>
      <c r="M625" s="2">
        <v>0</v>
      </c>
      <c r="N625" s="2">
        <v>0</v>
      </c>
      <c r="O625" s="2">
        <v>0</v>
      </c>
      <c r="P625" s="2">
        <v>0</v>
      </c>
      <c r="Q625" s="2" t="s">
        <v>3097</v>
      </c>
      <c r="R625" s="2" t="s">
        <v>3097</v>
      </c>
      <c r="S625" s="4">
        <v>44947</v>
      </c>
    </row>
    <row r="626" spans="1:19" ht="12.5" hidden="1" x14ac:dyDescent="0.25">
      <c r="A626" s="14" t="str">
        <f>HYPERLINK("https://gerandofalcoes.my.salesforce.com/0014X00002YggjeQAB", "0014X00002YggjeQAB")</f>
        <v>0014X00002YggjeQAB</v>
      </c>
      <c r="B626" s="2" t="s">
        <v>3098</v>
      </c>
      <c r="C626" s="2" t="s">
        <v>423</v>
      </c>
      <c r="D626" s="2" t="s">
        <v>2</v>
      </c>
      <c r="E626" s="2">
        <v>37.43</v>
      </c>
      <c r="F626" s="2">
        <v>5</v>
      </c>
      <c r="G626" s="2">
        <v>3</v>
      </c>
      <c r="H626" s="2">
        <v>26000</v>
      </c>
      <c r="I626" s="2">
        <v>150</v>
      </c>
      <c r="J626" s="2" t="s">
        <v>1671</v>
      </c>
      <c r="K626" s="2">
        <v>50</v>
      </c>
      <c r="L626" s="2">
        <v>15</v>
      </c>
      <c r="M626" s="2">
        <v>5</v>
      </c>
      <c r="N626" s="2">
        <v>8</v>
      </c>
      <c r="O626" s="2">
        <v>10</v>
      </c>
      <c r="P626" s="2">
        <v>12</v>
      </c>
      <c r="Q626" s="2" t="s">
        <v>3099</v>
      </c>
      <c r="R626" s="2" t="s">
        <v>3100</v>
      </c>
      <c r="S626" s="4">
        <v>44948</v>
      </c>
    </row>
    <row r="627" spans="1:19" ht="12.5" hidden="1" x14ac:dyDescent="0.25">
      <c r="A627" s="14" t="str">
        <f>HYPERLINK("https://gerandofalcoes.my.salesforce.com/0014X00002YggoVQAR", "0014X00002YggoVQAR")</f>
        <v>0014X00002YggoVQAR</v>
      </c>
      <c r="B627" s="2" t="s">
        <v>3101</v>
      </c>
      <c r="C627" s="2" t="s">
        <v>423</v>
      </c>
      <c r="D627" s="2" t="s">
        <v>2</v>
      </c>
      <c r="E627" s="2">
        <v>15.74</v>
      </c>
      <c r="F627" s="2">
        <v>0</v>
      </c>
      <c r="G627" s="2">
        <v>4</v>
      </c>
      <c r="H627" s="2">
        <v>300</v>
      </c>
      <c r="I627" s="2">
        <v>30</v>
      </c>
      <c r="J627" s="2" t="s">
        <v>1779</v>
      </c>
      <c r="K627" s="2">
        <v>30</v>
      </c>
      <c r="L627" s="2">
        <v>10</v>
      </c>
      <c r="M627" s="2">
        <v>0</v>
      </c>
      <c r="N627" s="2">
        <v>10</v>
      </c>
      <c r="O627" s="2">
        <v>5</v>
      </c>
      <c r="P627" s="2">
        <v>5</v>
      </c>
      <c r="Q627" s="2" t="s">
        <v>3102</v>
      </c>
      <c r="R627" s="2" t="s">
        <v>3102</v>
      </c>
      <c r="S627" s="4">
        <v>44948</v>
      </c>
    </row>
    <row r="628" spans="1:19" ht="12.5" hidden="1" x14ac:dyDescent="0.25">
      <c r="A628" s="14" t="str">
        <f>HYPERLINK("https://gerandofalcoes.my.salesforce.com/0014X00002Yggo3QAB", "0014X00002Yggo3QAB")</f>
        <v>0014X00002Yggo3QAB</v>
      </c>
      <c r="B628" s="2" t="s">
        <v>3103</v>
      </c>
      <c r="C628" s="2" t="s">
        <v>423</v>
      </c>
      <c r="D628" s="2" t="s">
        <v>2</v>
      </c>
      <c r="E628" s="2"/>
      <c r="F628" s="2">
        <v>0</v>
      </c>
      <c r="G628" s="2">
        <v>2</v>
      </c>
      <c r="H628" s="2">
        <v>10000</v>
      </c>
      <c r="I628" s="2">
        <v>0</v>
      </c>
      <c r="J628" s="2" t="s">
        <v>1779</v>
      </c>
      <c r="K628" s="2">
        <v>11</v>
      </c>
      <c r="L628" s="2">
        <v>0</v>
      </c>
      <c r="M628" s="2">
        <v>0</v>
      </c>
      <c r="N628" s="2">
        <v>6</v>
      </c>
      <c r="O628" s="2">
        <v>5</v>
      </c>
      <c r="P628" s="2">
        <v>0</v>
      </c>
      <c r="Q628" s="2" t="s">
        <v>3104</v>
      </c>
      <c r="R628" s="2" t="s">
        <v>3105</v>
      </c>
      <c r="S628" s="4">
        <v>44948</v>
      </c>
    </row>
    <row r="629" spans="1:19" ht="12.5" hidden="1" x14ac:dyDescent="0.25">
      <c r="A629" s="14" t="str">
        <f>HYPERLINK("https://gerandofalcoes.my.salesforce.com/0014X00002YgggwQAB", "0014X00002YgggwQAB")</f>
        <v>0014X00002YgggwQAB</v>
      </c>
      <c r="B629" s="2" t="s">
        <v>3106</v>
      </c>
      <c r="C629" s="2" t="s">
        <v>423</v>
      </c>
      <c r="D629" s="2" t="s">
        <v>2</v>
      </c>
      <c r="E629" s="2"/>
      <c r="F629" s="2">
        <v>0</v>
      </c>
      <c r="G629" s="2">
        <v>3</v>
      </c>
      <c r="H629" s="2">
        <v>1000</v>
      </c>
      <c r="I629" s="2">
        <v>0</v>
      </c>
      <c r="J629" s="2" t="s">
        <v>1779</v>
      </c>
      <c r="K629" s="2">
        <v>13</v>
      </c>
      <c r="L629" s="2">
        <v>0</v>
      </c>
      <c r="M629" s="2">
        <v>0</v>
      </c>
      <c r="N629" s="2">
        <v>8</v>
      </c>
      <c r="O629" s="2">
        <v>5</v>
      </c>
      <c r="P629" s="2">
        <v>0</v>
      </c>
      <c r="Q629" s="2" t="s">
        <v>3107</v>
      </c>
      <c r="R629" s="2" t="s">
        <v>3108</v>
      </c>
      <c r="S629" s="4">
        <v>44948</v>
      </c>
    </row>
    <row r="630" spans="1:19" ht="12.5" hidden="1" x14ac:dyDescent="0.25">
      <c r="A630" s="14" t="str">
        <f>HYPERLINK("https://gerandofalcoes.my.salesforce.com/0014X00002YggntQAB", "0014X00002YggntQAB")</f>
        <v>0014X00002YggntQAB</v>
      </c>
      <c r="B630" s="2" t="s">
        <v>3109</v>
      </c>
      <c r="C630" s="2" t="s">
        <v>423</v>
      </c>
      <c r="D630" s="2" t="s">
        <v>2</v>
      </c>
      <c r="E630" s="2"/>
      <c r="F630" s="2">
        <v>0</v>
      </c>
      <c r="G630" s="2">
        <v>2</v>
      </c>
      <c r="H630" s="2">
        <v>40000</v>
      </c>
      <c r="I630" s="2">
        <v>0</v>
      </c>
      <c r="J630" s="2" t="s">
        <v>1779</v>
      </c>
      <c r="K630" s="2">
        <v>16</v>
      </c>
      <c r="L630" s="2">
        <v>0</v>
      </c>
      <c r="M630" s="2">
        <v>0</v>
      </c>
      <c r="N630" s="2">
        <v>6</v>
      </c>
      <c r="O630" s="2">
        <v>10</v>
      </c>
      <c r="P630" s="2">
        <v>0</v>
      </c>
      <c r="Q630" s="2" t="s">
        <v>3110</v>
      </c>
      <c r="R630" s="2" t="s">
        <v>3110</v>
      </c>
      <c r="S630" s="4">
        <v>44948</v>
      </c>
    </row>
    <row r="631" spans="1:19" ht="12.5" hidden="1" x14ac:dyDescent="0.25">
      <c r="A631" s="14" t="str">
        <f>HYPERLINK("https://gerandofalcoes.my.salesforce.com/0014X00002YgggQQAR", "0014X00002YgggQQAR")</f>
        <v>0014X00002YgggQQAR</v>
      </c>
      <c r="B631" s="2" t="s">
        <v>3111</v>
      </c>
      <c r="C631" s="2" t="s">
        <v>423</v>
      </c>
      <c r="D631" s="2" t="s">
        <v>2</v>
      </c>
      <c r="E631" s="2">
        <v>18.39</v>
      </c>
      <c r="F631" s="2">
        <v>2</v>
      </c>
      <c r="G631" s="2">
        <v>2</v>
      </c>
      <c r="H631" s="2">
        <v>55000</v>
      </c>
      <c r="I631" s="2">
        <v>20</v>
      </c>
      <c r="J631" s="2" t="s">
        <v>1779</v>
      </c>
      <c r="K631" s="2">
        <v>36</v>
      </c>
      <c r="L631" s="2">
        <v>10</v>
      </c>
      <c r="M631" s="2">
        <v>5</v>
      </c>
      <c r="N631" s="2">
        <v>6</v>
      </c>
      <c r="O631" s="2">
        <v>10</v>
      </c>
      <c r="P631" s="2">
        <v>5</v>
      </c>
      <c r="Q631" s="2" t="s">
        <v>3112</v>
      </c>
      <c r="R631" s="2" t="s">
        <v>3113</v>
      </c>
      <c r="S631" s="4">
        <v>44949</v>
      </c>
    </row>
    <row r="632" spans="1:19" ht="12.5" hidden="1" x14ac:dyDescent="0.25">
      <c r="A632" s="14" t="str">
        <f>HYPERLINK("https://gerandofalcoes.my.salesforce.com/0014X00002YggiXQAR", "0014X00002YggiXQAR")</f>
        <v>0014X00002YggiXQAR</v>
      </c>
      <c r="B632" s="2" t="s">
        <v>3114</v>
      </c>
      <c r="C632" s="2" t="s">
        <v>423</v>
      </c>
      <c r="D632" s="2" t="s">
        <v>2</v>
      </c>
      <c r="E632" s="2">
        <v>1.67</v>
      </c>
      <c r="F632" s="2">
        <v>1</v>
      </c>
      <c r="G632" s="2">
        <v>3</v>
      </c>
      <c r="H632" s="2">
        <v>24000</v>
      </c>
      <c r="I632" s="2">
        <v>64</v>
      </c>
      <c r="J632" s="2" t="s">
        <v>1779</v>
      </c>
      <c r="K632" s="2">
        <v>33</v>
      </c>
      <c r="L632" s="2">
        <v>10</v>
      </c>
      <c r="M632" s="2">
        <v>5</v>
      </c>
      <c r="N632" s="2">
        <v>8</v>
      </c>
      <c r="O632" s="2">
        <v>5</v>
      </c>
      <c r="P632" s="2">
        <v>5</v>
      </c>
      <c r="Q632" s="2" t="s">
        <v>3115</v>
      </c>
      <c r="R632" s="2" t="s">
        <v>3116</v>
      </c>
      <c r="S632" s="4">
        <v>44949</v>
      </c>
    </row>
    <row r="633" spans="1:19" ht="12.5" hidden="1" x14ac:dyDescent="0.25">
      <c r="A633" s="14" t="str">
        <f>HYPERLINK("https://gerandofalcoes.my.salesforce.com/0014X00002YggqdQAB", "0014X00002YggqdQAB")</f>
        <v>0014X00002YggqdQAB</v>
      </c>
      <c r="B633" s="2" t="s">
        <v>3117</v>
      </c>
      <c r="C633" s="2" t="s">
        <v>423</v>
      </c>
      <c r="D633" s="2" t="s">
        <v>2</v>
      </c>
      <c r="E633" s="2">
        <v>1.67</v>
      </c>
      <c r="F633" s="2">
        <v>1</v>
      </c>
      <c r="G633" s="2">
        <v>3</v>
      </c>
      <c r="H633" s="2">
        <v>1000</v>
      </c>
      <c r="I633" s="2">
        <v>0</v>
      </c>
      <c r="J633" s="2" t="s">
        <v>1779</v>
      </c>
      <c r="K633" s="2">
        <v>28</v>
      </c>
      <c r="L633" s="2">
        <v>10</v>
      </c>
      <c r="M633" s="2">
        <v>5</v>
      </c>
      <c r="N633" s="2">
        <v>8</v>
      </c>
      <c r="O633" s="2">
        <v>5</v>
      </c>
      <c r="P633" s="2">
        <v>0</v>
      </c>
      <c r="Q633" s="2" t="s">
        <v>3118</v>
      </c>
      <c r="R633" s="2" t="s">
        <v>3119</v>
      </c>
      <c r="S633" s="4">
        <v>44949</v>
      </c>
    </row>
    <row r="634" spans="1:19" ht="12.5" hidden="1" x14ac:dyDescent="0.25">
      <c r="A634" s="14" t="str">
        <f>HYPERLINK("https://gerandofalcoes.my.salesforce.com/0014X00002YggpCQAR", "0014X00002YggpCQAR")</f>
        <v>0014X00002YggpCQAR</v>
      </c>
      <c r="B634" s="2" t="s">
        <v>3120</v>
      </c>
      <c r="C634" s="2" t="s">
        <v>423</v>
      </c>
      <c r="D634" s="2" t="s">
        <v>2</v>
      </c>
      <c r="E634" s="2">
        <v>1.3</v>
      </c>
      <c r="F634" s="2">
        <v>0</v>
      </c>
      <c r="G634" s="2">
        <v>10</v>
      </c>
      <c r="H634" s="2">
        <v>1100</v>
      </c>
      <c r="I634" s="2">
        <v>0</v>
      </c>
      <c r="J634" s="2" t="s">
        <v>1779</v>
      </c>
      <c r="K634" s="2">
        <v>25</v>
      </c>
      <c r="L634" s="2">
        <v>10</v>
      </c>
      <c r="M634" s="2">
        <v>0</v>
      </c>
      <c r="N634" s="2">
        <v>10</v>
      </c>
      <c r="O634" s="2">
        <v>5</v>
      </c>
      <c r="P634" s="2">
        <v>0</v>
      </c>
      <c r="Q634" s="2" t="s">
        <v>3121</v>
      </c>
      <c r="R634" s="2" t="s">
        <v>3121</v>
      </c>
      <c r="S634" s="4">
        <v>44949</v>
      </c>
    </row>
    <row r="635" spans="1:19" ht="12.5" hidden="1" x14ac:dyDescent="0.25">
      <c r="A635" s="14" t="str">
        <f>HYPERLINK("https://gerandofalcoes.my.salesforce.com/0014X00002Yggh6QAB", "0014X00002Yggh6QAB")</f>
        <v>0014X00002Yggh6QAB</v>
      </c>
      <c r="B635" s="2" t="s">
        <v>3122</v>
      </c>
      <c r="C635" s="2" t="s">
        <v>423</v>
      </c>
      <c r="D635" s="2" t="s">
        <v>2</v>
      </c>
      <c r="E635" s="2"/>
      <c r="F635" s="2">
        <v>6</v>
      </c>
      <c r="G635" s="2">
        <v>2</v>
      </c>
      <c r="H635" s="2">
        <v>481000</v>
      </c>
      <c r="I635" s="2">
        <v>200</v>
      </c>
      <c r="J635" s="2" t="s">
        <v>1671</v>
      </c>
      <c r="K635" s="2">
        <v>48</v>
      </c>
      <c r="L635" s="2">
        <v>0</v>
      </c>
      <c r="M635" s="2">
        <v>10</v>
      </c>
      <c r="N635" s="2">
        <v>6</v>
      </c>
      <c r="O635" s="2">
        <v>20</v>
      </c>
      <c r="P635" s="2">
        <v>12</v>
      </c>
      <c r="Q635" s="2" t="s">
        <v>3123</v>
      </c>
      <c r="R635" s="2" t="s">
        <v>3124</v>
      </c>
      <c r="S635" s="4">
        <v>44949</v>
      </c>
    </row>
    <row r="636" spans="1:19" ht="12.5" hidden="1" x14ac:dyDescent="0.25">
      <c r="A636" s="14" t="str">
        <f>HYPERLINK("https://gerandofalcoes.my.salesforce.com/0014X00002YggmBQAR", "0014X00002YggmBQAR")</f>
        <v>0014X00002YggmBQAR</v>
      </c>
      <c r="B636" s="2" t="s">
        <v>3125</v>
      </c>
      <c r="C636" s="2" t="s">
        <v>423</v>
      </c>
      <c r="D636" s="2" t="s">
        <v>2</v>
      </c>
      <c r="E636" s="2"/>
      <c r="F636" s="2">
        <v>5</v>
      </c>
      <c r="G636" s="2">
        <v>8</v>
      </c>
      <c r="H636" s="2">
        <v>35000</v>
      </c>
      <c r="I636" s="2">
        <v>120</v>
      </c>
      <c r="J636" s="2" t="s">
        <v>1779</v>
      </c>
      <c r="K636" s="2">
        <v>35</v>
      </c>
      <c r="L636" s="2">
        <v>0</v>
      </c>
      <c r="M636" s="2">
        <v>5</v>
      </c>
      <c r="N636" s="2">
        <v>10</v>
      </c>
      <c r="O636" s="2">
        <v>10</v>
      </c>
      <c r="P636" s="2">
        <v>10</v>
      </c>
      <c r="Q636" s="2" t="s">
        <v>3126</v>
      </c>
      <c r="R636" s="2" t="s">
        <v>3127</v>
      </c>
      <c r="S636" s="4">
        <v>44949</v>
      </c>
    </row>
    <row r="637" spans="1:19" ht="12.5" hidden="1" x14ac:dyDescent="0.25">
      <c r="A637" s="14" t="str">
        <f>HYPERLINK("https://gerandofalcoes.my.salesforce.com/0014X00002YggpnQAB", "0014X00002YggpnQAB")</f>
        <v>0014X00002YggpnQAB</v>
      </c>
      <c r="B637" s="2" t="s">
        <v>3128</v>
      </c>
      <c r="C637" s="2" t="s">
        <v>423</v>
      </c>
      <c r="D637" s="2" t="s">
        <v>2</v>
      </c>
      <c r="E637" s="2"/>
      <c r="F637" s="2">
        <v>0</v>
      </c>
      <c r="G637" s="2">
        <v>2</v>
      </c>
      <c r="H637" s="2">
        <v>2000</v>
      </c>
      <c r="I637" s="2">
        <v>90</v>
      </c>
      <c r="J637" s="2" t="s">
        <v>1779</v>
      </c>
      <c r="K637" s="2">
        <v>21</v>
      </c>
      <c r="L637" s="2">
        <v>0</v>
      </c>
      <c r="M637" s="2">
        <v>0</v>
      </c>
      <c r="N637" s="2">
        <v>6</v>
      </c>
      <c r="O637" s="2">
        <v>5</v>
      </c>
      <c r="P637" s="2">
        <v>10</v>
      </c>
      <c r="Q637" s="2" t="s">
        <v>3129</v>
      </c>
      <c r="R637" s="2" t="s">
        <v>3129</v>
      </c>
      <c r="S637" s="4">
        <v>44949</v>
      </c>
    </row>
    <row r="638" spans="1:19" ht="12.5" hidden="1" x14ac:dyDescent="0.25">
      <c r="A638" s="14" t="str">
        <f>HYPERLINK("https://gerandofalcoes.my.salesforce.com/0014X00002YggmGQAR", "0014X00002YggmGQAR")</f>
        <v>0014X00002YggmGQAR</v>
      </c>
      <c r="B638" s="2" t="s">
        <v>3130</v>
      </c>
      <c r="C638" s="2" t="s">
        <v>423</v>
      </c>
      <c r="D638" s="2" t="s">
        <v>2</v>
      </c>
      <c r="E638" s="2"/>
      <c r="F638" s="2">
        <v>10</v>
      </c>
      <c r="G638" s="2">
        <v>2</v>
      </c>
      <c r="H638" s="2">
        <v>3000</v>
      </c>
      <c r="I638" s="2">
        <v>60</v>
      </c>
      <c r="J638" s="2" t="s">
        <v>1779</v>
      </c>
      <c r="K638" s="2">
        <v>26</v>
      </c>
      <c r="L638" s="2">
        <v>0</v>
      </c>
      <c r="M638" s="2">
        <v>10</v>
      </c>
      <c r="N638" s="2">
        <v>6</v>
      </c>
      <c r="O638" s="2">
        <v>5</v>
      </c>
      <c r="P638" s="2">
        <v>5</v>
      </c>
      <c r="Q638" s="2" t="s">
        <v>3131</v>
      </c>
      <c r="R638" s="2" t="s">
        <v>3132</v>
      </c>
      <c r="S638" s="4">
        <v>44949</v>
      </c>
    </row>
    <row r="639" spans="1:19" ht="12.5" hidden="1" x14ac:dyDescent="0.25">
      <c r="A639" s="14" t="str">
        <f>HYPERLINK("https://gerandofalcoes.my.salesforce.com/0014X00002YggjKQAR", "0014X00002YggjKQAR")</f>
        <v>0014X00002YggjKQAR</v>
      </c>
      <c r="B639" s="2" t="s">
        <v>3133</v>
      </c>
      <c r="C639" s="2" t="s">
        <v>423</v>
      </c>
      <c r="D639" s="2" t="s">
        <v>2</v>
      </c>
      <c r="E639" s="2"/>
      <c r="F639" s="2">
        <v>4</v>
      </c>
      <c r="G639" s="2">
        <v>3</v>
      </c>
      <c r="H639" s="2">
        <v>18000</v>
      </c>
      <c r="I639" s="2">
        <v>50</v>
      </c>
      <c r="J639" s="2" t="s">
        <v>1779</v>
      </c>
      <c r="K639" s="2">
        <v>23</v>
      </c>
      <c r="L639" s="2">
        <v>0</v>
      </c>
      <c r="M639" s="2">
        <v>5</v>
      </c>
      <c r="N639" s="2">
        <v>8</v>
      </c>
      <c r="O639" s="2">
        <v>5</v>
      </c>
      <c r="P639" s="2">
        <v>5</v>
      </c>
      <c r="Q639" s="2" t="s">
        <v>3134</v>
      </c>
      <c r="R639" s="2" t="s">
        <v>3135</v>
      </c>
      <c r="S639" s="4">
        <v>44949</v>
      </c>
    </row>
    <row r="640" spans="1:19" ht="12.5" hidden="1" x14ac:dyDescent="0.25">
      <c r="A640" s="14" t="str">
        <f>HYPERLINK("https://gerandofalcoes.my.salesforce.com/0014X00002YggojQAB", "0014X00002YggojQAB")</f>
        <v>0014X00002YggojQAB</v>
      </c>
      <c r="B640" s="2" t="s">
        <v>3136</v>
      </c>
      <c r="C640" s="2" t="s">
        <v>423</v>
      </c>
      <c r="D640" s="2" t="s">
        <v>2</v>
      </c>
      <c r="E640" s="2"/>
      <c r="F640" s="2">
        <v>0</v>
      </c>
      <c r="G640" s="2">
        <v>4</v>
      </c>
      <c r="H640" s="2">
        <v>0</v>
      </c>
      <c r="I640" s="2">
        <v>44</v>
      </c>
      <c r="J640" s="2" t="s">
        <v>1779</v>
      </c>
      <c r="K640" s="2">
        <v>15</v>
      </c>
      <c r="L640" s="2">
        <v>0</v>
      </c>
      <c r="M640" s="2">
        <v>0</v>
      </c>
      <c r="N640" s="2">
        <v>10</v>
      </c>
      <c r="O640" s="2">
        <v>0</v>
      </c>
      <c r="P640" s="2">
        <v>5</v>
      </c>
      <c r="Q640" s="2" t="s">
        <v>3137</v>
      </c>
      <c r="R640" s="2" t="s">
        <v>3138</v>
      </c>
      <c r="S640" s="4">
        <v>44949</v>
      </c>
    </row>
    <row r="641" spans="1:19" ht="12.5" hidden="1" x14ac:dyDescent="0.25">
      <c r="A641" s="14" t="str">
        <f>HYPERLINK("https://gerandofalcoes.my.salesforce.com/0014X00002YgghzQAB", "0014X00002YgghzQAB")</f>
        <v>0014X00002YgghzQAB</v>
      </c>
      <c r="B641" s="2" t="s">
        <v>3139</v>
      </c>
      <c r="C641" s="2" t="s">
        <v>423</v>
      </c>
      <c r="D641" s="2" t="s">
        <v>2</v>
      </c>
      <c r="E641" s="2"/>
      <c r="F641" s="2">
        <v>1</v>
      </c>
      <c r="G641" s="2">
        <v>4</v>
      </c>
      <c r="H641" s="2">
        <v>2500</v>
      </c>
      <c r="I641" s="2">
        <v>25</v>
      </c>
      <c r="J641" s="2" t="s">
        <v>1779</v>
      </c>
      <c r="K641" s="2">
        <v>25</v>
      </c>
      <c r="L641" s="2">
        <v>0</v>
      </c>
      <c r="M641" s="2">
        <v>5</v>
      </c>
      <c r="N641" s="2">
        <v>10</v>
      </c>
      <c r="O641" s="2">
        <v>5</v>
      </c>
      <c r="P641" s="2">
        <v>5</v>
      </c>
      <c r="Q641" s="2" t="s">
        <v>3140</v>
      </c>
      <c r="R641" s="2" t="s">
        <v>3141</v>
      </c>
      <c r="S641" s="4">
        <v>44949</v>
      </c>
    </row>
    <row r="642" spans="1:19" ht="12.5" hidden="1" x14ac:dyDescent="0.25">
      <c r="A642" s="14" t="str">
        <f>HYPERLINK("https://gerandofalcoes.my.salesforce.com/0014X00002YggltQAB", "0014X00002YggltQAB")</f>
        <v>0014X00002YggltQAB</v>
      </c>
      <c r="B642" s="2" t="s">
        <v>3142</v>
      </c>
      <c r="C642" s="2" t="s">
        <v>423</v>
      </c>
      <c r="D642" s="2" t="s">
        <v>2</v>
      </c>
      <c r="E642" s="2"/>
      <c r="F642" s="2">
        <v>0</v>
      </c>
      <c r="G642" s="2">
        <v>5</v>
      </c>
      <c r="H642" s="2">
        <v>3000</v>
      </c>
      <c r="I642" s="2">
        <v>10</v>
      </c>
      <c r="J642" s="2" t="s">
        <v>1779</v>
      </c>
      <c r="K642" s="2">
        <v>20</v>
      </c>
      <c r="L642" s="2">
        <v>0</v>
      </c>
      <c r="M642" s="2">
        <v>0</v>
      </c>
      <c r="N642" s="2">
        <v>10</v>
      </c>
      <c r="O642" s="2">
        <v>5</v>
      </c>
      <c r="P642" s="2">
        <v>5</v>
      </c>
      <c r="Q642" s="2" t="s">
        <v>3143</v>
      </c>
      <c r="R642" s="2" t="s">
        <v>3143</v>
      </c>
      <c r="S642" s="4">
        <v>44949</v>
      </c>
    </row>
    <row r="643" spans="1:19" ht="12.5" hidden="1" x14ac:dyDescent="0.25">
      <c r="A643" s="14" t="str">
        <f>HYPERLINK("https://gerandofalcoes.my.salesforce.com/0014X00002YggglQAB", "0014X00002YggglQAB")</f>
        <v>0014X00002YggglQAB</v>
      </c>
      <c r="B643" s="2" t="s">
        <v>3144</v>
      </c>
      <c r="C643" s="2" t="s">
        <v>423</v>
      </c>
      <c r="D643" s="2" t="s">
        <v>2</v>
      </c>
      <c r="E643" s="2"/>
      <c r="F643" s="2">
        <v>0</v>
      </c>
      <c r="G643" s="2">
        <v>2</v>
      </c>
      <c r="H643" s="2">
        <v>15000</v>
      </c>
      <c r="I643" s="2">
        <v>0</v>
      </c>
      <c r="J643" s="2" t="s">
        <v>1779</v>
      </c>
      <c r="K643" s="2">
        <v>11</v>
      </c>
      <c r="L643" s="2">
        <v>0</v>
      </c>
      <c r="M643" s="2">
        <v>0</v>
      </c>
      <c r="N643" s="2">
        <v>6</v>
      </c>
      <c r="O643" s="2">
        <v>5</v>
      </c>
      <c r="P643" s="2">
        <v>0</v>
      </c>
      <c r="Q643" s="2" t="s">
        <v>3145</v>
      </c>
      <c r="R643" s="2" t="s">
        <v>3145</v>
      </c>
      <c r="S643" s="4">
        <v>44949</v>
      </c>
    </row>
    <row r="644" spans="1:19" ht="12.5" hidden="1" x14ac:dyDescent="0.25">
      <c r="A644" s="14" t="str">
        <f>HYPERLINK("https://gerandofalcoes.my.salesforce.com/0014X00002YggimQAB", "0014X00002YggimQAB")</f>
        <v>0014X00002YggimQAB</v>
      </c>
      <c r="B644" s="2" t="s">
        <v>3146</v>
      </c>
      <c r="C644" s="2" t="s">
        <v>423</v>
      </c>
      <c r="D644" s="2" t="s">
        <v>2</v>
      </c>
      <c r="E644" s="2"/>
      <c r="F644" s="2">
        <v>0</v>
      </c>
      <c r="G644" s="2">
        <v>2</v>
      </c>
      <c r="H644" s="2">
        <v>200</v>
      </c>
      <c r="I644" s="2">
        <v>0</v>
      </c>
      <c r="J644" s="2" t="s">
        <v>1779</v>
      </c>
      <c r="K644" s="2">
        <v>11</v>
      </c>
      <c r="L644" s="2">
        <v>0</v>
      </c>
      <c r="M644" s="2">
        <v>0</v>
      </c>
      <c r="N644" s="2">
        <v>6</v>
      </c>
      <c r="O644" s="2">
        <v>5</v>
      </c>
      <c r="P644" s="2">
        <v>0</v>
      </c>
      <c r="Q644" s="2" t="s">
        <v>3147</v>
      </c>
      <c r="R644" s="2" t="s">
        <v>3148</v>
      </c>
      <c r="S644" s="4">
        <v>44949</v>
      </c>
    </row>
    <row r="645" spans="1:19" ht="12.5" hidden="1" x14ac:dyDescent="0.25">
      <c r="A645" s="14" t="str">
        <f>HYPERLINK("https://gerandofalcoes.my.salesforce.com/0014X00002YggiQQAR", "0014X00002YggiQQAR")</f>
        <v>0014X00002YggiQQAR</v>
      </c>
      <c r="B645" s="2" t="s">
        <v>3149</v>
      </c>
      <c r="C645" s="2" t="s">
        <v>423</v>
      </c>
      <c r="D645" s="2" t="s">
        <v>2</v>
      </c>
      <c r="E645" s="2">
        <v>40.299999999999997</v>
      </c>
      <c r="F645" s="2">
        <v>30</v>
      </c>
      <c r="G645" s="2">
        <v>5</v>
      </c>
      <c r="H645" s="2">
        <v>190000</v>
      </c>
      <c r="I645" s="2">
        <v>178</v>
      </c>
      <c r="J645" s="2" t="s">
        <v>1671</v>
      </c>
      <c r="K645" s="2">
        <v>64</v>
      </c>
      <c r="L645" s="2">
        <v>15</v>
      </c>
      <c r="M645" s="2">
        <v>12</v>
      </c>
      <c r="N645" s="2">
        <v>10</v>
      </c>
      <c r="O645" s="2">
        <v>15</v>
      </c>
      <c r="P645" s="2">
        <v>12</v>
      </c>
      <c r="Q645" s="2" t="s">
        <v>3150</v>
      </c>
      <c r="R645" s="2" t="s">
        <v>3151</v>
      </c>
      <c r="S645" s="4">
        <v>44950</v>
      </c>
    </row>
    <row r="646" spans="1:19" ht="12.5" hidden="1" x14ac:dyDescent="0.25">
      <c r="A646" s="14" t="str">
        <f>HYPERLINK("https://gerandofalcoes.my.salesforce.com/0014X00002Yggi2QAB", "0014X00002Yggi2QAB")</f>
        <v>0014X00002Yggi2QAB</v>
      </c>
      <c r="B646" s="2" t="s">
        <v>3152</v>
      </c>
      <c r="C646" s="2" t="s">
        <v>423</v>
      </c>
      <c r="D646" s="2" t="s">
        <v>2</v>
      </c>
      <c r="E646" s="2">
        <v>22.16</v>
      </c>
      <c r="F646" s="2">
        <v>0</v>
      </c>
      <c r="G646" s="2">
        <v>2</v>
      </c>
      <c r="H646" s="2">
        <v>1200</v>
      </c>
      <c r="I646" s="2">
        <v>320</v>
      </c>
      <c r="J646" s="2" t="s">
        <v>1779</v>
      </c>
      <c r="K646" s="2">
        <v>36</v>
      </c>
      <c r="L646" s="2">
        <v>10</v>
      </c>
      <c r="M646" s="2">
        <v>0</v>
      </c>
      <c r="N646" s="2">
        <v>6</v>
      </c>
      <c r="O646" s="2">
        <v>5</v>
      </c>
      <c r="P646" s="2">
        <v>15</v>
      </c>
      <c r="Q646" s="2" t="s">
        <v>3153</v>
      </c>
      <c r="R646" s="2" t="s">
        <v>3153</v>
      </c>
      <c r="S646" s="4">
        <v>44950</v>
      </c>
    </row>
    <row r="647" spans="1:19" ht="12.5" hidden="1" x14ac:dyDescent="0.25">
      <c r="A647" s="14" t="str">
        <f>HYPERLINK("https://gerandofalcoes.my.salesforce.com/0014X00002YgglYQAR", "0014X00002YgglYQAR")</f>
        <v>0014X00002YgglYQAR</v>
      </c>
      <c r="B647" s="2" t="s">
        <v>3154</v>
      </c>
      <c r="C647" s="2" t="s">
        <v>423</v>
      </c>
      <c r="D647" s="2" t="s">
        <v>2</v>
      </c>
      <c r="E647" s="2">
        <v>13.07</v>
      </c>
      <c r="F647" s="2">
        <v>0</v>
      </c>
      <c r="G647" s="2">
        <v>2</v>
      </c>
      <c r="H647" s="2">
        <v>5000</v>
      </c>
      <c r="I647" s="2">
        <v>30</v>
      </c>
      <c r="J647" s="2" t="s">
        <v>1779</v>
      </c>
      <c r="K647" s="2">
        <v>26</v>
      </c>
      <c r="L647" s="2">
        <v>10</v>
      </c>
      <c r="M647" s="2">
        <v>0</v>
      </c>
      <c r="N647" s="2">
        <v>6</v>
      </c>
      <c r="O647" s="2">
        <v>5</v>
      </c>
      <c r="P647" s="2">
        <v>5</v>
      </c>
      <c r="Q647" s="2" t="s">
        <v>3155</v>
      </c>
      <c r="R647" s="2" t="s">
        <v>3156</v>
      </c>
      <c r="S647" s="4">
        <v>44950</v>
      </c>
    </row>
    <row r="648" spans="1:19" ht="12.5" hidden="1" x14ac:dyDescent="0.25">
      <c r="A648" s="14" t="str">
        <f>HYPERLINK("https://gerandofalcoes.my.salesforce.com/0014X00002YgbkdQAB", "0014X00002YgbkdQAB")</f>
        <v>0014X00002YgbkdQAB</v>
      </c>
      <c r="B648" s="2" t="s">
        <v>3157</v>
      </c>
      <c r="C648" s="2" t="s">
        <v>423</v>
      </c>
      <c r="D648" s="2" t="s">
        <v>2</v>
      </c>
      <c r="E648" s="2">
        <v>10.9</v>
      </c>
      <c r="F648" s="2">
        <v>0</v>
      </c>
      <c r="G648" s="2">
        <v>0</v>
      </c>
      <c r="H648" s="2">
        <v>0</v>
      </c>
      <c r="I648" s="2">
        <v>0</v>
      </c>
      <c r="J648" s="2" t="s">
        <v>1779</v>
      </c>
      <c r="K648" s="2">
        <v>10</v>
      </c>
      <c r="L648" s="2">
        <v>10</v>
      </c>
      <c r="M648" s="2">
        <v>0</v>
      </c>
      <c r="N648" s="2">
        <v>0</v>
      </c>
      <c r="O648" s="2">
        <v>0</v>
      </c>
      <c r="P648" s="2">
        <v>0</v>
      </c>
      <c r="Q648" s="2" t="s">
        <v>3158</v>
      </c>
      <c r="R648" s="2" t="s">
        <v>3159</v>
      </c>
      <c r="S648" s="4">
        <v>44950</v>
      </c>
    </row>
    <row r="649" spans="1:19" ht="12.5" hidden="1" x14ac:dyDescent="0.25">
      <c r="A649" s="14" t="str">
        <f>HYPERLINK("https://gerandofalcoes.my.salesforce.com/0014X00002YggmUQAR", "0014X00002YggmUQAR")</f>
        <v>0014X00002YggmUQAR</v>
      </c>
      <c r="B649" s="2" t="s">
        <v>3160</v>
      </c>
      <c r="C649" s="2" t="s">
        <v>423</v>
      </c>
      <c r="D649" s="2" t="s">
        <v>2</v>
      </c>
      <c r="E649" s="2">
        <v>10.23</v>
      </c>
      <c r="F649" s="2">
        <v>2</v>
      </c>
      <c r="G649" s="2">
        <v>2</v>
      </c>
      <c r="H649" s="2">
        <v>24750</v>
      </c>
      <c r="I649" s="2">
        <v>190</v>
      </c>
      <c r="J649" s="2" t="s">
        <v>1779</v>
      </c>
      <c r="K649" s="2">
        <v>38</v>
      </c>
      <c r="L649" s="2">
        <v>10</v>
      </c>
      <c r="M649" s="2">
        <v>5</v>
      </c>
      <c r="N649" s="2">
        <v>6</v>
      </c>
      <c r="O649" s="2">
        <v>5</v>
      </c>
      <c r="P649" s="2">
        <v>12</v>
      </c>
      <c r="Q649" s="2" t="s">
        <v>3161</v>
      </c>
      <c r="R649" s="2" t="s">
        <v>3162</v>
      </c>
      <c r="S649" s="4">
        <v>44950</v>
      </c>
    </row>
    <row r="650" spans="1:19" ht="12.5" hidden="1" x14ac:dyDescent="0.25">
      <c r="A650" s="14" t="str">
        <f>HYPERLINK("https://gerandofalcoes.my.salesforce.com/0014X00002YgghdQAB", "0014X00002YgghdQAB")</f>
        <v>0014X00002YgghdQAB</v>
      </c>
      <c r="B650" s="2" t="s">
        <v>3163</v>
      </c>
      <c r="C650" s="2" t="s">
        <v>423</v>
      </c>
      <c r="D650" s="2" t="s">
        <v>2</v>
      </c>
      <c r="E650" s="2"/>
      <c r="F650" s="2">
        <v>0</v>
      </c>
      <c r="G650" s="2">
        <v>4</v>
      </c>
      <c r="H650" s="2">
        <v>2000</v>
      </c>
      <c r="I650" s="2">
        <v>300</v>
      </c>
      <c r="J650" s="2" t="s">
        <v>1779</v>
      </c>
      <c r="K650" s="2">
        <v>30</v>
      </c>
      <c r="L650" s="2">
        <v>0</v>
      </c>
      <c r="M650" s="2">
        <v>0</v>
      </c>
      <c r="N650" s="2">
        <v>10</v>
      </c>
      <c r="O650" s="2">
        <v>5</v>
      </c>
      <c r="P650" s="2">
        <v>15</v>
      </c>
      <c r="Q650" s="2" t="s">
        <v>3164</v>
      </c>
      <c r="R650" s="2" t="s">
        <v>3165</v>
      </c>
      <c r="S650" s="4">
        <v>44950</v>
      </c>
    </row>
    <row r="651" spans="1:19" ht="12.5" hidden="1" x14ac:dyDescent="0.25">
      <c r="A651" s="14" t="str">
        <f>HYPERLINK("https://gerandofalcoes.my.salesforce.com/0014X00002YggnfQAB", "0014X00002YggnfQAB")</f>
        <v>0014X00002YggnfQAB</v>
      </c>
      <c r="B651" s="2" t="s">
        <v>3166</v>
      </c>
      <c r="C651" s="2" t="s">
        <v>423</v>
      </c>
      <c r="D651" s="2" t="s">
        <v>2</v>
      </c>
      <c r="E651" s="2"/>
      <c r="F651" s="2">
        <v>1</v>
      </c>
      <c r="G651" s="2">
        <v>4</v>
      </c>
      <c r="H651" s="2">
        <v>4000</v>
      </c>
      <c r="I651" s="2">
        <v>90</v>
      </c>
      <c r="J651" s="2" t="s">
        <v>1779</v>
      </c>
      <c r="K651" s="2">
        <v>30</v>
      </c>
      <c r="L651" s="2">
        <v>0</v>
      </c>
      <c r="M651" s="2">
        <v>5</v>
      </c>
      <c r="N651" s="2">
        <v>10</v>
      </c>
      <c r="O651" s="2">
        <v>5</v>
      </c>
      <c r="P651" s="2">
        <v>10</v>
      </c>
      <c r="Q651" s="2" t="s">
        <v>3167</v>
      </c>
      <c r="R651" s="2" t="s">
        <v>3167</v>
      </c>
      <c r="S651" s="4">
        <v>44950</v>
      </c>
    </row>
    <row r="652" spans="1:19" ht="12.5" hidden="1" x14ac:dyDescent="0.25">
      <c r="A652" s="14" t="str">
        <f>HYPERLINK("https://gerandofalcoes.my.salesforce.com/0014X00002YggprQAB", "0014X00002YggprQAB")</f>
        <v>0014X00002YggprQAB</v>
      </c>
      <c r="B652" s="2" t="s">
        <v>3168</v>
      </c>
      <c r="C652" s="2" t="s">
        <v>423</v>
      </c>
      <c r="D652" s="2" t="s">
        <v>2</v>
      </c>
      <c r="E652" s="2"/>
      <c r="F652" s="2">
        <v>0</v>
      </c>
      <c r="G652" s="2">
        <v>2</v>
      </c>
      <c r="H652" s="2">
        <v>300</v>
      </c>
      <c r="I652" s="2">
        <v>60</v>
      </c>
      <c r="J652" s="2" t="s">
        <v>1779</v>
      </c>
      <c r="K652" s="2">
        <v>16</v>
      </c>
      <c r="L652" s="2">
        <v>0</v>
      </c>
      <c r="M652" s="2">
        <v>0</v>
      </c>
      <c r="N652" s="2">
        <v>6</v>
      </c>
      <c r="O652" s="2">
        <v>5</v>
      </c>
      <c r="P652" s="2">
        <v>5</v>
      </c>
      <c r="Q652" s="2" t="s">
        <v>3169</v>
      </c>
      <c r="R652" s="2" t="s">
        <v>3170</v>
      </c>
      <c r="S652" s="4">
        <v>44950</v>
      </c>
    </row>
    <row r="653" spans="1:19" ht="12.5" hidden="1" x14ac:dyDescent="0.25">
      <c r="A653" s="14" t="str">
        <f>HYPERLINK("https://gerandofalcoes.my.salesforce.com/0014X00002YggquQAB", "0014X00002YggquQAB")</f>
        <v>0014X00002YggquQAB</v>
      </c>
      <c r="B653" s="2" t="s">
        <v>3171</v>
      </c>
      <c r="C653" s="2" t="s">
        <v>423</v>
      </c>
      <c r="D653" s="2" t="s">
        <v>2</v>
      </c>
      <c r="E653" s="2"/>
      <c r="F653" s="2">
        <v>4</v>
      </c>
      <c r="G653" s="2">
        <v>11</v>
      </c>
      <c r="H653" s="2">
        <v>0</v>
      </c>
      <c r="I653" s="2">
        <v>0</v>
      </c>
      <c r="J653" s="2" t="s">
        <v>1779</v>
      </c>
      <c r="K653" s="2">
        <v>15</v>
      </c>
      <c r="L653" s="2">
        <v>0</v>
      </c>
      <c r="M653" s="2">
        <v>5</v>
      </c>
      <c r="N653" s="2">
        <v>10</v>
      </c>
      <c r="O653" s="2">
        <v>0</v>
      </c>
      <c r="P653" s="2">
        <v>0</v>
      </c>
      <c r="Q653" s="2" t="s">
        <v>3172</v>
      </c>
      <c r="R653" s="2" t="s">
        <v>3172</v>
      </c>
      <c r="S653" s="4">
        <v>44950</v>
      </c>
    </row>
    <row r="654" spans="1:19" ht="12.5" hidden="1" x14ac:dyDescent="0.25">
      <c r="A654" s="14" t="str">
        <f>HYPERLINK("https://gerandofalcoes.my.salesforce.com/0014X00002YggnGQAR", "0014X00002YggnGQAR")</f>
        <v>0014X00002YggnGQAR</v>
      </c>
      <c r="B654" s="2" t="s">
        <v>3173</v>
      </c>
      <c r="C654" s="2" t="s">
        <v>423</v>
      </c>
      <c r="D654" s="2" t="s">
        <v>2</v>
      </c>
      <c r="E654" s="2"/>
      <c r="F654" s="2">
        <v>0</v>
      </c>
      <c r="G654" s="2">
        <v>3</v>
      </c>
      <c r="H654" s="2">
        <v>10000</v>
      </c>
      <c r="I654" s="2">
        <v>0</v>
      </c>
      <c r="J654" s="2" t="s">
        <v>1779</v>
      </c>
      <c r="K654" s="2">
        <v>13</v>
      </c>
      <c r="L654" s="2">
        <v>0</v>
      </c>
      <c r="M654" s="2">
        <v>0</v>
      </c>
      <c r="N654" s="2">
        <v>8</v>
      </c>
      <c r="O654" s="2">
        <v>5</v>
      </c>
      <c r="P654" s="2">
        <v>0</v>
      </c>
      <c r="Q654" s="2" t="s">
        <v>3174</v>
      </c>
      <c r="R654" s="2" t="s">
        <v>3175</v>
      </c>
      <c r="S654" s="4">
        <v>44950</v>
      </c>
    </row>
    <row r="655" spans="1:19" ht="12.5" hidden="1" x14ac:dyDescent="0.25">
      <c r="A655" s="14" t="str">
        <f>HYPERLINK("https://gerandofalcoes.my.salesforce.com/0014X00002YggouQAB", "0014X00002YggouQAB")</f>
        <v>0014X00002YggouQAB</v>
      </c>
      <c r="B655" s="2" t="s">
        <v>3176</v>
      </c>
      <c r="C655" s="2" t="s">
        <v>423</v>
      </c>
      <c r="D655" s="2" t="s">
        <v>2</v>
      </c>
      <c r="E655" s="2">
        <v>31.94</v>
      </c>
      <c r="F655" s="2">
        <v>0</v>
      </c>
      <c r="G655" s="2">
        <v>2</v>
      </c>
      <c r="H655" s="2">
        <v>15000</v>
      </c>
      <c r="I655" s="2">
        <v>100</v>
      </c>
      <c r="J655" s="2" t="s">
        <v>1779</v>
      </c>
      <c r="K655" s="2">
        <v>36</v>
      </c>
      <c r="L655" s="2">
        <v>15</v>
      </c>
      <c r="M655" s="2">
        <v>0</v>
      </c>
      <c r="N655" s="2">
        <v>6</v>
      </c>
      <c r="O655" s="2">
        <v>5</v>
      </c>
      <c r="P655" s="2">
        <v>10</v>
      </c>
      <c r="Q655" s="2" t="s">
        <v>3177</v>
      </c>
      <c r="R655" s="2" t="s">
        <v>3178</v>
      </c>
      <c r="S655" s="4">
        <v>44951</v>
      </c>
    </row>
    <row r="656" spans="1:19" ht="12.5" hidden="1" x14ac:dyDescent="0.25">
      <c r="A656" s="14" t="str">
        <f>HYPERLINK("https://gerandofalcoes.my.salesforce.com/0014X00002YgghvQAB", "0014X00002YgghvQAB")</f>
        <v>0014X00002YgghvQAB</v>
      </c>
      <c r="B656" s="2" t="s">
        <v>3179</v>
      </c>
      <c r="C656" s="2" t="s">
        <v>423</v>
      </c>
      <c r="D656" s="2" t="s">
        <v>2</v>
      </c>
      <c r="E656" s="2">
        <v>30.93</v>
      </c>
      <c r="F656" s="2">
        <v>18</v>
      </c>
      <c r="G656" s="2">
        <v>3</v>
      </c>
      <c r="H656" s="2">
        <v>100000</v>
      </c>
      <c r="I656" s="2">
        <v>850</v>
      </c>
      <c r="J656" s="2" t="s">
        <v>1650</v>
      </c>
      <c r="K656" s="2">
        <v>70</v>
      </c>
      <c r="L656" s="2">
        <v>15</v>
      </c>
      <c r="M656" s="2">
        <v>12</v>
      </c>
      <c r="N656" s="2">
        <v>8</v>
      </c>
      <c r="O656" s="2">
        <v>15</v>
      </c>
      <c r="P656" s="2">
        <v>20</v>
      </c>
      <c r="Q656" s="2" t="s">
        <v>3180</v>
      </c>
      <c r="R656" s="2" t="s">
        <v>3181</v>
      </c>
      <c r="S656" s="4">
        <v>44951</v>
      </c>
    </row>
    <row r="657" spans="1:19" ht="12.5" hidden="1" x14ac:dyDescent="0.25">
      <c r="A657" s="14" t="str">
        <f>HYPERLINK("https://gerandofalcoes.my.salesforce.com/0014X00002YggiVQAR", "0014X00002YggiVQAR")</f>
        <v>0014X00002YggiVQAR</v>
      </c>
      <c r="B657" s="2" t="s">
        <v>3182</v>
      </c>
      <c r="C657" s="2" t="s">
        <v>423</v>
      </c>
      <c r="D657" s="2" t="s">
        <v>2</v>
      </c>
      <c r="E657" s="2">
        <v>17.91</v>
      </c>
      <c r="F657" s="2">
        <v>10</v>
      </c>
      <c r="G657" s="2">
        <v>2</v>
      </c>
      <c r="H657" s="2">
        <v>8000</v>
      </c>
      <c r="I657" s="2">
        <v>40</v>
      </c>
      <c r="J657" s="2" t="s">
        <v>1779</v>
      </c>
      <c r="K657" s="2">
        <v>36</v>
      </c>
      <c r="L657" s="2">
        <v>10</v>
      </c>
      <c r="M657" s="2">
        <v>10</v>
      </c>
      <c r="N657" s="2">
        <v>6</v>
      </c>
      <c r="O657" s="2">
        <v>5</v>
      </c>
      <c r="P657" s="2">
        <v>5</v>
      </c>
      <c r="Q657" s="2" t="s">
        <v>3183</v>
      </c>
      <c r="R657" s="2" t="s">
        <v>3184</v>
      </c>
      <c r="S657" s="4">
        <v>44951</v>
      </c>
    </row>
    <row r="658" spans="1:19" ht="12.5" hidden="1" x14ac:dyDescent="0.25">
      <c r="A658" s="14" t="str">
        <f>HYPERLINK("https://gerandofalcoes.my.salesforce.com/0014X00002Yggi6QAB", "0014X00002Yggi6QAB")</f>
        <v>0014X00002Yggi6QAB</v>
      </c>
      <c r="B658" s="2" t="s">
        <v>3185</v>
      </c>
      <c r="C658" s="2" t="s">
        <v>423</v>
      </c>
      <c r="D658" s="2" t="s">
        <v>2</v>
      </c>
      <c r="E658" s="2">
        <v>7.78</v>
      </c>
      <c r="F658" s="2">
        <v>0</v>
      </c>
      <c r="G658" s="2">
        <v>2</v>
      </c>
      <c r="H658" s="2">
        <v>5000</v>
      </c>
      <c r="I658" s="2">
        <v>10</v>
      </c>
      <c r="J658" s="2" t="s">
        <v>1779</v>
      </c>
      <c r="K658" s="2">
        <v>26</v>
      </c>
      <c r="L658" s="2">
        <v>10</v>
      </c>
      <c r="M658" s="2">
        <v>0</v>
      </c>
      <c r="N658" s="2">
        <v>6</v>
      </c>
      <c r="O658" s="2">
        <v>5</v>
      </c>
      <c r="P658" s="2">
        <v>5</v>
      </c>
      <c r="Q658" s="2" t="s">
        <v>3186</v>
      </c>
      <c r="R658" s="2" t="s">
        <v>3187</v>
      </c>
      <c r="S658" s="4">
        <v>44951</v>
      </c>
    </row>
    <row r="659" spans="1:19" ht="12.5" hidden="1" x14ac:dyDescent="0.25">
      <c r="A659" s="14" t="str">
        <f>HYPERLINK("https://gerandofalcoes.my.salesforce.com/0014X00002YgglMQAR", "0014X00002YgglMQAR")</f>
        <v>0014X00002YgglMQAR</v>
      </c>
      <c r="B659" s="2" t="s">
        <v>3188</v>
      </c>
      <c r="C659" s="2" t="s">
        <v>423</v>
      </c>
      <c r="D659" s="2" t="s">
        <v>2</v>
      </c>
      <c r="E659" s="2">
        <v>3.65</v>
      </c>
      <c r="F659" s="2">
        <v>1</v>
      </c>
      <c r="G659" s="2">
        <v>2</v>
      </c>
      <c r="H659" s="2">
        <v>12000</v>
      </c>
      <c r="I659" s="2">
        <v>3</v>
      </c>
      <c r="J659" s="2" t="s">
        <v>1779</v>
      </c>
      <c r="K659" s="2">
        <v>31</v>
      </c>
      <c r="L659" s="2">
        <v>10</v>
      </c>
      <c r="M659" s="2">
        <v>5</v>
      </c>
      <c r="N659" s="2">
        <v>6</v>
      </c>
      <c r="O659" s="2">
        <v>5</v>
      </c>
      <c r="P659" s="2">
        <v>5</v>
      </c>
      <c r="Q659" s="2" t="s">
        <v>3189</v>
      </c>
      <c r="R659" s="2" t="s">
        <v>3190</v>
      </c>
      <c r="S659" s="4">
        <v>44951</v>
      </c>
    </row>
    <row r="660" spans="1:19" ht="12.5" hidden="1" x14ac:dyDescent="0.25">
      <c r="A660" s="14" t="str">
        <f>HYPERLINK("https://gerandofalcoes.my.salesforce.com/0014X00002YggpNQAR", "0014X00002YggpNQAR")</f>
        <v>0014X00002YggpNQAR</v>
      </c>
      <c r="B660" s="2" t="s">
        <v>3191</v>
      </c>
      <c r="C660" s="2" t="s">
        <v>423</v>
      </c>
      <c r="D660" s="2" t="s">
        <v>2</v>
      </c>
      <c r="E660" s="2">
        <v>2.38</v>
      </c>
      <c r="F660" s="2">
        <v>0</v>
      </c>
      <c r="G660" s="2">
        <v>2</v>
      </c>
      <c r="H660" s="2">
        <v>3500</v>
      </c>
      <c r="I660" s="2">
        <v>25</v>
      </c>
      <c r="J660" s="2" t="s">
        <v>1779</v>
      </c>
      <c r="K660" s="2">
        <v>26</v>
      </c>
      <c r="L660" s="2">
        <v>10</v>
      </c>
      <c r="M660" s="2">
        <v>0</v>
      </c>
      <c r="N660" s="2">
        <v>6</v>
      </c>
      <c r="O660" s="2">
        <v>5</v>
      </c>
      <c r="P660" s="2">
        <v>5</v>
      </c>
      <c r="Q660" s="2" t="s">
        <v>3192</v>
      </c>
      <c r="R660" s="2" t="s">
        <v>3193</v>
      </c>
      <c r="S660" s="4">
        <v>44951</v>
      </c>
    </row>
    <row r="661" spans="1:19" ht="12.5" hidden="1" x14ac:dyDescent="0.25">
      <c r="A661" s="14" t="str">
        <f>HYPERLINK("https://gerandofalcoes.my.salesforce.com/0014X00002YggjOQAR", "0014X00002YggjOQAR")</f>
        <v>0014X00002YggjOQAR</v>
      </c>
      <c r="B661" s="2" t="s">
        <v>2649</v>
      </c>
      <c r="C661" s="2" t="s">
        <v>423</v>
      </c>
      <c r="D661" s="2" t="s">
        <v>2</v>
      </c>
      <c r="E661" s="2">
        <v>2.33</v>
      </c>
      <c r="F661" s="2">
        <v>0</v>
      </c>
      <c r="G661" s="2">
        <v>6</v>
      </c>
      <c r="H661" s="2">
        <v>0</v>
      </c>
      <c r="I661" s="2">
        <v>0</v>
      </c>
      <c r="J661" s="2" t="s">
        <v>1779</v>
      </c>
      <c r="K661" s="2">
        <v>20</v>
      </c>
      <c r="L661" s="2">
        <v>10</v>
      </c>
      <c r="M661" s="2">
        <v>0</v>
      </c>
      <c r="N661" s="2">
        <v>10</v>
      </c>
      <c r="O661" s="2">
        <v>0</v>
      </c>
      <c r="P661" s="2">
        <v>0</v>
      </c>
      <c r="Q661" s="2" t="s">
        <v>3194</v>
      </c>
      <c r="R661" s="2" t="s">
        <v>3194</v>
      </c>
      <c r="S661" s="4">
        <v>44951</v>
      </c>
    </row>
    <row r="662" spans="1:19" ht="12.5" hidden="1" x14ac:dyDescent="0.25">
      <c r="A662" s="14" t="str">
        <f>HYPERLINK("https://gerandofalcoes.my.salesforce.com/0014X00002YggoXQAR", "0014X00002YggoXQAR")</f>
        <v>0014X00002YggoXQAR</v>
      </c>
      <c r="B662" s="2" t="s">
        <v>3195</v>
      </c>
      <c r="C662" s="2" t="s">
        <v>423</v>
      </c>
      <c r="D662" s="2" t="s">
        <v>2</v>
      </c>
      <c r="E662" s="2">
        <v>2.2200000000000002</v>
      </c>
      <c r="F662" s="2">
        <v>10</v>
      </c>
      <c r="G662" s="2">
        <v>2</v>
      </c>
      <c r="H662" s="2">
        <v>8000</v>
      </c>
      <c r="I662" s="2">
        <v>60</v>
      </c>
      <c r="J662" s="2" t="s">
        <v>1779</v>
      </c>
      <c r="K662" s="2">
        <v>36</v>
      </c>
      <c r="L662" s="2">
        <v>10</v>
      </c>
      <c r="M662" s="2">
        <v>10</v>
      </c>
      <c r="N662" s="2">
        <v>6</v>
      </c>
      <c r="O662" s="2">
        <v>5</v>
      </c>
      <c r="P662" s="2">
        <v>5</v>
      </c>
      <c r="Q662" s="2" t="s">
        <v>3196</v>
      </c>
      <c r="R662" s="2" t="s">
        <v>3197</v>
      </c>
      <c r="S662" s="4">
        <v>44951</v>
      </c>
    </row>
    <row r="663" spans="1:19" ht="12.5" hidden="1" x14ac:dyDescent="0.25">
      <c r="A663" s="14" t="str">
        <f>HYPERLINK("https://gerandofalcoes.my.salesforce.com/0014X00002YggmRQAR", "0014X00002YggmRQAR")</f>
        <v>0014X00002YggmRQAR</v>
      </c>
      <c r="B663" s="2" t="s">
        <v>3198</v>
      </c>
      <c r="C663" s="2" t="s">
        <v>423</v>
      </c>
      <c r="D663" s="2" t="s">
        <v>2</v>
      </c>
      <c r="E663" s="2">
        <v>2.1</v>
      </c>
      <c r="F663" s="2">
        <v>0</v>
      </c>
      <c r="G663" s="2">
        <v>2</v>
      </c>
      <c r="H663" s="2">
        <v>5000</v>
      </c>
      <c r="I663" s="2">
        <v>20</v>
      </c>
      <c r="J663" s="2" t="s">
        <v>1779</v>
      </c>
      <c r="K663" s="2">
        <v>26</v>
      </c>
      <c r="L663" s="2">
        <v>10</v>
      </c>
      <c r="M663" s="2">
        <v>0</v>
      </c>
      <c r="N663" s="2">
        <v>6</v>
      </c>
      <c r="O663" s="2">
        <v>5</v>
      </c>
      <c r="P663" s="2">
        <v>5</v>
      </c>
      <c r="Q663" s="2" t="s">
        <v>3199</v>
      </c>
      <c r="R663" s="2" t="s">
        <v>3199</v>
      </c>
      <c r="S663" s="4">
        <v>44951</v>
      </c>
    </row>
    <row r="664" spans="1:19" ht="12.5" hidden="1" x14ac:dyDescent="0.25">
      <c r="A664" s="14" t="str">
        <f>HYPERLINK("https://gerandofalcoes.my.salesforce.com/0014X00002YgbkpQAB", "0014X00002YgbkpQAB")</f>
        <v>0014X00002YgbkpQAB</v>
      </c>
      <c r="B664" s="2" t="s">
        <v>3200</v>
      </c>
      <c r="C664" s="2" t="s">
        <v>423</v>
      </c>
      <c r="D664" s="2" t="s">
        <v>2</v>
      </c>
      <c r="E664" s="2">
        <v>1.67</v>
      </c>
      <c r="F664" s="2">
        <v>0</v>
      </c>
      <c r="G664" s="2">
        <v>0</v>
      </c>
      <c r="H664" s="2">
        <v>0</v>
      </c>
      <c r="I664" s="2">
        <v>0</v>
      </c>
      <c r="J664" s="2" t="s">
        <v>1779</v>
      </c>
      <c r="K664" s="2">
        <v>10</v>
      </c>
      <c r="L664" s="2">
        <v>10</v>
      </c>
      <c r="M664" s="2">
        <v>0</v>
      </c>
      <c r="N664" s="2">
        <v>0</v>
      </c>
      <c r="O664" s="2">
        <v>0</v>
      </c>
      <c r="P664" s="2">
        <v>0</v>
      </c>
      <c r="Q664" s="2" t="s">
        <v>3201</v>
      </c>
      <c r="R664" s="2" t="s">
        <v>3201</v>
      </c>
      <c r="S664" s="4">
        <v>44951</v>
      </c>
    </row>
    <row r="665" spans="1:19" ht="12.5" hidden="1" x14ac:dyDescent="0.25">
      <c r="A665" s="14" t="str">
        <f>HYPERLINK("https://gerandofalcoes.my.salesforce.com/0014X00002YggpQQAR", "0014X00002YggpQQAR")</f>
        <v>0014X00002YggpQQAR</v>
      </c>
      <c r="B665" s="2" t="s">
        <v>3202</v>
      </c>
      <c r="C665" s="2" t="s">
        <v>423</v>
      </c>
      <c r="D665" s="2" t="s">
        <v>2</v>
      </c>
      <c r="E665" s="2">
        <v>0.43</v>
      </c>
      <c r="F665" s="2">
        <v>1</v>
      </c>
      <c r="G665" s="2">
        <v>3</v>
      </c>
      <c r="H665" s="2">
        <v>3000</v>
      </c>
      <c r="I665" s="2">
        <v>50</v>
      </c>
      <c r="J665" s="2" t="s">
        <v>1779</v>
      </c>
      <c r="K665" s="2">
        <v>23</v>
      </c>
      <c r="L665" s="2">
        <v>0</v>
      </c>
      <c r="M665" s="2">
        <v>5</v>
      </c>
      <c r="N665" s="2">
        <v>8</v>
      </c>
      <c r="O665" s="2">
        <v>5</v>
      </c>
      <c r="P665" s="2">
        <v>5</v>
      </c>
      <c r="Q665" s="2" t="s">
        <v>3203</v>
      </c>
      <c r="R665" s="2" t="s">
        <v>3203</v>
      </c>
      <c r="S665" s="4">
        <v>44951</v>
      </c>
    </row>
    <row r="666" spans="1:19" ht="12.5" hidden="1" x14ac:dyDescent="0.25">
      <c r="A666" s="14" t="str">
        <f>HYPERLINK("https://gerandofalcoes.my.salesforce.com/0014X00002Yggl7QAB", "0014X00002Yggl7QAB")</f>
        <v>0014X00002Yggl7QAB</v>
      </c>
      <c r="B666" s="2" t="s">
        <v>3204</v>
      </c>
      <c r="C666" s="2" t="s">
        <v>423</v>
      </c>
      <c r="D666" s="2" t="s">
        <v>2</v>
      </c>
      <c r="E666" s="2"/>
      <c r="F666" s="2">
        <v>0</v>
      </c>
      <c r="G666" s="2">
        <v>4</v>
      </c>
      <c r="H666" s="2">
        <v>20000</v>
      </c>
      <c r="I666" s="2">
        <v>2000</v>
      </c>
      <c r="J666" s="2" t="s">
        <v>1779</v>
      </c>
      <c r="K666" s="2">
        <v>35</v>
      </c>
      <c r="L666" s="2">
        <v>0</v>
      </c>
      <c r="M666" s="2">
        <v>0</v>
      </c>
      <c r="N666" s="2">
        <v>10</v>
      </c>
      <c r="O666" s="2">
        <v>5</v>
      </c>
      <c r="P666" s="2">
        <v>20</v>
      </c>
      <c r="Q666" s="2" t="s">
        <v>3205</v>
      </c>
      <c r="R666" s="2" t="s">
        <v>3206</v>
      </c>
      <c r="S666" s="4">
        <v>44951</v>
      </c>
    </row>
    <row r="667" spans="1:19" ht="12.5" hidden="1" x14ac:dyDescent="0.25">
      <c r="A667" s="14" t="str">
        <f>HYPERLINK("https://gerandofalcoes.my.salesforce.com/0014X00002YggnKQAR", "0014X00002YggnKQAR")</f>
        <v>0014X00002YggnKQAR</v>
      </c>
      <c r="B667" s="2" t="s">
        <v>3207</v>
      </c>
      <c r="C667" s="2" t="s">
        <v>423</v>
      </c>
      <c r="D667" s="2" t="s">
        <v>2</v>
      </c>
      <c r="E667" s="2"/>
      <c r="F667" s="2">
        <v>0</v>
      </c>
      <c r="G667" s="2">
        <v>4</v>
      </c>
      <c r="H667" s="2">
        <v>83242522</v>
      </c>
      <c r="I667" s="2">
        <v>1117</v>
      </c>
      <c r="J667" s="2" t="s">
        <v>1671</v>
      </c>
      <c r="K667" s="2">
        <v>55</v>
      </c>
      <c r="L667" s="2">
        <v>0</v>
      </c>
      <c r="M667" s="2">
        <v>0</v>
      </c>
      <c r="N667" s="2">
        <v>10</v>
      </c>
      <c r="O667" s="2">
        <v>25</v>
      </c>
      <c r="P667" s="2">
        <v>20</v>
      </c>
      <c r="Q667" s="2" t="s">
        <v>3208</v>
      </c>
      <c r="R667" s="2" t="s">
        <v>3209</v>
      </c>
      <c r="S667" s="4">
        <v>44951</v>
      </c>
    </row>
    <row r="668" spans="1:19" ht="12.5" hidden="1" x14ac:dyDescent="0.25">
      <c r="A668" s="14" t="str">
        <f>HYPERLINK("https://gerandofalcoes.my.salesforce.com/0014X00002YggnQQAR", "0014X00002YggnQQAR")</f>
        <v>0014X00002YggnQQAR</v>
      </c>
      <c r="B668" s="2" t="s">
        <v>3210</v>
      </c>
      <c r="C668" s="2" t="s">
        <v>423</v>
      </c>
      <c r="D668" s="2" t="s">
        <v>2</v>
      </c>
      <c r="E668" s="2"/>
      <c r="F668" s="2">
        <v>12</v>
      </c>
      <c r="G668" s="2">
        <v>5</v>
      </c>
      <c r="H668" s="2">
        <v>226000</v>
      </c>
      <c r="I668" s="2">
        <v>323</v>
      </c>
      <c r="J668" s="2" t="s">
        <v>1671</v>
      </c>
      <c r="K668" s="2">
        <v>52</v>
      </c>
      <c r="L668" s="2">
        <v>0</v>
      </c>
      <c r="M668" s="2">
        <v>12</v>
      </c>
      <c r="N668" s="2">
        <v>10</v>
      </c>
      <c r="O668" s="2">
        <v>15</v>
      </c>
      <c r="P668" s="2">
        <v>15</v>
      </c>
      <c r="Q668" s="2" t="s">
        <v>3211</v>
      </c>
      <c r="R668" s="2" t="s">
        <v>3212</v>
      </c>
      <c r="S668" s="4">
        <v>44951</v>
      </c>
    </row>
    <row r="669" spans="1:19" ht="12.5" hidden="1" x14ac:dyDescent="0.25">
      <c r="A669" s="14" t="str">
        <f>HYPERLINK("https://gerandofalcoes.my.salesforce.com/0014X00002YggirQAB", "0014X00002YggirQAB")</f>
        <v>0014X00002YggirQAB</v>
      </c>
      <c r="B669" s="2" t="s">
        <v>3213</v>
      </c>
      <c r="C669" s="2" t="s">
        <v>423</v>
      </c>
      <c r="D669" s="2" t="s">
        <v>2</v>
      </c>
      <c r="E669" s="2"/>
      <c r="F669" s="2">
        <v>0</v>
      </c>
      <c r="G669" s="2">
        <v>2</v>
      </c>
      <c r="H669" s="2">
        <v>5000</v>
      </c>
      <c r="I669" s="2">
        <v>100</v>
      </c>
      <c r="J669" s="2" t="s">
        <v>1779</v>
      </c>
      <c r="K669" s="2">
        <v>21</v>
      </c>
      <c r="L669" s="2">
        <v>0</v>
      </c>
      <c r="M669" s="2">
        <v>0</v>
      </c>
      <c r="N669" s="2">
        <v>6</v>
      </c>
      <c r="O669" s="2">
        <v>5</v>
      </c>
      <c r="P669" s="2">
        <v>10</v>
      </c>
      <c r="Q669" s="2" t="s">
        <v>3214</v>
      </c>
      <c r="R669" s="2" t="s">
        <v>3214</v>
      </c>
      <c r="S669" s="4">
        <v>44951</v>
      </c>
    </row>
    <row r="670" spans="1:19" ht="12.5" hidden="1" x14ac:dyDescent="0.25">
      <c r="A670" s="14" t="str">
        <f>HYPERLINK("https://gerandofalcoes.my.salesforce.com/0014X00002YggolQAB", "0014X00002YggolQAB")</f>
        <v>0014X00002YggolQAB</v>
      </c>
      <c r="B670" s="2" t="s">
        <v>3215</v>
      </c>
      <c r="C670" s="2" t="s">
        <v>423</v>
      </c>
      <c r="D670" s="2" t="s">
        <v>2</v>
      </c>
      <c r="E670" s="2"/>
      <c r="F670" s="2">
        <v>0</v>
      </c>
      <c r="G670" s="2">
        <v>2</v>
      </c>
      <c r="H670" s="2">
        <v>0</v>
      </c>
      <c r="I670" s="2">
        <v>100</v>
      </c>
      <c r="J670" s="2" t="s">
        <v>1779</v>
      </c>
      <c r="K670" s="2">
        <v>16</v>
      </c>
      <c r="L670" s="2">
        <v>0</v>
      </c>
      <c r="M670" s="2">
        <v>0</v>
      </c>
      <c r="N670" s="2">
        <v>6</v>
      </c>
      <c r="O670" s="2">
        <v>0</v>
      </c>
      <c r="P670" s="2">
        <v>10</v>
      </c>
      <c r="Q670" s="2" t="s">
        <v>3216</v>
      </c>
      <c r="R670" s="2" t="s">
        <v>3217</v>
      </c>
      <c r="S670" s="4">
        <v>44951</v>
      </c>
    </row>
    <row r="671" spans="1:19" ht="12.5" hidden="1" x14ac:dyDescent="0.25">
      <c r="A671" s="14" t="str">
        <f>HYPERLINK("https://gerandofalcoes.my.salesforce.com/0014X00002YgglbQAB", "0014X00002YgglbQAB")</f>
        <v>0014X00002YgglbQAB</v>
      </c>
      <c r="B671" s="2" t="s">
        <v>3218</v>
      </c>
      <c r="C671" s="2" t="s">
        <v>423</v>
      </c>
      <c r="D671" s="2" t="s">
        <v>2</v>
      </c>
      <c r="E671" s="2"/>
      <c r="F671" s="2">
        <v>0</v>
      </c>
      <c r="G671" s="2">
        <v>3</v>
      </c>
      <c r="H671" s="2">
        <v>100000</v>
      </c>
      <c r="I671" s="2">
        <v>75</v>
      </c>
      <c r="J671" s="2" t="s">
        <v>1779</v>
      </c>
      <c r="K671" s="2">
        <v>28</v>
      </c>
      <c r="L671" s="2">
        <v>0</v>
      </c>
      <c r="M671" s="2">
        <v>0</v>
      </c>
      <c r="N671" s="2">
        <v>8</v>
      </c>
      <c r="O671" s="2">
        <v>15</v>
      </c>
      <c r="P671" s="2">
        <v>5</v>
      </c>
      <c r="Q671" s="2" t="s">
        <v>3219</v>
      </c>
      <c r="R671" s="2" t="s">
        <v>3219</v>
      </c>
      <c r="S671" s="4">
        <v>44951</v>
      </c>
    </row>
    <row r="672" spans="1:19" ht="12.5" hidden="1" x14ac:dyDescent="0.25">
      <c r="A672" s="14" t="str">
        <f>HYPERLINK("https://gerandofalcoes.my.salesforce.com/0014X00002Yggh0QAB", "0014X00002Yggh0QAB")</f>
        <v>0014X00002Yggh0QAB</v>
      </c>
      <c r="B672" s="2" t="s">
        <v>3220</v>
      </c>
      <c r="C672" s="2" t="s">
        <v>423</v>
      </c>
      <c r="D672" s="2" t="s">
        <v>2</v>
      </c>
      <c r="E672" s="2"/>
      <c r="F672" s="2">
        <v>10</v>
      </c>
      <c r="G672" s="2">
        <v>2</v>
      </c>
      <c r="H672" s="2">
        <v>10000</v>
      </c>
      <c r="I672" s="2">
        <v>65</v>
      </c>
      <c r="J672" s="2" t="s">
        <v>1779</v>
      </c>
      <c r="K672" s="2">
        <v>26</v>
      </c>
      <c r="L672" s="2">
        <v>0</v>
      </c>
      <c r="M672" s="2">
        <v>10</v>
      </c>
      <c r="N672" s="2">
        <v>6</v>
      </c>
      <c r="O672" s="2">
        <v>5</v>
      </c>
      <c r="P672" s="2">
        <v>5</v>
      </c>
      <c r="Q672" s="2" t="s">
        <v>3221</v>
      </c>
      <c r="R672" s="2" t="s">
        <v>3221</v>
      </c>
      <c r="S672" s="4">
        <v>44951</v>
      </c>
    </row>
    <row r="673" spans="1:19" ht="12.5" hidden="1" x14ac:dyDescent="0.25">
      <c r="A673" s="14" t="str">
        <f>HYPERLINK("https://gerandofalcoes.my.salesforce.com/0014X00002YgglxQAB", "0014X00002YgglxQAB")</f>
        <v>0014X00002YgglxQAB</v>
      </c>
      <c r="B673" s="2" t="s">
        <v>3222</v>
      </c>
      <c r="C673" s="2" t="s">
        <v>423</v>
      </c>
      <c r="D673" s="2" t="s">
        <v>2</v>
      </c>
      <c r="E673" s="2"/>
      <c r="F673" s="2">
        <v>0</v>
      </c>
      <c r="G673" s="2">
        <v>2</v>
      </c>
      <c r="H673" s="2">
        <v>2500</v>
      </c>
      <c r="I673" s="2">
        <v>40</v>
      </c>
      <c r="J673" s="2" t="s">
        <v>1779</v>
      </c>
      <c r="K673" s="2">
        <v>16</v>
      </c>
      <c r="L673" s="2">
        <v>0</v>
      </c>
      <c r="M673" s="2">
        <v>0</v>
      </c>
      <c r="N673" s="2">
        <v>6</v>
      </c>
      <c r="O673" s="2">
        <v>5</v>
      </c>
      <c r="P673" s="2">
        <v>5</v>
      </c>
      <c r="Q673" s="2" t="s">
        <v>3223</v>
      </c>
      <c r="R673" s="2" t="s">
        <v>3224</v>
      </c>
      <c r="S673" s="4">
        <v>44951</v>
      </c>
    </row>
    <row r="674" spans="1:19" ht="12.5" hidden="1" x14ac:dyDescent="0.25">
      <c r="A674" s="14" t="str">
        <f>HYPERLINK("https://gerandofalcoes.my.salesforce.com/0014X00002YgglNQAR", "0014X00002YgglNQAR")</f>
        <v>0014X00002YgglNQAR</v>
      </c>
      <c r="B674" s="2" t="s">
        <v>3225</v>
      </c>
      <c r="C674" s="2" t="s">
        <v>423</v>
      </c>
      <c r="D674" s="2" t="s">
        <v>2</v>
      </c>
      <c r="E674" s="2"/>
      <c r="F674" s="2">
        <v>0</v>
      </c>
      <c r="G674" s="2">
        <v>2</v>
      </c>
      <c r="H674" s="2">
        <v>8000</v>
      </c>
      <c r="I674" s="2">
        <v>30</v>
      </c>
      <c r="J674" s="2" t="s">
        <v>1779</v>
      </c>
      <c r="K674" s="2">
        <v>16</v>
      </c>
      <c r="L674" s="2">
        <v>0</v>
      </c>
      <c r="M674" s="2">
        <v>0</v>
      </c>
      <c r="N674" s="2">
        <v>6</v>
      </c>
      <c r="O674" s="2">
        <v>5</v>
      </c>
      <c r="P674" s="2">
        <v>5</v>
      </c>
      <c r="Q674" s="2" t="s">
        <v>3226</v>
      </c>
      <c r="R674" s="2" t="s">
        <v>3227</v>
      </c>
      <c r="S674" s="4">
        <v>44951</v>
      </c>
    </row>
    <row r="675" spans="1:19" ht="12.5" hidden="1" x14ac:dyDescent="0.25">
      <c r="A675" s="14" t="str">
        <f>HYPERLINK("https://gerandofalcoes.my.salesforce.com/0014X00002YggnzQAB", "0014X00002YggnzQAB")</f>
        <v>0014X00002YggnzQAB</v>
      </c>
      <c r="B675" s="2" t="s">
        <v>3228</v>
      </c>
      <c r="C675" s="2" t="s">
        <v>423</v>
      </c>
      <c r="D675" s="2" t="s">
        <v>2</v>
      </c>
      <c r="E675" s="2"/>
      <c r="F675" s="2">
        <v>3</v>
      </c>
      <c r="G675" s="2">
        <v>3</v>
      </c>
      <c r="H675" s="2">
        <v>19000</v>
      </c>
      <c r="I675" s="2">
        <v>25</v>
      </c>
      <c r="J675" s="2" t="s">
        <v>1779</v>
      </c>
      <c r="K675" s="2">
        <v>23</v>
      </c>
      <c r="L675" s="2">
        <v>0</v>
      </c>
      <c r="M675" s="2">
        <v>5</v>
      </c>
      <c r="N675" s="2">
        <v>8</v>
      </c>
      <c r="O675" s="2">
        <v>5</v>
      </c>
      <c r="P675" s="2">
        <v>5</v>
      </c>
      <c r="Q675" s="2" t="s">
        <v>3229</v>
      </c>
      <c r="R675" s="2" t="s">
        <v>3229</v>
      </c>
      <c r="S675" s="4">
        <v>44951</v>
      </c>
    </row>
    <row r="676" spans="1:19" ht="12.5" hidden="1" x14ac:dyDescent="0.25">
      <c r="A676" s="14" t="str">
        <f>HYPERLINK("https://gerandofalcoes.my.salesforce.com/0014X00002YggiUQAR", "0014X00002YggiUQAR")</f>
        <v>0014X00002YggiUQAR</v>
      </c>
      <c r="B676" s="2" t="s">
        <v>3230</v>
      </c>
      <c r="C676" s="2" t="s">
        <v>423</v>
      </c>
      <c r="D676" s="2" t="s">
        <v>2</v>
      </c>
      <c r="E676" s="2"/>
      <c r="F676" s="2">
        <v>0</v>
      </c>
      <c r="G676" s="2">
        <v>3</v>
      </c>
      <c r="H676" s="2">
        <v>15000</v>
      </c>
      <c r="I676" s="2">
        <v>0</v>
      </c>
      <c r="J676" s="2" t="s">
        <v>1779</v>
      </c>
      <c r="K676" s="2">
        <v>13</v>
      </c>
      <c r="L676" s="2">
        <v>0</v>
      </c>
      <c r="M676" s="2">
        <v>0</v>
      </c>
      <c r="N676" s="2">
        <v>8</v>
      </c>
      <c r="O676" s="2">
        <v>5</v>
      </c>
      <c r="P676" s="2">
        <v>0</v>
      </c>
      <c r="Q676" s="2" t="s">
        <v>3231</v>
      </c>
      <c r="R676" s="2" t="s">
        <v>3231</v>
      </c>
      <c r="S676" s="4">
        <v>44951</v>
      </c>
    </row>
    <row r="677" spans="1:19" ht="12.5" hidden="1" x14ac:dyDescent="0.25">
      <c r="A677" s="14" t="str">
        <f>HYPERLINK("https://gerandofalcoes.my.salesforce.com/0014X00002YgggrQAB", "0014X00002YgggrQAB")</f>
        <v>0014X00002YgggrQAB</v>
      </c>
      <c r="B677" s="2" t="s">
        <v>3232</v>
      </c>
      <c r="C677" s="2" t="s">
        <v>423</v>
      </c>
      <c r="D677" s="2" t="s">
        <v>2</v>
      </c>
      <c r="E677" s="2">
        <v>63.18</v>
      </c>
      <c r="F677" s="2">
        <v>0</v>
      </c>
      <c r="G677" s="2">
        <v>6</v>
      </c>
      <c r="H677" s="2">
        <v>50000</v>
      </c>
      <c r="I677" s="2">
        <v>84</v>
      </c>
      <c r="J677" s="2" t="s">
        <v>1671</v>
      </c>
      <c r="K677" s="2">
        <v>50</v>
      </c>
      <c r="L677" s="2">
        <v>20</v>
      </c>
      <c r="M677" s="2">
        <v>0</v>
      </c>
      <c r="N677" s="2">
        <v>10</v>
      </c>
      <c r="O677" s="2">
        <v>10</v>
      </c>
      <c r="P677" s="2">
        <v>10</v>
      </c>
      <c r="Q677" s="2" t="s">
        <v>3233</v>
      </c>
      <c r="R677" s="2" t="s">
        <v>3234</v>
      </c>
      <c r="S677" s="4">
        <v>44952</v>
      </c>
    </row>
    <row r="678" spans="1:19" ht="12.5" hidden="1" x14ac:dyDescent="0.25">
      <c r="A678" s="14" t="str">
        <f>HYPERLINK("https://gerandofalcoes.my.salesforce.com/0014X00002YggjEQAR", "0014X00002YggjEQAR")</f>
        <v>0014X00002YggjEQAR</v>
      </c>
      <c r="B678" s="2" t="s">
        <v>3235</v>
      </c>
      <c r="C678" s="2" t="s">
        <v>423</v>
      </c>
      <c r="D678" s="2" t="s">
        <v>2</v>
      </c>
      <c r="E678" s="2">
        <v>57.56</v>
      </c>
      <c r="F678" s="2">
        <v>5</v>
      </c>
      <c r="G678" s="2">
        <v>3</v>
      </c>
      <c r="H678" s="2">
        <v>238000</v>
      </c>
      <c r="I678" s="2">
        <v>340</v>
      </c>
      <c r="J678" s="2" t="s">
        <v>1671</v>
      </c>
      <c r="K678" s="2">
        <v>63</v>
      </c>
      <c r="L678" s="2">
        <v>20</v>
      </c>
      <c r="M678" s="2">
        <v>5</v>
      </c>
      <c r="N678" s="2">
        <v>8</v>
      </c>
      <c r="O678" s="2">
        <v>15</v>
      </c>
      <c r="P678" s="2">
        <v>15</v>
      </c>
      <c r="Q678" s="2" t="s">
        <v>3236</v>
      </c>
      <c r="R678" s="2" t="s">
        <v>3237</v>
      </c>
      <c r="S678" s="4">
        <v>44952</v>
      </c>
    </row>
    <row r="679" spans="1:19" ht="12.5" hidden="1" x14ac:dyDescent="0.25">
      <c r="A679" s="14" t="str">
        <f>HYPERLINK("https://gerandofalcoes.my.salesforce.com/0014X00002YggoSQAR", "0014X00002YggoSQAR")</f>
        <v>0014X00002YggoSQAR</v>
      </c>
      <c r="B679" s="2" t="s">
        <v>3238</v>
      </c>
      <c r="C679" s="2" t="s">
        <v>423</v>
      </c>
      <c r="D679" s="2" t="s">
        <v>2</v>
      </c>
      <c r="E679" s="2">
        <v>51.59</v>
      </c>
      <c r="F679" s="2">
        <v>15</v>
      </c>
      <c r="G679" s="2">
        <v>7</v>
      </c>
      <c r="H679" s="2">
        <v>3101114</v>
      </c>
      <c r="I679" s="2">
        <v>145</v>
      </c>
      <c r="J679" s="2" t="s">
        <v>1650</v>
      </c>
      <c r="K679" s="2">
        <v>77</v>
      </c>
      <c r="L679" s="2">
        <v>20</v>
      </c>
      <c r="M679" s="2">
        <v>12</v>
      </c>
      <c r="N679" s="2">
        <v>10</v>
      </c>
      <c r="O679" s="2">
        <v>25</v>
      </c>
      <c r="P679" s="2">
        <v>10</v>
      </c>
      <c r="Q679" s="2" t="s">
        <v>3239</v>
      </c>
      <c r="R679" s="2" t="s">
        <v>3240</v>
      </c>
      <c r="S679" s="4">
        <v>44952</v>
      </c>
    </row>
    <row r="680" spans="1:19" ht="12.5" hidden="1" x14ac:dyDescent="0.25">
      <c r="A680" s="14" t="str">
        <f>HYPERLINK("https://gerandofalcoes.my.salesforce.com/0014X00002YggiEQAR", "0014X00002YggiEQAR")</f>
        <v>0014X00002YggiEQAR</v>
      </c>
      <c r="B680" s="2" t="s">
        <v>3241</v>
      </c>
      <c r="C680" s="2" t="s">
        <v>423</v>
      </c>
      <c r="D680" s="2" t="s">
        <v>2</v>
      </c>
      <c r="E680" s="2">
        <v>49.44</v>
      </c>
      <c r="F680" s="2">
        <v>23</v>
      </c>
      <c r="G680" s="2">
        <v>4</v>
      </c>
      <c r="H680" s="2">
        <v>750000</v>
      </c>
      <c r="I680" s="2">
        <v>0</v>
      </c>
      <c r="J680" s="2" t="s">
        <v>1671</v>
      </c>
      <c r="K680" s="2">
        <v>42</v>
      </c>
      <c r="L680" s="2">
        <v>0</v>
      </c>
      <c r="M680" s="2">
        <v>12</v>
      </c>
      <c r="N680" s="2">
        <v>10</v>
      </c>
      <c r="O680" s="2">
        <v>20</v>
      </c>
      <c r="P680" s="2">
        <v>0</v>
      </c>
      <c r="Q680" s="2" t="s">
        <v>3242</v>
      </c>
      <c r="R680" s="2" t="s">
        <v>3243</v>
      </c>
      <c r="S680" s="4">
        <v>44952</v>
      </c>
    </row>
    <row r="681" spans="1:19" ht="12.5" hidden="1" x14ac:dyDescent="0.25">
      <c r="A681" s="14" t="str">
        <f>HYPERLINK("https://gerandofalcoes.my.salesforce.com/0014X00002YggpmQAB", "0014X00002YggpmQAB")</f>
        <v>0014X00002YggpmQAB</v>
      </c>
      <c r="B681" s="2" t="s">
        <v>3244</v>
      </c>
      <c r="C681" s="2" t="s">
        <v>423</v>
      </c>
      <c r="D681" s="2" t="s">
        <v>2</v>
      </c>
      <c r="E681" s="2">
        <v>25.41</v>
      </c>
      <c r="F681" s="2">
        <v>0</v>
      </c>
      <c r="G681" s="2">
        <v>3</v>
      </c>
      <c r="H681" s="2">
        <v>20000</v>
      </c>
      <c r="I681" s="2">
        <v>190</v>
      </c>
      <c r="J681" s="2" t="s">
        <v>1671</v>
      </c>
      <c r="K681" s="2">
        <v>40</v>
      </c>
      <c r="L681" s="2">
        <v>15</v>
      </c>
      <c r="M681" s="2">
        <v>0</v>
      </c>
      <c r="N681" s="2">
        <v>8</v>
      </c>
      <c r="O681" s="2">
        <v>5</v>
      </c>
      <c r="P681" s="2">
        <v>12</v>
      </c>
      <c r="Q681" s="2" t="s">
        <v>3245</v>
      </c>
      <c r="R681" s="2" t="s">
        <v>3246</v>
      </c>
      <c r="S681" s="4">
        <v>44952</v>
      </c>
    </row>
    <row r="682" spans="1:19" ht="12.5" hidden="1" x14ac:dyDescent="0.25">
      <c r="A682" s="14" t="str">
        <f>HYPERLINK("https://gerandofalcoes.my.salesforce.com/0014X00002YgghFQAR", "0014X00002YgghFQAR")</f>
        <v>0014X00002YgghFQAR</v>
      </c>
      <c r="B682" s="2" t="s">
        <v>3247</v>
      </c>
      <c r="C682" s="2" t="s">
        <v>423</v>
      </c>
      <c r="D682" s="2" t="s">
        <v>2</v>
      </c>
      <c r="E682" s="2">
        <v>20.23</v>
      </c>
      <c r="F682" s="2">
        <v>0</v>
      </c>
      <c r="G682" s="2">
        <v>2</v>
      </c>
      <c r="H682" s="2">
        <v>5000</v>
      </c>
      <c r="I682" s="2">
        <v>27</v>
      </c>
      <c r="J682" s="2" t="s">
        <v>1779</v>
      </c>
      <c r="K682" s="2">
        <v>26</v>
      </c>
      <c r="L682" s="2">
        <v>10</v>
      </c>
      <c r="M682" s="2">
        <v>0</v>
      </c>
      <c r="N682" s="2">
        <v>6</v>
      </c>
      <c r="O682" s="2">
        <v>5</v>
      </c>
      <c r="P682" s="2">
        <v>5</v>
      </c>
      <c r="Q682" s="2" t="s">
        <v>3248</v>
      </c>
      <c r="R682" s="2" t="s">
        <v>3249</v>
      </c>
      <c r="S682" s="4">
        <v>44952</v>
      </c>
    </row>
    <row r="683" spans="1:19" ht="12.5" hidden="1" x14ac:dyDescent="0.25">
      <c r="A683" s="14" t="str">
        <f>HYPERLINK("https://gerandofalcoes.my.salesforce.com/0014X00002Yggp7QAB", "0014X00002Yggp7QAB")</f>
        <v>0014X00002Yggp7QAB</v>
      </c>
      <c r="B683" s="2" t="s">
        <v>3250</v>
      </c>
      <c r="C683" s="2" t="s">
        <v>423</v>
      </c>
      <c r="D683" s="2" t="s">
        <v>2</v>
      </c>
      <c r="E683" s="2">
        <v>17.11</v>
      </c>
      <c r="F683" s="2">
        <v>0</v>
      </c>
      <c r="G683" s="2">
        <v>3</v>
      </c>
      <c r="H683" s="2">
        <v>45500</v>
      </c>
      <c r="I683" s="2">
        <v>500</v>
      </c>
      <c r="J683" s="2" t="s">
        <v>1671</v>
      </c>
      <c r="K683" s="2">
        <v>48</v>
      </c>
      <c r="L683" s="2">
        <v>10</v>
      </c>
      <c r="M683" s="2">
        <v>0</v>
      </c>
      <c r="N683" s="2">
        <v>8</v>
      </c>
      <c r="O683" s="2">
        <v>10</v>
      </c>
      <c r="P683" s="2">
        <v>20</v>
      </c>
      <c r="Q683" s="2" t="s">
        <v>3251</v>
      </c>
      <c r="R683" s="2" t="s">
        <v>3252</v>
      </c>
      <c r="S683" s="4">
        <v>44952</v>
      </c>
    </row>
    <row r="684" spans="1:19" ht="12.5" hidden="1" x14ac:dyDescent="0.25">
      <c r="A684" s="14" t="str">
        <f>HYPERLINK("https://gerandofalcoes.my.salesforce.com/0014X00002YggkaQAB", "0014X00002YggkaQAB")</f>
        <v>0014X00002YggkaQAB</v>
      </c>
      <c r="B684" s="2" t="s">
        <v>3253</v>
      </c>
      <c r="C684" s="2" t="s">
        <v>1684</v>
      </c>
      <c r="D684" s="2" t="s">
        <v>2</v>
      </c>
      <c r="E684" s="2">
        <v>16.440000000000001</v>
      </c>
      <c r="F684" s="2">
        <v>0</v>
      </c>
      <c r="G684" s="2">
        <v>2</v>
      </c>
      <c r="H684" s="2">
        <v>0</v>
      </c>
      <c r="I684" s="2">
        <v>40</v>
      </c>
      <c r="J684" s="2" t="s">
        <v>1779</v>
      </c>
      <c r="K684" s="2">
        <v>21</v>
      </c>
      <c r="L684" s="2">
        <v>10</v>
      </c>
      <c r="M684" s="2">
        <v>0</v>
      </c>
      <c r="N684" s="2">
        <v>6</v>
      </c>
      <c r="O684" s="2">
        <v>0</v>
      </c>
      <c r="P684" s="2">
        <v>5</v>
      </c>
      <c r="Q684" s="2" t="s">
        <v>3254</v>
      </c>
      <c r="R684" s="2" t="s">
        <v>3254</v>
      </c>
      <c r="S684" s="4">
        <v>44952</v>
      </c>
    </row>
    <row r="685" spans="1:19" ht="12.5" hidden="1" x14ac:dyDescent="0.25">
      <c r="A685" s="14" t="str">
        <f>HYPERLINK("https://gerandofalcoes.my.salesforce.com/0014X00002YggkAQAR", "0014X00002YggkAQAR")</f>
        <v>0014X00002YggkAQAR</v>
      </c>
      <c r="B685" s="2" t="s">
        <v>3255</v>
      </c>
      <c r="C685" s="2" t="s">
        <v>423</v>
      </c>
      <c r="D685" s="2" t="s">
        <v>2</v>
      </c>
      <c r="E685" s="2">
        <v>10</v>
      </c>
      <c r="F685" s="2">
        <v>12</v>
      </c>
      <c r="G685" s="2">
        <v>2</v>
      </c>
      <c r="H685" s="2">
        <v>4000</v>
      </c>
      <c r="I685" s="2">
        <v>0</v>
      </c>
      <c r="J685" s="2" t="s">
        <v>1779</v>
      </c>
      <c r="K685" s="2">
        <v>33</v>
      </c>
      <c r="L685" s="2">
        <v>10</v>
      </c>
      <c r="M685" s="2">
        <v>12</v>
      </c>
      <c r="N685" s="2">
        <v>6</v>
      </c>
      <c r="O685" s="2">
        <v>5</v>
      </c>
      <c r="P685" s="2">
        <v>0</v>
      </c>
      <c r="Q685" s="2" t="s">
        <v>3256</v>
      </c>
      <c r="R685" s="2" t="s">
        <v>3257</v>
      </c>
      <c r="S685" s="4">
        <v>44952</v>
      </c>
    </row>
    <row r="686" spans="1:19" ht="12.5" hidden="1" x14ac:dyDescent="0.25">
      <c r="A686" s="14" t="str">
        <f>HYPERLINK("https://gerandofalcoes.my.salesforce.com/0014X00002YgghXQAR", "0014X00002YgghXQAR")</f>
        <v>0014X00002YgghXQAR</v>
      </c>
      <c r="B686" s="2" t="s">
        <v>3258</v>
      </c>
      <c r="C686" s="2" t="s">
        <v>423</v>
      </c>
      <c r="D686" s="2" t="s">
        <v>2</v>
      </c>
      <c r="E686" s="2">
        <v>8.65</v>
      </c>
      <c r="F686" s="2">
        <v>20</v>
      </c>
      <c r="G686" s="2">
        <v>4</v>
      </c>
      <c r="H686" s="2">
        <v>5000</v>
      </c>
      <c r="I686" s="2">
        <v>75</v>
      </c>
      <c r="J686" s="2" t="s">
        <v>1671</v>
      </c>
      <c r="K686" s="2">
        <v>42</v>
      </c>
      <c r="L686" s="2">
        <v>10</v>
      </c>
      <c r="M686" s="2">
        <v>12</v>
      </c>
      <c r="N686" s="2">
        <v>10</v>
      </c>
      <c r="O686" s="2">
        <v>5</v>
      </c>
      <c r="P686" s="2">
        <v>5</v>
      </c>
      <c r="Q686" s="2" t="s">
        <v>3259</v>
      </c>
      <c r="R686" s="2" t="s">
        <v>3260</v>
      </c>
      <c r="S686" s="4">
        <v>44952</v>
      </c>
    </row>
    <row r="687" spans="1:19" ht="12.5" hidden="1" x14ac:dyDescent="0.25">
      <c r="A687" s="14" t="str">
        <f>HYPERLINK("https://gerandofalcoes.my.salesforce.com/0014X00002YggpMQAR", "0014X00002YggpMQAR")</f>
        <v>0014X00002YggpMQAR</v>
      </c>
      <c r="B687" s="2" t="s">
        <v>3261</v>
      </c>
      <c r="C687" s="2" t="s">
        <v>423</v>
      </c>
      <c r="D687" s="2" t="s">
        <v>2</v>
      </c>
      <c r="E687" s="2">
        <v>5.44</v>
      </c>
      <c r="F687" s="2">
        <v>0</v>
      </c>
      <c r="G687" s="2">
        <v>5</v>
      </c>
      <c r="H687" s="2">
        <v>2000</v>
      </c>
      <c r="I687" s="2">
        <v>15</v>
      </c>
      <c r="J687" s="2" t="s">
        <v>1779</v>
      </c>
      <c r="K687" s="2">
        <v>30</v>
      </c>
      <c r="L687" s="2">
        <v>10</v>
      </c>
      <c r="M687" s="2">
        <v>0</v>
      </c>
      <c r="N687" s="2">
        <v>10</v>
      </c>
      <c r="O687" s="2">
        <v>5</v>
      </c>
      <c r="P687" s="2">
        <v>5</v>
      </c>
      <c r="Q687" s="2" t="s">
        <v>3262</v>
      </c>
      <c r="R687" s="2" t="s">
        <v>3262</v>
      </c>
      <c r="S687" s="4">
        <v>44952</v>
      </c>
    </row>
    <row r="688" spans="1:19" ht="12.5" hidden="1" x14ac:dyDescent="0.25">
      <c r="A688" s="14" t="str">
        <f>HYPERLINK("https://gerandofalcoes.my.salesforce.com/0014X00002YggnkQAB", "0014X00002YggnkQAB")</f>
        <v>0014X00002YggnkQAB</v>
      </c>
      <c r="B688" s="2" t="s">
        <v>3263</v>
      </c>
      <c r="C688" s="2" t="s">
        <v>423</v>
      </c>
      <c r="D688" s="2" t="s">
        <v>2</v>
      </c>
      <c r="E688" s="2">
        <v>3.91</v>
      </c>
      <c r="F688" s="2">
        <v>0</v>
      </c>
      <c r="G688" s="2">
        <v>2</v>
      </c>
      <c r="H688" s="2">
        <v>0</v>
      </c>
      <c r="I688" s="2">
        <v>120</v>
      </c>
      <c r="J688" s="2" t="s">
        <v>1779</v>
      </c>
      <c r="K688" s="2">
        <v>26</v>
      </c>
      <c r="L688" s="2">
        <v>10</v>
      </c>
      <c r="M688" s="2">
        <v>0</v>
      </c>
      <c r="N688" s="2">
        <v>6</v>
      </c>
      <c r="O688" s="2">
        <v>0</v>
      </c>
      <c r="P688" s="2">
        <v>10</v>
      </c>
      <c r="Q688" s="2" t="s">
        <v>3264</v>
      </c>
      <c r="R688" s="2" t="s">
        <v>3264</v>
      </c>
      <c r="S688" s="4">
        <v>44952</v>
      </c>
    </row>
    <row r="689" spans="1:19" ht="12.5" hidden="1" x14ac:dyDescent="0.25">
      <c r="A689" s="14" t="str">
        <f>HYPERLINK("https://gerandofalcoes.my.salesforce.com/0014X00002YggiiQAB", "0014X00002YggiiQAB")</f>
        <v>0014X00002YggiiQAB</v>
      </c>
      <c r="B689" s="2" t="s">
        <v>3265</v>
      </c>
      <c r="C689" s="2" t="s">
        <v>423</v>
      </c>
      <c r="D689" s="2" t="s">
        <v>2</v>
      </c>
      <c r="E689" s="2">
        <v>0</v>
      </c>
      <c r="F689" s="2">
        <v>0</v>
      </c>
      <c r="G689" s="2">
        <v>2</v>
      </c>
      <c r="H689" s="2">
        <v>1500</v>
      </c>
      <c r="I689" s="2">
        <v>30</v>
      </c>
      <c r="J689" s="2" t="s">
        <v>1779</v>
      </c>
      <c r="K689" s="2">
        <v>16</v>
      </c>
      <c r="L689" s="2">
        <v>0</v>
      </c>
      <c r="M689" s="2">
        <v>0</v>
      </c>
      <c r="N689" s="2">
        <v>6</v>
      </c>
      <c r="O689" s="2">
        <v>5</v>
      </c>
      <c r="P689" s="2">
        <v>5</v>
      </c>
      <c r="Q689" s="2" t="s">
        <v>3266</v>
      </c>
      <c r="R689" s="2" t="s">
        <v>3267</v>
      </c>
      <c r="S689" s="4">
        <v>44952</v>
      </c>
    </row>
    <row r="690" spans="1:19" ht="12.5" hidden="1" x14ac:dyDescent="0.25">
      <c r="A690" s="14" t="str">
        <f>HYPERLINK("https://gerandofalcoes.my.salesforce.com/0014X00002YgghNQAR", "0014X00002YgghNQAR")</f>
        <v>0014X00002YgghNQAR</v>
      </c>
      <c r="B690" s="2" t="s">
        <v>3268</v>
      </c>
      <c r="C690" s="2" t="s">
        <v>423</v>
      </c>
      <c r="D690" s="2" t="s">
        <v>2</v>
      </c>
      <c r="E690" s="2"/>
      <c r="F690" s="2">
        <v>0</v>
      </c>
      <c r="G690" s="2">
        <v>5</v>
      </c>
      <c r="H690" s="2">
        <v>150</v>
      </c>
      <c r="I690" s="2">
        <v>350</v>
      </c>
      <c r="J690" s="2" t="s">
        <v>1779</v>
      </c>
      <c r="K690" s="2">
        <v>30</v>
      </c>
      <c r="L690" s="2">
        <v>0</v>
      </c>
      <c r="M690" s="2">
        <v>0</v>
      </c>
      <c r="N690" s="2">
        <v>10</v>
      </c>
      <c r="O690" s="2">
        <v>5</v>
      </c>
      <c r="P690" s="2">
        <v>15</v>
      </c>
      <c r="Q690" s="2" t="s">
        <v>3269</v>
      </c>
      <c r="R690" s="2" t="s">
        <v>3269</v>
      </c>
      <c r="S690" s="4">
        <v>44952</v>
      </c>
    </row>
    <row r="691" spans="1:19" ht="12.5" hidden="1" x14ac:dyDescent="0.25">
      <c r="A691" s="14" t="str">
        <f>HYPERLINK("https://gerandofalcoes.my.salesforce.com/0014X00002Yggo7QAB", "0014X00002Yggo7QAB")</f>
        <v>0014X00002Yggo7QAB</v>
      </c>
      <c r="B691" s="2" t="s">
        <v>3270</v>
      </c>
      <c r="C691" s="2" t="s">
        <v>423</v>
      </c>
      <c r="D691" s="2" t="s">
        <v>2</v>
      </c>
      <c r="E691" s="2"/>
      <c r="F691" s="2">
        <v>0</v>
      </c>
      <c r="G691" s="2">
        <v>2</v>
      </c>
      <c r="H691" s="2">
        <v>9000</v>
      </c>
      <c r="I691" s="2">
        <v>300</v>
      </c>
      <c r="J691" s="2" t="s">
        <v>1779</v>
      </c>
      <c r="K691" s="2">
        <v>26</v>
      </c>
      <c r="L691" s="2">
        <v>0</v>
      </c>
      <c r="M691" s="2">
        <v>0</v>
      </c>
      <c r="N691" s="2">
        <v>6</v>
      </c>
      <c r="O691" s="2">
        <v>5</v>
      </c>
      <c r="P691" s="2">
        <v>15</v>
      </c>
      <c r="Q691" s="2" t="s">
        <v>3271</v>
      </c>
      <c r="R691" s="2" t="s">
        <v>3271</v>
      </c>
      <c r="S691" s="4">
        <v>44952</v>
      </c>
    </row>
    <row r="692" spans="1:19" ht="12.5" hidden="1" x14ac:dyDescent="0.25">
      <c r="A692" s="14" t="str">
        <f>HYPERLINK("https://gerandofalcoes.my.salesforce.com/0014X00002YggjIQAR", "0014X00002YggjIQAR")</f>
        <v>0014X00002YggjIQAR</v>
      </c>
      <c r="B692" s="2" t="s">
        <v>3272</v>
      </c>
      <c r="C692" s="2" t="s">
        <v>423</v>
      </c>
      <c r="D692" s="2" t="s">
        <v>2</v>
      </c>
      <c r="E692" s="2"/>
      <c r="F692" s="2">
        <v>3</v>
      </c>
      <c r="G692" s="2">
        <v>2</v>
      </c>
      <c r="H692" s="2">
        <v>2000</v>
      </c>
      <c r="I692" s="2">
        <v>125</v>
      </c>
      <c r="J692" s="2" t="s">
        <v>1779</v>
      </c>
      <c r="K692" s="2">
        <v>26</v>
      </c>
      <c r="L692" s="2">
        <v>0</v>
      </c>
      <c r="M692" s="2">
        <v>5</v>
      </c>
      <c r="N692" s="2">
        <v>6</v>
      </c>
      <c r="O692" s="2">
        <v>5</v>
      </c>
      <c r="P692" s="2">
        <v>10</v>
      </c>
      <c r="Q692" s="2" t="s">
        <v>3273</v>
      </c>
      <c r="R692" s="2" t="s">
        <v>3274</v>
      </c>
      <c r="S692" s="4">
        <v>44952</v>
      </c>
    </row>
    <row r="693" spans="1:19" ht="12.5" hidden="1" x14ac:dyDescent="0.25">
      <c r="A693" s="14" t="str">
        <f>HYPERLINK("https://gerandofalcoes.my.salesforce.com/0014X00002YgggtQAB", "0014X00002YgggtQAB")</f>
        <v>0014X00002YgggtQAB</v>
      </c>
      <c r="B693" s="2" t="s">
        <v>3275</v>
      </c>
      <c r="C693" s="2" t="s">
        <v>423</v>
      </c>
      <c r="D693" s="2" t="s">
        <v>2</v>
      </c>
      <c r="E693" s="2"/>
      <c r="F693" s="2">
        <v>6</v>
      </c>
      <c r="G693" s="2">
        <v>4</v>
      </c>
      <c r="H693" s="2">
        <v>142000</v>
      </c>
      <c r="I693" s="2">
        <v>120</v>
      </c>
      <c r="J693" s="2" t="s">
        <v>1671</v>
      </c>
      <c r="K693" s="2">
        <v>45</v>
      </c>
      <c r="L693" s="2">
        <v>0</v>
      </c>
      <c r="M693" s="2">
        <v>10</v>
      </c>
      <c r="N693" s="2">
        <v>10</v>
      </c>
      <c r="O693" s="2">
        <v>15</v>
      </c>
      <c r="P693" s="2">
        <v>10</v>
      </c>
      <c r="Q693" s="2" t="s">
        <v>3276</v>
      </c>
      <c r="R693" s="2" t="s">
        <v>3277</v>
      </c>
      <c r="S693" s="4">
        <v>44952</v>
      </c>
    </row>
    <row r="694" spans="1:19" ht="12.5" hidden="1" x14ac:dyDescent="0.25">
      <c r="A694" s="14" t="str">
        <f>HYPERLINK("https://gerandofalcoes.my.salesforce.com/0014X00002YgggZQAR", "0014X00002YgggZQAR")</f>
        <v>0014X00002YgggZQAR</v>
      </c>
      <c r="B694" s="2" t="s">
        <v>3278</v>
      </c>
      <c r="C694" s="2" t="s">
        <v>423</v>
      </c>
      <c r="D694" s="2" t="s">
        <v>2</v>
      </c>
      <c r="E694" s="2"/>
      <c r="F694" s="2">
        <v>7</v>
      </c>
      <c r="G694" s="2">
        <v>3</v>
      </c>
      <c r="H694" s="2">
        <v>116906</v>
      </c>
      <c r="I694" s="2">
        <v>110</v>
      </c>
      <c r="J694" s="2" t="s">
        <v>1671</v>
      </c>
      <c r="K694" s="2">
        <v>43</v>
      </c>
      <c r="L694" s="2">
        <v>0</v>
      </c>
      <c r="M694" s="2">
        <v>10</v>
      </c>
      <c r="N694" s="2">
        <v>8</v>
      </c>
      <c r="O694" s="2">
        <v>15</v>
      </c>
      <c r="P694" s="2">
        <v>10</v>
      </c>
      <c r="Q694" s="2" t="s">
        <v>3279</v>
      </c>
      <c r="R694" s="2" t="s">
        <v>3280</v>
      </c>
      <c r="S694" s="4">
        <v>44952</v>
      </c>
    </row>
    <row r="695" spans="1:19" ht="12.5" hidden="1" x14ac:dyDescent="0.25">
      <c r="A695" s="14" t="str">
        <f>HYPERLINK("https://gerandofalcoes.my.salesforce.com/0014X00002YggjZQAR", "0014X00002YggjZQAR")</f>
        <v>0014X00002YggjZQAR</v>
      </c>
      <c r="B695" s="2" t="s">
        <v>3281</v>
      </c>
      <c r="C695" s="2" t="s">
        <v>423</v>
      </c>
      <c r="D695" s="2" t="s">
        <v>2</v>
      </c>
      <c r="E695" s="2"/>
      <c r="F695" s="2">
        <v>0</v>
      </c>
      <c r="G695" s="2">
        <v>3</v>
      </c>
      <c r="H695" s="2">
        <v>9000</v>
      </c>
      <c r="I695" s="2">
        <v>75</v>
      </c>
      <c r="J695" s="2" t="s">
        <v>1779</v>
      </c>
      <c r="K695" s="2">
        <v>18</v>
      </c>
      <c r="L695" s="2">
        <v>0</v>
      </c>
      <c r="M695" s="2">
        <v>0</v>
      </c>
      <c r="N695" s="2">
        <v>8</v>
      </c>
      <c r="O695" s="2">
        <v>5</v>
      </c>
      <c r="P695" s="2">
        <v>5</v>
      </c>
      <c r="Q695" s="2" t="s">
        <v>3282</v>
      </c>
      <c r="R695" s="2" t="s">
        <v>3282</v>
      </c>
      <c r="S695" s="4">
        <v>44952</v>
      </c>
    </row>
    <row r="696" spans="1:19" ht="12.5" hidden="1" x14ac:dyDescent="0.25">
      <c r="A696" s="14" t="str">
        <f>HYPERLINK("https://gerandofalcoes.my.salesforce.com/0014X00002YggjoQAB", "0014X00002YggjoQAB")</f>
        <v>0014X00002YggjoQAB</v>
      </c>
      <c r="B696" s="2" t="s">
        <v>3283</v>
      </c>
      <c r="C696" s="2" t="s">
        <v>423</v>
      </c>
      <c r="D696" s="2" t="s">
        <v>2</v>
      </c>
      <c r="E696" s="2"/>
      <c r="F696" s="2">
        <v>3</v>
      </c>
      <c r="G696" s="2">
        <v>2</v>
      </c>
      <c r="H696" s="2">
        <v>280000</v>
      </c>
      <c r="I696" s="2">
        <v>50</v>
      </c>
      <c r="J696" s="2" t="s">
        <v>1779</v>
      </c>
      <c r="K696" s="2">
        <v>31</v>
      </c>
      <c r="L696" s="2">
        <v>0</v>
      </c>
      <c r="M696" s="2">
        <v>5</v>
      </c>
      <c r="N696" s="2">
        <v>6</v>
      </c>
      <c r="O696" s="2">
        <v>15</v>
      </c>
      <c r="P696" s="2">
        <v>5</v>
      </c>
      <c r="Q696" s="2" t="s">
        <v>3284</v>
      </c>
      <c r="R696" s="2" t="s">
        <v>3285</v>
      </c>
      <c r="S696" s="4">
        <v>44952</v>
      </c>
    </row>
    <row r="697" spans="1:19" ht="12.5" hidden="1" x14ac:dyDescent="0.25">
      <c r="A697" s="14" t="str">
        <f>HYPERLINK("https://gerandofalcoes.my.salesforce.com/0014X00002YgghhQAB", "0014X00002YgghhQAB")</f>
        <v>0014X00002YgghhQAB</v>
      </c>
      <c r="B697" s="2" t="s">
        <v>3286</v>
      </c>
      <c r="C697" s="2" t="s">
        <v>423</v>
      </c>
      <c r="D697" s="2" t="s">
        <v>2</v>
      </c>
      <c r="E697" s="2"/>
      <c r="F697" s="2">
        <v>1</v>
      </c>
      <c r="G697" s="2">
        <v>2</v>
      </c>
      <c r="H697" s="2">
        <v>0</v>
      </c>
      <c r="I697" s="2">
        <v>46</v>
      </c>
      <c r="J697" s="2" t="s">
        <v>1779</v>
      </c>
      <c r="K697" s="2">
        <v>16</v>
      </c>
      <c r="L697" s="2">
        <v>0</v>
      </c>
      <c r="M697" s="2">
        <v>5</v>
      </c>
      <c r="N697" s="2">
        <v>6</v>
      </c>
      <c r="O697" s="2">
        <v>0</v>
      </c>
      <c r="P697" s="2">
        <v>5</v>
      </c>
      <c r="Q697" s="2" t="s">
        <v>3287</v>
      </c>
      <c r="R697" s="2" t="s">
        <v>3288</v>
      </c>
      <c r="S697" s="4">
        <v>44952</v>
      </c>
    </row>
    <row r="698" spans="1:19" ht="12.5" hidden="1" x14ac:dyDescent="0.25">
      <c r="A698" s="14" t="str">
        <f>HYPERLINK("https://gerandofalcoes.my.salesforce.com/0014X00002YggqZQAR", "0014X00002YggqZQAR")</f>
        <v>0014X00002YggqZQAR</v>
      </c>
      <c r="B698" s="2" t="s">
        <v>3289</v>
      </c>
      <c r="C698" s="2" t="s">
        <v>423</v>
      </c>
      <c r="D698" s="2" t="s">
        <v>2</v>
      </c>
      <c r="E698" s="2"/>
      <c r="F698" s="2">
        <v>5</v>
      </c>
      <c r="G698" s="2">
        <v>3</v>
      </c>
      <c r="H698" s="2">
        <v>1000</v>
      </c>
      <c r="I698" s="2">
        <v>23</v>
      </c>
      <c r="J698" s="2" t="s">
        <v>1779</v>
      </c>
      <c r="K698" s="2">
        <v>23</v>
      </c>
      <c r="L698" s="2">
        <v>0</v>
      </c>
      <c r="M698" s="2">
        <v>5</v>
      </c>
      <c r="N698" s="2">
        <v>8</v>
      </c>
      <c r="O698" s="2">
        <v>5</v>
      </c>
      <c r="P698" s="2">
        <v>5</v>
      </c>
      <c r="Q698" s="2" t="s">
        <v>3290</v>
      </c>
      <c r="R698" s="2" t="s">
        <v>3290</v>
      </c>
      <c r="S698" s="4">
        <v>44952</v>
      </c>
    </row>
    <row r="699" spans="1:19" ht="12.5" hidden="1" x14ac:dyDescent="0.25">
      <c r="A699" s="14" t="str">
        <f>HYPERLINK("https://gerandofalcoes.my.salesforce.com/0014X00002YggpsQAB", "0014X00002YggpsQAB")</f>
        <v>0014X00002YggpsQAB</v>
      </c>
      <c r="B699" s="2" t="s">
        <v>3291</v>
      </c>
      <c r="C699" s="2" t="s">
        <v>423</v>
      </c>
      <c r="D699" s="2" t="s">
        <v>2</v>
      </c>
      <c r="E699" s="2"/>
      <c r="F699" s="2">
        <v>3</v>
      </c>
      <c r="G699" s="2">
        <v>2</v>
      </c>
      <c r="H699" s="2">
        <v>1000</v>
      </c>
      <c r="I699" s="2">
        <v>1</v>
      </c>
      <c r="J699" s="2" t="s">
        <v>1779</v>
      </c>
      <c r="K699" s="2">
        <v>21</v>
      </c>
      <c r="L699" s="2">
        <v>0</v>
      </c>
      <c r="M699" s="2">
        <v>5</v>
      </c>
      <c r="N699" s="2">
        <v>6</v>
      </c>
      <c r="O699" s="2">
        <v>5</v>
      </c>
      <c r="P699" s="2">
        <v>5</v>
      </c>
      <c r="Q699" s="2" t="s">
        <v>3292</v>
      </c>
      <c r="R699" s="2" t="s">
        <v>3293</v>
      </c>
      <c r="S699" s="4">
        <v>44952</v>
      </c>
    </row>
    <row r="700" spans="1:19" ht="12.5" hidden="1" x14ac:dyDescent="0.25">
      <c r="A700" s="14" t="str">
        <f>HYPERLINK("https://gerandofalcoes.my.salesforce.com/0014X00002YggpRQAR", "0014X00002YggpRQAR")</f>
        <v>0014X00002YggpRQAR</v>
      </c>
      <c r="B700" s="2" t="s">
        <v>3294</v>
      </c>
      <c r="C700" s="2" t="s">
        <v>423</v>
      </c>
      <c r="D700" s="2" t="s">
        <v>2</v>
      </c>
      <c r="E700" s="2"/>
      <c r="F700" s="2">
        <v>1</v>
      </c>
      <c r="G700" s="2">
        <v>3</v>
      </c>
      <c r="H700" s="2">
        <v>200000</v>
      </c>
      <c r="I700" s="2">
        <v>0</v>
      </c>
      <c r="J700" s="2" t="s">
        <v>1779</v>
      </c>
      <c r="K700" s="2">
        <v>28</v>
      </c>
      <c r="L700" s="2">
        <v>0</v>
      </c>
      <c r="M700" s="2">
        <v>5</v>
      </c>
      <c r="N700" s="2">
        <v>8</v>
      </c>
      <c r="O700" s="2">
        <v>15</v>
      </c>
      <c r="P700" s="2">
        <v>0</v>
      </c>
      <c r="Q700" s="2" t="s">
        <v>3295</v>
      </c>
      <c r="R700" s="2" t="s">
        <v>3295</v>
      </c>
      <c r="S700" s="4">
        <v>44952</v>
      </c>
    </row>
    <row r="701" spans="1:19" ht="12.5" hidden="1" x14ac:dyDescent="0.25">
      <c r="A701" s="14" t="str">
        <f>HYPERLINK("https://gerandofalcoes.my.salesforce.com/0014X00002bCkJzQAK", "0014X00002bCkJzQAK")</f>
        <v>0014X00002bCkJzQAK</v>
      </c>
      <c r="B701" s="2" t="s">
        <v>3296</v>
      </c>
      <c r="C701" s="2" t="s">
        <v>423</v>
      </c>
      <c r="D701" s="2" t="s">
        <v>2</v>
      </c>
      <c r="E701" s="2"/>
      <c r="F701" s="2">
        <v>25</v>
      </c>
      <c r="G701" s="2">
        <v>2</v>
      </c>
      <c r="H701" s="2">
        <v>1000000</v>
      </c>
      <c r="I701" s="2">
        <v>0</v>
      </c>
      <c r="J701" s="2" t="s">
        <v>1671</v>
      </c>
      <c r="K701" s="2">
        <v>43</v>
      </c>
      <c r="L701" s="2">
        <v>0</v>
      </c>
      <c r="M701" s="2">
        <v>12</v>
      </c>
      <c r="N701" s="2">
        <v>6</v>
      </c>
      <c r="O701" s="2">
        <v>25</v>
      </c>
      <c r="P701" s="2">
        <v>0</v>
      </c>
      <c r="Q701" s="2" t="s">
        <v>3297</v>
      </c>
      <c r="R701" s="2" t="s">
        <v>3298</v>
      </c>
      <c r="S701" s="4">
        <v>44952</v>
      </c>
    </row>
    <row r="702" spans="1:19" ht="12.5" hidden="1" x14ac:dyDescent="0.25">
      <c r="A702" s="14" t="str">
        <f>HYPERLINK("https://gerandofalcoes.my.salesforce.com/0014X00002YggoMQAR", "0014X00002YggoMQAR")</f>
        <v>0014X00002YggoMQAR</v>
      </c>
      <c r="B702" s="2" t="s">
        <v>3299</v>
      </c>
      <c r="C702" s="2" t="s">
        <v>423</v>
      </c>
      <c r="D702" s="2" t="s">
        <v>2</v>
      </c>
      <c r="E702" s="2">
        <v>58.5</v>
      </c>
      <c r="F702" s="2">
        <v>6</v>
      </c>
      <c r="G702" s="2">
        <v>3</v>
      </c>
      <c r="H702" s="2">
        <v>250000</v>
      </c>
      <c r="I702" s="2">
        <v>550</v>
      </c>
      <c r="J702" s="2" t="s">
        <v>1650</v>
      </c>
      <c r="K702" s="2">
        <v>73</v>
      </c>
      <c r="L702" s="2">
        <v>20</v>
      </c>
      <c r="M702" s="2">
        <v>10</v>
      </c>
      <c r="N702" s="2">
        <v>8</v>
      </c>
      <c r="O702" s="2">
        <v>15</v>
      </c>
      <c r="P702" s="2">
        <v>20</v>
      </c>
      <c r="Q702" s="2" t="s">
        <v>3300</v>
      </c>
      <c r="R702" s="2" t="s">
        <v>3301</v>
      </c>
      <c r="S702" s="4">
        <v>44953</v>
      </c>
    </row>
    <row r="703" spans="1:19" ht="12.5" hidden="1" x14ac:dyDescent="0.25">
      <c r="A703" s="14" t="str">
        <f>HYPERLINK("https://gerandofalcoes.my.salesforce.com/0014X00002YggkuQAB", "0014X00002YggkuQAB")</f>
        <v>0014X00002YggkuQAB</v>
      </c>
      <c r="B703" s="2" t="s">
        <v>3302</v>
      </c>
      <c r="C703" s="2" t="s">
        <v>423</v>
      </c>
      <c r="D703" s="2" t="s">
        <v>2</v>
      </c>
      <c r="E703" s="2">
        <v>48</v>
      </c>
      <c r="F703" s="2">
        <v>9</v>
      </c>
      <c r="G703" s="2">
        <v>4</v>
      </c>
      <c r="H703" s="2">
        <v>200000</v>
      </c>
      <c r="I703" s="2">
        <v>60</v>
      </c>
      <c r="J703" s="2" t="s">
        <v>1671</v>
      </c>
      <c r="K703" s="2">
        <v>55</v>
      </c>
      <c r="L703" s="2">
        <v>15</v>
      </c>
      <c r="M703" s="2">
        <v>10</v>
      </c>
      <c r="N703" s="2">
        <v>10</v>
      </c>
      <c r="O703" s="2">
        <v>15</v>
      </c>
      <c r="P703" s="2">
        <v>5</v>
      </c>
      <c r="Q703" s="2" t="s">
        <v>3303</v>
      </c>
      <c r="R703" s="2" t="s">
        <v>3304</v>
      </c>
      <c r="S703" s="4">
        <v>44953</v>
      </c>
    </row>
    <row r="704" spans="1:19" ht="12.5" hidden="1" x14ac:dyDescent="0.25">
      <c r="A704" s="14" t="str">
        <f>HYPERLINK("https://gerandofalcoes.my.salesforce.com/0014X00002YgglRQAR", "0014X00002YgglRQAR")</f>
        <v>0014X00002YgglRQAR</v>
      </c>
      <c r="B704" s="2" t="s">
        <v>3305</v>
      </c>
      <c r="C704" s="2" t="s">
        <v>423</v>
      </c>
      <c r="D704" s="2" t="s">
        <v>2</v>
      </c>
      <c r="E704" s="2">
        <v>32.869999999999997</v>
      </c>
      <c r="F704" s="2">
        <v>8</v>
      </c>
      <c r="G704" s="2">
        <v>2</v>
      </c>
      <c r="H704" s="2">
        <v>20000</v>
      </c>
      <c r="I704" s="2">
        <v>120</v>
      </c>
      <c r="J704" s="2" t="s">
        <v>1671</v>
      </c>
      <c r="K704" s="2">
        <v>46</v>
      </c>
      <c r="L704" s="2">
        <v>15</v>
      </c>
      <c r="M704" s="2">
        <v>10</v>
      </c>
      <c r="N704" s="2">
        <v>6</v>
      </c>
      <c r="O704" s="2">
        <v>5</v>
      </c>
      <c r="P704" s="2">
        <v>10</v>
      </c>
      <c r="Q704" s="2" t="s">
        <v>3306</v>
      </c>
      <c r="R704" s="2" t="s">
        <v>3307</v>
      </c>
      <c r="S704" s="4">
        <v>44953</v>
      </c>
    </row>
    <row r="705" spans="1:19" ht="12.5" hidden="1" x14ac:dyDescent="0.25">
      <c r="A705" s="14" t="str">
        <f>HYPERLINK("https://gerandofalcoes.my.salesforce.com/0014X00002YggqlQAB", "0014X00002YggqlQAB")</f>
        <v>0014X00002YggqlQAB</v>
      </c>
      <c r="B705" s="2" t="s">
        <v>3308</v>
      </c>
      <c r="C705" s="2" t="s">
        <v>423</v>
      </c>
      <c r="D705" s="2" t="s">
        <v>2</v>
      </c>
      <c r="E705" s="2">
        <v>29.41</v>
      </c>
      <c r="F705" s="2">
        <v>15</v>
      </c>
      <c r="G705" s="2">
        <v>2</v>
      </c>
      <c r="H705" s="2">
        <v>20000</v>
      </c>
      <c r="I705" s="2">
        <v>120</v>
      </c>
      <c r="J705" s="2" t="s">
        <v>1671</v>
      </c>
      <c r="K705" s="2">
        <v>48</v>
      </c>
      <c r="L705" s="2">
        <v>15</v>
      </c>
      <c r="M705" s="2">
        <v>12</v>
      </c>
      <c r="N705" s="2">
        <v>6</v>
      </c>
      <c r="O705" s="2">
        <v>5</v>
      </c>
      <c r="P705" s="2">
        <v>10</v>
      </c>
      <c r="Q705" s="2" t="s">
        <v>3309</v>
      </c>
      <c r="R705" s="2" t="s">
        <v>3310</v>
      </c>
      <c r="S705" s="4">
        <v>44953</v>
      </c>
    </row>
    <row r="706" spans="1:19" ht="12.5" hidden="1" x14ac:dyDescent="0.25">
      <c r="A706" s="14" t="str">
        <f>HYPERLINK("https://gerandofalcoes.my.salesforce.com/0014X00002YggmAQAR", "0014X00002YggmAQAR")</f>
        <v>0014X00002YggmAQAR</v>
      </c>
      <c r="B706" s="2" t="s">
        <v>3311</v>
      </c>
      <c r="C706" s="2" t="s">
        <v>423</v>
      </c>
      <c r="D706" s="2" t="s">
        <v>2</v>
      </c>
      <c r="E706" s="2">
        <v>28.56</v>
      </c>
      <c r="F706" s="2">
        <v>0</v>
      </c>
      <c r="G706" s="2">
        <v>5</v>
      </c>
      <c r="H706" s="2">
        <v>469000</v>
      </c>
      <c r="I706" s="2">
        <v>0</v>
      </c>
      <c r="J706" s="2" t="s">
        <v>1671</v>
      </c>
      <c r="K706" s="2">
        <v>45</v>
      </c>
      <c r="L706" s="2">
        <v>15</v>
      </c>
      <c r="M706" s="2">
        <v>0</v>
      </c>
      <c r="N706" s="2">
        <v>10</v>
      </c>
      <c r="O706" s="2">
        <v>20</v>
      </c>
      <c r="P706" s="2">
        <v>0</v>
      </c>
      <c r="Q706" s="2" t="s">
        <v>3312</v>
      </c>
      <c r="R706" s="2" t="s">
        <v>3313</v>
      </c>
      <c r="S706" s="4">
        <v>44953</v>
      </c>
    </row>
    <row r="707" spans="1:19" ht="12.5" hidden="1" x14ac:dyDescent="0.25">
      <c r="A707" s="14" t="str">
        <f>HYPERLINK("https://gerandofalcoes.my.salesforce.com/0014X00002YgghEQAR", "0014X00002YgghEQAR")</f>
        <v>0014X00002YgghEQAR</v>
      </c>
      <c r="B707" s="2" t="s">
        <v>3314</v>
      </c>
      <c r="C707" s="2" t="s">
        <v>423</v>
      </c>
      <c r="D707" s="2" t="s">
        <v>2</v>
      </c>
      <c r="E707" s="2">
        <v>20.88</v>
      </c>
      <c r="F707" s="2">
        <v>22</v>
      </c>
      <c r="G707" s="2">
        <v>5</v>
      </c>
      <c r="H707" s="2">
        <v>100000</v>
      </c>
      <c r="I707" s="2">
        <v>150</v>
      </c>
      <c r="J707" s="2" t="s">
        <v>1671</v>
      </c>
      <c r="K707" s="2">
        <v>59</v>
      </c>
      <c r="L707" s="2">
        <v>10</v>
      </c>
      <c r="M707" s="2">
        <v>12</v>
      </c>
      <c r="N707" s="2">
        <v>10</v>
      </c>
      <c r="O707" s="2">
        <v>15</v>
      </c>
      <c r="P707" s="2">
        <v>12</v>
      </c>
      <c r="Q707" s="2" t="s">
        <v>3315</v>
      </c>
      <c r="R707" s="2" t="s">
        <v>3315</v>
      </c>
      <c r="S707" s="4">
        <v>44953</v>
      </c>
    </row>
    <row r="708" spans="1:19" ht="12.5" hidden="1" x14ac:dyDescent="0.25">
      <c r="A708" s="14" t="str">
        <f>HYPERLINK("https://gerandofalcoes.my.salesforce.com/0014X00002YggnOQAR", "0014X00002YggnOQAR")</f>
        <v>0014X00002YggnOQAR</v>
      </c>
      <c r="B708" s="2" t="s">
        <v>3316</v>
      </c>
      <c r="C708" s="2" t="s">
        <v>423</v>
      </c>
      <c r="D708" s="2" t="s">
        <v>2</v>
      </c>
      <c r="E708" s="2">
        <v>14.5</v>
      </c>
      <c r="F708" s="2">
        <v>0</v>
      </c>
      <c r="G708" s="2">
        <v>2</v>
      </c>
      <c r="H708" s="2">
        <v>0</v>
      </c>
      <c r="I708" s="2">
        <v>128</v>
      </c>
      <c r="J708" s="2" t="s">
        <v>1779</v>
      </c>
      <c r="K708" s="2">
        <v>26</v>
      </c>
      <c r="L708" s="2">
        <v>10</v>
      </c>
      <c r="M708" s="2">
        <v>0</v>
      </c>
      <c r="N708" s="2">
        <v>6</v>
      </c>
      <c r="O708" s="2">
        <v>0</v>
      </c>
      <c r="P708" s="2">
        <v>10</v>
      </c>
      <c r="Q708" s="2" t="s">
        <v>3317</v>
      </c>
      <c r="R708" s="2" t="s">
        <v>3318</v>
      </c>
      <c r="S708" s="4">
        <v>44953</v>
      </c>
    </row>
    <row r="709" spans="1:19" ht="12.5" hidden="1" x14ac:dyDescent="0.25">
      <c r="A709" s="14" t="str">
        <f>HYPERLINK("https://gerandofalcoes.my.salesforce.com/0014X00002YggqwQAB", "0014X00002YggqwQAB")</f>
        <v>0014X00002YggqwQAB</v>
      </c>
      <c r="B709" s="2" t="s">
        <v>3319</v>
      </c>
      <c r="C709" s="2" t="s">
        <v>423</v>
      </c>
      <c r="D709" s="2" t="s">
        <v>2</v>
      </c>
      <c r="E709" s="2">
        <v>13.02</v>
      </c>
      <c r="F709" s="2">
        <v>4</v>
      </c>
      <c r="G709" s="2">
        <v>2</v>
      </c>
      <c r="H709" s="2">
        <v>6082</v>
      </c>
      <c r="I709" s="2">
        <v>50</v>
      </c>
      <c r="J709" s="2" t="s">
        <v>1779</v>
      </c>
      <c r="K709" s="2">
        <v>31</v>
      </c>
      <c r="L709" s="2">
        <v>10</v>
      </c>
      <c r="M709" s="2">
        <v>5</v>
      </c>
      <c r="N709" s="2">
        <v>6</v>
      </c>
      <c r="O709" s="2">
        <v>5</v>
      </c>
      <c r="P709" s="2">
        <v>5</v>
      </c>
      <c r="Q709" s="2" t="s">
        <v>3320</v>
      </c>
      <c r="R709" s="2" t="s">
        <v>3321</v>
      </c>
      <c r="S709" s="4">
        <v>44953</v>
      </c>
    </row>
    <row r="710" spans="1:19" ht="12.5" hidden="1" x14ac:dyDescent="0.25">
      <c r="A710" s="14" t="str">
        <f>HYPERLINK("https://gerandofalcoes.my.salesforce.com/0014X00002YggiBQAR", "0014X00002YggiBQAR")</f>
        <v>0014X00002YggiBQAR</v>
      </c>
      <c r="B710" s="2" t="s">
        <v>3322</v>
      </c>
      <c r="C710" s="2" t="s">
        <v>423</v>
      </c>
      <c r="D710" s="2" t="s">
        <v>2</v>
      </c>
      <c r="E710" s="2">
        <v>10.75</v>
      </c>
      <c r="F710" s="2">
        <v>123</v>
      </c>
      <c r="G710" s="2">
        <v>5</v>
      </c>
      <c r="H710" s="2">
        <v>20000</v>
      </c>
      <c r="I710" s="2">
        <v>100</v>
      </c>
      <c r="J710" s="2" t="s">
        <v>1671</v>
      </c>
      <c r="K710" s="2">
        <v>50</v>
      </c>
      <c r="L710" s="2">
        <v>10</v>
      </c>
      <c r="M710" s="2">
        <v>15</v>
      </c>
      <c r="N710" s="2">
        <v>10</v>
      </c>
      <c r="O710" s="2">
        <v>5</v>
      </c>
      <c r="P710" s="2">
        <v>10</v>
      </c>
      <c r="Q710" s="2" t="s">
        <v>3323</v>
      </c>
      <c r="R710" s="2" t="s">
        <v>3324</v>
      </c>
      <c r="S710" s="4">
        <v>44953</v>
      </c>
    </row>
    <row r="711" spans="1:19" ht="12.5" hidden="1" x14ac:dyDescent="0.25">
      <c r="A711" s="14" t="str">
        <f>HYPERLINK("https://gerandofalcoes.my.salesforce.com/0014X00002Yggk3QAB", "0014X00002Yggk3QAB")</f>
        <v>0014X00002Yggk3QAB</v>
      </c>
      <c r="B711" s="2" t="s">
        <v>3325</v>
      </c>
      <c r="C711" s="2" t="s">
        <v>423</v>
      </c>
      <c r="D711" s="2" t="s">
        <v>2</v>
      </c>
      <c r="E711" s="2">
        <v>9.67</v>
      </c>
      <c r="F711" s="2">
        <v>0</v>
      </c>
      <c r="G711" s="2">
        <v>3</v>
      </c>
      <c r="H711" s="2">
        <v>8386</v>
      </c>
      <c r="I711" s="2">
        <v>0</v>
      </c>
      <c r="J711" s="2" t="s">
        <v>1779</v>
      </c>
      <c r="K711" s="2">
        <v>23</v>
      </c>
      <c r="L711" s="2">
        <v>10</v>
      </c>
      <c r="M711" s="2">
        <v>0</v>
      </c>
      <c r="N711" s="2">
        <v>8</v>
      </c>
      <c r="O711" s="2">
        <v>5</v>
      </c>
      <c r="P711" s="2">
        <v>0</v>
      </c>
      <c r="Q711" s="2" t="s">
        <v>3326</v>
      </c>
      <c r="R711" s="2" t="s">
        <v>3327</v>
      </c>
      <c r="S711" s="4">
        <v>44953</v>
      </c>
    </row>
    <row r="712" spans="1:19" ht="12.5" hidden="1" x14ac:dyDescent="0.25">
      <c r="A712" s="14" t="str">
        <f>HYPERLINK("https://gerandofalcoes.my.salesforce.com/0014X00002Yggq6QAB", "0014X00002Yggq6QAB")</f>
        <v>0014X00002Yggq6QAB</v>
      </c>
      <c r="B712" s="2" t="s">
        <v>3328</v>
      </c>
      <c r="C712" s="2" t="s">
        <v>423</v>
      </c>
      <c r="D712" s="2" t="s">
        <v>2</v>
      </c>
      <c r="E712" s="2">
        <v>8.6</v>
      </c>
      <c r="F712" s="2">
        <v>0</v>
      </c>
      <c r="G712" s="2">
        <v>3</v>
      </c>
      <c r="H712" s="2">
        <v>3500</v>
      </c>
      <c r="I712" s="2">
        <v>30</v>
      </c>
      <c r="J712" s="2" t="s">
        <v>1779</v>
      </c>
      <c r="K712" s="2">
        <v>28</v>
      </c>
      <c r="L712" s="2">
        <v>10</v>
      </c>
      <c r="M712" s="2">
        <v>0</v>
      </c>
      <c r="N712" s="2">
        <v>8</v>
      </c>
      <c r="O712" s="2">
        <v>5</v>
      </c>
      <c r="P712" s="2">
        <v>5</v>
      </c>
      <c r="Q712" s="2" t="s">
        <v>3329</v>
      </c>
      <c r="R712" s="2" t="s">
        <v>3330</v>
      </c>
      <c r="S712" s="4">
        <v>44953</v>
      </c>
    </row>
    <row r="713" spans="1:19" ht="12.5" hidden="1" x14ac:dyDescent="0.25">
      <c r="A713" s="14" t="str">
        <f>HYPERLINK("https://gerandofalcoes.my.salesforce.com/0014X00002YgghWQAR", "0014X00002YgghWQAR")</f>
        <v>0014X00002YgghWQAR</v>
      </c>
      <c r="B713" s="2" t="s">
        <v>3331</v>
      </c>
      <c r="C713" s="2" t="s">
        <v>423</v>
      </c>
      <c r="D713" s="2" t="s">
        <v>2</v>
      </c>
      <c r="E713" s="2">
        <v>8.49</v>
      </c>
      <c r="F713" s="2">
        <v>0</v>
      </c>
      <c r="G713" s="2">
        <v>2</v>
      </c>
      <c r="H713" s="2">
        <v>8000</v>
      </c>
      <c r="I713" s="2">
        <v>0</v>
      </c>
      <c r="J713" s="2" t="s">
        <v>1779</v>
      </c>
      <c r="K713" s="2">
        <v>21</v>
      </c>
      <c r="L713" s="2">
        <v>10</v>
      </c>
      <c r="M713" s="2">
        <v>0</v>
      </c>
      <c r="N713" s="2">
        <v>6</v>
      </c>
      <c r="O713" s="2">
        <v>5</v>
      </c>
      <c r="P713" s="2">
        <v>0</v>
      </c>
      <c r="Q713" s="2" t="s">
        <v>3332</v>
      </c>
      <c r="R713" s="2" t="s">
        <v>3333</v>
      </c>
      <c r="S713" s="4">
        <v>44953</v>
      </c>
    </row>
    <row r="714" spans="1:19" ht="12.5" hidden="1" x14ac:dyDescent="0.25">
      <c r="A714" s="14" t="str">
        <f>HYPERLINK("https://gerandofalcoes.my.salesforce.com/0014X00002YggnDQAR", "0014X00002YggnDQAR")</f>
        <v>0014X00002YggnDQAR</v>
      </c>
      <c r="B714" s="2" t="s">
        <v>3334</v>
      </c>
      <c r="C714" s="2" t="s">
        <v>423</v>
      </c>
      <c r="D714" s="2" t="s">
        <v>2</v>
      </c>
      <c r="E714" s="2">
        <v>5.59</v>
      </c>
      <c r="F714" s="2">
        <v>0</v>
      </c>
      <c r="G714" s="2">
        <v>3</v>
      </c>
      <c r="H714" s="2">
        <v>5000</v>
      </c>
      <c r="I714" s="2">
        <v>2000</v>
      </c>
      <c r="J714" s="2" t="s">
        <v>1671</v>
      </c>
      <c r="K714" s="2">
        <v>43</v>
      </c>
      <c r="L714" s="2">
        <v>10</v>
      </c>
      <c r="M714" s="2">
        <v>0</v>
      </c>
      <c r="N714" s="2">
        <v>8</v>
      </c>
      <c r="O714" s="2">
        <v>5</v>
      </c>
      <c r="P714" s="2">
        <v>20</v>
      </c>
      <c r="Q714" s="2" t="s">
        <v>3335</v>
      </c>
      <c r="R714" s="2" t="s">
        <v>3336</v>
      </c>
      <c r="S714" s="4">
        <v>44953</v>
      </c>
    </row>
    <row r="715" spans="1:19" ht="12.5" hidden="1" x14ac:dyDescent="0.25">
      <c r="A715" s="14" t="str">
        <f>HYPERLINK("https://gerandofalcoes.my.salesforce.com/0014X00002YgbkTQAR", "0014X00002YgbkTQAR")</f>
        <v>0014X00002YgbkTQAR</v>
      </c>
      <c r="B715" s="2" t="s">
        <v>3337</v>
      </c>
      <c r="C715" s="2" t="s">
        <v>423</v>
      </c>
      <c r="D715" s="2" t="s">
        <v>2</v>
      </c>
      <c r="E715" s="2">
        <v>0.59</v>
      </c>
      <c r="F715" s="2">
        <v>0</v>
      </c>
      <c r="G715" s="2">
        <v>0</v>
      </c>
      <c r="H715" s="2">
        <v>0</v>
      </c>
      <c r="I715" s="2">
        <v>0</v>
      </c>
      <c r="J715" s="2" t="s">
        <v>1779</v>
      </c>
      <c r="K715" s="2">
        <v>0</v>
      </c>
      <c r="L715" s="2">
        <v>0</v>
      </c>
      <c r="M715" s="2">
        <v>0</v>
      </c>
      <c r="N715" s="2">
        <v>0</v>
      </c>
      <c r="O715" s="2">
        <v>0</v>
      </c>
      <c r="P715" s="2">
        <v>0</v>
      </c>
      <c r="Q715" s="2" t="s">
        <v>3338</v>
      </c>
      <c r="R715" s="2" t="s">
        <v>3339</v>
      </c>
      <c r="S715" s="4">
        <v>44953</v>
      </c>
    </row>
    <row r="716" spans="1:19" ht="12.5" hidden="1" x14ac:dyDescent="0.25">
      <c r="A716" s="14" t="str">
        <f>HYPERLINK("https://gerandofalcoes.my.salesforce.com/0014X00002YggoaQAB", "0014X00002YggoaQAB")</f>
        <v>0014X00002YggoaQAB</v>
      </c>
      <c r="B716" s="2" t="s">
        <v>3340</v>
      </c>
      <c r="C716" s="2" t="s">
        <v>423</v>
      </c>
      <c r="D716" s="2" t="s">
        <v>2</v>
      </c>
      <c r="E716" s="2"/>
      <c r="F716" s="2">
        <v>10</v>
      </c>
      <c r="G716" s="2">
        <v>4</v>
      </c>
      <c r="H716" s="2">
        <v>581000</v>
      </c>
      <c r="I716" s="2">
        <v>323</v>
      </c>
      <c r="J716" s="2" t="s">
        <v>1671</v>
      </c>
      <c r="K716" s="2">
        <v>55</v>
      </c>
      <c r="L716" s="2">
        <v>0</v>
      </c>
      <c r="M716" s="2">
        <v>10</v>
      </c>
      <c r="N716" s="2">
        <v>10</v>
      </c>
      <c r="O716" s="2">
        <v>20</v>
      </c>
      <c r="P716" s="2">
        <v>15</v>
      </c>
      <c r="Q716" s="2" t="s">
        <v>3341</v>
      </c>
      <c r="R716" s="2" t="s">
        <v>3342</v>
      </c>
      <c r="S716" s="4">
        <v>44953</v>
      </c>
    </row>
    <row r="717" spans="1:19" ht="12.5" hidden="1" x14ac:dyDescent="0.25">
      <c r="A717" s="14" t="str">
        <f>HYPERLINK("https://gerandofalcoes.my.salesforce.com/0014X00002YggmJQAR", "0014X00002YggmJQAR")</f>
        <v>0014X00002YggmJQAR</v>
      </c>
      <c r="B717" s="2" t="s">
        <v>3343</v>
      </c>
      <c r="C717" s="2" t="s">
        <v>423</v>
      </c>
      <c r="D717" s="2" t="s">
        <v>2</v>
      </c>
      <c r="E717" s="2"/>
      <c r="F717" s="2">
        <v>0</v>
      </c>
      <c r="G717" s="2">
        <v>2</v>
      </c>
      <c r="H717" s="2">
        <v>15000</v>
      </c>
      <c r="I717" s="2">
        <v>130</v>
      </c>
      <c r="J717" s="2" t="s">
        <v>1779</v>
      </c>
      <c r="K717" s="2">
        <v>21</v>
      </c>
      <c r="L717" s="2">
        <v>0</v>
      </c>
      <c r="M717" s="2">
        <v>0</v>
      </c>
      <c r="N717" s="2">
        <v>6</v>
      </c>
      <c r="O717" s="2">
        <v>5</v>
      </c>
      <c r="P717" s="2">
        <v>10</v>
      </c>
      <c r="Q717" s="2" t="s">
        <v>3344</v>
      </c>
      <c r="R717" s="2" t="s">
        <v>3345</v>
      </c>
      <c r="S717" s="4">
        <v>44953</v>
      </c>
    </row>
    <row r="718" spans="1:19" ht="12.5" hidden="1" x14ac:dyDescent="0.25">
      <c r="A718" s="14" t="str">
        <f>HYPERLINK("https://gerandofalcoes.my.salesforce.com/0014X00002YggnjQAB", "0014X00002YggnjQAB")</f>
        <v>0014X00002YggnjQAB</v>
      </c>
      <c r="B718" s="2" t="s">
        <v>3346</v>
      </c>
      <c r="C718" s="2" t="s">
        <v>423</v>
      </c>
      <c r="D718" s="2" t="s">
        <v>2</v>
      </c>
      <c r="E718" s="2"/>
      <c r="F718" s="2">
        <v>9</v>
      </c>
      <c r="G718" s="2">
        <v>3</v>
      </c>
      <c r="H718" s="2">
        <v>2500</v>
      </c>
      <c r="I718" s="2">
        <v>120</v>
      </c>
      <c r="J718" s="2" t="s">
        <v>1779</v>
      </c>
      <c r="K718" s="2">
        <v>33</v>
      </c>
      <c r="L718" s="2">
        <v>0</v>
      </c>
      <c r="M718" s="2">
        <v>10</v>
      </c>
      <c r="N718" s="2">
        <v>8</v>
      </c>
      <c r="O718" s="2">
        <v>5</v>
      </c>
      <c r="P718" s="2">
        <v>10</v>
      </c>
      <c r="Q718" s="2" t="s">
        <v>3347</v>
      </c>
      <c r="R718" s="2" t="s">
        <v>3348</v>
      </c>
      <c r="S718" s="4">
        <v>44953</v>
      </c>
    </row>
    <row r="719" spans="1:19" ht="12.5" hidden="1" x14ac:dyDescent="0.25">
      <c r="A719" s="14" t="str">
        <f>HYPERLINK("https://gerandofalcoes.my.salesforce.com/0014X00002YggnBQAR", "0014X00002YggnBQAR")</f>
        <v>0014X00002YggnBQAR</v>
      </c>
      <c r="B719" s="2" t="s">
        <v>3349</v>
      </c>
      <c r="C719" s="2" t="s">
        <v>423</v>
      </c>
      <c r="D719" s="2" t="s">
        <v>2</v>
      </c>
      <c r="E719" s="2"/>
      <c r="F719" s="2">
        <v>0</v>
      </c>
      <c r="G719" s="2">
        <v>3</v>
      </c>
      <c r="H719" s="2">
        <v>1000</v>
      </c>
      <c r="I719" s="2">
        <v>120</v>
      </c>
      <c r="J719" s="2" t="s">
        <v>1779</v>
      </c>
      <c r="K719" s="2">
        <v>23</v>
      </c>
      <c r="L719" s="2">
        <v>0</v>
      </c>
      <c r="M719" s="2">
        <v>0</v>
      </c>
      <c r="N719" s="2">
        <v>8</v>
      </c>
      <c r="O719" s="2">
        <v>5</v>
      </c>
      <c r="P719" s="2">
        <v>10</v>
      </c>
      <c r="Q719" s="2" t="s">
        <v>3350</v>
      </c>
      <c r="R719" s="2" t="s">
        <v>3351</v>
      </c>
      <c r="S719" s="4">
        <v>44953</v>
      </c>
    </row>
    <row r="720" spans="1:19" ht="12.5" hidden="1" x14ac:dyDescent="0.25">
      <c r="A720" s="14" t="str">
        <f>HYPERLINK("https://gerandofalcoes.my.salesforce.com/0014X00002YgggYQAR", "0014X00002YgggYQAR")</f>
        <v>0014X00002YgggYQAR</v>
      </c>
      <c r="B720" s="2" t="s">
        <v>3352</v>
      </c>
      <c r="C720" s="2" t="s">
        <v>423</v>
      </c>
      <c r="D720" s="2" t="s">
        <v>2</v>
      </c>
      <c r="E720" s="2"/>
      <c r="F720" s="2">
        <v>10</v>
      </c>
      <c r="G720" s="2">
        <v>3</v>
      </c>
      <c r="H720" s="2">
        <v>471944</v>
      </c>
      <c r="I720" s="2">
        <v>115</v>
      </c>
      <c r="J720" s="2" t="s">
        <v>1671</v>
      </c>
      <c r="K720" s="2">
        <v>48</v>
      </c>
      <c r="L720" s="2">
        <v>0</v>
      </c>
      <c r="M720" s="2">
        <v>10</v>
      </c>
      <c r="N720" s="2">
        <v>8</v>
      </c>
      <c r="O720" s="2">
        <v>20</v>
      </c>
      <c r="P720" s="2">
        <v>10</v>
      </c>
      <c r="Q720" s="2" t="s">
        <v>3353</v>
      </c>
      <c r="R720" s="2" t="s">
        <v>3353</v>
      </c>
      <c r="S720" s="4">
        <v>44953</v>
      </c>
    </row>
    <row r="721" spans="1:19" ht="12.5" hidden="1" x14ac:dyDescent="0.25">
      <c r="A721" s="14" t="str">
        <f>HYPERLINK("https://gerandofalcoes.my.salesforce.com/0014X00002YggnrQAB", "0014X00002YggnrQAB")</f>
        <v>0014X00002YggnrQAB</v>
      </c>
      <c r="B721" s="2" t="s">
        <v>3354</v>
      </c>
      <c r="C721" s="2" t="s">
        <v>423</v>
      </c>
      <c r="D721" s="2" t="s">
        <v>2</v>
      </c>
      <c r="E721" s="2"/>
      <c r="F721" s="2">
        <v>2</v>
      </c>
      <c r="G721" s="2">
        <v>5</v>
      </c>
      <c r="H721" s="2">
        <v>7006467</v>
      </c>
      <c r="I721" s="2">
        <v>100</v>
      </c>
      <c r="J721" s="2" t="s">
        <v>1671</v>
      </c>
      <c r="K721" s="2">
        <v>50</v>
      </c>
      <c r="L721" s="2">
        <v>0</v>
      </c>
      <c r="M721" s="2">
        <v>5</v>
      </c>
      <c r="N721" s="2">
        <v>10</v>
      </c>
      <c r="O721" s="2">
        <v>25</v>
      </c>
      <c r="P721" s="2">
        <v>10</v>
      </c>
      <c r="Q721" s="2" t="s">
        <v>3355</v>
      </c>
      <c r="R721" s="2" t="s">
        <v>3356</v>
      </c>
      <c r="S721" s="4">
        <v>44953</v>
      </c>
    </row>
    <row r="722" spans="1:19" ht="12.5" hidden="1" x14ac:dyDescent="0.25">
      <c r="A722" s="14" t="str">
        <f>HYPERLINK("https://gerandofalcoes.my.salesforce.com/0014X00002Yggj3QAB", "0014X00002Yggj3QAB")</f>
        <v>0014X00002Yggj3QAB</v>
      </c>
      <c r="B722" s="2" t="s">
        <v>3357</v>
      </c>
      <c r="C722" s="2" t="s">
        <v>423</v>
      </c>
      <c r="D722" s="2" t="s">
        <v>2</v>
      </c>
      <c r="E722" s="2"/>
      <c r="F722" s="2">
        <v>0</v>
      </c>
      <c r="G722" s="2">
        <v>5</v>
      </c>
      <c r="H722" s="2">
        <v>1000</v>
      </c>
      <c r="I722" s="2">
        <v>80</v>
      </c>
      <c r="J722" s="2" t="s">
        <v>1779</v>
      </c>
      <c r="K722" s="2">
        <v>25</v>
      </c>
      <c r="L722" s="2">
        <v>0</v>
      </c>
      <c r="M722" s="2">
        <v>0</v>
      </c>
      <c r="N722" s="2">
        <v>10</v>
      </c>
      <c r="O722" s="2">
        <v>5</v>
      </c>
      <c r="P722" s="2">
        <v>10</v>
      </c>
      <c r="Q722" s="2" t="s">
        <v>3358</v>
      </c>
      <c r="R722" s="2" t="s">
        <v>3359</v>
      </c>
      <c r="S722" s="4">
        <v>44953</v>
      </c>
    </row>
    <row r="723" spans="1:19" ht="12.5" hidden="1" x14ac:dyDescent="0.25">
      <c r="A723" s="14" t="str">
        <f>HYPERLINK("https://gerandofalcoes.my.salesforce.com/0014X00002YgglpQAB", "0014X00002YgglpQAB")</f>
        <v>0014X00002YgglpQAB</v>
      </c>
      <c r="B723" s="2" t="s">
        <v>3360</v>
      </c>
      <c r="C723" s="2" t="s">
        <v>423</v>
      </c>
      <c r="D723" s="2" t="s">
        <v>2</v>
      </c>
      <c r="E723" s="2"/>
      <c r="F723" s="2">
        <v>24</v>
      </c>
      <c r="G723" s="2">
        <v>8</v>
      </c>
      <c r="H723" s="2">
        <v>12828162</v>
      </c>
      <c r="I723" s="2">
        <v>60</v>
      </c>
      <c r="J723" s="2" t="s">
        <v>1671</v>
      </c>
      <c r="K723" s="2">
        <v>52</v>
      </c>
      <c r="L723" s="2">
        <v>0</v>
      </c>
      <c r="M723" s="2">
        <v>12</v>
      </c>
      <c r="N723" s="2">
        <v>10</v>
      </c>
      <c r="O723" s="2">
        <v>25</v>
      </c>
      <c r="P723" s="2">
        <v>5</v>
      </c>
      <c r="Q723" s="2" t="s">
        <v>3361</v>
      </c>
      <c r="R723" s="2" t="s">
        <v>3362</v>
      </c>
      <c r="S723" s="4">
        <v>44953</v>
      </c>
    </row>
    <row r="724" spans="1:19" ht="12.5" hidden="1" x14ac:dyDescent="0.25">
      <c r="A724" s="14" t="str">
        <f>HYPERLINK("https://gerandofalcoes.my.salesforce.com/0014X00002YgglTQAR", "0014X00002YgglTQAR")</f>
        <v>0014X00002YgglTQAR</v>
      </c>
      <c r="B724" s="2" t="s">
        <v>3363</v>
      </c>
      <c r="C724" s="2" t="s">
        <v>423</v>
      </c>
      <c r="D724" s="2" t="s">
        <v>2</v>
      </c>
      <c r="E724" s="2"/>
      <c r="F724" s="2">
        <v>0</v>
      </c>
      <c r="G724" s="2">
        <v>2</v>
      </c>
      <c r="H724" s="2">
        <v>0</v>
      </c>
      <c r="I724" s="2">
        <v>60</v>
      </c>
      <c r="J724" s="2" t="s">
        <v>1779</v>
      </c>
      <c r="K724" s="2">
        <v>11</v>
      </c>
      <c r="L724" s="2">
        <v>0</v>
      </c>
      <c r="M724" s="2">
        <v>0</v>
      </c>
      <c r="N724" s="2">
        <v>6</v>
      </c>
      <c r="O724" s="2">
        <v>0</v>
      </c>
      <c r="P724" s="2">
        <v>5</v>
      </c>
      <c r="Q724" s="2" t="s">
        <v>3364</v>
      </c>
      <c r="R724" s="2" t="s">
        <v>3364</v>
      </c>
      <c r="S724" s="4">
        <v>44953</v>
      </c>
    </row>
    <row r="725" spans="1:19" ht="12.5" hidden="1" x14ac:dyDescent="0.25">
      <c r="A725" s="14" t="str">
        <f>HYPERLINK("https://gerandofalcoes.my.salesforce.com/0014X00002YggjvQAB", "0014X00002YggjvQAB")</f>
        <v>0014X00002YggjvQAB</v>
      </c>
      <c r="B725" s="2" t="s">
        <v>3365</v>
      </c>
      <c r="C725" s="2" t="s">
        <v>423</v>
      </c>
      <c r="D725" s="2" t="s">
        <v>2</v>
      </c>
      <c r="E725" s="2"/>
      <c r="F725" s="2">
        <v>6</v>
      </c>
      <c r="G725" s="2">
        <v>2</v>
      </c>
      <c r="H725" s="2">
        <v>13000</v>
      </c>
      <c r="I725" s="2">
        <v>60</v>
      </c>
      <c r="J725" s="2" t="s">
        <v>1779</v>
      </c>
      <c r="K725" s="2">
        <v>26</v>
      </c>
      <c r="L725" s="2">
        <v>0</v>
      </c>
      <c r="M725" s="2">
        <v>10</v>
      </c>
      <c r="N725" s="2">
        <v>6</v>
      </c>
      <c r="O725" s="2">
        <v>5</v>
      </c>
      <c r="P725" s="2">
        <v>5</v>
      </c>
      <c r="Q725" s="2" t="s">
        <v>3366</v>
      </c>
      <c r="R725" s="2" t="s">
        <v>3366</v>
      </c>
      <c r="S725" s="4">
        <v>44953</v>
      </c>
    </row>
    <row r="726" spans="1:19" ht="12.5" hidden="1" x14ac:dyDescent="0.25">
      <c r="A726" s="14" t="str">
        <f>HYPERLINK("https://gerandofalcoes.my.salesforce.com/0014X00002YggguQAB", "0014X00002YggguQAB")</f>
        <v>0014X00002YggguQAB</v>
      </c>
      <c r="B726" s="2" t="s">
        <v>3367</v>
      </c>
      <c r="C726" s="2" t="s">
        <v>423</v>
      </c>
      <c r="D726" s="2" t="s">
        <v>2</v>
      </c>
      <c r="E726" s="2"/>
      <c r="F726" s="2">
        <v>5</v>
      </c>
      <c r="G726" s="2">
        <v>80</v>
      </c>
      <c r="H726" s="2">
        <v>15000</v>
      </c>
      <c r="I726" s="2">
        <v>30</v>
      </c>
      <c r="J726" s="2" t="s">
        <v>1779</v>
      </c>
      <c r="K726" s="2">
        <v>25</v>
      </c>
      <c r="L726" s="2">
        <v>0</v>
      </c>
      <c r="M726" s="2">
        <v>5</v>
      </c>
      <c r="N726" s="2">
        <v>10</v>
      </c>
      <c r="O726" s="2">
        <v>5</v>
      </c>
      <c r="P726" s="2">
        <v>5</v>
      </c>
      <c r="Q726" s="2" t="s">
        <v>3368</v>
      </c>
      <c r="R726" s="2" t="s">
        <v>3369</v>
      </c>
      <c r="S726" s="4">
        <v>44953</v>
      </c>
    </row>
    <row r="727" spans="1:19" ht="12.5" hidden="1" x14ac:dyDescent="0.25">
      <c r="A727" s="14" t="str">
        <f>HYPERLINK("https://gerandofalcoes.my.salesforce.com/0014X00002Yggk6QAB", "0014X00002Yggk6QAB")</f>
        <v>0014X00002Yggk6QAB</v>
      </c>
      <c r="B727" s="2" t="s">
        <v>3370</v>
      </c>
      <c r="C727" s="2" t="s">
        <v>423</v>
      </c>
      <c r="D727" s="2" t="s">
        <v>2</v>
      </c>
      <c r="E727" s="2"/>
      <c r="F727" s="2">
        <v>0</v>
      </c>
      <c r="G727" s="2">
        <v>2</v>
      </c>
      <c r="H727" s="2">
        <v>1000</v>
      </c>
      <c r="I727" s="2">
        <v>20</v>
      </c>
      <c r="J727" s="2" t="s">
        <v>1779</v>
      </c>
      <c r="K727" s="2">
        <v>16</v>
      </c>
      <c r="L727" s="2">
        <v>0</v>
      </c>
      <c r="M727" s="2">
        <v>0</v>
      </c>
      <c r="N727" s="2">
        <v>6</v>
      </c>
      <c r="O727" s="2">
        <v>5</v>
      </c>
      <c r="P727" s="2">
        <v>5</v>
      </c>
      <c r="Q727" s="2" t="s">
        <v>3371</v>
      </c>
      <c r="R727" s="2" t="s">
        <v>3371</v>
      </c>
      <c r="S727" s="4">
        <v>44953</v>
      </c>
    </row>
    <row r="728" spans="1:19" ht="12.5" hidden="1" x14ac:dyDescent="0.25">
      <c r="A728" s="14" t="str">
        <f>HYPERLINK("https://gerandofalcoes.my.salesforce.com/0014X00002YggqKQAR", "0014X00002YggqKQAR")</f>
        <v>0014X00002YggqKQAR</v>
      </c>
      <c r="B728" s="2" t="s">
        <v>3372</v>
      </c>
      <c r="C728" s="2" t="s">
        <v>423</v>
      </c>
      <c r="D728" s="2" t="s">
        <v>2</v>
      </c>
      <c r="E728" s="2"/>
      <c r="F728" s="2">
        <v>0</v>
      </c>
      <c r="G728" s="2">
        <v>4</v>
      </c>
      <c r="H728" s="2">
        <v>11000</v>
      </c>
      <c r="I728" s="2">
        <v>10</v>
      </c>
      <c r="J728" s="2" t="s">
        <v>1779</v>
      </c>
      <c r="K728" s="2">
        <v>20</v>
      </c>
      <c r="L728" s="2">
        <v>0</v>
      </c>
      <c r="M728" s="2">
        <v>0</v>
      </c>
      <c r="N728" s="2">
        <v>10</v>
      </c>
      <c r="O728" s="2">
        <v>5</v>
      </c>
      <c r="P728" s="2">
        <v>5</v>
      </c>
      <c r="Q728" s="2" t="s">
        <v>3373</v>
      </c>
      <c r="R728" s="2" t="s">
        <v>3374</v>
      </c>
      <c r="S728" s="4">
        <v>44953</v>
      </c>
    </row>
    <row r="729" spans="1:19" ht="12.5" hidden="1" x14ac:dyDescent="0.25">
      <c r="A729" s="14" t="str">
        <f>HYPERLINK("https://gerandofalcoes.my.salesforce.com/0014X00002YggqxQAB", "0014X00002YggqxQAB")</f>
        <v>0014X00002YggqxQAB</v>
      </c>
      <c r="B729" s="2" t="s">
        <v>3375</v>
      </c>
      <c r="C729" s="2" t="s">
        <v>423</v>
      </c>
      <c r="D729" s="2" t="s">
        <v>2</v>
      </c>
      <c r="E729" s="2"/>
      <c r="F729" s="2">
        <v>3</v>
      </c>
      <c r="G729" s="2">
        <v>3</v>
      </c>
      <c r="H729" s="2">
        <v>1000</v>
      </c>
      <c r="I729" s="2">
        <v>6</v>
      </c>
      <c r="J729" s="2" t="s">
        <v>1779</v>
      </c>
      <c r="K729" s="2">
        <v>23</v>
      </c>
      <c r="L729" s="2">
        <v>0</v>
      </c>
      <c r="M729" s="2">
        <v>5</v>
      </c>
      <c r="N729" s="2">
        <v>8</v>
      </c>
      <c r="O729" s="2">
        <v>5</v>
      </c>
      <c r="P729" s="2">
        <v>5</v>
      </c>
      <c r="Q729" s="2" t="s">
        <v>3376</v>
      </c>
      <c r="R729" s="2" t="s">
        <v>3376</v>
      </c>
      <c r="S729" s="4">
        <v>44953</v>
      </c>
    </row>
    <row r="730" spans="1:19" ht="12.5" hidden="1" x14ac:dyDescent="0.25">
      <c r="A730" s="14" t="str">
        <f>HYPERLINK("https://gerandofalcoes.my.salesforce.com/0014X00002YggoAQAR", "0014X00002YggoAQAR")</f>
        <v>0014X00002YggoAQAR</v>
      </c>
      <c r="B730" s="2" t="s">
        <v>3377</v>
      </c>
      <c r="C730" s="2" t="s">
        <v>423</v>
      </c>
      <c r="D730" s="2" t="s">
        <v>2</v>
      </c>
      <c r="E730" s="2"/>
      <c r="F730" s="2">
        <v>0</v>
      </c>
      <c r="G730" s="2">
        <v>310</v>
      </c>
      <c r="H730" s="2">
        <v>3000</v>
      </c>
      <c r="I730" s="2">
        <v>0</v>
      </c>
      <c r="J730" s="2" t="s">
        <v>1779</v>
      </c>
      <c r="K730" s="2">
        <v>15</v>
      </c>
      <c r="L730" s="2">
        <v>0</v>
      </c>
      <c r="M730" s="2">
        <v>0</v>
      </c>
      <c r="N730" s="2">
        <v>10</v>
      </c>
      <c r="O730" s="2">
        <v>5</v>
      </c>
      <c r="P730" s="2">
        <v>0</v>
      </c>
      <c r="Q730" s="2" t="s">
        <v>3378</v>
      </c>
      <c r="R730" s="2" t="s">
        <v>3378</v>
      </c>
      <c r="S730" s="4">
        <v>44953</v>
      </c>
    </row>
    <row r="731" spans="1:19" ht="12.5" hidden="1" x14ac:dyDescent="0.25">
      <c r="A731" s="14" t="str">
        <f>HYPERLINK("https://gerandofalcoes.my.salesforce.com/0014X00002YgglrQAB", "0014X00002YgglrQAB")</f>
        <v>0014X00002YgglrQAB</v>
      </c>
      <c r="B731" s="2" t="s">
        <v>3384</v>
      </c>
      <c r="C731" s="2" t="s">
        <v>423</v>
      </c>
      <c r="D731" s="2" t="s">
        <v>2</v>
      </c>
      <c r="E731" s="2"/>
      <c r="F731" s="2">
        <v>0</v>
      </c>
      <c r="G731" s="2">
        <v>5</v>
      </c>
      <c r="H731" s="2">
        <v>10000</v>
      </c>
      <c r="I731" s="2">
        <v>0</v>
      </c>
      <c r="J731" s="2" t="s">
        <v>1779</v>
      </c>
      <c r="K731" s="2">
        <v>15</v>
      </c>
      <c r="L731" s="2">
        <v>0</v>
      </c>
      <c r="M731" s="2">
        <v>0</v>
      </c>
      <c r="N731" s="2">
        <v>10</v>
      </c>
      <c r="O731" s="2">
        <v>5</v>
      </c>
      <c r="P731" s="2">
        <v>0</v>
      </c>
      <c r="Q731" s="2" t="s">
        <v>3385</v>
      </c>
      <c r="R731" s="2" t="s">
        <v>3386</v>
      </c>
      <c r="S731" s="4">
        <v>44953</v>
      </c>
    </row>
    <row r="732" spans="1:19" ht="12.5" hidden="1" x14ac:dyDescent="0.25">
      <c r="A732" s="14" t="str">
        <f>HYPERLINK("https://gerandofalcoes.my.salesforce.com/0014X00002Yggk2QAB", "0014X00002Yggk2QAB")</f>
        <v>0014X00002Yggk2QAB</v>
      </c>
      <c r="B732" s="2" t="s">
        <v>3389</v>
      </c>
      <c r="C732" s="2" t="s">
        <v>423</v>
      </c>
      <c r="D732" s="2" t="s">
        <v>2</v>
      </c>
      <c r="E732" s="2"/>
      <c r="F732" s="2">
        <v>0</v>
      </c>
      <c r="G732" s="2">
        <v>3</v>
      </c>
      <c r="H732" s="2">
        <v>0</v>
      </c>
      <c r="I732" s="2">
        <v>0</v>
      </c>
      <c r="J732" s="2" t="s">
        <v>1779</v>
      </c>
      <c r="K732" s="2">
        <v>8</v>
      </c>
      <c r="L732" s="2">
        <v>0</v>
      </c>
      <c r="M732" s="2">
        <v>0</v>
      </c>
      <c r="N732" s="2">
        <v>8</v>
      </c>
      <c r="O732" s="2">
        <v>0</v>
      </c>
      <c r="P732" s="2">
        <v>0</v>
      </c>
      <c r="Q732" s="2" t="s">
        <v>3390</v>
      </c>
      <c r="R732" s="2" t="s">
        <v>3391</v>
      </c>
      <c r="S732" s="4">
        <v>44953</v>
      </c>
    </row>
    <row r="733" spans="1:19" ht="12.5" hidden="1" x14ac:dyDescent="0.25">
      <c r="A733" s="14" t="str">
        <f>HYPERLINK("https://gerandofalcoes.my.salesforce.com/0014X00002YggmaQAB", "0014X00002YggmaQAB")</f>
        <v>0014X00002YggmaQAB</v>
      </c>
      <c r="B733" s="2" t="s">
        <v>3379</v>
      </c>
      <c r="C733" s="2" t="s">
        <v>423</v>
      </c>
      <c r="D733" s="2" t="s">
        <v>2</v>
      </c>
      <c r="E733" s="2"/>
      <c r="F733" s="2">
        <v>0</v>
      </c>
      <c r="G733" s="2">
        <v>2</v>
      </c>
      <c r="H733" s="2">
        <v>1000</v>
      </c>
      <c r="I733" s="2">
        <v>0</v>
      </c>
      <c r="J733" s="2" t="s">
        <v>1779</v>
      </c>
      <c r="K733" s="2">
        <v>11</v>
      </c>
      <c r="L733" s="2">
        <v>0</v>
      </c>
      <c r="M733" s="2">
        <v>0</v>
      </c>
      <c r="N733" s="2">
        <v>6</v>
      </c>
      <c r="O733" s="2">
        <v>5</v>
      </c>
      <c r="P733" s="2">
        <v>0</v>
      </c>
      <c r="Q733" s="2" t="s">
        <v>3380</v>
      </c>
      <c r="R733" s="2" t="s">
        <v>3380</v>
      </c>
      <c r="S733" s="4">
        <v>44953</v>
      </c>
    </row>
    <row r="734" spans="1:19" ht="12.5" hidden="1" x14ac:dyDescent="0.25">
      <c r="A734" s="14" t="str">
        <f>HYPERLINK("https://gerandofalcoes.my.salesforce.com/0014X00002YggqDQAR", "0014X00002YggqDQAR")</f>
        <v>0014X00002YggqDQAR</v>
      </c>
      <c r="B734" s="2" t="s">
        <v>3381</v>
      </c>
      <c r="C734" s="2" t="s">
        <v>423</v>
      </c>
      <c r="D734" s="2" t="s">
        <v>2</v>
      </c>
      <c r="E734" s="2"/>
      <c r="F734" s="2">
        <v>0</v>
      </c>
      <c r="G734" s="2">
        <v>3</v>
      </c>
      <c r="H734" s="2">
        <v>50000</v>
      </c>
      <c r="I734" s="2">
        <v>0</v>
      </c>
      <c r="J734" s="2" t="s">
        <v>1779</v>
      </c>
      <c r="K734" s="2">
        <v>18</v>
      </c>
      <c r="L734" s="2">
        <v>0</v>
      </c>
      <c r="M734" s="2">
        <v>0</v>
      </c>
      <c r="N734" s="2">
        <v>8</v>
      </c>
      <c r="O734" s="2">
        <v>10</v>
      </c>
      <c r="P734" s="2">
        <v>0</v>
      </c>
      <c r="Q734" s="2" t="s">
        <v>3382</v>
      </c>
      <c r="R734" s="2" t="s">
        <v>3383</v>
      </c>
      <c r="S734" s="4">
        <v>44953</v>
      </c>
    </row>
    <row r="735" spans="1:19" ht="12.5" hidden="1" x14ac:dyDescent="0.25">
      <c r="A735" s="14" t="str">
        <f>HYPERLINK("https://gerandofalcoes.my.salesforce.com/0014X00002YggnXQAR", "0014X00002YggnXQAR")</f>
        <v>0014X00002YggnXQAR</v>
      </c>
      <c r="B735" s="2" t="s">
        <v>3387</v>
      </c>
      <c r="C735" s="2" t="s">
        <v>423</v>
      </c>
      <c r="D735" s="2" t="s">
        <v>2</v>
      </c>
      <c r="E735" s="2"/>
      <c r="F735" s="2">
        <v>4</v>
      </c>
      <c r="G735" s="2">
        <v>3</v>
      </c>
      <c r="H735" s="2">
        <v>120</v>
      </c>
      <c r="I735" s="2">
        <v>0</v>
      </c>
      <c r="J735" s="2" t="s">
        <v>1779</v>
      </c>
      <c r="K735" s="2">
        <v>18</v>
      </c>
      <c r="L735" s="2">
        <v>0</v>
      </c>
      <c r="M735" s="2">
        <v>5</v>
      </c>
      <c r="N735" s="2">
        <v>8</v>
      </c>
      <c r="O735" s="2">
        <v>5</v>
      </c>
      <c r="P735" s="2">
        <v>0</v>
      </c>
      <c r="Q735" s="2" t="s">
        <v>3388</v>
      </c>
      <c r="R735" s="2" t="s">
        <v>3388</v>
      </c>
      <c r="S735" s="4">
        <v>44953</v>
      </c>
    </row>
    <row r="736" spans="1:19" ht="12.5" hidden="1" x14ac:dyDescent="0.25">
      <c r="A736" s="14" t="str">
        <f>HYPERLINK("https://gerandofalcoes.my.salesforce.com/0014X00002YggnRQAR", "0014X00002YggnRQAR")</f>
        <v>0014X00002YggnRQAR</v>
      </c>
      <c r="B736" s="2" t="s">
        <v>3392</v>
      </c>
      <c r="C736" s="2" t="s">
        <v>423</v>
      </c>
      <c r="D736" s="2" t="s">
        <v>2</v>
      </c>
      <c r="E736" s="2">
        <v>53.54</v>
      </c>
      <c r="F736" s="2">
        <v>4</v>
      </c>
      <c r="G736" s="2">
        <v>4</v>
      </c>
      <c r="H736" s="2">
        <v>10000</v>
      </c>
      <c r="I736" s="2">
        <v>400</v>
      </c>
      <c r="J736" s="2" t="s">
        <v>1671</v>
      </c>
      <c r="K736" s="2">
        <v>55</v>
      </c>
      <c r="L736" s="2">
        <v>20</v>
      </c>
      <c r="M736" s="2">
        <v>5</v>
      </c>
      <c r="N736" s="2">
        <v>10</v>
      </c>
      <c r="O736" s="2">
        <v>5</v>
      </c>
      <c r="P736" s="2">
        <v>15</v>
      </c>
      <c r="Q736" s="2" t="s">
        <v>3393</v>
      </c>
      <c r="R736" s="2" t="s">
        <v>3394</v>
      </c>
      <c r="S736" s="4">
        <v>44958</v>
      </c>
    </row>
    <row r="737" spans="1:19" ht="12.5" hidden="1" x14ac:dyDescent="0.25">
      <c r="A737" s="14" t="str">
        <f>HYPERLINK("https://gerandofalcoes.my.salesforce.com/0014X00002YggqsQAB", "0014X00002YggqsQAB")</f>
        <v>0014X00002YggqsQAB</v>
      </c>
      <c r="B737" s="2" t="s">
        <v>3395</v>
      </c>
      <c r="C737" s="2" t="s">
        <v>423</v>
      </c>
      <c r="D737" s="2" t="s">
        <v>2</v>
      </c>
      <c r="E737" s="2">
        <v>39.369999999999997</v>
      </c>
      <c r="F737" s="2">
        <v>230</v>
      </c>
      <c r="G737" s="2">
        <v>3</v>
      </c>
      <c r="H737" s="2">
        <v>10000</v>
      </c>
      <c r="I737" s="2">
        <v>180</v>
      </c>
      <c r="J737" s="2" t="s">
        <v>1671</v>
      </c>
      <c r="K737" s="2">
        <v>55</v>
      </c>
      <c r="L737" s="2">
        <v>15</v>
      </c>
      <c r="M737" s="2">
        <v>15</v>
      </c>
      <c r="N737" s="2">
        <v>8</v>
      </c>
      <c r="O737" s="2">
        <v>5</v>
      </c>
      <c r="P737" s="2">
        <v>12</v>
      </c>
      <c r="Q737" s="2" t="s">
        <v>3396</v>
      </c>
      <c r="R737" s="2" t="s">
        <v>3396</v>
      </c>
      <c r="S737" s="4">
        <v>44958</v>
      </c>
    </row>
    <row r="738" spans="1:19" ht="12.5" hidden="1" x14ac:dyDescent="0.25">
      <c r="A738" s="14" t="str">
        <f>HYPERLINK("https://gerandofalcoes.my.salesforce.com/0014X00002Yggh5QAB", "0014X00002Yggh5QAB")</f>
        <v>0014X00002Yggh5QAB</v>
      </c>
      <c r="B738" s="2" t="s">
        <v>3397</v>
      </c>
      <c r="C738" s="2" t="s">
        <v>423</v>
      </c>
      <c r="D738" s="2" t="s">
        <v>2</v>
      </c>
      <c r="E738" s="2">
        <v>37.08</v>
      </c>
      <c r="F738" s="2">
        <v>0</v>
      </c>
      <c r="G738" s="2">
        <v>2</v>
      </c>
      <c r="H738" s="2">
        <v>300000</v>
      </c>
      <c r="I738" s="2">
        <v>500</v>
      </c>
      <c r="J738" s="2" t="s">
        <v>1671</v>
      </c>
      <c r="K738" s="2">
        <v>61</v>
      </c>
      <c r="L738" s="2">
        <v>15</v>
      </c>
      <c r="M738" s="2">
        <v>0</v>
      </c>
      <c r="N738" s="2">
        <v>6</v>
      </c>
      <c r="O738" s="2">
        <v>20</v>
      </c>
      <c r="P738" s="2">
        <v>20</v>
      </c>
      <c r="Q738" s="2" t="s">
        <v>3398</v>
      </c>
      <c r="R738" s="2" t="s">
        <v>3399</v>
      </c>
      <c r="S738" s="4">
        <v>44958</v>
      </c>
    </row>
    <row r="739" spans="1:19" ht="12.5" hidden="1" x14ac:dyDescent="0.25">
      <c r="A739" s="14" t="str">
        <f>HYPERLINK("https://gerandofalcoes.my.salesforce.com/0014X00002YggiDQAR", "0014X00002YggiDQAR")</f>
        <v>0014X00002YggiDQAR</v>
      </c>
      <c r="B739" s="2" t="s">
        <v>3400</v>
      </c>
      <c r="C739" s="2" t="s">
        <v>1684</v>
      </c>
      <c r="D739" s="2" t="s">
        <v>2</v>
      </c>
      <c r="E739" s="2">
        <v>35.94</v>
      </c>
      <c r="F739" s="2">
        <v>3</v>
      </c>
      <c r="G739" s="2">
        <v>6</v>
      </c>
      <c r="H739" s="2">
        <v>315738</v>
      </c>
      <c r="I739" s="2">
        <v>8</v>
      </c>
      <c r="J739" s="2" t="s">
        <v>1671</v>
      </c>
      <c r="K739" s="2">
        <v>55</v>
      </c>
      <c r="L739" s="2">
        <v>15</v>
      </c>
      <c r="M739" s="2">
        <v>5</v>
      </c>
      <c r="N739" s="2">
        <v>10</v>
      </c>
      <c r="O739" s="2">
        <v>20</v>
      </c>
      <c r="P739" s="2">
        <v>5</v>
      </c>
      <c r="Q739" s="2" t="s">
        <v>3401</v>
      </c>
      <c r="R739" s="2" t="s">
        <v>3402</v>
      </c>
      <c r="S739" s="4">
        <v>44958</v>
      </c>
    </row>
    <row r="740" spans="1:19" ht="12.5" hidden="1" x14ac:dyDescent="0.25">
      <c r="A740" s="14" t="str">
        <f>HYPERLINK("https://gerandofalcoes.my.salesforce.com/0014X00002YggnNQAR", "0014X00002YggnNQAR")</f>
        <v>0014X00002YggnNQAR</v>
      </c>
      <c r="B740" s="2" t="s">
        <v>3403</v>
      </c>
      <c r="C740" s="2" t="s">
        <v>423</v>
      </c>
      <c r="D740" s="2" t="s">
        <v>2</v>
      </c>
      <c r="E740" s="2">
        <v>24.27</v>
      </c>
      <c r="F740" s="2">
        <v>5</v>
      </c>
      <c r="G740" s="2">
        <v>2</v>
      </c>
      <c r="H740" s="2">
        <v>5400</v>
      </c>
      <c r="I740" s="2">
        <v>0</v>
      </c>
      <c r="J740" s="2" t="s">
        <v>1779</v>
      </c>
      <c r="K740" s="2">
        <v>26</v>
      </c>
      <c r="L740" s="2">
        <v>10</v>
      </c>
      <c r="M740" s="2">
        <v>5</v>
      </c>
      <c r="N740" s="2">
        <v>6</v>
      </c>
      <c r="O740" s="2">
        <v>5</v>
      </c>
      <c r="P740" s="2">
        <v>0</v>
      </c>
      <c r="Q740" s="2" t="s">
        <v>3404</v>
      </c>
      <c r="R740" s="2" t="s">
        <v>3404</v>
      </c>
      <c r="S740" s="4">
        <v>44958</v>
      </c>
    </row>
    <row r="741" spans="1:19" ht="12.5" hidden="1" x14ac:dyDescent="0.25">
      <c r="A741" s="14" t="str">
        <f>HYPERLINK("https://gerandofalcoes.my.salesforce.com/0014X00002YggnnQAB", "0014X00002YggnnQAB")</f>
        <v>0014X00002YggnnQAB</v>
      </c>
      <c r="B741" s="2" t="s">
        <v>3405</v>
      </c>
      <c r="C741" s="2" t="s">
        <v>423</v>
      </c>
      <c r="D741" s="2" t="s">
        <v>2</v>
      </c>
      <c r="E741" s="2">
        <v>22.7</v>
      </c>
      <c r="F741" s="2">
        <v>0</v>
      </c>
      <c r="G741" s="2">
        <v>3</v>
      </c>
      <c r="H741" s="2">
        <v>135000</v>
      </c>
      <c r="I741" s="2">
        <v>50</v>
      </c>
      <c r="J741" s="2" t="s">
        <v>1779</v>
      </c>
      <c r="K741" s="2">
        <v>38</v>
      </c>
      <c r="L741" s="2">
        <v>10</v>
      </c>
      <c r="M741" s="2">
        <v>0</v>
      </c>
      <c r="N741" s="2">
        <v>8</v>
      </c>
      <c r="O741" s="2">
        <v>15</v>
      </c>
      <c r="P741" s="2">
        <v>5</v>
      </c>
      <c r="Q741" s="2" t="s">
        <v>3406</v>
      </c>
      <c r="R741" s="2" t="s">
        <v>3407</v>
      </c>
      <c r="S741" s="4">
        <v>44958</v>
      </c>
    </row>
    <row r="742" spans="1:19" ht="12.5" hidden="1" x14ac:dyDescent="0.25">
      <c r="A742" s="14" t="str">
        <f>HYPERLINK("https://gerandofalcoes.my.salesforce.com/0014X00002YggmkQAB", "0014X00002YggmkQAB")</f>
        <v>0014X00002YggmkQAB</v>
      </c>
      <c r="B742" s="2" t="s">
        <v>3408</v>
      </c>
      <c r="C742" s="2" t="s">
        <v>423</v>
      </c>
      <c r="D742" s="2" t="s">
        <v>2</v>
      </c>
      <c r="E742" s="2">
        <v>20.69</v>
      </c>
      <c r="F742" s="2">
        <v>8</v>
      </c>
      <c r="G742" s="2">
        <v>6</v>
      </c>
      <c r="H742" s="2">
        <v>30000</v>
      </c>
      <c r="I742" s="2">
        <v>80</v>
      </c>
      <c r="J742" s="2" t="s">
        <v>1671</v>
      </c>
      <c r="K742" s="2">
        <v>50</v>
      </c>
      <c r="L742" s="2">
        <v>10</v>
      </c>
      <c r="M742" s="2">
        <v>10</v>
      </c>
      <c r="N742" s="2">
        <v>10</v>
      </c>
      <c r="O742" s="2">
        <v>10</v>
      </c>
      <c r="P742" s="2">
        <v>10</v>
      </c>
      <c r="Q742" s="2" t="s">
        <v>3409</v>
      </c>
      <c r="R742" s="2" t="s">
        <v>3409</v>
      </c>
      <c r="S742" s="4">
        <v>44958</v>
      </c>
    </row>
    <row r="743" spans="1:19" ht="12.5" hidden="1" x14ac:dyDescent="0.25">
      <c r="A743" s="14" t="str">
        <f>HYPERLINK("https://gerandofalcoes.my.salesforce.com/0014X00002YggiHQAR", "0014X00002YggiHQAR")</f>
        <v>0014X00002YggiHQAR</v>
      </c>
      <c r="B743" s="2" t="s">
        <v>3410</v>
      </c>
      <c r="C743" s="2" t="s">
        <v>423</v>
      </c>
      <c r="D743" s="2" t="s">
        <v>2</v>
      </c>
      <c r="E743" s="2">
        <v>20.63</v>
      </c>
      <c r="F743" s="2">
        <v>3</v>
      </c>
      <c r="G743" s="2">
        <v>2</v>
      </c>
      <c r="H743" s="2">
        <v>198540</v>
      </c>
      <c r="I743" s="2">
        <v>30</v>
      </c>
      <c r="J743" s="2" t="s">
        <v>1671</v>
      </c>
      <c r="K743" s="2">
        <v>41</v>
      </c>
      <c r="L743" s="2">
        <v>10</v>
      </c>
      <c r="M743" s="2">
        <v>5</v>
      </c>
      <c r="N743" s="2">
        <v>6</v>
      </c>
      <c r="O743" s="2">
        <v>15</v>
      </c>
      <c r="P743" s="2">
        <v>5</v>
      </c>
      <c r="Q743" s="2" t="s">
        <v>3411</v>
      </c>
      <c r="R743" s="2" t="s">
        <v>3412</v>
      </c>
      <c r="S743" s="4">
        <v>44958</v>
      </c>
    </row>
    <row r="744" spans="1:19" ht="12.5" hidden="1" x14ac:dyDescent="0.25">
      <c r="A744" s="14" t="str">
        <f>HYPERLINK("https://gerandofalcoes.my.salesforce.com/0014X00002Yggk5QAB", "0014X00002Yggk5QAB")</f>
        <v>0014X00002Yggk5QAB</v>
      </c>
      <c r="B744" s="2" t="s">
        <v>3413</v>
      </c>
      <c r="C744" s="2" t="s">
        <v>423</v>
      </c>
      <c r="D744" s="2" t="s">
        <v>2</v>
      </c>
      <c r="E744" s="2">
        <v>20</v>
      </c>
      <c r="F744" s="2">
        <v>27</v>
      </c>
      <c r="G744" s="2">
        <v>4</v>
      </c>
      <c r="H744" s="2">
        <v>30000</v>
      </c>
      <c r="I744" s="2">
        <v>25</v>
      </c>
      <c r="J744" s="2" t="s">
        <v>1671</v>
      </c>
      <c r="K744" s="2">
        <v>47</v>
      </c>
      <c r="L744" s="2">
        <v>10</v>
      </c>
      <c r="M744" s="2">
        <v>12</v>
      </c>
      <c r="N744" s="2">
        <v>10</v>
      </c>
      <c r="O744" s="2">
        <v>10</v>
      </c>
      <c r="P744" s="2">
        <v>5</v>
      </c>
      <c r="Q744" s="2" t="s">
        <v>3414</v>
      </c>
      <c r="R744" s="2" t="s">
        <v>3415</v>
      </c>
      <c r="S744" s="4">
        <v>44958</v>
      </c>
    </row>
    <row r="745" spans="1:19" ht="12.5" hidden="1" x14ac:dyDescent="0.25">
      <c r="A745" s="14" t="str">
        <f>HYPERLINK("https://gerandofalcoes.my.salesforce.com/0014X00002YgglwQAB", "0014X00002YgglwQAB")</f>
        <v>0014X00002YgglwQAB</v>
      </c>
      <c r="B745" s="2" t="s">
        <v>3416</v>
      </c>
      <c r="C745" s="2" t="s">
        <v>423</v>
      </c>
      <c r="D745" s="2" t="s">
        <v>2</v>
      </c>
      <c r="E745" s="2">
        <v>17.32</v>
      </c>
      <c r="F745" s="2">
        <v>6</v>
      </c>
      <c r="G745" s="2">
        <v>6</v>
      </c>
      <c r="H745" s="2">
        <v>60000</v>
      </c>
      <c r="I745" s="2">
        <v>30</v>
      </c>
      <c r="J745" s="2" t="s">
        <v>1671</v>
      </c>
      <c r="K745" s="2">
        <v>45</v>
      </c>
      <c r="L745" s="2">
        <v>10</v>
      </c>
      <c r="M745" s="2">
        <v>10</v>
      </c>
      <c r="N745" s="2">
        <v>10</v>
      </c>
      <c r="O745" s="2">
        <v>10</v>
      </c>
      <c r="P745" s="2">
        <v>5</v>
      </c>
      <c r="Q745" s="2" t="s">
        <v>3417</v>
      </c>
      <c r="R745" s="2" t="s">
        <v>3418</v>
      </c>
      <c r="S745" s="4">
        <v>44958</v>
      </c>
    </row>
    <row r="746" spans="1:19" ht="12.5" hidden="1" x14ac:dyDescent="0.25">
      <c r="A746" s="14" t="str">
        <f>HYPERLINK("https://gerandofalcoes.my.salesforce.com/0014X00002YggjDQAR", "0014X00002YggjDQAR")</f>
        <v>0014X00002YggjDQAR</v>
      </c>
      <c r="B746" s="2" t="s">
        <v>3419</v>
      </c>
      <c r="C746" s="2" t="s">
        <v>423</v>
      </c>
      <c r="D746" s="2" t="s">
        <v>2</v>
      </c>
      <c r="E746" s="2">
        <v>17.29</v>
      </c>
      <c r="F746" s="2">
        <v>6</v>
      </c>
      <c r="G746" s="2">
        <v>4</v>
      </c>
      <c r="H746" s="2">
        <v>2000</v>
      </c>
      <c r="I746" s="2">
        <v>60</v>
      </c>
      <c r="J746" s="2" t="s">
        <v>1671</v>
      </c>
      <c r="K746" s="2">
        <v>40</v>
      </c>
      <c r="L746" s="2">
        <v>10</v>
      </c>
      <c r="M746" s="2">
        <v>10</v>
      </c>
      <c r="N746" s="2">
        <v>10</v>
      </c>
      <c r="O746" s="2">
        <v>5</v>
      </c>
      <c r="P746" s="2">
        <v>5</v>
      </c>
      <c r="Q746" s="2" t="s">
        <v>3420</v>
      </c>
      <c r="R746" s="2" t="s">
        <v>3420</v>
      </c>
      <c r="S746" s="4">
        <v>44958</v>
      </c>
    </row>
    <row r="747" spans="1:19" ht="12.5" hidden="1" x14ac:dyDescent="0.25">
      <c r="A747" s="14" t="str">
        <f>HYPERLINK("https://gerandofalcoes.my.salesforce.com/0014X00002YgghyQAB", "0014X00002YgghyQAB")</f>
        <v>0014X00002YgghyQAB</v>
      </c>
      <c r="B747" s="2" t="s">
        <v>3421</v>
      </c>
      <c r="C747" s="2" t="s">
        <v>423</v>
      </c>
      <c r="D747" s="2" t="s">
        <v>2</v>
      </c>
      <c r="E747" s="2">
        <v>15.72</v>
      </c>
      <c r="F747" s="2">
        <v>3</v>
      </c>
      <c r="G747" s="2">
        <v>4</v>
      </c>
      <c r="H747" s="2">
        <v>50000</v>
      </c>
      <c r="I747" s="2">
        <v>100</v>
      </c>
      <c r="J747" s="2" t="s">
        <v>1671</v>
      </c>
      <c r="K747" s="2">
        <v>45</v>
      </c>
      <c r="L747" s="2">
        <v>10</v>
      </c>
      <c r="M747" s="2">
        <v>5</v>
      </c>
      <c r="N747" s="2">
        <v>10</v>
      </c>
      <c r="O747" s="2">
        <v>10</v>
      </c>
      <c r="P747" s="2">
        <v>10</v>
      </c>
      <c r="Q747" s="2" t="s">
        <v>3422</v>
      </c>
      <c r="R747" s="2" t="s">
        <v>3423</v>
      </c>
      <c r="S747" s="4">
        <v>44958</v>
      </c>
    </row>
    <row r="748" spans="1:19" ht="12.5" hidden="1" x14ac:dyDescent="0.25">
      <c r="A748" s="14" t="str">
        <f>HYPERLINK("https://gerandofalcoes.my.salesforce.com/0014X00002YggqaQAB", "0014X00002YggqaQAB")</f>
        <v>0014X00002YggqaQAB</v>
      </c>
      <c r="B748" s="2" t="s">
        <v>3424</v>
      </c>
      <c r="C748" s="2" t="s">
        <v>423</v>
      </c>
      <c r="D748" s="2" t="s">
        <v>2</v>
      </c>
      <c r="E748" s="2">
        <v>15.51</v>
      </c>
      <c r="F748" s="2">
        <v>0</v>
      </c>
      <c r="G748" s="2">
        <v>2</v>
      </c>
      <c r="H748" s="2">
        <v>2000</v>
      </c>
      <c r="I748" s="2">
        <v>400</v>
      </c>
      <c r="J748" s="2" t="s">
        <v>1779</v>
      </c>
      <c r="K748" s="2">
        <v>36</v>
      </c>
      <c r="L748" s="2">
        <v>10</v>
      </c>
      <c r="M748" s="2">
        <v>0</v>
      </c>
      <c r="N748" s="2">
        <v>6</v>
      </c>
      <c r="O748" s="2">
        <v>5</v>
      </c>
      <c r="P748" s="2">
        <v>15</v>
      </c>
      <c r="Q748" s="2" t="s">
        <v>3425</v>
      </c>
      <c r="R748" s="2" t="s">
        <v>3426</v>
      </c>
      <c r="S748" s="4">
        <v>44958</v>
      </c>
    </row>
    <row r="749" spans="1:19" ht="12.5" hidden="1" x14ac:dyDescent="0.25">
      <c r="A749" s="14" t="str">
        <f>HYPERLINK("https://gerandofalcoes.my.salesforce.com/0014X00002YggnCQAR", "0014X00002YggnCQAR")</f>
        <v>0014X00002YggnCQAR</v>
      </c>
      <c r="B749" s="2" t="s">
        <v>3427</v>
      </c>
      <c r="C749" s="2" t="s">
        <v>423</v>
      </c>
      <c r="D749" s="2" t="s">
        <v>2</v>
      </c>
      <c r="E749" s="2">
        <v>14.93</v>
      </c>
      <c r="F749" s="2">
        <v>10</v>
      </c>
      <c r="G749" s="2">
        <v>6</v>
      </c>
      <c r="H749" s="2">
        <v>11000</v>
      </c>
      <c r="I749" s="2">
        <v>30</v>
      </c>
      <c r="J749" s="2" t="s">
        <v>1671</v>
      </c>
      <c r="K749" s="2">
        <v>40</v>
      </c>
      <c r="L749" s="2">
        <v>10</v>
      </c>
      <c r="M749" s="2">
        <v>10</v>
      </c>
      <c r="N749" s="2">
        <v>10</v>
      </c>
      <c r="O749" s="2">
        <v>5</v>
      </c>
      <c r="P749" s="2">
        <v>5</v>
      </c>
      <c r="Q749" s="2" t="s">
        <v>3428</v>
      </c>
      <c r="R749" s="2" t="s">
        <v>3428</v>
      </c>
      <c r="S749" s="4">
        <v>44958</v>
      </c>
    </row>
    <row r="750" spans="1:19" ht="12.5" hidden="1" x14ac:dyDescent="0.25">
      <c r="A750" s="14" t="str">
        <f>HYPERLINK("https://gerandofalcoes.my.salesforce.com/0014X00002YggmxQAB", "0014X00002YggmxQAB")</f>
        <v>0014X00002YggmxQAB</v>
      </c>
      <c r="B750" s="2" t="s">
        <v>3429</v>
      </c>
      <c r="C750" s="2" t="s">
        <v>423</v>
      </c>
      <c r="D750" s="2" t="s">
        <v>2</v>
      </c>
      <c r="E750" s="2">
        <v>14.79</v>
      </c>
      <c r="F750" s="2">
        <v>0</v>
      </c>
      <c r="G750" s="2">
        <v>2</v>
      </c>
      <c r="H750" s="2">
        <v>30000</v>
      </c>
      <c r="I750" s="2">
        <v>120</v>
      </c>
      <c r="J750" s="2" t="s">
        <v>1779</v>
      </c>
      <c r="K750" s="2">
        <v>36</v>
      </c>
      <c r="L750" s="2">
        <v>10</v>
      </c>
      <c r="M750" s="2">
        <v>0</v>
      </c>
      <c r="N750" s="2">
        <v>6</v>
      </c>
      <c r="O750" s="2">
        <v>10</v>
      </c>
      <c r="P750" s="2">
        <v>10</v>
      </c>
      <c r="Q750" s="2" t="s">
        <v>3430</v>
      </c>
      <c r="R750" s="2" t="s">
        <v>3431</v>
      </c>
      <c r="S750" s="4">
        <v>44958</v>
      </c>
    </row>
    <row r="751" spans="1:19" ht="12.5" hidden="1" x14ac:dyDescent="0.25">
      <c r="A751" s="14" t="str">
        <f>HYPERLINK("https://gerandofalcoes.my.salesforce.com/0014X00002YggocQAB", "0014X00002YggocQAB")</f>
        <v>0014X00002YggocQAB</v>
      </c>
      <c r="B751" s="2" t="s">
        <v>3432</v>
      </c>
      <c r="C751" s="2" t="s">
        <v>423</v>
      </c>
      <c r="D751" s="2" t="s">
        <v>2</v>
      </c>
      <c r="E751" s="2">
        <v>10.29</v>
      </c>
      <c r="F751" s="2">
        <v>0</v>
      </c>
      <c r="G751" s="2">
        <v>3</v>
      </c>
      <c r="H751" s="2">
        <v>5000</v>
      </c>
      <c r="I751" s="2">
        <v>150</v>
      </c>
      <c r="J751" s="2" t="s">
        <v>1779</v>
      </c>
      <c r="K751" s="2">
        <v>35</v>
      </c>
      <c r="L751" s="2">
        <v>10</v>
      </c>
      <c r="M751" s="2">
        <v>0</v>
      </c>
      <c r="N751" s="2">
        <v>8</v>
      </c>
      <c r="O751" s="2">
        <v>5</v>
      </c>
      <c r="P751" s="2">
        <v>12</v>
      </c>
      <c r="Q751" s="2" t="s">
        <v>3433</v>
      </c>
      <c r="R751" s="2" t="s">
        <v>3434</v>
      </c>
      <c r="S751" s="4">
        <v>44958</v>
      </c>
    </row>
    <row r="752" spans="1:19" ht="12.5" hidden="1" x14ac:dyDescent="0.25">
      <c r="A752" s="14" t="str">
        <f>HYPERLINK("https://gerandofalcoes.my.salesforce.com/0014X00002YggqvQAB", "0014X00002YggqvQAB")</f>
        <v>0014X00002YggqvQAB</v>
      </c>
      <c r="B752" s="2" t="s">
        <v>3435</v>
      </c>
      <c r="C752" s="2" t="s">
        <v>423</v>
      </c>
      <c r="D752" s="2" t="s">
        <v>2</v>
      </c>
      <c r="E752" s="2">
        <v>9.1300000000000008</v>
      </c>
      <c r="F752" s="2">
        <v>0</v>
      </c>
      <c r="G752" s="2">
        <v>3</v>
      </c>
      <c r="H752" s="2">
        <v>24000</v>
      </c>
      <c r="I752" s="2">
        <v>0</v>
      </c>
      <c r="J752" s="2" t="s">
        <v>1779</v>
      </c>
      <c r="K752" s="2">
        <v>23</v>
      </c>
      <c r="L752" s="2">
        <v>10</v>
      </c>
      <c r="M752" s="2">
        <v>0</v>
      </c>
      <c r="N752" s="2">
        <v>8</v>
      </c>
      <c r="O752" s="2">
        <v>5</v>
      </c>
      <c r="P752" s="2">
        <v>0</v>
      </c>
      <c r="Q752" s="2" t="s">
        <v>3436</v>
      </c>
      <c r="R752" s="2" t="s">
        <v>3437</v>
      </c>
      <c r="S752" s="4">
        <v>44958</v>
      </c>
    </row>
    <row r="753" spans="1:19" ht="12.5" hidden="1" x14ac:dyDescent="0.25">
      <c r="A753" s="14" t="str">
        <f>HYPERLINK("https://gerandofalcoes.my.salesforce.com/0014X00002YggpTQAR", "0014X00002YggpTQAR")</f>
        <v>0014X00002YggpTQAR</v>
      </c>
      <c r="B753" s="2" t="s">
        <v>3438</v>
      </c>
      <c r="C753" s="2" t="s">
        <v>423</v>
      </c>
      <c r="D753" s="2" t="s">
        <v>2</v>
      </c>
      <c r="E753" s="2">
        <v>7.38</v>
      </c>
      <c r="F753" s="2">
        <v>0</v>
      </c>
      <c r="G753" s="2">
        <v>2</v>
      </c>
      <c r="H753" s="2">
        <v>0</v>
      </c>
      <c r="I753" s="2">
        <v>0</v>
      </c>
      <c r="J753" s="2" t="s">
        <v>1779</v>
      </c>
      <c r="K753" s="2">
        <v>16</v>
      </c>
      <c r="L753" s="2">
        <v>10</v>
      </c>
      <c r="M753" s="2">
        <v>0</v>
      </c>
      <c r="N753" s="2">
        <v>6</v>
      </c>
      <c r="O753" s="2">
        <v>0</v>
      </c>
      <c r="P753" s="2">
        <v>0</v>
      </c>
      <c r="Q753" s="2" t="s">
        <v>3439</v>
      </c>
      <c r="R753" s="2" t="s">
        <v>3439</v>
      </c>
      <c r="S753" s="4">
        <v>44958</v>
      </c>
    </row>
    <row r="754" spans="1:19" ht="12.5" hidden="1" x14ac:dyDescent="0.25">
      <c r="A754" s="14" t="str">
        <f>HYPERLINK("https://gerandofalcoes.my.salesforce.com/0014X00002YggkwQAB", "0014X00002YggkwQAB")</f>
        <v>0014X00002YggkwQAB</v>
      </c>
      <c r="B754" s="2" t="s">
        <v>3440</v>
      </c>
      <c r="C754" s="2" t="s">
        <v>423</v>
      </c>
      <c r="D754" s="2" t="s">
        <v>2</v>
      </c>
      <c r="E754" s="2">
        <v>5.56</v>
      </c>
      <c r="F754" s="2">
        <v>0</v>
      </c>
      <c r="G754" s="2">
        <v>2</v>
      </c>
      <c r="H754" s="2">
        <v>100</v>
      </c>
      <c r="I754" s="2">
        <v>30</v>
      </c>
      <c r="J754" s="2" t="s">
        <v>1779</v>
      </c>
      <c r="K754" s="2">
        <v>26</v>
      </c>
      <c r="L754" s="2">
        <v>10</v>
      </c>
      <c r="M754" s="2">
        <v>0</v>
      </c>
      <c r="N754" s="2">
        <v>6</v>
      </c>
      <c r="O754" s="2">
        <v>5</v>
      </c>
      <c r="P754" s="2">
        <v>5</v>
      </c>
      <c r="Q754" s="2" t="s">
        <v>3441</v>
      </c>
      <c r="R754" s="2" t="s">
        <v>3441</v>
      </c>
      <c r="S754" s="4">
        <v>44958</v>
      </c>
    </row>
    <row r="755" spans="1:19" ht="12.5" hidden="1" x14ac:dyDescent="0.25">
      <c r="A755" s="14" t="str">
        <f>HYPERLINK("https://gerandofalcoes.my.salesforce.com/0014X00002YggmhQAB", "0014X00002YggmhQAB")</f>
        <v>0014X00002YggmhQAB</v>
      </c>
      <c r="B755" s="2" t="s">
        <v>3442</v>
      </c>
      <c r="C755" s="2" t="s">
        <v>423</v>
      </c>
      <c r="D755" s="2" t="s">
        <v>2</v>
      </c>
      <c r="E755" s="2">
        <v>4.71</v>
      </c>
      <c r="F755" s="2">
        <v>0</v>
      </c>
      <c r="G755" s="2">
        <v>3</v>
      </c>
      <c r="H755" s="2">
        <v>100000</v>
      </c>
      <c r="I755" s="2">
        <v>200</v>
      </c>
      <c r="J755" s="2" t="s">
        <v>1671</v>
      </c>
      <c r="K755" s="2">
        <v>45</v>
      </c>
      <c r="L755" s="2">
        <v>10</v>
      </c>
      <c r="M755" s="2">
        <v>0</v>
      </c>
      <c r="N755" s="2">
        <v>8</v>
      </c>
      <c r="O755" s="2">
        <v>15</v>
      </c>
      <c r="P755" s="2">
        <v>12</v>
      </c>
      <c r="Q755" s="2" t="s">
        <v>3443</v>
      </c>
      <c r="R755" s="2" t="s">
        <v>3443</v>
      </c>
      <c r="S755" s="4">
        <v>44958</v>
      </c>
    </row>
    <row r="756" spans="1:19" ht="12.5" hidden="1" x14ac:dyDescent="0.25">
      <c r="A756" s="14" t="str">
        <f>HYPERLINK("https://gerandofalcoes.my.salesforce.com/0014X00002Yggi1QAB", "0014X00002Yggi1QAB")</f>
        <v>0014X00002Yggi1QAB</v>
      </c>
      <c r="B756" s="2" t="s">
        <v>3444</v>
      </c>
      <c r="C756" s="2" t="s">
        <v>423</v>
      </c>
      <c r="D756" s="2" t="s">
        <v>2</v>
      </c>
      <c r="E756" s="2">
        <v>4.4000000000000004</v>
      </c>
      <c r="F756" s="2">
        <v>0</v>
      </c>
      <c r="G756" s="2">
        <v>2</v>
      </c>
      <c r="H756" s="2">
        <v>500</v>
      </c>
      <c r="I756" s="2">
        <v>0</v>
      </c>
      <c r="J756" s="2" t="s">
        <v>1779</v>
      </c>
      <c r="K756" s="2">
        <v>21</v>
      </c>
      <c r="L756" s="2">
        <v>10</v>
      </c>
      <c r="M756" s="2">
        <v>0</v>
      </c>
      <c r="N756" s="2">
        <v>6</v>
      </c>
      <c r="O756" s="2">
        <v>5</v>
      </c>
      <c r="P756" s="2">
        <v>0</v>
      </c>
      <c r="Q756" s="2" t="s">
        <v>3445</v>
      </c>
      <c r="R756" s="2" t="s">
        <v>3446</v>
      </c>
      <c r="S756" s="4">
        <v>44958</v>
      </c>
    </row>
    <row r="757" spans="1:19" ht="12.5" hidden="1" x14ac:dyDescent="0.25">
      <c r="A757" s="14" t="str">
        <f>HYPERLINK("https://gerandofalcoes.my.salesforce.com/0014X00002Yggp4QAB", "0014X00002Yggp4QAB")</f>
        <v>0014X00002Yggp4QAB</v>
      </c>
      <c r="B757" s="2" t="s">
        <v>3447</v>
      </c>
      <c r="C757" s="2" t="s">
        <v>423</v>
      </c>
      <c r="D757" s="2" t="s">
        <v>2</v>
      </c>
      <c r="E757" s="2">
        <v>4.32</v>
      </c>
      <c r="F757" s="2">
        <v>0</v>
      </c>
      <c r="G757" s="2">
        <v>5</v>
      </c>
      <c r="H757" s="2">
        <v>2000</v>
      </c>
      <c r="I757" s="2">
        <v>150</v>
      </c>
      <c r="J757" s="2" t="s">
        <v>1779</v>
      </c>
      <c r="K757" s="2">
        <v>37</v>
      </c>
      <c r="L757" s="2">
        <v>10</v>
      </c>
      <c r="M757" s="2">
        <v>0</v>
      </c>
      <c r="N757" s="2">
        <v>10</v>
      </c>
      <c r="O757" s="2">
        <v>5</v>
      </c>
      <c r="P757" s="2">
        <v>12</v>
      </c>
      <c r="Q757" s="2" t="s">
        <v>3448</v>
      </c>
      <c r="R757" s="2" t="s">
        <v>3448</v>
      </c>
      <c r="S757" s="4">
        <v>44958</v>
      </c>
    </row>
    <row r="758" spans="1:19" ht="12.5" hidden="1" x14ac:dyDescent="0.25">
      <c r="A758" s="14" t="str">
        <f>HYPERLINK("https://gerandofalcoes.my.salesforce.com/0014X00002Yggh2QAB", "0014X00002Yggh2QAB")</f>
        <v>0014X00002Yggh2QAB</v>
      </c>
      <c r="B758" s="2" t="s">
        <v>3449</v>
      </c>
      <c r="C758" s="2" t="s">
        <v>423</v>
      </c>
      <c r="D758" s="2" t="s">
        <v>2</v>
      </c>
      <c r="E758" s="2">
        <v>3.99</v>
      </c>
      <c r="F758" s="2">
        <v>0</v>
      </c>
      <c r="G758" s="2">
        <v>2</v>
      </c>
      <c r="H758" s="2">
        <v>500</v>
      </c>
      <c r="I758" s="2">
        <v>50</v>
      </c>
      <c r="J758" s="2" t="s">
        <v>1779</v>
      </c>
      <c r="K758" s="2">
        <v>26</v>
      </c>
      <c r="L758" s="2">
        <v>10</v>
      </c>
      <c r="M758" s="2">
        <v>0</v>
      </c>
      <c r="N758" s="2">
        <v>6</v>
      </c>
      <c r="O758" s="2">
        <v>5</v>
      </c>
      <c r="P758" s="2">
        <v>5</v>
      </c>
      <c r="Q758" s="2" t="s">
        <v>3450</v>
      </c>
      <c r="R758" s="2" t="s">
        <v>3451</v>
      </c>
      <c r="S758" s="4">
        <v>44958</v>
      </c>
    </row>
    <row r="759" spans="1:19" ht="12.5" hidden="1" x14ac:dyDescent="0.25">
      <c r="A759" s="14" t="str">
        <f>HYPERLINK("https://gerandofalcoes.my.salesforce.com/0014X00002YggiwQAB", "0014X00002YggiwQAB")</f>
        <v>0014X00002YggiwQAB</v>
      </c>
      <c r="B759" s="2" t="s">
        <v>3452</v>
      </c>
      <c r="C759" s="2" t="s">
        <v>423</v>
      </c>
      <c r="D759" s="2" t="s">
        <v>2</v>
      </c>
      <c r="E759" s="2">
        <v>3.53</v>
      </c>
      <c r="F759" s="2">
        <v>22</v>
      </c>
      <c r="G759" s="2">
        <v>5</v>
      </c>
      <c r="H759" s="2">
        <v>14400</v>
      </c>
      <c r="I759" s="2">
        <v>60</v>
      </c>
      <c r="J759" s="2" t="s">
        <v>1671</v>
      </c>
      <c r="K759" s="2">
        <v>42</v>
      </c>
      <c r="L759" s="2">
        <v>10</v>
      </c>
      <c r="M759" s="2">
        <v>12</v>
      </c>
      <c r="N759" s="2">
        <v>10</v>
      </c>
      <c r="O759" s="2">
        <v>5</v>
      </c>
      <c r="P759" s="2">
        <v>5</v>
      </c>
      <c r="Q759" s="2" t="s">
        <v>3453</v>
      </c>
      <c r="R759" s="2" t="s">
        <v>3454</v>
      </c>
      <c r="S759" s="4">
        <v>44958</v>
      </c>
    </row>
    <row r="760" spans="1:19" ht="12.5" hidden="1" x14ac:dyDescent="0.25">
      <c r="A760" s="14" t="str">
        <f>HYPERLINK("https://gerandofalcoes.my.salesforce.com/0014X00002YgbkZQAR", "0014X00002YgbkZQAR")</f>
        <v>0014X00002YgbkZQAR</v>
      </c>
      <c r="B760" s="2" t="s">
        <v>3455</v>
      </c>
      <c r="C760" s="2" t="s">
        <v>423</v>
      </c>
      <c r="D760" s="2" t="s">
        <v>2</v>
      </c>
      <c r="E760" s="2">
        <v>3.17</v>
      </c>
      <c r="F760" s="2">
        <v>0</v>
      </c>
      <c r="G760" s="2">
        <v>0</v>
      </c>
      <c r="H760" s="2">
        <v>0</v>
      </c>
      <c r="I760" s="2">
        <v>0</v>
      </c>
      <c r="J760" s="2" t="s">
        <v>1779</v>
      </c>
      <c r="K760" s="2">
        <v>10</v>
      </c>
      <c r="L760" s="2">
        <v>10</v>
      </c>
      <c r="M760" s="2">
        <v>0</v>
      </c>
      <c r="N760" s="2">
        <v>0</v>
      </c>
      <c r="O760" s="2">
        <v>0</v>
      </c>
      <c r="P760" s="2">
        <v>0</v>
      </c>
      <c r="Q760" s="2" t="s">
        <v>3456</v>
      </c>
      <c r="R760" s="2" t="s">
        <v>3457</v>
      </c>
      <c r="S760" s="4">
        <v>44958</v>
      </c>
    </row>
    <row r="761" spans="1:19" ht="12.5" hidden="1" x14ac:dyDescent="0.25">
      <c r="A761" s="14" t="str">
        <f>HYPERLINK("https://gerandofalcoes.my.salesforce.com/0014X00002YgghlQAB", "0014X00002YgghlQAB")</f>
        <v>0014X00002YgghlQAB</v>
      </c>
      <c r="B761" s="2" t="s">
        <v>3458</v>
      </c>
      <c r="C761" s="2" t="s">
        <v>423</v>
      </c>
      <c r="D761" s="2" t="s">
        <v>2</v>
      </c>
      <c r="E761" s="2">
        <v>2.13</v>
      </c>
      <c r="F761" s="2">
        <v>4</v>
      </c>
      <c r="G761" s="2">
        <v>5</v>
      </c>
      <c r="H761" s="2">
        <v>4000</v>
      </c>
      <c r="I761" s="2">
        <v>0</v>
      </c>
      <c r="J761" s="2" t="s">
        <v>1779</v>
      </c>
      <c r="K761" s="2">
        <v>30</v>
      </c>
      <c r="L761" s="2">
        <v>10</v>
      </c>
      <c r="M761" s="2">
        <v>5</v>
      </c>
      <c r="N761" s="2">
        <v>10</v>
      </c>
      <c r="O761" s="2">
        <v>5</v>
      </c>
      <c r="P761" s="2">
        <v>0</v>
      </c>
      <c r="Q761" s="2" t="s">
        <v>3459</v>
      </c>
      <c r="R761" s="2" t="s">
        <v>3460</v>
      </c>
      <c r="S761" s="4">
        <v>44958</v>
      </c>
    </row>
    <row r="762" spans="1:19" ht="12.5" hidden="1" x14ac:dyDescent="0.25">
      <c r="A762" s="14" t="str">
        <f>HYPERLINK("https://gerandofalcoes.my.salesforce.com/0014X00002YggkQQAR", "0014X00002YggkQQAR")</f>
        <v>0014X00002YggkQQAR</v>
      </c>
      <c r="B762" s="2" t="s">
        <v>3461</v>
      </c>
      <c r="C762" s="2" t="s">
        <v>423</v>
      </c>
      <c r="D762" s="2" t="s">
        <v>2</v>
      </c>
      <c r="E762" s="2">
        <v>1.67</v>
      </c>
      <c r="F762" s="2">
        <v>5</v>
      </c>
      <c r="G762" s="2">
        <v>5</v>
      </c>
      <c r="H762" s="2">
        <v>3000</v>
      </c>
      <c r="I762" s="2">
        <v>250</v>
      </c>
      <c r="J762" s="2" t="s">
        <v>1671</v>
      </c>
      <c r="K762" s="2">
        <v>42</v>
      </c>
      <c r="L762" s="2">
        <v>10</v>
      </c>
      <c r="M762" s="2">
        <v>5</v>
      </c>
      <c r="N762" s="2">
        <v>10</v>
      </c>
      <c r="O762" s="2">
        <v>5</v>
      </c>
      <c r="P762" s="2">
        <v>12</v>
      </c>
      <c r="Q762" s="2" t="s">
        <v>3462</v>
      </c>
      <c r="R762" s="2" t="s">
        <v>3463</v>
      </c>
      <c r="S762" s="4">
        <v>44958</v>
      </c>
    </row>
    <row r="763" spans="1:19" ht="12.5" hidden="1" x14ac:dyDescent="0.25">
      <c r="A763" s="14" t="str">
        <f>HYPERLINK("https://gerandofalcoes.my.salesforce.com/0014X00002YggmuQAB", "0014X00002YggmuQAB")</f>
        <v>0014X00002YggmuQAB</v>
      </c>
      <c r="B763" s="2" t="s">
        <v>3464</v>
      </c>
      <c r="C763" s="2" t="s">
        <v>423</v>
      </c>
      <c r="D763" s="2" t="s">
        <v>2</v>
      </c>
      <c r="E763" s="2">
        <v>1.67</v>
      </c>
      <c r="F763" s="2">
        <v>0</v>
      </c>
      <c r="G763" s="2">
        <v>3</v>
      </c>
      <c r="H763" s="2">
        <v>11000</v>
      </c>
      <c r="I763" s="2">
        <v>67</v>
      </c>
      <c r="J763" s="2" t="s">
        <v>1779</v>
      </c>
      <c r="K763" s="2">
        <v>28</v>
      </c>
      <c r="L763" s="2">
        <v>10</v>
      </c>
      <c r="M763" s="2">
        <v>0</v>
      </c>
      <c r="N763" s="2">
        <v>8</v>
      </c>
      <c r="O763" s="2">
        <v>5</v>
      </c>
      <c r="P763" s="2">
        <v>5</v>
      </c>
      <c r="Q763" s="2" t="s">
        <v>3465</v>
      </c>
      <c r="R763" s="2" t="s">
        <v>3466</v>
      </c>
      <c r="S763" s="4">
        <v>44958</v>
      </c>
    </row>
    <row r="764" spans="1:19" ht="12.5" hidden="1" x14ac:dyDescent="0.25">
      <c r="A764" s="14" t="str">
        <f>HYPERLINK("https://gerandofalcoes.my.salesforce.com/0014X00002YggkHQAR", "0014X00002YggkHQAR")</f>
        <v>0014X00002YggkHQAR</v>
      </c>
      <c r="B764" s="2" t="s">
        <v>3467</v>
      </c>
      <c r="C764" s="2" t="s">
        <v>423</v>
      </c>
      <c r="D764" s="2" t="s">
        <v>2</v>
      </c>
      <c r="E764" s="2">
        <v>1.18</v>
      </c>
      <c r="F764" s="2">
        <v>0</v>
      </c>
      <c r="G764" s="2">
        <v>5</v>
      </c>
      <c r="H764" s="2">
        <v>8000</v>
      </c>
      <c r="I764" s="2">
        <v>0</v>
      </c>
      <c r="J764" s="2" t="s">
        <v>1779</v>
      </c>
      <c r="K764" s="2">
        <v>25</v>
      </c>
      <c r="L764" s="2">
        <v>10</v>
      </c>
      <c r="M764" s="2">
        <v>0</v>
      </c>
      <c r="N764" s="2">
        <v>10</v>
      </c>
      <c r="O764" s="2">
        <v>5</v>
      </c>
      <c r="P764" s="2">
        <v>0</v>
      </c>
      <c r="Q764" s="2" t="s">
        <v>3468</v>
      </c>
      <c r="R764" s="2" t="s">
        <v>3469</v>
      </c>
      <c r="S764" s="4">
        <v>44958</v>
      </c>
    </row>
    <row r="765" spans="1:19" ht="12.5" hidden="1" x14ac:dyDescent="0.25">
      <c r="A765" s="14" t="str">
        <f>HYPERLINK("https://gerandofalcoes.my.salesforce.com/0014X00002YgghnQAB", "0014X00002YgghnQAB")</f>
        <v>0014X00002YgghnQAB</v>
      </c>
      <c r="B765" s="2" t="s">
        <v>3470</v>
      </c>
      <c r="C765" s="2" t="s">
        <v>423</v>
      </c>
      <c r="D765" s="2" t="s">
        <v>2</v>
      </c>
      <c r="E765" s="2">
        <v>0</v>
      </c>
      <c r="F765" s="2">
        <v>20</v>
      </c>
      <c r="G765" s="2">
        <v>3</v>
      </c>
      <c r="H765" s="2">
        <v>263610</v>
      </c>
      <c r="I765" s="2">
        <v>180</v>
      </c>
      <c r="J765" s="2" t="s">
        <v>1671</v>
      </c>
      <c r="K765" s="2">
        <v>47</v>
      </c>
      <c r="L765" s="2">
        <v>0</v>
      </c>
      <c r="M765" s="2">
        <v>12</v>
      </c>
      <c r="N765" s="2">
        <v>8</v>
      </c>
      <c r="O765" s="2">
        <v>15</v>
      </c>
      <c r="P765" s="2">
        <v>12</v>
      </c>
      <c r="Q765" s="2" t="s">
        <v>3471</v>
      </c>
      <c r="R765" s="2" t="s">
        <v>3472</v>
      </c>
      <c r="S765" s="4">
        <v>44958</v>
      </c>
    </row>
    <row r="766" spans="1:19" ht="12.5" hidden="1" x14ac:dyDescent="0.25">
      <c r="A766" s="14" t="str">
        <f>HYPERLINK("https://gerandofalcoes.my.salesforce.com/0014X00002YgglUQAR", "0014X00002YgglUQAR")</f>
        <v>0014X00002YgglUQAR</v>
      </c>
      <c r="B766" s="2" t="s">
        <v>3473</v>
      </c>
      <c r="C766" s="2" t="s">
        <v>1684</v>
      </c>
      <c r="D766" s="2" t="s">
        <v>2</v>
      </c>
      <c r="E766" s="2">
        <v>0</v>
      </c>
      <c r="F766" s="2">
        <v>0</v>
      </c>
      <c r="G766" s="2">
        <v>2</v>
      </c>
      <c r="H766" s="2">
        <v>0</v>
      </c>
      <c r="I766" s="2">
        <v>0</v>
      </c>
      <c r="J766" s="2" t="s">
        <v>1779</v>
      </c>
      <c r="K766" s="2">
        <v>6</v>
      </c>
      <c r="L766" s="2">
        <v>0</v>
      </c>
      <c r="M766" s="2">
        <v>0</v>
      </c>
      <c r="N766" s="2">
        <v>6</v>
      </c>
      <c r="O766" s="2">
        <v>0</v>
      </c>
      <c r="P766" s="2">
        <v>0</v>
      </c>
      <c r="Q766" s="2" t="s">
        <v>3474</v>
      </c>
      <c r="R766" s="2" t="s">
        <v>3475</v>
      </c>
      <c r="S766" s="4">
        <v>44958</v>
      </c>
    </row>
    <row r="767" spans="1:19" ht="12.5" hidden="1" x14ac:dyDescent="0.25">
      <c r="A767" s="14" t="str">
        <f>HYPERLINK("https://gerandofalcoes.my.salesforce.com/0014X00002YgggWQAR", "0014X00002YgggWQAR")</f>
        <v>0014X00002YgggWQAR</v>
      </c>
      <c r="B767" s="2" t="s">
        <v>3476</v>
      </c>
      <c r="C767" s="2" t="s">
        <v>423</v>
      </c>
      <c r="D767" s="2" t="s">
        <v>2</v>
      </c>
      <c r="E767" s="2"/>
      <c r="F767" s="2">
        <v>0</v>
      </c>
      <c r="G767" s="2">
        <v>2</v>
      </c>
      <c r="H767" s="2">
        <v>0</v>
      </c>
      <c r="I767" s="2">
        <v>250</v>
      </c>
      <c r="J767" s="2" t="s">
        <v>1779</v>
      </c>
      <c r="K767" s="2">
        <v>18</v>
      </c>
      <c r="L767" s="2">
        <v>0</v>
      </c>
      <c r="M767" s="2">
        <v>0</v>
      </c>
      <c r="N767" s="2">
        <v>6</v>
      </c>
      <c r="O767" s="2">
        <v>0</v>
      </c>
      <c r="P767" s="2">
        <v>12</v>
      </c>
      <c r="Q767" s="2" t="s">
        <v>3477</v>
      </c>
      <c r="R767" s="2" t="s">
        <v>3478</v>
      </c>
      <c r="S767" s="4">
        <v>44958</v>
      </c>
    </row>
    <row r="768" spans="1:19" ht="12.5" hidden="1" x14ac:dyDescent="0.25">
      <c r="A768" s="14" t="str">
        <f>HYPERLINK("https://gerandofalcoes.my.salesforce.com/0014X00002bCk8nQAC", "0014X00002bCk8nQAC")</f>
        <v>0014X00002bCk8nQAC</v>
      </c>
      <c r="B768" s="2" t="s">
        <v>3479</v>
      </c>
      <c r="C768" s="2" t="s">
        <v>423</v>
      </c>
      <c r="D768" s="2" t="s">
        <v>2</v>
      </c>
      <c r="E768" s="2"/>
      <c r="F768" s="2">
        <v>0</v>
      </c>
      <c r="G768" s="2">
        <v>2</v>
      </c>
      <c r="H768" s="2">
        <v>5000</v>
      </c>
      <c r="I768" s="2">
        <v>200</v>
      </c>
      <c r="J768" s="2" t="s">
        <v>1779</v>
      </c>
      <c r="K768" s="2">
        <v>23</v>
      </c>
      <c r="L768" s="2">
        <v>0</v>
      </c>
      <c r="M768" s="2">
        <v>0</v>
      </c>
      <c r="N768" s="2">
        <v>6</v>
      </c>
      <c r="O768" s="2">
        <v>5</v>
      </c>
      <c r="P768" s="2">
        <v>12</v>
      </c>
      <c r="Q768" s="2" t="s">
        <v>3480</v>
      </c>
      <c r="R768" s="2" t="s">
        <v>3480</v>
      </c>
      <c r="S768" s="4">
        <v>44958</v>
      </c>
    </row>
    <row r="769" spans="1:19" ht="12.5" hidden="1" x14ac:dyDescent="0.25">
      <c r="A769" s="14" t="str">
        <f>HYPERLINK("https://gerandofalcoes.my.salesforce.com/0014X00002YgggjQAB", "0014X00002YgggjQAB")</f>
        <v>0014X00002YgggjQAB</v>
      </c>
      <c r="B769" s="2" t="s">
        <v>3481</v>
      </c>
      <c r="C769" s="2" t="s">
        <v>423</v>
      </c>
      <c r="D769" s="2" t="s">
        <v>2</v>
      </c>
      <c r="E769" s="2"/>
      <c r="F769" s="2">
        <v>0</v>
      </c>
      <c r="G769" s="2">
        <v>2</v>
      </c>
      <c r="H769" s="2">
        <v>200000</v>
      </c>
      <c r="I769" s="2">
        <v>198</v>
      </c>
      <c r="J769" s="2" t="s">
        <v>1779</v>
      </c>
      <c r="K769" s="2">
        <v>33</v>
      </c>
      <c r="L769" s="2">
        <v>0</v>
      </c>
      <c r="M769" s="2">
        <v>0</v>
      </c>
      <c r="N769" s="2">
        <v>6</v>
      </c>
      <c r="O769" s="2">
        <v>15</v>
      </c>
      <c r="P769" s="2">
        <v>12</v>
      </c>
      <c r="Q769" s="2" t="s">
        <v>3482</v>
      </c>
      <c r="R769" s="2" t="s">
        <v>3483</v>
      </c>
      <c r="S769" s="4">
        <v>44958</v>
      </c>
    </row>
    <row r="770" spans="1:19" ht="12.5" hidden="1" x14ac:dyDescent="0.25">
      <c r="A770" s="14" t="str">
        <f>HYPERLINK("https://gerandofalcoes.my.salesforce.com/0014X00002Yggl5QAB", "0014X00002Yggl5QAB")</f>
        <v>0014X00002Yggl5QAB</v>
      </c>
      <c r="B770" s="2" t="s">
        <v>3484</v>
      </c>
      <c r="C770" s="2" t="s">
        <v>423</v>
      </c>
      <c r="D770" s="2" t="s">
        <v>2</v>
      </c>
      <c r="E770" s="2"/>
      <c r="F770" s="2">
        <v>4</v>
      </c>
      <c r="G770" s="2">
        <v>4</v>
      </c>
      <c r="H770" s="2">
        <v>700</v>
      </c>
      <c r="I770" s="2">
        <v>120</v>
      </c>
      <c r="J770" s="2" t="s">
        <v>1779</v>
      </c>
      <c r="K770" s="2">
        <v>30</v>
      </c>
      <c r="L770" s="2">
        <v>0</v>
      </c>
      <c r="M770" s="2">
        <v>5</v>
      </c>
      <c r="N770" s="2">
        <v>10</v>
      </c>
      <c r="O770" s="2">
        <v>5</v>
      </c>
      <c r="P770" s="2">
        <v>10</v>
      </c>
      <c r="Q770" s="2" t="s">
        <v>3485</v>
      </c>
      <c r="R770" s="2" t="s">
        <v>3485</v>
      </c>
      <c r="S770" s="4">
        <v>44958</v>
      </c>
    </row>
    <row r="771" spans="1:19" ht="12.5" hidden="1" x14ac:dyDescent="0.25">
      <c r="A771" s="14" t="str">
        <f>HYPERLINK("https://gerandofalcoes.my.salesforce.com/0014X00002YgggLQAR", "0014X00002YgggLQAR")</f>
        <v>0014X00002YgggLQAR</v>
      </c>
      <c r="B771" s="2" t="s">
        <v>3486</v>
      </c>
      <c r="C771" s="2" t="s">
        <v>423</v>
      </c>
      <c r="D771" s="2" t="s">
        <v>2</v>
      </c>
      <c r="E771" s="2"/>
      <c r="F771" s="2">
        <v>10</v>
      </c>
      <c r="G771" s="2">
        <v>4</v>
      </c>
      <c r="H771" s="2">
        <v>208</v>
      </c>
      <c r="I771" s="2">
        <v>108</v>
      </c>
      <c r="J771" s="2" t="s">
        <v>1779</v>
      </c>
      <c r="K771" s="2">
        <v>35</v>
      </c>
      <c r="L771" s="2">
        <v>0</v>
      </c>
      <c r="M771" s="2">
        <v>10</v>
      </c>
      <c r="N771" s="2">
        <v>10</v>
      </c>
      <c r="O771" s="2">
        <v>5</v>
      </c>
      <c r="P771" s="2">
        <v>10</v>
      </c>
      <c r="Q771" s="2" t="s">
        <v>3487</v>
      </c>
      <c r="R771" s="2" t="s">
        <v>3488</v>
      </c>
      <c r="S771" s="4">
        <v>44958</v>
      </c>
    </row>
    <row r="772" spans="1:19" ht="12.5" hidden="1" x14ac:dyDescent="0.25">
      <c r="A772" s="14" t="str">
        <f>HYPERLINK("https://gerandofalcoes.my.salesforce.com/0014X00002YggjLQAR", "0014X00002YggjLQAR")</f>
        <v>0014X00002YggjLQAR</v>
      </c>
      <c r="B772" s="2" t="s">
        <v>3489</v>
      </c>
      <c r="C772" s="2" t="s">
        <v>423</v>
      </c>
      <c r="D772" s="2" t="s">
        <v>2</v>
      </c>
      <c r="E772" s="2"/>
      <c r="F772" s="2">
        <v>0</v>
      </c>
      <c r="G772" s="2">
        <v>2</v>
      </c>
      <c r="H772" s="2">
        <v>1000</v>
      </c>
      <c r="I772" s="2">
        <v>70</v>
      </c>
      <c r="J772" s="2" t="s">
        <v>1779</v>
      </c>
      <c r="K772" s="2">
        <v>16</v>
      </c>
      <c r="L772" s="2">
        <v>0</v>
      </c>
      <c r="M772" s="2">
        <v>0</v>
      </c>
      <c r="N772" s="2">
        <v>6</v>
      </c>
      <c r="O772" s="2">
        <v>5</v>
      </c>
      <c r="P772" s="2">
        <v>5</v>
      </c>
      <c r="Q772" s="2" t="s">
        <v>3490</v>
      </c>
      <c r="R772" s="2" t="s">
        <v>3491</v>
      </c>
      <c r="S772" s="4">
        <v>44958</v>
      </c>
    </row>
    <row r="773" spans="1:19" ht="12.5" hidden="1" x14ac:dyDescent="0.25">
      <c r="A773" s="14" t="str">
        <f>HYPERLINK("https://gerandofalcoes.my.salesforce.com/0014X00002YgggdQAB", "0014X00002YgggdQAB")</f>
        <v>0014X00002YgggdQAB</v>
      </c>
      <c r="B773" s="2" t="s">
        <v>3492</v>
      </c>
      <c r="C773" s="2" t="s">
        <v>423</v>
      </c>
      <c r="D773" s="2" t="s">
        <v>2</v>
      </c>
      <c r="E773" s="2"/>
      <c r="F773" s="2">
        <v>0</v>
      </c>
      <c r="G773" s="2">
        <v>2</v>
      </c>
      <c r="H773" s="2">
        <v>6000</v>
      </c>
      <c r="I773" s="2">
        <v>52</v>
      </c>
      <c r="J773" s="2" t="s">
        <v>1779</v>
      </c>
      <c r="K773" s="2">
        <v>16</v>
      </c>
      <c r="L773" s="2">
        <v>0</v>
      </c>
      <c r="M773" s="2">
        <v>0</v>
      </c>
      <c r="N773" s="2">
        <v>6</v>
      </c>
      <c r="O773" s="2">
        <v>5</v>
      </c>
      <c r="P773" s="2">
        <v>5</v>
      </c>
      <c r="Q773" s="2" t="s">
        <v>3493</v>
      </c>
      <c r="R773" s="2" t="s">
        <v>3493</v>
      </c>
      <c r="S773" s="4">
        <v>44958</v>
      </c>
    </row>
    <row r="774" spans="1:19" ht="12.5" hidden="1" x14ac:dyDescent="0.25">
      <c r="A774" s="14" t="str">
        <f>HYPERLINK("https://gerandofalcoes.my.salesforce.com/0014X00002YggkvQAB", "0014X00002YggkvQAB")</f>
        <v>0014X00002YggkvQAB</v>
      </c>
      <c r="B774" s="2" t="s">
        <v>3494</v>
      </c>
      <c r="C774" s="2" t="s">
        <v>423</v>
      </c>
      <c r="D774" s="2" t="s">
        <v>2</v>
      </c>
      <c r="E774" s="2"/>
      <c r="F774" s="2">
        <v>5</v>
      </c>
      <c r="G774" s="2">
        <v>2</v>
      </c>
      <c r="H774" s="2">
        <v>250</v>
      </c>
      <c r="I774" s="2">
        <v>50</v>
      </c>
      <c r="J774" s="2" t="s">
        <v>1779</v>
      </c>
      <c r="K774" s="2">
        <v>21</v>
      </c>
      <c r="L774" s="2">
        <v>0</v>
      </c>
      <c r="M774" s="2">
        <v>5</v>
      </c>
      <c r="N774" s="2">
        <v>6</v>
      </c>
      <c r="O774" s="2">
        <v>5</v>
      </c>
      <c r="P774" s="2">
        <v>5</v>
      </c>
      <c r="Q774" s="2" t="s">
        <v>3495</v>
      </c>
      <c r="R774" s="2" t="s">
        <v>3496</v>
      </c>
      <c r="S774" s="4">
        <v>44958</v>
      </c>
    </row>
    <row r="775" spans="1:19" ht="12.5" hidden="1" x14ac:dyDescent="0.25">
      <c r="A775" s="14" t="str">
        <f>HYPERLINK("https://gerandofalcoes.my.salesforce.com/0014X00002Yggn8QAB", "0014X00002Yggn8QAB")</f>
        <v>0014X00002Yggn8QAB</v>
      </c>
      <c r="B775" s="2" t="s">
        <v>3497</v>
      </c>
      <c r="C775" s="2" t="s">
        <v>423</v>
      </c>
      <c r="D775" s="2" t="s">
        <v>2</v>
      </c>
      <c r="E775" s="2"/>
      <c r="F775" s="2">
        <v>0</v>
      </c>
      <c r="G775" s="2">
        <v>2</v>
      </c>
      <c r="H775" s="2">
        <v>0</v>
      </c>
      <c r="I775" s="2">
        <v>30</v>
      </c>
      <c r="J775" s="2" t="s">
        <v>1779</v>
      </c>
      <c r="K775" s="2">
        <v>11</v>
      </c>
      <c r="L775" s="2">
        <v>0</v>
      </c>
      <c r="M775" s="2">
        <v>0</v>
      </c>
      <c r="N775" s="2">
        <v>6</v>
      </c>
      <c r="O775" s="2">
        <v>0</v>
      </c>
      <c r="P775" s="2">
        <v>5</v>
      </c>
      <c r="Q775" s="2" t="s">
        <v>3498</v>
      </c>
      <c r="R775" s="2" t="s">
        <v>3499</v>
      </c>
      <c r="S775" s="4">
        <v>44958</v>
      </c>
    </row>
    <row r="776" spans="1:19" ht="12.5" hidden="1" x14ac:dyDescent="0.25">
      <c r="A776" s="14" t="str">
        <f>HYPERLINK("https://gerandofalcoes.my.salesforce.com/0014X00002YggqLQAR", "0014X00002YggqLQAR")</f>
        <v>0014X00002YggqLQAR</v>
      </c>
      <c r="B776" s="2" t="s">
        <v>3500</v>
      </c>
      <c r="C776" s="2" t="s">
        <v>423</v>
      </c>
      <c r="D776" s="2" t="s">
        <v>2</v>
      </c>
      <c r="E776" s="2"/>
      <c r="F776" s="2">
        <v>0</v>
      </c>
      <c r="G776" s="2">
        <v>2</v>
      </c>
      <c r="H776" s="2">
        <v>400</v>
      </c>
      <c r="I776" s="2">
        <v>30</v>
      </c>
      <c r="J776" s="2" t="s">
        <v>1779</v>
      </c>
      <c r="K776" s="2">
        <v>16</v>
      </c>
      <c r="L776" s="2">
        <v>0</v>
      </c>
      <c r="M776" s="2">
        <v>0</v>
      </c>
      <c r="N776" s="2">
        <v>6</v>
      </c>
      <c r="O776" s="2">
        <v>5</v>
      </c>
      <c r="P776" s="2">
        <v>5</v>
      </c>
      <c r="Q776" s="2" t="s">
        <v>3501</v>
      </c>
      <c r="R776" s="2" t="s">
        <v>3502</v>
      </c>
      <c r="S776" s="4">
        <v>44958</v>
      </c>
    </row>
    <row r="777" spans="1:19" ht="12.5" hidden="1" x14ac:dyDescent="0.25">
      <c r="A777" s="14" t="str">
        <f>HYPERLINK("https://gerandofalcoes.my.salesforce.com/0014X00002YggqqQAB", "0014X00002YggqqQAB")</f>
        <v>0014X00002YggqqQAB</v>
      </c>
      <c r="B777" s="2" t="s">
        <v>3503</v>
      </c>
      <c r="C777" s="2" t="s">
        <v>423</v>
      </c>
      <c r="D777" s="2" t="s">
        <v>2</v>
      </c>
      <c r="E777" s="2"/>
      <c r="F777" s="2">
        <v>1</v>
      </c>
      <c r="G777" s="2">
        <v>2</v>
      </c>
      <c r="H777" s="2">
        <v>5000</v>
      </c>
      <c r="I777" s="2">
        <v>25</v>
      </c>
      <c r="J777" s="2" t="s">
        <v>1779</v>
      </c>
      <c r="K777" s="2">
        <v>21</v>
      </c>
      <c r="L777" s="2">
        <v>0</v>
      </c>
      <c r="M777" s="2">
        <v>5</v>
      </c>
      <c r="N777" s="2">
        <v>6</v>
      </c>
      <c r="O777" s="2">
        <v>5</v>
      </c>
      <c r="P777" s="2">
        <v>5</v>
      </c>
      <c r="Q777" s="2" t="s">
        <v>3504</v>
      </c>
      <c r="R777" s="2" t="s">
        <v>3504</v>
      </c>
      <c r="S777" s="4">
        <v>44958</v>
      </c>
    </row>
    <row r="778" spans="1:19" ht="12.5" hidden="1" x14ac:dyDescent="0.25">
      <c r="A778" s="14" t="str">
        <f>HYPERLINK("https://gerandofalcoes.my.salesforce.com/0014X00002Yggh4QAB", "0014X00002Yggh4QAB")</f>
        <v>0014X00002Yggh4QAB</v>
      </c>
      <c r="B778" s="2" t="s">
        <v>3505</v>
      </c>
      <c r="C778" s="2" t="s">
        <v>423</v>
      </c>
      <c r="D778" s="2" t="s">
        <v>2</v>
      </c>
      <c r="E778" s="2"/>
      <c r="F778" s="2">
        <v>0</v>
      </c>
      <c r="G778" s="2">
        <v>2</v>
      </c>
      <c r="H778" s="2">
        <v>45000</v>
      </c>
      <c r="I778" s="2">
        <v>20</v>
      </c>
      <c r="J778" s="2" t="s">
        <v>1779</v>
      </c>
      <c r="K778" s="2">
        <v>21</v>
      </c>
      <c r="L778" s="2">
        <v>0</v>
      </c>
      <c r="M778" s="2">
        <v>0</v>
      </c>
      <c r="N778" s="2">
        <v>6</v>
      </c>
      <c r="O778" s="2">
        <v>10</v>
      </c>
      <c r="P778" s="2">
        <v>5</v>
      </c>
      <c r="Q778" s="2" t="s">
        <v>3506</v>
      </c>
      <c r="R778" s="2" t="s">
        <v>3507</v>
      </c>
      <c r="S778" s="4">
        <v>44958</v>
      </c>
    </row>
    <row r="779" spans="1:19" ht="12.5" hidden="1" x14ac:dyDescent="0.25">
      <c r="A779" s="14" t="str">
        <f>HYPERLINK("https://gerandofalcoes.my.salesforce.com/0014X00002Yggp8QAB", "0014X00002Yggp8QAB")</f>
        <v>0014X00002Yggp8QAB</v>
      </c>
      <c r="B779" s="2" t="s">
        <v>3508</v>
      </c>
      <c r="C779" s="2" t="s">
        <v>423</v>
      </c>
      <c r="D779" s="2" t="s">
        <v>2</v>
      </c>
      <c r="E779" s="2"/>
      <c r="F779" s="2">
        <v>17</v>
      </c>
      <c r="G779" s="2">
        <v>5</v>
      </c>
      <c r="H779" s="2">
        <v>75898</v>
      </c>
      <c r="I779" s="2">
        <v>15</v>
      </c>
      <c r="J779" s="2" t="s">
        <v>1779</v>
      </c>
      <c r="K779" s="2">
        <v>37</v>
      </c>
      <c r="L779" s="2">
        <v>0</v>
      </c>
      <c r="M779" s="2">
        <v>12</v>
      </c>
      <c r="N779" s="2">
        <v>10</v>
      </c>
      <c r="O779" s="2">
        <v>10</v>
      </c>
      <c r="P779" s="2">
        <v>5</v>
      </c>
      <c r="Q779" s="2" t="s">
        <v>3509</v>
      </c>
      <c r="R779" s="2" t="s">
        <v>3509</v>
      </c>
      <c r="S779" s="4">
        <v>44958</v>
      </c>
    </row>
    <row r="780" spans="1:19" ht="12.5" hidden="1" x14ac:dyDescent="0.25">
      <c r="A780" s="14" t="str">
        <f>HYPERLINK("https://gerandofalcoes.my.salesforce.com/0014X00002YggoRQAR", "0014X00002YggoRQAR")</f>
        <v>0014X00002YggoRQAR</v>
      </c>
      <c r="B780" s="2" t="s">
        <v>3510</v>
      </c>
      <c r="C780" s="2" t="s">
        <v>423</v>
      </c>
      <c r="D780" s="2" t="s">
        <v>2</v>
      </c>
      <c r="E780" s="2"/>
      <c r="F780" s="2">
        <v>0</v>
      </c>
      <c r="G780" s="2">
        <v>2</v>
      </c>
      <c r="H780" s="2">
        <v>0</v>
      </c>
      <c r="I780" s="2">
        <v>0</v>
      </c>
      <c r="J780" s="2" t="s">
        <v>1779</v>
      </c>
      <c r="K780" s="2">
        <v>6</v>
      </c>
      <c r="L780" s="2">
        <v>0</v>
      </c>
      <c r="M780" s="2">
        <v>0</v>
      </c>
      <c r="N780" s="2">
        <v>6</v>
      </c>
      <c r="O780" s="2">
        <v>0</v>
      </c>
      <c r="P780" s="2">
        <v>0</v>
      </c>
      <c r="Q780" s="2" t="s">
        <v>3511</v>
      </c>
      <c r="R780" s="2" t="s">
        <v>3511</v>
      </c>
      <c r="S780" s="4">
        <v>44958</v>
      </c>
    </row>
    <row r="781" spans="1:19" ht="12.5" hidden="1" x14ac:dyDescent="0.25">
      <c r="A781" s="14" t="str">
        <f>HYPERLINK("https://gerandofalcoes.my.salesforce.com/0014X00002YgbkPQAR", "0014X00002YgbkPQAR")</f>
        <v>0014X00002YgbkPQAR</v>
      </c>
      <c r="B781" s="2" t="s">
        <v>3515</v>
      </c>
      <c r="C781" s="2" t="s">
        <v>423</v>
      </c>
      <c r="D781" s="2" t="s">
        <v>2</v>
      </c>
      <c r="E781" s="2"/>
      <c r="F781" s="2">
        <v>0</v>
      </c>
      <c r="G781" s="2">
        <v>0</v>
      </c>
      <c r="H781" s="2">
        <v>0</v>
      </c>
      <c r="I781" s="2">
        <v>0</v>
      </c>
      <c r="J781" s="2" t="s">
        <v>1779</v>
      </c>
      <c r="K781" s="2">
        <v>0</v>
      </c>
      <c r="L781" s="2">
        <v>0</v>
      </c>
      <c r="M781" s="2">
        <v>0</v>
      </c>
      <c r="N781" s="2">
        <v>0</v>
      </c>
      <c r="O781" s="2">
        <v>0</v>
      </c>
      <c r="P781" s="2">
        <v>0</v>
      </c>
      <c r="Q781" s="2" t="s">
        <v>3516</v>
      </c>
      <c r="R781" s="2" t="s">
        <v>3516</v>
      </c>
      <c r="S781" s="4">
        <v>44958</v>
      </c>
    </row>
    <row r="782" spans="1:19" ht="12.5" hidden="1" x14ac:dyDescent="0.25">
      <c r="A782" s="14" t="str">
        <f>HYPERLINK("https://gerandofalcoes.my.salesforce.com/0014X00002YgggqQAB", "0014X00002YgggqQAB")</f>
        <v>0014X00002YgggqQAB</v>
      </c>
      <c r="B782" s="2" t="s">
        <v>3522</v>
      </c>
      <c r="C782" s="2" t="s">
        <v>423</v>
      </c>
      <c r="D782" s="2" t="s">
        <v>2</v>
      </c>
      <c r="E782" s="2"/>
      <c r="F782" s="2">
        <v>0</v>
      </c>
      <c r="G782" s="2">
        <v>3</v>
      </c>
      <c r="H782" s="2">
        <v>30000</v>
      </c>
      <c r="I782" s="2">
        <v>0</v>
      </c>
      <c r="J782" s="2" t="s">
        <v>1779</v>
      </c>
      <c r="K782" s="2">
        <v>18</v>
      </c>
      <c r="L782" s="2">
        <v>0</v>
      </c>
      <c r="M782" s="2">
        <v>0</v>
      </c>
      <c r="N782" s="2">
        <v>8</v>
      </c>
      <c r="O782" s="2">
        <v>10</v>
      </c>
      <c r="P782" s="2">
        <v>0</v>
      </c>
      <c r="Q782" s="2" t="s">
        <v>3523</v>
      </c>
      <c r="R782" s="2" t="s">
        <v>3523</v>
      </c>
      <c r="S782" s="4">
        <v>44958</v>
      </c>
    </row>
    <row r="783" spans="1:19" ht="12.5" hidden="1" x14ac:dyDescent="0.25">
      <c r="A783" s="14" t="str">
        <f>HYPERLINK("https://gerandofalcoes.my.salesforce.com/0014X00002YggluQAB", "0014X00002YggluQAB")</f>
        <v>0014X00002YggluQAB</v>
      </c>
      <c r="B783" s="2" t="s">
        <v>3524</v>
      </c>
      <c r="C783" s="2" t="s">
        <v>423</v>
      </c>
      <c r="D783" s="2" t="s">
        <v>2</v>
      </c>
      <c r="E783" s="2"/>
      <c r="F783" s="2">
        <v>0</v>
      </c>
      <c r="G783" s="2">
        <v>2</v>
      </c>
      <c r="H783" s="2">
        <v>3745000</v>
      </c>
      <c r="I783" s="2">
        <v>0</v>
      </c>
      <c r="J783" s="2" t="s">
        <v>1779</v>
      </c>
      <c r="K783" s="2">
        <v>31</v>
      </c>
      <c r="L783" s="2">
        <v>0</v>
      </c>
      <c r="M783" s="2">
        <v>0</v>
      </c>
      <c r="N783" s="2">
        <v>6</v>
      </c>
      <c r="O783" s="2">
        <v>25</v>
      </c>
      <c r="P783" s="2">
        <v>0</v>
      </c>
      <c r="Q783" s="2" t="s">
        <v>3525</v>
      </c>
      <c r="R783" s="2" t="s">
        <v>3526</v>
      </c>
      <c r="S783" s="4">
        <v>44958</v>
      </c>
    </row>
    <row r="784" spans="1:19" ht="12.5" hidden="1" x14ac:dyDescent="0.25">
      <c r="A784" s="14" t="str">
        <f>HYPERLINK("https://gerandofalcoes.my.salesforce.com/0014X00002Yggl1QAB", "0014X00002Yggl1QAB")</f>
        <v>0014X00002Yggl1QAB</v>
      </c>
      <c r="B784" s="2" t="s">
        <v>3530</v>
      </c>
      <c r="C784" s="2" t="s">
        <v>423</v>
      </c>
      <c r="D784" s="2" t="s">
        <v>2</v>
      </c>
      <c r="E784" s="2"/>
      <c r="F784" s="2">
        <v>0</v>
      </c>
      <c r="G784" s="2">
        <v>2</v>
      </c>
      <c r="H784" s="2">
        <v>1000</v>
      </c>
      <c r="I784" s="2">
        <v>0</v>
      </c>
      <c r="J784" s="2" t="s">
        <v>1779</v>
      </c>
      <c r="K784" s="2">
        <v>11</v>
      </c>
      <c r="L784" s="2">
        <v>0</v>
      </c>
      <c r="M784" s="2">
        <v>0</v>
      </c>
      <c r="N784" s="2">
        <v>6</v>
      </c>
      <c r="O784" s="2">
        <v>5</v>
      </c>
      <c r="P784" s="2">
        <v>0</v>
      </c>
      <c r="Q784" s="2" t="s">
        <v>3531</v>
      </c>
      <c r="R784" s="2" t="s">
        <v>3531</v>
      </c>
      <c r="S784" s="4">
        <v>44958</v>
      </c>
    </row>
    <row r="785" spans="1:19" ht="12.5" hidden="1" x14ac:dyDescent="0.25">
      <c r="A785" s="14" t="str">
        <f>HYPERLINK("https://gerandofalcoes.my.salesforce.com/0014X00002YgggHQAR", "0014X00002YgggHQAR")</f>
        <v>0014X00002YgggHQAR</v>
      </c>
      <c r="B785" s="2" t="s">
        <v>3512</v>
      </c>
      <c r="C785" s="2" t="s">
        <v>423</v>
      </c>
      <c r="D785" s="2" t="s">
        <v>2</v>
      </c>
      <c r="E785" s="2"/>
      <c r="F785" s="2">
        <v>15</v>
      </c>
      <c r="G785" s="2">
        <v>4</v>
      </c>
      <c r="H785" s="2">
        <v>23000</v>
      </c>
      <c r="I785" s="2">
        <v>0</v>
      </c>
      <c r="J785" s="2" t="s">
        <v>1779</v>
      </c>
      <c r="K785" s="2">
        <v>27</v>
      </c>
      <c r="L785" s="2">
        <v>0</v>
      </c>
      <c r="M785" s="2">
        <v>12</v>
      </c>
      <c r="N785" s="2">
        <v>10</v>
      </c>
      <c r="O785" s="2">
        <v>5</v>
      </c>
      <c r="P785" s="2">
        <v>0</v>
      </c>
      <c r="Q785" s="2" t="s">
        <v>3513</v>
      </c>
      <c r="R785" s="2" t="s">
        <v>3514</v>
      </c>
      <c r="S785" s="4">
        <v>44958</v>
      </c>
    </row>
    <row r="786" spans="1:19" ht="12.5" hidden="1" x14ac:dyDescent="0.25">
      <c r="A786" s="14" t="str">
        <f>HYPERLINK("https://gerandofalcoes.my.salesforce.com/0014X00002YgbkgQAB", "0014X00002YgbkgQAB")</f>
        <v>0014X00002YgbkgQAB</v>
      </c>
      <c r="B786" s="2" t="s">
        <v>3517</v>
      </c>
      <c r="C786" s="2" t="s">
        <v>423</v>
      </c>
      <c r="D786" s="2" t="s">
        <v>2</v>
      </c>
      <c r="E786" s="2"/>
      <c r="F786" s="2">
        <v>0</v>
      </c>
      <c r="G786" s="2">
        <v>0</v>
      </c>
      <c r="H786" s="2">
        <v>0</v>
      </c>
      <c r="I786" s="2">
        <v>0</v>
      </c>
      <c r="J786" s="2" t="s">
        <v>1779</v>
      </c>
      <c r="K786" s="2">
        <v>0</v>
      </c>
      <c r="L786" s="2">
        <v>0</v>
      </c>
      <c r="M786" s="2">
        <v>0</v>
      </c>
      <c r="N786" s="2">
        <v>0</v>
      </c>
      <c r="O786" s="2">
        <v>0</v>
      </c>
      <c r="P786" s="2">
        <v>0</v>
      </c>
      <c r="Q786" s="2" t="s">
        <v>3518</v>
      </c>
      <c r="R786" s="2" t="s">
        <v>3518</v>
      </c>
      <c r="S786" s="4">
        <v>44958</v>
      </c>
    </row>
    <row r="787" spans="1:19" ht="12.5" hidden="1" x14ac:dyDescent="0.25">
      <c r="A787" s="14" t="str">
        <f>HYPERLINK("https://gerandofalcoes.my.salesforce.com/0014X00002YggnyQAB", "0014X00002YggnyQAB")</f>
        <v>0014X00002YggnyQAB</v>
      </c>
      <c r="B787" s="2" t="s">
        <v>3519</v>
      </c>
      <c r="C787" s="2" t="s">
        <v>423</v>
      </c>
      <c r="D787" s="2" t="s">
        <v>2</v>
      </c>
      <c r="E787" s="2"/>
      <c r="F787" s="2">
        <v>25</v>
      </c>
      <c r="G787" s="2">
        <v>3</v>
      </c>
      <c r="H787" s="2">
        <v>49000</v>
      </c>
      <c r="I787" s="2">
        <v>0</v>
      </c>
      <c r="J787" s="2" t="s">
        <v>1779</v>
      </c>
      <c r="K787" s="2">
        <v>30</v>
      </c>
      <c r="L787" s="2">
        <v>0</v>
      </c>
      <c r="M787" s="2">
        <v>12</v>
      </c>
      <c r="N787" s="2">
        <v>8</v>
      </c>
      <c r="O787" s="2">
        <v>10</v>
      </c>
      <c r="P787" s="2">
        <v>0</v>
      </c>
      <c r="Q787" s="2" t="s">
        <v>3520</v>
      </c>
      <c r="R787" s="2" t="s">
        <v>3521</v>
      </c>
      <c r="S787" s="4">
        <v>44958</v>
      </c>
    </row>
    <row r="788" spans="1:19" ht="12.5" hidden="1" x14ac:dyDescent="0.25">
      <c r="A788" s="14" t="str">
        <f>HYPERLINK("https://gerandofalcoes.my.salesforce.com/0014X00002Yggm2QAB", "0014X00002Yggm2QAB")</f>
        <v>0014X00002Yggm2QAB</v>
      </c>
      <c r="B788" s="2" t="s">
        <v>3527</v>
      </c>
      <c r="C788" s="2" t="s">
        <v>423</v>
      </c>
      <c r="D788" s="2" t="s">
        <v>2</v>
      </c>
      <c r="E788" s="2"/>
      <c r="F788" s="2">
        <v>0</v>
      </c>
      <c r="G788" s="2">
        <v>2</v>
      </c>
      <c r="H788" s="2">
        <v>2000</v>
      </c>
      <c r="I788" s="2">
        <v>0</v>
      </c>
      <c r="J788" s="2" t="s">
        <v>1779</v>
      </c>
      <c r="K788" s="2">
        <v>11</v>
      </c>
      <c r="L788" s="2">
        <v>0</v>
      </c>
      <c r="M788" s="2">
        <v>0</v>
      </c>
      <c r="N788" s="2">
        <v>6</v>
      </c>
      <c r="O788" s="2">
        <v>5</v>
      </c>
      <c r="P788" s="2">
        <v>0</v>
      </c>
      <c r="Q788" s="2" t="s">
        <v>3528</v>
      </c>
      <c r="R788" s="2" t="s">
        <v>3529</v>
      </c>
      <c r="S788" s="4">
        <v>44958</v>
      </c>
    </row>
    <row r="789" spans="1:19" ht="12.5" hidden="1" x14ac:dyDescent="0.25">
      <c r="A789" s="14" t="str">
        <f>HYPERLINK("https://gerandofalcoes.my.salesforce.com/0014X00002YggmwQAB", "0014X00002YggmwQAB")</f>
        <v>0014X00002YggmwQAB</v>
      </c>
      <c r="B789" s="2" t="s">
        <v>3532</v>
      </c>
      <c r="C789" s="2" t="s">
        <v>423</v>
      </c>
      <c r="D789" s="2" t="s">
        <v>2</v>
      </c>
      <c r="E789" s="2">
        <v>49.28</v>
      </c>
      <c r="F789" s="2">
        <v>0</v>
      </c>
      <c r="G789" s="2">
        <v>3</v>
      </c>
      <c r="H789" s="2">
        <v>320618</v>
      </c>
      <c r="I789" s="2">
        <v>200</v>
      </c>
      <c r="J789" s="2" t="s">
        <v>1671</v>
      </c>
      <c r="K789" s="2">
        <v>40</v>
      </c>
      <c r="L789" s="2">
        <v>0</v>
      </c>
      <c r="M789" s="2">
        <v>0</v>
      </c>
      <c r="N789" s="2">
        <v>8</v>
      </c>
      <c r="O789" s="2">
        <v>20</v>
      </c>
      <c r="P789" s="2">
        <v>12</v>
      </c>
      <c r="Q789" s="2" t="s">
        <v>3533</v>
      </c>
      <c r="R789" s="2" t="s">
        <v>3534</v>
      </c>
      <c r="S789" s="4">
        <v>44959</v>
      </c>
    </row>
    <row r="790" spans="1:19" ht="12.5" hidden="1" x14ac:dyDescent="0.25">
      <c r="A790" s="14" t="str">
        <f>HYPERLINK("https://gerandofalcoes.my.salesforce.com/0014X00002Yggj6QAB", "0014X00002Yggj6QAB")</f>
        <v>0014X00002Yggj6QAB</v>
      </c>
      <c r="B790" s="2" t="s">
        <v>3535</v>
      </c>
      <c r="C790" s="2" t="s">
        <v>423</v>
      </c>
      <c r="D790" s="2" t="s">
        <v>2</v>
      </c>
      <c r="E790" s="2">
        <v>18.829999999999998</v>
      </c>
      <c r="F790" s="2">
        <v>1</v>
      </c>
      <c r="G790" s="2">
        <v>2</v>
      </c>
      <c r="H790" s="2">
        <v>4000</v>
      </c>
      <c r="I790" s="2">
        <v>50</v>
      </c>
      <c r="J790" s="2" t="s">
        <v>1779</v>
      </c>
      <c r="K790" s="2">
        <v>31</v>
      </c>
      <c r="L790" s="2">
        <v>10</v>
      </c>
      <c r="M790" s="2">
        <v>5</v>
      </c>
      <c r="N790" s="2">
        <v>6</v>
      </c>
      <c r="O790" s="2">
        <v>5</v>
      </c>
      <c r="P790" s="2">
        <v>5</v>
      </c>
      <c r="Q790" s="2" t="s">
        <v>3536</v>
      </c>
      <c r="R790" s="2" t="s">
        <v>3536</v>
      </c>
      <c r="S790" s="4">
        <v>44959</v>
      </c>
    </row>
    <row r="791" spans="1:19" ht="12.5" hidden="1" x14ac:dyDescent="0.25">
      <c r="A791" s="14" t="str">
        <f>HYPERLINK("https://gerandofalcoes.my.salesforce.com/0014X00002YggisQAB", "0014X00002YggisQAB")</f>
        <v>0014X00002YggisQAB</v>
      </c>
      <c r="B791" s="2" t="s">
        <v>3537</v>
      </c>
      <c r="C791" s="2" t="s">
        <v>423</v>
      </c>
      <c r="D791" s="2" t="s">
        <v>2</v>
      </c>
      <c r="E791" s="2">
        <v>10.34</v>
      </c>
      <c r="F791" s="2">
        <v>0</v>
      </c>
      <c r="G791" s="2">
        <v>2</v>
      </c>
      <c r="H791" s="2">
        <v>25000</v>
      </c>
      <c r="I791" s="2">
        <v>0</v>
      </c>
      <c r="J791" s="2" t="s">
        <v>1779</v>
      </c>
      <c r="K791" s="2">
        <v>26</v>
      </c>
      <c r="L791" s="2">
        <v>10</v>
      </c>
      <c r="M791" s="2">
        <v>0</v>
      </c>
      <c r="N791" s="2">
        <v>6</v>
      </c>
      <c r="O791" s="2">
        <v>10</v>
      </c>
      <c r="P791" s="2">
        <v>0</v>
      </c>
      <c r="Q791" s="2" t="s">
        <v>3538</v>
      </c>
      <c r="R791" s="2" t="s">
        <v>3539</v>
      </c>
      <c r="S791" s="4">
        <v>44959</v>
      </c>
    </row>
    <row r="792" spans="1:19" ht="12.5" hidden="1" x14ac:dyDescent="0.25">
      <c r="A792" s="14" t="str">
        <f>HYPERLINK("https://gerandofalcoes.my.salesforce.com/0014X00002Yggl2QAB", "0014X00002Yggl2QAB")</f>
        <v>0014X00002Yggl2QAB</v>
      </c>
      <c r="B792" s="2" t="s">
        <v>3540</v>
      </c>
      <c r="C792" s="2" t="s">
        <v>423</v>
      </c>
      <c r="D792" s="2" t="s">
        <v>2</v>
      </c>
      <c r="E792" s="2">
        <v>9.41</v>
      </c>
      <c r="F792" s="2">
        <v>0</v>
      </c>
      <c r="G792" s="2">
        <v>2</v>
      </c>
      <c r="H792" s="2">
        <v>0</v>
      </c>
      <c r="I792" s="2">
        <v>0</v>
      </c>
      <c r="J792" s="2" t="s">
        <v>1779</v>
      </c>
      <c r="K792" s="2">
        <v>16</v>
      </c>
      <c r="L792" s="2">
        <v>10</v>
      </c>
      <c r="M792" s="2">
        <v>0</v>
      </c>
      <c r="N792" s="2">
        <v>6</v>
      </c>
      <c r="O792" s="2">
        <v>0</v>
      </c>
      <c r="P792" s="2">
        <v>0</v>
      </c>
      <c r="Q792" s="2" t="s">
        <v>3541</v>
      </c>
      <c r="R792" s="2" t="s">
        <v>3541</v>
      </c>
      <c r="S792" s="4">
        <v>44959</v>
      </c>
    </row>
    <row r="793" spans="1:19" ht="12.5" hidden="1" x14ac:dyDescent="0.25">
      <c r="A793" s="14" t="str">
        <f>HYPERLINK("https://gerandofalcoes.my.salesforce.com/0014X00002YgbkQQAR", "0014X00002YgbkQQAR")</f>
        <v>0014X00002YgbkQQAR</v>
      </c>
      <c r="B793" s="2" t="s">
        <v>3542</v>
      </c>
      <c r="C793" s="2" t="s">
        <v>423</v>
      </c>
      <c r="D793" s="2" t="s">
        <v>2</v>
      </c>
      <c r="E793" s="2">
        <v>6.62</v>
      </c>
      <c r="F793" s="2">
        <v>0</v>
      </c>
      <c r="G793" s="2">
        <v>0</v>
      </c>
      <c r="H793" s="2">
        <v>0</v>
      </c>
      <c r="I793" s="2">
        <v>0</v>
      </c>
      <c r="J793" s="2" t="s">
        <v>1779</v>
      </c>
      <c r="K793" s="2">
        <v>10</v>
      </c>
      <c r="L793" s="2">
        <v>10</v>
      </c>
      <c r="M793" s="2">
        <v>0</v>
      </c>
      <c r="N793" s="2">
        <v>0</v>
      </c>
      <c r="O793" s="2">
        <v>0</v>
      </c>
      <c r="P793" s="2">
        <v>0</v>
      </c>
      <c r="Q793" s="2" t="s">
        <v>3543</v>
      </c>
      <c r="R793" s="2" t="s">
        <v>3544</v>
      </c>
      <c r="S793" s="4">
        <v>44959</v>
      </c>
    </row>
    <row r="794" spans="1:19" ht="12.5" hidden="1" x14ac:dyDescent="0.25">
      <c r="A794" s="14" t="str">
        <f>HYPERLINK("https://gerandofalcoes.my.salesforce.com/0014X00002YgghYQAR", "0014X00002YgghYQAR")</f>
        <v>0014X00002YgghYQAR</v>
      </c>
      <c r="B794" s="2" t="s">
        <v>3545</v>
      </c>
      <c r="C794" s="2" t="s">
        <v>423</v>
      </c>
      <c r="D794" s="2" t="s">
        <v>2</v>
      </c>
      <c r="E794" s="2">
        <v>5.56</v>
      </c>
      <c r="F794" s="2">
        <v>10</v>
      </c>
      <c r="G794" s="2">
        <v>3</v>
      </c>
      <c r="H794" s="2">
        <v>5000</v>
      </c>
      <c r="I794" s="2">
        <v>0</v>
      </c>
      <c r="J794" s="2" t="s">
        <v>1779</v>
      </c>
      <c r="K794" s="2">
        <v>33</v>
      </c>
      <c r="L794" s="2">
        <v>10</v>
      </c>
      <c r="M794" s="2">
        <v>10</v>
      </c>
      <c r="N794" s="2">
        <v>8</v>
      </c>
      <c r="O794" s="2">
        <v>5</v>
      </c>
      <c r="P794" s="2">
        <v>0</v>
      </c>
      <c r="Q794" s="2" t="s">
        <v>3546</v>
      </c>
      <c r="R794" s="2" t="s">
        <v>3546</v>
      </c>
      <c r="S794" s="4">
        <v>44959</v>
      </c>
    </row>
    <row r="795" spans="1:19" ht="12.5" hidden="1" x14ac:dyDescent="0.25">
      <c r="A795" s="14" t="str">
        <f>HYPERLINK("https://gerandofalcoes.my.salesforce.com/0014X00002YgglLQAR", "0014X00002YgglLQAR")</f>
        <v>0014X00002YgglLQAR</v>
      </c>
      <c r="B795" s="2" t="s">
        <v>3547</v>
      </c>
      <c r="C795" s="2" t="s">
        <v>423</v>
      </c>
      <c r="D795" s="2" t="s">
        <v>2</v>
      </c>
      <c r="E795" s="2">
        <v>1.67</v>
      </c>
      <c r="F795" s="2">
        <v>7</v>
      </c>
      <c r="G795" s="2">
        <v>2</v>
      </c>
      <c r="H795" s="2">
        <v>1800</v>
      </c>
      <c r="I795" s="2">
        <v>48</v>
      </c>
      <c r="J795" s="2" t="s">
        <v>1779</v>
      </c>
      <c r="K795" s="2">
        <v>36</v>
      </c>
      <c r="L795" s="2">
        <v>10</v>
      </c>
      <c r="M795" s="2">
        <v>10</v>
      </c>
      <c r="N795" s="2">
        <v>6</v>
      </c>
      <c r="O795" s="2">
        <v>5</v>
      </c>
      <c r="P795" s="2">
        <v>5</v>
      </c>
      <c r="Q795" s="2" t="s">
        <v>3548</v>
      </c>
      <c r="R795" s="2" t="s">
        <v>3548</v>
      </c>
      <c r="S795" s="4">
        <v>44959</v>
      </c>
    </row>
    <row r="796" spans="1:19" ht="12.5" hidden="1" x14ac:dyDescent="0.25">
      <c r="A796" s="14" t="str">
        <f>HYPERLINK("https://gerandofalcoes.my.salesforce.com/0014X00002YgghwQAB", "0014X00002YgghwQAB")</f>
        <v>0014X00002YgghwQAB</v>
      </c>
      <c r="B796" s="2" t="s">
        <v>3549</v>
      </c>
      <c r="C796" s="2" t="s">
        <v>423</v>
      </c>
      <c r="D796" s="2" t="s">
        <v>2</v>
      </c>
      <c r="E796" s="2"/>
      <c r="F796" s="2">
        <v>0</v>
      </c>
      <c r="G796" s="2">
        <v>3</v>
      </c>
      <c r="H796" s="2">
        <v>2403625</v>
      </c>
      <c r="I796" s="2">
        <v>250</v>
      </c>
      <c r="J796" s="2" t="s">
        <v>1671</v>
      </c>
      <c r="K796" s="2">
        <v>45</v>
      </c>
      <c r="L796" s="2">
        <v>0</v>
      </c>
      <c r="M796" s="2">
        <v>0</v>
      </c>
      <c r="N796" s="2">
        <v>8</v>
      </c>
      <c r="O796" s="2">
        <v>25</v>
      </c>
      <c r="P796" s="2">
        <v>12</v>
      </c>
      <c r="Q796" s="2" t="s">
        <v>3550</v>
      </c>
      <c r="R796" s="2" t="s">
        <v>3551</v>
      </c>
      <c r="S796" s="4">
        <v>44959</v>
      </c>
    </row>
    <row r="797" spans="1:19" ht="12.5" hidden="1" x14ac:dyDescent="0.25">
      <c r="A797" s="14" t="str">
        <f>HYPERLINK("https://gerandofalcoes.my.salesforce.com/0014X00002YggiOQAR", "0014X00002YggiOQAR")</f>
        <v>0014X00002YggiOQAR</v>
      </c>
      <c r="B797" s="2" t="s">
        <v>3552</v>
      </c>
      <c r="C797" s="2" t="s">
        <v>423</v>
      </c>
      <c r="D797" s="2" t="s">
        <v>2</v>
      </c>
      <c r="E797" s="2"/>
      <c r="F797" s="2">
        <v>0</v>
      </c>
      <c r="G797" s="2">
        <v>2</v>
      </c>
      <c r="H797" s="2">
        <v>500</v>
      </c>
      <c r="I797" s="2">
        <v>140</v>
      </c>
      <c r="J797" s="2" t="s">
        <v>1779</v>
      </c>
      <c r="K797" s="2">
        <v>21</v>
      </c>
      <c r="L797" s="2">
        <v>0</v>
      </c>
      <c r="M797" s="2">
        <v>0</v>
      </c>
      <c r="N797" s="2">
        <v>6</v>
      </c>
      <c r="O797" s="2">
        <v>5</v>
      </c>
      <c r="P797" s="2">
        <v>10</v>
      </c>
      <c r="Q797" s="2" t="s">
        <v>3553</v>
      </c>
      <c r="R797" s="2" t="s">
        <v>3554</v>
      </c>
      <c r="S797" s="4">
        <v>44959</v>
      </c>
    </row>
    <row r="798" spans="1:19" ht="12.5" hidden="1" x14ac:dyDescent="0.25">
      <c r="A798" s="14" t="str">
        <f>HYPERLINK("https://gerandofalcoes.my.salesforce.com/0014X00002YggpuQAB", "0014X00002YggpuQAB")</f>
        <v>0014X00002YggpuQAB</v>
      </c>
      <c r="B798" s="2" t="s">
        <v>3555</v>
      </c>
      <c r="C798" s="2" t="s">
        <v>423</v>
      </c>
      <c r="D798" s="2" t="s">
        <v>2</v>
      </c>
      <c r="E798" s="2"/>
      <c r="F798" s="2">
        <v>0</v>
      </c>
      <c r="G798" s="2">
        <v>3</v>
      </c>
      <c r="H798" s="2">
        <v>864</v>
      </c>
      <c r="I798" s="2">
        <v>70</v>
      </c>
      <c r="J798" s="2" t="s">
        <v>1779</v>
      </c>
      <c r="K798" s="2">
        <v>18</v>
      </c>
      <c r="L798" s="2">
        <v>0</v>
      </c>
      <c r="M798" s="2">
        <v>0</v>
      </c>
      <c r="N798" s="2">
        <v>8</v>
      </c>
      <c r="O798" s="2">
        <v>5</v>
      </c>
      <c r="P798" s="2">
        <v>5</v>
      </c>
      <c r="Q798" s="2" t="s">
        <v>3556</v>
      </c>
      <c r="R798" s="2" t="s">
        <v>3557</v>
      </c>
      <c r="S798" s="4">
        <v>44959</v>
      </c>
    </row>
    <row r="799" spans="1:19" ht="12.5" hidden="1" x14ac:dyDescent="0.25">
      <c r="A799" s="14" t="str">
        <f>HYPERLINK("https://gerandofalcoes.my.salesforce.com/0014X00002Yggi3QAB", "0014X00002Yggi3QAB")</f>
        <v>0014X00002Yggi3QAB</v>
      </c>
      <c r="B799" s="2" t="s">
        <v>3558</v>
      </c>
      <c r="C799" s="2" t="s">
        <v>423</v>
      </c>
      <c r="D799" s="2" t="s">
        <v>2</v>
      </c>
      <c r="E799" s="2"/>
      <c r="F799" s="2">
        <v>0</v>
      </c>
      <c r="G799" s="2">
        <v>2</v>
      </c>
      <c r="H799" s="2">
        <v>3000</v>
      </c>
      <c r="I799" s="2">
        <v>0</v>
      </c>
      <c r="J799" s="2" t="s">
        <v>1779</v>
      </c>
      <c r="K799" s="2">
        <v>11</v>
      </c>
      <c r="L799" s="2">
        <v>0</v>
      </c>
      <c r="M799" s="2">
        <v>0</v>
      </c>
      <c r="N799" s="2">
        <v>6</v>
      </c>
      <c r="O799" s="2">
        <v>5</v>
      </c>
      <c r="P799" s="2">
        <v>0</v>
      </c>
      <c r="Q799" s="2" t="s">
        <v>3559</v>
      </c>
      <c r="R799" s="2" t="s">
        <v>3559</v>
      </c>
      <c r="S799" s="4">
        <v>44959</v>
      </c>
    </row>
    <row r="800" spans="1:19" ht="12.5" hidden="1" x14ac:dyDescent="0.25">
      <c r="A800" s="14" t="str">
        <f>HYPERLINK("https://gerandofalcoes.my.salesforce.com/0014X00002Yggo6QAB", "0014X00002Yggo6QAB")</f>
        <v>0014X00002Yggo6QAB</v>
      </c>
      <c r="B800" s="2" t="s">
        <v>3560</v>
      </c>
      <c r="C800" s="2" t="s">
        <v>1684</v>
      </c>
      <c r="D800" s="2" t="s">
        <v>2</v>
      </c>
      <c r="E800" s="2">
        <v>26.16</v>
      </c>
      <c r="F800" s="2">
        <v>2</v>
      </c>
      <c r="G800" s="2">
        <v>4</v>
      </c>
      <c r="H800" s="2">
        <v>38000</v>
      </c>
      <c r="I800" s="2">
        <v>30</v>
      </c>
      <c r="J800" s="2" t="s">
        <v>1671</v>
      </c>
      <c r="K800" s="2">
        <v>45</v>
      </c>
      <c r="L800" s="2">
        <v>15</v>
      </c>
      <c r="M800" s="2">
        <v>5</v>
      </c>
      <c r="N800" s="2">
        <v>10</v>
      </c>
      <c r="O800" s="2">
        <v>10</v>
      </c>
      <c r="P800" s="2">
        <v>5</v>
      </c>
      <c r="Q800" s="2" t="s">
        <v>3561</v>
      </c>
      <c r="R800" s="2" t="s">
        <v>3562</v>
      </c>
      <c r="S800" s="4">
        <v>44960</v>
      </c>
    </row>
    <row r="801" spans="1:19" ht="12.5" hidden="1" x14ac:dyDescent="0.25">
      <c r="A801" s="14" t="str">
        <f>HYPERLINK("https://gerandofalcoes.my.salesforce.com/0014X00002YggkUQAR", "0014X00002YggkUQAR")</f>
        <v>0014X00002YggkUQAR</v>
      </c>
      <c r="B801" s="2" t="s">
        <v>3563</v>
      </c>
      <c r="C801" s="2" t="s">
        <v>423</v>
      </c>
      <c r="D801" s="2" t="s">
        <v>2</v>
      </c>
      <c r="E801" s="2">
        <v>4.93</v>
      </c>
      <c r="F801" s="2">
        <v>0</v>
      </c>
      <c r="G801" s="2">
        <v>5</v>
      </c>
      <c r="H801" s="2">
        <v>5000</v>
      </c>
      <c r="I801" s="2">
        <v>10</v>
      </c>
      <c r="J801" s="2" t="s">
        <v>1779</v>
      </c>
      <c r="K801" s="2">
        <v>30</v>
      </c>
      <c r="L801" s="2">
        <v>10</v>
      </c>
      <c r="M801" s="2">
        <v>0</v>
      </c>
      <c r="N801" s="2">
        <v>10</v>
      </c>
      <c r="O801" s="2">
        <v>5</v>
      </c>
      <c r="P801" s="2">
        <v>5</v>
      </c>
      <c r="Q801" s="2" t="s">
        <v>3564</v>
      </c>
      <c r="R801" s="2" t="s">
        <v>3565</v>
      </c>
      <c r="S801" s="4">
        <v>44960</v>
      </c>
    </row>
    <row r="802" spans="1:19" ht="12.5" hidden="1" x14ac:dyDescent="0.25">
      <c r="A802" s="14" t="str">
        <f>HYPERLINK("https://gerandofalcoes.my.salesforce.com/0014X00002YggkGQAR", "0014X00002YggkGQAR")</f>
        <v>0014X00002YggkGQAR</v>
      </c>
      <c r="B802" s="2" t="s">
        <v>3566</v>
      </c>
      <c r="C802" s="2" t="s">
        <v>423</v>
      </c>
      <c r="D802" s="2" t="s">
        <v>2</v>
      </c>
      <c r="E802" s="2">
        <v>0</v>
      </c>
      <c r="F802" s="2">
        <v>5</v>
      </c>
      <c r="G802" s="2">
        <v>3</v>
      </c>
      <c r="H802" s="2">
        <v>6000</v>
      </c>
      <c r="I802" s="2">
        <v>230</v>
      </c>
      <c r="J802" s="2" t="s">
        <v>1779</v>
      </c>
      <c r="K802" s="2">
        <v>30</v>
      </c>
      <c r="L802" s="2">
        <v>0</v>
      </c>
      <c r="M802" s="2">
        <v>5</v>
      </c>
      <c r="N802" s="2">
        <v>8</v>
      </c>
      <c r="O802" s="2">
        <v>5</v>
      </c>
      <c r="P802" s="2">
        <v>12</v>
      </c>
      <c r="Q802" s="2" t="s">
        <v>3567</v>
      </c>
      <c r="R802" s="2" t="s">
        <v>3568</v>
      </c>
      <c r="S802" s="4">
        <v>44960</v>
      </c>
    </row>
    <row r="803" spans="1:19" ht="12.5" hidden="1" x14ac:dyDescent="0.25">
      <c r="A803" s="14" t="str">
        <f>HYPERLINK("https://gerandofalcoes.my.salesforce.com/0014X00002YgggTQAR", "0014X00002YgggTQAR")</f>
        <v>0014X00002YgggTQAR</v>
      </c>
      <c r="B803" s="2" t="s">
        <v>3569</v>
      </c>
      <c r="C803" s="2" t="s">
        <v>423</v>
      </c>
      <c r="D803" s="2" t="s">
        <v>2</v>
      </c>
      <c r="E803" s="2"/>
      <c r="F803" s="2">
        <v>25</v>
      </c>
      <c r="G803" s="2">
        <v>3</v>
      </c>
      <c r="H803" s="2">
        <v>15000</v>
      </c>
      <c r="I803" s="2">
        <v>1317</v>
      </c>
      <c r="J803" s="2" t="s">
        <v>1671</v>
      </c>
      <c r="K803" s="2">
        <v>45</v>
      </c>
      <c r="L803" s="2">
        <v>0</v>
      </c>
      <c r="M803" s="2">
        <v>12</v>
      </c>
      <c r="N803" s="2">
        <v>8</v>
      </c>
      <c r="O803" s="2">
        <v>5</v>
      </c>
      <c r="P803" s="2">
        <v>20</v>
      </c>
      <c r="Q803" s="2" t="s">
        <v>3570</v>
      </c>
      <c r="R803" s="2" t="s">
        <v>3570</v>
      </c>
      <c r="S803" s="4">
        <v>44960</v>
      </c>
    </row>
    <row r="804" spans="1:19" ht="12.5" hidden="1" x14ac:dyDescent="0.25">
      <c r="A804" s="14" t="str">
        <f>HYPERLINK("https://gerandofalcoes.my.salesforce.com/0014X00002YggqFQAR", "0014X00002YggqFQAR")</f>
        <v>0014X00002YggqFQAR</v>
      </c>
      <c r="B804" s="2" t="s">
        <v>3571</v>
      </c>
      <c r="C804" s="2" t="s">
        <v>423</v>
      </c>
      <c r="D804" s="2" t="s">
        <v>2</v>
      </c>
      <c r="E804" s="2"/>
      <c r="F804" s="2">
        <v>20</v>
      </c>
      <c r="G804" s="2">
        <v>5</v>
      </c>
      <c r="H804" s="2">
        <v>128992691</v>
      </c>
      <c r="I804" s="2">
        <v>314</v>
      </c>
      <c r="J804" s="2" t="s">
        <v>1671</v>
      </c>
      <c r="K804" s="2">
        <v>62</v>
      </c>
      <c r="L804" s="2">
        <v>0</v>
      </c>
      <c r="M804" s="2">
        <v>12</v>
      </c>
      <c r="N804" s="2">
        <v>10</v>
      </c>
      <c r="O804" s="2">
        <v>25</v>
      </c>
      <c r="P804" s="2">
        <v>15</v>
      </c>
      <c r="Q804" s="2" t="s">
        <v>3572</v>
      </c>
      <c r="R804" s="2" t="s">
        <v>3573</v>
      </c>
      <c r="S804" s="4">
        <v>44960</v>
      </c>
    </row>
    <row r="805" spans="1:19" ht="12.5" hidden="1" x14ac:dyDescent="0.25">
      <c r="A805" s="14" t="str">
        <f>HYPERLINK("https://gerandofalcoes.my.salesforce.com/0014X00002YggqWQAR", "0014X00002YggqWQAR")</f>
        <v>0014X00002YggqWQAR</v>
      </c>
      <c r="B805" s="2" t="s">
        <v>3574</v>
      </c>
      <c r="C805" s="2" t="s">
        <v>423</v>
      </c>
      <c r="D805" s="2" t="s">
        <v>2</v>
      </c>
      <c r="E805" s="2"/>
      <c r="F805" s="2">
        <v>18</v>
      </c>
      <c r="G805" s="2">
        <v>12</v>
      </c>
      <c r="H805" s="2">
        <v>10000</v>
      </c>
      <c r="I805" s="2">
        <v>200</v>
      </c>
      <c r="J805" s="2" t="s">
        <v>1779</v>
      </c>
      <c r="K805" s="2">
        <v>39</v>
      </c>
      <c r="L805" s="2">
        <v>0</v>
      </c>
      <c r="M805" s="2">
        <v>12</v>
      </c>
      <c r="N805" s="2">
        <v>10</v>
      </c>
      <c r="O805" s="2">
        <v>5</v>
      </c>
      <c r="P805" s="2">
        <v>12</v>
      </c>
      <c r="Q805" s="2" t="s">
        <v>3575</v>
      </c>
      <c r="R805" s="2" t="s">
        <v>3576</v>
      </c>
      <c r="S805" s="4">
        <v>44960</v>
      </c>
    </row>
    <row r="806" spans="1:19" ht="12.5" hidden="1" x14ac:dyDescent="0.25">
      <c r="A806" s="14" t="str">
        <f>HYPERLINK("https://gerandofalcoes.my.salesforce.com/0014X00002YggqEQAR", "0014X00002YggqEQAR")</f>
        <v>0014X00002YggqEQAR</v>
      </c>
      <c r="B806" s="2" t="s">
        <v>3577</v>
      </c>
      <c r="C806" s="2" t="s">
        <v>423</v>
      </c>
      <c r="D806" s="2" t="s">
        <v>2</v>
      </c>
      <c r="E806" s="2">
        <v>18.04</v>
      </c>
      <c r="F806" s="2">
        <v>16</v>
      </c>
      <c r="G806" s="2">
        <v>2</v>
      </c>
      <c r="H806" s="2">
        <v>450000</v>
      </c>
      <c r="I806" s="2">
        <v>300</v>
      </c>
      <c r="J806" s="2" t="s">
        <v>1671</v>
      </c>
      <c r="K806" s="2">
        <v>63</v>
      </c>
      <c r="L806" s="2">
        <v>10</v>
      </c>
      <c r="M806" s="2">
        <v>12</v>
      </c>
      <c r="N806" s="2">
        <v>6</v>
      </c>
      <c r="O806" s="2">
        <v>20</v>
      </c>
      <c r="P806" s="2">
        <v>15</v>
      </c>
      <c r="Q806" s="2" t="s">
        <v>3578</v>
      </c>
      <c r="R806" s="2" t="s">
        <v>3579</v>
      </c>
      <c r="S806" s="4">
        <v>44961</v>
      </c>
    </row>
    <row r="807" spans="1:19" ht="12.5" hidden="1" x14ac:dyDescent="0.25">
      <c r="A807" s="14" t="str">
        <f>HYPERLINK("https://gerandofalcoes.my.salesforce.com/0014X00002YgghaQAB", "0014X00002YgghaQAB")</f>
        <v>0014X00002YgghaQAB</v>
      </c>
      <c r="B807" s="2" t="s">
        <v>3580</v>
      </c>
      <c r="C807" s="2" t="s">
        <v>423</v>
      </c>
      <c r="D807" s="2" t="s">
        <v>2</v>
      </c>
      <c r="E807" s="2"/>
      <c r="F807" s="2">
        <v>0</v>
      </c>
      <c r="G807" s="2">
        <v>3</v>
      </c>
      <c r="H807" s="2">
        <v>11000</v>
      </c>
      <c r="I807" s="2">
        <v>100</v>
      </c>
      <c r="J807" s="2" t="s">
        <v>1779</v>
      </c>
      <c r="K807" s="2">
        <v>23</v>
      </c>
      <c r="L807" s="2">
        <v>0</v>
      </c>
      <c r="M807" s="2">
        <v>0</v>
      </c>
      <c r="N807" s="2">
        <v>8</v>
      </c>
      <c r="O807" s="2">
        <v>5</v>
      </c>
      <c r="P807" s="2">
        <v>10</v>
      </c>
      <c r="Q807" s="2" t="s">
        <v>3581</v>
      </c>
      <c r="R807" s="2" t="s">
        <v>3582</v>
      </c>
      <c r="S807" s="4">
        <v>44961</v>
      </c>
    </row>
    <row r="808" spans="1:19" ht="12.5" hidden="1" x14ac:dyDescent="0.25">
      <c r="A808" s="14" t="str">
        <f>HYPERLINK("https://gerandofalcoes.my.salesforce.com/0014X00002YggjuQAB", "0014X00002YggjuQAB")</f>
        <v>0014X00002YggjuQAB</v>
      </c>
      <c r="B808" s="2" t="s">
        <v>3583</v>
      </c>
      <c r="C808" s="2" t="s">
        <v>423</v>
      </c>
      <c r="D808" s="2" t="s">
        <v>2</v>
      </c>
      <c r="E808" s="2"/>
      <c r="F808" s="2">
        <v>0</v>
      </c>
      <c r="G808" s="2">
        <v>7</v>
      </c>
      <c r="H808" s="2">
        <v>3000</v>
      </c>
      <c r="I808" s="2">
        <v>30</v>
      </c>
      <c r="J808" s="2" t="s">
        <v>1779</v>
      </c>
      <c r="K808" s="2">
        <v>20</v>
      </c>
      <c r="L808" s="2">
        <v>0</v>
      </c>
      <c r="M808" s="2">
        <v>0</v>
      </c>
      <c r="N808" s="2">
        <v>10</v>
      </c>
      <c r="O808" s="2">
        <v>5</v>
      </c>
      <c r="P808" s="2">
        <v>5</v>
      </c>
      <c r="Q808" s="2" t="s">
        <v>3584</v>
      </c>
      <c r="R808" s="2" t="s">
        <v>3585</v>
      </c>
      <c r="S808" s="4">
        <v>44961</v>
      </c>
    </row>
    <row r="809" spans="1:19" ht="12.5" hidden="1" x14ac:dyDescent="0.25">
      <c r="A809" s="14" t="str">
        <f>HYPERLINK("https://gerandofalcoes.my.salesforce.com/0014X00002YggmbQAB", "0014X00002YggmbQAB")</f>
        <v>0014X00002YggmbQAB</v>
      </c>
      <c r="B809" s="2" t="s">
        <v>3586</v>
      </c>
      <c r="C809" s="2" t="s">
        <v>423</v>
      </c>
      <c r="D809" s="2" t="s">
        <v>2</v>
      </c>
      <c r="E809" s="2"/>
      <c r="F809" s="2">
        <v>1</v>
      </c>
      <c r="G809" s="2">
        <v>4</v>
      </c>
      <c r="H809" s="2">
        <v>24000</v>
      </c>
      <c r="I809" s="2">
        <v>15</v>
      </c>
      <c r="J809" s="2" t="s">
        <v>1779</v>
      </c>
      <c r="K809" s="2">
        <v>25</v>
      </c>
      <c r="L809" s="2">
        <v>0</v>
      </c>
      <c r="M809" s="2">
        <v>5</v>
      </c>
      <c r="N809" s="2">
        <v>10</v>
      </c>
      <c r="O809" s="2">
        <v>5</v>
      </c>
      <c r="P809" s="2">
        <v>5</v>
      </c>
      <c r="Q809" s="2" t="s">
        <v>3587</v>
      </c>
      <c r="R809" s="2" t="s">
        <v>3587</v>
      </c>
      <c r="S809" s="4">
        <v>44961</v>
      </c>
    </row>
    <row r="810" spans="1:19" ht="12.5" hidden="1" x14ac:dyDescent="0.25">
      <c r="A810" s="14" t="str">
        <f>HYPERLINK("https://gerandofalcoes.my.salesforce.com/0014X00002UFYFtQAP", "0014X00002UFYFtQAP")</f>
        <v>0014X00002UFYFtQAP</v>
      </c>
      <c r="B810" s="2" t="s">
        <v>3588</v>
      </c>
      <c r="C810" s="2" t="s">
        <v>1684</v>
      </c>
      <c r="D810" s="2" t="s">
        <v>2</v>
      </c>
      <c r="E810" s="2">
        <v>90</v>
      </c>
      <c r="F810" s="2">
        <v>15</v>
      </c>
      <c r="G810" s="2">
        <v>4</v>
      </c>
      <c r="H810" s="2">
        <v>600000</v>
      </c>
      <c r="I810" s="2">
        <v>5000</v>
      </c>
      <c r="J810" s="2"/>
      <c r="K810" s="2">
        <v>92</v>
      </c>
      <c r="L810" s="2">
        <v>30</v>
      </c>
      <c r="M810" s="2">
        <v>12</v>
      </c>
      <c r="N810" s="2">
        <v>10</v>
      </c>
      <c r="O810" s="2">
        <v>20</v>
      </c>
      <c r="P810" s="2">
        <v>20</v>
      </c>
      <c r="Q810" s="2" t="s">
        <v>3589</v>
      </c>
      <c r="R810" s="2" t="s">
        <v>3590</v>
      </c>
      <c r="S810" s="4">
        <v>44962</v>
      </c>
    </row>
    <row r="811" spans="1:19" ht="12.5" hidden="1" x14ac:dyDescent="0.25">
      <c r="A811" s="14" t="str">
        <f>HYPERLINK("https://gerandofalcoes.my.salesforce.com/0014X00002YggpAQAR", "0014X00002YggpAQAR")</f>
        <v>0014X00002YggpAQAR</v>
      </c>
      <c r="B811" s="2" t="s">
        <v>3591</v>
      </c>
      <c r="C811" s="2" t="s">
        <v>423</v>
      </c>
      <c r="D811" s="2" t="s">
        <v>2</v>
      </c>
      <c r="E811" s="2">
        <v>17.55</v>
      </c>
      <c r="F811" s="2">
        <v>17</v>
      </c>
      <c r="G811" s="2">
        <v>5</v>
      </c>
      <c r="H811" s="2">
        <v>586443</v>
      </c>
      <c r="I811" s="2">
        <v>0</v>
      </c>
      <c r="J811" s="2" t="s">
        <v>1671</v>
      </c>
      <c r="K811" s="2">
        <v>52</v>
      </c>
      <c r="L811" s="2">
        <v>10</v>
      </c>
      <c r="M811" s="2">
        <v>12</v>
      </c>
      <c r="N811" s="2">
        <v>10</v>
      </c>
      <c r="O811" s="2">
        <v>20</v>
      </c>
      <c r="P811" s="2">
        <v>0</v>
      </c>
      <c r="Q811" s="2" t="s">
        <v>3592</v>
      </c>
      <c r="R811" s="2" t="s">
        <v>3593</v>
      </c>
      <c r="S811" s="4">
        <v>44962</v>
      </c>
    </row>
    <row r="812" spans="1:19" ht="12.5" hidden="1" x14ac:dyDescent="0.25">
      <c r="A812" s="14" t="str">
        <f>HYPERLINK("https://gerandofalcoes.my.salesforce.com/0014X00002Yggq4QAB", "0014X00002Yggq4QAB")</f>
        <v>0014X00002Yggq4QAB</v>
      </c>
      <c r="B812" s="2" t="s">
        <v>3594</v>
      </c>
      <c r="C812" s="2" t="s">
        <v>423</v>
      </c>
      <c r="D812" s="2" t="s">
        <v>2</v>
      </c>
      <c r="E812" s="2">
        <v>14.31</v>
      </c>
      <c r="F812" s="2">
        <v>4</v>
      </c>
      <c r="G812" s="2">
        <v>5</v>
      </c>
      <c r="H812" s="2">
        <v>57800</v>
      </c>
      <c r="I812" s="2">
        <v>60</v>
      </c>
      <c r="J812" s="2" t="s">
        <v>1671</v>
      </c>
      <c r="K812" s="2">
        <v>40</v>
      </c>
      <c r="L812" s="2">
        <v>10</v>
      </c>
      <c r="M812" s="2">
        <v>5</v>
      </c>
      <c r="N812" s="2">
        <v>10</v>
      </c>
      <c r="O812" s="2">
        <v>10</v>
      </c>
      <c r="P812" s="2">
        <v>5</v>
      </c>
      <c r="Q812" s="2" t="s">
        <v>3595</v>
      </c>
      <c r="R812" s="2" t="s">
        <v>3596</v>
      </c>
      <c r="S812" s="4">
        <v>44962</v>
      </c>
    </row>
    <row r="813" spans="1:19" ht="12.5" hidden="1" x14ac:dyDescent="0.25">
      <c r="A813" s="14" t="str">
        <f>HYPERLINK("https://gerandofalcoes.my.salesforce.com/0014X00002YggpXQAR", "0014X00002YggpXQAR")</f>
        <v>0014X00002YggpXQAR</v>
      </c>
      <c r="B813" s="2" t="s">
        <v>3597</v>
      </c>
      <c r="C813" s="2" t="s">
        <v>423</v>
      </c>
      <c r="D813" s="2" t="s">
        <v>2</v>
      </c>
      <c r="E813" s="2"/>
      <c r="F813" s="2">
        <v>0</v>
      </c>
      <c r="G813" s="2">
        <v>3</v>
      </c>
      <c r="H813" s="2">
        <v>48</v>
      </c>
      <c r="I813" s="2">
        <v>270</v>
      </c>
      <c r="J813" s="2" t="s">
        <v>1779</v>
      </c>
      <c r="K813" s="2">
        <v>25</v>
      </c>
      <c r="L813" s="2">
        <v>0</v>
      </c>
      <c r="M813" s="2">
        <v>0</v>
      </c>
      <c r="N813" s="2">
        <v>8</v>
      </c>
      <c r="O813" s="2">
        <v>5</v>
      </c>
      <c r="P813" s="2">
        <v>12</v>
      </c>
      <c r="Q813" s="2" t="s">
        <v>3598</v>
      </c>
      <c r="R813" s="2" t="s">
        <v>3599</v>
      </c>
      <c r="S813" s="4">
        <v>44962</v>
      </c>
    </row>
    <row r="814" spans="1:19" ht="12.5" hidden="1" x14ac:dyDescent="0.25">
      <c r="A814" s="14" t="str">
        <f>HYPERLINK("https://gerandofalcoes.my.salesforce.com/0014X00002YgggNQAR", "0014X00002YgggNQAR")</f>
        <v>0014X00002YgggNQAR</v>
      </c>
      <c r="B814" s="2" t="s">
        <v>3600</v>
      </c>
      <c r="C814" s="2" t="s">
        <v>423</v>
      </c>
      <c r="D814" s="2" t="s">
        <v>2</v>
      </c>
      <c r="E814" s="2"/>
      <c r="F814" s="2">
        <v>0</v>
      </c>
      <c r="G814" s="2">
        <v>2</v>
      </c>
      <c r="H814" s="2">
        <v>2000</v>
      </c>
      <c r="I814" s="2">
        <v>150</v>
      </c>
      <c r="J814" s="2" t="s">
        <v>1779</v>
      </c>
      <c r="K814" s="2">
        <v>23</v>
      </c>
      <c r="L814" s="2">
        <v>0</v>
      </c>
      <c r="M814" s="2">
        <v>0</v>
      </c>
      <c r="N814" s="2">
        <v>6</v>
      </c>
      <c r="O814" s="2">
        <v>5</v>
      </c>
      <c r="P814" s="2">
        <v>12</v>
      </c>
      <c r="Q814" s="2" t="s">
        <v>3601</v>
      </c>
      <c r="R814" s="2" t="s">
        <v>3602</v>
      </c>
      <c r="S814" s="4">
        <v>44962</v>
      </c>
    </row>
    <row r="815" spans="1:19" ht="12.5" hidden="1" x14ac:dyDescent="0.25">
      <c r="A815" s="14" t="str">
        <f>HYPERLINK("https://gerandofalcoes.my.salesforce.com/0014X00002YggnZQAR", "0014X00002YggnZQAR")</f>
        <v>0014X00002YggnZQAR</v>
      </c>
      <c r="B815" s="2" t="s">
        <v>3603</v>
      </c>
      <c r="C815" s="2" t="s">
        <v>423</v>
      </c>
      <c r="D815" s="2" t="s">
        <v>2</v>
      </c>
      <c r="E815" s="2"/>
      <c r="F815" s="2">
        <v>15</v>
      </c>
      <c r="G815" s="2">
        <v>2</v>
      </c>
      <c r="H815" s="2">
        <v>0</v>
      </c>
      <c r="I815" s="2">
        <v>60</v>
      </c>
      <c r="J815" s="2" t="s">
        <v>1779</v>
      </c>
      <c r="K815" s="2">
        <v>23</v>
      </c>
      <c r="L815" s="2">
        <v>0</v>
      </c>
      <c r="M815" s="2">
        <v>12</v>
      </c>
      <c r="N815" s="2">
        <v>6</v>
      </c>
      <c r="O815" s="2">
        <v>0</v>
      </c>
      <c r="P815" s="2">
        <v>5</v>
      </c>
      <c r="Q815" s="2" t="s">
        <v>3604</v>
      </c>
      <c r="R815" s="2" t="s">
        <v>3604</v>
      </c>
      <c r="S815" s="4">
        <v>44962</v>
      </c>
    </row>
    <row r="816" spans="1:19" ht="12.5" hidden="1" x14ac:dyDescent="0.25">
      <c r="A816" s="14" t="str">
        <f>HYPERLINK("https://gerandofalcoes.my.salesforce.com/0014X00002bFKFnQAO", "0014X00002bFKFnQAO")</f>
        <v>0014X00002bFKFnQAO</v>
      </c>
      <c r="B816" s="2" t="s">
        <v>3605</v>
      </c>
      <c r="C816" s="2" t="s">
        <v>1684</v>
      </c>
      <c r="D816" s="2" t="s">
        <v>2</v>
      </c>
      <c r="E816" s="2"/>
      <c r="F816" s="2">
        <v>0</v>
      </c>
      <c r="G816" s="2">
        <v>0</v>
      </c>
      <c r="H816" s="2">
        <v>0</v>
      </c>
      <c r="I816" s="2">
        <v>0</v>
      </c>
      <c r="J816" s="2"/>
      <c r="K816" s="2">
        <v>0</v>
      </c>
      <c r="L816" s="2">
        <v>0</v>
      </c>
      <c r="M816" s="2">
        <v>0</v>
      </c>
      <c r="N816" s="2">
        <v>0</v>
      </c>
      <c r="O816" s="2">
        <v>0</v>
      </c>
      <c r="P816" s="2">
        <v>0</v>
      </c>
      <c r="Q816" s="2" t="s">
        <v>3606</v>
      </c>
      <c r="R816" s="2"/>
      <c r="S816" s="4">
        <v>44962</v>
      </c>
    </row>
    <row r="817" spans="1:19" ht="12.5" hidden="1" x14ac:dyDescent="0.25">
      <c r="A817" s="14" t="str">
        <f>HYPERLINK("https://gerandofalcoes.my.salesforce.com/0014X00002YggjRQAR", "0014X00002YggjRQAR")</f>
        <v>0014X00002YggjRQAR</v>
      </c>
      <c r="B817" s="2" t="s">
        <v>3607</v>
      </c>
      <c r="C817" s="2" t="s">
        <v>423</v>
      </c>
      <c r="D817" s="2" t="s">
        <v>2</v>
      </c>
      <c r="E817" s="2">
        <v>38.9</v>
      </c>
      <c r="F817" s="2">
        <v>0</v>
      </c>
      <c r="G817" s="2">
        <v>4</v>
      </c>
      <c r="H817" s="2">
        <v>6000</v>
      </c>
      <c r="I817" s="2">
        <v>20</v>
      </c>
      <c r="J817" s="2" t="s">
        <v>1779</v>
      </c>
      <c r="K817" s="2">
        <v>35</v>
      </c>
      <c r="L817" s="2">
        <v>15</v>
      </c>
      <c r="M817" s="2">
        <v>0</v>
      </c>
      <c r="N817" s="2">
        <v>10</v>
      </c>
      <c r="O817" s="2">
        <v>5</v>
      </c>
      <c r="P817" s="2">
        <v>5</v>
      </c>
      <c r="Q817" s="2" t="s">
        <v>3608</v>
      </c>
      <c r="R817" s="2" t="s">
        <v>3609</v>
      </c>
      <c r="S817" s="4">
        <v>44963</v>
      </c>
    </row>
    <row r="818" spans="1:19" ht="12.5" hidden="1" x14ac:dyDescent="0.25">
      <c r="A818" s="14" t="str">
        <f>HYPERLINK("https://gerandofalcoes.my.salesforce.com/0014X00002YggjsQAB", "0014X00002YggjsQAB")</f>
        <v>0014X00002YggjsQAB</v>
      </c>
      <c r="B818" s="2" t="s">
        <v>3610</v>
      </c>
      <c r="C818" s="2" t="s">
        <v>423</v>
      </c>
      <c r="D818" s="2" t="s">
        <v>2</v>
      </c>
      <c r="E818" s="2">
        <v>17.89</v>
      </c>
      <c r="F818" s="2">
        <v>10</v>
      </c>
      <c r="G818" s="2">
        <v>2</v>
      </c>
      <c r="H818" s="2">
        <v>40000</v>
      </c>
      <c r="I818" s="2">
        <v>65</v>
      </c>
      <c r="J818" s="2" t="s">
        <v>1671</v>
      </c>
      <c r="K818" s="2">
        <v>41</v>
      </c>
      <c r="L818" s="2">
        <v>10</v>
      </c>
      <c r="M818" s="2">
        <v>10</v>
      </c>
      <c r="N818" s="2">
        <v>6</v>
      </c>
      <c r="O818" s="2">
        <v>10</v>
      </c>
      <c r="P818" s="2">
        <v>5</v>
      </c>
      <c r="Q818" s="2" t="s">
        <v>3611</v>
      </c>
      <c r="R818" s="2" t="s">
        <v>3611</v>
      </c>
      <c r="S818" s="4">
        <v>44963</v>
      </c>
    </row>
    <row r="819" spans="1:19" ht="12.5" hidden="1" x14ac:dyDescent="0.25">
      <c r="A819" s="14" t="str">
        <f>HYPERLINK("https://gerandofalcoes.my.salesforce.com/0014X00002YggnHQAR", "0014X00002YggnHQAR")</f>
        <v>0014X00002YggnHQAR</v>
      </c>
      <c r="B819" s="2" t="s">
        <v>3612</v>
      </c>
      <c r="C819" s="2" t="s">
        <v>423</v>
      </c>
      <c r="D819" s="2" t="s">
        <v>2</v>
      </c>
      <c r="E819" s="2">
        <v>14.33</v>
      </c>
      <c r="F819" s="2">
        <v>0</v>
      </c>
      <c r="G819" s="2">
        <v>2</v>
      </c>
      <c r="H819" s="2">
        <v>10</v>
      </c>
      <c r="I819" s="2">
        <v>0</v>
      </c>
      <c r="J819" s="2" t="s">
        <v>1779</v>
      </c>
      <c r="K819" s="2">
        <v>21</v>
      </c>
      <c r="L819" s="2">
        <v>10</v>
      </c>
      <c r="M819" s="2">
        <v>0</v>
      </c>
      <c r="N819" s="2">
        <v>6</v>
      </c>
      <c r="O819" s="2">
        <v>5</v>
      </c>
      <c r="P819" s="2">
        <v>0</v>
      </c>
      <c r="Q819" s="2" t="s">
        <v>3613</v>
      </c>
      <c r="R819" s="2" t="s">
        <v>3613</v>
      </c>
      <c r="S819" s="4">
        <v>44963</v>
      </c>
    </row>
    <row r="820" spans="1:19" ht="12.5" hidden="1" x14ac:dyDescent="0.25">
      <c r="A820" s="14" t="str">
        <f>HYPERLINK("https://gerandofalcoes.my.salesforce.com/0014X00002YggopQAB", "0014X00002YggopQAB")</f>
        <v>0014X00002YggopQAB</v>
      </c>
      <c r="B820" s="2" t="s">
        <v>3614</v>
      </c>
      <c r="C820" s="2" t="s">
        <v>423</v>
      </c>
      <c r="D820" s="2" t="s">
        <v>2</v>
      </c>
      <c r="E820" s="2">
        <v>14.19</v>
      </c>
      <c r="F820" s="2">
        <v>10</v>
      </c>
      <c r="G820" s="2">
        <v>2</v>
      </c>
      <c r="H820" s="2">
        <v>900</v>
      </c>
      <c r="I820" s="2">
        <v>20</v>
      </c>
      <c r="J820" s="2" t="s">
        <v>1779</v>
      </c>
      <c r="K820" s="2">
        <v>36</v>
      </c>
      <c r="L820" s="2">
        <v>10</v>
      </c>
      <c r="M820" s="2">
        <v>10</v>
      </c>
      <c r="N820" s="2">
        <v>6</v>
      </c>
      <c r="O820" s="2">
        <v>5</v>
      </c>
      <c r="P820" s="2">
        <v>5</v>
      </c>
      <c r="Q820" s="2" t="s">
        <v>3615</v>
      </c>
      <c r="R820" s="2" t="s">
        <v>3616</v>
      </c>
      <c r="S820" s="4">
        <v>44963</v>
      </c>
    </row>
    <row r="821" spans="1:19" ht="12.5" hidden="1" x14ac:dyDescent="0.25">
      <c r="A821" s="14" t="str">
        <f>HYPERLINK("https://gerandofalcoes.my.salesforce.com/0014X00002YggjqQAB", "0014X00002YggjqQAB")</f>
        <v>0014X00002YggjqQAB</v>
      </c>
      <c r="B821" s="2" t="s">
        <v>3617</v>
      </c>
      <c r="C821" s="2" t="s">
        <v>423</v>
      </c>
      <c r="D821" s="2" t="s">
        <v>2</v>
      </c>
      <c r="E821" s="2">
        <v>11.59</v>
      </c>
      <c r="F821" s="2">
        <v>2</v>
      </c>
      <c r="G821" s="2">
        <v>7</v>
      </c>
      <c r="H821" s="2">
        <v>100000</v>
      </c>
      <c r="I821" s="2">
        <v>120</v>
      </c>
      <c r="J821" s="2" t="s">
        <v>1671</v>
      </c>
      <c r="K821" s="2">
        <v>50</v>
      </c>
      <c r="L821" s="2">
        <v>10</v>
      </c>
      <c r="M821" s="2">
        <v>5</v>
      </c>
      <c r="N821" s="2">
        <v>10</v>
      </c>
      <c r="O821" s="2">
        <v>15</v>
      </c>
      <c r="P821" s="2">
        <v>10</v>
      </c>
      <c r="Q821" s="2" t="s">
        <v>3618</v>
      </c>
      <c r="R821" s="2" t="s">
        <v>3619</v>
      </c>
      <c r="S821" s="4">
        <v>44963</v>
      </c>
    </row>
    <row r="822" spans="1:19" ht="12.5" hidden="1" x14ac:dyDescent="0.25">
      <c r="A822" s="14" t="str">
        <f>HYPERLINK("https://gerandofalcoes.my.salesforce.com/0014X00002YggphQAB", "0014X00002YggphQAB")</f>
        <v>0014X00002YggphQAB</v>
      </c>
      <c r="B822" s="2" t="s">
        <v>3620</v>
      </c>
      <c r="C822" s="2" t="s">
        <v>423</v>
      </c>
      <c r="D822" s="2" t="s">
        <v>2</v>
      </c>
      <c r="E822" s="2">
        <v>5.91</v>
      </c>
      <c r="F822" s="2">
        <v>9</v>
      </c>
      <c r="G822" s="2">
        <v>27</v>
      </c>
      <c r="H822" s="2">
        <v>15000</v>
      </c>
      <c r="I822" s="2">
        <v>20</v>
      </c>
      <c r="J822" s="2" t="s">
        <v>1671</v>
      </c>
      <c r="K822" s="2">
        <v>40</v>
      </c>
      <c r="L822" s="2">
        <v>10</v>
      </c>
      <c r="M822" s="2">
        <v>10</v>
      </c>
      <c r="N822" s="2">
        <v>10</v>
      </c>
      <c r="O822" s="2">
        <v>5</v>
      </c>
      <c r="P822" s="2">
        <v>5</v>
      </c>
      <c r="Q822" s="2" t="s">
        <v>3621</v>
      </c>
      <c r="R822" s="2" t="s">
        <v>3622</v>
      </c>
      <c r="S822" s="4">
        <v>44963</v>
      </c>
    </row>
    <row r="823" spans="1:19" ht="12.5" hidden="1" x14ac:dyDescent="0.25">
      <c r="A823" s="14" t="str">
        <f>HYPERLINK("https://gerandofalcoes.my.salesforce.com/0014X00002YggpqQAB", "0014X00002YggpqQAB")</f>
        <v>0014X00002YggpqQAB</v>
      </c>
      <c r="B823" s="2" t="s">
        <v>3623</v>
      </c>
      <c r="C823" s="2" t="s">
        <v>423</v>
      </c>
      <c r="D823" s="2" t="s">
        <v>2</v>
      </c>
      <c r="E823" s="2">
        <v>1.67</v>
      </c>
      <c r="F823" s="2">
        <v>0</v>
      </c>
      <c r="G823" s="2">
        <v>4</v>
      </c>
      <c r="H823" s="2">
        <v>0</v>
      </c>
      <c r="I823" s="2">
        <v>300</v>
      </c>
      <c r="J823" s="2" t="s">
        <v>1779</v>
      </c>
      <c r="K823" s="2">
        <v>35</v>
      </c>
      <c r="L823" s="2">
        <v>10</v>
      </c>
      <c r="M823" s="2">
        <v>0</v>
      </c>
      <c r="N823" s="2">
        <v>10</v>
      </c>
      <c r="O823" s="2">
        <v>0</v>
      </c>
      <c r="P823" s="2">
        <v>15</v>
      </c>
      <c r="Q823" s="2" t="s">
        <v>3624</v>
      </c>
      <c r="R823" s="2" t="s">
        <v>3625</v>
      </c>
      <c r="S823" s="4">
        <v>44963</v>
      </c>
    </row>
    <row r="824" spans="1:19" ht="12.5" hidden="1" x14ac:dyDescent="0.25">
      <c r="A824" s="14" t="str">
        <f>HYPERLINK("https://gerandofalcoes.my.salesforce.com/0014X00002YggqpQAB", "0014X00002YggqpQAB")</f>
        <v>0014X00002YggqpQAB</v>
      </c>
      <c r="B824" s="2" t="s">
        <v>3626</v>
      </c>
      <c r="C824" s="2" t="s">
        <v>423</v>
      </c>
      <c r="D824" s="2" t="s">
        <v>2</v>
      </c>
      <c r="E824" s="2"/>
      <c r="F824" s="2">
        <v>0</v>
      </c>
      <c r="G824" s="2">
        <v>2</v>
      </c>
      <c r="H824" s="2">
        <v>146129</v>
      </c>
      <c r="I824" s="2">
        <v>250</v>
      </c>
      <c r="J824" s="2" t="s">
        <v>1779</v>
      </c>
      <c r="K824" s="2">
        <v>33</v>
      </c>
      <c r="L824" s="2">
        <v>0</v>
      </c>
      <c r="M824" s="2">
        <v>0</v>
      </c>
      <c r="N824" s="2">
        <v>6</v>
      </c>
      <c r="O824" s="2">
        <v>15</v>
      </c>
      <c r="P824" s="2">
        <v>12</v>
      </c>
      <c r="Q824" s="2" t="s">
        <v>3627</v>
      </c>
      <c r="R824" s="2" t="s">
        <v>2993</v>
      </c>
      <c r="S824" s="4">
        <v>44963</v>
      </c>
    </row>
    <row r="825" spans="1:19" ht="12.5" hidden="1" x14ac:dyDescent="0.25">
      <c r="A825" s="14" t="str">
        <f>HYPERLINK("https://gerandofalcoes.my.salesforce.com/0014X00002YgghPQAR", "0014X00002YgghPQAR")</f>
        <v>0014X00002YgghPQAR</v>
      </c>
      <c r="B825" s="2" t="s">
        <v>3628</v>
      </c>
      <c r="C825" s="2" t="s">
        <v>423</v>
      </c>
      <c r="D825" s="2" t="s">
        <v>2</v>
      </c>
      <c r="E825" s="2"/>
      <c r="F825" s="2">
        <v>0</v>
      </c>
      <c r="G825" s="2">
        <v>2</v>
      </c>
      <c r="H825" s="2">
        <v>1100000</v>
      </c>
      <c r="I825" s="2">
        <v>70</v>
      </c>
      <c r="J825" s="2" t="s">
        <v>1779</v>
      </c>
      <c r="K825" s="2">
        <v>36</v>
      </c>
      <c r="L825" s="2">
        <v>0</v>
      </c>
      <c r="M825" s="2">
        <v>0</v>
      </c>
      <c r="N825" s="2">
        <v>6</v>
      </c>
      <c r="O825" s="2">
        <v>25</v>
      </c>
      <c r="P825" s="2">
        <v>5</v>
      </c>
      <c r="Q825" s="2" t="s">
        <v>3629</v>
      </c>
      <c r="R825" s="2" t="s">
        <v>3630</v>
      </c>
      <c r="S825" s="4">
        <v>44963</v>
      </c>
    </row>
    <row r="826" spans="1:19" ht="12.5" hidden="1" x14ac:dyDescent="0.25">
      <c r="A826" s="14" t="str">
        <f>HYPERLINK("https://gerandofalcoes.my.salesforce.com/0014X00002YggkoQAB", "0014X00002YggkoQAB")</f>
        <v>0014X00002YggkoQAB</v>
      </c>
      <c r="B826" s="2" t="s">
        <v>3631</v>
      </c>
      <c r="C826" s="2" t="s">
        <v>423</v>
      </c>
      <c r="D826" s="2" t="s">
        <v>2</v>
      </c>
      <c r="E826" s="2"/>
      <c r="F826" s="2">
        <v>0</v>
      </c>
      <c r="G826" s="2">
        <v>2</v>
      </c>
      <c r="H826" s="2">
        <v>10000</v>
      </c>
      <c r="I826" s="2">
        <v>30</v>
      </c>
      <c r="J826" s="2" t="s">
        <v>1779</v>
      </c>
      <c r="K826" s="2">
        <v>16</v>
      </c>
      <c r="L826" s="2">
        <v>0</v>
      </c>
      <c r="M826" s="2">
        <v>0</v>
      </c>
      <c r="N826" s="2">
        <v>6</v>
      </c>
      <c r="O826" s="2">
        <v>5</v>
      </c>
      <c r="P826" s="2">
        <v>5</v>
      </c>
      <c r="Q826" s="2" t="s">
        <v>3632</v>
      </c>
      <c r="R826" s="2" t="s">
        <v>3633</v>
      </c>
      <c r="S826" s="4">
        <v>44963</v>
      </c>
    </row>
    <row r="827" spans="1:19" ht="12.5" hidden="1" x14ac:dyDescent="0.25">
      <c r="A827" s="14" t="str">
        <f>HYPERLINK("https://gerandofalcoes.my.salesforce.com/0014X00002YggovQAB", "0014X00002YggovQAB")</f>
        <v>0014X00002YggovQAB</v>
      </c>
      <c r="B827" s="2" t="s">
        <v>3634</v>
      </c>
      <c r="C827" s="2" t="s">
        <v>423</v>
      </c>
      <c r="D827" s="2" t="s">
        <v>2</v>
      </c>
      <c r="E827" s="2"/>
      <c r="F827" s="2">
        <v>0</v>
      </c>
      <c r="G827" s="2">
        <v>3</v>
      </c>
      <c r="H827" s="2">
        <v>13000</v>
      </c>
      <c r="I827" s="2">
        <v>30</v>
      </c>
      <c r="J827" s="2" t="s">
        <v>1779</v>
      </c>
      <c r="K827" s="2">
        <v>18</v>
      </c>
      <c r="L827" s="2">
        <v>0</v>
      </c>
      <c r="M827" s="2">
        <v>0</v>
      </c>
      <c r="N827" s="2">
        <v>8</v>
      </c>
      <c r="O827" s="2">
        <v>5</v>
      </c>
      <c r="P827" s="2">
        <v>5</v>
      </c>
      <c r="Q827" s="2" t="s">
        <v>3635</v>
      </c>
      <c r="R827" s="2" t="s">
        <v>3636</v>
      </c>
      <c r="S827" s="4">
        <v>44963</v>
      </c>
    </row>
    <row r="828" spans="1:19" ht="12.5" hidden="1" x14ac:dyDescent="0.25">
      <c r="A828" s="14" t="str">
        <f>HYPERLINK("https://gerandofalcoes.my.salesforce.com/0014X00002YggkzQAB", "0014X00002YggkzQAB")</f>
        <v>0014X00002YggkzQAB</v>
      </c>
      <c r="B828" s="2" t="s">
        <v>3637</v>
      </c>
      <c r="C828" s="2" t="s">
        <v>423</v>
      </c>
      <c r="D828" s="2" t="s">
        <v>2</v>
      </c>
      <c r="E828" s="2"/>
      <c r="F828" s="2">
        <v>0</v>
      </c>
      <c r="G828" s="2">
        <v>3</v>
      </c>
      <c r="H828" s="2">
        <v>3410</v>
      </c>
      <c r="I828" s="2">
        <v>0</v>
      </c>
      <c r="J828" s="2" t="s">
        <v>1779</v>
      </c>
      <c r="K828" s="2">
        <v>13</v>
      </c>
      <c r="L828" s="2">
        <v>0</v>
      </c>
      <c r="M828" s="2">
        <v>0</v>
      </c>
      <c r="N828" s="2">
        <v>8</v>
      </c>
      <c r="O828" s="2">
        <v>5</v>
      </c>
      <c r="P828" s="2">
        <v>0</v>
      </c>
      <c r="Q828" s="2" t="s">
        <v>3638</v>
      </c>
      <c r="R828" s="2" t="s">
        <v>3639</v>
      </c>
      <c r="S828" s="4">
        <v>44963</v>
      </c>
    </row>
    <row r="829" spans="1:19" ht="12.5" hidden="1" x14ac:dyDescent="0.25">
      <c r="A829" s="14" t="str">
        <f>HYPERLINK("https://gerandofalcoes.my.salesforce.com/0014X00002YgggUQAR", "0014X00002YgggUQAR")</f>
        <v>0014X00002YgggUQAR</v>
      </c>
      <c r="B829" s="2" t="s">
        <v>3640</v>
      </c>
      <c r="C829" s="2" t="s">
        <v>1684</v>
      </c>
      <c r="D829" s="2" t="s">
        <v>2</v>
      </c>
      <c r="E829" s="2"/>
      <c r="F829" s="2">
        <v>0</v>
      </c>
      <c r="G829" s="2">
        <v>2</v>
      </c>
      <c r="H829" s="2">
        <v>45000</v>
      </c>
      <c r="I829" s="2">
        <v>0</v>
      </c>
      <c r="J829" s="2"/>
      <c r="K829" s="2">
        <v>16</v>
      </c>
      <c r="L829" s="2">
        <v>0</v>
      </c>
      <c r="M829" s="2">
        <v>0</v>
      </c>
      <c r="N829" s="2">
        <v>6</v>
      </c>
      <c r="O829" s="2">
        <v>10</v>
      </c>
      <c r="P829" s="2">
        <v>0</v>
      </c>
      <c r="Q829" s="2" t="s">
        <v>3641</v>
      </c>
      <c r="R829" s="2" t="s">
        <v>3641</v>
      </c>
      <c r="S829" s="4">
        <v>44963</v>
      </c>
    </row>
    <row r="830" spans="1:19" ht="12.5" hidden="1" x14ac:dyDescent="0.25">
      <c r="A830" s="14" t="str">
        <f>HYPERLINK("https://gerandofalcoes.my.salesforce.com/0014X00002YggoBQAR", "0014X00002YggoBQAR")</f>
        <v>0014X00002YggoBQAR</v>
      </c>
      <c r="B830" s="2" t="s">
        <v>3642</v>
      </c>
      <c r="C830" s="2" t="s">
        <v>423</v>
      </c>
      <c r="D830" s="2" t="s">
        <v>2</v>
      </c>
      <c r="E830" s="2"/>
      <c r="F830" s="2">
        <v>0</v>
      </c>
      <c r="G830" s="2">
        <v>3</v>
      </c>
      <c r="H830" s="2">
        <v>1200</v>
      </c>
      <c r="I830" s="2">
        <v>0</v>
      </c>
      <c r="J830" s="2" t="s">
        <v>1779</v>
      </c>
      <c r="K830" s="2">
        <v>13</v>
      </c>
      <c r="L830" s="2">
        <v>0</v>
      </c>
      <c r="M830" s="2">
        <v>0</v>
      </c>
      <c r="N830" s="2">
        <v>8</v>
      </c>
      <c r="O830" s="2">
        <v>5</v>
      </c>
      <c r="P830" s="2">
        <v>0</v>
      </c>
      <c r="Q830" s="2" t="s">
        <v>3643</v>
      </c>
      <c r="R830" s="2" t="s">
        <v>3643</v>
      </c>
      <c r="S830" s="4">
        <v>44963</v>
      </c>
    </row>
    <row r="831" spans="1:19" ht="12.5" hidden="1" x14ac:dyDescent="0.25">
      <c r="A831" s="14" t="str">
        <f>HYPERLINK("https://gerandofalcoes.my.salesforce.com/0014X00002YggnoQAB", "0014X00002YggnoQAB")</f>
        <v>0014X00002YggnoQAB</v>
      </c>
      <c r="B831" s="2" t="s">
        <v>3644</v>
      </c>
      <c r="C831" s="2" t="s">
        <v>423</v>
      </c>
      <c r="D831" s="2" t="s">
        <v>2</v>
      </c>
      <c r="E831" s="2">
        <v>61.94</v>
      </c>
      <c r="F831" s="2">
        <v>11</v>
      </c>
      <c r="G831" s="2">
        <v>5</v>
      </c>
      <c r="H831" s="2">
        <v>442412</v>
      </c>
      <c r="I831" s="2">
        <v>200</v>
      </c>
      <c r="J831" s="2" t="s">
        <v>1650</v>
      </c>
      <c r="K831" s="2">
        <v>74</v>
      </c>
      <c r="L831" s="2">
        <v>20</v>
      </c>
      <c r="M831" s="2">
        <v>12</v>
      </c>
      <c r="N831" s="2">
        <v>10</v>
      </c>
      <c r="O831" s="2">
        <v>20</v>
      </c>
      <c r="P831" s="2">
        <v>12</v>
      </c>
      <c r="Q831" s="2" t="s">
        <v>3645</v>
      </c>
      <c r="R831" s="2" t="s">
        <v>3646</v>
      </c>
      <c r="S831" s="4">
        <v>44964</v>
      </c>
    </row>
    <row r="832" spans="1:19" ht="12.5" hidden="1" x14ac:dyDescent="0.25">
      <c r="A832" s="14" t="str">
        <f>HYPERLINK("https://gerandofalcoes.my.salesforce.com/0014X00002YggniQAB", "0014X00002YggniQAB")</f>
        <v>0014X00002YggniQAB</v>
      </c>
      <c r="B832" s="2" t="s">
        <v>3647</v>
      </c>
      <c r="C832" s="2" t="s">
        <v>423</v>
      </c>
      <c r="D832" s="2" t="s">
        <v>2</v>
      </c>
      <c r="E832" s="2">
        <v>26.49</v>
      </c>
      <c r="F832" s="2">
        <v>30</v>
      </c>
      <c r="G832" s="2">
        <v>7</v>
      </c>
      <c r="H832" s="2">
        <v>1235895</v>
      </c>
      <c r="I832" s="2">
        <v>0</v>
      </c>
      <c r="J832" s="2" t="s">
        <v>1671</v>
      </c>
      <c r="K832" s="2">
        <v>62</v>
      </c>
      <c r="L832" s="2">
        <v>15</v>
      </c>
      <c r="M832" s="2">
        <v>12</v>
      </c>
      <c r="N832" s="2">
        <v>10</v>
      </c>
      <c r="O832" s="2">
        <v>25</v>
      </c>
      <c r="P832" s="2">
        <v>0</v>
      </c>
      <c r="Q832" s="2" t="s">
        <v>3648</v>
      </c>
      <c r="R832" s="2" t="s">
        <v>3649</v>
      </c>
      <c r="S832" s="4">
        <v>44964</v>
      </c>
    </row>
    <row r="833" spans="1:19" ht="12.5" hidden="1" x14ac:dyDescent="0.25">
      <c r="A833" s="14" t="str">
        <f>HYPERLINK("https://gerandofalcoes.my.salesforce.com/0014X00002Yggj7QAB", "0014X00002Yggj7QAB")</f>
        <v>0014X00002Yggj7QAB</v>
      </c>
      <c r="B833" s="2" t="s">
        <v>3650</v>
      </c>
      <c r="C833" s="2" t="s">
        <v>423</v>
      </c>
      <c r="D833" s="2" t="s">
        <v>2</v>
      </c>
      <c r="E833" s="2">
        <v>26.38</v>
      </c>
      <c r="F833" s="2">
        <v>0</v>
      </c>
      <c r="G833" s="2">
        <v>2</v>
      </c>
      <c r="H833" s="2">
        <v>90000</v>
      </c>
      <c r="I833" s="2">
        <v>40</v>
      </c>
      <c r="J833" s="2" t="s">
        <v>1779</v>
      </c>
      <c r="K833" s="2">
        <v>36</v>
      </c>
      <c r="L833" s="2">
        <v>15</v>
      </c>
      <c r="M833" s="2">
        <v>0</v>
      </c>
      <c r="N833" s="2">
        <v>6</v>
      </c>
      <c r="O833" s="2">
        <v>10</v>
      </c>
      <c r="P833" s="2">
        <v>5</v>
      </c>
      <c r="Q833" s="2" t="s">
        <v>3651</v>
      </c>
      <c r="R833" s="2" t="s">
        <v>3651</v>
      </c>
      <c r="S833" s="4">
        <v>44964</v>
      </c>
    </row>
    <row r="834" spans="1:19" ht="12.5" hidden="1" x14ac:dyDescent="0.25">
      <c r="A834" s="14" t="str">
        <f>HYPERLINK("https://gerandofalcoes.my.salesforce.com/0014X00002YggkRQAR", "0014X00002YggkRQAR")</f>
        <v>0014X00002YggkRQAR</v>
      </c>
      <c r="B834" s="2" t="s">
        <v>3652</v>
      </c>
      <c r="C834" s="2" t="s">
        <v>423</v>
      </c>
      <c r="D834" s="2" t="s">
        <v>2</v>
      </c>
      <c r="E834" s="2">
        <v>21.68</v>
      </c>
      <c r="F834" s="2">
        <v>0</v>
      </c>
      <c r="G834" s="2">
        <v>3</v>
      </c>
      <c r="H834" s="2">
        <v>20000</v>
      </c>
      <c r="I834" s="2">
        <v>80</v>
      </c>
      <c r="J834" s="2" t="s">
        <v>1779</v>
      </c>
      <c r="K834" s="2">
        <v>33</v>
      </c>
      <c r="L834" s="2">
        <v>10</v>
      </c>
      <c r="M834" s="2">
        <v>0</v>
      </c>
      <c r="N834" s="2">
        <v>8</v>
      </c>
      <c r="O834" s="2">
        <v>5</v>
      </c>
      <c r="P834" s="2">
        <v>10</v>
      </c>
      <c r="Q834" s="2" t="s">
        <v>3653</v>
      </c>
      <c r="R834" s="2" t="s">
        <v>3653</v>
      </c>
      <c r="S834" s="4">
        <v>44964</v>
      </c>
    </row>
    <row r="835" spans="1:19" ht="12.5" hidden="1" x14ac:dyDescent="0.25">
      <c r="A835" s="14" t="str">
        <f>HYPERLINK("https://gerandofalcoes.my.salesforce.com/0014X00002YggmvQAB", "0014X00002YggmvQAB")</f>
        <v>0014X00002YggmvQAB</v>
      </c>
      <c r="B835" s="2" t="s">
        <v>3654</v>
      </c>
      <c r="C835" s="2" t="s">
        <v>423</v>
      </c>
      <c r="D835" s="2" t="s">
        <v>2</v>
      </c>
      <c r="E835" s="2">
        <v>20.39</v>
      </c>
      <c r="F835" s="2">
        <v>0</v>
      </c>
      <c r="G835" s="2">
        <v>2</v>
      </c>
      <c r="H835" s="2">
        <v>17500000</v>
      </c>
      <c r="I835" s="2">
        <v>84</v>
      </c>
      <c r="J835" s="2" t="s">
        <v>1671</v>
      </c>
      <c r="K835" s="2">
        <v>51</v>
      </c>
      <c r="L835" s="2">
        <v>10</v>
      </c>
      <c r="M835" s="2">
        <v>0</v>
      </c>
      <c r="N835" s="2">
        <v>6</v>
      </c>
      <c r="O835" s="2">
        <v>25</v>
      </c>
      <c r="P835" s="2">
        <v>10</v>
      </c>
      <c r="Q835" s="2" t="s">
        <v>3655</v>
      </c>
      <c r="R835" s="2" t="s">
        <v>3656</v>
      </c>
      <c r="S835" s="4">
        <v>44964</v>
      </c>
    </row>
    <row r="836" spans="1:19" ht="12.5" hidden="1" x14ac:dyDescent="0.25">
      <c r="A836" s="14" t="str">
        <f>HYPERLINK("https://gerandofalcoes.my.salesforce.com/0014X00002bCkLgQAK", "0014X00002bCkLgQAK")</f>
        <v>0014X00002bCkLgQAK</v>
      </c>
      <c r="B836" s="2" t="s">
        <v>3657</v>
      </c>
      <c r="C836" s="2" t="s">
        <v>423</v>
      </c>
      <c r="D836" s="2" t="s">
        <v>2</v>
      </c>
      <c r="E836" s="2">
        <v>14.24</v>
      </c>
      <c r="F836" s="2">
        <v>6</v>
      </c>
      <c r="G836" s="2">
        <v>7</v>
      </c>
      <c r="H836" s="2">
        <v>20000</v>
      </c>
      <c r="I836" s="2">
        <v>0</v>
      </c>
      <c r="J836" s="2" t="s">
        <v>1779</v>
      </c>
      <c r="K836" s="2">
        <v>35</v>
      </c>
      <c r="L836" s="2">
        <v>10</v>
      </c>
      <c r="M836" s="2">
        <v>10</v>
      </c>
      <c r="N836" s="2">
        <v>10</v>
      </c>
      <c r="O836" s="2">
        <v>5</v>
      </c>
      <c r="P836" s="2">
        <v>0</v>
      </c>
      <c r="Q836" s="2" t="s">
        <v>3658</v>
      </c>
      <c r="R836" s="2" t="s">
        <v>3659</v>
      </c>
      <c r="S836" s="4">
        <v>44964</v>
      </c>
    </row>
    <row r="837" spans="1:19" ht="12.5" hidden="1" x14ac:dyDescent="0.25">
      <c r="A837" s="14" t="str">
        <f>HYPERLINK("https://gerandofalcoes.my.salesforce.com/0014X00002YggkeQAB", "0014X00002YggkeQAB")</f>
        <v>0014X00002YggkeQAB</v>
      </c>
      <c r="B837" s="2" t="s">
        <v>3660</v>
      </c>
      <c r="C837" s="2" t="s">
        <v>423</v>
      </c>
      <c r="D837" s="2" t="s">
        <v>2</v>
      </c>
      <c r="E837" s="2">
        <v>9.09</v>
      </c>
      <c r="F837" s="2">
        <v>1</v>
      </c>
      <c r="G837" s="2">
        <v>2</v>
      </c>
      <c r="H837" s="2">
        <v>0</v>
      </c>
      <c r="I837" s="2">
        <v>80</v>
      </c>
      <c r="J837" s="2" t="s">
        <v>1779</v>
      </c>
      <c r="K837" s="2">
        <v>31</v>
      </c>
      <c r="L837" s="2">
        <v>10</v>
      </c>
      <c r="M837" s="2">
        <v>5</v>
      </c>
      <c r="N837" s="2">
        <v>6</v>
      </c>
      <c r="O837" s="2">
        <v>0</v>
      </c>
      <c r="P837" s="2">
        <v>10</v>
      </c>
      <c r="Q837" s="2" t="s">
        <v>3661</v>
      </c>
      <c r="R837" s="2" t="s">
        <v>3661</v>
      </c>
      <c r="S837" s="4">
        <v>44964</v>
      </c>
    </row>
    <row r="838" spans="1:19" ht="12.5" hidden="1" x14ac:dyDescent="0.25">
      <c r="A838" s="14" t="str">
        <f>HYPERLINK("https://gerandofalcoes.my.salesforce.com/0014X00002YggoDQAR", "0014X00002YggoDQAR")</f>
        <v>0014X00002YggoDQAR</v>
      </c>
      <c r="B838" s="2" t="s">
        <v>3662</v>
      </c>
      <c r="C838" s="2" t="s">
        <v>423</v>
      </c>
      <c r="D838" s="2" t="s">
        <v>2</v>
      </c>
      <c r="E838" s="2">
        <v>6.27</v>
      </c>
      <c r="F838" s="2">
        <v>0</v>
      </c>
      <c r="G838" s="2">
        <v>2</v>
      </c>
      <c r="H838" s="2">
        <v>0</v>
      </c>
      <c r="I838" s="2">
        <v>20</v>
      </c>
      <c r="J838" s="2" t="s">
        <v>1779</v>
      </c>
      <c r="K838" s="2">
        <v>21</v>
      </c>
      <c r="L838" s="2">
        <v>10</v>
      </c>
      <c r="M838" s="2">
        <v>0</v>
      </c>
      <c r="N838" s="2">
        <v>6</v>
      </c>
      <c r="O838" s="2">
        <v>0</v>
      </c>
      <c r="P838" s="2">
        <v>5</v>
      </c>
      <c r="Q838" s="2" t="s">
        <v>3663</v>
      </c>
      <c r="R838" s="2" t="s">
        <v>3664</v>
      </c>
      <c r="S838" s="4">
        <v>44964</v>
      </c>
    </row>
    <row r="839" spans="1:19" ht="12.5" hidden="1" x14ac:dyDescent="0.25">
      <c r="A839" s="14" t="str">
        <f>HYPERLINK("https://gerandofalcoes.my.salesforce.com/0014X00002YggqQQAR", "0014X00002YggqQQAR")</f>
        <v>0014X00002YggqQQAR</v>
      </c>
      <c r="B839" s="2" t="s">
        <v>3665</v>
      </c>
      <c r="C839" s="2" t="s">
        <v>423</v>
      </c>
      <c r="D839" s="2" t="s">
        <v>2</v>
      </c>
      <c r="E839" s="2">
        <v>2.82</v>
      </c>
      <c r="F839" s="2">
        <v>0</v>
      </c>
      <c r="G839" s="2">
        <v>2</v>
      </c>
      <c r="H839" s="2">
        <v>800</v>
      </c>
      <c r="I839" s="2">
        <v>60</v>
      </c>
      <c r="J839" s="2" t="s">
        <v>1779</v>
      </c>
      <c r="K839" s="2">
        <v>26</v>
      </c>
      <c r="L839" s="2">
        <v>10</v>
      </c>
      <c r="M839" s="2">
        <v>0</v>
      </c>
      <c r="N839" s="2">
        <v>6</v>
      </c>
      <c r="O839" s="2">
        <v>5</v>
      </c>
      <c r="P839" s="2">
        <v>5</v>
      </c>
      <c r="Q839" s="2" t="s">
        <v>3666</v>
      </c>
      <c r="R839" s="2" t="s">
        <v>3666</v>
      </c>
      <c r="S839" s="4">
        <v>44964</v>
      </c>
    </row>
    <row r="840" spans="1:19" ht="12.5" hidden="1" x14ac:dyDescent="0.25">
      <c r="A840" s="14" t="str">
        <f>HYPERLINK("https://gerandofalcoes.my.salesforce.com/0014X00002YgghuQAB", "0014X00002YgghuQAB")</f>
        <v>0014X00002YgghuQAB</v>
      </c>
      <c r="B840" s="2" t="s">
        <v>3667</v>
      </c>
      <c r="C840" s="2" t="s">
        <v>423</v>
      </c>
      <c r="D840" s="2" t="s">
        <v>2</v>
      </c>
      <c r="E840" s="2">
        <v>2.66</v>
      </c>
      <c r="F840" s="2">
        <v>6</v>
      </c>
      <c r="G840" s="2">
        <v>4</v>
      </c>
      <c r="H840" s="2">
        <v>20000</v>
      </c>
      <c r="I840" s="2">
        <v>100</v>
      </c>
      <c r="J840" s="2" t="s">
        <v>1671</v>
      </c>
      <c r="K840" s="2">
        <v>45</v>
      </c>
      <c r="L840" s="2">
        <v>10</v>
      </c>
      <c r="M840" s="2">
        <v>10</v>
      </c>
      <c r="N840" s="2">
        <v>10</v>
      </c>
      <c r="O840" s="2">
        <v>5</v>
      </c>
      <c r="P840" s="2">
        <v>10</v>
      </c>
      <c r="Q840" s="2" t="s">
        <v>3668</v>
      </c>
      <c r="R840" s="2" t="s">
        <v>3669</v>
      </c>
      <c r="S840" s="4">
        <v>44964</v>
      </c>
    </row>
    <row r="841" spans="1:19" ht="12.5" hidden="1" x14ac:dyDescent="0.25">
      <c r="A841" s="14" t="str">
        <f>HYPERLINK("https://gerandofalcoes.my.salesforce.com/0014X00002YggpeQAB", "0014X00002YggpeQAB")</f>
        <v>0014X00002YggpeQAB</v>
      </c>
      <c r="B841" s="2" t="s">
        <v>3670</v>
      </c>
      <c r="C841" s="2" t="s">
        <v>423</v>
      </c>
      <c r="D841" s="2" t="s">
        <v>2</v>
      </c>
      <c r="E841" s="2">
        <v>2.14</v>
      </c>
      <c r="F841" s="2">
        <v>0</v>
      </c>
      <c r="G841" s="2">
        <v>4</v>
      </c>
      <c r="H841" s="2">
        <v>32100</v>
      </c>
      <c r="I841" s="2">
        <v>0</v>
      </c>
      <c r="J841" s="2" t="s">
        <v>1779</v>
      </c>
      <c r="K841" s="2">
        <v>30</v>
      </c>
      <c r="L841" s="2">
        <v>10</v>
      </c>
      <c r="M841" s="2">
        <v>0</v>
      </c>
      <c r="N841" s="2">
        <v>10</v>
      </c>
      <c r="O841" s="2">
        <v>10</v>
      </c>
      <c r="P841" s="2">
        <v>0</v>
      </c>
      <c r="Q841" s="2" t="s">
        <v>3671</v>
      </c>
      <c r="R841" s="2" t="s">
        <v>3672</v>
      </c>
      <c r="S841" s="4">
        <v>44964</v>
      </c>
    </row>
    <row r="842" spans="1:19" ht="12.5" hidden="1" x14ac:dyDescent="0.25">
      <c r="A842" s="14" t="str">
        <f>HYPERLINK("https://gerandofalcoes.my.salesforce.com/0014X00002YggnEQAR", "0014X00002YggnEQAR")</f>
        <v>0014X00002YggnEQAR</v>
      </c>
      <c r="B842" s="2" t="s">
        <v>3673</v>
      </c>
      <c r="C842" s="2" t="s">
        <v>1684</v>
      </c>
      <c r="D842" s="2" t="s">
        <v>2</v>
      </c>
      <c r="E842" s="2">
        <v>0</v>
      </c>
      <c r="F842" s="2">
        <v>4</v>
      </c>
      <c r="G842" s="2">
        <v>2</v>
      </c>
      <c r="H842" s="2">
        <v>10000</v>
      </c>
      <c r="I842" s="2">
        <v>60</v>
      </c>
      <c r="J842" s="2" t="s">
        <v>1779</v>
      </c>
      <c r="K842" s="2">
        <v>21</v>
      </c>
      <c r="L842" s="2">
        <v>0</v>
      </c>
      <c r="M842" s="2">
        <v>5</v>
      </c>
      <c r="N842" s="2">
        <v>6</v>
      </c>
      <c r="O842" s="2">
        <v>5</v>
      </c>
      <c r="P842" s="2">
        <v>5</v>
      </c>
      <c r="Q842" s="2" t="s">
        <v>3674</v>
      </c>
      <c r="R842" s="2" t="s">
        <v>3674</v>
      </c>
      <c r="S842" s="4">
        <v>44964</v>
      </c>
    </row>
    <row r="843" spans="1:19" ht="12.5" hidden="1" x14ac:dyDescent="0.25">
      <c r="A843" s="14" t="str">
        <f>HYPERLINK("https://gerandofalcoes.my.salesforce.com/0014X00002Yggh1QAB", "0014X00002Yggh1QAB")</f>
        <v>0014X00002Yggh1QAB</v>
      </c>
      <c r="B843" s="2" t="s">
        <v>3675</v>
      </c>
      <c r="C843" s="2" t="s">
        <v>423</v>
      </c>
      <c r="D843" s="2" t="s">
        <v>2</v>
      </c>
      <c r="E843" s="2"/>
      <c r="F843" s="2">
        <v>23</v>
      </c>
      <c r="G843" s="2">
        <v>6</v>
      </c>
      <c r="H843" s="2">
        <v>99279054</v>
      </c>
      <c r="I843" s="2">
        <v>520</v>
      </c>
      <c r="J843" s="2" t="s">
        <v>1650</v>
      </c>
      <c r="K843" s="2">
        <v>67</v>
      </c>
      <c r="L843" s="2">
        <v>0</v>
      </c>
      <c r="M843" s="2">
        <v>12</v>
      </c>
      <c r="N843" s="2">
        <v>10</v>
      </c>
      <c r="O843" s="2">
        <v>25</v>
      </c>
      <c r="P843" s="2">
        <v>20</v>
      </c>
      <c r="Q843" s="2" t="s">
        <v>3676</v>
      </c>
      <c r="R843" s="2" t="s">
        <v>3677</v>
      </c>
      <c r="S843" s="4">
        <v>44964</v>
      </c>
    </row>
    <row r="844" spans="1:19" ht="12.5" hidden="1" x14ac:dyDescent="0.25">
      <c r="A844" s="14" t="str">
        <f>HYPERLINK("https://gerandofalcoes.my.salesforce.com/0014X00002Yggm8QAB", "0014X00002Yggm8QAB")</f>
        <v>0014X00002Yggm8QAB</v>
      </c>
      <c r="B844" s="2" t="s">
        <v>3678</v>
      </c>
      <c r="C844" s="2" t="s">
        <v>423</v>
      </c>
      <c r="D844" s="2" t="s">
        <v>2</v>
      </c>
      <c r="E844" s="2"/>
      <c r="F844" s="2">
        <v>4</v>
      </c>
      <c r="G844" s="2">
        <v>3</v>
      </c>
      <c r="H844" s="2">
        <v>140000</v>
      </c>
      <c r="I844" s="2">
        <v>216</v>
      </c>
      <c r="J844" s="2" t="s">
        <v>1671</v>
      </c>
      <c r="K844" s="2">
        <v>40</v>
      </c>
      <c r="L844" s="2">
        <v>0</v>
      </c>
      <c r="M844" s="2">
        <v>5</v>
      </c>
      <c r="N844" s="2">
        <v>8</v>
      </c>
      <c r="O844" s="2">
        <v>15</v>
      </c>
      <c r="P844" s="2">
        <v>12</v>
      </c>
      <c r="Q844" s="2" t="s">
        <v>3679</v>
      </c>
      <c r="R844" s="2" t="s">
        <v>3680</v>
      </c>
      <c r="S844" s="4">
        <v>44964</v>
      </c>
    </row>
    <row r="845" spans="1:19" ht="12.5" hidden="1" x14ac:dyDescent="0.25">
      <c r="A845" s="14" t="str">
        <f>HYPERLINK("https://gerandofalcoes.my.salesforce.com/0014X00002YgghDQAR", "0014X00002YgghDQAR")</f>
        <v>0014X00002YgghDQAR</v>
      </c>
      <c r="B845" s="2" t="s">
        <v>3681</v>
      </c>
      <c r="C845" s="2" t="s">
        <v>423</v>
      </c>
      <c r="D845" s="2" t="s">
        <v>2</v>
      </c>
      <c r="E845" s="2"/>
      <c r="F845" s="2">
        <v>0</v>
      </c>
      <c r="G845" s="2">
        <v>4</v>
      </c>
      <c r="H845" s="2">
        <v>3000</v>
      </c>
      <c r="I845" s="2">
        <v>30</v>
      </c>
      <c r="J845" s="2" t="s">
        <v>1779</v>
      </c>
      <c r="K845" s="2">
        <v>20</v>
      </c>
      <c r="L845" s="2">
        <v>0</v>
      </c>
      <c r="M845" s="2">
        <v>0</v>
      </c>
      <c r="N845" s="2">
        <v>10</v>
      </c>
      <c r="O845" s="2">
        <v>5</v>
      </c>
      <c r="P845" s="2">
        <v>5</v>
      </c>
      <c r="Q845" s="2" t="s">
        <v>3682</v>
      </c>
      <c r="R845" s="2" t="s">
        <v>3682</v>
      </c>
      <c r="S845" s="4">
        <v>44964</v>
      </c>
    </row>
    <row r="846" spans="1:19" ht="12.5" hidden="1" x14ac:dyDescent="0.25">
      <c r="A846" s="14" t="str">
        <f>HYPERLINK("https://gerandofalcoes.my.salesforce.com/0014X00002YggqTQAR", "0014X00002YggqTQAR")</f>
        <v>0014X00002YggqTQAR</v>
      </c>
      <c r="B846" s="2" t="s">
        <v>3683</v>
      </c>
      <c r="C846" s="2" t="s">
        <v>423</v>
      </c>
      <c r="D846" s="2" t="s">
        <v>2</v>
      </c>
      <c r="E846" s="2"/>
      <c r="F846" s="2">
        <v>0</v>
      </c>
      <c r="G846" s="2">
        <v>3</v>
      </c>
      <c r="H846" s="2">
        <v>0</v>
      </c>
      <c r="I846" s="2">
        <v>0</v>
      </c>
      <c r="J846" s="2" t="s">
        <v>1779</v>
      </c>
      <c r="K846" s="2">
        <v>8</v>
      </c>
      <c r="L846" s="2">
        <v>0</v>
      </c>
      <c r="M846" s="2">
        <v>0</v>
      </c>
      <c r="N846" s="2">
        <v>8</v>
      </c>
      <c r="O846" s="2">
        <v>0</v>
      </c>
      <c r="P846" s="2">
        <v>0</v>
      </c>
      <c r="Q846" s="2" t="s">
        <v>3684</v>
      </c>
      <c r="R846" s="2" t="s">
        <v>3685</v>
      </c>
      <c r="S846" s="4">
        <v>44964</v>
      </c>
    </row>
    <row r="847" spans="1:19" ht="12.5" hidden="1" x14ac:dyDescent="0.25">
      <c r="A847" s="14" t="str">
        <f>HYPERLINK("https://gerandofalcoes.my.salesforce.com/0014X00002YggjFQAR", "0014X00002YggjFQAR")</f>
        <v>0014X00002YggjFQAR</v>
      </c>
      <c r="B847" s="2" t="s">
        <v>3686</v>
      </c>
      <c r="C847" s="2" t="s">
        <v>423</v>
      </c>
      <c r="D847" s="2" t="s">
        <v>2</v>
      </c>
      <c r="E847" s="2"/>
      <c r="F847" s="2">
        <v>0</v>
      </c>
      <c r="G847" s="2">
        <v>2</v>
      </c>
      <c r="H847" s="2">
        <v>0</v>
      </c>
      <c r="I847" s="2">
        <v>0</v>
      </c>
      <c r="J847" s="2" t="s">
        <v>1779</v>
      </c>
      <c r="K847" s="2">
        <v>6</v>
      </c>
      <c r="L847" s="2">
        <v>0</v>
      </c>
      <c r="M847" s="2">
        <v>0</v>
      </c>
      <c r="N847" s="2">
        <v>6</v>
      </c>
      <c r="O847" s="2">
        <v>0</v>
      </c>
      <c r="P847" s="2">
        <v>0</v>
      </c>
      <c r="Q847" s="2" t="s">
        <v>3687</v>
      </c>
      <c r="R847" s="2" t="s">
        <v>3688</v>
      </c>
      <c r="S847" s="4">
        <v>44964</v>
      </c>
    </row>
    <row r="848" spans="1:19" ht="12.5" hidden="1" x14ac:dyDescent="0.25">
      <c r="A848" s="14" t="str">
        <f>HYPERLINK("https://gerandofalcoes.my.salesforce.com/0014X00002YgghRQAR", "0014X00002YgghRQAR")</f>
        <v>0014X00002YgghRQAR</v>
      </c>
      <c r="B848" s="2" t="s">
        <v>3689</v>
      </c>
      <c r="C848" s="2" t="s">
        <v>423</v>
      </c>
      <c r="D848" s="2" t="s">
        <v>2</v>
      </c>
      <c r="E848" s="2">
        <v>48.25</v>
      </c>
      <c r="F848" s="2">
        <v>220</v>
      </c>
      <c r="G848" s="2">
        <v>9</v>
      </c>
      <c r="H848" s="2">
        <v>9000000</v>
      </c>
      <c r="I848" s="2">
        <v>1600</v>
      </c>
      <c r="J848" s="2" t="s">
        <v>1654</v>
      </c>
      <c r="K848" s="2">
        <v>85</v>
      </c>
      <c r="L848" s="2">
        <v>15</v>
      </c>
      <c r="M848" s="2">
        <v>15</v>
      </c>
      <c r="N848" s="2">
        <v>10</v>
      </c>
      <c r="O848" s="2">
        <v>25</v>
      </c>
      <c r="P848" s="2">
        <v>20</v>
      </c>
      <c r="Q848" s="2" t="s">
        <v>3690</v>
      </c>
      <c r="R848" s="2" t="s">
        <v>3691</v>
      </c>
      <c r="S848" s="4">
        <v>44967</v>
      </c>
    </row>
    <row r="849" spans="1:19" ht="12.5" hidden="1" x14ac:dyDescent="0.25">
      <c r="A849" s="14" t="str">
        <f>HYPERLINK("https://gerandofalcoes.my.salesforce.com/0014X00002YgggkQAB", "0014X00002YgggkQAB")</f>
        <v>0014X00002YgggkQAB</v>
      </c>
      <c r="B849" s="2" t="s">
        <v>3692</v>
      </c>
      <c r="C849" s="2" t="s">
        <v>423</v>
      </c>
      <c r="D849" s="2" t="s">
        <v>2</v>
      </c>
      <c r="E849" s="2">
        <v>44.66</v>
      </c>
      <c r="F849" s="2">
        <v>1</v>
      </c>
      <c r="G849" s="2">
        <v>3</v>
      </c>
      <c r="H849" s="2">
        <v>51325</v>
      </c>
      <c r="I849" s="2">
        <v>600</v>
      </c>
      <c r="J849" s="2" t="s">
        <v>1671</v>
      </c>
      <c r="K849" s="2">
        <v>58</v>
      </c>
      <c r="L849" s="2">
        <v>15</v>
      </c>
      <c r="M849" s="2">
        <v>5</v>
      </c>
      <c r="N849" s="2">
        <v>8</v>
      </c>
      <c r="O849" s="2">
        <v>10</v>
      </c>
      <c r="P849" s="2">
        <v>20</v>
      </c>
      <c r="Q849" s="2" t="s">
        <v>3693</v>
      </c>
      <c r="R849" s="2" t="s">
        <v>3694</v>
      </c>
      <c r="S849" s="4">
        <v>44967</v>
      </c>
    </row>
    <row r="850" spans="1:19" ht="12.5" hidden="1" x14ac:dyDescent="0.25">
      <c r="A850" s="14" t="str">
        <f>HYPERLINK("https://gerandofalcoes.my.salesforce.com/0014X00002YgghAQAR", "0014X00002YgghAQAR")</f>
        <v>0014X00002YgghAQAR</v>
      </c>
      <c r="B850" s="2" t="s">
        <v>3695</v>
      </c>
      <c r="C850" s="2" t="s">
        <v>423</v>
      </c>
      <c r="D850" s="2" t="s">
        <v>2</v>
      </c>
      <c r="E850" s="2">
        <v>34.19</v>
      </c>
      <c r="F850" s="2">
        <v>36</v>
      </c>
      <c r="G850" s="2">
        <v>11</v>
      </c>
      <c r="H850" s="2">
        <v>237000</v>
      </c>
      <c r="I850" s="2">
        <v>450</v>
      </c>
      <c r="J850" s="2" t="s">
        <v>1650</v>
      </c>
      <c r="K850" s="2">
        <v>75</v>
      </c>
      <c r="L850" s="2">
        <v>15</v>
      </c>
      <c r="M850" s="2">
        <v>15</v>
      </c>
      <c r="N850" s="2">
        <v>10</v>
      </c>
      <c r="O850" s="2">
        <v>15</v>
      </c>
      <c r="P850" s="2">
        <v>20</v>
      </c>
      <c r="Q850" s="2" t="s">
        <v>3696</v>
      </c>
      <c r="R850" s="2" t="s">
        <v>3697</v>
      </c>
      <c r="S850" s="4">
        <v>44967</v>
      </c>
    </row>
    <row r="851" spans="1:19" ht="12.5" hidden="1" x14ac:dyDescent="0.25">
      <c r="A851" s="14" t="str">
        <f>HYPERLINK("https://gerandofalcoes.my.salesforce.com/0014X00002YgggxQAB", "0014X00002YgggxQAB")</f>
        <v>0014X00002YgggxQAB</v>
      </c>
      <c r="B851" s="2" t="s">
        <v>3698</v>
      </c>
      <c r="C851" s="2" t="s">
        <v>423</v>
      </c>
      <c r="D851" s="2" t="s">
        <v>2</v>
      </c>
      <c r="E851" s="2">
        <v>26.65</v>
      </c>
      <c r="F851" s="2">
        <v>0</v>
      </c>
      <c r="G851" s="2">
        <v>2</v>
      </c>
      <c r="H851" s="2">
        <v>131802.91</v>
      </c>
      <c r="I851" s="2">
        <v>50</v>
      </c>
      <c r="J851" s="2" t="s">
        <v>1671</v>
      </c>
      <c r="K851" s="2">
        <v>41</v>
      </c>
      <c r="L851" s="2">
        <v>15</v>
      </c>
      <c r="M851" s="2">
        <v>0</v>
      </c>
      <c r="N851" s="2">
        <v>6</v>
      </c>
      <c r="O851" s="2">
        <v>15</v>
      </c>
      <c r="P851" s="2">
        <v>5</v>
      </c>
      <c r="Q851" s="2" t="s">
        <v>3699</v>
      </c>
      <c r="R851" s="2" t="s">
        <v>3700</v>
      </c>
      <c r="S851" s="4">
        <v>44967</v>
      </c>
    </row>
    <row r="852" spans="1:19" ht="12.5" hidden="1" x14ac:dyDescent="0.25">
      <c r="A852" s="14" t="str">
        <f>HYPERLINK("https://gerandofalcoes.my.salesforce.com/0014X00002YggoEQAR", "0014X00002YggoEQAR")</f>
        <v>0014X00002YggoEQAR</v>
      </c>
      <c r="B852" s="2" t="s">
        <v>3701</v>
      </c>
      <c r="C852" s="2" t="s">
        <v>423</v>
      </c>
      <c r="D852" s="2" t="s">
        <v>2</v>
      </c>
      <c r="E852" s="2">
        <v>19.47</v>
      </c>
      <c r="F852" s="2">
        <v>0</v>
      </c>
      <c r="G852" s="2">
        <v>2</v>
      </c>
      <c r="H852" s="2">
        <v>1000</v>
      </c>
      <c r="I852" s="2">
        <v>30</v>
      </c>
      <c r="J852" s="2" t="s">
        <v>1779</v>
      </c>
      <c r="K852" s="2">
        <v>26</v>
      </c>
      <c r="L852" s="2">
        <v>10</v>
      </c>
      <c r="M852" s="2">
        <v>0</v>
      </c>
      <c r="N852" s="2">
        <v>6</v>
      </c>
      <c r="O852" s="2">
        <v>5</v>
      </c>
      <c r="P852" s="2">
        <v>5</v>
      </c>
      <c r="Q852" s="2" t="s">
        <v>3702</v>
      </c>
      <c r="R852" s="2" t="s">
        <v>3702</v>
      </c>
      <c r="S852" s="4">
        <v>44967</v>
      </c>
    </row>
    <row r="853" spans="1:19" ht="12.5" hidden="1" x14ac:dyDescent="0.25">
      <c r="A853" s="14" t="str">
        <f>HYPERLINK("https://gerandofalcoes.my.salesforce.com/0014X00002YggpjQAB", "0014X00002YggpjQAB")</f>
        <v>0014X00002YggpjQAB</v>
      </c>
      <c r="B853" s="2" t="s">
        <v>3703</v>
      </c>
      <c r="C853" s="2" t="s">
        <v>423</v>
      </c>
      <c r="D853" s="2" t="s">
        <v>2</v>
      </c>
      <c r="E853" s="2">
        <v>18.75</v>
      </c>
      <c r="F853" s="2">
        <v>0</v>
      </c>
      <c r="G853" s="2">
        <v>3</v>
      </c>
      <c r="H853" s="2">
        <v>2000</v>
      </c>
      <c r="I853" s="2">
        <v>0</v>
      </c>
      <c r="J853" s="2" t="s">
        <v>1779</v>
      </c>
      <c r="K853" s="2">
        <v>23</v>
      </c>
      <c r="L853" s="2">
        <v>10</v>
      </c>
      <c r="M853" s="2">
        <v>0</v>
      </c>
      <c r="N853" s="2">
        <v>8</v>
      </c>
      <c r="O853" s="2">
        <v>5</v>
      </c>
      <c r="P853" s="2">
        <v>0</v>
      </c>
      <c r="Q853" s="2" t="s">
        <v>3704</v>
      </c>
      <c r="R853" s="2" t="s">
        <v>3704</v>
      </c>
      <c r="S853" s="4">
        <v>44967</v>
      </c>
    </row>
    <row r="854" spans="1:19" ht="12.5" hidden="1" x14ac:dyDescent="0.25">
      <c r="A854" s="14" t="str">
        <f>HYPERLINK("https://gerandofalcoes.my.salesforce.com/0014X00002YggonQAB", "0014X00002YggonQAB")</f>
        <v>0014X00002YggonQAB</v>
      </c>
      <c r="B854" s="2" t="s">
        <v>3705</v>
      </c>
      <c r="C854" s="2" t="s">
        <v>423</v>
      </c>
      <c r="D854" s="2" t="s">
        <v>2</v>
      </c>
      <c r="E854" s="2">
        <v>17.29</v>
      </c>
      <c r="F854" s="2">
        <v>0</v>
      </c>
      <c r="G854" s="2">
        <v>2</v>
      </c>
      <c r="H854" s="2">
        <v>0</v>
      </c>
      <c r="I854" s="2">
        <v>10</v>
      </c>
      <c r="J854" s="2" t="s">
        <v>1779</v>
      </c>
      <c r="K854" s="2">
        <v>21</v>
      </c>
      <c r="L854" s="2">
        <v>10</v>
      </c>
      <c r="M854" s="2">
        <v>0</v>
      </c>
      <c r="N854" s="2">
        <v>6</v>
      </c>
      <c r="O854" s="2">
        <v>0</v>
      </c>
      <c r="P854" s="2">
        <v>5</v>
      </c>
      <c r="Q854" s="2" t="s">
        <v>3706</v>
      </c>
      <c r="R854" s="2" t="s">
        <v>3706</v>
      </c>
      <c r="S854" s="4">
        <v>44967</v>
      </c>
    </row>
    <row r="855" spans="1:19" ht="12.5" hidden="1" x14ac:dyDescent="0.25">
      <c r="A855" s="14" t="str">
        <f>HYPERLINK("https://gerandofalcoes.my.salesforce.com/0014X00002Yggo4QAB", "0014X00002Yggo4QAB")</f>
        <v>0014X00002Yggo4QAB</v>
      </c>
      <c r="B855" s="2" t="s">
        <v>3707</v>
      </c>
      <c r="C855" s="2" t="s">
        <v>1800</v>
      </c>
      <c r="D855" s="2" t="s">
        <v>2</v>
      </c>
      <c r="E855" s="2">
        <v>15</v>
      </c>
      <c r="F855" s="2">
        <v>0</v>
      </c>
      <c r="G855" s="2">
        <v>3</v>
      </c>
      <c r="H855" s="2">
        <v>3000</v>
      </c>
      <c r="I855" s="2">
        <v>0</v>
      </c>
      <c r="J855" s="2" t="s">
        <v>1779</v>
      </c>
      <c r="K855" s="2">
        <v>23</v>
      </c>
      <c r="L855" s="2">
        <v>10</v>
      </c>
      <c r="M855" s="2">
        <v>0</v>
      </c>
      <c r="N855" s="2">
        <v>8</v>
      </c>
      <c r="O855" s="2">
        <v>5</v>
      </c>
      <c r="P855" s="2">
        <v>0</v>
      </c>
      <c r="Q855" s="2" t="s">
        <v>3708</v>
      </c>
      <c r="R855" s="2" t="s">
        <v>3708</v>
      </c>
      <c r="S855" s="4">
        <v>44967</v>
      </c>
    </row>
    <row r="856" spans="1:19" ht="12.5" hidden="1" x14ac:dyDescent="0.25">
      <c r="A856" s="14" t="str">
        <f>HYPERLINK("https://gerandofalcoes.my.salesforce.com/0014X00002YgglcQAB", "0014X00002YgglcQAB")</f>
        <v>0014X00002YgglcQAB</v>
      </c>
      <c r="B856" s="2" t="s">
        <v>3709</v>
      </c>
      <c r="C856" s="2" t="s">
        <v>423</v>
      </c>
      <c r="D856" s="2" t="s">
        <v>2</v>
      </c>
      <c r="E856" s="2">
        <v>12.12</v>
      </c>
      <c r="F856" s="2">
        <v>0</v>
      </c>
      <c r="G856" s="2">
        <v>2</v>
      </c>
      <c r="H856" s="2">
        <v>60000</v>
      </c>
      <c r="I856" s="2">
        <v>0</v>
      </c>
      <c r="J856" s="2" t="s">
        <v>1779</v>
      </c>
      <c r="K856" s="2">
        <v>26</v>
      </c>
      <c r="L856" s="2">
        <v>10</v>
      </c>
      <c r="M856" s="2">
        <v>0</v>
      </c>
      <c r="N856" s="2">
        <v>6</v>
      </c>
      <c r="O856" s="2">
        <v>10</v>
      </c>
      <c r="P856" s="2">
        <v>0</v>
      </c>
      <c r="Q856" s="2" t="s">
        <v>3710</v>
      </c>
      <c r="R856" s="2" t="s">
        <v>3710</v>
      </c>
      <c r="S856" s="4">
        <v>44967</v>
      </c>
    </row>
    <row r="857" spans="1:19" ht="12.5" hidden="1" x14ac:dyDescent="0.25">
      <c r="A857" s="14" t="str">
        <f>HYPERLINK("https://gerandofalcoes.my.salesforce.com/0014X00002YgglkQAB", "0014X00002YgglkQAB")</f>
        <v>0014X00002YgglkQAB</v>
      </c>
      <c r="B857" s="2" t="s">
        <v>3711</v>
      </c>
      <c r="C857" s="2" t="s">
        <v>423</v>
      </c>
      <c r="D857" s="2" t="s">
        <v>2</v>
      </c>
      <c r="E857" s="2">
        <v>11.84</v>
      </c>
      <c r="F857" s="2">
        <v>2</v>
      </c>
      <c r="G857" s="2">
        <v>4</v>
      </c>
      <c r="H857" s="2">
        <v>95000</v>
      </c>
      <c r="I857" s="2">
        <v>15</v>
      </c>
      <c r="J857" s="2" t="s">
        <v>1671</v>
      </c>
      <c r="K857" s="2">
        <v>40</v>
      </c>
      <c r="L857" s="2">
        <v>10</v>
      </c>
      <c r="M857" s="2">
        <v>5</v>
      </c>
      <c r="N857" s="2">
        <v>10</v>
      </c>
      <c r="O857" s="2">
        <v>10</v>
      </c>
      <c r="P857" s="2">
        <v>5</v>
      </c>
      <c r="Q857" s="2" t="s">
        <v>3712</v>
      </c>
      <c r="R857" s="2" t="s">
        <v>3713</v>
      </c>
      <c r="S857" s="4">
        <v>44967</v>
      </c>
    </row>
    <row r="858" spans="1:19" ht="12.5" hidden="1" x14ac:dyDescent="0.25">
      <c r="A858" s="14" t="str">
        <f>HYPERLINK("https://gerandofalcoes.my.salesforce.com/0014X00002Yggj5QAB", "0014X00002Yggj5QAB")</f>
        <v>0014X00002Yggj5QAB</v>
      </c>
      <c r="B858" s="2" t="s">
        <v>3714</v>
      </c>
      <c r="C858" s="2" t="s">
        <v>423</v>
      </c>
      <c r="D858" s="2" t="s">
        <v>2</v>
      </c>
      <c r="E858" s="2">
        <v>8.77</v>
      </c>
      <c r="F858" s="2">
        <v>0</v>
      </c>
      <c r="G858" s="2">
        <v>2</v>
      </c>
      <c r="H858" s="2">
        <v>3000</v>
      </c>
      <c r="I858" s="2">
        <v>0</v>
      </c>
      <c r="J858" s="2" t="s">
        <v>1779</v>
      </c>
      <c r="K858" s="2">
        <v>21</v>
      </c>
      <c r="L858" s="2">
        <v>10</v>
      </c>
      <c r="M858" s="2">
        <v>0</v>
      </c>
      <c r="N858" s="2">
        <v>6</v>
      </c>
      <c r="O858" s="2">
        <v>5</v>
      </c>
      <c r="P858" s="2">
        <v>0</v>
      </c>
      <c r="Q858" s="2" t="s">
        <v>3715</v>
      </c>
      <c r="R858" s="2" t="s">
        <v>3715</v>
      </c>
      <c r="S858" s="4">
        <v>44967</v>
      </c>
    </row>
    <row r="859" spans="1:19" ht="12.5" hidden="1" x14ac:dyDescent="0.25">
      <c r="A859" s="14" t="str">
        <f>HYPERLINK("https://gerandofalcoes.my.salesforce.com/0014X00002YggkFQAR", "0014X00002YggkFQAR")</f>
        <v>0014X00002YggkFQAR</v>
      </c>
      <c r="B859" s="2" t="s">
        <v>3716</v>
      </c>
      <c r="C859" s="2" t="s">
        <v>423</v>
      </c>
      <c r="D859" s="2" t="s">
        <v>2</v>
      </c>
      <c r="E859" s="2">
        <v>4.87</v>
      </c>
      <c r="F859" s="2">
        <v>0</v>
      </c>
      <c r="G859" s="2">
        <v>5</v>
      </c>
      <c r="H859" s="2">
        <v>8000</v>
      </c>
      <c r="I859" s="2">
        <v>50</v>
      </c>
      <c r="J859" s="2" t="s">
        <v>1779</v>
      </c>
      <c r="K859" s="2">
        <v>30</v>
      </c>
      <c r="L859" s="2">
        <v>10</v>
      </c>
      <c r="M859" s="2">
        <v>0</v>
      </c>
      <c r="N859" s="2">
        <v>10</v>
      </c>
      <c r="O859" s="2">
        <v>5</v>
      </c>
      <c r="P859" s="2">
        <v>5</v>
      </c>
      <c r="Q859" s="2" t="s">
        <v>3717</v>
      </c>
      <c r="R859" s="2" t="s">
        <v>3718</v>
      </c>
      <c r="S859" s="4">
        <v>44967</v>
      </c>
    </row>
    <row r="860" spans="1:19" ht="12.5" hidden="1" x14ac:dyDescent="0.25">
      <c r="A860" s="14" t="str">
        <f>HYPERLINK("https://gerandofalcoes.my.salesforce.com/0014X00002YggkOQAR", "0014X00002YggkOQAR")</f>
        <v>0014X00002YggkOQAR</v>
      </c>
      <c r="B860" s="2" t="s">
        <v>3719</v>
      </c>
      <c r="C860" s="2" t="s">
        <v>423</v>
      </c>
      <c r="D860" s="2" t="s">
        <v>2</v>
      </c>
      <c r="E860" s="2">
        <v>4.25</v>
      </c>
      <c r="F860" s="2">
        <v>20</v>
      </c>
      <c r="G860" s="2">
        <v>4</v>
      </c>
      <c r="H860" s="2">
        <v>180000</v>
      </c>
      <c r="I860" s="2">
        <v>80</v>
      </c>
      <c r="J860" s="2" t="s">
        <v>1671</v>
      </c>
      <c r="K860" s="2">
        <v>57</v>
      </c>
      <c r="L860" s="2">
        <v>10</v>
      </c>
      <c r="M860" s="2">
        <v>12</v>
      </c>
      <c r="N860" s="2">
        <v>10</v>
      </c>
      <c r="O860" s="2">
        <v>15</v>
      </c>
      <c r="P860" s="2">
        <v>10</v>
      </c>
      <c r="Q860" s="2" t="s">
        <v>3720</v>
      </c>
      <c r="R860" s="2" t="s">
        <v>3721</v>
      </c>
      <c r="S860" s="4">
        <v>44967</v>
      </c>
    </row>
    <row r="861" spans="1:19" ht="12.5" hidden="1" x14ac:dyDescent="0.25">
      <c r="A861" s="14" t="str">
        <f>HYPERLINK("https://gerandofalcoes.my.salesforce.com/0014X00002YggngQAB", "0014X00002YggngQAB")</f>
        <v>0014X00002YggngQAB</v>
      </c>
      <c r="B861" s="2" t="s">
        <v>3722</v>
      </c>
      <c r="C861" s="2" t="s">
        <v>423</v>
      </c>
      <c r="D861" s="2" t="s">
        <v>2</v>
      </c>
      <c r="E861" s="2">
        <v>4.22</v>
      </c>
      <c r="F861" s="2">
        <v>0</v>
      </c>
      <c r="G861" s="2">
        <v>4</v>
      </c>
      <c r="H861" s="2">
        <v>13562</v>
      </c>
      <c r="I861" s="2">
        <v>0</v>
      </c>
      <c r="J861" s="2" t="s">
        <v>1779</v>
      </c>
      <c r="K861" s="2">
        <v>25</v>
      </c>
      <c r="L861" s="2">
        <v>10</v>
      </c>
      <c r="M861" s="2">
        <v>0</v>
      </c>
      <c r="N861" s="2">
        <v>10</v>
      </c>
      <c r="O861" s="2">
        <v>5</v>
      </c>
      <c r="P861" s="2">
        <v>0</v>
      </c>
      <c r="Q861" s="2" t="s">
        <v>3723</v>
      </c>
      <c r="R861" s="2" t="s">
        <v>3723</v>
      </c>
      <c r="S861" s="4">
        <v>44967</v>
      </c>
    </row>
    <row r="862" spans="1:19" ht="12.5" hidden="1" x14ac:dyDescent="0.25">
      <c r="A862" s="14" t="str">
        <f>HYPERLINK("https://gerandofalcoes.my.salesforce.com/0014X00002YggnwQAB", "0014X00002YggnwQAB")</f>
        <v>0014X00002YggnwQAB</v>
      </c>
      <c r="B862" s="2" t="s">
        <v>3724</v>
      </c>
      <c r="C862" s="2" t="s">
        <v>423</v>
      </c>
      <c r="D862" s="2" t="s">
        <v>2</v>
      </c>
      <c r="E862" s="2">
        <v>3.33</v>
      </c>
      <c r="F862" s="2">
        <v>1</v>
      </c>
      <c r="G862" s="2">
        <v>2</v>
      </c>
      <c r="H862" s="2">
        <v>86196</v>
      </c>
      <c r="I862" s="2">
        <v>10</v>
      </c>
      <c r="J862" s="2" t="s">
        <v>1779</v>
      </c>
      <c r="K862" s="2">
        <v>36</v>
      </c>
      <c r="L862" s="2">
        <v>10</v>
      </c>
      <c r="M862" s="2">
        <v>5</v>
      </c>
      <c r="N862" s="2">
        <v>6</v>
      </c>
      <c r="O862" s="2">
        <v>10</v>
      </c>
      <c r="P862" s="2">
        <v>5</v>
      </c>
      <c r="Q862" s="2" t="s">
        <v>3725</v>
      </c>
      <c r="R862" s="2" t="s">
        <v>3726</v>
      </c>
      <c r="S862" s="4">
        <v>44967</v>
      </c>
    </row>
    <row r="863" spans="1:19" ht="12.5" hidden="1" x14ac:dyDescent="0.25">
      <c r="A863" s="14" t="str">
        <f>HYPERLINK("https://gerandofalcoes.my.salesforce.com/0014X00002YggoCQAR", "0014X00002YggoCQAR")</f>
        <v>0014X00002YggoCQAR</v>
      </c>
      <c r="B863" s="2" t="s">
        <v>3727</v>
      </c>
      <c r="C863" s="2" t="s">
        <v>423</v>
      </c>
      <c r="D863" s="2" t="s">
        <v>2</v>
      </c>
      <c r="E863" s="2">
        <v>2.38</v>
      </c>
      <c r="F863" s="2">
        <v>0</v>
      </c>
      <c r="G863" s="2">
        <v>2</v>
      </c>
      <c r="H863" s="2">
        <v>5000</v>
      </c>
      <c r="I863" s="2">
        <v>50</v>
      </c>
      <c r="J863" s="2" t="s">
        <v>1779</v>
      </c>
      <c r="K863" s="2">
        <v>26</v>
      </c>
      <c r="L863" s="2">
        <v>10</v>
      </c>
      <c r="M863" s="2">
        <v>0</v>
      </c>
      <c r="N863" s="2">
        <v>6</v>
      </c>
      <c r="O863" s="2">
        <v>5</v>
      </c>
      <c r="P863" s="2">
        <v>5</v>
      </c>
      <c r="Q863" s="2" t="s">
        <v>3728</v>
      </c>
      <c r="R863" s="2" t="s">
        <v>3728</v>
      </c>
      <c r="S863" s="4">
        <v>44967</v>
      </c>
    </row>
    <row r="864" spans="1:19" ht="12.5" hidden="1" x14ac:dyDescent="0.25">
      <c r="A864" s="14" t="str">
        <f>HYPERLINK("https://gerandofalcoes.my.salesforce.com/0014X00002YggpvQAB", "0014X00002YggpvQAB")</f>
        <v>0014X00002YggpvQAB</v>
      </c>
      <c r="B864" s="2" t="s">
        <v>3729</v>
      </c>
      <c r="C864" s="2" t="s">
        <v>423</v>
      </c>
      <c r="D864" s="2" t="s">
        <v>2</v>
      </c>
      <c r="E864" s="2">
        <v>1.67</v>
      </c>
      <c r="F864" s="2">
        <v>12</v>
      </c>
      <c r="G864" s="2">
        <v>3</v>
      </c>
      <c r="H864" s="2">
        <v>50000</v>
      </c>
      <c r="I864" s="2">
        <v>200</v>
      </c>
      <c r="J864" s="2" t="s">
        <v>1671</v>
      </c>
      <c r="K864" s="2">
        <v>52</v>
      </c>
      <c r="L864" s="2">
        <v>10</v>
      </c>
      <c r="M864" s="2">
        <v>12</v>
      </c>
      <c r="N864" s="2">
        <v>8</v>
      </c>
      <c r="O864" s="2">
        <v>10</v>
      </c>
      <c r="P864" s="2">
        <v>12</v>
      </c>
      <c r="Q864" s="2" t="s">
        <v>3730</v>
      </c>
      <c r="R864" s="2" t="s">
        <v>3730</v>
      </c>
      <c r="S864" s="4">
        <v>44967</v>
      </c>
    </row>
    <row r="865" spans="1:19" ht="12.5" hidden="1" x14ac:dyDescent="0.25">
      <c r="A865" s="14" t="str">
        <f>HYPERLINK("https://gerandofalcoes.my.salesforce.com/0014X00002YgggVQAR", "0014X00002YgggVQAR")</f>
        <v>0014X00002YgggVQAR</v>
      </c>
      <c r="B865" s="2" t="s">
        <v>3731</v>
      </c>
      <c r="C865" s="2" t="s">
        <v>423</v>
      </c>
      <c r="D865" s="2" t="s">
        <v>2</v>
      </c>
      <c r="E865" s="2"/>
      <c r="F865" s="2">
        <v>2</v>
      </c>
      <c r="G865" s="2">
        <v>2</v>
      </c>
      <c r="H865" s="2">
        <v>150000</v>
      </c>
      <c r="I865" s="2">
        <v>250</v>
      </c>
      <c r="J865" s="2" t="s">
        <v>1779</v>
      </c>
      <c r="K865" s="2">
        <v>38</v>
      </c>
      <c r="L865" s="2">
        <v>0</v>
      </c>
      <c r="M865" s="2">
        <v>5</v>
      </c>
      <c r="N865" s="2">
        <v>6</v>
      </c>
      <c r="O865" s="2">
        <v>15</v>
      </c>
      <c r="P865" s="2">
        <v>12</v>
      </c>
      <c r="Q865" s="2" t="s">
        <v>3732</v>
      </c>
      <c r="R865" s="2" t="s">
        <v>3732</v>
      </c>
      <c r="S865" s="4">
        <v>44967</v>
      </c>
    </row>
    <row r="866" spans="1:19" ht="12.5" hidden="1" x14ac:dyDescent="0.25">
      <c r="A866" s="14" t="str">
        <f>HYPERLINK("https://gerandofalcoes.my.salesforce.com/0014X00002YggkxQAB", "0014X00002YggkxQAB")</f>
        <v>0014X00002YggkxQAB</v>
      </c>
      <c r="B866" s="2" t="s">
        <v>3733</v>
      </c>
      <c r="C866" s="2" t="s">
        <v>423</v>
      </c>
      <c r="D866" s="2" t="s">
        <v>2</v>
      </c>
      <c r="E866" s="2"/>
      <c r="F866" s="2">
        <v>0</v>
      </c>
      <c r="G866" s="2">
        <v>3</v>
      </c>
      <c r="H866" s="2">
        <v>80000</v>
      </c>
      <c r="I866" s="2">
        <v>250</v>
      </c>
      <c r="J866" s="2" t="s">
        <v>1779</v>
      </c>
      <c r="K866" s="2">
        <v>30</v>
      </c>
      <c r="L866" s="2">
        <v>0</v>
      </c>
      <c r="M866" s="2">
        <v>0</v>
      </c>
      <c r="N866" s="2">
        <v>8</v>
      </c>
      <c r="O866" s="2">
        <v>10</v>
      </c>
      <c r="P866" s="2">
        <v>12</v>
      </c>
      <c r="Q866" s="2" t="s">
        <v>3734</v>
      </c>
      <c r="R866" s="2" t="s">
        <v>3734</v>
      </c>
      <c r="S866" s="4">
        <v>44967</v>
      </c>
    </row>
    <row r="867" spans="1:19" ht="12.5" hidden="1" x14ac:dyDescent="0.25">
      <c r="A867" s="14" t="str">
        <f>HYPERLINK("https://gerandofalcoes.my.salesforce.com/0014X00002YggqbQAB", "0014X00002YggqbQAB")</f>
        <v>0014X00002YggqbQAB</v>
      </c>
      <c r="B867" s="2" t="s">
        <v>3735</v>
      </c>
      <c r="C867" s="2" t="s">
        <v>423</v>
      </c>
      <c r="D867" s="2" t="s">
        <v>2</v>
      </c>
      <c r="E867" s="2"/>
      <c r="F867" s="2">
        <v>4</v>
      </c>
      <c r="G867" s="2">
        <v>4</v>
      </c>
      <c r="H867" s="2">
        <v>300</v>
      </c>
      <c r="I867" s="2">
        <v>130</v>
      </c>
      <c r="J867" s="2" t="s">
        <v>1779</v>
      </c>
      <c r="K867" s="2">
        <v>30</v>
      </c>
      <c r="L867" s="2">
        <v>0</v>
      </c>
      <c r="M867" s="2">
        <v>5</v>
      </c>
      <c r="N867" s="2">
        <v>10</v>
      </c>
      <c r="O867" s="2">
        <v>5</v>
      </c>
      <c r="P867" s="2">
        <v>10</v>
      </c>
      <c r="Q867" s="2" t="s">
        <v>3736</v>
      </c>
      <c r="R867" s="2" t="s">
        <v>3737</v>
      </c>
      <c r="S867" s="4">
        <v>44967</v>
      </c>
    </row>
    <row r="868" spans="1:19" ht="12.5" hidden="1" x14ac:dyDescent="0.25">
      <c r="A868" s="14" t="str">
        <f>HYPERLINK("https://gerandofalcoes.my.salesforce.com/0014X00002YgggRQAR", "0014X00002YgggRQAR")</f>
        <v>0014X00002YgggRQAR</v>
      </c>
      <c r="B868" s="2" t="s">
        <v>3738</v>
      </c>
      <c r="C868" s="2" t="s">
        <v>423</v>
      </c>
      <c r="D868" s="2" t="s">
        <v>2</v>
      </c>
      <c r="E868" s="2"/>
      <c r="F868" s="2">
        <v>200</v>
      </c>
      <c r="G868" s="2">
        <v>5</v>
      </c>
      <c r="H868" s="2">
        <v>1000</v>
      </c>
      <c r="I868" s="2">
        <v>100</v>
      </c>
      <c r="J868" s="2" t="s">
        <v>1671</v>
      </c>
      <c r="K868" s="2">
        <v>40</v>
      </c>
      <c r="L868" s="2">
        <v>0</v>
      </c>
      <c r="M868" s="2">
        <v>15</v>
      </c>
      <c r="N868" s="2">
        <v>10</v>
      </c>
      <c r="O868" s="2">
        <v>5</v>
      </c>
      <c r="P868" s="2">
        <v>10</v>
      </c>
      <c r="Q868" s="2" t="s">
        <v>3739</v>
      </c>
      <c r="R868" s="2" t="s">
        <v>3739</v>
      </c>
      <c r="S868" s="4">
        <v>44967</v>
      </c>
    </row>
    <row r="869" spans="1:19" ht="12.5" hidden="1" x14ac:dyDescent="0.25">
      <c r="A869" s="14" t="str">
        <f>HYPERLINK("https://gerandofalcoes.my.salesforce.com/0014X00002YggpyQAB", "0014X00002YggpyQAB")</f>
        <v>0014X00002YggpyQAB</v>
      </c>
      <c r="B869" s="2" t="s">
        <v>3740</v>
      </c>
      <c r="C869" s="2" t="s">
        <v>423</v>
      </c>
      <c r="D869" s="2" t="s">
        <v>2</v>
      </c>
      <c r="E869" s="2"/>
      <c r="F869" s="2">
        <v>3</v>
      </c>
      <c r="G869" s="2">
        <v>3</v>
      </c>
      <c r="H869" s="2">
        <v>7000</v>
      </c>
      <c r="I869" s="2">
        <v>100</v>
      </c>
      <c r="J869" s="2" t="s">
        <v>1779</v>
      </c>
      <c r="K869" s="2">
        <v>28</v>
      </c>
      <c r="L869" s="2">
        <v>0</v>
      </c>
      <c r="M869" s="2">
        <v>5</v>
      </c>
      <c r="N869" s="2">
        <v>8</v>
      </c>
      <c r="O869" s="2">
        <v>5</v>
      </c>
      <c r="P869" s="2">
        <v>10</v>
      </c>
      <c r="Q869" s="2" t="s">
        <v>3741</v>
      </c>
      <c r="R869" s="2" t="s">
        <v>3742</v>
      </c>
      <c r="S869" s="4">
        <v>44967</v>
      </c>
    </row>
    <row r="870" spans="1:19" ht="12.5" hidden="1" x14ac:dyDescent="0.25">
      <c r="A870" s="14" t="str">
        <f>HYPERLINK("https://gerandofalcoes.my.salesforce.com/0014X00002YggiKQAR", "0014X00002YggiKQAR")</f>
        <v>0014X00002YggiKQAR</v>
      </c>
      <c r="B870" s="2" t="s">
        <v>3743</v>
      </c>
      <c r="C870" s="2" t="s">
        <v>423</v>
      </c>
      <c r="D870" s="2" t="s">
        <v>2</v>
      </c>
      <c r="E870" s="2"/>
      <c r="F870" s="2">
        <v>0</v>
      </c>
      <c r="G870" s="2">
        <v>2</v>
      </c>
      <c r="H870" s="2">
        <v>1000</v>
      </c>
      <c r="I870" s="2">
        <v>100</v>
      </c>
      <c r="J870" s="2" t="s">
        <v>1779</v>
      </c>
      <c r="K870" s="2">
        <v>21</v>
      </c>
      <c r="L870" s="2">
        <v>0</v>
      </c>
      <c r="M870" s="2">
        <v>0</v>
      </c>
      <c r="N870" s="2">
        <v>6</v>
      </c>
      <c r="O870" s="2">
        <v>5</v>
      </c>
      <c r="P870" s="2">
        <v>10</v>
      </c>
      <c r="Q870" s="2" t="s">
        <v>3744</v>
      </c>
      <c r="R870" s="2" t="s">
        <v>3744</v>
      </c>
      <c r="S870" s="4">
        <v>44967</v>
      </c>
    </row>
    <row r="871" spans="1:19" ht="12.5" hidden="1" x14ac:dyDescent="0.25">
      <c r="A871" s="14" t="str">
        <f>HYPERLINK("https://gerandofalcoes.my.salesforce.com/0014X00002YggqCQAR", "0014X00002YggqCQAR")</f>
        <v>0014X00002YggqCQAR</v>
      </c>
      <c r="B871" s="2" t="s">
        <v>3745</v>
      </c>
      <c r="C871" s="2" t="s">
        <v>423</v>
      </c>
      <c r="D871" s="2" t="s">
        <v>2</v>
      </c>
      <c r="E871" s="2"/>
      <c r="F871" s="2">
        <v>3</v>
      </c>
      <c r="G871" s="2">
        <v>2</v>
      </c>
      <c r="H871" s="2">
        <v>300</v>
      </c>
      <c r="I871" s="2">
        <v>70</v>
      </c>
      <c r="J871" s="2" t="s">
        <v>1779</v>
      </c>
      <c r="K871" s="2">
        <v>21</v>
      </c>
      <c r="L871" s="2">
        <v>0</v>
      </c>
      <c r="M871" s="2">
        <v>5</v>
      </c>
      <c r="N871" s="2">
        <v>6</v>
      </c>
      <c r="O871" s="2">
        <v>5</v>
      </c>
      <c r="P871" s="2">
        <v>5</v>
      </c>
      <c r="Q871" s="2" t="s">
        <v>3746</v>
      </c>
      <c r="R871" s="2" t="s">
        <v>3746</v>
      </c>
      <c r="S871" s="4">
        <v>44967</v>
      </c>
    </row>
    <row r="872" spans="1:19" ht="12.5" hidden="1" x14ac:dyDescent="0.25">
      <c r="A872" s="14" t="str">
        <f>HYPERLINK("https://gerandofalcoes.my.salesforce.com/0014X00002YgghxQAB", "0014X00002YgghxQAB")</f>
        <v>0014X00002YgghxQAB</v>
      </c>
      <c r="B872" s="2" t="s">
        <v>3747</v>
      </c>
      <c r="C872" s="2" t="s">
        <v>423</v>
      </c>
      <c r="D872" s="2" t="s">
        <v>2</v>
      </c>
      <c r="E872" s="2"/>
      <c r="F872" s="2">
        <v>12</v>
      </c>
      <c r="G872" s="2">
        <v>3</v>
      </c>
      <c r="H872" s="2">
        <v>3000</v>
      </c>
      <c r="I872" s="2">
        <v>59</v>
      </c>
      <c r="J872" s="2" t="s">
        <v>1779</v>
      </c>
      <c r="K872" s="2">
        <v>30</v>
      </c>
      <c r="L872" s="2">
        <v>0</v>
      </c>
      <c r="M872" s="2">
        <v>12</v>
      </c>
      <c r="N872" s="2">
        <v>8</v>
      </c>
      <c r="O872" s="2">
        <v>5</v>
      </c>
      <c r="P872" s="2">
        <v>5</v>
      </c>
      <c r="Q872" s="2" t="s">
        <v>3748</v>
      </c>
      <c r="R872" s="2" t="s">
        <v>3749</v>
      </c>
      <c r="S872" s="4">
        <v>44967</v>
      </c>
    </row>
    <row r="873" spans="1:19" ht="12.5" hidden="1" x14ac:dyDescent="0.25">
      <c r="A873" s="14" t="str">
        <f>HYPERLINK("https://gerandofalcoes.my.salesforce.com/0014X00002YggowQAB", "0014X00002YggowQAB")</f>
        <v>0014X00002YggowQAB</v>
      </c>
      <c r="B873" s="2" t="s">
        <v>3750</v>
      </c>
      <c r="C873" s="2" t="s">
        <v>423</v>
      </c>
      <c r="D873" s="2" t="s">
        <v>2</v>
      </c>
      <c r="E873" s="2"/>
      <c r="F873" s="2">
        <v>0</v>
      </c>
      <c r="G873" s="2">
        <v>2</v>
      </c>
      <c r="H873" s="2">
        <v>0</v>
      </c>
      <c r="I873" s="2">
        <v>30</v>
      </c>
      <c r="J873" s="2" t="s">
        <v>1779</v>
      </c>
      <c r="K873" s="2">
        <v>11</v>
      </c>
      <c r="L873" s="2">
        <v>0</v>
      </c>
      <c r="M873" s="2">
        <v>0</v>
      </c>
      <c r="N873" s="2">
        <v>6</v>
      </c>
      <c r="O873" s="2">
        <v>0</v>
      </c>
      <c r="P873" s="2">
        <v>5</v>
      </c>
      <c r="Q873" s="2" t="s">
        <v>3751</v>
      </c>
      <c r="R873" s="2" t="s">
        <v>3751</v>
      </c>
      <c r="S873" s="4">
        <v>44967</v>
      </c>
    </row>
    <row r="874" spans="1:19" ht="12.5" hidden="1" x14ac:dyDescent="0.25">
      <c r="A874" s="14" t="str">
        <f>HYPERLINK("https://gerandofalcoes.my.salesforce.com/0014X00002YggmmQAB", "0014X00002YggmmQAB")</f>
        <v>0014X00002YggmmQAB</v>
      </c>
      <c r="B874" s="2" t="s">
        <v>3752</v>
      </c>
      <c r="C874" s="2" t="s">
        <v>423</v>
      </c>
      <c r="D874" s="2" t="s">
        <v>2</v>
      </c>
      <c r="E874" s="2"/>
      <c r="F874" s="2">
        <v>0</v>
      </c>
      <c r="G874" s="2">
        <v>4</v>
      </c>
      <c r="H874" s="2">
        <v>1500</v>
      </c>
      <c r="I874" s="2">
        <v>30</v>
      </c>
      <c r="J874" s="2" t="s">
        <v>1779</v>
      </c>
      <c r="K874" s="2">
        <v>20</v>
      </c>
      <c r="L874" s="2">
        <v>0</v>
      </c>
      <c r="M874" s="2">
        <v>0</v>
      </c>
      <c r="N874" s="2">
        <v>10</v>
      </c>
      <c r="O874" s="2">
        <v>5</v>
      </c>
      <c r="P874" s="2">
        <v>5</v>
      </c>
      <c r="Q874" s="2" t="s">
        <v>3753</v>
      </c>
      <c r="R874" s="2" t="s">
        <v>3754</v>
      </c>
      <c r="S874" s="4">
        <v>44967</v>
      </c>
    </row>
    <row r="875" spans="1:19" ht="12.5" hidden="1" x14ac:dyDescent="0.25">
      <c r="A875" s="14" t="str">
        <f>HYPERLINK("https://gerandofalcoes.my.salesforce.com/0014X00002YgggOQAR", "0014X00002YgggOQAR")</f>
        <v>0014X00002YgggOQAR</v>
      </c>
      <c r="B875" s="2" t="s">
        <v>3755</v>
      </c>
      <c r="C875" s="2" t="s">
        <v>423</v>
      </c>
      <c r="D875" s="2" t="s">
        <v>2</v>
      </c>
      <c r="E875" s="2"/>
      <c r="F875" s="2">
        <v>0</v>
      </c>
      <c r="G875" s="2">
        <v>2</v>
      </c>
      <c r="H875" s="2">
        <v>1000</v>
      </c>
      <c r="I875" s="2">
        <v>20</v>
      </c>
      <c r="J875" s="2" t="s">
        <v>1779</v>
      </c>
      <c r="K875" s="2">
        <v>16</v>
      </c>
      <c r="L875" s="2">
        <v>0</v>
      </c>
      <c r="M875" s="2">
        <v>0</v>
      </c>
      <c r="N875" s="2">
        <v>6</v>
      </c>
      <c r="O875" s="2">
        <v>5</v>
      </c>
      <c r="P875" s="2">
        <v>5</v>
      </c>
      <c r="Q875" s="2" t="s">
        <v>3756</v>
      </c>
      <c r="R875" s="2" t="s">
        <v>3757</v>
      </c>
      <c r="S875" s="4">
        <v>44967</v>
      </c>
    </row>
    <row r="876" spans="1:19" ht="12.5" hidden="1" x14ac:dyDescent="0.25">
      <c r="A876" s="14" t="str">
        <f>HYPERLINK("https://gerandofalcoes.my.salesforce.com/0014X00002YggmTQAR", "0014X00002YggmTQAR")</f>
        <v>0014X00002YggmTQAR</v>
      </c>
      <c r="B876" s="2" t="s">
        <v>3758</v>
      </c>
      <c r="C876" s="2" t="s">
        <v>423</v>
      </c>
      <c r="D876" s="2" t="s">
        <v>2</v>
      </c>
      <c r="E876" s="2"/>
      <c r="F876" s="2">
        <v>1</v>
      </c>
      <c r="G876" s="2">
        <v>2</v>
      </c>
      <c r="H876" s="2">
        <v>0</v>
      </c>
      <c r="I876" s="2">
        <v>15</v>
      </c>
      <c r="J876" s="2" t="s">
        <v>1779</v>
      </c>
      <c r="K876" s="2">
        <v>16</v>
      </c>
      <c r="L876" s="2">
        <v>0</v>
      </c>
      <c r="M876" s="2">
        <v>5</v>
      </c>
      <c r="N876" s="2">
        <v>6</v>
      </c>
      <c r="O876" s="2">
        <v>0</v>
      </c>
      <c r="P876" s="2">
        <v>5</v>
      </c>
      <c r="Q876" s="2" t="s">
        <v>3759</v>
      </c>
      <c r="R876" s="2" t="s">
        <v>3759</v>
      </c>
      <c r="S876" s="4">
        <v>44967</v>
      </c>
    </row>
    <row r="877" spans="1:19" ht="12.5" hidden="1" x14ac:dyDescent="0.25">
      <c r="A877" s="14" t="str">
        <f>HYPERLINK("https://gerandofalcoes.my.salesforce.com/0014X00002YggpxQAB", "0014X00002YggpxQAB")</f>
        <v>0014X00002YggpxQAB</v>
      </c>
      <c r="B877" s="2" t="s">
        <v>3760</v>
      </c>
      <c r="C877" s="2" t="s">
        <v>423</v>
      </c>
      <c r="D877" s="2" t="s">
        <v>2</v>
      </c>
      <c r="E877" s="2"/>
      <c r="F877" s="2">
        <v>6</v>
      </c>
      <c r="G877" s="2">
        <v>2</v>
      </c>
      <c r="H877" s="2">
        <v>235000</v>
      </c>
      <c r="I877" s="2">
        <v>10</v>
      </c>
      <c r="J877" s="2" t="s">
        <v>1779</v>
      </c>
      <c r="K877" s="2">
        <v>36</v>
      </c>
      <c r="L877" s="2">
        <v>0</v>
      </c>
      <c r="M877" s="2">
        <v>10</v>
      </c>
      <c r="N877" s="2">
        <v>6</v>
      </c>
      <c r="O877" s="2">
        <v>15</v>
      </c>
      <c r="P877" s="2">
        <v>5</v>
      </c>
      <c r="Q877" s="2" t="s">
        <v>3761</v>
      </c>
      <c r="R877" s="2" t="s">
        <v>3762</v>
      </c>
      <c r="S877" s="4">
        <v>44967</v>
      </c>
    </row>
    <row r="878" spans="1:19" ht="12.5" hidden="1" x14ac:dyDescent="0.25">
      <c r="A878" s="14" t="str">
        <f>HYPERLINK("https://gerandofalcoes.my.salesforce.com/0014X00002YggnYQAR", "0014X00002YggnYQAR")</f>
        <v>0014X00002YggnYQAR</v>
      </c>
      <c r="B878" s="2" t="s">
        <v>3763</v>
      </c>
      <c r="C878" s="2" t="s">
        <v>423</v>
      </c>
      <c r="D878" s="2" t="s">
        <v>2</v>
      </c>
      <c r="E878" s="2"/>
      <c r="F878" s="2">
        <v>127</v>
      </c>
      <c r="G878" s="2">
        <v>4</v>
      </c>
      <c r="H878" s="2">
        <v>0</v>
      </c>
      <c r="I878" s="2">
        <v>0</v>
      </c>
      <c r="J878" s="2" t="s">
        <v>1779</v>
      </c>
      <c r="K878" s="2">
        <v>25</v>
      </c>
      <c r="L878" s="2">
        <v>0</v>
      </c>
      <c r="M878" s="2">
        <v>15</v>
      </c>
      <c r="N878" s="2">
        <v>10</v>
      </c>
      <c r="O878" s="2">
        <v>0</v>
      </c>
      <c r="P878" s="2">
        <v>0</v>
      </c>
      <c r="Q878" s="2" t="s">
        <v>3764</v>
      </c>
      <c r="R878" s="2" t="s">
        <v>3764</v>
      </c>
      <c r="S878" s="4">
        <v>44967</v>
      </c>
    </row>
    <row r="879" spans="1:19" ht="12.5" hidden="1" x14ac:dyDescent="0.25">
      <c r="A879" s="14" t="str">
        <f>HYPERLINK("https://gerandofalcoes.my.salesforce.com/0014X00002Yggr0QAB", "0014X00002Yggr0QAB")</f>
        <v>0014X00002Yggr0QAB</v>
      </c>
      <c r="B879" s="2" t="s">
        <v>3765</v>
      </c>
      <c r="C879" s="2" t="s">
        <v>423</v>
      </c>
      <c r="D879" s="2" t="s">
        <v>2</v>
      </c>
      <c r="E879" s="2"/>
      <c r="F879" s="2">
        <v>3</v>
      </c>
      <c r="G879" s="2">
        <v>122</v>
      </c>
      <c r="H879" s="2">
        <v>10000</v>
      </c>
      <c r="I879" s="2">
        <v>0</v>
      </c>
      <c r="J879" s="2" t="s">
        <v>1779</v>
      </c>
      <c r="K879" s="2">
        <v>20</v>
      </c>
      <c r="L879" s="2">
        <v>0</v>
      </c>
      <c r="M879" s="2">
        <v>5</v>
      </c>
      <c r="N879" s="2">
        <v>10</v>
      </c>
      <c r="O879" s="2">
        <v>5</v>
      </c>
      <c r="P879" s="2">
        <v>0</v>
      </c>
      <c r="Q879" s="2" t="s">
        <v>3766</v>
      </c>
      <c r="R879" s="2" t="s">
        <v>3767</v>
      </c>
      <c r="S879" s="4">
        <v>44967</v>
      </c>
    </row>
    <row r="880" spans="1:19" ht="12.5" hidden="1" x14ac:dyDescent="0.25">
      <c r="A880" s="14" t="str">
        <f>HYPERLINK("https://gerandofalcoes.my.salesforce.com/0014X00002YgghUQAR", "0014X00002YgghUQAR")</f>
        <v>0014X00002YgghUQAR</v>
      </c>
      <c r="B880" s="2" t="s">
        <v>3771</v>
      </c>
      <c r="C880" s="2" t="s">
        <v>423</v>
      </c>
      <c r="D880" s="2" t="s">
        <v>2</v>
      </c>
      <c r="E880" s="2"/>
      <c r="F880" s="2">
        <v>10</v>
      </c>
      <c r="G880" s="2">
        <v>4</v>
      </c>
      <c r="H880" s="2">
        <v>1600</v>
      </c>
      <c r="I880" s="2">
        <v>0</v>
      </c>
      <c r="J880" s="2" t="s">
        <v>1779</v>
      </c>
      <c r="K880" s="2">
        <v>25</v>
      </c>
      <c r="L880" s="2">
        <v>0</v>
      </c>
      <c r="M880" s="2">
        <v>10</v>
      </c>
      <c r="N880" s="2">
        <v>10</v>
      </c>
      <c r="O880" s="2">
        <v>5</v>
      </c>
      <c r="P880" s="2">
        <v>0</v>
      </c>
      <c r="Q880" s="2" t="s">
        <v>3772</v>
      </c>
      <c r="R880" s="2" t="s">
        <v>3772</v>
      </c>
      <c r="S880" s="4">
        <v>44967</v>
      </c>
    </row>
    <row r="881" spans="1:19" ht="12.5" hidden="1" x14ac:dyDescent="0.25">
      <c r="A881" s="14" t="str">
        <f>HYPERLINK("https://gerandofalcoes.my.salesforce.com/0014X00002YgbkqQAB", "0014X00002YgbkqQAB")</f>
        <v>0014X00002YgbkqQAB</v>
      </c>
      <c r="B881" s="2" t="s">
        <v>3773</v>
      </c>
      <c r="C881" s="2" t="s">
        <v>423</v>
      </c>
      <c r="D881" s="2" t="s">
        <v>2</v>
      </c>
      <c r="E881" s="2"/>
      <c r="F881" s="2">
        <v>0</v>
      </c>
      <c r="G881" s="2">
        <v>0</v>
      </c>
      <c r="H881" s="2">
        <v>0</v>
      </c>
      <c r="I881" s="2">
        <v>0</v>
      </c>
      <c r="J881" s="2" t="s">
        <v>1779</v>
      </c>
      <c r="K881" s="2">
        <v>0</v>
      </c>
      <c r="L881" s="2">
        <v>0</v>
      </c>
      <c r="M881" s="2">
        <v>0</v>
      </c>
      <c r="N881" s="2">
        <v>0</v>
      </c>
      <c r="O881" s="2">
        <v>0</v>
      </c>
      <c r="P881" s="2">
        <v>0</v>
      </c>
      <c r="Q881" s="2" t="s">
        <v>3774</v>
      </c>
      <c r="R881" s="2" t="s">
        <v>3774</v>
      </c>
      <c r="S881" s="4">
        <v>44967</v>
      </c>
    </row>
    <row r="882" spans="1:19" ht="12.5" hidden="1" x14ac:dyDescent="0.25">
      <c r="A882" s="14" t="str">
        <f>HYPERLINK("https://gerandofalcoes.my.salesforce.com/0014X00002YggomQAB", "0014X00002YggomQAB")</f>
        <v>0014X00002YggomQAB</v>
      </c>
      <c r="B882" s="2" t="s">
        <v>3768</v>
      </c>
      <c r="C882" s="2" t="s">
        <v>423</v>
      </c>
      <c r="D882" s="2" t="s">
        <v>2</v>
      </c>
      <c r="E882" s="2"/>
      <c r="F882" s="2">
        <v>0</v>
      </c>
      <c r="G882" s="2">
        <v>3</v>
      </c>
      <c r="H882" s="2">
        <v>44682</v>
      </c>
      <c r="I882" s="2">
        <v>0</v>
      </c>
      <c r="J882" s="2" t="s">
        <v>1779</v>
      </c>
      <c r="K882" s="2">
        <v>18</v>
      </c>
      <c r="L882" s="2">
        <v>0</v>
      </c>
      <c r="M882" s="2">
        <v>0</v>
      </c>
      <c r="N882" s="2">
        <v>8</v>
      </c>
      <c r="O882" s="2">
        <v>10</v>
      </c>
      <c r="P882" s="2">
        <v>0</v>
      </c>
      <c r="Q882" s="2" t="s">
        <v>3769</v>
      </c>
      <c r="R882" s="2" t="s">
        <v>3770</v>
      </c>
      <c r="S882" s="4">
        <v>44967</v>
      </c>
    </row>
    <row r="883" spans="1:19" ht="12.5" hidden="1" x14ac:dyDescent="0.25">
      <c r="A883" s="14" t="str">
        <f>HYPERLINK("https://gerandofalcoes.my.salesforce.com/0014X00002YgghrQAB", "0014X00002YgghrQAB")</f>
        <v>0014X00002YgghrQAB</v>
      </c>
      <c r="B883" s="2" t="s">
        <v>3775</v>
      </c>
      <c r="C883" s="2" t="s">
        <v>423</v>
      </c>
      <c r="D883" s="2" t="s">
        <v>2</v>
      </c>
      <c r="E883" s="2">
        <v>56.26</v>
      </c>
      <c r="F883" s="2">
        <v>12</v>
      </c>
      <c r="G883" s="2">
        <v>4</v>
      </c>
      <c r="H883" s="2">
        <v>700000</v>
      </c>
      <c r="I883" s="2">
        <v>410</v>
      </c>
      <c r="J883" s="2" t="s">
        <v>1650</v>
      </c>
      <c r="K883" s="2">
        <v>77</v>
      </c>
      <c r="L883" s="2">
        <v>20</v>
      </c>
      <c r="M883" s="2">
        <v>12</v>
      </c>
      <c r="N883" s="2">
        <v>10</v>
      </c>
      <c r="O883" s="2">
        <v>20</v>
      </c>
      <c r="P883" s="2">
        <v>15</v>
      </c>
      <c r="Q883" s="2" t="s">
        <v>3776</v>
      </c>
      <c r="R883" s="2" t="s">
        <v>3776</v>
      </c>
      <c r="S883" s="4">
        <v>44968</v>
      </c>
    </row>
    <row r="884" spans="1:19" ht="12.5" hidden="1" x14ac:dyDescent="0.25">
      <c r="A884" s="14" t="str">
        <f>HYPERLINK("https://gerandofalcoes.my.salesforce.com/0014X00002YggkTQAR", "0014X00002YggkTQAR")</f>
        <v>0014X00002YggkTQAR</v>
      </c>
      <c r="B884" s="2" t="s">
        <v>3777</v>
      </c>
      <c r="C884" s="2" t="s">
        <v>423</v>
      </c>
      <c r="D884" s="2" t="s">
        <v>2</v>
      </c>
      <c r="E884" s="2">
        <v>18.39</v>
      </c>
      <c r="F884" s="2">
        <v>1</v>
      </c>
      <c r="G884" s="2">
        <v>4</v>
      </c>
      <c r="H884" s="2">
        <v>7134525</v>
      </c>
      <c r="I884" s="2">
        <v>20</v>
      </c>
      <c r="J884" s="2" t="s">
        <v>1671</v>
      </c>
      <c r="K884" s="2">
        <v>55</v>
      </c>
      <c r="L884" s="2">
        <v>10</v>
      </c>
      <c r="M884" s="2">
        <v>5</v>
      </c>
      <c r="N884" s="2">
        <v>10</v>
      </c>
      <c r="O884" s="2">
        <v>25</v>
      </c>
      <c r="P884" s="2">
        <v>5</v>
      </c>
      <c r="Q884" s="2" t="s">
        <v>3778</v>
      </c>
      <c r="R884" s="2" t="s">
        <v>3778</v>
      </c>
      <c r="S884" s="4">
        <v>44968</v>
      </c>
    </row>
    <row r="885" spans="1:19" ht="12.5" hidden="1" x14ac:dyDescent="0.25">
      <c r="A885" s="14" t="str">
        <f>HYPERLINK("https://gerandofalcoes.my.salesforce.com/0014X00002Yggr5QAB", "0014X00002Yggr5QAB")</f>
        <v>0014X00002Yggr5QAB</v>
      </c>
      <c r="B885" s="2" t="s">
        <v>3779</v>
      </c>
      <c r="C885" s="2" t="s">
        <v>423</v>
      </c>
      <c r="D885" s="2" t="s">
        <v>2</v>
      </c>
      <c r="E885" s="2">
        <v>15.28</v>
      </c>
      <c r="F885" s="2">
        <v>3</v>
      </c>
      <c r="G885" s="2">
        <v>2</v>
      </c>
      <c r="H885" s="2">
        <v>24000</v>
      </c>
      <c r="I885" s="2">
        <v>0</v>
      </c>
      <c r="J885" s="2" t="s">
        <v>1779</v>
      </c>
      <c r="K885" s="2">
        <v>26</v>
      </c>
      <c r="L885" s="2">
        <v>10</v>
      </c>
      <c r="M885" s="2">
        <v>5</v>
      </c>
      <c r="N885" s="2">
        <v>6</v>
      </c>
      <c r="O885" s="2">
        <v>5</v>
      </c>
      <c r="P885" s="2">
        <v>0</v>
      </c>
      <c r="Q885" s="2" t="s">
        <v>3780</v>
      </c>
      <c r="R885" s="2" t="s">
        <v>3780</v>
      </c>
      <c r="S885" s="4">
        <v>44968</v>
      </c>
    </row>
    <row r="886" spans="1:19" ht="12.5" hidden="1" x14ac:dyDescent="0.25">
      <c r="A886" s="14" t="str">
        <f>HYPERLINK("https://gerandofalcoes.my.salesforce.com/0014X00002YggitQAB", "0014X00002YggitQAB")</f>
        <v>0014X00002YggitQAB</v>
      </c>
      <c r="B886" s="2" t="s">
        <v>3781</v>
      </c>
      <c r="C886" s="2" t="s">
        <v>1684</v>
      </c>
      <c r="D886" s="2" t="s">
        <v>2</v>
      </c>
      <c r="E886" s="2">
        <v>9.0500000000000007</v>
      </c>
      <c r="F886" s="2">
        <v>0</v>
      </c>
      <c r="G886" s="2">
        <v>2</v>
      </c>
      <c r="H886" s="2">
        <v>0</v>
      </c>
      <c r="I886" s="2">
        <v>40</v>
      </c>
      <c r="J886" s="2" t="s">
        <v>1779</v>
      </c>
      <c r="K886" s="2">
        <v>21</v>
      </c>
      <c r="L886" s="2">
        <v>10</v>
      </c>
      <c r="M886" s="2">
        <v>0</v>
      </c>
      <c r="N886" s="2">
        <v>6</v>
      </c>
      <c r="O886" s="2">
        <v>0</v>
      </c>
      <c r="P886" s="2">
        <v>5</v>
      </c>
      <c r="Q886" s="2" t="s">
        <v>3782</v>
      </c>
      <c r="R886" s="2" t="s">
        <v>3783</v>
      </c>
      <c r="S886" s="4">
        <v>44968</v>
      </c>
    </row>
    <row r="887" spans="1:19" ht="12.5" hidden="1" x14ac:dyDescent="0.25">
      <c r="A887" s="14" t="str">
        <f>HYPERLINK("https://gerandofalcoes.my.salesforce.com/0014X00002YgghbQAB", "0014X00002YgghbQAB")</f>
        <v>0014X00002YgghbQAB</v>
      </c>
      <c r="B887" s="2" t="s">
        <v>3784</v>
      </c>
      <c r="C887" s="2" t="s">
        <v>423</v>
      </c>
      <c r="D887" s="2" t="s">
        <v>2</v>
      </c>
      <c r="E887" s="2">
        <v>7.42</v>
      </c>
      <c r="F887" s="2">
        <v>4</v>
      </c>
      <c r="G887" s="2">
        <v>6</v>
      </c>
      <c r="H887" s="2">
        <v>8000</v>
      </c>
      <c r="I887" s="2">
        <v>280</v>
      </c>
      <c r="J887" s="2" t="s">
        <v>1671</v>
      </c>
      <c r="K887" s="2">
        <v>42</v>
      </c>
      <c r="L887" s="2">
        <v>10</v>
      </c>
      <c r="M887" s="2">
        <v>5</v>
      </c>
      <c r="N887" s="2">
        <v>10</v>
      </c>
      <c r="O887" s="2">
        <v>5</v>
      </c>
      <c r="P887" s="2">
        <v>12</v>
      </c>
      <c r="Q887" s="2" t="s">
        <v>3785</v>
      </c>
      <c r="R887" s="2" t="s">
        <v>3786</v>
      </c>
      <c r="S887" s="4">
        <v>44968</v>
      </c>
    </row>
    <row r="888" spans="1:19" ht="12.5" hidden="1" x14ac:dyDescent="0.25">
      <c r="A888" s="14" t="str">
        <f>HYPERLINK("https://gerandofalcoes.my.salesforce.com/0014X00002YgbktQAB", "0014X00002YgbktQAB")</f>
        <v>0014X00002YgbktQAB</v>
      </c>
      <c r="B888" s="2" t="s">
        <v>3787</v>
      </c>
      <c r="C888" s="2" t="s">
        <v>423</v>
      </c>
      <c r="D888" s="2" t="s">
        <v>2</v>
      </c>
      <c r="E888" s="2">
        <v>7.22</v>
      </c>
      <c r="F888" s="2">
        <v>0</v>
      </c>
      <c r="G888" s="2">
        <v>0</v>
      </c>
      <c r="H888" s="2">
        <v>0</v>
      </c>
      <c r="I888" s="2">
        <v>0</v>
      </c>
      <c r="J888" s="2" t="s">
        <v>1779</v>
      </c>
      <c r="K888" s="2">
        <v>10</v>
      </c>
      <c r="L888" s="2">
        <v>10</v>
      </c>
      <c r="M888" s="2">
        <v>0</v>
      </c>
      <c r="N888" s="2">
        <v>0</v>
      </c>
      <c r="O888" s="2">
        <v>0</v>
      </c>
      <c r="P888" s="2">
        <v>0</v>
      </c>
      <c r="Q888" s="2" t="s">
        <v>3788</v>
      </c>
      <c r="R888" s="2" t="s">
        <v>3788</v>
      </c>
      <c r="S888" s="4">
        <v>44968</v>
      </c>
    </row>
    <row r="889" spans="1:19" ht="12.5" hidden="1" x14ac:dyDescent="0.25">
      <c r="A889" s="14" t="str">
        <f>HYPERLINK("https://gerandofalcoes.my.salesforce.com/0014X00002YggnIQAR", "0014X00002YggnIQAR")</f>
        <v>0014X00002YggnIQAR</v>
      </c>
      <c r="B889" s="2" t="s">
        <v>3789</v>
      </c>
      <c r="C889" s="2" t="s">
        <v>423</v>
      </c>
      <c r="D889" s="2" t="s">
        <v>2</v>
      </c>
      <c r="E889" s="2">
        <v>1.67</v>
      </c>
      <c r="F889" s="2">
        <v>0</v>
      </c>
      <c r="G889" s="2">
        <v>2</v>
      </c>
      <c r="H889" s="2">
        <v>1000</v>
      </c>
      <c r="I889" s="2">
        <v>20</v>
      </c>
      <c r="J889" s="2" t="s">
        <v>1779</v>
      </c>
      <c r="K889" s="2">
        <v>26</v>
      </c>
      <c r="L889" s="2">
        <v>10</v>
      </c>
      <c r="M889" s="2">
        <v>0</v>
      </c>
      <c r="N889" s="2">
        <v>6</v>
      </c>
      <c r="O889" s="2">
        <v>5</v>
      </c>
      <c r="P889" s="2">
        <v>5</v>
      </c>
      <c r="Q889" s="2" t="s">
        <v>3790</v>
      </c>
      <c r="R889" s="2" t="s">
        <v>3791</v>
      </c>
      <c r="S889" s="4">
        <v>44968</v>
      </c>
    </row>
    <row r="890" spans="1:19" ht="12.5" hidden="1" x14ac:dyDescent="0.25">
      <c r="A890" s="14" t="str">
        <f>HYPERLINK("https://gerandofalcoes.my.salesforce.com/0014X00002YgghTQAR", "0014X00002YgghTQAR")</f>
        <v>0014X00002YgghTQAR</v>
      </c>
      <c r="B890" s="2" t="s">
        <v>3792</v>
      </c>
      <c r="C890" s="2" t="s">
        <v>423</v>
      </c>
      <c r="D890" s="2" t="s">
        <v>2</v>
      </c>
      <c r="E890" s="2"/>
      <c r="F890" s="2">
        <v>2</v>
      </c>
      <c r="G890" s="2">
        <v>2</v>
      </c>
      <c r="H890" s="2">
        <v>4500</v>
      </c>
      <c r="I890" s="2">
        <v>77</v>
      </c>
      <c r="J890" s="2" t="s">
        <v>1779</v>
      </c>
      <c r="K890" s="2">
        <v>21</v>
      </c>
      <c r="L890" s="2">
        <v>0</v>
      </c>
      <c r="M890" s="2">
        <v>5</v>
      </c>
      <c r="N890" s="2">
        <v>6</v>
      </c>
      <c r="O890" s="2">
        <v>5</v>
      </c>
      <c r="P890" s="2">
        <v>5</v>
      </c>
      <c r="Q890" s="2" t="s">
        <v>3793</v>
      </c>
      <c r="R890" s="2" t="s">
        <v>3793</v>
      </c>
      <c r="S890" s="4">
        <v>44968</v>
      </c>
    </row>
    <row r="891" spans="1:19" ht="12.5" hidden="1" x14ac:dyDescent="0.25">
      <c r="A891" s="14" t="str">
        <f>HYPERLINK("https://gerandofalcoes.my.salesforce.com/0014X00002YggiFQAR", "0014X00002YggiFQAR")</f>
        <v>0014X00002YggiFQAR</v>
      </c>
      <c r="B891" s="2" t="s">
        <v>3794</v>
      </c>
      <c r="C891" s="2" t="s">
        <v>423</v>
      </c>
      <c r="D891" s="2" t="s">
        <v>2</v>
      </c>
      <c r="E891" s="2"/>
      <c r="F891" s="2">
        <v>2</v>
      </c>
      <c r="G891" s="2">
        <v>2</v>
      </c>
      <c r="H891" s="2">
        <v>200</v>
      </c>
      <c r="I891" s="2">
        <v>50</v>
      </c>
      <c r="J891" s="2" t="s">
        <v>1779</v>
      </c>
      <c r="K891" s="2">
        <v>21</v>
      </c>
      <c r="L891" s="2">
        <v>0</v>
      </c>
      <c r="M891" s="2">
        <v>5</v>
      </c>
      <c r="N891" s="2">
        <v>6</v>
      </c>
      <c r="O891" s="2">
        <v>5</v>
      </c>
      <c r="P891" s="2">
        <v>5</v>
      </c>
      <c r="Q891" s="2" t="s">
        <v>3795</v>
      </c>
      <c r="R891" s="2" t="s">
        <v>3795</v>
      </c>
      <c r="S891" s="4">
        <v>44968</v>
      </c>
    </row>
    <row r="892" spans="1:19" ht="12.5" hidden="1" x14ac:dyDescent="0.25">
      <c r="A892" s="14" t="str">
        <f>HYPERLINK("https://gerandofalcoes.my.salesforce.com/0014X00002YgbkmQAB", "0014X00002YgbkmQAB")</f>
        <v>0014X00002YgbkmQAB</v>
      </c>
      <c r="B892" s="2" t="s">
        <v>3796</v>
      </c>
      <c r="C892" s="2" t="s">
        <v>423</v>
      </c>
      <c r="D892" s="2" t="s">
        <v>2</v>
      </c>
      <c r="E892" s="2"/>
      <c r="F892" s="2">
        <v>0</v>
      </c>
      <c r="G892" s="2">
        <v>0</v>
      </c>
      <c r="H892" s="2">
        <v>0</v>
      </c>
      <c r="I892" s="2">
        <v>0</v>
      </c>
      <c r="J892" s="2" t="s">
        <v>1779</v>
      </c>
      <c r="K892" s="2">
        <v>0</v>
      </c>
      <c r="L892" s="2">
        <v>0</v>
      </c>
      <c r="M892" s="2">
        <v>0</v>
      </c>
      <c r="N892" s="2">
        <v>0</v>
      </c>
      <c r="O892" s="2">
        <v>0</v>
      </c>
      <c r="P892" s="2">
        <v>0</v>
      </c>
      <c r="Q892" s="2" t="s">
        <v>3797</v>
      </c>
      <c r="R892" s="2" t="s">
        <v>3797</v>
      </c>
      <c r="S892" s="4">
        <v>44968</v>
      </c>
    </row>
    <row r="893" spans="1:19" ht="12.5" hidden="1" x14ac:dyDescent="0.25">
      <c r="A893" s="14" t="str">
        <f>HYPERLINK("https://gerandofalcoes.my.salesforce.com/0014X00002YgbkhQAB", "0014X00002YgbkhQAB")</f>
        <v>0014X00002YgbkhQAB</v>
      </c>
      <c r="B893" s="2" t="s">
        <v>3798</v>
      </c>
      <c r="C893" s="2" t="s">
        <v>423</v>
      </c>
      <c r="D893" s="2" t="s">
        <v>2</v>
      </c>
      <c r="E893" s="2">
        <v>53.16</v>
      </c>
      <c r="F893" s="2">
        <v>0</v>
      </c>
      <c r="G893" s="2">
        <v>0</v>
      </c>
      <c r="H893" s="2">
        <v>0</v>
      </c>
      <c r="I893" s="2">
        <v>0</v>
      </c>
      <c r="J893" s="2" t="s">
        <v>1779</v>
      </c>
      <c r="K893" s="2">
        <v>20</v>
      </c>
      <c r="L893" s="2">
        <v>20</v>
      </c>
      <c r="M893" s="2">
        <v>0</v>
      </c>
      <c r="N893" s="2">
        <v>0</v>
      </c>
      <c r="O893" s="2">
        <v>0</v>
      </c>
      <c r="P893" s="2">
        <v>0</v>
      </c>
      <c r="Q893" s="2" t="s">
        <v>3799</v>
      </c>
      <c r="R893" s="2" t="s">
        <v>3799</v>
      </c>
      <c r="S893" s="4">
        <v>44970</v>
      </c>
    </row>
    <row r="894" spans="1:19" ht="12.5" hidden="1" x14ac:dyDescent="0.25">
      <c r="A894" s="14" t="str">
        <f>HYPERLINK("https://gerandofalcoes.my.salesforce.com/0014X00002YggjpQAB", "0014X00002YggjpQAB")</f>
        <v>0014X00002YggjpQAB</v>
      </c>
      <c r="B894" s="2" t="s">
        <v>3800</v>
      </c>
      <c r="C894" s="2" t="s">
        <v>423</v>
      </c>
      <c r="D894" s="2" t="s">
        <v>2</v>
      </c>
      <c r="E894" s="2">
        <v>7.38</v>
      </c>
      <c r="F894" s="2">
        <v>4</v>
      </c>
      <c r="G894" s="2">
        <v>5</v>
      </c>
      <c r="H894" s="2">
        <v>8500</v>
      </c>
      <c r="I894" s="2">
        <v>7</v>
      </c>
      <c r="J894" s="2" t="s">
        <v>1779</v>
      </c>
      <c r="K894" s="2">
        <v>35</v>
      </c>
      <c r="L894" s="2">
        <v>10</v>
      </c>
      <c r="M894" s="2">
        <v>5</v>
      </c>
      <c r="N894" s="2">
        <v>10</v>
      </c>
      <c r="O894" s="2">
        <v>5</v>
      </c>
      <c r="P894" s="2">
        <v>5</v>
      </c>
      <c r="Q894" s="2" t="s">
        <v>3801</v>
      </c>
      <c r="R894" s="2" t="s">
        <v>3801</v>
      </c>
      <c r="S894" s="4">
        <v>44970</v>
      </c>
    </row>
    <row r="895" spans="1:19" ht="12.5" hidden="1" x14ac:dyDescent="0.25">
      <c r="A895" s="14" t="str">
        <f>HYPERLINK("https://gerandofalcoes.my.salesforce.com/0014X00002YgglaQAB", "0014X00002YgglaQAB")</f>
        <v>0014X00002YgglaQAB</v>
      </c>
      <c r="B895" s="2" t="s">
        <v>3802</v>
      </c>
      <c r="C895" s="2" t="s">
        <v>423</v>
      </c>
      <c r="D895" s="2" t="s">
        <v>2</v>
      </c>
      <c r="E895" s="2"/>
      <c r="F895" s="2">
        <v>10</v>
      </c>
      <c r="G895" s="2">
        <v>2</v>
      </c>
      <c r="H895" s="2">
        <v>6000</v>
      </c>
      <c r="I895" s="2">
        <v>25</v>
      </c>
      <c r="J895" s="2" t="s">
        <v>1779</v>
      </c>
      <c r="K895" s="2">
        <v>26</v>
      </c>
      <c r="L895" s="2">
        <v>0</v>
      </c>
      <c r="M895" s="2">
        <v>10</v>
      </c>
      <c r="N895" s="2">
        <v>6</v>
      </c>
      <c r="O895" s="2">
        <v>5</v>
      </c>
      <c r="P895" s="2">
        <v>5</v>
      </c>
      <c r="Q895" s="2" t="s">
        <v>3803</v>
      </c>
      <c r="R895" s="2" t="s">
        <v>3804</v>
      </c>
      <c r="S895" s="4">
        <v>44970</v>
      </c>
    </row>
    <row r="896" spans="1:19" ht="12.5" hidden="1" x14ac:dyDescent="0.25">
      <c r="A896" s="14" t="str">
        <f>HYPERLINK("https://gerandofalcoes.my.salesforce.com/0014X00002Yjq5GQAR", "0014X00002Yjq5GQAR")</f>
        <v>0014X00002Yjq5GQAR</v>
      </c>
      <c r="B896" s="2" t="s">
        <v>3805</v>
      </c>
      <c r="C896" s="2" t="s">
        <v>423</v>
      </c>
      <c r="D896" s="2" t="s">
        <v>2</v>
      </c>
      <c r="E896" s="2">
        <v>0</v>
      </c>
      <c r="F896" s="2">
        <v>0</v>
      </c>
      <c r="G896" s="2">
        <v>1</v>
      </c>
      <c r="H896" s="2">
        <v>3000</v>
      </c>
      <c r="I896" s="2">
        <v>180</v>
      </c>
      <c r="J896" s="2" t="s">
        <v>1779</v>
      </c>
      <c r="K896" s="2">
        <v>21</v>
      </c>
      <c r="L896" s="2">
        <v>0</v>
      </c>
      <c r="M896" s="2">
        <v>0</v>
      </c>
      <c r="N896" s="2">
        <v>4</v>
      </c>
      <c r="O896" s="2">
        <v>5</v>
      </c>
      <c r="P896" s="2">
        <v>12</v>
      </c>
      <c r="Q896" s="2" t="s">
        <v>3806</v>
      </c>
      <c r="R896" s="2" t="s">
        <v>3806</v>
      </c>
      <c r="S896" s="4">
        <v>44985</v>
      </c>
    </row>
    <row r="897" spans="1:19" ht="12.5" hidden="1" x14ac:dyDescent="0.25">
      <c r="A897" s="14" t="str">
        <f>HYPERLINK("https://gerandofalcoes.my.salesforce.com/0014X00002VKCqyQAH", "0014X00002VKCqyQAH")</f>
        <v>0014X00002VKCqyQAH</v>
      </c>
      <c r="B897" s="2" t="s">
        <v>3807</v>
      </c>
      <c r="C897" s="2" t="s">
        <v>423</v>
      </c>
      <c r="D897" s="2" t="s">
        <v>2</v>
      </c>
      <c r="E897" s="2">
        <v>6.71</v>
      </c>
      <c r="F897" s="2">
        <v>20</v>
      </c>
      <c r="G897" s="2">
        <v>3</v>
      </c>
      <c r="H897" s="2">
        <v>5000</v>
      </c>
      <c r="I897" s="2">
        <v>200</v>
      </c>
      <c r="J897" s="2" t="s">
        <v>1671</v>
      </c>
      <c r="K897" s="2">
        <v>47</v>
      </c>
      <c r="L897" s="2">
        <v>10</v>
      </c>
      <c r="M897" s="2">
        <v>12</v>
      </c>
      <c r="N897" s="2">
        <v>8</v>
      </c>
      <c r="O897" s="2">
        <v>5</v>
      </c>
      <c r="P897" s="2">
        <v>12</v>
      </c>
      <c r="Q897" s="2" t="s">
        <v>3808</v>
      </c>
      <c r="R897" s="2" t="s">
        <v>3809</v>
      </c>
      <c r="S897" s="4">
        <v>44986</v>
      </c>
    </row>
    <row r="898" spans="1:19" ht="12.5" hidden="1" x14ac:dyDescent="0.25">
      <c r="A898" s="14" t="str">
        <f>HYPERLINK("https://gerandofalcoes.my.salesforce.com/0014X00002YggoZQAR", "0014X00002YggoZQAR")</f>
        <v>0014X00002YggoZQAR</v>
      </c>
      <c r="B898" s="2" t="s">
        <v>3810</v>
      </c>
      <c r="C898" s="2" t="s">
        <v>423</v>
      </c>
      <c r="D898" s="2" t="s">
        <v>2</v>
      </c>
      <c r="E898" s="2"/>
      <c r="F898" s="2">
        <v>1</v>
      </c>
      <c r="G898" s="2">
        <v>2</v>
      </c>
      <c r="H898" s="2">
        <v>5000</v>
      </c>
      <c r="I898" s="2">
        <v>40</v>
      </c>
      <c r="J898" s="2" t="s">
        <v>1779</v>
      </c>
      <c r="K898" s="2">
        <v>21</v>
      </c>
      <c r="L898" s="2">
        <v>0</v>
      </c>
      <c r="M898" s="2">
        <v>5</v>
      </c>
      <c r="N898" s="2">
        <v>6</v>
      </c>
      <c r="O898" s="2">
        <v>5</v>
      </c>
      <c r="P898" s="2">
        <v>5</v>
      </c>
      <c r="Q898" s="2" t="s">
        <v>3811</v>
      </c>
      <c r="R898" s="2" t="s">
        <v>3811</v>
      </c>
      <c r="S898" s="4">
        <v>44988</v>
      </c>
    </row>
    <row r="899" spans="1:19" ht="12.5" hidden="1" x14ac:dyDescent="0.25">
      <c r="A899" s="14" t="str">
        <f>HYPERLINK("https://gerandofalcoes.my.salesforce.com/0014X00002cUXt4QAG", "0014X00002cUXt4QAG")</f>
        <v>0014X00002cUXt4QAG</v>
      </c>
      <c r="B899" s="2" t="s">
        <v>3812</v>
      </c>
      <c r="C899" s="2" t="s">
        <v>423</v>
      </c>
      <c r="D899" s="2" t="s">
        <v>2</v>
      </c>
      <c r="E899" s="2">
        <v>10</v>
      </c>
      <c r="F899" s="2">
        <v>0</v>
      </c>
      <c r="G899" s="2">
        <v>0</v>
      </c>
      <c r="H899" s="2">
        <v>0</v>
      </c>
      <c r="I899" s="2">
        <v>10</v>
      </c>
      <c r="J899" s="2" t="s">
        <v>1779</v>
      </c>
      <c r="K899" s="2">
        <v>15</v>
      </c>
      <c r="L899" s="2">
        <v>10</v>
      </c>
      <c r="M899" s="2">
        <v>0</v>
      </c>
      <c r="N899" s="2">
        <v>0</v>
      </c>
      <c r="O899" s="2">
        <v>0</v>
      </c>
      <c r="P899" s="2">
        <v>5</v>
      </c>
      <c r="Q899" s="2" t="s">
        <v>3813</v>
      </c>
      <c r="R899" s="2" t="s">
        <v>3814</v>
      </c>
      <c r="S899" s="4">
        <v>44991</v>
      </c>
    </row>
    <row r="900" spans="1:19" ht="12.5" hidden="1" x14ac:dyDescent="0.25">
      <c r="A900" s="14" t="str">
        <f>HYPERLINK("https://gerandofalcoes.my.salesforce.com/0014X00002YggiyQAB", "0014X00002YggiyQAB")</f>
        <v>0014X00002YggiyQAB</v>
      </c>
      <c r="B900" s="2" t="s">
        <v>3815</v>
      </c>
      <c r="C900" s="2" t="s">
        <v>423</v>
      </c>
      <c r="D900" s="2" t="s">
        <v>2</v>
      </c>
      <c r="E900" s="2">
        <v>12.99</v>
      </c>
      <c r="F900" s="2">
        <v>1</v>
      </c>
      <c r="G900" s="2">
        <v>3</v>
      </c>
      <c r="H900" s="2">
        <v>29000</v>
      </c>
      <c r="I900" s="2">
        <v>120</v>
      </c>
      <c r="J900" s="2" t="s">
        <v>1671</v>
      </c>
      <c r="K900" s="2">
        <v>43</v>
      </c>
      <c r="L900" s="2">
        <v>10</v>
      </c>
      <c r="M900" s="2">
        <v>5</v>
      </c>
      <c r="N900" s="2">
        <v>8</v>
      </c>
      <c r="O900" s="2">
        <v>10</v>
      </c>
      <c r="P900" s="2">
        <v>10</v>
      </c>
      <c r="Q900" s="2" t="s">
        <v>3816</v>
      </c>
      <c r="R900" s="2" t="s">
        <v>3817</v>
      </c>
      <c r="S900" s="4">
        <v>44992</v>
      </c>
    </row>
    <row r="901" spans="1:19" ht="12.5" hidden="1" x14ac:dyDescent="0.25">
      <c r="A901" s="14" t="str">
        <f>HYPERLINK("https://gerandofalcoes.my.salesforce.com/0014X00002YggmOQAR", "0014X00002YggmOQAR")</f>
        <v>0014X00002YggmOQAR</v>
      </c>
      <c r="B901" s="2" t="s">
        <v>3818</v>
      </c>
      <c r="C901" s="2" t="s">
        <v>423</v>
      </c>
      <c r="D901" s="2" t="s">
        <v>2</v>
      </c>
      <c r="E901" s="2">
        <v>1.83</v>
      </c>
      <c r="F901" s="2">
        <v>4</v>
      </c>
      <c r="G901" s="2">
        <v>200</v>
      </c>
      <c r="H901" s="2">
        <v>3000</v>
      </c>
      <c r="I901" s="2">
        <v>200</v>
      </c>
      <c r="J901" s="2" t="s">
        <v>1671</v>
      </c>
      <c r="K901" s="2">
        <v>42</v>
      </c>
      <c r="L901" s="2">
        <v>10</v>
      </c>
      <c r="M901" s="2">
        <v>5</v>
      </c>
      <c r="N901" s="2">
        <v>10</v>
      </c>
      <c r="O901" s="2">
        <v>5</v>
      </c>
      <c r="P901" s="2">
        <v>12</v>
      </c>
      <c r="Q901" s="2" t="s">
        <v>3819</v>
      </c>
      <c r="R901" s="2" t="s">
        <v>3820</v>
      </c>
      <c r="S901" s="4">
        <v>44992</v>
      </c>
    </row>
    <row r="902" spans="1:19" ht="12.5" hidden="1" x14ac:dyDescent="0.25">
      <c r="A902" s="14" t="str">
        <f>HYPERLINK("https://gerandofalcoes.my.salesforce.com/0014X00002YgbkWQAR", "0014X00002YgbkWQAR")</f>
        <v>0014X00002YgbkWQAR</v>
      </c>
      <c r="B902" s="2" t="s">
        <v>3821</v>
      </c>
      <c r="C902" s="2" t="s">
        <v>423</v>
      </c>
      <c r="D902" s="2" t="s">
        <v>2</v>
      </c>
      <c r="E902" s="2"/>
      <c r="F902" s="2">
        <v>0</v>
      </c>
      <c r="G902" s="2">
        <v>0</v>
      </c>
      <c r="H902" s="2">
        <v>0</v>
      </c>
      <c r="I902" s="2">
        <v>0</v>
      </c>
      <c r="J902" s="2" t="s">
        <v>1779</v>
      </c>
      <c r="K902" s="2">
        <v>0</v>
      </c>
      <c r="L902" s="2">
        <v>0</v>
      </c>
      <c r="M902" s="2">
        <v>0</v>
      </c>
      <c r="N902" s="2">
        <v>0</v>
      </c>
      <c r="O902" s="2">
        <v>0</v>
      </c>
      <c r="P902" s="2">
        <v>0</v>
      </c>
      <c r="Q902" s="2" t="s">
        <v>3822</v>
      </c>
      <c r="R902" s="2" t="s">
        <v>3822</v>
      </c>
      <c r="S902" s="4">
        <v>45001</v>
      </c>
    </row>
    <row r="903" spans="1:19" ht="12.5" hidden="1" x14ac:dyDescent="0.25">
      <c r="A903" s="14" t="str">
        <f>HYPERLINK("https://gerandofalcoes.my.salesforce.com/0014X00002VKCtUQAX", "0014X00002VKCtUQAX")</f>
        <v>0014X00002VKCtUQAX</v>
      </c>
      <c r="B903" s="2" t="s">
        <v>3823</v>
      </c>
      <c r="C903" s="2" t="s">
        <v>423</v>
      </c>
      <c r="D903" s="2" t="s">
        <v>2</v>
      </c>
      <c r="E903" s="2">
        <v>37</v>
      </c>
      <c r="F903" s="2">
        <v>0</v>
      </c>
      <c r="G903" s="2">
        <v>0</v>
      </c>
      <c r="H903" s="2">
        <v>0</v>
      </c>
      <c r="I903" s="2">
        <v>51</v>
      </c>
      <c r="J903" s="2" t="s">
        <v>1779</v>
      </c>
      <c r="K903" s="2">
        <v>20</v>
      </c>
      <c r="L903" s="2">
        <v>15</v>
      </c>
      <c r="M903" s="2">
        <v>0</v>
      </c>
      <c r="N903" s="2">
        <v>0</v>
      </c>
      <c r="O903" s="2">
        <v>0</v>
      </c>
      <c r="P903" s="2">
        <v>5</v>
      </c>
      <c r="Q903" s="2" t="s">
        <v>3824</v>
      </c>
      <c r="R903" s="2" t="s">
        <v>3824</v>
      </c>
      <c r="S903" s="4">
        <v>45015</v>
      </c>
    </row>
    <row r="904" spans="1:19" ht="12.5" hidden="1" x14ac:dyDescent="0.25">
      <c r="A904" s="14" t="str">
        <f>HYPERLINK("https://gerandofalcoes.my.salesforce.com/0014X00002VKCq3QAH", "0014X00002VKCq3QAH")</f>
        <v>0014X00002VKCq3QAH</v>
      </c>
      <c r="B904" s="2" t="s">
        <v>3825</v>
      </c>
      <c r="C904" s="2" t="s">
        <v>423</v>
      </c>
      <c r="D904" s="2" t="s">
        <v>2</v>
      </c>
      <c r="E904" s="2">
        <v>28.4</v>
      </c>
      <c r="F904" s="2">
        <v>0</v>
      </c>
      <c r="G904" s="2">
        <v>0</v>
      </c>
      <c r="H904" s="2">
        <v>518799</v>
      </c>
      <c r="I904" s="2">
        <v>22</v>
      </c>
      <c r="J904" s="2" t="s">
        <v>1671</v>
      </c>
      <c r="K904" s="2">
        <v>40</v>
      </c>
      <c r="L904" s="2">
        <v>15</v>
      </c>
      <c r="M904" s="2">
        <v>0</v>
      </c>
      <c r="N904" s="2">
        <v>0</v>
      </c>
      <c r="O904" s="2">
        <v>20</v>
      </c>
      <c r="P904" s="2">
        <v>5</v>
      </c>
      <c r="Q904" s="2" t="s">
        <v>3826</v>
      </c>
      <c r="R904" s="2" t="s">
        <v>3826</v>
      </c>
      <c r="S904" s="4">
        <v>45015</v>
      </c>
    </row>
    <row r="905" spans="1:19" ht="12.5" hidden="1" x14ac:dyDescent="0.25">
      <c r="A905" s="14" t="str">
        <f>HYPERLINK("https://gerandofalcoes.my.salesforce.com/0014X00002VKCqFQAX", "0014X00002VKCqFQAX")</f>
        <v>0014X00002VKCqFQAX</v>
      </c>
      <c r="B905" s="2" t="s">
        <v>3827</v>
      </c>
      <c r="C905" s="2" t="s">
        <v>423</v>
      </c>
      <c r="D905" s="2" t="s">
        <v>2</v>
      </c>
      <c r="E905" s="2">
        <v>21</v>
      </c>
      <c r="F905" s="2">
        <v>0</v>
      </c>
      <c r="G905" s="2">
        <v>0</v>
      </c>
      <c r="H905" s="2">
        <v>0</v>
      </c>
      <c r="I905" s="2">
        <v>0</v>
      </c>
      <c r="J905" s="2" t="s">
        <v>1779</v>
      </c>
      <c r="K905" s="2">
        <v>10</v>
      </c>
      <c r="L905" s="2">
        <v>10</v>
      </c>
      <c r="M905" s="2">
        <v>0</v>
      </c>
      <c r="N905" s="2">
        <v>0</v>
      </c>
      <c r="O905" s="2">
        <v>0</v>
      </c>
      <c r="P905" s="2">
        <v>0</v>
      </c>
      <c r="Q905" s="2" t="s">
        <v>2968</v>
      </c>
      <c r="R905" s="2" t="s">
        <v>2968</v>
      </c>
      <c r="S905" s="4">
        <v>45015</v>
      </c>
    </row>
    <row r="906" spans="1:19" ht="12.5" hidden="1" x14ac:dyDescent="0.25">
      <c r="A906" s="14" t="str">
        <f>HYPERLINK("https://gerandofalcoes.my.salesforce.com/0014X00002VKCp2QAH", "0014X00002VKCp2QAH")</f>
        <v>0014X00002VKCp2QAH</v>
      </c>
      <c r="B906" s="2" t="s">
        <v>3828</v>
      </c>
      <c r="C906" s="2" t="s">
        <v>423</v>
      </c>
      <c r="D906" s="2" t="s">
        <v>2</v>
      </c>
      <c r="E906" s="2">
        <v>19</v>
      </c>
      <c r="F906" s="2">
        <v>10</v>
      </c>
      <c r="G906" s="2">
        <v>1</v>
      </c>
      <c r="H906" s="2">
        <v>3300000</v>
      </c>
      <c r="I906" s="2">
        <v>0</v>
      </c>
      <c r="J906" s="2" t="s">
        <v>1671</v>
      </c>
      <c r="K906" s="2">
        <v>49</v>
      </c>
      <c r="L906" s="2">
        <v>10</v>
      </c>
      <c r="M906" s="2">
        <v>10</v>
      </c>
      <c r="N906" s="2">
        <v>4</v>
      </c>
      <c r="O906" s="2">
        <v>25</v>
      </c>
      <c r="P906" s="2">
        <v>0</v>
      </c>
      <c r="Q906" s="2" t="s">
        <v>2917</v>
      </c>
      <c r="R906" s="2" t="s">
        <v>2917</v>
      </c>
      <c r="S906" s="4">
        <v>45015</v>
      </c>
    </row>
    <row r="907" spans="1:19" ht="12.5" hidden="1" x14ac:dyDescent="0.25">
      <c r="A907" s="14" t="str">
        <f>HYPERLINK("https://gerandofalcoes.my.salesforce.com/0014X00002YkLeFQAV", "0014X00002YkLeFQAV")</f>
        <v>0014X00002YkLeFQAV</v>
      </c>
      <c r="B907" s="2" t="s">
        <v>3829</v>
      </c>
      <c r="C907" s="2" t="s">
        <v>423</v>
      </c>
      <c r="D907" s="2" t="s">
        <v>2</v>
      </c>
      <c r="E907" s="2">
        <v>17.97</v>
      </c>
      <c r="F907" s="2">
        <v>1</v>
      </c>
      <c r="G907" s="2">
        <v>0</v>
      </c>
      <c r="H907" s="2">
        <v>0</v>
      </c>
      <c r="I907" s="2">
        <v>1</v>
      </c>
      <c r="J907" s="2" t="s">
        <v>1779</v>
      </c>
      <c r="K907" s="2">
        <v>20</v>
      </c>
      <c r="L907" s="2">
        <v>10</v>
      </c>
      <c r="M907" s="2">
        <v>5</v>
      </c>
      <c r="N907" s="2">
        <v>0</v>
      </c>
      <c r="O907" s="2">
        <v>0</v>
      </c>
      <c r="P907" s="2">
        <v>5</v>
      </c>
      <c r="Q907" s="2" t="s">
        <v>3830</v>
      </c>
      <c r="R907" s="2" t="s">
        <v>3830</v>
      </c>
      <c r="S907" s="4">
        <v>45015</v>
      </c>
    </row>
    <row r="908" spans="1:19" ht="12.5" hidden="1" x14ac:dyDescent="0.25">
      <c r="A908" s="14" t="str">
        <f>HYPERLINK("https://gerandofalcoes.my.salesforce.com/0014X00002VKCrgQAH", "0014X00002VKCrgQAH")</f>
        <v>0014X00002VKCrgQAH</v>
      </c>
      <c r="B908" s="2" t="s">
        <v>3831</v>
      </c>
      <c r="C908" s="2" t="s">
        <v>423</v>
      </c>
      <c r="D908" s="2" t="s">
        <v>2</v>
      </c>
      <c r="E908" s="2">
        <v>17</v>
      </c>
      <c r="F908" s="2">
        <v>0</v>
      </c>
      <c r="G908" s="2">
        <v>1</v>
      </c>
      <c r="H908" s="2">
        <v>0</v>
      </c>
      <c r="I908" s="2">
        <v>22</v>
      </c>
      <c r="J908" s="2" t="s">
        <v>1779</v>
      </c>
      <c r="K908" s="2">
        <v>19</v>
      </c>
      <c r="L908" s="2">
        <v>10</v>
      </c>
      <c r="M908" s="2">
        <v>0</v>
      </c>
      <c r="N908" s="2">
        <v>4</v>
      </c>
      <c r="O908" s="2">
        <v>0</v>
      </c>
      <c r="P908" s="2">
        <v>5</v>
      </c>
      <c r="Q908" s="2" t="s">
        <v>3832</v>
      </c>
      <c r="R908" s="2" t="s">
        <v>3832</v>
      </c>
      <c r="S908" s="4">
        <v>45015</v>
      </c>
    </row>
    <row r="909" spans="1:19" ht="12.5" hidden="1" x14ac:dyDescent="0.25">
      <c r="A909" s="14" t="str">
        <f>HYPERLINK("https://gerandofalcoes.my.salesforce.com/0014X00002VKCtZQAX", "0014X00002VKCtZQAX")</f>
        <v>0014X00002VKCtZQAX</v>
      </c>
      <c r="B909" s="2" t="s">
        <v>3833</v>
      </c>
      <c r="C909" s="2" t="s">
        <v>423</v>
      </c>
      <c r="D909" s="2" t="s">
        <v>2</v>
      </c>
      <c r="E909" s="2">
        <v>10</v>
      </c>
      <c r="F909" s="2">
        <v>0</v>
      </c>
      <c r="G909" s="2">
        <v>0</v>
      </c>
      <c r="H909" s="2">
        <v>200000000</v>
      </c>
      <c r="I909" s="2">
        <v>150</v>
      </c>
      <c r="J909" s="2" t="s">
        <v>1671</v>
      </c>
      <c r="K909" s="2">
        <v>47</v>
      </c>
      <c r="L909" s="2">
        <v>10</v>
      </c>
      <c r="M909" s="2">
        <v>0</v>
      </c>
      <c r="N909" s="2">
        <v>0</v>
      </c>
      <c r="O909" s="2">
        <v>25</v>
      </c>
      <c r="P909" s="2">
        <v>12</v>
      </c>
      <c r="Q909" s="2" t="s">
        <v>3834</v>
      </c>
      <c r="R909" s="2" t="s">
        <v>3834</v>
      </c>
      <c r="S909" s="4">
        <v>45015</v>
      </c>
    </row>
    <row r="910" spans="1:19" ht="12.5" hidden="1" x14ac:dyDescent="0.25">
      <c r="A910" s="14" t="str">
        <f>HYPERLINK("https://gerandofalcoes.my.salesforce.com/0014X00002VKCvDQAX", "0014X00002VKCvDQAX")</f>
        <v>0014X00002VKCvDQAX</v>
      </c>
      <c r="B910" s="2" t="s">
        <v>3835</v>
      </c>
      <c r="C910" s="2" t="s">
        <v>1800</v>
      </c>
      <c r="D910" s="2" t="s">
        <v>2</v>
      </c>
      <c r="E910" s="2">
        <v>34</v>
      </c>
      <c r="F910" s="2">
        <v>0</v>
      </c>
      <c r="G910" s="2">
        <v>1</v>
      </c>
      <c r="H910" s="2">
        <v>25000</v>
      </c>
      <c r="I910" s="2">
        <v>0</v>
      </c>
      <c r="J910" s="2" t="s">
        <v>1779</v>
      </c>
      <c r="K910" s="2">
        <v>29</v>
      </c>
      <c r="L910" s="2">
        <v>15</v>
      </c>
      <c r="M910" s="2">
        <v>0</v>
      </c>
      <c r="N910" s="2">
        <v>4</v>
      </c>
      <c r="O910" s="2">
        <v>10</v>
      </c>
      <c r="P910" s="2">
        <v>0</v>
      </c>
      <c r="Q910" s="2" t="s">
        <v>2463</v>
      </c>
      <c r="R910" s="2" t="s">
        <v>3836</v>
      </c>
      <c r="S910" s="4">
        <v>45112</v>
      </c>
    </row>
    <row r="911" spans="1:19" ht="12.5" hidden="1" x14ac:dyDescent="0.25">
      <c r="A911" s="14" t="str">
        <f>HYPERLINK("https://gerandofalcoes.my.salesforce.com/0014X00002Yggo5QAB", "0014X00002Yggo5QAB")</f>
        <v>0014X00002Yggo5QAB</v>
      </c>
      <c r="B911" s="2" t="s">
        <v>3837</v>
      </c>
      <c r="C911" s="2" t="s">
        <v>423</v>
      </c>
      <c r="D911" s="2" t="s">
        <v>2</v>
      </c>
      <c r="E911" s="2">
        <v>33.99</v>
      </c>
      <c r="F911" s="2">
        <v>0</v>
      </c>
      <c r="G911" s="2">
        <v>3</v>
      </c>
      <c r="H911" s="2">
        <v>60000</v>
      </c>
      <c r="I911" s="2">
        <v>50</v>
      </c>
      <c r="J911" s="2" t="s">
        <v>1779</v>
      </c>
      <c r="K911" s="2">
        <v>38</v>
      </c>
      <c r="L911" s="2">
        <v>15</v>
      </c>
      <c r="M911" s="2">
        <v>0</v>
      </c>
      <c r="N911" s="2">
        <v>8</v>
      </c>
      <c r="O911" s="2">
        <v>10</v>
      </c>
      <c r="P911" s="2">
        <v>5</v>
      </c>
      <c r="Q911" s="2" t="s">
        <v>3838</v>
      </c>
      <c r="R911" s="2" t="s">
        <v>3839</v>
      </c>
      <c r="S911" s="4">
        <v>45112</v>
      </c>
    </row>
    <row r="912" spans="1:19" ht="12.5" hidden="1" x14ac:dyDescent="0.25">
      <c r="A912" s="14" t="str">
        <f>HYPERLINK("https://gerandofalcoes.my.salesforce.com/0014X00002VKCuoQAH", "0014X00002VKCuoQAH")</f>
        <v>0014X00002VKCuoQAH</v>
      </c>
      <c r="B912" s="2" t="s">
        <v>3840</v>
      </c>
      <c r="C912" s="2" t="s">
        <v>1800</v>
      </c>
      <c r="D912" s="2" t="s">
        <v>2</v>
      </c>
      <c r="E912" s="2">
        <v>27</v>
      </c>
      <c r="F912" s="2">
        <v>0</v>
      </c>
      <c r="G912" s="2">
        <v>2</v>
      </c>
      <c r="H912" s="2">
        <v>0</v>
      </c>
      <c r="I912" s="2">
        <v>0</v>
      </c>
      <c r="J912" s="2" t="s">
        <v>1779</v>
      </c>
      <c r="K912" s="2">
        <v>21</v>
      </c>
      <c r="L912" s="2">
        <v>15</v>
      </c>
      <c r="M912" s="2">
        <v>0</v>
      </c>
      <c r="N912" s="2">
        <v>6</v>
      </c>
      <c r="O912" s="2">
        <v>0</v>
      </c>
      <c r="P912" s="2">
        <v>0</v>
      </c>
      <c r="Q912" s="2" t="s">
        <v>3841</v>
      </c>
      <c r="R912" s="2" t="s">
        <v>3841</v>
      </c>
      <c r="S912" s="4">
        <v>45112</v>
      </c>
    </row>
    <row r="913" spans="1:19" ht="12.5" hidden="1" x14ac:dyDescent="0.25">
      <c r="A913" s="14" t="str">
        <f>HYPERLINK("https://gerandofalcoes.my.salesforce.com/0014X00002VKCvEQAX", "0014X00002VKCvEQAX")</f>
        <v>0014X00002VKCvEQAX</v>
      </c>
      <c r="B913" s="2" t="s">
        <v>3842</v>
      </c>
      <c r="C913" s="2" t="s">
        <v>1800</v>
      </c>
      <c r="D913" s="2" t="s">
        <v>2</v>
      </c>
      <c r="E913" s="2">
        <v>25</v>
      </c>
      <c r="F913" s="2">
        <v>0</v>
      </c>
      <c r="G913" s="2">
        <v>2</v>
      </c>
      <c r="H913" s="2">
        <v>10</v>
      </c>
      <c r="I913" s="2">
        <v>0</v>
      </c>
      <c r="J913" s="2" t="s">
        <v>1779</v>
      </c>
      <c r="K913" s="2">
        <v>26</v>
      </c>
      <c r="L913" s="2">
        <v>15</v>
      </c>
      <c r="M913" s="2">
        <v>0</v>
      </c>
      <c r="N913" s="2">
        <v>6</v>
      </c>
      <c r="O913" s="2">
        <v>5</v>
      </c>
      <c r="P913" s="2">
        <v>0</v>
      </c>
      <c r="Q913" s="2" t="s">
        <v>3843</v>
      </c>
      <c r="R913" s="2" t="s">
        <v>3844</v>
      </c>
      <c r="S913" s="4">
        <v>45112</v>
      </c>
    </row>
    <row r="914" spans="1:19" ht="12.5" hidden="1" x14ac:dyDescent="0.25">
      <c r="A914" s="14" t="str">
        <f>HYPERLINK("https://gerandofalcoes.my.salesforce.com/0014X00002VKCumQAH", "0014X00002VKCumQAH")</f>
        <v>0014X00002VKCumQAH</v>
      </c>
      <c r="B914" s="2" t="s">
        <v>3845</v>
      </c>
      <c r="C914" s="2" t="s">
        <v>1800</v>
      </c>
      <c r="D914" s="2" t="s">
        <v>2</v>
      </c>
      <c r="E914" s="2">
        <v>20</v>
      </c>
      <c r="F914" s="2">
        <v>0</v>
      </c>
      <c r="G914" s="2">
        <v>1</v>
      </c>
      <c r="H914" s="2">
        <v>1000000</v>
      </c>
      <c r="I914" s="2">
        <v>0</v>
      </c>
      <c r="J914" s="2" t="s">
        <v>1779</v>
      </c>
      <c r="K914" s="2">
        <v>39</v>
      </c>
      <c r="L914" s="2">
        <v>10</v>
      </c>
      <c r="M914" s="2">
        <v>0</v>
      </c>
      <c r="N914" s="2">
        <v>4</v>
      </c>
      <c r="O914" s="2">
        <v>25</v>
      </c>
      <c r="P914" s="2">
        <v>0</v>
      </c>
      <c r="Q914" s="2" t="s">
        <v>3846</v>
      </c>
      <c r="R914" s="2" t="s">
        <v>3846</v>
      </c>
      <c r="S914" s="4">
        <v>45112</v>
      </c>
    </row>
    <row r="915" spans="1:19" ht="12.5" hidden="1" x14ac:dyDescent="0.25">
      <c r="A915" s="14" t="str">
        <f>HYPERLINK("https://gerandofalcoes.my.salesforce.com/0014X00002VKCuZQAX", "0014X00002VKCuZQAX")</f>
        <v>0014X00002VKCuZQAX</v>
      </c>
      <c r="B915" s="2" t="s">
        <v>3847</v>
      </c>
      <c r="C915" s="2" t="s">
        <v>1800</v>
      </c>
      <c r="D915" s="2" t="s">
        <v>2</v>
      </c>
      <c r="E915" s="2">
        <v>19</v>
      </c>
      <c r="F915" s="2">
        <v>0</v>
      </c>
      <c r="G915" s="2">
        <v>0</v>
      </c>
      <c r="H915" s="2">
        <v>0</v>
      </c>
      <c r="I915" s="2">
        <v>0</v>
      </c>
      <c r="J915" s="2" t="s">
        <v>1779</v>
      </c>
      <c r="K915" s="2">
        <v>10</v>
      </c>
      <c r="L915" s="2">
        <v>10</v>
      </c>
      <c r="M915" s="2">
        <v>0</v>
      </c>
      <c r="N915" s="2">
        <v>0</v>
      </c>
      <c r="O915" s="2">
        <v>0</v>
      </c>
      <c r="P915" s="2">
        <v>0</v>
      </c>
      <c r="Q915" s="2" t="s">
        <v>3848</v>
      </c>
      <c r="R915" s="2" t="s">
        <v>3848</v>
      </c>
      <c r="S915" s="4">
        <v>45112</v>
      </c>
    </row>
    <row r="916" spans="1:19" ht="12.5" hidden="1" x14ac:dyDescent="0.25">
      <c r="A916" s="14" t="str">
        <f>HYPERLINK("https://gerandofalcoes.my.salesforce.com/0014X00002VKCulQAH", "0014X00002VKCulQAH")</f>
        <v>0014X00002VKCulQAH</v>
      </c>
      <c r="B916" s="2" t="s">
        <v>3849</v>
      </c>
      <c r="C916" s="2" t="s">
        <v>1800</v>
      </c>
      <c r="D916" s="2" t="s">
        <v>2</v>
      </c>
      <c r="E916" s="2">
        <v>10</v>
      </c>
      <c r="F916" s="2">
        <v>0</v>
      </c>
      <c r="G916" s="2">
        <v>1</v>
      </c>
      <c r="H916" s="2">
        <v>0</v>
      </c>
      <c r="I916" s="2">
        <v>0</v>
      </c>
      <c r="J916" s="2" t="s">
        <v>1779</v>
      </c>
      <c r="K916" s="2">
        <v>14</v>
      </c>
      <c r="L916" s="2">
        <v>10</v>
      </c>
      <c r="M916" s="2">
        <v>0</v>
      </c>
      <c r="N916" s="2">
        <v>4</v>
      </c>
      <c r="O916" s="2">
        <v>0</v>
      </c>
      <c r="P916" s="2">
        <v>0</v>
      </c>
      <c r="Q916" s="2" t="s">
        <v>3850</v>
      </c>
      <c r="R916" s="2" t="s">
        <v>3851</v>
      </c>
      <c r="S916" s="4">
        <v>45112</v>
      </c>
    </row>
    <row r="917" spans="1:19" ht="12.5" hidden="1" x14ac:dyDescent="0.25">
      <c r="A917" s="14" t="str">
        <f>HYPERLINK("https://gerandofalcoes.my.salesforce.com/0014X00002YgbkRQAR", "0014X00002YgbkRQAR")</f>
        <v>0014X00002YgbkRQAR</v>
      </c>
      <c r="B917" s="2" t="s">
        <v>3852</v>
      </c>
      <c r="C917" s="2" t="s">
        <v>423</v>
      </c>
      <c r="D917" s="2" t="s">
        <v>2</v>
      </c>
      <c r="E917" s="2">
        <v>1.67</v>
      </c>
      <c r="F917" s="2">
        <v>0</v>
      </c>
      <c r="G917" s="2">
        <v>0</v>
      </c>
      <c r="H917" s="2">
        <v>0</v>
      </c>
      <c r="I917" s="2">
        <v>0</v>
      </c>
      <c r="J917" s="2" t="s">
        <v>1779</v>
      </c>
      <c r="K917" s="2">
        <v>10</v>
      </c>
      <c r="L917" s="2">
        <v>10</v>
      </c>
      <c r="M917" s="2">
        <v>0</v>
      </c>
      <c r="N917" s="2">
        <v>0</v>
      </c>
      <c r="O917" s="2">
        <v>0</v>
      </c>
      <c r="P917" s="2">
        <v>0</v>
      </c>
      <c r="Q917" s="2" t="s">
        <v>3853</v>
      </c>
      <c r="R917" s="2" t="s">
        <v>3854</v>
      </c>
      <c r="S917" s="4">
        <v>45112</v>
      </c>
    </row>
    <row r="918" spans="1:19" ht="12.5" hidden="1" x14ac:dyDescent="0.25">
      <c r="A918" s="14" t="str">
        <f>HYPERLINK("https://gerandofalcoes.my.salesforce.com/0014X00002YggorQAB", "0014X00002YggorQAB")</f>
        <v>0014X00002YggorQAB</v>
      </c>
      <c r="B918" s="2" t="s">
        <v>3855</v>
      </c>
      <c r="C918" s="2" t="s">
        <v>423</v>
      </c>
      <c r="D918" s="2" t="s">
        <v>2</v>
      </c>
      <c r="E918" s="2"/>
      <c r="F918" s="2">
        <v>1</v>
      </c>
      <c r="G918" s="2">
        <v>2</v>
      </c>
      <c r="H918" s="2">
        <v>0</v>
      </c>
      <c r="I918" s="2">
        <v>1500</v>
      </c>
      <c r="J918" s="2" t="s">
        <v>1779</v>
      </c>
      <c r="K918" s="2">
        <v>31</v>
      </c>
      <c r="L918" s="2">
        <v>0</v>
      </c>
      <c r="M918" s="2">
        <v>5</v>
      </c>
      <c r="N918" s="2">
        <v>6</v>
      </c>
      <c r="O918" s="2">
        <v>0</v>
      </c>
      <c r="P918" s="2">
        <v>20</v>
      </c>
      <c r="Q918" s="2" t="s">
        <v>3856</v>
      </c>
      <c r="R918" s="2" t="s">
        <v>3857</v>
      </c>
      <c r="S918" s="4">
        <v>45112</v>
      </c>
    </row>
    <row r="919" spans="1:19" ht="12.5" hidden="1" x14ac:dyDescent="0.25">
      <c r="A919" s="14" t="str">
        <f>HYPERLINK("https://gerandofalcoes.my.salesforce.com/0014X00002YggpdQAB", "0014X00002YggpdQAB")</f>
        <v>0014X00002YggpdQAB</v>
      </c>
      <c r="B919" s="2" t="s">
        <v>3858</v>
      </c>
      <c r="C919" s="2" t="s">
        <v>423</v>
      </c>
      <c r="D919" s="2" t="s">
        <v>2</v>
      </c>
      <c r="E919" s="2"/>
      <c r="F919" s="2">
        <v>0</v>
      </c>
      <c r="G919" s="2">
        <v>3</v>
      </c>
      <c r="H919" s="2">
        <v>3000</v>
      </c>
      <c r="I919" s="2">
        <v>350</v>
      </c>
      <c r="J919" s="2" t="s">
        <v>1779</v>
      </c>
      <c r="K919" s="2">
        <v>28</v>
      </c>
      <c r="L919" s="2">
        <v>0</v>
      </c>
      <c r="M919" s="2">
        <v>0</v>
      </c>
      <c r="N919" s="2">
        <v>8</v>
      </c>
      <c r="O919" s="2">
        <v>5</v>
      </c>
      <c r="P919" s="2">
        <v>15</v>
      </c>
      <c r="Q919" s="2" t="s">
        <v>3859</v>
      </c>
      <c r="R919" s="2" t="s">
        <v>3859</v>
      </c>
      <c r="S919" s="4">
        <v>45112</v>
      </c>
    </row>
    <row r="920" spans="1:19" ht="12.5" hidden="1" x14ac:dyDescent="0.25">
      <c r="A920" s="14" t="str">
        <f>HYPERLINK("https://gerandofalcoes.my.salesforce.com/0014X00002YggoFQAR", "0014X00002YggoFQAR")</f>
        <v>0014X00002YggoFQAR</v>
      </c>
      <c r="B920" s="2" t="s">
        <v>3860</v>
      </c>
      <c r="C920" s="2" t="s">
        <v>423</v>
      </c>
      <c r="D920" s="2" t="s">
        <v>2</v>
      </c>
      <c r="E920" s="2"/>
      <c r="F920" s="2">
        <v>6</v>
      </c>
      <c r="G920" s="2">
        <v>2</v>
      </c>
      <c r="H920" s="2">
        <v>500</v>
      </c>
      <c r="I920" s="2">
        <v>200</v>
      </c>
      <c r="J920" s="2" t="s">
        <v>1779</v>
      </c>
      <c r="K920" s="2">
        <v>33</v>
      </c>
      <c r="L920" s="2">
        <v>0</v>
      </c>
      <c r="M920" s="2">
        <v>10</v>
      </c>
      <c r="N920" s="2">
        <v>6</v>
      </c>
      <c r="O920" s="2">
        <v>5</v>
      </c>
      <c r="P920" s="2">
        <v>12</v>
      </c>
      <c r="Q920" s="2" t="s">
        <v>3861</v>
      </c>
      <c r="R920" s="2" t="s">
        <v>3862</v>
      </c>
      <c r="S920" s="4">
        <v>45112</v>
      </c>
    </row>
    <row r="921" spans="1:19" ht="12.5" hidden="1" x14ac:dyDescent="0.25">
      <c r="A921" s="14" t="str">
        <f>HYPERLINK("https://gerandofalcoes.my.salesforce.com/0014X00002YggjwQAB", "0014X00002YggjwQAB")</f>
        <v>0014X00002YggjwQAB</v>
      </c>
      <c r="B921" s="2" t="s">
        <v>3863</v>
      </c>
      <c r="C921" s="2" t="s">
        <v>423</v>
      </c>
      <c r="D921" s="2" t="s">
        <v>2</v>
      </c>
      <c r="E921" s="2"/>
      <c r="F921" s="2">
        <v>99</v>
      </c>
      <c r="G921" s="2">
        <v>4</v>
      </c>
      <c r="H921" s="2">
        <v>60000</v>
      </c>
      <c r="I921" s="2">
        <v>200</v>
      </c>
      <c r="J921" s="2" t="s">
        <v>1671</v>
      </c>
      <c r="K921" s="2">
        <v>47</v>
      </c>
      <c r="L921" s="2">
        <v>0</v>
      </c>
      <c r="M921" s="2">
        <v>15</v>
      </c>
      <c r="N921" s="2">
        <v>10</v>
      </c>
      <c r="O921" s="2">
        <v>10</v>
      </c>
      <c r="P921" s="2">
        <v>12</v>
      </c>
      <c r="Q921" s="2" t="s">
        <v>3864</v>
      </c>
      <c r="R921" s="2" t="s">
        <v>3865</v>
      </c>
      <c r="S921" s="4">
        <v>45112</v>
      </c>
    </row>
    <row r="922" spans="1:19" ht="12.5" hidden="1" x14ac:dyDescent="0.25">
      <c r="A922" s="14" t="str">
        <f>HYPERLINK("https://gerandofalcoes.my.salesforce.com/0014X00002YggpZQAR", "0014X00002YggpZQAR")</f>
        <v>0014X00002YggpZQAR</v>
      </c>
      <c r="B922" s="2" t="s">
        <v>3866</v>
      </c>
      <c r="C922" s="2" t="s">
        <v>423</v>
      </c>
      <c r="D922" s="2" t="s">
        <v>2</v>
      </c>
      <c r="E922" s="2"/>
      <c r="F922" s="2">
        <v>0</v>
      </c>
      <c r="G922" s="2">
        <v>2</v>
      </c>
      <c r="H922" s="2">
        <v>0</v>
      </c>
      <c r="I922" s="2">
        <v>150</v>
      </c>
      <c r="J922" s="2" t="s">
        <v>1779</v>
      </c>
      <c r="K922" s="2">
        <v>18</v>
      </c>
      <c r="L922" s="2">
        <v>0</v>
      </c>
      <c r="M922" s="2">
        <v>0</v>
      </c>
      <c r="N922" s="2">
        <v>6</v>
      </c>
      <c r="O922" s="2">
        <v>0</v>
      </c>
      <c r="P922" s="2">
        <v>12</v>
      </c>
      <c r="Q922" s="2" t="s">
        <v>3867</v>
      </c>
      <c r="R922" s="2" t="s">
        <v>3868</v>
      </c>
      <c r="S922" s="4">
        <v>45112</v>
      </c>
    </row>
    <row r="923" spans="1:19" ht="12.5" hidden="1" x14ac:dyDescent="0.25">
      <c r="A923" s="14" t="str">
        <f>HYPERLINK("https://gerandofalcoes.my.salesforce.com/0014X00002YggmqQAB", "0014X00002YggmqQAB")</f>
        <v>0014X00002YggmqQAB</v>
      </c>
      <c r="B923" s="2" t="s">
        <v>3869</v>
      </c>
      <c r="C923" s="2" t="s">
        <v>423</v>
      </c>
      <c r="D923" s="2" t="s">
        <v>2</v>
      </c>
      <c r="E923" s="2"/>
      <c r="F923" s="2">
        <v>0</v>
      </c>
      <c r="G923" s="2">
        <v>3</v>
      </c>
      <c r="H923" s="2">
        <v>7600</v>
      </c>
      <c r="I923" s="2">
        <v>100</v>
      </c>
      <c r="J923" s="2" t="s">
        <v>1779</v>
      </c>
      <c r="K923" s="2">
        <v>23</v>
      </c>
      <c r="L923" s="2">
        <v>0</v>
      </c>
      <c r="M923" s="2">
        <v>0</v>
      </c>
      <c r="N923" s="2">
        <v>8</v>
      </c>
      <c r="O923" s="2">
        <v>5</v>
      </c>
      <c r="P923" s="2">
        <v>10</v>
      </c>
      <c r="Q923" s="2" t="s">
        <v>3870</v>
      </c>
      <c r="R923" s="2" t="s">
        <v>3870</v>
      </c>
      <c r="S923" s="4">
        <v>45112</v>
      </c>
    </row>
    <row r="924" spans="1:19" ht="12.5" hidden="1" x14ac:dyDescent="0.25">
      <c r="A924" s="14" t="str">
        <f>HYPERLINK("https://gerandofalcoes.my.salesforce.com/0014X00002YggmLQAR", "0014X00002YggmLQAR")</f>
        <v>0014X00002YggmLQAR</v>
      </c>
      <c r="B924" s="2" t="s">
        <v>3871</v>
      </c>
      <c r="C924" s="2" t="s">
        <v>1684</v>
      </c>
      <c r="D924" s="2" t="s">
        <v>2</v>
      </c>
      <c r="E924" s="2"/>
      <c r="F924" s="2">
        <v>4</v>
      </c>
      <c r="G924" s="2">
        <v>100</v>
      </c>
      <c r="H924" s="2">
        <v>1200</v>
      </c>
      <c r="I924" s="2">
        <v>100</v>
      </c>
      <c r="J924" s="2" t="s">
        <v>1779</v>
      </c>
      <c r="K924" s="2">
        <v>30</v>
      </c>
      <c r="L924" s="2">
        <v>0</v>
      </c>
      <c r="M924" s="2">
        <v>5</v>
      </c>
      <c r="N924" s="2">
        <v>10</v>
      </c>
      <c r="O924" s="2">
        <v>5</v>
      </c>
      <c r="P924" s="2">
        <v>10</v>
      </c>
      <c r="Q924" s="2" t="s">
        <v>3872</v>
      </c>
      <c r="R924" s="2" t="s">
        <v>3873</v>
      </c>
      <c r="S924" s="4">
        <v>45112</v>
      </c>
    </row>
    <row r="925" spans="1:19" ht="12.5" hidden="1" x14ac:dyDescent="0.25">
      <c r="A925" s="14" t="str">
        <f>HYPERLINK("https://gerandofalcoes.my.salesforce.com/0014X00002YggnaQAB", "0014X00002YggnaQAB")</f>
        <v>0014X00002YggnaQAB</v>
      </c>
      <c r="B925" s="2" t="s">
        <v>3874</v>
      </c>
      <c r="C925" s="2" t="s">
        <v>423</v>
      </c>
      <c r="D925" s="2" t="s">
        <v>2</v>
      </c>
      <c r="E925" s="2"/>
      <c r="F925" s="2">
        <v>0</v>
      </c>
      <c r="G925" s="2">
        <v>2</v>
      </c>
      <c r="H925" s="2">
        <v>6000</v>
      </c>
      <c r="I925" s="2">
        <v>58</v>
      </c>
      <c r="J925" s="2" t="s">
        <v>1779</v>
      </c>
      <c r="K925" s="2">
        <v>16</v>
      </c>
      <c r="L925" s="2">
        <v>0</v>
      </c>
      <c r="M925" s="2">
        <v>0</v>
      </c>
      <c r="N925" s="2">
        <v>6</v>
      </c>
      <c r="O925" s="2">
        <v>5</v>
      </c>
      <c r="P925" s="2">
        <v>5</v>
      </c>
      <c r="Q925" s="2" t="s">
        <v>3875</v>
      </c>
      <c r="R925" s="2" t="s">
        <v>3876</v>
      </c>
      <c r="S925" s="4">
        <v>45112</v>
      </c>
    </row>
    <row r="926" spans="1:19" ht="12.5" hidden="1" x14ac:dyDescent="0.25">
      <c r="A926" s="14" t="str">
        <f>HYPERLINK("https://gerandofalcoes.my.salesforce.com/0014X00002YggpfQAB", "0014X00002YggpfQAB")</f>
        <v>0014X00002YggpfQAB</v>
      </c>
      <c r="B926" s="2" t="s">
        <v>3877</v>
      </c>
      <c r="C926" s="2" t="s">
        <v>423</v>
      </c>
      <c r="D926" s="2" t="s">
        <v>2</v>
      </c>
      <c r="E926" s="2"/>
      <c r="F926" s="2">
        <v>0</v>
      </c>
      <c r="G926" s="2">
        <v>2</v>
      </c>
      <c r="H926" s="2">
        <v>2000</v>
      </c>
      <c r="I926" s="2">
        <v>50</v>
      </c>
      <c r="J926" s="2" t="s">
        <v>1779</v>
      </c>
      <c r="K926" s="2">
        <v>16</v>
      </c>
      <c r="L926" s="2">
        <v>0</v>
      </c>
      <c r="M926" s="2">
        <v>0</v>
      </c>
      <c r="N926" s="2">
        <v>6</v>
      </c>
      <c r="O926" s="2">
        <v>5</v>
      </c>
      <c r="P926" s="2">
        <v>5</v>
      </c>
      <c r="Q926" s="2" t="s">
        <v>3878</v>
      </c>
      <c r="R926" s="2" t="s">
        <v>3879</v>
      </c>
      <c r="S926" s="4">
        <v>45112</v>
      </c>
    </row>
    <row r="927" spans="1:19" ht="12.5" hidden="1" x14ac:dyDescent="0.25">
      <c r="A927" s="14" t="str">
        <f>HYPERLINK("https://gerandofalcoes.my.salesforce.com/0014X00002YggicQAB", "0014X00002YggicQAB")</f>
        <v>0014X00002YggicQAB</v>
      </c>
      <c r="B927" s="2" t="s">
        <v>3880</v>
      </c>
      <c r="C927" s="2" t="s">
        <v>423</v>
      </c>
      <c r="D927" s="2" t="s">
        <v>2</v>
      </c>
      <c r="E927" s="2"/>
      <c r="F927" s="2">
        <v>0</v>
      </c>
      <c r="G927" s="2">
        <v>2</v>
      </c>
      <c r="H927" s="2">
        <v>1000</v>
      </c>
      <c r="I927" s="2">
        <v>50</v>
      </c>
      <c r="J927" s="2" t="s">
        <v>1779</v>
      </c>
      <c r="K927" s="2">
        <v>16</v>
      </c>
      <c r="L927" s="2">
        <v>0</v>
      </c>
      <c r="M927" s="2">
        <v>0</v>
      </c>
      <c r="N927" s="2">
        <v>6</v>
      </c>
      <c r="O927" s="2">
        <v>5</v>
      </c>
      <c r="P927" s="2">
        <v>5</v>
      </c>
      <c r="Q927" s="2" t="s">
        <v>3881</v>
      </c>
      <c r="R927" s="2" t="s">
        <v>3882</v>
      </c>
      <c r="S927" s="4">
        <v>45112</v>
      </c>
    </row>
    <row r="928" spans="1:19" ht="12.5" hidden="1" x14ac:dyDescent="0.25">
      <c r="A928" s="14" t="str">
        <f>HYPERLINK("https://gerandofalcoes.my.salesforce.com/0014X00002YggqtQAB", "0014X00002YggqtQAB")</f>
        <v>0014X00002YggqtQAB</v>
      </c>
      <c r="B928" s="2" t="s">
        <v>3883</v>
      </c>
      <c r="C928" s="2" t="s">
        <v>423</v>
      </c>
      <c r="D928" s="2" t="s">
        <v>2</v>
      </c>
      <c r="E928" s="2"/>
      <c r="F928" s="2">
        <v>0</v>
      </c>
      <c r="G928" s="2">
        <v>3</v>
      </c>
      <c r="H928" s="2">
        <v>0</v>
      </c>
      <c r="I928" s="2">
        <v>30</v>
      </c>
      <c r="J928" s="2" t="s">
        <v>1779</v>
      </c>
      <c r="K928" s="2">
        <v>13</v>
      </c>
      <c r="L928" s="2">
        <v>0</v>
      </c>
      <c r="M928" s="2">
        <v>0</v>
      </c>
      <c r="N928" s="2">
        <v>8</v>
      </c>
      <c r="O928" s="2">
        <v>0</v>
      </c>
      <c r="P928" s="2">
        <v>5</v>
      </c>
      <c r="Q928" s="2" t="s">
        <v>3884</v>
      </c>
      <c r="R928" s="2" t="s">
        <v>3884</v>
      </c>
      <c r="S928" s="4">
        <v>45112</v>
      </c>
    </row>
    <row r="929" spans="1:19" ht="12.5" hidden="1" x14ac:dyDescent="0.25">
      <c r="A929" s="14" t="str">
        <f>HYPERLINK("https://gerandofalcoes.my.salesforce.com/0014X00002YggjNQAR", "0014X00002YggjNQAR")</f>
        <v>0014X00002YggjNQAR</v>
      </c>
      <c r="B929" s="2" t="s">
        <v>3885</v>
      </c>
      <c r="C929" s="2" t="s">
        <v>423</v>
      </c>
      <c r="D929" s="2" t="s">
        <v>2</v>
      </c>
      <c r="E929" s="2"/>
      <c r="F929" s="2">
        <v>0</v>
      </c>
      <c r="G929" s="2">
        <v>4</v>
      </c>
      <c r="H929" s="2">
        <v>23397</v>
      </c>
      <c r="I929" s="2">
        <v>21</v>
      </c>
      <c r="J929" s="2" t="s">
        <v>1779</v>
      </c>
      <c r="K929" s="2">
        <v>20</v>
      </c>
      <c r="L929" s="2">
        <v>0</v>
      </c>
      <c r="M929" s="2">
        <v>0</v>
      </c>
      <c r="N929" s="2">
        <v>10</v>
      </c>
      <c r="O929" s="2">
        <v>5</v>
      </c>
      <c r="P929" s="2">
        <v>5</v>
      </c>
      <c r="Q929" s="2" t="s">
        <v>3886</v>
      </c>
      <c r="R929" s="2" t="s">
        <v>3886</v>
      </c>
      <c r="S929" s="4">
        <v>45112</v>
      </c>
    </row>
    <row r="930" spans="1:19" ht="12.5" hidden="1" x14ac:dyDescent="0.25">
      <c r="A930" s="14" t="str">
        <f>HYPERLINK("https://gerandofalcoes.my.salesforce.com/0014X00002YggieQAB", "0014X00002YggieQAB")</f>
        <v>0014X00002YggieQAB</v>
      </c>
      <c r="B930" s="2" t="s">
        <v>3887</v>
      </c>
      <c r="C930" s="2" t="s">
        <v>423</v>
      </c>
      <c r="D930" s="2" t="s">
        <v>2</v>
      </c>
      <c r="E930" s="2"/>
      <c r="F930" s="2">
        <v>0</v>
      </c>
      <c r="G930" s="2">
        <v>3</v>
      </c>
      <c r="H930" s="2">
        <v>5000</v>
      </c>
      <c r="I930" s="2">
        <v>20</v>
      </c>
      <c r="J930" s="2" t="s">
        <v>1779</v>
      </c>
      <c r="K930" s="2">
        <v>18</v>
      </c>
      <c r="L930" s="2">
        <v>0</v>
      </c>
      <c r="M930" s="2">
        <v>0</v>
      </c>
      <c r="N930" s="2">
        <v>8</v>
      </c>
      <c r="O930" s="2">
        <v>5</v>
      </c>
      <c r="P930" s="2">
        <v>5</v>
      </c>
      <c r="Q930" s="2" t="s">
        <v>3888</v>
      </c>
      <c r="R930" s="2" t="s">
        <v>3888</v>
      </c>
      <c r="S930" s="4">
        <v>45112</v>
      </c>
    </row>
    <row r="931" spans="1:19" ht="12.5" hidden="1" x14ac:dyDescent="0.25">
      <c r="A931" s="14" t="str">
        <f>HYPERLINK("https://gerandofalcoes.my.salesforce.com/0014X00002YggjXQAR", "0014X00002YggjXQAR")</f>
        <v>0014X00002YggjXQAR</v>
      </c>
      <c r="B931" s="2" t="s">
        <v>3889</v>
      </c>
      <c r="C931" s="2" t="s">
        <v>423</v>
      </c>
      <c r="D931" s="2" t="s">
        <v>2</v>
      </c>
      <c r="E931" s="2"/>
      <c r="F931" s="2">
        <v>0</v>
      </c>
      <c r="G931" s="2">
        <v>3</v>
      </c>
      <c r="H931" s="2">
        <v>35200</v>
      </c>
      <c r="I931" s="2">
        <v>10</v>
      </c>
      <c r="J931" s="2" t="s">
        <v>1779</v>
      </c>
      <c r="K931" s="2">
        <v>23</v>
      </c>
      <c r="L931" s="2">
        <v>0</v>
      </c>
      <c r="M931" s="2">
        <v>0</v>
      </c>
      <c r="N931" s="2">
        <v>8</v>
      </c>
      <c r="O931" s="2">
        <v>10</v>
      </c>
      <c r="P931" s="2">
        <v>5</v>
      </c>
      <c r="Q931" s="2" t="s">
        <v>3890</v>
      </c>
      <c r="R931" s="2" t="s">
        <v>3891</v>
      </c>
      <c r="S931" s="4">
        <v>45112</v>
      </c>
    </row>
    <row r="932" spans="1:19" ht="12.5" hidden="1" x14ac:dyDescent="0.25">
      <c r="A932" s="14" t="str">
        <f>HYPERLINK("https://gerandofalcoes.my.salesforce.com/0014X00002YggjiQAB", "0014X00002YggjiQAB")</f>
        <v>0014X00002YggjiQAB</v>
      </c>
      <c r="B932" s="2" t="s">
        <v>3892</v>
      </c>
      <c r="C932" s="2" t="s">
        <v>423</v>
      </c>
      <c r="D932" s="2" t="s">
        <v>2</v>
      </c>
      <c r="E932" s="2"/>
      <c r="F932" s="2">
        <v>0</v>
      </c>
      <c r="G932" s="2">
        <v>2</v>
      </c>
      <c r="H932" s="2">
        <v>100000</v>
      </c>
      <c r="I932" s="2">
        <v>0</v>
      </c>
      <c r="J932" s="2" t="s">
        <v>1779</v>
      </c>
      <c r="K932" s="2">
        <v>21</v>
      </c>
      <c r="L932" s="2">
        <v>0</v>
      </c>
      <c r="M932" s="2">
        <v>0</v>
      </c>
      <c r="N932" s="2">
        <v>6</v>
      </c>
      <c r="O932" s="2">
        <v>15</v>
      </c>
      <c r="P932" s="2">
        <v>0</v>
      </c>
      <c r="Q932" s="2" t="s">
        <v>3893</v>
      </c>
      <c r="R932" s="2" t="s">
        <v>3894</v>
      </c>
      <c r="S932" s="4">
        <v>45112</v>
      </c>
    </row>
    <row r="933" spans="1:19" ht="12.5" hidden="1" x14ac:dyDescent="0.25">
      <c r="A933" s="14" t="str">
        <f>HYPERLINK("https://gerandofalcoes.my.salesforce.com/0014X00002VKCrhQAH", "0014X00002VKCrhQAH")</f>
        <v>0014X00002VKCrhQAH</v>
      </c>
      <c r="B933" s="2" t="s">
        <v>3895</v>
      </c>
      <c r="C933" s="2" t="s">
        <v>423</v>
      </c>
      <c r="D933" s="2" t="s">
        <v>2</v>
      </c>
      <c r="E933" s="2">
        <v>45</v>
      </c>
      <c r="F933" s="2">
        <v>6</v>
      </c>
      <c r="G933" s="2">
        <v>5</v>
      </c>
      <c r="H933" s="2">
        <v>150000</v>
      </c>
      <c r="I933" s="2">
        <v>200</v>
      </c>
      <c r="J933" s="2" t="s">
        <v>1671</v>
      </c>
      <c r="K933" s="2">
        <v>62</v>
      </c>
      <c r="L933" s="2">
        <v>15</v>
      </c>
      <c r="M933" s="2">
        <v>10</v>
      </c>
      <c r="N933" s="2">
        <v>10</v>
      </c>
      <c r="O933" s="2">
        <v>15</v>
      </c>
      <c r="P933" s="2">
        <v>12</v>
      </c>
      <c r="Q933" s="2" t="s">
        <v>3896</v>
      </c>
      <c r="R933" s="2" t="s">
        <v>3897</v>
      </c>
      <c r="S933" s="4">
        <v>45113</v>
      </c>
    </row>
    <row r="934" spans="1:19" ht="12.5" hidden="1" x14ac:dyDescent="0.25">
      <c r="A934" s="14" t="str">
        <f>HYPERLINK("https://gerandofalcoes.my.salesforce.com/0014X00002VKCpDQAX", "0014X00002VKCpDQAX")</f>
        <v>0014X00002VKCpDQAX</v>
      </c>
      <c r="B934" s="2" t="s">
        <v>3898</v>
      </c>
      <c r="C934" s="2" t="s">
        <v>423</v>
      </c>
      <c r="D934" s="2" t="s">
        <v>2</v>
      </c>
      <c r="E934" s="2">
        <v>28</v>
      </c>
      <c r="F934" s="2">
        <v>15</v>
      </c>
      <c r="G934" s="2">
        <v>0</v>
      </c>
      <c r="H934" s="2">
        <v>0</v>
      </c>
      <c r="I934" s="2">
        <v>0</v>
      </c>
      <c r="J934" s="2" t="s">
        <v>1779</v>
      </c>
      <c r="K934" s="2">
        <v>27</v>
      </c>
      <c r="L934" s="2">
        <v>15</v>
      </c>
      <c r="M934" s="2">
        <v>12</v>
      </c>
      <c r="N934" s="2">
        <v>0</v>
      </c>
      <c r="O934" s="2">
        <v>0</v>
      </c>
      <c r="P934" s="2">
        <v>0</v>
      </c>
      <c r="Q934" s="2" t="s">
        <v>3899</v>
      </c>
      <c r="R934" s="2" t="s">
        <v>3900</v>
      </c>
      <c r="S934" s="4">
        <v>45169</v>
      </c>
    </row>
    <row r="935" spans="1:19" ht="12.5" hidden="1" x14ac:dyDescent="0.25">
      <c r="A935" s="14" t="str">
        <f>HYPERLINK("https://gerandofalcoes.my.salesforce.com/0014X00002VKCsNQAX", "0014X00002VKCsNQAX")</f>
        <v>0014X00002VKCsNQAX</v>
      </c>
      <c r="B935" s="2" t="s">
        <v>3901</v>
      </c>
      <c r="C935" s="2" t="s">
        <v>1800</v>
      </c>
      <c r="D935" s="2" t="s">
        <v>2</v>
      </c>
      <c r="E935" s="2">
        <v>17</v>
      </c>
      <c r="F935" s="2">
        <v>0</v>
      </c>
      <c r="G935" s="2">
        <v>0</v>
      </c>
      <c r="H935" s="2">
        <v>0</v>
      </c>
      <c r="I935" s="2">
        <v>0</v>
      </c>
      <c r="J935" s="2"/>
      <c r="K935" s="2">
        <v>10</v>
      </c>
      <c r="L935" s="2">
        <v>10</v>
      </c>
      <c r="M935" s="2">
        <v>0</v>
      </c>
      <c r="N935" s="2">
        <v>0</v>
      </c>
      <c r="O935" s="2">
        <v>0</v>
      </c>
      <c r="P935" s="2">
        <v>0</v>
      </c>
      <c r="Q935" s="2" t="s">
        <v>3902</v>
      </c>
      <c r="R935" s="2" t="s">
        <v>3903</v>
      </c>
      <c r="S935" s="4">
        <v>45169</v>
      </c>
    </row>
    <row r="936" spans="1:19" ht="12.5" hidden="1" x14ac:dyDescent="0.25">
      <c r="A936" s="14" t="str">
        <f>HYPERLINK("https://gerandofalcoes.my.salesforce.com/0014X00002YggkCQAR", "0014X00002YggkCQAR")</f>
        <v>0014X00002YggkCQAR</v>
      </c>
      <c r="B936" s="2" t="s">
        <v>3904</v>
      </c>
      <c r="C936" s="2" t="s">
        <v>423</v>
      </c>
      <c r="D936" s="2" t="s">
        <v>2</v>
      </c>
      <c r="E936" s="2">
        <v>0</v>
      </c>
      <c r="F936" s="2">
        <v>13</v>
      </c>
      <c r="G936" s="2">
        <v>3</v>
      </c>
      <c r="H936" s="2">
        <v>2010000</v>
      </c>
      <c r="I936" s="2">
        <v>750</v>
      </c>
      <c r="J936" s="2" t="s">
        <v>1650</v>
      </c>
      <c r="K936" s="2">
        <v>65</v>
      </c>
      <c r="L936" s="2">
        <v>0</v>
      </c>
      <c r="M936" s="2">
        <v>12</v>
      </c>
      <c r="N936" s="2">
        <v>8</v>
      </c>
      <c r="O936" s="2">
        <v>25</v>
      </c>
      <c r="P936" s="2">
        <v>20</v>
      </c>
      <c r="Q936" s="2" t="s">
        <v>3905</v>
      </c>
      <c r="R936" s="2" t="s">
        <v>3906</v>
      </c>
      <c r="S936" s="4">
        <v>45169</v>
      </c>
    </row>
    <row r="937" spans="1:19" ht="12.5" hidden="1" x14ac:dyDescent="0.25">
      <c r="A937" s="14" t="str">
        <f>HYPERLINK("https://gerandofalcoes.my.salesforce.com/0014X00002YggpYQAR", "0014X00002YggpYQAR")</f>
        <v>0014X00002YggpYQAR</v>
      </c>
      <c r="B937" s="2" t="s">
        <v>3907</v>
      </c>
      <c r="C937" s="2" t="s">
        <v>423</v>
      </c>
      <c r="D937" s="2" t="s">
        <v>2</v>
      </c>
      <c r="E937" s="2">
        <v>0</v>
      </c>
      <c r="F937" s="2">
        <v>0</v>
      </c>
      <c r="G937" s="2">
        <v>4</v>
      </c>
      <c r="H937" s="2">
        <v>30000</v>
      </c>
      <c r="I937" s="2">
        <v>36</v>
      </c>
      <c r="J937" s="2" t="s">
        <v>1779</v>
      </c>
      <c r="K937" s="2">
        <v>25</v>
      </c>
      <c r="L937" s="2">
        <v>0</v>
      </c>
      <c r="M937" s="2">
        <v>0</v>
      </c>
      <c r="N937" s="2">
        <v>10</v>
      </c>
      <c r="O937" s="2">
        <v>10</v>
      </c>
      <c r="P937" s="2">
        <v>5</v>
      </c>
      <c r="Q937" s="2" t="s">
        <v>3908</v>
      </c>
      <c r="R937" s="2" t="s">
        <v>3909</v>
      </c>
      <c r="S937" s="4">
        <v>45169</v>
      </c>
    </row>
    <row r="938" spans="1:19" ht="12.5" hidden="1" x14ac:dyDescent="0.25">
      <c r="A938" s="14" t="str">
        <f>HYPERLINK("https://gerandofalcoes.my.salesforce.com/0014X00002YggmtQAB", "0014X00002YggmtQAB")</f>
        <v>0014X00002YggmtQAB</v>
      </c>
      <c r="B938" s="2" t="s">
        <v>3913</v>
      </c>
      <c r="C938" s="2" t="s">
        <v>423</v>
      </c>
      <c r="D938" s="2" t="s">
        <v>2</v>
      </c>
      <c r="E938" s="2">
        <v>0</v>
      </c>
      <c r="F938" s="2">
        <v>0</v>
      </c>
      <c r="G938" s="2">
        <v>3</v>
      </c>
      <c r="H938" s="2">
        <v>28000</v>
      </c>
      <c r="I938" s="2">
        <v>0</v>
      </c>
      <c r="J938" s="2" t="s">
        <v>1779</v>
      </c>
      <c r="K938" s="2">
        <v>18</v>
      </c>
      <c r="L938" s="2">
        <v>0</v>
      </c>
      <c r="M938" s="2">
        <v>0</v>
      </c>
      <c r="N938" s="2">
        <v>8</v>
      </c>
      <c r="O938" s="2">
        <v>10</v>
      </c>
      <c r="P938" s="2">
        <v>0</v>
      </c>
      <c r="Q938" s="2" t="s">
        <v>3914</v>
      </c>
      <c r="R938" s="2" t="s">
        <v>3915</v>
      </c>
      <c r="S938" s="4">
        <v>45169</v>
      </c>
    </row>
    <row r="939" spans="1:19" ht="12.5" hidden="1" x14ac:dyDescent="0.25">
      <c r="A939" s="14" t="str">
        <f>HYPERLINK("https://gerandofalcoes.my.salesforce.com/0014X00002dicyjQAA", "0014X00002dicyjQAA")</f>
        <v>0014X00002dicyjQAA</v>
      </c>
      <c r="B939" s="2" t="s">
        <v>3910</v>
      </c>
      <c r="C939" s="2" t="s">
        <v>423</v>
      </c>
      <c r="D939" s="2" t="s">
        <v>2</v>
      </c>
      <c r="E939" s="2">
        <v>0</v>
      </c>
      <c r="F939" s="2">
        <v>0</v>
      </c>
      <c r="G939" s="2">
        <v>0</v>
      </c>
      <c r="H939" s="2">
        <v>0</v>
      </c>
      <c r="I939" s="2">
        <v>0</v>
      </c>
      <c r="J939" s="2"/>
      <c r="K939" s="2">
        <v>0</v>
      </c>
      <c r="L939" s="2">
        <v>0</v>
      </c>
      <c r="M939" s="2">
        <v>0</v>
      </c>
      <c r="N939" s="2">
        <v>0</v>
      </c>
      <c r="O939" s="2">
        <v>0</v>
      </c>
      <c r="P939" s="2">
        <v>0</v>
      </c>
      <c r="Q939" s="2" t="s">
        <v>3911</v>
      </c>
      <c r="R939" s="2" t="s">
        <v>3912</v>
      </c>
      <c r="S939" s="4">
        <v>45169</v>
      </c>
    </row>
    <row r="940" spans="1:19" ht="12.5" hidden="1" x14ac:dyDescent="0.25">
      <c r="A940" s="14" t="str">
        <f>HYPERLINK("https://gerandofalcoes.my.salesforce.com/0014X00002didpZQAQ", "0014X00002didpZQAQ")</f>
        <v>0014X00002didpZQAQ</v>
      </c>
      <c r="B940" s="2" t="s">
        <v>4224</v>
      </c>
      <c r="C940" s="2" t="s">
        <v>423</v>
      </c>
      <c r="D940" s="2" t="s">
        <v>2</v>
      </c>
      <c r="E940" s="2"/>
      <c r="F940" s="2">
        <v>0</v>
      </c>
      <c r="G940" s="2">
        <v>0</v>
      </c>
      <c r="H940" s="2">
        <v>0</v>
      </c>
      <c r="I940" s="2">
        <v>0</v>
      </c>
      <c r="J940" s="2"/>
      <c r="K940" s="2">
        <v>0</v>
      </c>
      <c r="L940" s="2">
        <v>0</v>
      </c>
      <c r="M940" s="2">
        <v>0</v>
      </c>
      <c r="N940" s="2">
        <v>0</v>
      </c>
      <c r="O940" s="2">
        <v>0</v>
      </c>
      <c r="P940" s="2">
        <v>0</v>
      </c>
      <c r="Q940" s="2" t="s">
        <v>4225</v>
      </c>
      <c r="R940" s="2" t="s">
        <v>4225</v>
      </c>
      <c r="S940" s="4">
        <v>45180</v>
      </c>
    </row>
    <row r="941" spans="1:19" ht="12.5" hidden="1" x14ac:dyDescent="0.25">
      <c r="A941" s="14" t="str">
        <f>HYPERLINK("https://gerandofalcoes.my.salesforce.com/0014X00002YggjfQAB", "0014X00002YggjfQAB")</f>
        <v>0014X00002YggjfQAB</v>
      </c>
      <c r="B941" s="2" t="s">
        <v>3916</v>
      </c>
      <c r="C941" s="2" t="s">
        <v>423</v>
      </c>
      <c r="D941" s="2" t="s">
        <v>2</v>
      </c>
      <c r="E941" s="2">
        <v>6.67</v>
      </c>
      <c r="F941" s="2">
        <v>0</v>
      </c>
      <c r="G941" s="2">
        <v>3</v>
      </c>
      <c r="H941" s="2">
        <v>0</v>
      </c>
      <c r="I941" s="2">
        <v>20</v>
      </c>
      <c r="J941" s="2" t="s">
        <v>1779</v>
      </c>
      <c r="K941" s="2">
        <v>23</v>
      </c>
      <c r="L941" s="2">
        <v>10</v>
      </c>
      <c r="M941" s="2">
        <v>0</v>
      </c>
      <c r="N941" s="2">
        <v>8</v>
      </c>
      <c r="O941" s="2">
        <v>0</v>
      </c>
      <c r="P941" s="2">
        <v>5</v>
      </c>
      <c r="Q941" s="2" t="s">
        <v>3917</v>
      </c>
      <c r="R941" s="2" t="s">
        <v>3918</v>
      </c>
      <c r="S941" s="4">
        <v>45182</v>
      </c>
    </row>
    <row r="942" spans="1:19" ht="12.5" hidden="1" x14ac:dyDescent="0.25">
      <c r="A942" s="14" t="str">
        <f>HYPERLINK("https://gerandofalcoes.my.salesforce.com/0014X00002VKCrrQAH", "0014X00002VKCrrQAH")</f>
        <v>0014X00002VKCrrQAH</v>
      </c>
      <c r="B942" s="2" t="s">
        <v>3919</v>
      </c>
      <c r="C942" s="2" t="s">
        <v>423</v>
      </c>
      <c r="D942" s="2" t="s">
        <v>2</v>
      </c>
      <c r="E942" s="2">
        <v>3.28</v>
      </c>
      <c r="F942" s="2">
        <v>0</v>
      </c>
      <c r="G942" s="2">
        <v>0</v>
      </c>
      <c r="H942" s="2">
        <v>0</v>
      </c>
      <c r="I942" s="2">
        <v>0</v>
      </c>
      <c r="J942" s="2" t="s">
        <v>1779</v>
      </c>
      <c r="K942" s="2">
        <v>10</v>
      </c>
      <c r="L942" s="2">
        <v>10</v>
      </c>
      <c r="M942" s="2">
        <v>0</v>
      </c>
      <c r="N942" s="2">
        <v>0</v>
      </c>
      <c r="O942" s="2">
        <v>0</v>
      </c>
      <c r="P942" s="2">
        <v>0</v>
      </c>
      <c r="Q942" s="2" t="s">
        <v>3920</v>
      </c>
      <c r="R942" s="2" t="s">
        <v>3920</v>
      </c>
      <c r="S942" s="4">
        <v>45182</v>
      </c>
    </row>
    <row r="943" spans="1:19" ht="12.5" hidden="1" x14ac:dyDescent="0.25">
      <c r="A943" s="14" t="str">
        <f>HYPERLINK("https://gerandofalcoes.my.salesforce.com/0014X00002YgbkaQAB", "0014X00002YgbkaQAB")</f>
        <v>0014X00002YgbkaQAB</v>
      </c>
      <c r="B943" s="2" t="s">
        <v>3921</v>
      </c>
      <c r="C943" s="2" t="s">
        <v>423</v>
      </c>
      <c r="D943" s="2" t="s">
        <v>2</v>
      </c>
      <c r="E943" s="2">
        <v>2.84</v>
      </c>
      <c r="F943" s="2">
        <v>0</v>
      </c>
      <c r="G943" s="2">
        <v>0</v>
      </c>
      <c r="H943" s="2">
        <v>0</v>
      </c>
      <c r="I943" s="2">
        <v>0</v>
      </c>
      <c r="J943" s="2" t="s">
        <v>1779</v>
      </c>
      <c r="K943" s="2">
        <v>10</v>
      </c>
      <c r="L943" s="2">
        <v>10</v>
      </c>
      <c r="M943" s="2">
        <v>0</v>
      </c>
      <c r="N943" s="2">
        <v>0</v>
      </c>
      <c r="O943" s="2">
        <v>0</v>
      </c>
      <c r="P943" s="2">
        <v>0</v>
      </c>
      <c r="Q943" s="2" t="s">
        <v>3922</v>
      </c>
      <c r="R943" s="2" t="s">
        <v>3923</v>
      </c>
      <c r="S943" s="4">
        <v>45182</v>
      </c>
    </row>
    <row r="944" spans="1:19" ht="12.5" hidden="1" x14ac:dyDescent="0.25">
      <c r="A944" s="14" t="str">
        <f>HYPERLINK("https://gerandofalcoes.my.salesforce.com/0014X00002YggotQAB", "0014X00002YggotQAB")</f>
        <v>0014X00002YggotQAB</v>
      </c>
      <c r="B944" s="2" t="s">
        <v>3924</v>
      </c>
      <c r="C944" s="2" t="s">
        <v>423</v>
      </c>
      <c r="D944" s="2" t="s">
        <v>2</v>
      </c>
      <c r="E944" s="2"/>
      <c r="F944" s="2">
        <v>0</v>
      </c>
      <c r="G944" s="2">
        <v>2</v>
      </c>
      <c r="H944" s="2">
        <v>0</v>
      </c>
      <c r="I944" s="2">
        <v>40</v>
      </c>
      <c r="J944" s="2" t="s">
        <v>1779</v>
      </c>
      <c r="K944" s="2">
        <v>11</v>
      </c>
      <c r="L944" s="2">
        <v>0</v>
      </c>
      <c r="M944" s="2">
        <v>0</v>
      </c>
      <c r="N944" s="2">
        <v>6</v>
      </c>
      <c r="O944" s="2">
        <v>0</v>
      </c>
      <c r="P944" s="2">
        <v>5</v>
      </c>
      <c r="Q944" s="2" t="s">
        <v>3925</v>
      </c>
      <c r="R944" s="2" t="s">
        <v>3925</v>
      </c>
      <c r="S944" s="4">
        <v>45182</v>
      </c>
    </row>
    <row r="945" spans="1:19" ht="12.5" hidden="1" x14ac:dyDescent="0.25">
      <c r="A945" s="14" t="str">
        <f>HYPERLINK("https://gerandofalcoes.my.salesforce.com/0014X00002YgggKQAR", "0014X00002YgggKQAR")</f>
        <v>0014X00002YgggKQAR</v>
      </c>
      <c r="B945" s="2" t="s">
        <v>3926</v>
      </c>
      <c r="C945" s="2" t="s">
        <v>423</v>
      </c>
      <c r="D945" s="2" t="s">
        <v>2</v>
      </c>
      <c r="E945" s="2">
        <v>1.67</v>
      </c>
      <c r="F945" s="2">
        <v>6</v>
      </c>
      <c r="G945" s="2">
        <v>2</v>
      </c>
      <c r="H945" s="2">
        <v>25000</v>
      </c>
      <c r="I945" s="2">
        <v>70</v>
      </c>
      <c r="J945" s="2" t="s">
        <v>1671</v>
      </c>
      <c r="K945" s="2">
        <v>41</v>
      </c>
      <c r="L945" s="2">
        <v>10</v>
      </c>
      <c r="M945" s="2">
        <v>10</v>
      </c>
      <c r="N945" s="2">
        <v>6</v>
      </c>
      <c r="O945" s="2">
        <v>10</v>
      </c>
      <c r="P945" s="2">
        <v>5</v>
      </c>
      <c r="Q945" s="2" t="s">
        <v>3927</v>
      </c>
      <c r="R945" s="2" t="s">
        <v>3927</v>
      </c>
      <c r="S945" s="4">
        <v>45184</v>
      </c>
    </row>
    <row r="946" spans="1:19" ht="12.5" hidden="1" x14ac:dyDescent="0.25">
      <c r="A946" s="14" t="str">
        <f>HYPERLINK("https://gerandofalcoes.my.salesforce.com/0014X00002YgggPQAR", "0014X00002YgggPQAR")</f>
        <v>0014X00002YgggPQAR</v>
      </c>
      <c r="B946" s="2" t="s">
        <v>3928</v>
      </c>
      <c r="C946" s="2" t="s">
        <v>423</v>
      </c>
      <c r="D946" s="2" t="s">
        <v>2</v>
      </c>
      <c r="E946" s="2">
        <v>1.67</v>
      </c>
      <c r="F946" s="2">
        <v>0</v>
      </c>
      <c r="G946" s="2">
        <v>4</v>
      </c>
      <c r="H946" s="2">
        <v>2000</v>
      </c>
      <c r="I946" s="2">
        <v>0</v>
      </c>
      <c r="J946" s="2" t="s">
        <v>1779</v>
      </c>
      <c r="K946" s="2">
        <v>25</v>
      </c>
      <c r="L946" s="2">
        <v>10</v>
      </c>
      <c r="M946" s="2">
        <v>0</v>
      </c>
      <c r="N946" s="2">
        <v>10</v>
      </c>
      <c r="O946" s="2">
        <v>5</v>
      </c>
      <c r="P946" s="2">
        <v>0</v>
      </c>
      <c r="Q946" s="2" t="s">
        <v>3929</v>
      </c>
      <c r="R946" s="2" t="s">
        <v>3930</v>
      </c>
      <c r="S946" s="4">
        <v>45184</v>
      </c>
    </row>
    <row r="947" spans="1:19" ht="12.5" hidden="1" x14ac:dyDescent="0.25">
      <c r="A947" s="14" t="str">
        <f>HYPERLINK("https://gerandofalcoes.my.salesforce.com/0014X00002YggivQAB", "0014X00002YggivQAB")</f>
        <v>0014X00002YggivQAB</v>
      </c>
      <c r="B947" s="2" t="s">
        <v>3931</v>
      </c>
      <c r="C947" s="2" t="s">
        <v>423</v>
      </c>
      <c r="D947" s="2" t="s">
        <v>2</v>
      </c>
      <c r="E947" s="2"/>
      <c r="F947" s="2">
        <v>4</v>
      </c>
      <c r="G947" s="2">
        <v>6</v>
      </c>
      <c r="H947" s="2">
        <v>20</v>
      </c>
      <c r="I947" s="2">
        <v>200</v>
      </c>
      <c r="J947" s="2" t="s">
        <v>1779</v>
      </c>
      <c r="K947" s="2">
        <v>32</v>
      </c>
      <c r="L947" s="2">
        <v>0</v>
      </c>
      <c r="M947" s="2">
        <v>5</v>
      </c>
      <c r="N947" s="2">
        <v>10</v>
      </c>
      <c r="O947" s="2">
        <v>5</v>
      </c>
      <c r="P947" s="2">
        <v>12</v>
      </c>
      <c r="Q947" s="2" t="s">
        <v>3932</v>
      </c>
      <c r="R947" s="2" t="s">
        <v>3932</v>
      </c>
      <c r="S947" s="4">
        <v>45187</v>
      </c>
    </row>
    <row r="948" spans="1:19" ht="12.5" hidden="1" x14ac:dyDescent="0.25">
      <c r="A948" s="14" t="str">
        <f>HYPERLINK("https://gerandofalcoes.my.salesforce.com/0014X00002Yggp6QAB", "0014X00002Yggp6QAB")</f>
        <v>0014X00002Yggp6QAB</v>
      </c>
      <c r="B948" s="2" t="s">
        <v>3933</v>
      </c>
      <c r="C948" s="2" t="s">
        <v>423</v>
      </c>
      <c r="D948" s="2" t="s">
        <v>2</v>
      </c>
      <c r="E948" s="2"/>
      <c r="F948" s="2">
        <v>0</v>
      </c>
      <c r="G948" s="2">
        <v>6</v>
      </c>
      <c r="H948" s="2">
        <v>500</v>
      </c>
      <c r="I948" s="2">
        <v>0</v>
      </c>
      <c r="J948" s="2" t="s">
        <v>1779</v>
      </c>
      <c r="K948" s="2">
        <v>15</v>
      </c>
      <c r="L948" s="2">
        <v>0</v>
      </c>
      <c r="M948" s="2">
        <v>0</v>
      </c>
      <c r="N948" s="2">
        <v>10</v>
      </c>
      <c r="O948" s="2">
        <v>5</v>
      </c>
      <c r="P948" s="2">
        <v>0</v>
      </c>
      <c r="Q948" s="2" t="s">
        <v>3934</v>
      </c>
      <c r="R948" s="2" t="s">
        <v>3935</v>
      </c>
      <c r="S948" s="4">
        <v>45187</v>
      </c>
    </row>
    <row r="949" spans="1:19" ht="12.5" hidden="1" x14ac:dyDescent="0.25">
      <c r="A949" s="14" t="str">
        <f>HYPERLINK("https://gerandofalcoes.my.salesforce.com/0014X00002hgrRyQAI", "0014X00002hgrRyQAI")</f>
        <v>0014X00002hgrRyQAI</v>
      </c>
      <c r="B949" s="2" t="s">
        <v>3936</v>
      </c>
      <c r="C949" s="2" t="s">
        <v>423</v>
      </c>
      <c r="D949" s="2" t="s">
        <v>2</v>
      </c>
      <c r="E949" s="2">
        <v>10</v>
      </c>
      <c r="F949" s="2">
        <v>5</v>
      </c>
      <c r="G949" s="2">
        <v>1</v>
      </c>
      <c r="H949" s="2">
        <v>50000</v>
      </c>
      <c r="I949" s="2">
        <v>10</v>
      </c>
      <c r="J949" s="2" t="s">
        <v>1779</v>
      </c>
      <c r="K949" s="2">
        <v>34</v>
      </c>
      <c r="L949" s="2">
        <v>10</v>
      </c>
      <c r="M949" s="2">
        <v>5</v>
      </c>
      <c r="N949" s="2">
        <v>4</v>
      </c>
      <c r="O949" s="2">
        <v>10</v>
      </c>
      <c r="P949" s="2">
        <v>5</v>
      </c>
      <c r="Q949" s="2" t="s">
        <v>3937</v>
      </c>
      <c r="R949" s="2" t="s">
        <v>3938</v>
      </c>
      <c r="S949" s="4">
        <v>45189</v>
      </c>
    </row>
    <row r="950" spans="1:19" ht="12.5" hidden="1" x14ac:dyDescent="0.25">
      <c r="A950" s="14" t="str">
        <f>HYPERLINK("https://gerandofalcoes.my.salesforce.com/0014X00002YggheQAB", "0014X00002YggheQAB")</f>
        <v>0014X00002YggheQAB</v>
      </c>
      <c r="B950" s="2" t="s">
        <v>3939</v>
      </c>
      <c r="C950" s="2" t="s">
        <v>423</v>
      </c>
      <c r="D950" s="2" t="s">
        <v>2</v>
      </c>
      <c r="E950" s="2">
        <v>17.02</v>
      </c>
      <c r="F950" s="2">
        <v>0</v>
      </c>
      <c r="G950" s="2">
        <v>2</v>
      </c>
      <c r="H950" s="2">
        <v>4000</v>
      </c>
      <c r="I950" s="2">
        <v>435</v>
      </c>
      <c r="J950" s="2" t="s">
        <v>1779</v>
      </c>
      <c r="K950" s="2">
        <v>36</v>
      </c>
      <c r="L950" s="2">
        <v>10</v>
      </c>
      <c r="M950" s="2">
        <v>0</v>
      </c>
      <c r="N950" s="2">
        <v>6</v>
      </c>
      <c r="O950" s="2">
        <v>5</v>
      </c>
      <c r="P950" s="2">
        <v>15</v>
      </c>
      <c r="Q950" s="2" t="s">
        <v>3940</v>
      </c>
      <c r="R950" s="2" t="s">
        <v>3941</v>
      </c>
      <c r="S950" s="4">
        <v>45195</v>
      </c>
    </row>
    <row r="951" spans="1:19" ht="12.5" hidden="1" x14ac:dyDescent="0.25">
      <c r="A951" s="14" t="str">
        <f>HYPERLINK("https://gerandofalcoes.my.salesforce.com/0014X00002YggiWQAR", "0014X00002YggiWQAR")</f>
        <v>0014X00002YggiWQAR</v>
      </c>
      <c r="B951" s="2" t="s">
        <v>3942</v>
      </c>
      <c r="C951" s="2" t="s">
        <v>423</v>
      </c>
      <c r="D951" s="2" t="s">
        <v>2</v>
      </c>
      <c r="E951" s="2">
        <v>14.12</v>
      </c>
      <c r="F951" s="2">
        <v>0</v>
      </c>
      <c r="G951" s="2">
        <v>15</v>
      </c>
      <c r="H951" s="2">
        <v>50000</v>
      </c>
      <c r="I951" s="2">
        <v>100</v>
      </c>
      <c r="J951" s="2" t="s">
        <v>1671</v>
      </c>
      <c r="K951" s="2">
        <v>40</v>
      </c>
      <c r="L951" s="2">
        <v>10</v>
      </c>
      <c r="M951" s="2">
        <v>0</v>
      </c>
      <c r="N951" s="2">
        <v>10</v>
      </c>
      <c r="O951" s="2">
        <v>10</v>
      </c>
      <c r="P951" s="2">
        <v>10</v>
      </c>
      <c r="Q951" s="2" t="s">
        <v>3943</v>
      </c>
      <c r="R951" s="2" t="s">
        <v>3944</v>
      </c>
      <c r="S951" s="4">
        <v>45195</v>
      </c>
    </row>
    <row r="952" spans="1:19" ht="12.5" hidden="1" x14ac:dyDescent="0.25">
      <c r="A952" s="14" t="str">
        <f>HYPERLINK("https://gerandofalcoes.my.salesforce.com/0014X00002YggjzQAB", "0014X00002YggjzQAB")</f>
        <v>0014X00002YggjzQAB</v>
      </c>
      <c r="B952" s="2" t="s">
        <v>3945</v>
      </c>
      <c r="C952" s="2" t="s">
        <v>423</v>
      </c>
      <c r="D952" s="2" t="s">
        <v>2</v>
      </c>
      <c r="E952" s="2">
        <v>14.1</v>
      </c>
      <c r="F952" s="2">
        <v>0</v>
      </c>
      <c r="G952" s="2">
        <v>3</v>
      </c>
      <c r="H952" s="2">
        <v>230000</v>
      </c>
      <c r="I952" s="2">
        <v>80</v>
      </c>
      <c r="J952" s="2" t="s">
        <v>1671</v>
      </c>
      <c r="K952" s="2">
        <v>43</v>
      </c>
      <c r="L952" s="2">
        <v>10</v>
      </c>
      <c r="M952" s="2">
        <v>0</v>
      </c>
      <c r="N952" s="2">
        <v>8</v>
      </c>
      <c r="O952" s="2">
        <v>15</v>
      </c>
      <c r="P952" s="2">
        <v>10</v>
      </c>
      <c r="Q952" s="2" t="s">
        <v>3946</v>
      </c>
      <c r="R952" s="2" t="s">
        <v>3947</v>
      </c>
      <c r="S952" s="4">
        <v>45195</v>
      </c>
    </row>
    <row r="953" spans="1:19" ht="12.5" hidden="1" x14ac:dyDescent="0.25">
      <c r="A953" s="14" t="str">
        <f>HYPERLINK("https://gerandofalcoes.my.salesforce.com/0014X00002YggjjQAB", "0014X00002YggjjQAB")</f>
        <v>0014X00002YggjjQAB</v>
      </c>
      <c r="B953" s="2" t="s">
        <v>3948</v>
      </c>
      <c r="C953" s="2" t="s">
        <v>423</v>
      </c>
      <c r="D953" s="2" t="s">
        <v>2</v>
      </c>
      <c r="E953" s="2"/>
      <c r="F953" s="2">
        <v>1</v>
      </c>
      <c r="G953" s="2">
        <v>5</v>
      </c>
      <c r="H953" s="2">
        <v>1800000</v>
      </c>
      <c r="I953" s="2">
        <v>0</v>
      </c>
      <c r="J953" s="2" t="s">
        <v>1671</v>
      </c>
      <c r="K953" s="2">
        <v>40</v>
      </c>
      <c r="L953" s="2">
        <v>0</v>
      </c>
      <c r="M953" s="2">
        <v>5</v>
      </c>
      <c r="N953" s="2">
        <v>10</v>
      </c>
      <c r="O953" s="2">
        <v>25</v>
      </c>
      <c r="P953" s="2">
        <v>0</v>
      </c>
      <c r="Q953" s="2" t="s">
        <v>3949</v>
      </c>
      <c r="R953" s="2" t="s">
        <v>3950</v>
      </c>
      <c r="S953" s="4">
        <v>45195</v>
      </c>
    </row>
    <row r="954" spans="1:19" ht="12.5" hidden="1" x14ac:dyDescent="0.25">
      <c r="A954" s="14" t="str">
        <f>HYPERLINK("https://gerandofalcoes.my.salesforce.com/0014X00002YgghpQAB", "0014X00002YgghpQAB")</f>
        <v>0014X00002YgghpQAB</v>
      </c>
      <c r="B954" s="2" t="s">
        <v>3951</v>
      </c>
      <c r="C954" s="2" t="s">
        <v>423</v>
      </c>
      <c r="D954" s="2" t="s">
        <v>2</v>
      </c>
      <c r="E954" s="2">
        <v>34.06</v>
      </c>
      <c r="F954" s="2">
        <v>6</v>
      </c>
      <c r="G954" s="2">
        <v>5</v>
      </c>
      <c r="H954" s="2">
        <v>10957576</v>
      </c>
      <c r="I954" s="2">
        <v>50</v>
      </c>
      <c r="J954" s="2" t="s">
        <v>1650</v>
      </c>
      <c r="K954" s="2">
        <v>65</v>
      </c>
      <c r="L954" s="2">
        <v>15</v>
      </c>
      <c r="M954" s="2">
        <v>10</v>
      </c>
      <c r="N954" s="2">
        <v>10</v>
      </c>
      <c r="O954" s="2">
        <v>25</v>
      </c>
      <c r="P954" s="2">
        <v>5</v>
      </c>
      <c r="Q954" s="2" t="s">
        <v>3952</v>
      </c>
      <c r="R954" s="2" t="s">
        <v>3953</v>
      </c>
      <c r="S954" s="4">
        <v>45196</v>
      </c>
    </row>
    <row r="955" spans="1:19" ht="12.5" hidden="1" x14ac:dyDescent="0.25">
      <c r="A955" s="14" t="str">
        <f>HYPERLINK("https://gerandofalcoes.my.salesforce.com/0014X00002YggmjQAB", "0014X00002YggmjQAB")</f>
        <v>0014X00002YggmjQAB</v>
      </c>
      <c r="B955" s="2" t="s">
        <v>3954</v>
      </c>
      <c r="C955" s="2" t="s">
        <v>423</v>
      </c>
      <c r="D955" s="2" t="s">
        <v>2</v>
      </c>
      <c r="E955" s="2">
        <v>33.99</v>
      </c>
      <c r="F955" s="2">
        <v>0</v>
      </c>
      <c r="G955" s="2">
        <v>2</v>
      </c>
      <c r="H955" s="2">
        <v>96000</v>
      </c>
      <c r="I955" s="2">
        <v>250</v>
      </c>
      <c r="J955" s="2" t="s">
        <v>1671</v>
      </c>
      <c r="K955" s="2">
        <v>43</v>
      </c>
      <c r="L955" s="2">
        <v>15</v>
      </c>
      <c r="M955" s="2">
        <v>0</v>
      </c>
      <c r="N955" s="2">
        <v>6</v>
      </c>
      <c r="O955" s="2">
        <v>10</v>
      </c>
      <c r="P955" s="2">
        <v>12</v>
      </c>
      <c r="Q955" s="2" t="s">
        <v>3955</v>
      </c>
      <c r="R955" s="2" t="s">
        <v>3956</v>
      </c>
      <c r="S955" s="4">
        <v>45196</v>
      </c>
    </row>
    <row r="956" spans="1:19" ht="12.5" hidden="1" x14ac:dyDescent="0.25">
      <c r="A956" s="14" t="str">
        <f>HYPERLINK("https://gerandofalcoes.my.salesforce.com/0014X00002YggmeQAB", "0014X00002YggmeQAB")</f>
        <v>0014X00002YggmeQAB</v>
      </c>
      <c r="B956" s="2" t="s">
        <v>3957</v>
      </c>
      <c r="C956" s="2" t="s">
        <v>423</v>
      </c>
      <c r="D956" s="2" t="s">
        <v>2</v>
      </c>
      <c r="E956" s="2">
        <v>32.200000000000003</v>
      </c>
      <c r="F956" s="2">
        <v>20</v>
      </c>
      <c r="G956" s="2">
        <v>4</v>
      </c>
      <c r="H956" s="2">
        <v>11000</v>
      </c>
      <c r="I956" s="2">
        <v>80</v>
      </c>
      <c r="J956" s="2" t="s">
        <v>1671</v>
      </c>
      <c r="K956" s="2">
        <v>52</v>
      </c>
      <c r="L956" s="2">
        <v>15</v>
      </c>
      <c r="M956" s="2">
        <v>12</v>
      </c>
      <c r="N956" s="2">
        <v>10</v>
      </c>
      <c r="O956" s="2">
        <v>5</v>
      </c>
      <c r="P956" s="2">
        <v>10</v>
      </c>
      <c r="Q956" s="2" t="s">
        <v>3958</v>
      </c>
      <c r="R956" s="2" t="s">
        <v>3959</v>
      </c>
      <c r="S956" s="4">
        <v>45196</v>
      </c>
    </row>
    <row r="957" spans="1:19" ht="12.5" hidden="1" x14ac:dyDescent="0.25">
      <c r="A957" s="14" t="str">
        <f>HYPERLINK("https://gerandofalcoes.my.salesforce.com/0014X00002YggkMQAR", "0014X00002YggkMQAR")</f>
        <v>0014X00002YggkMQAR</v>
      </c>
      <c r="B957" s="2" t="s">
        <v>3960</v>
      </c>
      <c r="C957" s="2" t="s">
        <v>423</v>
      </c>
      <c r="D957" s="2" t="s">
        <v>2</v>
      </c>
      <c r="E957" s="2">
        <v>30.48</v>
      </c>
      <c r="F957" s="2">
        <v>78</v>
      </c>
      <c r="G957" s="2">
        <v>2</v>
      </c>
      <c r="H957" s="2">
        <v>277832</v>
      </c>
      <c r="I957" s="2">
        <v>75</v>
      </c>
      <c r="J957" s="2" t="s">
        <v>1671</v>
      </c>
      <c r="K957" s="2">
        <v>56</v>
      </c>
      <c r="L957" s="2">
        <v>15</v>
      </c>
      <c r="M957" s="2">
        <v>15</v>
      </c>
      <c r="N957" s="2">
        <v>6</v>
      </c>
      <c r="O957" s="2">
        <v>15</v>
      </c>
      <c r="P957" s="2">
        <v>5</v>
      </c>
      <c r="Q957" s="2" t="s">
        <v>3961</v>
      </c>
      <c r="R957" s="2" t="s">
        <v>3962</v>
      </c>
      <c r="S957" s="4">
        <v>45196</v>
      </c>
    </row>
    <row r="958" spans="1:19" ht="12.5" hidden="1" x14ac:dyDescent="0.25">
      <c r="A958" s="14" t="str">
        <f>HYPERLINK("https://gerandofalcoes.my.salesforce.com/0014X00002YggqYQAR", "0014X00002YggqYQAR")</f>
        <v>0014X00002YggqYQAR</v>
      </c>
      <c r="B958" s="2" t="s">
        <v>3963</v>
      </c>
      <c r="C958" s="2" t="s">
        <v>423</v>
      </c>
      <c r="D958" s="2" t="s">
        <v>2</v>
      </c>
      <c r="E958" s="2">
        <v>25.55</v>
      </c>
      <c r="F958" s="2">
        <v>3</v>
      </c>
      <c r="G958" s="2">
        <v>8</v>
      </c>
      <c r="H958" s="2">
        <v>380000</v>
      </c>
      <c r="I958" s="2">
        <v>25</v>
      </c>
      <c r="J958" s="2" t="s">
        <v>1671</v>
      </c>
      <c r="K958" s="2">
        <v>55</v>
      </c>
      <c r="L958" s="2">
        <v>15</v>
      </c>
      <c r="M958" s="2">
        <v>5</v>
      </c>
      <c r="N958" s="2">
        <v>10</v>
      </c>
      <c r="O958" s="2">
        <v>20</v>
      </c>
      <c r="P958" s="2">
        <v>5</v>
      </c>
      <c r="Q958" s="2" t="s">
        <v>3964</v>
      </c>
      <c r="R958" s="2" t="s">
        <v>3965</v>
      </c>
      <c r="S958" s="4">
        <v>45196</v>
      </c>
    </row>
    <row r="959" spans="1:19" ht="12.5" hidden="1" x14ac:dyDescent="0.25">
      <c r="A959" s="14" t="str">
        <f>HYPERLINK("https://gerandofalcoes.my.salesforce.com/0014X00002YgghOQAR", "0014X00002YgghOQAR")</f>
        <v>0014X00002YgghOQAR</v>
      </c>
      <c r="B959" s="2" t="s">
        <v>3966</v>
      </c>
      <c r="C959" s="2" t="s">
        <v>423</v>
      </c>
      <c r="D959" s="2" t="s">
        <v>2</v>
      </c>
      <c r="E959" s="2">
        <v>22.68</v>
      </c>
      <c r="F959" s="2">
        <v>0</v>
      </c>
      <c r="G959" s="2">
        <v>3</v>
      </c>
      <c r="H959" s="2">
        <v>5000</v>
      </c>
      <c r="I959" s="2">
        <v>0</v>
      </c>
      <c r="J959" s="2" t="s">
        <v>1779</v>
      </c>
      <c r="K959" s="2">
        <v>23</v>
      </c>
      <c r="L959" s="2">
        <v>10</v>
      </c>
      <c r="M959" s="2">
        <v>0</v>
      </c>
      <c r="N959" s="2">
        <v>8</v>
      </c>
      <c r="O959" s="2">
        <v>5</v>
      </c>
      <c r="P959" s="2">
        <v>0</v>
      </c>
      <c r="Q959" s="2" t="s">
        <v>3967</v>
      </c>
      <c r="R959" s="2" t="s">
        <v>3968</v>
      </c>
      <c r="S959" s="4">
        <v>45196</v>
      </c>
    </row>
    <row r="960" spans="1:19" ht="12.5" hidden="1" x14ac:dyDescent="0.25">
      <c r="A960" s="14" t="str">
        <f>HYPERLINK("https://gerandofalcoes.my.salesforce.com/0014X00002YggqeQAB", "0014X00002YggqeQAB")</f>
        <v>0014X00002YggqeQAB</v>
      </c>
      <c r="B960" s="2" t="s">
        <v>3969</v>
      </c>
      <c r="C960" s="2" t="s">
        <v>423</v>
      </c>
      <c r="D960" s="2" t="s">
        <v>2</v>
      </c>
      <c r="E960" s="2">
        <v>22.03</v>
      </c>
      <c r="F960" s="2">
        <v>3</v>
      </c>
      <c r="G960" s="2">
        <v>4</v>
      </c>
      <c r="H960" s="2">
        <v>4435652</v>
      </c>
      <c r="I960" s="2">
        <v>80</v>
      </c>
      <c r="J960" s="2" t="s">
        <v>1671</v>
      </c>
      <c r="K960" s="2">
        <v>60</v>
      </c>
      <c r="L960" s="2">
        <v>10</v>
      </c>
      <c r="M960" s="2">
        <v>5</v>
      </c>
      <c r="N960" s="2">
        <v>10</v>
      </c>
      <c r="O960" s="2">
        <v>25</v>
      </c>
      <c r="P960" s="2">
        <v>10</v>
      </c>
      <c r="Q960" s="2" t="s">
        <v>3970</v>
      </c>
      <c r="R960" s="2" t="s">
        <v>3971</v>
      </c>
      <c r="S960" s="4">
        <v>45196</v>
      </c>
    </row>
    <row r="961" spans="1:19" ht="12.5" hidden="1" x14ac:dyDescent="0.25">
      <c r="A961" s="14" t="str">
        <f>HYPERLINK("https://gerandofalcoes.my.salesforce.com/0014X00002YggjkQAB", "0014X00002YggjkQAB")</f>
        <v>0014X00002YggjkQAB</v>
      </c>
      <c r="B961" s="2" t="s">
        <v>3972</v>
      </c>
      <c r="C961" s="2" t="s">
        <v>423</v>
      </c>
      <c r="D961" s="2" t="s">
        <v>2</v>
      </c>
      <c r="E961" s="2">
        <v>14.29</v>
      </c>
      <c r="F961" s="2">
        <v>0</v>
      </c>
      <c r="G961" s="2">
        <v>2</v>
      </c>
      <c r="H961" s="2">
        <v>10000</v>
      </c>
      <c r="I961" s="2">
        <v>0</v>
      </c>
      <c r="J961" s="2" t="s">
        <v>1779</v>
      </c>
      <c r="K961" s="2">
        <v>21</v>
      </c>
      <c r="L961" s="2">
        <v>10</v>
      </c>
      <c r="M961" s="2">
        <v>0</v>
      </c>
      <c r="N961" s="2">
        <v>6</v>
      </c>
      <c r="O961" s="2">
        <v>5</v>
      </c>
      <c r="P961" s="2">
        <v>0</v>
      </c>
      <c r="Q961" s="2" t="s">
        <v>3973</v>
      </c>
      <c r="R961" s="2" t="s">
        <v>3973</v>
      </c>
      <c r="S961" s="4">
        <v>45196</v>
      </c>
    </row>
    <row r="962" spans="1:19" ht="12.5" hidden="1" x14ac:dyDescent="0.25">
      <c r="A962" s="14" t="str">
        <f>HYPERLINK("https://gerandofalcoes.my.salesforce.com/0014X00002Yggr4QAB", "0014X00002Yggr4QAB")</f>
        <v>0014X00002Yggr4QAB</v>
      </c>
      <c r="B962" s="2" t="s">
        <v>3974</v>
      </c>
      <c r="C962" s="2" t="s">
        <v>423</v>
      </c>
      <c r="D962" s="2" t="s">
        <v>2</v>
      </c>
      <c r="E962" s="2">
        <v>13.41</v>
      </c>
      <c r="F962" s="2">
        <v>4</v>
      </c>
      <c r="G962" s="2">
        <v>2</v>
      </c>
      <c r="H962" s="2">
        <v>0</v>
      </c>
      <c r="I962" s="2">
        <v>20</v>
      </c>
      <c r="J962" s="2" t="s">
        <v>1779</v>
      </c>
      <c r="K962" s="2">
        <v>26</v>
      </c>
      <c r="L962" s="2">
        <v>10</v>
      </c>
      <c r="M962" s="2">
        <v>5</v>
      </c>
      <c r="N962" s="2">
        <v>6</v>
      </c>
      <c r="O962" s="2">
        <v>0</v>
      </c>
      <c r="P962" s="2">
        <v>5</v>
      </c>
      <c r="Q962" s="2" t="s">
        <v>3975</v>
      </c>
      <c r="R962" s="2" t="s">
        <v>3975</v>
      </c>
      <c r="S962" s="4">
        <v>45196</v>
      </c>
    </row>
    <row r="963" spans="1:19" ht="12.5" hidden="1" x14ac:dyDescent="0.25">
      <c r="A963" s="14" t="str">
        <f>HYPERLINK("https://gerandofalcoes.my.salesforce.com/0014X00002YgggpQAB", "0014X00002YgggpQAB")</f>
        <v>0014X00002YgggpQAB</v>
      </c>
      <c r="B963" s="2" t="s">
        <v>3976</v>
      </c>
      <c r="C963" s="2" t="s">
        <v>423</v>
      </c>
      <c r="D963" s="2" t="s">
        <v>2</v>
      </c>
      <c r="E963" s="2">
        <v>9.8000000000000007</v>
      </c>
      <c r="F963" s="2">
        <v>0</v>
      </c>
      <c r="G963" s="2">
        <v>2</v>
      </c>
      <c r="H963" s="2">
        <v>600</v>
      </c>
      <c r="I963" s="2">
        <v>193</v>
      </c>
      <c r="J963" s="2" t="s">
        <v>1779</v>
      </c>
      <c r="K963" s="2">
        <v>33</v>
      </c>
      <c r="L963" s="2">
        <v>10</v>
      </c>
      <c r="M963" s="2">
        <v>0</v>
      </c>
      <c r="N963" s="2">
        <v>6</v>
      </c>
      <c r="O963" s="2">
        <v>5</v>
      </c>
      <c r="P963" s="2">
        <v>12</v>
      </c>
      <c r="Q963" s="2" t="s">
        <v>3977</v>
      </c>
      <c r="R963" s="2" t="s">
        <v>3977</v>
      </c>
      <c r="S963" s="4">
        <v>45196</v>
      </c>
    </row>
    <row r="964" spans="1:19" ht="12.5" hidden="1" x14ac:dyDescent="0.25">
      <c r="A964" s="14" t="str">
        <f>HYPERLINK("https://gerandofalcoes.my.salesforce.com/0014X00002YggpFQAR", "0014X00002YggpFQAR")</f>
        <v>0014X00002YggpFQAR</v>
      </c>
      <c r="B964" s="2" t="s">
        <v>3978</v>
      </c>
      <c r="C964" s="2" t="s">
        <v>423</v>
      </c>
      <c r="D964" s="2" t="s">
        <v>2</v>
      </c>
      <c r="E964" s="2">
        <v>7.99</v>
      </c>
      <c r="F964" s="2">
        <v>0</v>
      </c>
      <c r="G964" s="2">
        <v>3</v>
      </c>
      <c r="H964" s="2">
        <v>95000</v>
      </c>
      <c r="I964" s="2">
        <v>500</v>
      </c>
      <c r="J964" s="2" t="s">
        <v>1671</v>
      </c>
      <c r="K964" s="2">
        <v>48</v>
      </c>
      <c r="L964" s="2">
        <v>10</v>
      </c>
      <c r="M964" s="2">
        <v>0</v>
      </c>
      <c r="N964" s="2">
        <v>8</v>
      </c>
      <c r="O964" s="2">
        <v>10</v>
      </c>
      <c r="P964" s="2">
        <v>20</v>
      </c>
      <c r="Q964" s="2" t="s">
        <v>3979</v>
      </c>
      <c r="R964" s="2" t="s">
        <v>3979</v>
      </c>
      <c r="S964" s="4">
        <v>45196</v>
      </c>
    </row>
    <row r="965" spans="1:19" ht="12.5" hidden="1" x14ac:dyDescent="0.25">
      <c r="A965" s="14" t="str">
        <f>HYPERLINK("https://gerandofalcoes.my.salesforce.com/0014X00002YgglSQAR", "0014X00002YgglSQAR")</f>
        <v>0014X00002YgglSQAR</v>
      </c>
      <c r="B965" s="2" t="s">
        <v>3980</v>
      </c>
      <c r="C965" s="2" t="s">
        <v>423</v>
      </c>
      <c r="D965" s="2" t="s">
        <v>2</v>
      </c>
      <c r="E965" s="2">
        <v>7.82</v>
      </c>
      <c r="F965" s="2">
        <v>0</v>
      </c>
      <c r="G965" s="2">
        <v>2</v>
      </c>
      <c r="H965" s="2">
        <v>0</v>
      </c>
      <c r="I965" s="2">
        <v>0</v>
      </c>
      <c r="J965" s="2" t="s">
        <v>1779</v>
      </c>
      <c r="K965" s="2">
        <v>16</v>
      </c>
      <c r="L965" s="2">
        <v>10</v>
      </c>
      <c r="M965" s="2">
        <v>0</v>
      </c>
      <c r="N965" s="2">
        <v>6</v>
      </c>
      <c r="O965" s="2">
        <v>0</v>
      </c>
      <c r="P965" s="2">
        <v>0</v>
      </c>
      <c r="Q965" s="2" t="s">
        <v>3981</v>
      </c>
      <c r="R965" s="2" t="s">
        <v>3981</v>
      </c>
      <c r="S965" s="4">
        <v>45196</v>
      </c>
    </row>
    <row r="966" spans="1:19" ht="12.5" hidden="1" x14ac:dyDescent="0.25">
      <c r="A966" s="14" t="str">
        <f>HYPERLINK("https://gerandofalcoes.my.salesforce.com/0014X00002YggmMQAR", "0014X00002YggmMQAR")</f>
        <v>0014X00002YggmMQAR</v>
      </c>
      <c r="B966" s="2" t="s">
        <v>3982</v>
      </c>
      <c r="C966" s="2" t="s">
        <v>423</v>
      </c>
      <c r="D966" s="2" t="s">
        <v>2</v>
      </c>
      <c r="E966" s="2">
        <v>6.74</v>
      </c>
      <c r="F966" s="2">
        <v>0</v>
      </c>
      <c r="G966" s="2">
        <v>3</v>
      </c>
      <c r="H966" s="2">
        <v>190</v>
      </c>
      <c r="I966" s="2">
        <v>0</v>
      </c>
      <c r="J966" s="2" t="s">
        <v>1779</v>
      </c>
      <c r="K966" s="2">
        <v>23</v>
      </c>
      <c r="L966" s="2">
        <v>10</v>
      </c>
      <c r="M966" s="2">
        <v>0</v>
      </c>
      <c r="N966" s="2">
        <v>8</v>
      </c>
      <c r="O966" s="2">
        <v>5</v>
      </c>
      <c r="P966" s="2">
        <v>0</v>
      </c>
      <c r="Q966" s="2" t="s">
        <v>3983</v>
      </c>
      <c r="R966" s="2" t="s">
        <v>3983</v>
      </c>
      <c r="S966" s="4">
        <v>45196</v>
      </c>
    </row>
    <row r="967" spans="1:19" ht="12.5" hidden="1" x14ac:dyDescent="0.25">
      <c r="A967" s="14" t="str">
        <f>HYPERLINK("https://gerandofalcoes.my.salesforce.com/0014X00002YggkWQAR", "0014X00002YggkWQAR")</f>
        <v>0014X00002YggkWQAR</v>
      </c>
      <c r="B967" s="2" t="s">
        <v>3984</v>
      </c>
      <c r="C967" s="2" t="s">
        <v>423</v>
      </c>
      <c r="D967" s="2" t="s">
        <v>2</v>
      </c>
      <c r="E967" s="2">
        <v>6.7</v>
      </c>
      <c r="F967" s="2">
        <v>2</v>
      </c>
      <c r="G967" s="2">
        <v>4</v>
      </c>
      <c r="H967" s="2">
        <v>1000</v>
      </c>
      <c r="I967" s="2">
        <v>200</v>
      </c>
      <c r="J967" s="2" t="s">
        <v>1671</v>
      </c>
      <c r="K967" s="2">
        <v>42</v>
      </c>
      <c r="L967" s="2">
        <v>10</v>
      </c>
      <c r="M967" s="2">
        <v>5</v>
      </c>
      <c r="N967" s="2">
        <v>10</v>
      </c>
      <c r="O967" s="2">
        <v>5</v>
      </c>
      <c r="P967" s="2">
        <v>12</v>
      </c>
      <c r="Q967" s="2" t="s">
        <v>3985</v>
      </c>
      <c r="R967" s="2" t="s">
        <v>3986</v>
      </c>
      <c r="S967" s="4">
        <v>45196</v>
      </c>
    </row>
    <row r="968" spans="1:19" ht="12.5" hidden="1" x14ac:dyDescent="0.25">
      <c r="A968" s="14" t="str">
        <f>HYPERLINK("https://gerandofalcoes.my.salesforce.com/0014X00002YggnTQAR", "0014X00002YggnTQAR")</f>
        <v>0014X00002YggnTQAR</v>
      </c>
      <c r="B968" s="2" t="s">
        <v>3987</v>
      </c>
      <c r="C968" s="2" t="s">
        <v>423</v>
      </c>
      <c r="D968" s="2" t="s">
        <v>2</v>
      </c>
      <c r="E968" s="2">
        <v>5.56</v>
      </c>
      <c r="F968" s="2">
        <v>4</v>
      </c>
      <c r="G968" s="2">
        <v>2</v>
      </c>
      <c r="H968" s="2">
        <v>0</v>
      </c>
      <c r="I968" s="2">
        <v>200</v>
      </c>
      <c r="J968" s="2" t="s">
        <v>1779</v>
      </c>
      <c r="K968" s="2">
        <v>33</v>
      </c>
      <c r="L968" s="2">
        <v>10</v>
      </c>
      <c r="M968" s="2">
        <v>5</v>
      </c>
      <c r="N968" s="2">
        <v>6</v>
      </c>
      <c r="O968" s="2">
        <v>0</v>
      </c>
      <c r="P968" s="2">
        <v>12</v>
      </c>
      <c r="Q968" s="2" t="s">
        <v>3988</v>
      </c>
      <c r="R968" s="2" t="s">
        <v>3989</v>
      </c>
      <c r="S968" s="4">
        <v>45196</v>
      </c>
    </row>
    <row r="969" spans="1:19" ht="12.5" hidden="1" x14ac:dyDescent="0.25">
      <c r="A969" s="14" t="str">
        <f>HYPERLINK("https://gerandofalcoes.my.salesforce.com/0014X00002Yggi9QAB", "0014X00002Yggi9QAB")</f>
        <v>0014X00002Yggi9QAB</v>
      </c>
      <c r="B969" s="2" t="s">
        <v>3990</v>
      </c>
      <c r="C969" s="2" t="s">
        <v>423</v>
      </c>
      <c r="D969" s="2" t="s">
        <v>2</v>
      </c>
      <c r="E969" s="2">
        <v>5</v>
      </c>
      <c r="F969" s="2">
        <v>0</v>
      </c>
      <c r="G969" s="2">
        <v>2</v>
      </c>
      <c r="H969" s="2">
        <v>200</v>
      </c>
      <c r="I969" s="2">
        <v>55</v>
      </c>
      <c r="J969" s="2" t="s">
        <v>1779</v>
      </c>
      <c r="K969" s="2">
        <v>26</v>
      </c>
      <c r="L969" s="2">
        <v>10</v>
      </c>
      <c r="M969" s="2">
        <v>0</v>
      </c>
      <c r="N969" s="2">
        <v>6</v>
      </c>
      <c r="O969" s="2">
        <v>5</v>
      </c>
      <c r="P969" s="2">
        <v>5</v>
      </c>
      <c r="Q969" s="2" t="s">
        <v>3991</v>
      </c>
      <c r="R969" s="2" t="s">
        <v>3992</v>
      </c>
      <c r="S969" s="4">
        <v>45196</v>
      </c>
    </row>
    <row r="970" spans="1:19" ht="12.5" hidden="1" x14ac:dyDescent="0.25">
      <c r="A970" s="14" t="str">
        <f>HYPERLINK("https://gerandofalcoes.my.salesforce.com/0014X00002YgghiQAB", "0014X00002YgghiQAB")</f>
        <v>0014X00002YgghiQAB</v>
      </c>
      <c r="B970" s="2" t="s">
        <v>3993</v>
      </c>
      <c r="C970" s="2" t="s">
        <v>423</v>
      </c>
      <c r="D970" s="2" t="s">
        <v>2</v>
      </c>
      <c r="E970" s="2">
        <v>2.7</v>
      </c>
      <c r="F970" s="2">
        <v>2</v>
      </c>
      <c r="G970" s="2">
        <v>2</v>
      </c>
      <c r="H970" s="2">
        <v>300</v>
      </c>
      <c r="I970" s="2">
        <v>40</v>
      </c>
      <c r="J970" s="2" t="s">
        <v>1779</v>
      </c>
      <c r="K970" s="2">
        <v>31</v>
      </c>
      <c r="L970" s="2">
        <v>10</v>
      </c>
      <c r="M970" s="2">
        <v>5</v>
      </c>
      <c r="N970" s="2">
        <v>6</v>
      </c>
      <c r="O970" s="2">
        <v>5</v>
      </c>
      <c r="P970" s="2">
        <v>5</v>
      </c>
      <c r="Q970" s="2" t="s">
        <v>3994</v>
      </c>
      <c r="R970" s="2" t="s">
        <v>3994</v>
      </c>
      <c r="S970" s="4">
        <v>45196</v>
      </c>
    </row>
    <row r="971" spans="1:19" ht="12.5" hidden="1" x14ac:dyDescent="0.25">
      <c r="A971" s="14" t="str">
        <f>HYPERLINK("https://gerandofalcoes.my.salesforce.com/0014X00002YgglHQAR", "0014X00002YgglHQAR")</f>
        <v>0014X00002YgglHQAR</v>
      </c>
      <c r="B971" s="2" t="s">
        <v>3995</v>
      </c>
      <c r="C971" s="2" t="s">
        <v>423</v>
      </c>
      <c r="D971" s="2" t="s">
        <v>2</v>
      </c>
      <c r="E971" s="2">
        <v>1.67</v>
      </c>
      <c r="F971" s="2">
        <v>0</v>
      </c>
      <c r="G971" s="2">
        <v>1</v>
      </c>
      <c r="H971" s="2">
        <v>1500</v>
      </c>
      <c r="I971" s="2">
        <v>250</v>
      </c>
      <c r="J971" s="2" t="s">
        <v>1779</v>
      </c>
      <c r="K971" s="2">
        <v>31</v>
      </c>
      <c r="L971" s="2">
        <v>10</v>
      </c>
      <c r="M971" s="2">
        <v>0</v>
      </c>
      <c r="N971" s="2">
        <v>4</v>
      </c>
      <c r="O971" s="2">
        <v>5</v>
      </c>
      <c r="P971" s="2">
        <v>12</v>
      </c>
      <c r="Q971" s="2" t="s">
        <v>3996</v>
      </c>
      <c r="R971" s="2" t="s">
        <v>3996</v>
      </c>
      <c r="S971" s="4">
        <v>45196</v>
      </c>
    </row>
    <row r="972" spans="1:19" ht="12.5" hidden="1" x14ac:dyDescent="0.25">
      <c r="A972" s="14" t="str">
        <f>HYPERLINK("https://gerandofalcoes.my.salesforce.com/0014X00002YggmFQAR", "0014X00002YggmFQAR")</f>
        <v>0014X00002YggmFQAR</v>
      </c>
      <c r="B972" s="2" t="s">
        <v>3997</v>
      </c>
      <c r="C972" s="2" t="s">
        <v>423</v>
      </c>
      <c r="D972" s="2" t="s">
        <v>2</v>
      </c>
      <c r="E972" s="2">
        <v>1.1499999999999999</v>
      </c>
      <c r="F972" s="2">
        <v>0</v>
      </c>
      <c r="G972" s="2">
        <v>3</v>
      </c>
      <c r="H972" s="2">
        <v>350</v>
      </c>
      <c r="I972" s="2">
        <v>58</v>
      </c>
      <c r="J972" s="2" t="s">
        <v>1779</v>
      </c>
      <c r="K972" s="2">
        <v>28</v>
      </c>
      <c r="L972" s="2">
        <v>10</v>
      </c>
      <c r="M972" s="2">
        <v>0</v>
      </c>
      <c r="N972" s="2">
        <v>8</v>
      </c>
      <c r="O972" s="2">
        <v>5</v>
      </c>
      <c r="P972" s="2">
        <v>5</v>
      </c>
      <c r="Q972" s="2" t="s">
        <v>3998</v>
      </c>
      <c r="R972" s="2" t="s">
        <v>3998</v>
      </c>
      <c r="S972" s="4">
        <v>45196</v>
      </c>
    </row>
    <row r="973" spans="1:19" ht="12.5" hidden="1" x14ac:dyDescent="0.25">
      <c r="A973" s="14" t="str">
        <f>HYPERLINK("https://gerandofalcoes.my.salesforce.com/0014X00002Yggi0QAB", "0014X00002Yggi0QAB")</f>
        <v>0014X00002Yggi0QAB</v>
      </c>
      <c r="B973" s="2" t="s">
        <v>3999</v>
      </c>
      <c r="C973" s="2" t="s">
        <v>423</v>
      </c>
      <c r="D973" s="2" t="s">
        <v>2</v>
      </c>
      <c r="E973" s="2">
        <v>0.71</v>
      </c>
      <c r="F973" s="2">
        <v>0</v>
      </c>
      <c r="G973" s="2">
        <v>4</v>
      </c>
      <c r="H973" s="2">
        <v>200000</v>
      </c>
      <c r="I973" s="2">
        <v>4</v>
      </c>
      <c r="J973" s="2" t="s">
        <v>1779</v>
      </c>
      <c r="K973" s="2">
        <v>30</v>
      </c>
      <c r="L973" s="2">
        <v>0</v>
      </c>
      <c r="M973" s="2">
        <v>0</v>
      </c>
      <c r="N973" s="2">
        <v>10</v>
      </c>
      <c r="O973" s="2">
        <v>15</v>
      </c>
      <c r="P973" s="2">
        <v>5</v>
      </c>
      <c r="Q973" s="2" t="s">
        <v>4000</v>
      </c>
      <c r="R973" s="2" t="s">
        <v>4001</v>
      </c>
      <c r="S973" s="4">
        <v>45196</v>
      </c>
    </row>
    <row r="974" spans="1:19" ht="12.5" hidden="1" x14ac:dyDescent="0.25">
      <c r="A974" s="14" t="str">
        <f>HYPERLINK("https://gerandofalcoes.my.salesforce.com/0014X00002YggjBQAR", "0014X00002YggjBQAR")</f>
        <v>0014X00002YggjBQAR</v>
      </c>
      <c r="B974" s="2" t="s">
        <v>4002</v>
      </c>
      <c r="C974" s="2" t="s">
        <v>423</v>
      </c>
      <c r="D974" s="2" t="s">
        <v>2</v>
      </c>
      <c r="E974" s="2"/>
      <c r="F974" s="2">
        <v>7</v>
      </c>
      <c r="G974" s="2">
        <v>2</v>
      </c>
      <c r="H974" s="2">
        <v>21000</v>
      </c>
      <c r="I974" s="2">
        <v>500</v>
      </c>
      <c r="J974" s="2" t="s">
        <v>1671</v>
      </c>
      <c r="K974" s="2">
        <v>41</v>
      </c>
      <c r="L974" s="2">
        <v>0</v>
      </c>
      <c r="M974" s="2">
        <v>10</v>
      </c>
      <c r="N974" s="2">
        <v>6</v>
      </c>
      <c r="O974" s="2">
        <v>5</v>
      </c>
      <c r="P974" s="2">
        <v>20</v>
      </c>
      <c r="Q974" s="2" t="s">
        <v>4003</v>
      </c>
      <c r="R974" s="2" t="s">
        <v>4003</v>
      </c>
      <c r="S974" s="4">
        <v>45196</v>
      </c>
    </row>
    <row r="975" spans="1:19" ht="12.5" hidden="1" x14ac:dyDescent="0.25">
      <c r="A975" s="14" t="str">
        <f>HYPERLINK("https://gerandofalcoes.my.salesforce.com/0014X00002YggqgQAB", "0014X00002YggqgQAB")</f>
        <v>0014X00002YggqgQAB</v>
      </c>
      <c r="B975" s="2" t="s">
        <v>4004</v>
      </c>
      <c r="C975" s="2" t="s">
        <v>423</v>
      </c>
      <c r="D975" s="2" t="s">
        <v>2</v>
      </c>
      <c r="E975" s="2"/>
      <c r="F975" s="2">
        <v>0</v>
      </c>
      <c r="G975" s="2">
        <v>3</v>
      </c>
      <c r="H975" s="2">
        <v>7000</v>
      </c>
      <c r="I975" s="2">
        <v>300</v>
      </c>
      <c r="J975" s="2" t="s">
        <v>1779</v>
      </c>
      <c r="K975" s="2">
        <v>28</v>
      </c>
      <c r="L975" s="2">
        <v>0</v>
      </c>
      <c r="M975" s="2">
        <v>0</v>
      </c>
      <c r="N975" s="2">
        <v>8</v>
      </c>
      <c r="O975" s="2">
        <v>5</v>
      </c>
      <c r="P975" s="2">
        <v>15</v>
      </c>
      <c r="Q975" s="2" t="s">
        <v>4005</v>
      </c>
      <c r="R975" s="2" t="s">
        <v>4006</v>
      </c>
      <c r="S975" s="4">
        <v>45196</v>
      </c>
    </row>
    <row r="976" spans="1:19" ht="12.5" hidden="1" x14ac:dyDescent="0.25">
      <c r="A976" s="14" t="str">
        <f>HYPERLINK("https://gerandofalcoes.my.salesforce.com/0014X00002Yggl8QAB", "0014X00002Yggl8QAB")</f>
        <v>0014X00002Yggl8QAB</v>
      </c>
      <c r="B976" s="2" t="s">
        <v>4007</v>
      </c>
      <c r="C976" s="2" t="s">
        <v>423</v>
      </c>
      <c r="D976" s="2" t="s">
        <v>2</v>
      </c>
      <c r="E976" s="2"/>
      <c r="F976" s="2">
        <v>0</v>
      </c>
      <c r="G976" s="2">
        <v>2</v>
      </c>
      <c r="H976" s="2">
        <v>43000</v>
      </c>
      <c r="I976" s="2">
        <v>200</v>
      </c>
      <c r="J976" s="2" t="s">
        <v>1779</v>
      </c>
      <c r="K976" s="2">
        <v>28</v>
      </c>
      <c r="L976" s="2">
        <v>0</v>
      </c>
      <c r="M976" s="2">
        <v>0</v>
      </c>
      <c r="N976" s="2">
        <v>6</v>
      </c>
      <c r="O976" s="2">
        <v>10</v>
      </c>
      <c r="P976" s="2">
        <v>12</v>
      </c>
      <c r="Q976" s="2" t="s">
        <v>4008</v>
      </c>
      <c r="R976" s="2" t="s">
        <v>4009</v>
      </c>
      <c r="S976" s="4">
        <v>45196</v>
      </c>
    </row>
    <row r="977" spans="1:19" ht="12.5" hidden="1" x14ac:dyDescent="0.25">
      <c r="A977" s="14" t="str">
        <f>HYPERLINK("https://gerandofalcoes.my.salesforce.com/0014X00002YgghjQAB", "0014X00002YgghjQAB")</f>
        <v>0014X00002YgghjQAB</v>
      </c>
      <c r="B977" s="2" t="s">
        <v>4010</v>
      </c>
      <c r="C977" s="2" t="s">
        <v>423</v>
      </c>
      <c r="D977" s="2" t="s">
        <v>2</v>
      </c>
      <c r="E977" s="2"/>
      <c r="F977" s="2">
        <v>0</v>
      </c>
      <c r="G977" s="2">
        <v>2</v>
      </c>
      <c r="H977" s="2">
        <v>14000</v>
      </c>
      <c r="I977" s="2">
        <v>185</v>
      </c>
      <c r="J977" s="2" t="s">
        <v>1779</v>
      </c>
      <c r="K977" s="2">
        <v>23</v>
      </c>
      <c r="L977" s="2">
        <v>0</v>
      </c>
      <c r="M977" s="2">
        <v>0</v>
      </c>
      <c r="N977" s="2">
        <v>6</v>
      </c>
      <c r="O977" s="2">
        <v>5</v>
      </c>
      <c r="P977" s="2">
        <v>12</v>
      </c>
      <c r="Q977" s="2" t="s">
        <v>4011</v>
      </c>
      <c r="R977" s="2" t="s">
        <v>4012</v>
      </c>
      <c r="S977" s="4">
        <v>45196</v>
      </c>
    </row>
    <row r="978" spans="1:19" ht="12.5" hidden="1" x14ac:dyDescent="0.25">
      <c r="A978" s="14" t="str">
        <f>HYPERLINK("https://gerandofalcoes.my.salesforce.com/0014X00002YggmyQAB", "0014X00002YggmyQAB")</f>
        <v>0014X00002YggmyQAB</v>
      </c>
      <c r="B978" s="2" t="s">
        <v>4013</v>
      </c>
      <c r="C978" s="2" t="s">
        <v>423</v>
      </c>
      <c r="D978" s="2" t="s">
        <v>2</v>
      </c>
      <c r="E978" s="2"/>
      <c r="F978" s="2">
        <v>0</v>
      </c>
      <c r="G978" s="2">
        <v>3</v>
      </c>
      <c r="H978" s="2">
        <v>1500</v>
      </c>
      <c r="I978" s="2">
        <v>160</v>
      </c>
      <c r="J978" s="2" t="s">
        <v>1779</v>
      </c>
      <c r="K978" s="2">
        <v>25</v>
      </c>
      <c r="L978" s="2">
        <v>0</v>
      </c>
      <c r="M978" s="2">
        <v>0</v>
      </c>
      <c r="N978" s="2">
        <v>8</v>
      </c>
      <c r="O978" s="2">
        <v>5</v>
      </c>
      <c r="P978" s="2">
        <v>12</v>
      </c>
      <c r="Q978" s="2" t="s">
        <v>4014</v>
      </c>
      <c r="R978" s="2" t="s">
        <v>4014</v>
      </c>
      <c r="S978" s="4">
        <v>45196</v>
      </c>
    </row>
    <row r="979" spans="1:19" ht="12.5" hidden="1" x14ac:dyDescent="0.25">
      <c r="A979" s="14" t="str">
        <f>HYPERLINK("https://gerandofalcoes.my.salesforce.com/0014X00002YggpGQAR", "0014X00002YggpGQAR")</f>
        <v>0014X00002YggpGQAR</v>
      </c>
      <c r="B979" s="2" t="s">
        <v>4015</v>
      </c>
      <c r="C979" s="2" t="s">
        <v>423</v>
      </c>
      <c r="D979" s="2" t="s">
        <v>2</v>
      </c>
      <c r="E979" s="2"/>
      <c r="F979" s="2">
        <v>7</v>
      </c>
      <c r="G979" s="2">
        <v>4</v>
      </c>
      <c r="H979" s="2">
        <v>20000</v>
      </c>
      <c r="I979" s="2">
        <v>100</v>
      </c>
      <c r="J979" s="2" t="s">
        <v>1779</v>
      </c>
      <c r="K979" s="2">
        <v>35</v>
      </c>
      <c r="L979" s="2">
        <v>0</v>
      </c>
      <c r="M979" s="2">
        <v>10</v>
      </c>
      <c r="N979" s="2">
        <v>10</v>
      </c>
      <c r="O979" s="2">
        <v>5</v>
      </c>
      <c r="P979" s="2">
        <v>10</v>
      </c>
      <c r="Q979" s="2" t="s">
        <v>4016</v>
      </c>
      <c r="R979" s="2" t="s">
        <v>4017</v>
      </c>
      <c r="S979" s="4">
        <v>45196</v>
      </c>
    </row>
    <row r="980" spans="1:19" ht="12.5" hidden="1" x14ac:dyDescent="0.25">
      <c r="A980" s="14" t="str">
        <f>HYPERLINK("https://gerandofalcoes.my.salesforce.com/0014X00002Yggl0QAB", "0014X00002Yggl0QAB")</f>
        <v>0014X00002Yggl0QAB</v>
      </c>
      <c r="B980" s="2" t="s">
        <v>4018</v>
      </c>
      <c r="C980" s="2" t="s">
        <v>423</v>
      </c>
      <c r="D980" s="2" t="s">
        <v>2</v>
      </c>
      <c r="E980" s="2"/>
      <c r="F980" s="2">
        <v>0</v>
      </c>
      <c r="G980" s="2">
        <v>8</v>
      </c>
      <c r="H980" s="2">
        <v>85000</v>
      </c>
      <c r="I980" s="2">
        <v>82</v>
      </c>
      <c r="J980" s="2" t="s">
        <v>1779</v>
      </c>
      <c r="K980" s="2">
        <v>30</v>
      </c>
      <c r="L980" s="2">
        <v>0</v>
      </c>
      <c r="M980" s="2">
        <v>0</v>
      </c>
      <c r="N980" s="2">
        <v>10</v>
      </c>
      <c r="O980" s="2">
        <v>10</v>
      </c>
      <c r="P980" s="2">
        <v>10</v>
      </c>
      <c r="Q980" s="2" t="s">
        <v>4019</v>
      </c>
      <c r="R980" s="2" t="s">
        <v>4020</v>
      </c>
      <c r="S980" s="4">
        <v>45196</v>
      </c>
    </row>
    <row r="981" spans="1:19" ht="12.5" hidden="1" x14ac:dyDescent="0.25">
      <c r="A981" s="14" t="str">
        <f>HYPERLINK("https://gerandofalcoes.my.salesforce.com/0014X00002YggmzQAB", "0014X00002YggmzQAB")</f>
        <v>0014X00002YggmzQAB</v>
      </c>
      <c r="B981" s="2" t="s">
        <v>4021</v>
      </c>
      <c r="C981" s="2" t="s">
        <v>423</v>
      </c>
      <c r="D981" s="2" t="s">
        <v>2</v>
      </c>
      <c r="E981" s="2"/>
      <c r="F981" s="2">
        <v>2</v>
      </c>
      <c r="G981" s="2">
        <v>2</v>
      </c>
      <c r="H981" s="2">
        <v>60000</v>
      </c>
      <c r="I981" s="2">
        <v>60</v>
      </c>
      <c r="J981" s="2" t="s">
        <v>1779</v>
      </c>
      <c r="K981" s="2">
        <v>26</v>
      </c>
      <c r="L981" s="2">
        <v>0</v>
      </c>
      <c r="M981" s="2">
        <v>5</v>
      </c>
      <c r="N981" s="2">
        <v>6</v>
      </c>
      <c r="O981" s="2">
        <v>10</v>
      </c>
      <c r="P981" s="2">
        <v>5</v>
      </c>
      <c r="Q981" s="2" t="s">
        <v>4022</v>
      </c>
      <c r="R981" s="2" t="s">
        <v>4023</v>
      </c>
      <c r="S981" s="4">
        <v>45196</v>
      </c>
    </row>
    <row r="982" spans="1:19" ht="12.5" hidden="1" x14ac:dyDescent="0.25">
      <c r="A982" s="14" t="str">
        <f>HYPERLINK("https://gerandofalcoes.my.salesforce.com/0014X00002YggkkQAB", "0014X00002YggkkQAB")</f>
        <v>0014X00002YggkkQAB</v>
      </c>
      <c r="B982" s="2" t="s">
        <v>4024</v>
      </c>
      <c r="C982" s="2" t="s">
        <v>423</v>
      </c>
      <c r="D982" s="2" t="s">
        <v>2</v>
      </c>
      <c r="E982" s="2"/>
      <c r="F982" s="2">
        <v>0</v>
      </c>
      <c r="G982" s="2">
        <v>4</v>
      </c>
      <c r="H982" s="2">
        <v>9000</v>
      </c>
      <c r="I982" s="2">
        <v>54</v>
      </c>
      <c r="J982" s="2" t="s">
        <v>1779</v>
      </c>
      <c r="K982" s="2">
        <v>20</v>
      </c>
      <c r="L982" s="2">
        <v>0</v>
      </c>
      <c r="M982" s="2">
        <v>0</v>
      </c>
      <c r="N982" s="2">
        <v>10</v>
      </c>
      <c r="O982" s="2">
        <v>5</v>
      </c>
      <c r="P982" s="2">
        <v>5</v>
      </c>
      <c r="Q982" s="2" t="s">
        <v>4025</v>
      </c>
      <c r="R982" s="2" t="s">
        <v>4025</v>
      </c>
      <c r="S982" s="4">
        <v>45196</v>
      </c>
    </row>
    <row r="983" spans="1:19" ht="12.5" hidden="1" x14ac:dyDescent="0.25">
      <c r="A983" s="14" t="str">
        <f>HYPERLINK("https://gerandofalcoes.my.salesforce.com/0014X00002YggplQAB", "0014X00002YggplQAB")</f>
        <v>0014X00002YggplQAB</v>
      </c>
      <c r="B983" s="2" t="s">
        <v>4026</v>
      </c>
      <c r="C983" s="2" t="s">
        <v>423</v>
      </c>
      <c r="D983" s="2" t="s">
        <v>2</v>
      </c>
      <c r="E983" s="2"/>
      <c r="F983" s="2">
        <v>8</v>
      </c>
      <c r="G983" s="2">
        <v>2</v>
      </c>
      <c r="H983" s="2">
        <v>1000</v>
      </c>
      <c r="I983" s="2">
        <v>45</v>
      </c>
      <c r="J983" s="2" t="s">
        <v>1779</v>
      </c>
      <c r="K983" s="2">
        <v>26</v>
      </c>
      <c r="L983" s="2">
        <v>0</v>
      </c>
      <c r="M983" s="2">
        <v>10</v>
      </c>
      <c r="N983" s="2">
        <v>6</v>
      </c>
      <c r="O983" s="2">
        <v>5</v>
      </c>
      <c r="P983" s="2">
        <v>5</v>
      </c>
      <c r="Q983" s="2" t="s">
        <v>4027</v>
      </c>
      <c r="R983" s="2" t="s">
        <v>4028</v>
      </c>
      <c r="S983" s="4">
        <v>45196</v>
      </c>
    </row>
    <row r="984" spans="1:19" ht="12.5" hidden="1" x14ac:dyDescent="0.25">
      <c r="A984" s="14" t="str">
        <f>HYPERLINK("https://gerandofalcoes.my.salesforce.com/0014X00002YggogQAB", "0014X00002YggogQAB")</f>
        <v>0014X00002YggogQAB</v>
      </c>
      <c r="B984" s="2" t="s">
        <v>4029</v>
      </c>
      <c r="C984" s="2" t="s">
        <v>423</v>
      </c>
      <c r="D984" s="2" t="s">
        <v>2</v>
      </c>
      <c r="E984" s="2"/>
      <c r="F984" s="2">
        <v>6</v>
      </c>
      <c r="G984" s="2">
        <v>4</v>
      </c>
      <c r="H984" s="2">
        <v>2000</v>
      </c>
      <c r="I984" s="2">
        <v>30</v>
      </c>
      <c r="J984" s="2" t="s">
        <v>1779</v>
      </c>
      <c r="K984" s="2">
        <v>30</v>
      </c>
      <c r="L984" s="2">
        <v>0</v>
      </c>
      <c r="M984" s="2">
        <v>10</v>
      </c>
      <c r="N984" s="2">
        <v>10</v>
      </c>
      <c r="O984" s="2">
        <v>5</v>
      </c>
      <c r="P984" s="2">
        <v>5</v>
      </c>
      <c r="Q984" s="2" t="s">
        <v>4030</v>
      </c>
      <c r="R984" s="2" t="s">
        <v>4031</v>
      </c>
      <c r="S984" s="4">
        <v>45196</v>
      </c>
    </row>
    <row r="985" spans="1:19" ht="12.5" hidden="1" x14ac:dyDescent="0.25">
      <c r="A985" s="14" t="str">
        <f>HYPERLINK("https://gerandofalcoes.my.salesforce.com/0014X00002YggpUQAR", "0014X00002YggpUQAR")</f>
        <v>0014X00002YggpUQAR</v>
      </c>
      <c r="B985" s="2" t="s">
        <v>4032</v>
      </c>
      <c r="C985" s="2" t="s">
        <v>423</v>
      </c>
      <c r="D985" s="2" t="s">
        <v>2</v>
      </c>
      <c r="E985" s="2"/>
      <c r="F985" s="2">
        <v>9</v>
      </c>
      <c r="G985" s="2">
        <v>3</v>
      </c>
      <c r="H985" s="2">
        <v>19000000</v>
      </c>
      <c r="I985" s="2">
        <v>20</v>
      </c>
      <c r="J985" s="2" t="s">
        <v>1671</v>
      </c>
      <c r="K985" s="2">
        <v>48</v>
      </c>
      <c r="L985" s="2">
        <v>0</v>
      </c>
      <c r="M985" s="2">
        <v>10</v>
      </c>
      <c r="N985" s="2">
        <v>8</v>
      </c>
      <c r="O985" s="2">
        <v>25</v>
      </c>
      <c r="P985" s="2">
        <v>5</v>
      </c>
      <c r="Q985" s="2" t="s">
        <v>4033</v>
      </c>
      <c r="R985" s="2" t="s">
        <v>4034</v>
      </c>
      <c r="S985" s="4">
        <v>45196</v>
      </c>
    </row>
    <row r="986" spans="1:19" ht="12.5" hidden="1" x14ac:dyDescent="0.25">
      <c r="A986" s="14" t="str">
        <f>HYPERLINK("https://gerandofalcoes.my.salesforce.com/0014X00002YggjHQAR", "0014X00002YggjHQAR")</f>
        <v>0014X00002YggjHQAR</v>
      </c>
      <c r="B986" s="2" t="s">
        <v>4035</v>
      </c>
      <c r="C986" s="2" t="s">
        <v>423</v>
      </c>
      <c r="D986" s="2" t="s">
        <v>2</v>
      </c>
      <c r="E986" s="2"/>
      <c r="F986" s="2">
        <v>0</v>
      </c>
      <c r="G986" s="2">
        <v>2</v>
      </c>
      <c r="H986" s="2">
        <v>4000</v>
      </c>
      <c r="I986" s="2">
        <v>15</v>
      </c>
      <c r="J986" s="2" t="s">
        <v>1779</v>
      </c>
      <c r="K986" s="2">
        <v>16</v>
      </c>
      <c r="L986" s="2">
        <v>0</v>
      </c>
      <c r="M986" s="2">
        <v>0</v>
      </c>
      <c r="N986" s="2">
        <v>6</v>
      </c>
      <c r="O986" s="2">
        <v>5</v>
      </c>
      <c r="P986" s="2">
        <v>5</v>
      </c>
      <c r="Q986" s="2" t="s">
        <v>4036</v>
      </c>
      <c r="R986" s="2" t="s">
        <v>4037</v>
      </c>
      <c r="S986" s="4">
        <v>45196</v>
      </c>
    </row>
    <row r="987" spans="1:19" ht="12.5" hidden="1" x14ac:dyDescent="0.25">
      <c r="A987" s="14" t="str">
        <f>HYPERLINK("https://gerandofalcoes.my.salesforce.com/0014X00002YgglVQAR", "0014X00002YgglVQAR")</f>
        <v>0014X00002YgglVQAR</v>
      </c>
      <c r="B987" s="2" t="s">
        <v>4038</v>
      </c>
      <c r="C987" s="2" t="s">
        <v>423</v>
      </c>
      <c r="D987" s="2" t="s">
        <v>2</v>
      </c>
      <c r="E987" s="2"/>
      <c r="F987" s="2">
        <v>4</v>
      </c>
      <c r="G987" s="2">
        <v>3</v>
      </c>
      <c r="H987" s="2">
        <v>12000</v>
      </c>
      <c r="I987" s="2">
        <v>4</v>
      </c>
      <c r="J987" s="2" t="s">
        <v>1779</v>
      </c>
      <c r="K987" s="2">
        <v>23</v>
      </c>
      <c r="L987" s="2">
        <v>0</v>
      </c>
      <c r="M987" s="2">
        <v>5</v>
      </c>
      <c r="N987" s="2">
        <v>8</v>
      </c>
      <c r="O987" s="2">
        <v>5</v>
      </c>
      <c r="P987" s="2">
        <v>5</v>
      </c>
      <c r="Q987" s="2" t="s">
        <v>4039</v>
      </c>
      <c r="R987" s="2" t="s">
        <v>4039</v>
      </c>
      <c r="S987" s="4">
        <v>45196</v>
      </c>
    </row>
    <row r="988" spans="1:19" ht="12.5" hidden="1" x14ac:dyDescent="0.25">
      <c r="A988" s="14" t="str">
        <f>HYPERLINK("https://gerandofalcoes.my.salesforce.com/0014X00002YggmCQAR", "0014X00002YggmCQAR")</f>
        <v>0014X00002YggmCQAR</v>
      </c>
      <c r="B988" s="2" t="s">
        <v>4040</v>
      </c>
      <c r="C988" s="2" t="s">
        <v>423</v>
      </c>
      <c r="D988" s="2" t="s">
        <v>2</v>
      </c>
      <c r="E988" s="2"/>
      <c r="F988" s="2">
        <v>2</v>
      </c>
      <c r="G988" s="2">
        <v>12</v>
      </c>
      <c r="H988" s="2">
        <v>0</v>
      </c>
      <c r="I988" s="2">
        <v>0</v>
      </c>
      <c r="J988" s="2" t="s">
        <v>1779</v>
      </c>
      <c r="K988" s="2">
        <v>15</v>
      </c>
      <c r="L988" s="2">
        <v>0</v>
      </c>
      <c r="M988" s="2">
        <v>5</v>
      </c>
      <c r="N988" s="2">
        <v>10</v>
      </c>
      <c r="O988" s="2">
        <v>0</v>
      </c>
      <c r="P988" s="2">
        <v>0</v>
      </c>
      <c r="Q988" s="2" t="s">
        <v>4041</v>
      </c>
      <c r="R988" s="2" t="s">
        <v>4042</v>
      </c>
      <c r="S988" s="4">
        <v>45196</v>
      </c>
    </row>
    <row r="989" spans="1:19" ht="12.5" hidden="1" x14ac:dyDescent="0.25">
      <c r="A989" s="14" t="str">
        <f>HYPERLINK("https://gerandofalcoes.my.salesforce.com/0014X00002YgglAQAR", "0014X00002YgglAQAR")</f>
        <v>0014X00002YgglAQAR</v>
      </c>
      <c r="B989" s="2" t="s">
        <v>4043</v>
      </c>
      <c r="C989" s="2" t="s">
        <v>423</v>
      </c>
      <c r="D989" s="2" t="s">
        <v>2</v>
      </c>
      <c r="E989" s="2"/>
      <c r="F989" s="2">
        <v>0</v>
      </c>
      <c r="G989" s="2">
        <v>2</v>
      </c>
      <c r="H989" s="2">
        <v>21000</v>
      </c>
      <c r="I989" s="2">
        <v>0</v>
      </c>
      <c r="J989" s="2" t="s">
        <v>1779</v>
      </c>
      <c r="K989" s="2">
        <v>11</v>
      </c>
      <c r="L989" s="2">
        <v>0</v>
      </c>
      <c r="M989" s="2">
        <v>0</v>
      </c>
      <c r="N989" s="2">
        <v>6</v>
      </c>
      <c r="O989" s="2">
        <v>5</v>
      </c>
      <c r="P989" s="2">
        <v>0</v>
      </c>
      <c r="Q989" s="2" t="s">
        <v>4044</v>
      </c>
      <c r="R989" s="2" t="s">
        <v>4045</v>
      </c>
      <c r="S989" s="4">
        <v>45196</v>
      </c>
    </row>
    <row r="990" spans="1:19" ht="12.5" hidden="1" x14ac:dyDescent="0.25">
      <c r="A990" s="14" t="str">
        <f>HYPERLINK("https://gerandofalcoes.my.salesforce.com/0014X00002YgggiQAB", "0014X00002YgggiQAB")</f>
        <v>0014X00002YgggiQAB</v>
      </c>
      <c r="B990" s="2" t="s">
        <v>4046</v>
      </c>
      <c r="C990" s="2" t="s">
        <v>423</v>
      </c>
      <c r="D990" s="2" t="s">
        <v>2</v>
      </c>
      <c r="E990" s="2">
        <v>63.71</v>
      </c>
      <c r="F990" s="2">
        <v>12</v>
      </c>
      <c r="G990" s="2">
        <v>3</v>
      </c>
      <c r="H990" s="2">
        <v>646396</v>
      </c>
      <c r="I990" s="2">
        <v>775</v>
      </c>
      <c r="J990" s="2" t="s">
        <v>1654</v>
      </c>
      <c r="K990" s="2">
        <v>80</v>
      </c>
      <c r="L990" s="2">
        <v>20</v>
      </c>
      <c r="M990" s="2">
        <v>12</v>
      </c>
      <c r="N990" s="2">
        <v>8</v>
      </c>
      <c r="O990" s="2">
        <v>20</v>
      </c>
      <c r="P990" s="2">
        <v>20</v>
      </c>
      <c r="Q990" s="2" t="s">
        <v>4047</v>
      </c>
      <c r="R990" s="2" t="s">
        <v>4048</v>
      </c>
      <c r="S990" s="4">
        <v>45197</v>
      </c>
    </row>
    <row r="991" spans="1:19" ht="12.5" hidden="1" x14ac:dyDescent="0.25">
      <c r="A991" s="14" t="str">
        <f>HYPERLINK("https://gerandofalcoes.my.salesforce.com/0014X00002YggiIQAR", "0014X00002YggiIQAR")</f>
        <v>0014X00002YggiIQAR</v>
      </c>
      <c r="B991" s="2" t="s">
        <v>4049</v>
      </c>
      <c r="C991" s="2" t="s">
        <v>423</v>
      </c>
      <c r="D991" s="2" t="s">
        <v>2</v>
      </c>
      <c r="E991" s="2">
        <v>49.78</v>
      </c>
      <c r="F991" s="2">
        <v>32</v>
      </c>
      <c r="G991" s="2">
        <v>6</v>
      </c>
      <c r="H991" s="2">
        <v>165732912</v>
      </c>
      <c r="I991" s="2">
        <v>0</v>
      </c>
      <c r="J991" s="2" t="s">
        <v>1671</v>
      </c>
      <c r="K991" s="2">
        <v>50</v>
      </c>
      <c r="L991" s="2">
        <v>0</v>
      </c>
      <c r="M991" s="2">
        <v>15</v>
      </c>
      <c r="N991" s="2">
        <v>10</v>
      </c>
      <c r="O991" s="2">
        <v>25</v>
      </c>
      <c r="P991" s="2">
        <v>0</v>
      </c>
      <c r="Q991" s="2" t="s">
        <v>4050</v>
      </c>
      <c r="R991" s="2" t="s">
        <v>4051</v>
      </c>
      <c r="S991" s="4">
        <v>45197</v>
      </c>
    </row>
    <row r="992" spans="1:19" ht="12.5" hidden="1" x14ac:dyDescent="0.25">
      <c r="A992" s="14" t="str">
        <f>HYPERLINK("https://gerandofalcoes.my.salesforce.com/0014X00002Yggq5QAB", "0014X00002Yggq5QAB")</f>
        <v>0014X00002Yggq5QAB</v>
      </c>
      <c r="B992" s="2" t="s">
        <v>4052</v>
      </c>
      <c r="C992" s="2" t="s">
        <v>423</v>
      </c>
      <c r="D992" s="2" t="s">
        <v>2</v>
      </c>
      <c r="E992" s="2">
        <v>44.04</v>
      </c>
      <c r="F992" s="2">
        <v>60</v>
      </c>
      <c r="G992" s="2">
        <v>6</v>
      </c>
      <c r="H992" s="2">
        <v>100000</v>
      </c>
      <c r="I992" s="2">
        <v>300</v>
      </c>
      <c r="J992" s="2" t="s">
        <v>1650</v>
      </c>
      <c r="K992" s="2">
        <v>70</v>
      </c>
      <c r="L992" s="2">
        <v>15</v>
      </c>
      <c r="M992" s="2">
        <v>15</v>
      </c>
      <c r="N992" s="2">
        <v>10</v>
      </c>
      <c r="O992" s="2">
        <v>15</v>
      </c>
      <c r="P992" s="2">
        <v>15</v>
      </c>
      <c r="Q992" s="2" t="s">
        <v>4053</v>
      </c>
      <c r="R992" s="2" t="s">
        <v>4054</v>
      </c>
      <c r="S992" s="4">
        <v>45197</v>
      </c>
    </row>
    <row r="993" spans="1:19" ht="12.5" hidden="1" x14ac:dyDescent="0.25">
      <c r="A993" s="14" t="str">
        <f>HYPERLINK("https://gerandofalcoes.my.salesforce.com/0014X00002YggkYQAR", "0014X00002YggkYQAR")</f>
        <v>0014X00002YggkYQAR</v>
      </c>
      <c r="B993" s="2" t="s">
        <v>4055</v>
      </c>
      <c r="C993" s="2" t="s">
        <v>423</v>
      </c>
      <c r="D993" s="2" t="s">
        <v>2</v>
      </c>
      <c r="E993" s="2">
        <v>40.81</v>
      </c>
      <c r="F993" s="2">
        <v>11</v>
      </c>
      <c r="G993" s="2">
        <v>4</v>
      </c>
      <c r="H993" s="2">
        <v>63910621</v>
      </c>
      <c r="I993" s="2">
        <v>75</v>
      </c>
      <c r="J993" s="2" t="s">
        <v>1650</v>
      </c>
      <c r="K993" s="2">
        <v>67</v>
      </c>
      <c r="L993" s="2">
        <v>15</v>
      </c>
      <c r="M993" s="2">
        <v>12</v>
      </c>
      <c r="N993" s="2">
        <v>10</v>
      </c>
      <c r="O993" s="2">
        <v>25</v>
      </c>
      <c r="P993" s="2">
        <v>5</v>
      </c>
      <c r="Q993" s="2" t="s">
        <v>4056</v>
      </c>
      <c r="R993" s="2" t="s">
        <v>4057</v>
      </c>
      <c r="S993" s="4">
        <v>45197</v>
      </c>
    </row>
    <row r="994" spans="1:19" ht="12.5" hidden="1" x14ac:dyDescent="0.25">
      <c r="A994" s="14" t="str">
        <f>HYPERLINK("https://gerandofalcoes.my.salesforce.com/0014X00002YgghVQAR", "0014X00002YgghVQAR")</f>
        <v>0014X00002YgghVQAR</v>
      </c>
      <c r="B994" s="2" t="s">
        <v>4058</v>
      </c>
      <c r="C994" s="2" t="s">
        <v>423</v>
      </c>
      <c r="D994" s="2" t="s">
        <v>2</v>
      </c>
      <c r="E994" s="2">
        <v>37.450000000000003</v>
      </c>
      <c r="F994" s="2">
        <v>0</v>
      </c>
      <c r="G994" s="2">
        <v>2</v>
      </c>
      <c r="H994" s="2">
        <v>24000</v>
      </c>
      <c r="I994" s="2">
        <v>98</v>
      </c>
      <c r="J994" s="2" t="s">
        <v>1779</v>
      </c>
      <c r="K994" s="2">
        <v>36</v>
      </c>
      <c r="L994" s="2">
        <v>15</v>
      </c>
      <c r="M994" s="2">
        <v>0</v>
      </c>
      <c r="N994" s="2">
        <v>6</v>
      </c>
      <c r="O994" s="2">
        <v>5</v>
      </c>
      <c r="P994" s="2">
        <v>10</v>
      </c>
      <c r="Q994" s="2" t="s">
        <v>4059</v>
      </c>
      <c r="R994" s="2" t="s">
        <v>4060</v>
      </c>
      <c r="S994" s="4">
        <v>45197</v>
      </c>
    </row>
    <row r="995" spans="1:19" ht="12.5" hidden="1" x14ac:dyDescent="0.25">
      <c r="A995" s="14" t="str">
        <f>HYPERLINK("https://gerandofalcoes.my.salesforce.com/0014X00002YggksQAB", "0014X00002YggksQAB")</f>
        <v>0014X00002YggksQAB</v>
      </c>
      <c r="B995" s="2" t="s">
        <v>4061</v>
      </c>
      <c r="C995" s="2" t="s">
        <v>423</v>
      </c>
      <c r="D995" s="2" t="s">
        <v>2</v>
      </c>
      <c r="E995" s="2">
        <v>36.659999999999997</v>
      </c>
      <c r="F995" s="2">
        <v>11</v>
      </c>
      <c r="G995" s="2">
        <v>6</v>
      </c>
      <c r="H995" s="2">
        <v>53860038</v>
      </c>
      <c r="I995" s="2">
        <v>120</v>
      </c>
      <c r="J995" s="2" t="s">
        <v>1650</v>
      </c>
      <c r="K995" s="2">
        <v>72</v>
      </c>
      <c r="L995" s="2">
        <v>15</v>
      </c>
      <c r="M995" s="2">
        <v>12</v>
      </c>
      <c r="N995" s="2">
        <v>10</v>
      </c>
      <c r="O995" s="2">
        <v>25</v>
      </c>
      <c r="P995" s="2">
        <v>10</v>
      </c>
      <c r="Q995" s="2" t="s">
        <v>4062</v>
      </c>
      <c r="R995" s="2" t="s">
        <v>4063</v>
      </c>
      <c r="S995" s="4">
        <v>45197</v>
      </c>
    </row>
    <row r="996" spans="1:19" ht="12.5" hidden="1" x14ac:dyDescent="0.25">
      <c r="A996" s="14" t="str">
        <f>HYPERLINK("https://gerandofalcoes.my.salesforce.com/0014X00002YggjaQAB", "0014X00002YggjaQAB")</f>
        <v>0014X00002YggjaQAB</v>
      </c>
      <c r="B996" s="2" t="s">
        <v>4064</v>
      </c>
      <c r="C996" s="2" t="s">
        <v>423</v>
      </c>
      <c r="D996" s="2" t="s">
        <v>2</v>
      </c>
      <c r="E996" s="2">
        <v>35.86</v>
      </c>
      <c r="F996" s="2">
        <v>6</v>
      </c>
      <c r="G996" s="2">
        <v>4</v>
      </c>
      <c r="H996" s="2">
        <v>62000</v>
      </c>
      <c r="I996" s="2">
        <v>100</v>
      </c>
      <c r="J996" s="2" t="s">
        <v>1671</v>
      </c>
      <c r="K996" s="2">
        <v>55</v>
      </c>
      <c r="L996" s="2">
        <v>15</v>
      </c>
      <c r="M996" s="2">
        <v>10</v>
      </c>
      <c r="N996" s="2">
        <v>10</v>
      </c>
      <c r="O996" s="2">
        <v>10</v>
      </c>
      <c r="P996" s="2">
        <v>10</v>
      </c>
      <c r="Q996" s="2" t="s">
        <v>4065</v>
      </c>
      <c r="R996" s="2" t="s">
        <v>4065</v>
      </c>
      <c r="S996" s="4">
        <v>45197</v>
      </c>
    </row>
    <row r="997" spans="1:19" ht="12.5" hidden="1" x14ac:dyDescent="0.25">
      <c r="A997" s="14" t="str">
        <f>HYPERLINK("https://gerandofalcoes.my.salesforce.com/0014X00002YggggQAB", "0014X00002YggggQAB")</f>
        <v>0014X00002YggggQAB</v>
      </c>
      <c r="B997" s="2" t="s">
        <v>4066</v>
      </c>
      <c r="C997" s="2" t="s">
        <v>423</v>
      </c>
      <c r="D997" s="2" t="s">
        <v>2</v>
      </c>
      <c r="E997" s="2">
        <v>30.85</v>
      </c>
      <c r="F997" s="2">
        <v>0</v>
      </c>
      <c r="G997" s="2">
        <v>5</v>
      </c>
      <c r="H997" s="2">
        <v>166000</v>
      </c>
      <c r="I997" s="2">
        <v>40</v>
      </c>
      <c r="J997" s="2" t="s">
        <v>1671</v>
      </c>
      <c r="K997" s="2">
        <v>45</v>
      </c>
      <c r="L997" s="2">
        <v>15</v>
      </c>
      <c r="M997" s="2">
        <v>0</v>
      </c>
      <c r="N997" s="2">
        <v>10</v>
      </c>
      <c r="O997" s="2">
        <v>15</v>
      </c>
      <c r="P997" s="2">
        <v>5</v>
      </c>
      <c r="Q997" s="2" t="s">
        <v>4067</v>
      </c>
      <c r="R997" s="2" t="s">
        <v>4068</v>
      </c>
      <c r="S997" s="4">
        <v>45197</v>
      </c>
    </row>
    <row r="998" spans="1:19" ht="12.5" hidden="1" x14ac:dyDescent="0.25">
      <c r="A998" s="14" t="str">
        <f>HYPERLINK("https://gerandofalcoes.my.salesforce.com/0014X00002YggllQAB", "0014X00002YggllQAB")</f>
        <v>0014X00002YggllQAB</v>
      </c>
      <c r="B998" s="2" t="s">
        <v>4069</v>
      </c>
      <c r="C998" s="2" t="s">
        <v>423</v>
      </c>
      <c r="D998" s="2" t="s">
        <v>2</v>
      </c>
      <c r="E998" s="2">
        <v>29.69</v>
      </c>
      <c r="F998" s="2">
        <v>0</v>
      </c>
      <c r="G998" s="2">
        <v>2</v>
      </c>
      <c r="H998" s="2">
        <v>4000</v>
      </c>
      <c r="I998" s="2">
        <v>10</v>
      </c>
      <c r="J998" s="2" t="s">
        <v>1779</v>
      </c>
      <c r="K998" s="2">
        <v>31</v>
      </c>
      <c r="L998" s="2">
        <v>15</v>
      </c>
      <c r="M998" s="2">
        <v>0</v>
      </c>
      <c r="N998" s="2">
        <v>6</v>
      </c>
      <c r="O998" s="2">
        <v>5</v>
      </c>
      <c r="P998" s="2">
        <v>5</v>
      </c>
      <c r="Q998" s="2" t="s">
        <v>4070</v>
      </c>
      <c r="R998" s="2" t="s">
        <v>4070</v>
      </c>
      <c r="S998" s="4">
        <v>45197</v>
      </c>
    </row>
    <row r="999" spans="1:19" ht="12.5" hidden="1" x14ac:dyDescent="0.25">
      <c r="A999" s="14" t="str">
        <f>HYPERLINK("https://gerandofalcoes.my.salesforce.com/0014X00002YgghQQAR", "0014X00002YgghQQAR")</f>
        <v>0014X00002YgghQQAR</v>
      </c>
      <c r="B999" s="2" t="s">
        <v>4071</v>
      </c>
      <c r="C999" s="2" t="s">
        <v>423</v>
      </c>
      <c r="D999" s="2" t="s">
        <v>2</v>
      </c>
      <c r="E999" s="2">
        <v>29.47</v>
      </c>
      <c r="F999" s="2">
        <v>1</v>
      </c>
      <c r="G999" s="2">
        <v>6</v>
      </c>
      <c r="H999" s="2">
        <v>23880</v>
      </c>
      <c r="I999" s="2">
        <v>60</v>
      </c>
      <c r="J999" s="2" t="s">
        <v>1671</v>
      </c>
      <c r="K999" s="2">
        <v>40</v>
      </c>
      <c r="L999" s="2">
        <v>15</v>
      </c>
      <c r="M999" s="2">
        <v>5</v>
      </c>
      <c r="N999" s="2">
        <v>10</v>
      </c>
      <c r="O999" s="2">
        <v>5</v>
      </c>
      <c r="P999" s="2">
        <v>5</v>
      </c>
      <c r="Q999" s="2" t="s">
        <v>4072</v>
      </c>
      <c r="R999" s="2" t="s">
        <v>4072</v>
      </c>
      <c r="S999" s="4">
        <v>45197</v>
      </c>
    </row>
    <row r="1000" spans="1:19" ht="12.5" hidden="1" x14ac:dyDescent="0.25">
      <c r="A1000" s="14" t="str">
        <f>HYPERLINK("https://gerandofalcoes.my.salesforce.com/0014X00002Yggk4QAB", "0014X00002Yggk4QAB")</f>
        <v>0014X00002Yggk4QAB</v>
      </c>
      <c r="B1000" s="2" t="s">
        <v>4073</v>
      </c>
      <c r="C1000" s="2" t="s">
        <v>423</v>
      </c>
      <c r="D1000" s="2" t="s">
        <v>2</v>
      </c>
      <c r="E1000" s="2">
        <v>26.77</v>
      </c>
      <c r="F1000" s="2">
        <v>2</v>
      </c>
      <c r="G1000" s="2">
        <v>2</v>
      </c>
      <c r="H1000" s="2">
        <v>250000</v>
      </c>
      <c r="I1000" s="2">
        <v>50</v>
      </c>
      <c r="J1000" s="2" t="s">
        <v>1671</v>
      </c>
      <c r="K1000" s="2">
        <v>46</v>
      </c>
      <c r="L1000" s="2">
        <v>15</v>
      </c>
      <c r="M1000" s="2">
        <v>5</v>
      </c>
      <c r="N1000" s="2">
        <v>6</v>
      </c>
      <c r="O1000" s="2">
        <v>15</v>
      </c>
      <c r="P1000" s="2">
        <v>5</v>
      </c>
      <c r="Q1000" s="2" t="s">
        <v>4074</v>
      </c>
      <c r="R1000" s="2" t="s">
        <v>4075</v>
      </c>
      <c r="S1000" s="4">
        <v>45197</v>
      </c>
    </row>
    <row r="1001" spans="1:19" ht="12.5" hidden="1" x14ac:dyDescent="0.25">
      <c r="A1001" s="14" t="str">
        <f>HYPERLINK("https://gerandofalcoes.my.salesforce.com/0014X00002YggmrQAB", "0014X00002YggmrQAB")</f>
        <v>0014X00002YggmrQAB</v>
      </c>
      <c r="B1001" s="2" t="s">
        <v>4076</v>
      </c>
      <c r="C1001" s="2" t="s">
        <v>423</v>
      </c>
      <c r="D1001" s="2" t="s">
        <v>2</v>
      </c>
      <c r="E1001" s="2">
        <v>25.01</v>
      </c>
      <c r="F1001" s="2">
        <v>0</v>
      </c>
      <c r="G1001" s="2">
        <v>3</v>
      </c>
      <c r="H1001" s="2">
        <v>20000</v>
      </c>
      <c r="I1001" s="2">
        <v>84</v>
      </c>
      <c r="J1001" s="2" t="s">
        <v>1779</v>
      </c>
      <c r="K1001" s="2">
        <v>38</v>
      </c>
      <c r="L1001" s="2">
        <v>15</v>
      </c>
      <c r="M1001" s="2">
        <v>0</v>
      </c>
      <c r="N1001" s="2">
        <v>8</v>
      </c>
      <c r="O1001" s="2">
        <v>5</v>
      </c>
      <c r="P1001" s="2">
        <v>10</v>
      </c>
      <c r="Q1001" s="2" t="s">
        <v>4077</v>
      </c>
      <c r="R1001" s="2" t="s">
        <v>4078</v>
      </c>
      <c r="S1001" s="4">
        <v>45197</v>
      </c>
    </row>
    <row r="1002" spans="1:19" ht="12.5" hidden="1" x14ac:dyDescent="0.25">
      <c r="A1002" s="14" t="str">
        <f>HYPERLINK("https://gerandofalcoes.my.salesforce.com/0014X00002YggoQQAR", "0014X00002YggoQQAR")</f>
        <v>0014X00002YggoQQAR</v>
      </c>
      <c r="B1002" s="2" t="s">
        <v>4079</v>
      </c>
      <c r="C1002" s="2" t="s">
        <v>423</v>
      </c>
      <c r="D1002" s="2" t="s">
        <v>2</v>
      </c>
      <c r="E1002" s="2">
        <v>22.56</v>
      </c>
      <c r="F1002" s="2">
        <v>0</v>
      </c>
      <c r="G1002" s="2">
        <v>4</v>
      </c>
      <c r="H1002" s="2">
        <v>100000</v>
      </c>
      <c r="I1002" s="2">
        <v>150</v>
      </c>
      <c r="J1002" s="2" t="s">
        <v>1671</v>
      </c>
      <c r="K1002" s="2">
        <v>47</v>
      </c>
      <c r="L1002" s="2">
        <v>10</v>
      </c>
      <c r="M1002" s="2">
        <v>0</v>
      </c>
      <c r="N1002" s="2">
        <v>10</v>
      </c>
      <c r="O1002" s="2">
        <v>15</v>
      </c>
      <c r="P1002" s="2">
        <v>12</v>
      </c>
      <c r="Q1002" s="2" t="s">
        <v>4080</v>
      </c>
      <c r="R1002" s="2" t="s">
        <v>4081</v>
      </c>
      <c r="S1002" s="4">
        <v>45197</v>
      </c>
    </row>
    <row r="1003" spans="1:19" ht="12.5" hidden="1" x14ac:dyDescent="0.25">
      <c r="A1003" s="14" t="str">
        <f>HYPERLINK("https://gerandofalcoes.my.salesforce.com/0014X00002YggpiQAB", "0014X00002YggpiQAB")</f>
        <v>0014X00002YggpiQAB</v>
      </c>
      <c r="B1003" s="2" t="s">
        <v>4082</v>
      </c>
      <c r="C1003" s="2" t="s">
        <v>423</v>
      </c>
      <c r="D1003" s="2" t="s">
        <v>2</v>
      </c>
      <c r="E1003" s="2">
        <v>14.74</v>
      </c>
      <c r="F1003" s="2">
        <v>0</v>
      </c>
      <c r="G1003" s="2">
        <v>3</v>
      </c>
      <c r="H1003" s="2">
        <v>3000</v>
      </c>
      <c r="I1003" s="2">
        <v>15</v>
      </c>
      <c r="J1003" s="2" t="s">
        <v>1779</v>
      </c>
      <c r="K1003" s="2">
        <v>28</v>
      </c>
      <c r="L1003" s="2">
        <v>10</v>
      </c>
      <c r="M1003" s="2">
        <v>0</v>
      </c>
      <c r="N1003" s="2">
        <v>8</v>
      </c>
      <c r="O1003" s="2">
        <v>5</v>
      </c>
      <c r="P1003" s="2">
        <v>5</v>
      </c>
      <c r="Q1003" s="2" t="s">
        <v>4083</v>
      </c>
      <c r="R1003" s="2" t="s">
        <v>4084</v>
      </c>
      <c r="S1003" s="4">
        <v>45197</v>
      </c>
    </row>
    <row r="1004" spans="1:19" ht="12.5" hidden="1" x14ac:dyDescent="0.25">
      <c r="A1004" s="14" t="str">
        <f>HYPERLINK("https://gerandofalcoes.my.salesforce.com/0014X00002YggoiQAB", "0014X00002YggoiQAB")</f>
        <v>0014X00002YggoiQAB</v>
      </c>
      <c r="B1004" s="2" t="s">
        <v>4085</v>
      </c>
      <c r="C1004" s="2" t="s">
        <v>423</v>
      </c>
      <c r="D1004" s="2" t="s">
        <v>2</v>
      </c>
      <c r="E1004" s="2">
        <v>12.8</v>
      </c>
      <c r="F1004" s="2">
        <v>30</v>
      </c>
      <c r="G1004" s="2">
        <v>4</v>
      </c>
      <c r="H1004" s="2">
        <v>5000</v>
      </c>
      <c r="I1004" s="2">
        <v>100</v>
      </c>
      <c r="J1004" s="2" t="s">
        <v>1671</v>
      </c>
      <c r="K1004" s="2">
        <v>47</v>
      </c>
      <c r="L1004" s="2">
        <v>10</v>
      </c>
      <c r="M1004" s="2">
        <v>12</v>
      </c>
      <c r="N1004" s="2">
        <v>10</v>
      </c>
      <c r="O1004" s="2">
        <v>5</v>
      </c>
      <c r="P1004" s="2">
        <v>10</v>
      </c>
      <c r="Q1004" s="2" t="s">
        <v>4086</v>
      </c>
      <c r="R1004" s="2" t="s">
        <v>4086</v>
      </c>
      <c r="S1004" s="4">
        <v>45197</v>
      </c>
    </row>
    <row r="1005" spans="1:19" ht="12.5" hidden="1" x14ac:dyDescent="0.25">
      <c r="A1005" s="14" t="str">
        <f>HYPERLINK("https://gerandofalcoes.my.salesforce.com/0014X00002YggmnQAB", "0014X00002YggmnQAB")</f>
        <v>0014X00002YggmnQAB</v>
      </c>
      <c r="B1005" s="2" t="s">
        <v>4087</v>
      </c>
      <c r="C1005" s="2" t="s">
        <v>423</v>
      </c>
      <c r="D1005" s="2" t="s">
        <v>2</v>
      </c>
      <c r="E1005" s="2">
        <v>12.57</v>
      </c>
      <c r="F1005" s="2">
        <v>2</v>
      </c>
      <c r="G1005" s="2">
        <v>11</v>
      </c>
      <c r="H1005" s="2">
        <v>0</v>
      </c>
      <c r="I1005" s="2">
        <v>20</v>
      </c>
      <c r="J1005" s="2" t="s">
        <v>1779</v>
      </c>
      <c r="K1005" s="2">
        <v>30</v>
      </c>
      <c r="L1005" s="2">
        <v>10</v>
      </c>
      <c r="M1005" s="2">
        <v>5</v>
      </c>
      <c r="N1005" s="2">
        <v>10</v>
      </c>
      <c r="O1005" s="2">
        <v>0</v>
      </c>
      <c r="P1005" s="2">
        <v>5</v>
      </c>
      <c r="Q1005" s="2" t="s">
        <v>4088</v>
      </c>
      <c r="R1005" s="2" t="s">
        <v>4088</v>
      </c>
      <c r="S1005" s="4">
        <v>45197</v>
      </c>
    </row>
    <row r="1006" spans="1:19" ht="12.5" hidden="1" x14ac:dyDescent="0.25">
      <c r="A1006" s="14" t="str">
        <f>HYPERLINK("https://gerandofalcoes.my.salesforce.com/0014X00002YggjgQAB", "0014X00002YggjgQAB")</f>
        <v>0014X00002YggjgQAB</v>
      </c>
      <c r="B1006" s="2" t="s">
        <v>4089</v>
      </c>
      <c r="C1006" s="2" t="s">
        <v>423</v>
      </c>
      <c r="D1006" s="2" t="s">
        <v>2</v>
      </c>
      <c r="E1006" s="2">
        <v>12.35</v>
      </c>
      <c r="F1006" s="2">
        <v>4</v>
      </c>
      <c r="G1006" s="2">
        <v>2</v>
      </c>
      <c r="H1006" s="2">
        <v>36000</v>
      </c>
      <c r="I1006" s="2">
        <v>250</v>
      </c>
      <c r="J1006" s="2" t="s">
        <v>1671</v>
      </c>
      <c r="K1006" s="2">
        <v>43</v>
      </c>
      <c r="L1006" s="2">
        <v>10</v>
      </c>
      <c r="M1006" s="2">
        <v>5</v>
      </c>
      <c r="N1006" s="2">
        <v>6</v>
      </c>
      <c r="O1006" s="2">
        <v>10</v>
      </c>
      <c r="P1006" s="2">
        <v>12</v>
      </c>
      <c r="Q1006" s="2" t="s">
        <v>4090</v>
      </c>
      <c r="R1006" s="2" t="s">
        <v>4091</v>
      </c>
      <c r="S1006" s="4">
        <v>45197</v>
      </c>
    </row>
    <row r="1007" spans="1:19" ht="12.5" hidden="1" x14ac:dyDescent="0.25">
      <c r="A1007" s="14" t="str">
        <f>HYPERLINK("https://gerandofalcoes.my.salesforce.com/0014X00002Yggm9QAB", "0014X00002Yggm9QAB")</f>
        <v>0014X00002Yggm9QAB</v>
      </c>
      <c r="B1007" s="2" t="s">
        <v>4092</v>
      </c>
      <c r="C1007" s="2" t="s">
        <v>423</v>
      </c>
      <c r="D1007" s="2" t="s">
        <v>2</v>
      </c>
      <c r="E1007" s="2">
        <v>12.2</v>
      </c>
      <c r="F1007" s="2">
        <v>0</v>
      </c>
      <c r="G1007" s="2">
        <v>5</v>
      </c>
      <c r="H1007" s="2">
        <v>2000</v>
      </c>
      <c r="I1007" s="2">
        <v>100</v>
      </c>
      <c r="J1007" s="2" t="s">
        <v>1779</v>
      </c>
      <c r="K1007" s="2">
        <v>35</v>
      </c>
      <c r="L1007" s="2">
        <v>10</v>
      </c>
      <c r="M1007" s="2">
        <v>0</v>
      </c>
      <c r="N1007" s="2">
        <v>10</v>
      </c>
      <c r="O1007" s="2">
        <v>5</v>
      </c>
      <c r="P1007" s="2">
        <v>10</v>
      </c>
      <c r="Q1007" s="2" t="s">
        <v>4093</v>
      </c>
      <c r="R1007" s="2" t="s">
        <v>4094</v>
      </c>
      <c r="S1007" s="4">
        <v>45197</v>
      </c>
    </row>
    <row r="1008" spans="1:19" ht="12.5" hidden="1" x14ac:dyDescent="0.25">
      <c r="A1008" s="14" t="str">
        <f>HYPERLINK("https://gerandofalcoes.my.salesforce.com/0014X00002YggkVQAR", "0014X00002YggkVQAR")</f>
        <v>0014X00002YggkVQAR</v>
      </c>
      <c r="B1008" s="2" t="s">
        <v>4095</v>
      </c>
      <c r="C1008" s="2" t="s">
        <v>423</v>
      </c>
      <c r="D1008" s="2" t="s">
        <v>2</v>
      </c>
      <c r="E1008" s="2">
        <v>11.18</v>
      </c>
      <c r="F1008" s="2">
        <v>0</v>
      </c>
      <c r="G1008" s="2">
        <v>3</v>
      </c>
      <c r="H1008" s="2">
        <v>5000</v>
      </c>
      <c r="I1008" s="2">
        <v>120</v>
      </c>
      <c r="J1008" s="2" t="s">
        <v>1779</v>
      </c>
      <c r="K1008" s="2">
        <v>33</v>
      </c>
      <c r="L1008" s="2">
        <v>10</v>
      </c>
      <c r="M1008" s="2">
        <v>0</v>
      </c>
      <c r="N1008" s="2">
        <v>8</v>
      </c>
      <c r="O1008" s="2">
        <v>5</v>
      </c>
      <c r="P1008" s="2">
        <v>10</v>
      </c>
      <c r="Q1008" s="2" t="s">
        <v>4096</v>
      </c>
      <c r="R1008" s="2" t="s">
        <v>4097</v>
      </c>
      <c r="S1008" s="4">
        <v>45197</v>
      </c>
    </row>
    <row r="1009" spans="1:19" ht="12.5" hidden="1" x14ac:dyDescent="0.25">
      <c r="A1009" s="14" t="str">
        <f>HYPERLINK("https://gerandofalcoes.my.salesforce.com/0014X00002YggipQAB", "0014X00002YggipQAB")</f>
        <v>0014X00002YggipQAB</v>
      </c>
      <c r="B1009" s="2" t="s">
        <v>4098</v>
      </c>
      <c r="C1009" s="2" t="s">
        <v>423</v>
      </c>
      <c r="D1009" s="2" t="s">
        <v>2</v>
      </c>
      <c r="E1009" s="2">
        <v>9.84</v>
      </c>
      <c r="F1009" s="2">
        <v>10</v>
      </c>
      <c r="G1009" s="2">
        <v>3</v>
      </c>
      <c r="H1009" s="2">
        <v>130000</v>
      </c>
      <c r="I1009" s="2">
        <v>150</v>
      </c>
      <c r="J1009" s="2" t="s">
        <v>1671</v>
      </c>
      <c r="K1009" s="2">
        <v>55</v>
      </c>
      <c r="L1009" s="2">
        <v>10</v>
      </c>
      <c r="M1009" s="2">
        <v>10</v>
      </c>
      <c r="N1009" s="2">
        <v>8</v>
      </c>
      <c r="O1009" s="2">
        <v>15</v>
      </c>
      <c r="P1009" s="2">
        <v>12</v>
      </c>
      <c r="Q1009" s="2" t="s">
        <v>4099</v>
      </c>
      <c r="R1009" s="2" t="s">
        <v>4100</v>
      </c>
      <c r="S1009" s="4">
        <v>45197</v>
      </c>
    </row>
    <row r="1010" spans="1:19" ht="12.5" hidden="1" x14ac:dyDescent="0.25">
      <c r="A1010" s="14" t="str">
        <f>HYPERLINK("https://gerandofalcoes.my.salesforce.com/0014X00002YgghMQAR", "0014X00002YgghMQAR")</f>
        <v>0014X00002YgghMQAR</v>
      </c>
      <c r="B1010" s="2" t="s">
        <v>4101</v>
      </c>
      <c r="C1010" s="2" t="s">
        <v>423</v>
      </c>
      <c r="D1010" s="2" t="s">
        <v>2</v>
      </c>
      <c r="E1010" s="2">
        <v>8.59</v>
      </c>
      <c r="F1010" s="2">
        <v>10</v>
      </c>
      <c r="G1010" s="2">
        <v>4</v>
      </c>
      <c r="H1010" s="2">
        <v>21000</v>
      </c>
      <c r="I1010" s="2">
        <v>80</v>
      </c>
      <c r="J1010" s="2" t="s">
        <v>1671</v>
      </c>
      <c r="K1010" s="2">
        <v>45</v>
      </c>
      <c r="L1010" s="2">
        <v>10</v>
      </c>
      <c r="M1010" s="2">
        <v>10</v>
      </c>
      <c r="N1010" s="2">
        <v>10</v>
      </c>
      <c r="O1010" s="2">
        <v>5</v>
      </c>
      <c r="P1010" s="2">
        <v>10</v>
      </c>
      <c r="Q1010" s="2" t="s">
        <v>4102</v>
      </c>
      <c r="R1010" s="2" t="s">
        <v>4102</v>
      </c>
      <c r="S1010" s="4">
        <v>45197</v>
      </c>
    </row>
    <row r="1011" spans="1:19" ht="12.5" hidden="1" x14ac:dyDescent="0.25">
      <c r="A1011" s="14" t="str">
        <f>HYPERLINK("https://gerandofalcoes.my.salesforce.com/0014X00002YggqzQAB", "0014X00002YggqzQAB")</f>
        <v>0014X00002YggqzQAB</v>
      </c>
      <c r="B1011" s="2" t="s">
        <v>4103</v>
      </c>
      <c r="C1011" s="2" t="s">
        <v>423</v>
      </c>
      <c r="D1011" s="2" t="s">
        <v>2</v>
      </c>
      <c r="E1011" s="2">
        <v>8.2899999999999991</v>
      </c>
      <c r="F1011" s="2">
        <v>0</v>
      </c>
      <c r="G1011" s="2">
        <v>2</v>
      </c>
      <c r="H1011" s="2">
        <v>1500</v>
      </c>
      <c r="I1011" s="2">
        <v>50</v>
      </c>
      <c r="J1011" s="2" t="s">
        <v>1779</v>
      </c>
      <c r="K1011" s="2">
        <v>26</v>
      </c>
      <c r="L1011" s="2">
        <v>10</v>
      </c>
      <c r="M1011" s="2">
        <v>0</v>
      </c>
      <c r="N1011" s="2">
        <v>6</v>
      </c>
      <c r="O1011" s="2">
        <v>5</v>
      </c>
      <c r="P1011" s="2">
        <v>5</v>
      </c>
      <c r="Q1011" s="2" t="s">
        <v>4104</v>
      </c>
      <c r="R1011" s="2" t="s">
        <v>4104</v>
      </c>
      <c r="S1011" s="4">
        <v>45197</v>
      </c>
    </row>
    <row r="1012" spans="1:19" ht="12.5" hidden="1" x14ac:dyDescent="0.25">
      <c r="A1012" s="14" t="str">
        <f>HYPERLINK("https://gerandofalcoes.my.salesforce.com/0014X00002YgglvQAB", "0014X00002YgglvQAB")</f>
        <v>0014X00002YgglvQAB</v>
      </c>
      <c r="B1012" s="2" t="s">
        <v>4105</v>
      </c>
      <c r="C1012" s="2" t="s">
        <v>423</v>
      </c>
      <c r="D1012" s="2" t="s">
        <v>2</v>
      </c>
      <c r="E1012" s="2">
        <v>8.0299999999999994</v>
      </c>
      <c r="F1012" s="2">
        <v>1</v>
      </c>
      <c r="G1012" s="2">
        <v>3</v>
      </c>
      <c r="H1012" s="2">
        <v>1400000</v>
      </c>
      <c r="I1012" s="2">
        <v>20</v>
      </c>
      <c r="J1012" s="2" t="s">
        <v>1671</v>
      </c>
      <c r="K1012" s="2">
        <v>53</v>
      </c>
      <c r="L1012" s="2">
        <v>10</v>
      </c>
      <c r="M1012" s="2">
        <v>5</v>
      </c>
      <c r="N1012" s="2">
        <v>8</v>
      </c>
      <c r="O1012" s="2">
        <v>25</v>
      </c>
      <c r="P1012" s="2">
        <v>5</v>
      </c>
      <c r="Q1012" s="2" t="s">
        <v>4106</v>
      </c>
      <c r="R1012" s="2" t="s">
        <v>4106</v>
      </c>
      <c r="S1012" s="4">
        <v>45197</v>
      </c>
    </row>
    <row r="1013" spans="1:19" ht="12.5" hidden="1" x14ac:dyDescent="0.25">
      <c r="A1013" s="14" t="str">
        <f>HYPERLINK("https://gerandofalcoes.my.salesforce.com/0014X00002YggoeQAB", "0014X00002YggoeQAB")</f>
        <v>0014X00002YggoeQAB</v>
      </c>
      <c r="B1013" s="2" t="s">
        <v>4107</v>
      </c>
      <c r="C1013" s="2" t="s">
        <v>423</v>
      </c>
      <c r="D1013" s="2" t="s">
        <v>2</v>
      </c>
      <c r="E1013" s="2">
        <v>7.05</v>
      </c>
      <c r="F1013" s="2">
        <v>0</v>
      </c>
      <c r="G1013" s="2">
        <v>2</v>
      </c>
      <c r="H1013" s="2">
        <v>236</v>
      </c>
      <c r="I1013" s="2">
        <v>44</v>
      </c>
      <c r="J1013" s="2" t="s">
        <v>1779</v>
      </c>
      <c r="K1013" s="2">
        <v>26</v>
      </c>
      <c r="L1013" s="2">
        <v>10</v>
      </c>
      <c r="M1013" s="2">
        <v>0</v>
      </c>
      <c r="N1013" s="2">
        <v>6</v>
      </c>
      <c r="O1013" s="2">
        <v>5</v>
      </c>
      <c r="P1013" s="2">
        <v>5</v>
      </c>
      <c r="Q1013" s="2" t="s">
        <v>4108</v>
      </c>
      <c r="R1013" s="2" t="s">
        <v>4109</v>
      </c>
      <c r="S1013" s="4">
        <v>45197</v>
      </c>
    </row>
    <row r="1014" spans="1:19" ht="12.5" hidden="1" x14ac:dyDescent="0.25">
      <c r="A1014" s="14" t="str">
        <f>HYPERLINK("https://gerandofalcoes.my.salesforce.com/0014X00002YggjbQAB", "0014X00002YggjbQAB")</f>
        <v>0014X00002YggjbQAB</v>
      </c>
      <c r="B1014" s="2" t="s">
        <v>4110</v>
      </c>
      <c r="C1014" s="2" t="s">
        <v>423</v>
      </c>
      <c r="D1014" s="2" t="s">
        <v>2</v>
      </c>
      <c r="E1014" s="2">
        <v>6.82</v>
      </c>
      <c r="F1014" s="2">
        <v>2</v>
      </c>
      <c r="G1014" s="2">
        <v>3</v>
      </c>
      <c r="H1014" s="2">
        <v>1500</v>
      </c>
      <c r="I1014" s="2">
        <v>300</v>
      </c>
      <c r="J1014" s="2" t="s">
        <v>1671</v>
      </c>
      <c r="K1014" s="2">
        <v>43</v>
      </c>
      <c r="L1014" s="2">
        <v>10</v>
      </c>
      <c r="M1014" s="2">
        <v>5</v>
      </c>
      <c r="N1014" s="2">
        <v>8</v>
      </c>
      <c r="O1014" s="2">
        <v>5</v>
      </c>
      <c r="P1014" s="2">
        <v>15</v>
      </c>
      <c r="Q1014" s="2" t="s">
        <v>4111</v>
      </c>
      <c r="R1014" s="2" t="s">
        <v>4112</v>
      </c>
      <c r="S1014" s="4">
        <v>45197</v>
      </c>
    </row>
    <row r="1015" spans="1:19" ht="12.5" hidden="1" x14ac:dyDescent="0.25">
      <c r="A1015" s="14" t="str">
        <f>HYPERLINK("https://gerandofalcoes.my.salesforce.com/0014X00002YgglhQAB", "0014X00002YgglhQAB")</f>
        <v>0014X00002YgglhQAB</v>
      </c>
      <c r="B1015" s="2" t="s">
        <v>4113</v>
      </c>
      <c r="C1015" s="2" t="s">
        <v>423</v>
      </c>
      <c r="D1015" s="2" t="s">
        <v>2</v>
      </c>
      <c r="E1015" s="2">
        <v>6.18</v>
      </c>
      <c r="F1015" s="2">
        <v>2</v>
      </c>
      <c r="G1015" s="2">
        <v>3</v>
      </c>
      <c r="H1015" s="2">
        <v>0</v>
      </c>
      <c r="I1015" s="2">
        <v>200</v>
      </c>
      <c r="J1015" s="2" t="s">
        <v>1779</v>
      </c>
      <c r="K1015" s="2">
        <v>35</v>
      </c>
      <c r="L1015" s="2">
        <v>10</v>
      </c>
      <c r="M1015" s="2">
        <v>5</v>
      </c>
      <c r="N1015" s="2">
        <v>8</v>
      </c>
      <c r="O1015" s="2">
        <v>0</v>
      </c>
      <c r="P1015" s="2">
        <v>12</v>
      </c>
      <c r="Q1015" s="2" t="s">
        <v>4114</v>
      </c>
      <c r="R1015" s="2" t="s">
        <v>4115</v>
      </c>
      <c r="S1015" s="4">
        <v>45197</v>
      </c>
    </row>
    <row r="1016" spans="1:19" ht="12.5" hidden="1" x14ac:dyDescent="0.25">
      <c r="A1016" s="14" t="str">
        <f>HYPERLINK("https://gerandofalcoes.my.salesforce.com/0014X00002YggnpQAB", "0014X00002YggnpQAB")</f>
        <v>0014X00002YggnpQAB</v>
      </c>
      <c r="B1016" s="2" t="s">
        <v>4116</v>
      </c>
      <c r="C1016" s="2" t="s">
        <v>423</v>
      </c>
      <c r="D1016" s="2" t="s">
        <v>2</v>
      </c>
      <c r="E1016" s="2">
        <v>5.2</v>
      </c>
      <c r="F1016" s="2">
        <v>0</v>
      </c>
      <c r="G1016" s="2">
        <v>3</v>
      </c>
      <c r="H1016" s="2">
        <v>0</v>
      </c>
      <c r="I1016" s="2">
        <v>100</v>
      </c>
      <c r="J1016" s="2" t="s">
        <v>1779</v>
      </c>
      <c r="K1016" s="2">
        <v>28</v>
      </c>
      <c r="L1016" s="2">
        <v>10</v>
      </c>
      <c r="M1016" s="2">
        <v>0</v>
      </c>
      <c r="N1016" s="2">
        <v>8</v>
      </c>
      <c r="O1016" s="2">
        <v>0</v>
      </c>
      <c r="P1016" s="2">
        <v>10</v>
      </c>
      <c r="Q1016" s="2" t="s">
        <v>4117</v>
      </c>
      <c r="R1016" s="2" t="s">
        <v>4117</v>
      </c>
      <c r="S1016" s="4">
        <v>45197</v>
      </c>
    </row>
    <row r="1017" spans="1:19" ht="12.5" hidden="1" x14ac:dyDescent="0.25">
      <c r="A1017" s="14" t="str">
        <f>HYPERLINK("https://gerandofalcoes.my.salesforce.com/0014X00002YggmNQAR", "0014X00002YggmNQAR")</f>
        <v>0014X00002YggmNQAR</v>
      </c>
      <c r="B1017" s="2" t="s">
        <v>4118</v>
      </c>
      <c r="C1017" s="2" t="s">
        <v>423</v>
      </c>
      <c r="D1017" s="2" t="s">
        <v>2</v>
      </c>
      <c r="E1017" s="2">
        <v>4.24</v>
      </c>
      <c r="F1017" s="2">
        <v>4</v>
      </c>
      <c r="G1017" s="2">
        <v>4</v>
      </c>
      <c r="H1017" s="2">
        <v>5000</v>
      </c>
      <c r="I1017" s="2">
        <v>10</v>
      </c>
      <c r="J1017" s="2" t="s">
        <v>1779</v>
      </c>
      <c r="K1017" s="2">
        <v>35</v>
      </c>
      <c r="L1017" s="2">
        <v>10</v>
      </c>
      <c r="M1017" s="2">
        <v>5</v>
      </c>
      <c r="N1017" s="2">
        <v>10</v>
      </c>
      <c r="O1017" s="2">
        <v>5</v>
      </c>
      <c r="P1017" s="2">
        <v>5</v>
      </c>
      <c r="Q1017" s="2" t="s">
        <v>4119</v>
      </c>
      <c r="R1017" s="2" t="s">
        <v>4120</v>
      </c>
      <c r="S1017" s="4">
        <v>45197</v>
      </c>
    </row>
    <row r="1018" spans="1:19" ht="12.5" hidden="1" x14ac:dyDescent="0.25">
      <c r="A1018" s="14" t="str">
        <f>HYPERLINK("https://gerandofalcoes.my.salesforce.com/0014X00002YgglBQAR", "0014X00002YgglBQAR")</f>
        <v>0014X00002YgglBQAR</v>
      </c>
      <c r="B1018" s="2" t="s">
        <v>4121</v>
      </c>
      <c r="C1018" s="2" t="s">
        <v>423</v>
      </c>
      <c r="D1018" s="2" t="s">
        <v>2</v>
      </c>
      <c r="E1018" s="2">
        <v>4.01</v>
      </c>
      <c r="F1018" s="2">
        <v>8</v>
      </c>
      <c r="G1018" s="2">
        <v>2</v>
      </c>
      <c r="H1018" s="2">
        <v>10000</v>
      </c>
      <c r="I1018" s="2">
        <v>120</v>
      </c>
      <c r="J1018" s="2" t="s">
        <v>1671</v>
      </c>
      <c r="K1018" s="2">
        <v>41</v>
      </c>
      <c r="L1018" s="2">
        <v>10</v>
      </c>
      <c r="M1018" s="2">
        <v>10</v>
      </c>
      <c r="N1018" s="2">
        <v>6</v>
      </c>
      <c r="O1018" s="2">
        <v>5</v>
      </c>
      <c r="P1018" s="2">
        <v>10</v>
      </c>
      <c r="Q1018" s="2" t="s">
        <v>4122</v>
      </c>
      <c r="R1018" s="2" t="s">
        <v>4123</v>
      </c>
      <c r="S1018" s="4">
        <v>45197</v>
      </c>
    </row>
    <row r="1019" spans="1:19" ht="12.5" hidden="1" x14ac:dyDescent="0.25">
      <c r="A1019" s="14" t="str">
        <f>HYPERLINK("https://gerandofalcoes.my.salesforce.com/0014X00002Yggp2QAB", "0014X00002Yggp2QAB")</f>
        <v>0014X00002Yggp2QAB</v>
      </c>
      <c r="B1019" s="2" t="s">
        <v>4124</v>
      </c>
      <c r="C1019" s="2" t="s">
        <v>423</v>
      </c>
      <c r="D1019" s="2" t="s">
        <v>2</v>
      </c>
      <c r="E1019" s="2">
        <v>3.99</v>
      </c>
      <c r="F1019" s="2">
        <v>0</v>
      </c>
      <c r="G1019" s="2">
        <v>4</v>
      </c>
      <c r="H1019" s="2">
        <v>100000</v>
      </c>
      <c r="I1019" s="2">
        <v>800</v>
      </c>
      <c r="J1019" s="2" t="s">
        <v>1671</v>
      </c>
      <c r="K1019" s="2">
        <v>55</v>
      </c>
      <c r="L1019" s="2">
        <v>10</v>
      </c>
      <c r="M1019" s="2">
        <v>0</v>
      </c>
      <c r="N1019" s="2">
        <v>10</v>
      </c>
      <c r="O1019" s="2">
        <v>15</v>
      </c>
      <c r="P1019" s="2">
        <v>20</v>
      </c>
      <c r="Q1019" s="2" t="s">
        <v>4125</v>
      </c>
      <c r="R1019" s="2" t="s">
        <v>4126</v>
      </c>
      <c r="S1019" s="4">
        <v>45197</v>
      </c>
    </row>
    <row r="1020" spans="1:19" ht="12.5" hidden="1" x14ac:dyDescent="0.25">
      <c r="A1020" s="14" t="str">
        <f>HYPERLINK("https://gerandofalcoes.my.salesforce.com/0014X00002YggokQAB", "0014X00002YggokQAB")</f>
        <v>0014X00002YggokQAB</v>
      </c>
      <c r="B1020" s="2" t="s">
        <v>4127</v>
      </c>
      <c r="C1020" s="2" t="s">
        <v>423</v>
      </c>
      <c r="D1020" s="2" t="s">
        <v>2</v>
      </c>
      <c r="E1020" s="2">
        <v>3.85</v>
      </c>
      <c r="F1020" s="2">
        <v>2</v>
      </c>
      <c r="G1020" s="2">
        <v>2</v>
      </c>
      <c r="H1020" s="2">
        <v>800</v>
      </c>
      <c r="I1020" s="2">
        <v>15</v>
      </c>
      <c r="J1020" s="2" t="s">
        <v>1779</v>
      </c>
      <c r="K1020" s="2">
        <v>31</v>
      </c>
      <c r="L1020" s="2">
        <v>10</v>
      </c>
      <c r="M1020" s="2">
        <v>5</v>
      </c>
      <c r="N1020" s="2">
        <v>6</v>
      </c>
      <c r="O1020" s="2">
        <v>5</v>
      </c>
      <c r="P1020" s="2">
        <v>5</v>
      </c>
      <c r="Q1020" s="2" t="s">
        <v>4128</v>
      </c>
      <c r="R1020" s="2" t="s">
        <v>4129</v>
      </c>
      <c r="S1020" s="4">
        <v>45197</v>
      </c>
    </row>
    <row r="1021" spans="1:19" ht="12.5" hidden="1" x14ac:dyDescent="0.25">
      <c r="A1021" s="14" t="str">
        <f>HYPERLINK("https://gerandofalcoes.my.salesforce.com/0014X00002YggkZQAR", "0014X00002YggkZQAR")</f>
        <v>0014X00002YggkZQAR</v>
      </c>
      <c r="B1021" s="2" t="s">
        <v>4130</v>
      </c>
      <c r="C1021" s="2" t="s">
        <v>423</v>
      </c>
      <c r="D1021" s="2" t="s">
        <v>2</v>
      </c>
      <c r="E1021" s="2">
        <v>3.16</v>
      </c>
      <c r="F1021" s="2">
        <v>0</v>
      </c>
      <c r="G1021" s="2">
        <v>2</v>
      </c>
      <c r="H1021" s="2">
        <v>0</v>
      </c>
      <c r="I1021" s="2">
        <v>40</v>
      </c>
      <c r="J1021" s="2" t="s">
        <v>1779</v>
      </c>
      <c r="K1021" s="2">
        <v>21</v>
      </c>
      <c r="L1021" s="2">
        <v>10</v>
      </c>
      <c r="M1021" s="2">
        <v>0</v>
      </c>
      <c r="N1021" s="2">
        <v>6</v>
      </c>
      <c r="O1021" s="2">
        <v>0</v>
      </c>
      <c r="P1021" s="2">
        <v>5</v>
      </c>
      <c r="Q1021" s="2" t="s">
        <v>4131</v>
      </c>
      <c r="R1021" s="2" t="s">
        <v>4131</v>
      </c>
      <c r="S1021" s="4">
        <v>45197</v>
      </c>
    </row>
    <row r="1022" spans="1:19" ht="12.5" hidden="1" x14ac:dyDescent="0.25">
      <c r="A1022" s="14" t="str">
        <f>HYPERLINK("https://gerandofalcoes.my.salesforce.com/0014X00002YggiNQAR", "0014X00002YggiNQAR")</f>
        <v>0014X00002YggiNQAR</v>
      </c>
      <c r="B1022" s="2" t="s">
        <v>4132</v>
      </c>
      <c r="C1022" s="2" t="s">
        <v>423</v>
      </c>
      <c r="D1022" s="2" t="s">
        <v>2</v>
      </c>
      <c r="E1022" s="2">
        <v>3.1</v>
      </c>
      <c r="F1022" s="2">
        <v>10</v>
      </c>
      <c r="G1022" s="2">
        <v>4</v>
      </c>
      <c r="H1022" s="2">
        <v>1000</v>
      </c>
      <c r="I1022" s="2">
        <v>0</v>
      </c>
      <c r="J1022" s="2" t="s">
        <v>1779</v>
      </c>
      <c r="K1022" s="2">
        <v>35</v>
      </c>
      <c r="L1022" s="2">
        <v>10</v>
      </c>
      <c r="M1022" s="2">
        <v>10</v>
      </c>
      <c r="N1022" s="2">
        <v>10</v>
      </c>
      <c r="O1022" s="2">
        <v>5</v>
      </c>
      <c r="P1022" s="2">
        <v>0</v>
      </c>
      <c r="Q1022" s="2" t="s">
        <v>4133</v>
      </c>
      <c r="R1022" s="2" t="s">
        <v>4134</v>
      </c>
      <c r="S1022" s="4">
        <v>45197</v>
      </c>
    </row>
    <row r="1023" spans="1:19" ht="12.5" hidden="1" x14ac:dyDescent="0.25">
      <c r="A1023" s="14" t="str">
        <f>HYPERLINK("https://gerandofalcoes.my.salesforce.com/0014X00002YgglWQAR", "0014X00002YgglWQAR")</f>
        <v>0014X00002YgglWQAR</v>
      </c>
      <c r="B1023" s="2" t="s">
        <v>4135</v>
      </c>
      <c r="C1023" s="2" t="s">
        <v>423</v>
      </c>
      <c r="D1023" s="2" t="s">
        <v>2</v>
      </c>
      <c r="E1023" s="2">
        <v>2.38</v>
      </c>
      <c r="F1023" s="2">
        <v>0</v>
      </c>
      <c r="G1023" s="2">
        <v>2</v>
      </c>
      <c r="H1023" s="2">
        <v>0</v>
      </c>
      <c r="I1023" s="2">
        <v>89</v>
      </c>
      <c r="J1023" s="2" t="s">
        <v>1779</v>
      </c>
      <c r="K1023" s="2">
        <v>26</v>
      </c>
      <c r="L1023" s="2">
        <v>10</v>
      </c>
      <c r="M1023" s="2">
        <v>0</v>
      </c>
      <c r="N1023" s="2">
        <v>6</v>
      </c>
      <c r="O1023" s="2">
        <v>0</v>
      </c>
      <c r="P1023" s="2">
        <v>10</v>
      </c>
      <c r="Q1023" s="2" t="s">
        <v>4136</v>
      </c>
      <c r="R1023" s="2" t="s">
        <v>4137</v>
      </c>
      <c r="S1023" s="4">
        <v>45197</v>
      </c>
    </row>
    <row r="1024" spans="1:19" ht="12.5" hidden="1" x14ac:dyDescent="0.25">
      <c r="A1024" s="14" t="str">
        <f>HYPERLINK("https://gerandofalcoes.my.salesforce.com/0014X00002Yggh9QAB", "0014X00002Yggh9QAB")</f>
        <v>0014X00002Yggh9QAB</v>
      </c>
      <c r="B1024" s="2" t="s">
        <v>4138</v>
      </c>
      <c r="C1024" s="2" t="s">
        <v>423</v>
      </c>
      <c r="D1024" s="2" t="s">
        <v>2</v>
      </c>
      <c r="E1024" s="2">
        <v>2.25</v>
      </c>
      <c r="F1024" s="2">
        <v>0</v>
      </c>
      <c r="G1024" s="2">
        <v>2</v>
      </c>
      <c r="H1024" s="2">
        <v>0</v>
      </c>
      <c r="I1024" s="2">
        <v>200</v>
      </c>
      <c r="J1024" s="2" t="s">
        <v>1779</v>
      </c>
      <c r="K1024" s="2">
        <v>28</v>
      </c>
      <c r="L1024" s="2">
        <v>10</v>
      </c>
      <c r="M1024" s="2">
        <v>0</v>
      </c>
      <c r="N1024" s="2">
        <v>6</v>
      </c>
      <c r="O1024" s="2">
        <v>0</v>
      </c>
      <c r="P1024" s="2">
        <v>12</v>
      </c>
      <c r="Q1024" s="2" t="s">
        <v>4139</v>
      </c>
      <c r="R1024" s="2" t="s">
        <v>4140</v>
      </c>
      <c r="S1024" s="4">
        <v>45197</v>
      </c>
    </row>
    <row r="1025" spans="1:19" ht="12.5" hidden="1" x14ac:dyDescent="0.25">
      <c r="A1025" s="14" t="str">
        <f>HYPERLINK("https://gerandofalcoes.my.salesforce.com/0014X00002YggoLQAR", "0014X00002YggoLQAR")</f>
        <v>0014X00002YggoLQAR</v>
      </c>
      <c r="B1025" s="2" t="s">
        <v>4141</v>
      </c>
      <c r="C1025" s="2" t="s">
        <v>423</v>
      </c>
      <c r="D1025" s="2" t="s">
        <v>2</v>
      </c>
      <c r="E1025" s="2">
        <v>2.25</v>
      </c>
      <c r="F1025" s="2">
        <v>0</v>
      </c>
      <c r="G1025" s="2">
        <v>2</v>
      </c>
      <c r="H1025" s="2">
        <v>1000</v>
      </c>
      <c r="I1025" s="2">
        <v>60</v>
      </c>
      <c r="J1025" s="2" t="s">
        <v>1779</v>
      </c>
      <c r="K1025" s="2">
        <v>26</v>
      </c>
      <c r="L1025" s="2">
        <v>10</v>
      </c>
      <c r="M1025" s="2">
        <v>0</v>
      </c>
      <c r="N1025" s="2">
        <v>6</v>
      </c>
      <c r="O1025" s="2">
        <v>5</v>
      </c>
      <c r="P1025" s="2">
        <v>5</v>
      </c>
      <c r="Q1025" s="2" t="s">
        <v>4142</v>
      </c>
      <c r="R1025" s="2" t="s">
        <v>4142</v>
      </c>
      <c r="S1025" s="4">
        <v>45197</v>
      </c>
    </row>
    <row r="1026" spans="1:19" ht="12.5" hidden="1" x14ac:dyDescent="0.25">
      <c r="A1026" s="14" t="str">
        <f>HYPERLINK("https://gerandofalcoes.my.salesforce.com/0014X00002Yggq9QAB", "0014X00002Yggq9QAB")</f>
        <v>0014X00002Yggq9QAB</v>
      </c>
      <c r="B1026" s="2" t="s">
        <v>4143</v>
      </c>
      <c r="C1026" s="2" t="s">
        <v>423</v>
      </c>
      <c r="D1026" s="2" t="s">
        <v>2</v>
      </c>
      <c r="E1026" s="2">
        <v>2.14</v>
      </c>
      <c r="F1026" s="2">
        <v>2</v>
      </c>
      <c r="G1026" s="2">
        <v>2</v>
      </c>
      <c r="H1026" s="2">
        <v>5020</v>
      </c>
      <c r="I1026" s="2">
        <v>38</v>
      </c>
      <c r="J1026" s="2" t="s">
        <v>1779</v>
      </c>
      <c r="K1026" s="2">
        <v>31</v>
      </c>
      <c r="L1026" s="2">
        <v>10</v>
      </c>
      <c r="M1026" s="2">
        <v>5</v>
      </c>
      <c r="N1026" s="2">
        <v>6</v>
      </c>
      <c r="O1026" s="2">
        <v>5</v>
      </c>
      <c r="P1026" s="2">
        <v>5</v>
      </c>
      <c r="Q1026" s="2" t="s">
        <v>4144</v>
      </c>
      <c r="R1026" s="2" t="s">
        <v>4144</v>
      </c>
      <c r="S1026" s="4">
        <v>45197</v>
      </c>
    </row>
    <row r="1027" spans="1:19" ht="12.5" hidden="1" x14ac:dyDescent="0.25">
      <c r="A1027" s="14" t="str">
        <f>HYPERLINK("https://gerandofalcoes.my.salesforce.com/0014X00002YggqGQAR", "0014X00002YggqGQAR")</f>
        <v>0014X00002YggqGQAR</v>
      </c>
      <c r="B1027" s="2" t="s">
        <v>4145</v>
      </c>
      <c r="C1027" s="2" t="s">
        <v>423</v>
      </c>
      <c r="D1027" s="2" t="s">
        <v>2</v>
      </c>
      <c r="E1027" s="2">
        <v>2.1</v>
      </c>
      <c r="F1027" s="2">
        <v>0</v>
      </c>
      <c r="G1027" s="2">
        <v>3</v>
      </c>
      <c r="H1027" s="2">
        <v>12500</v>
      </c>
      <c r="I1027" s="2">
        <v>10</v>
      </c>
      <c r="J1027" s="2" t="s">
        <v>1779</v>
      </c>
      <c r="K1027" s="2">
        <v>28</v>
      </c>
      <c r="L1027" s="2">
        <v>10</v>
      </c>
      <c r="M1027" s="2">
        <v>0</v>
      </c>
      <c r="N1027" s="2">
        <v>8</v>
      </c>
      <c r="O1027" s="2">
        <v>5</v>
      </c>
      <c r="P1027" s="2">
        <v>5</v>
      </c>
      <c r="Q1027" s="2" t="s">
        <v>4146</v>
      </c>
      <c r="R1027" s="2" t="s">
        <v>4147</v>
      </c>
      <c r="S1027" s="4">
        <v>45197</v>
      </c>
    </row>
    <row r="1028" spans="1:19" ht="12.5" hidden="1" x14ac:dyDescent="0.25">
      <c r="A1028" s="14" t="str">
        <f>HYPERLINK("https://gerandofalcoes.my.salesforce.com/0014X00002Yggl6QAB", "0014X00002Yggl6QAB")</f>
        <v>0014X00002Yggl6QAB</v>
      </c>
      <c r="B1028" s="2" t="s">
        <v>4148</v>
      </c>
      <c r="C1028" s="2" t="s">
        <v>423</v>
      </c>
      <c r="D1028" s="2" t="s">
        <v>2</v>
      </c>
      <c r="E1028" s="2">
        <v>1.43</v>
      </c>
      <c r="F1028" s="2">
        <v>0</v>
      </c>
      <c r="G1028" s="2">
        <v>2</v>
      </c>
      <c r="H1028" s="2">
        <v>80000</v>
      </c>
      <c r="I1028" s="2">
        <v>100</v>
      </c>
      <c r="J1028" s="2" t="s">
        <v>1779</v>
      </c>
      <c r="K1028" s="2">
        <v>36</v>
      </c>
      <c r="L1028" s="2">
        <v>10</v>
      </c>
      <c r="M1028" s="2">
        <v>0</v>
      </c>
      <c r="N1028" s="2">
        <v>6</v>
      </c>
      <c r="O1028" s="2">
        <v>10</v>
      </c>
      <c r="P1028" s="2">
        <v>10</v>
      </c>
      <c r="Q1028" s="2" t="s">
        <v>4149</v>
      </c>
      <c r="R1028" s="2" t="s">
        <v>4149</v>
      </c>
      <c r="S1028" s="4">
        <v>45197</v>
      </c>
    </row>
    <row r="1029" spans="1:19" ht="12.5" hidden="1" x14ac:dyDescent="0.25">
      <c r="A1029" s="14" t="str">
        <f>HYPERLINK("https://gerandofalcoes.my.salesforce.com/0014X00002YggqkQAB", "0014X00002YggqkQAB")</f>
        <v>0014X00002YggqkQAB</v>
      </c>
      <c r="B1029" s="2" t="s">
        <v>4150</v>
      </c>
      <c r="C1029" s="2" t="s">
        <v>423</v>
      </c>
      <c r="D1029" s="2" t="s">
        <v>2</v>
      </c>
      <c r="E1029" s="2">
        <v>1.43</v>
      </c>
      <c r="F1029" s="2">
        <v>2</v>
      </c>
      <c r="G1029" s="2">
        <v>2</v>
      </c>
      <c r="H1029" s="2">
        <v>1500</v>
      </c>
      <c r="I1029" s="2">
        <v>50</v>
      </c>
      <c r="J1029" s="2" t="s">
        <v>1779</v>
      </c>
      <c r="K1029" s="2">
        <v>31</v>
      </c>
      <c r="L1029" s="2">
        <v>10</v>
      </c>
      <c r="M1029" s="2">
        <v>5</v>
      </c>
      <c r="N1029" s="2">
        <v>6</v>
      </c>
      <c r="O1029" s="2">
        <v>5</v>
      </c>
      <c r="P1029" s="2">
        <v>5</v>
      </c>
      <c r="Q1029" s="2" t="s">
        <v>4151</v>
      </c>
      <c r="R1029" s="2" t="s">
        <v>4151</v>
      </c>
      <c r="S1029" s="4">
        <v>45197</v>
      </c>
    </row>
    <row r="1030" spans="1:19" ht="12.5" hidden="1" x14ac:dyDescent="0.25">
      <c r="A1030" s="14" t="str">
        <f>HYPERLINK("https://gerandofalcoes.my.salesforce.com/0014X00002YgglgQAB", "0014X00002YgglgQAB")</f>
        <v>0014X00002YgglgQAB</v>
      </c>
      <c r="B1030" s="2" t="s">
        <v>4152</v>
      </c>
      <c r="C1030" s="2" t="s">
        <v>423</v>
      </c>
      <c r="D1030" s="2" t="s">
        <v>2</v>
      </c>
      <c r="E1030" s="2">
        <v>1.1499999999999999</v>
      </c>
      <c r="F1030" s="2">
        <v>0</v>
      </c>
      <c r="G1030" s="2">
        <v>2</v>
      </c>
      <c r="H1030" s="2">
        <v>0</v>
      </c>
      <c r="I1030" s="2">
        <v>0</v>
      </c>
      <c r="J1030" s="2" t="s">
        <v>1779</v>
      </c>
      <c r="K1030" s="2">
        <v>16</v>
      </c>
      <c r="L1030" s="2">
        <v>10</v>
      </c>
      <c r="M1030" s="2">
        <v>0</v>
      </c>
      <c r="N1030" s="2">
        <v>6</v>
      </c>
      <c r="O1030" s="2">
        <v>0</v>
      </c>
      <c r="P1030" s="2">
        <v>0</v>
      </c>
      <c r="Q1030" s="2" t="s">
        <v>4153</v>
      </c>
      <c r="R1030" s="2" t="s">
        <v>4153</v>
      </c>
      <c r="S1030" s="4">
        <v>45197</v>
      </c>
    </row>
    <row r="1031" spans="1:19" ht="12.5" hidden="1" x14ac:dyDescent="0.25">
      <c r="A1031" s="14" t="str">
        <f>HYPERLINK("https://gerandofalcoes.my.salesforce.com/0014X00002YggnPQAR", "0014X00002YggnPQAR")</f>
        <v>0014X00002YggnPQAR</v>
      </c>
      <c r="B1031" s="2" t="s">
        <v>4154</v>
      </c>
      <c r="C1031" s="2" t="s">
        <v>423</v>
      </c>
      <c r="D1031" s="2" t="s">
        <v>2</v>
      </c>
      <c r="E1031" s="2">
        <v>0.71</v>
      </c>
      <c r="F1031" s="2">
        <v>6</v>
      </c>
      <c r="G1031" s="2">
        <v>3</v>
      </c>
      <c r="H1031" s="2">
        <v>0</v>
      </c>
      <c r="I1031" s="2">
        <v>200</v>
      </c>
      <c r="J1031" s="2" t="s">
        <v>1779</v>
      </c>
      <c r="K1031" s="2">
        <v>30</v>
      </c>
      <c r="L1031" s="2">
        <v>0</v>
      </c>
      <c r="M1031" s="2">
        <v>10</v>
      </c>
      <c r="N1031" s="2">
        <v>8</v>
      </c>
      <c r="O1031" s="2">
        <v>0</v>
      </c>
      <c r="P1031" s="2">
        <v>12</v>
      </c>
      <c r="Q1031" s="2" t="s">
        <v>4155</v>
      </c>
      <c r="R1031" s="2" t="s">
        <v>4156</v>
      </c>
      <c r="S1031" s="4">
        <v>45197</v>
      </c>
    </row>
    <row r="1032" spans="1:19" ht="12.5" hidden="1" x14ac:dyDescent="0.25">
      <c r="A1032" s="14" t="str">
        <f>HYPERLINK("https://gerandofalcoes.my.salesforce.com/0014X00002Yggo0QAB", "0014X00002Yggo0QAB")</f>
        <v>0014X00002Yggo0QAB</v>
      </c>
      <c r="B1032" s="2" t="s">
        <v>4157</v>
      </c>
      <c r="C1032" s="2" t="s">
        <v>423</v>
      </c>
      <c r="D1032" s="2" t="s">
        <v>2</v>
      </c>
      <c r="E1032" s="2">
        <v>0.48</v>
      </c>
      <c r="F1032" s="2">
        <v>0</v>
      </c>
      <c r="G1032" s="2">
        <v>2</v>
      </c>
      <c r="H1032" s="2">
        <v>0</v>
      </c>
      <c r="I1032" s="2">
        <v>60</v>
      </c>
      <c r="J1032" s="2" t="s">
        <v>1779</v>
      </c>
      <c r="K1032" s="2">
        <v>11</v>
      </c>
      <c r="L1032" s="2">
        <v>0</v>
      </c>
      <c r="M1032" s="2">
        <v>0</v>
      </c>
      <c r="N1032" s="2">
        <v>6</v>
      </c>
      <c r="O1032" s="2">
        <v>0</v>
      </c>
      <c r="P1032" s="2">
        <v>5</v>
      </c>
      <c r="Q1032" s="2" t="s">
        <v>4158</v>
      </c>
      <c r="R1032" s="2" t="s">
        <v>4159</v>
      </c>
      <c r="S1032" s="4">
        <v>45197</v>
      </c>
    </row>
    <row r="1033" spans="1:19" ht="12.5" hidden="1" x14ac:dyDescent="0.25">
      <c r="A1033" s="14" t="str">
        <f>HYPERLINK("https://gerandofalcoes.my.salesforce.com/0014X00002YgglQQAR", "0014X00002YgglQQAR")</f>
        <v>0014X00002YgglQQAR</v>
      </c>
      <c r="B1033" s="2" t="s">
        <v>4160</v>
      </c>
      <c r="C1033" s="2" t="s">
        <v>423</v>
      </c>
      <c r="D1033" s="2" t="s">
        <v>2</v>
      </c>
      <c r="E1033" s="2">
        <v>0</v>
      </c>
      <c r="F1033" s="2">
        <v>8</v>
      </c>
      <c r="G1033" s="2">
        <v>2</v>
      </c>
      <c r="H1033" s="2">
        <v>1974612</v>
      </c>
      <c r="I1033" s="2">
        <v>630</v>
      </c>
      <c r="J1033" s="2" t="s">
        <v>1671</v>
      </c>
      <c r="K1033" s="2">
        <v>61</v>
      </c>
      <c r="L1033" s="2">
        <v>0</v>
      </c>
      <c r="M1033" s="2">
        <v>10</v>
      </c>
      <c r="N1033" s="2">
        <v>6</v>
      </c>
      <c r="O1033" s="2">
        <v>25</v>
      </c>
      <c r="P1033" s="2">
        <v>20</v>
      </c>
      <c r="Q1033" s="2" t="s">
        <v>4161</v>
      </c>
      <c r="R1033" s="2" t="s">
        <v>4162</v>
      </c>
      <c r="S1033" s="4">
        <v>45197</v>
      </c>
    </row>
    <row r="1034" spans="1:19" ht="12.5" hidden="1" x14ac:dyDescent="0.25">
      <c r="A1034" s="14" t="str">
        <f>HYPERLINK("https://gerandofalcoes.my.salesforce.com/0014X00002YggknQAB", "0014X00002YggknQAB")</f>
        <v>0014X00002YggknQAB</v>
      </c>
      <c r="B1034" s="2" t="s">
        <v>4163</v>
      </c>
      <c r="C1034" s="2" t="s">
        <v>423</v>
      </c>
      <c r="D1034" s="2" t="s">
        <v>2</v>
      </c>
      <c r="E1034" s="2">
        <v>0</v>
      </c>
      <c r="F1034" s="2">
        <v>20</v>
      </c>
      <c r="G1034" s="2">
        <v>2</v>
      </c>
      <c r="H1034" s="2">
        <v>1000000</v>
      </c>
      <c r="I1034" s="2">
        <v>450</v>
      </c>
      <c r="J1034" s="2" t="s">
        <v>1671</v>
      </c>
      <c r="K1034" s="2">
        <v>63</v>
      </c>
      <c r="L1034" s="2">
        <v>0</v>
      </c>
      <c r="M1034" s="2">
        <v>12</v>
      </c>
      <c r="N1034" s="2">
        <v>6</v>
      </c>
      <c r="O1034" s="2">
        <v>25</v>
      </c>
      <c r="P1034" s="2">
        <v>20</v>
      </c>
      <c r="Q1034" s="2" t="s">
        <v>4164</v>
      </c>
      <c r="R1034" s="2" t="s">
        <v>4165</v>
      </c>
      <c r="S1034" s="4">
        <v>45197</v>
      </c>
    </row>
    <row r="1035" spans="1:19" ht="12.5" hidden="1" x14ac:dyDescent="0.25">
      <c r="A1035" s="14" t="str">
        <f>HYPERLINK("https://gerandofalcoes.my.salesforce.com/0014X00002YggqPQAR", "0014X00002YggqPQAR")</f>
        <v>0014X00002YggqPQAR</v>
      </c>
      <c r="B1035" s="2" t="s">
        <v>4166</v>
      </c>
      <c r="C1035" s="2" t="s">
        <v>423</v>
      </c>
      <c r="D1035" s="2" t="s">
        <v>2</v>
      </c>
      <c r="E1035" s="2">
        <v>0</v>
      </c>
      <c r="F1035" s="2">
        <v>4</v>
      </c>
      <c r="G1035" s="2">
        <v>2</v>
      </c>
      <c r="H1035" s="2">
        <v>170000</v>
      </c>
      <c r="I1035" s="2">
        <v>380</v>
      </c>
      <c r="J1035" s="2" t="s">
        <v>1671</v>
      </c>
      <c r="K1035" s="2">
        <v>41</v>
      </c>
      <c r="L1035" s="2">
        <v>0</v>
      </c>
      <c r="M1035" s="2">
        <v>5</v>
      </c>
      <c r="N1035" s="2">
        <v>6</v>
      </c>
      <c r="O1035" s="2">
        <v>15</v>
      </c>
      <c r="P1035" s="2">
        <v>15</v>
      </c>
      <c r="Q1035" s="2" t="s">
        <v>4167</v>
      </c>
      <c r="R1035" s="2" t="s">
        <v>4168</v>
      </c>
      <c r="S1035" s="4">
        <v>45197</v>
      </c>
    </row>
    <row r="1036" spans="1:19" ht="12.5" hidden="1" x14ac:dyDescent="0.25">
      <c r="A1036" s="14" t="str">
        <f>HYPERLINK("https://gerandofalcoes.my.salesforce.com/0014X00002YggnFQAR", "0014X00002YggnFQAR")</f>
        <v>0014X00002YggnFQAR</v>
      </c>
      <c r="B1036" s="2" t="s">
        <v>4169</v>
      </c>
      <c r="C1036" s="2" t="s">
        <v>423</v>
      </c>
      <c r="D1036" s="2" t="s">
        <v>2</v>
      </c>
      <c r="E1036" s="2">
        <v>0</v>
      </c>
      <c r="F1036" s="2">
        <v>10</v>
      </c>
      <c r="G1036" s="2">
        <v>6</v>
      </c>
      <c r="H1036" s="2">
        <v>30000</v>
      </c>
      <c r="I1036" s="2">
        <v>200</v>
      </c>
      <c r="J1036" s="2" t="s">
        <v>1671</v>
      </c>
      <c r="K1036" s="2">
        <v>42</v>
      </c>
      <c r="L1036" s="2">
        <v>0</v>
      </c>
      <c r="M1036" s="2">
        <v>10</v>
      </c>
      <c r="N1036" s="2">
        <v>10</v>
      </c>
      <c r="O1036" s="2">
        <v>10</v>
      </c>
      <c r="P1036" s="2">
        <v>12</v>
      </c>
      <c r="Q1036" s="2" t="s">
        <v>4170</v>
      </c>
      <c r="R1036" s="2" t="s">
        <v>4170</v>
      </c>
      <c r="S1036" s="4">
        <v>45197</v>
      </c>
    </row>
    <row r="1037" spans="1:19" ht="12.5" hidden="1" x14ac:dyDescent="0.25">
      <c r="A1037" s="14" t="str">
        <f>HYPERLINK("https://gerandofalcoes.my.salesforce.com/0014X00002YggmsQAB", "0014X00002YggmsQAB")</f>
        <v>0014X00002YggmsQAB</v>
      </c>
      <c r="B1037" s="2" t="s">
        <v>4171</v>
      </c>
      <c r="C1037" s="2" t="s">
        <v>423</v>
      </c>
      <c r="D1037" s="2" t="s">
        <v>2</v>
      </c>
      <c r="E1037" s="2">
        <v>0</v>
      </c>
      <c r="F1037" s="2">
        <v>0</v>
      </c>
      <c r="G1037" s="2">
        <v>4</v>
      </c>
      <c r="H1037" s="2">
        <v>10000</v>
      </c>
      <c r="I1037" s="2">
        <v>150</v>
      </c>
      <c r="J1037" s="2" t="s">
        <v>1779</v>
      </c>
      <c r="K1037" s="2">
        <v>27</v>
      </c>
      <c r="L1037" s="2">
        <v>0</v>
      </c>
      <c r="M1037" s="2">
        <v>0</v>
      </c>
      <c r="N1037" s="2">
        <v>10</v>
      </c>
      <c r="O1037" s="2">
        <v>5</v>
      </c>
      <c r="P1037" s="2">
        <v>12</v>
      </c>
      <c r="Q1037" s="2" t="s">
        <v>4172</v>
      </c>
      <c r="R1037" s="2" t="s">
        <v>4173</v>
      </c>
      <c r="S1037" s="4">
        <v>45197</v>
      </c>
    </row>
    <row r="1038" spans="1:19" ht="12.5" hidden="1" x14ac:dyDescent="0.25">
      <c r="A1038" s="14" t="str">
        <f>HYPERLINK("https://gerandofalcoes.my.salesforce.com/0014X00002YggmdQAB", "0014X00002YggmdQAB")</f>
        <v>0014X00002YggmdQAB</v>
      </c>
      <c r="B1038" s="2" t="s">
        <v>4174</v>
      </c>
      <c r="C1038" s="2" t="s">
        <v>423</v>
      </c>
      <c r="D1038" s="2" t="s">
        <v>2</v>
      </c>
      <c r="E1038" s="2">
        <v>0</v>
      </c>
      <c r="F1038" s="2">
        <v>23</v>
      </c>
      <c r="G1038" s="2">
        <v>7</v>
      </c>
      <c r="H1038" s="2">
        <v>100000</v>
      </c>
      <c r="I1038" s="2">
        <v>150</v>
      </c>
      <c r="J1038" s="2" t="s">
        <v>1671</v>
      </c>
      <c r="K1038" s="2">
        <v>49</v>
      </c>
      <c r="L1038" s="2">
        <v>0</v>
      </c>
      <c r="M1038" s="2">
        <v>12</v>
      </c>
      <c r="N1038" s="2">
        <v>10</v>
      </c>
      <c r="O1038" s="2">
        <v>15</v>
      </c>
      <c r="P1038" s="2">
        <v>12</v>
      </c>
      <c r="Q1038" s="2" t="s">
        <v>4175</v>
      </c>
      <c r="R1038" s="2" t="s">
        <v>4175</v>
      </c>
      <c r="S1038" s="4">
        <v>45197</v>
      </c>
    </row>
    <row r="1039" spans="1:19" ht="12.5" hidden="1" x14ac:dyDescent="0.25">
      <c r="A1039" s="14" t="str">
        <f>HYPERLINK("https://gerandofalcoes.my.salesforce.com/0014X00002YgghtQAB", "0014X00002YgghtQAB")</f>
        <v>0014X00002YgghtQAB</v>
      </c>
      <c r="B1039" s="2" t="s">
        <v>4176</v>
      </c>
      <c r="C1039" s="2" t="s">
        <v>423</v>
      </c>
      <c r="D1039" s="2" t="s">
        <v>2</v>
      </c>
      <c r="E1039" s="2">
        <v>0</v>
      </c>
      <c r="F1039" s="2">
        <v>4</v>
      </c>
      <c r="G1039" s="2">
        <v>3</v>
      </c>
      <c r="H1039" s="2">
        <v>40000</v>
      </c>
      <c r="I1039" s="2">
        <v>140</v>
      </c>
      <c r="J1039" s="2" t="s">
        <v>1779</v>
      </c>
      <c r="K1039" s="2">
        <v>33</v>
      </c>
      <c r="L1039" s="2">
        <v>0</v>
      </c>
      <c r="M1039" s="2">
        <v>5</v>
      </c>
      <c r="N1039" s="2">
        <v>8</v>
      </c>
      <c r="O1039" s="2">
        <v>10</v>
      </c>
      <c r="P1039" s="2">
        <v>10</v>
      </c>
      <c r="Q1039" s="2" t="s">
        <v>4177</v>
      </c>
      <c r="R1039" s="2" t="s">
        <v>4178</v>
      </c>
      <c r="S1039" s="4">
        <v>45197</v>
      </c>
    </row>
    <row r="1040" spans="1:19" ht="12.5" hidden="1" x14ac:dyDescent="0.25">
      <c r="A1040" s="14" t="str">
        <f>HYPERLINK("https://gerandofalcoes.my.salesforce.com/0014X00002YggqUQAR", "0014X00002YggqUQAR")</f>
        <v>0014X00002YggqUQAR</v>
      </c>
      <c r="B1040" s="2" t="s">
        <v>4182</v>
      </c>
      <c r="C1040" s="2" t="s">
        <v>423</v>
      </c>
      <c r="D1040" s="2" t="s">
        <v>2</v>
      </c>
      <c r="E1040" s="2">
        <v>0</v>
      </c>
      <c r="F1040" s="2">
        <v>0</v>
      </c>
      <c r="G1040" s="2">
        <v>4</v>
      </c>
      <c r="H1040" s="2">
        <v>900</v>
      </c>
      <c r="I1040" s="2">
        <v>100</v>
      </c>
      <c r="J1040" s="2" t="s">
        <v>1779</v>
      </c>
      <c r="K1040" s="2">
        <v>25</v>
      </c>
      <c r="L1040" s="2">
        <v>0</v>
      </c>
      <c r="M1040" s="2">
        <v>0</v>
      </c>
      <c r="N1040" s="2">
        <v>10</v>
      </c>
      <c r="O1040" s="2">
        <v>5</v>
      </c>
      <c r="P1040" s="2">
        <v>10</v>
      </c>
      <c r="Q1040" s="2" t="s">
        <v>4183</v>
      </c>
      <c r="R1040" s="2" t="s">
        <v>4183</v>
      </c>
      <c r="S1040" s="4">
        <v>45197</v>
      </c>
    </row>
    <row r="1041" spans="1:19" ht="12.5" hidden="1" x14ac:dyDescent="0.25">
      <c r="A1041" s="14" t="str">
        <f>HYPERLINK("https://gerandofalcoes.my.salesforce.com/0014X00002YggkcQAB", "0014X00002YggkcQAB")</f>
        <v>0014X00002YggkcQAB</v>
      </c>
      <c r="B1041" s="2" t="s">
        <v>4179</v>
      </c>
      <c r="C1041" s="2" t="s">
        <v>423</v>
      </c>
      <c r="D1041" s="2" t="s">
        <v>2</v>
      </c>
      <c r="E1041" s="2">
        <v>0</v>
      </c>
      <c r="F1041" s="2">
        <v>0</v>
      </c>
      <c r="G1041" s="2">
        <v>2</v>
      </c>
      <c r="H1041" s="2">
        <v>0</v>
      </c>
      <c r="I1041" s="2">
        <v>100</v>
      </c>
      <c r="J1041" s="2" t="s">
        <v>1779</v>
      </c>
      <c r="K1041" s="2">
        <v>16</v>
      </c>
      <c r="L1041" s="2">
        <v>0</v>
      </c>
      <c r="M1041" s="2">
        <v>0</v>
      </c>
      <c r="N1041" s="2">
        <v>6</v>
      </c>
      <c r="O1041" s="2">
        <v>0</v>
      </c>
      <c r="P1041" s="2">
        <v>10</v>
      </c>
      <c r="Q1041" s="2" t="s">
        <v>4180</v>
      </c>
      <c r="R1041" s="2" t="s">
        <v>4181</v>
      </c>
      <c r="S1041" s="4">
        <v>45197</v>
      </c>
    </row>
    <row r="1042" spans="1:19" ht="12.5" hidden="1" x14ac:dyDescent="0.25">
      <c r="A1042" s="14" t="str">
        <f>HYPERLINK("https://gerandofalcoes.my.salesforce.com/0014X00002YggmYQAR", "0014X00002YggmYQAR")</f>
        <v>0014X00002YggmYQAR</v>
      </c>
      <c r="B1042" s="2" t="s">
        <v>4184</v>
      </c>
      <c r="C1042" s="2" t="s">
        <v>423</v>
      </c>
      <c r="D1042" s="2" t="s">
        <v>2</v>
      </c>
      <c r="E1042" s="2">
        <v>0</v>
      </c>
      <c r="F1042" s="2">
        <v>0</v>
      </c>
      <c r="G1042" s="2">
        <v>2</v>
      </c>
      <c r="H1042" s="2">
        <v>1340</v>
      </c>
      <c r="I1042" s="2">
        <v>85</v>
      </c>
      <c r="J1042" s="2" t="s">
        <v>1779</v>
      </c>
      <c r="K1042" s="2">
        <v>21</v>
      </c>
      <c r="L1042" s="2">
        <v>0</v>
      </c>
      <c r="M1042" s="2">
        <v>0</v>
      </c>
      <c r="N1042" s="2">
        <v>6</v>
      </c>
      <c r="O1042" s="2">
        <v>5</v>
      </c>
      <c r="P1042" s="2">
        <v>10</v>
      </c>
      <c r="Q1042" s="2" t="s">
        <v>4185</v>
      </c>
      <c r="R1042" s="2" t="s">
        <v>4185</v>
      </c>
      <c r="S1042" s="4">
        <v>45197</v>
      </c>
    </row>
    <row r="1043" spans="1:19" ht="12.5" hidden="1" x14ac:dyDescent="0.25">
      <c r="A1043" s="14" t="str">
        <f>HYPERLINK("https://gerandofalcoes.my.salesforce.com/0014X00002YggkrQAB", "0014X00002YggkrQAB")</f>
        <v>0014X00002YggkrQAB</v>
      </c>
      <c r="B1043" s="2" t="s">
        <v>4186</v>
      </c>
      <c r="C1043" s="2" t="s">
        <v>423</v>
      </c>
      <c r="D1043" s="2" t="s">
        <v>2</v>
      </c>
      <c r="E1043" s="2">
        <v>0</v>
      </c>
      <c r="F1043" s="2">
        <v>4</v>
      </c>
      <c r="G1043" s="2">
        <v>3</v>
      </c>
      <c r="H1043" s="2">
        <v>15000</v>
      </c>
      <c r="I1043" s="2">
        <v>60</v>
      </c>
      <c r="J1043" s="2" t="s">
        <v>1779</v>
      </c>
      <c r="K1043" s="2">
        <v>23</v>
      </c>
      <c r="L1043" s="2">
        <v>0</v>
      </c>
      <c r="M1043" s="2">
        <v>5</v>
      </c>
      <c r="N1043" s="2">
        <v>8</v>
      </c>
      <c r="O1043" s="2">
        <v>5</v>
      </c>
      <c r="P1043" s="2">
        <v>5</v>
      </c>
      <c r="Q1043" s="2" t="s">
        <v>4187</v>
      </c>
      <c r="R1043" s="2" t="s">
        <v>4188</v>
      </c>
      <c r="S1043" s="4">
        <v>45197</v>
      </c>
    </row>
    <row r="1044" spans="1:19" ht="12.5" hidden="1" x14ac:dyDescent="0.25">
      <c r="A1044" s="14" t="str">
        <f>HYPERLINK("https://gerandofalcoes.my.salesforce.com/0014X00002YggldQAB", "0014X00002YggldQAB")</f>
        <v>0014X00002YggldQAB</v>
      </c>
      <c r="B1044" s="2" t="s">
        <v>4189</v>
      </c>
      <c r="C1044" s="2" t="s">
        <v>423</v>
      </c>
      <c r="D1044" s="2" t="s">
        <v>2</v>
      </c>
      <c r="E1044" s="2">
        <v>0</v>
      </c>
      <c r="F1044" s="2">
        <v>0</v>
      </c>
      <c r="G1044" s="2">
        <v>3</v>
      </c>
      <c r="H1044" s="2">
        <v>5000</v>
      </c>
      <c r="I1044" s="2">
        <v>60</v>
      </c>
      <c r="J1044" s="2" t="s">
        <v>1779</v>
      </c>
      <c r="K1044" s="2">
        <v>18</v>
      </c>
      <c r="L1044" s="2">
        <v>0</v>
      </c>
      <c r="M1044" s="2">
        <v>0</v>
      </c>
      <c r="N1044" s="2">
        <v>8</v>
      </c>
      <c r="O1044" s="2">
        <v>5</v>
      </c>
      <c r="P1044" s="2">
        <v>5</v>
      </c>
      <c r="Q1044" s="2" t="s">
        <v>4190</v>
      </c>
      <c r="R1044" s="2" t="s">
        <v>4191</v>
      </c>
      <c r="S1044" s="4">
        <v>45197</v>
      </c>
    </row>
    <row r="1045" spans="1:19" ht="12.5" hidden="1" x14ac:dyDescent="0.25">
      <c r="A1045" s="14" t="str">
        <f>HYPERLINK("https://gerandofalcoes.my.salesforce.com/0014X00002YggpwQAB", "0014X00002YggpwQAB")</f>
        <v>0014X00002YggpwQAB</v>
      </c>
      <c r="B1045" s="2" t="s">
        <v>4192</v>
      </c>
      <c r="C1045" s="2" t="s">
        <v>423</v>
      </c>
      <c r="D1045" s="2" t="s">
        <v>2</v>
      </c>
      <c r="E1045" s="2">
        <v>0</v>
      </c>
      <c r="F1045" s="2">
        <v>0</v>
      </c>
      <c r="G1045" s="2">
        <v>4</v>
      </c>
      <c r="H1045" s="2">
        <v>65000</v>
      </c>
      <c r="I1045" s="2">
        <v>60</v>
      </c>
      <c r="J1045" s="2" t="s">
        <v>1779</v>
      </c>
      <c r="K1045" s="2">
        <v>25</v>
      </c>
      <c r="L1045" s="2">
        <v>0</v>
      </c>
      <c r="M1045" s="2">
        <v>0</v>
      </c>
      <c r="N1045" s="2">
        <v>10</v>
      </c>
      <c r="O1045" s="2">
        <v>10</v>
      </c>
      <c r="P1045" s="2">
        <v>5</v>
      </c>
      <c r="Q1045" s="2" t="s">
        <v>4193</v>
      </c>
      <c r="R1045" s="2" t="s">
        <v>4194</v>
      </c>
      <c r="S1045" s="4">
        <v>45197</v>
      </c>
    </row>
    <row r="1046" spans="1:19" ht="12.5" hidden="1" x14ac:dyDescent="0.25">
      <c r="A1046" s="14" t="str">
        <f>HYPERLINK("https://gerandofalcoes.my.salesforce.com/0014X00002YggoqQAB", "0014X00002YggoqQAB")</f>
        <v>0014X00002YggoqQAB</v>
      </c>
      <c r="B1046" s="2" t="s">
        <v>4195</v>
      </c>
      <c r="C1046" s="2" t="s">
        <v>423</v>
      </c>
      <c r="D1046" s="2" t="s">
        <v>2</v>
      </c>
      <c r="E1046" s="2">
        <v>0</v>
      </c>
      <c r="F1046" s="2">
        <v>2</v>
      </c>
      <c r="G1046" s="2">
        <v>3</v>
      </c>
      <c r="H1046" s="2">
        <v>55000</v>
      </c>
      <c r="I1046" s="2">
        <v>50</v>
      </c>
      <c r="J1046" s="2" t="s">
        <v>1779</v>
      </c>
      <c r="K1046" s="2">
        <v>28</v>
      </c>
      <c r="L1046" s="2">
        <v>0</v>
      </c>
      <c r="M1046" s="2">
        <v>5</v>
      </c>
      <c r="N1046" s="2">
        <v>8</v>
      </c>
      <c r="O1046" s="2">
        <v>10</v>
      </c>
      <c r="P1046" s="2">
        <v>5</v>
      </c>
      <c r="Q1046" s="2" t="s">
        <v>4196</v>
      </c>
      <c r="R1046" s="2" t="s">
        <v>4197</v>
      </c>
      <c r="S1046" s="4">
        <v>45197</v>
      </c>
    </row>
    <row r="1047" spans="1:19" ht="12.5" hidden="1" x14ac:dyDescent="0.25">
      <c r="A1047" s="14" t="str">
        <f>HYPERLINK("https://gerandofalcoes.my.salesforce.com/0014X00002YggppQAB", "0014X00002YggppQAB")</f>
        <v>0014X00002YggppQAB</v>
      </c>
      <c r="B1047" s="2" t="s">
        <v>4198</v>
      </c>
      <c r="C1047" s="2" t="s">
        <v>423</v>
      </c>
      <c r="D1047" s="2" t="s">
        <v>2</v>
      </c>
      <c r="E1047" s="2">
        <v>0</v>
      </c>
      <c r="F1047" s="2">
        <v>5</v>
      </c>
      <c r="G1047" s="2">
        <v>2</v>
      </c>
      <c r="H1047" s="2">
        <v>100</v>
      </c>
      <c r="I1047" s="2">
        <v>40</v>
      </c>
      <c r="J1047" s="2" t="s">
        <v>1779</v>
      </c>
      <c r="K1047" s="2">
        <v>21</v>
      </c>
      <c r="L1047" s="2">
        <v>0</v>
      </c>
      <c r="M1047" s="2">
        <v>5</v>
      </c>
      <c r="N1047" s="2">
        <v>6</v>
      </c>
      <c r="O1047" s="2">
        <v>5</v>
      </c>
      <c r="P1047" s="2">
        <v>5</v>
      </c>
      <c r="Q1047" s="2" t="s">
        <v>4199</v>
      </c>
      <c r="R1047" s="2" t="s">
        <v>4199</v>
      </c>
      <c r="S1047" s="4">
        <v>45197</v>
      </c>
    </row>
    <row r="1048" spans="1:19" ht="12.5" hidden="1" x14ac:dyDescent="0.25">
      <c r="A1048" s="14" t="str">
        <f>HYPERLINK("https://gerandofalcoes.my.salesforce.com/0014X00002YggnuQAB", "0014X00002YggnuQAB")</f>
        <v>0014X00002YggnuQAB</v>
      </c>
      <c r="B1048" s="2" t="s">
        <v>4200</v>
      </c>
      <c r="C1048" s="2" t="s">
        <v>423</v>
      </c>
      <c r="D1048" s="2" t="s">
        <v>2</v>
      </c>
      <c r="E1048" s="2">
        <v>0</v>
      </c>
      <c r="F1048" s="2">
        <v>0</v>
      </c>
      <c r="G1048" s="2">
        <v>2</v>
      </c>
      <c r="H1048" s="2">
        <v>1211111</v>
      </c>
      <c r="I1048" s="2">
        <v>15</v>
      </c>
      <c r="J1048" s="2" t="s">
        <v>1779</v>
      </c>
      <c r="K1048" s="2">
        <v>36</v>
      </c>
      <c r="L1048" s="2">
        <v>0</v>
      </c>
      <c r="M1048" s="2">
        <v>0</v>
      </c>
      <c r="N1048" s="2">
        <v>6</v>
      </c>
      <c r="O1048" s="2">
        <v>25</v>
      </c>
      <c r="P1048" s="2">
        <v>5</v>
      </c>
      <c r="Q1048" s="2" t="s">
        <v>4201</v>
      </c>
      <c r="R1048" s="2" t="s">
        <v>4202</v>
      </c>
      <c r="S1048" s="4">
        <v>45197</v>
      </c>
    </row>
    <row r="1049" spans="1:19" ht="12.5" hidden="1" x14ac:dyDescent="0.25">
      <c r="A1049" s="14" t="str">
        <f>HYPERLINK("https://gerandofalcoes.my.salesforce.com/0014X00002YggoIQAR", "0014X00002YggoIQAR")</f>
        <v>0014X00002YggoIQAR</v>
      </c>
      <c r="B1049" s="2" t="s">
        <v>4203</v>
      </c>
      <c r="C1049" s="2" t="s">
        <v>423</v>
      </c>
      <c r="D1049" s="2" t="s">
        <v>2</v>
      </c>
      <c r="E1049" s="2">
        <v>0</v>
      </c>
      <c r="F1049" s="2">
        <v>0</v>
      </c>
      <c r="G1049" s="2">
        <v>5</v>
      </c>
      <c r="H1049" s="2">
        <v>16000</v>
      </c>
      <c r="I1049" s="2">
        <v>12</v>
      </c>
      <c r="J1049" s="2" t="s">
        <v>1779</v>
      </c>
      <c r="K1049" s="2">
        <v>20</v>
      </c>
      <c r="L1049" s="2">
        <v>0</v>
      </c>
      <c r="M1049" s="2">
        <v>0</v>
      </c>
      <c r="N1049" s="2">
        <v>10</v>
      </c>
      <c r="O1049" s="2">
        <v>5</v>
      </c>
      <c r="P1049" s="2">
        <v>5</v>
      </c>
      <c r="Q1049" s="2" t="s">
        <v>4204</v>
      </c>
      <c r="R1049" s="2" t="s">
        <v>4205</v>
      </c>
      <c r="S1049" s="4">
        <v>45197</v>
      </c>
    </row>
    <row r="1050" spans="1:19" ht="12.5" hidden="1" x14ac:dyDescent="0.25">
      <c r="A1050" s="14" t="str">
        <f>HYPERLINK("https://gerandofalcoes.my.salesforce.com/0014X00002YggqcQAB", "0014X00002YggqcQAB")</f>
        <v>0014X00002YggqcQAB</v>
      </c>
      <c r="B1050" s="2" t="s">
        <v>4206</v>
      </c>
      <c r="C1050" s="2" t="s">
        <v>423</v>
      </c>
      <c r="D1050" s="2" t="s">
        <v>2</v>
      </c>
      <c r="E1050" s="2">
        <v>0</v>
      </c>
      <c r="F1050" s="2">
        <v>4</v>
      </c>
      <c r="G1050" s="2">
        <v>2</v>
      </c>
      <c r="H1050" s="2">
        <v>500</v>
      </c>
      <c r="I1050" s="2">
        <v>10</v>
      </c>
      <c r="J1050" s="2" t="s">
        <v>1779</v>
      </c>
      <c r="K1050" s="2">
        <v>21</v>
      </c>
      <c r="L1050" s="2">
        <v>0</v>
      </c>
      <c r="M1050" s="2">
        <v>5</v>
      </c>
      <c r="N1050" s="2">
        <v>6</v>
      </c>
      <c r="O1050" s="2">
        <v>5</v>
      </c>
      <c r="P1050" s="2">
        <v>5</v>
      </c>
      <c r="Q1050" s="2" t="s">
        <v>4207</v>
      </c>
      <c r="R1050" s="2" t="s">
        <v>4207</v>
      </c>
      <c r="S1050" s="4">
        <v>45197</v>
      </c>
    </row>
    <row r="1051" spans="1:19" ht="12.5" hidden="1" x14ac:dyDescent="0.25">
      <c r="A1051" s="14" t="str">
        <f>HYPERLINK("https://gerandofalcoes.my.salesforce.com/0014X00002YggofQAB", "0014X00002YggofQAB")</f>
        <v>0014X00002YggofQAB</v>
      </c>
      <c r="B1051" s="2" t="s">
        <v>4208</v>
      </c>
      <c r="C1051" s="2" t="s">
        <v>423</v>
      </c>
      <c r="D1051" s="2" t="s">
        <v>2</v>
      </c>
      <c r="E1051" s="2">
        <v>0</v>
      </c>
      <c r="F1051" s="2">
        <v>0</v>
      </c>
      <c r="G1051" s="2">
        <v>3</v>
      </c>
      <c r="H1051" s="2">
        <v>500</v>
      </c>
      <c r="I1051" s="2">
        <v>3</v>
      </c>
      <c r="J1051" s="2" t="s">
        <v>1779</v>
      </c>
      <c r="K1051" s="2">
        <v>18</v>
      </c>
      <c r="L1051" s="2">
        <v>0</v>
      </c>
      <c r="M1051" s="2">
        <v>0</v>
      </c>
      <c r="N1051" s="2">
        <v>8</v>
      </c>
      <c r="O1051" s="2">
        <v>5</v>
      </c>
      <c r="P1051" s="2">
        <v>5</v>
      </c>
      <c r="Q1051" s="2" t="s">
        <v>4209</v>
      </c>
      <c r="R1051" s="2" t="s">
        <v>4209</v>
      </c>
      <c r="S1051" s="4">
        <v>45197</v>
      </c>
    </row>
    <row r="1052" spans="1:19" ht="12.5" hidden="1" x14ac:dyDescent="0.25">
      <c r="A1052" s="14" t="str">
        <f>HYPERLINK("https://gerandofalcoes.my.salesforce.com/0014X00002YggqnQAB", "0014X00002YggqnQAB")</f>
        <v>0014X00002YggqnQAB</v>
      </c>
      <c r="B1052" s="2" t="s">
        <v>4210</v>
      </c>
      <c r="C1052" s="2" t="s">
        <v>423</v>
      </c>
      <c r="D1052" s="2" t="s">
        <v>2</v>
      </c>
      <c r="E1052" s="2">
        <v>0</v>
      </c>
      <c r="F1052" s="2">
        <v>0</v>
      </c>
      <c r="G1052" s="2">
        <v>2</v>
      </c>
      <c r="H1052" s="2">
        <v>100000</v>
      </c>
      <c r="I1052" s="2">
        <v>0</v>
      </c>
      <c r="J1052" s="2" t="s">
        <v>1779</v>
      </c>
      <c r="K1052" s="2">
        <v>21</v>
      </c>
      <c r="L1052" s="2">
        <v>0</v>
      </c>
      <c r="M1052" s="2">
        <v>0</v>
      </c>
      <c r="N1052" s="2">
        <v>6</v>
      </c>
      <c r="O1052" s="2">
        <v>15</v>
      </c>
      <c r="P1052" s="2">
        <v>0</v>
      </c>
      <c r="Q1052" s="2" t="s">
        <v>4211</v>
      </c>
      <c r="R1052" s="2" t="s">
        <v>4212</v>
      </c>
      <c r="S1052" s="4">
        <v>45197</v>
      </c>
    </row>
    <row r="1053" spans="1:19" ht="12.5" hidden="1" x14ac:dyDescent="0.25">
      <c r="A1053" s="14" t="str">
        <f>HYPERLINK("https://gerandofalcoes.my.salesforce.com/0014X00002YggnWQAR", "0014X00002YggnWQAR")</f>
        <v>0014X00002YggnWQAR</v>
      </c>
      <c r="B1053" s="2" t="s">
        <v>4213</v>
      </c>
      <c r="C1053" s="2" t="s">
        <v>423</v>
      </c>
      <c r="D1053" s="2" t="s">
        <v>2</v>
      </c>
      <c r="E1053" s="2"/>
      <c r="F1053" s="2">
        <v>0</v>
      </c>
      <c r="G1053" s="2">
        <v>4</v>
      </c>
      <c r="H1053" s="2">
        <v>50000</v>
      </c>
      <c r="I1053" s="2">
        <v>400</v>
      </c>
      <c r="J1053" s="2" t="s">
        <v>1779</v>
      </c>
      <c r="K1053" s="2">
        <v>35</v>
      </c>
      <c r="L1053" s="2">
        <v>0</v>
      </c>
      <c r="M1053" s="2">
        <v>0</v>
      </c>
      <c r="N1053" s="2">
        <v>10</v>
      </c>
      <c r="O1053" s="2">
        <v>10</v>
      </c>
      <c r="P1053" s="2">
        <v>15</v>
      </c>
      <c r="Q1053" s="2" t="s">
        <v>4214</v>
      </c>
      <c r="R1053" s="2" t="s">
        <v>4214</v>
      </c>
      <c r="S1053" s="4">
        <v>45197</v>
      </c>
    </row>
    <row r="1054" spans="1:19" ht="12.5" hidden="1" x14ac:dyDescent="0.25">
      <c r="A1054" s="14" t="str">
        <f>HYPERLINK("https://gerandofalcoes.my.salesforce.com/0014X00002YggjhQAB", "0014X00002YggjhQAB")</f>
        <v>0014X00002YggjhQAB</v>
      </c>
      <c r="B1054" s="2" t="s">
        <v>4215</v>
      </c>
      <c r="C1054" s="2" t="s">
        <v>423</v>
      </c>
      <c r="D1054" s="2" t="s">
        <v>2</v>
      </c>
      <c r="E1054" s="2"/>
      <c r="F1054" s="2">
        <v>0</v>
      </c>
      <c r="G1054" s="2">
        <v>2</v>
      </c>
      <c r="H1054" s="2">
        <v>1000</v>
      </c>
      <c r="I1054" s="2">
        <v>0</v>
      </c>
      <c r="J1054" s="2" t="s">
        <v>1779</v>
      </c>
      <c r="K1054" s="2">
        <v>11</v>
      </c>
      <c r="L1054" s="2">
        <v>0</v>
      </c>
      <c r="M1054" s="2">
        <v>0</v>
      </c>
      <c r="N1054" s="2">
        <v>6</v>
      </c>
      <c r="O1054" s="2">
        <v>5</v>
      </c>
      <c r="P1054" s="2">
        <v>0</v>
      </c>
      <c r="Q1054" s="2" t="s">
        <v>4216</v>
      </c>
      <c r="R1054" s="2" t="s">
        <v>4216</v>
      </c>
      <c r="S1054" s="4">
        <v>45197</v>
      </c>
    </row>
    <row r="1055" spans="1:19" ht="12.5" hidden="1" x14ac:dyDescent="0.25">
      <c r="A1055" s="14" t="str">
        <f>HYPERLINK("https://gerandofalcoes.my.salesforce.com/0014X00002Yggm0QAB", "0014X00002Yggm0QAB")</f>
        <v>0014X00002Yggm0QAB</v>
      </c>
      <c r="B1055" s="2" t="s">
        <v>4217</v>
      </c>
      <c r="C1055" s="2" t="s">
        <v>423</v>
      </c>
      <c r="D1055" s="2" t="s">
        <v>2</v>
      </c>
      <c r="E1055" s="2"/>
      <c r="F1055" s="2">
        <v>25</v>
      </c>
      <c r="G1055" s="2">
        <v>2</v>
      </c>
      <c r="H1055" s="2">
        <v>4000</v>
      </c>
      <c r="I1055" s="2">
        <v>0</v>
      </c>
      <c r="J1055" s="2" t="s">
        <v>1779</v>
      </c>
      <c r="K1055" s="2">
        <v>23</v>
      </c>
      <c r="L1055" s="2">
        <v>0</v>
      </c>
      <c r="M1055" s="2">
        <v>12</v>
      </c>
      <c r="N1055" s="2">
        <v>6</v>
      </c>
      <c r="O1055" s="2">
        <v>5</v>
      </c>
      <c r="P1055" s="2">
        <v>0</v>
      </c>
      <c r="Q1055" s="2" t="s">
        <v>4218</v>
      </c>
      <c r="R1055" s="2" t="s">
        <v>4218</v>
      </c>
      <c r="S1055" s="4">
        <v>45197</v>
      </c>
    </row>
    <row r="1056" spans="1:19" ht="12.5" hidden="1" x14ac:dyDescent="0.25">
      <c r="A1056" s="14" t="str">
        <f>HYPERLINK("https://gerandofalcoes.my.salesforce.com/0014X00002YggnMQAR", "0014X00002YggnMQAR")</f>
        <v>0014X00002YggnMQAR</v>
      </c>
      <c r="B1056" s="2" t="s">
        <v>4219</v>
      </c>
      <c r="C1056" s="2" t="s">
        <v>423</v>
      </c>
      <c r="D1056" s="2" t="s">
        <v>2</v>
      </c>
      <c r="E1056" s="2">
        <v>0</v>
      </c>
      <c r="F1056" s="2">
        <v>10</v>
      </c>
      <c r="G1056" s="2">
        <v>3</v>
      </c>
      <c r="H1056" s="2">
        <v>875000</v>
      </c>
      <c r="I1056" s="2">
        <v>20</v>
      </c>
      <c r="J1056" s="2" t="s">
        <v>1671</v>
      </c>
      <c r="K1056" s="2">
        <v>48</v>
      </c>
      <c r="L1056" s="2">
        <v>0</v>
      </c>
      <c r="M1056" s="2">
        <v>10</v>
      </c>
      <c r="N1056" s="2">
        <v>8</v>
      </c>
      <c r="O1056" s="2">
        <v>25</v>
      </c>
      <c r="P1056" s="2">
        <v>5</v>
      </c>
      <c r="Q1056" s="2" t="s">
        <v>4220</v>
      </c>
      <c r="R1056" s="2" t="s">
        <v>4221</v>
      </c>
      <c r="S1056" s="4">
        <v>45198</v>
      </c>
    </row>
    <row r="1057" spans="2:19" ht="12.5" hidden="1" x14ac:dyDescent="0.25"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4"/>
    </row>
    <row r="1058" spans="2:19" ht="12.5" hidden="1" x14ac:dyDescent="0.25"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4"/>
    </row>
    <row r="1059" spans="2:19" ht="12.5" hidden="1" x14ac:dyDescent="0.25"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4"/>
    </row>
    <row r="1060" spans="2:19" ht="12.5" hidden="1" x14ac:dyDescent="0.25"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4"/>
    </row>
    <row r="1061" spans="2:19" ht="12.5" hidden="1" x14ac:dyDescent="0.25"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4"/>
    </row>
    <row r="1062" spans="2:19" ht="12.5" hidden="1" x14ac:dyDescent="0.25"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4"/>
    </row>
    <row r="1063" spans="2:19" ht="12.5" hidden="1" x14ac:dyDescent="0.25"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4"/>
    </row>
  </sheetData>
  <autoFilter ref="A2:S1063" xr:uid="{00000000-0009-0000-0000-000004000000}">
    <filterColumn colId="1">
      <filters blank="1">
        <filter val=" TRANSFORMAÇÃO"/>
        <filter val="ABC DO GLÓRIA"/>
        <filter val="AMIGOS DA SOLIDARIEDADE RJ"/>
        <filter val="ANDRE DE SOUZA"/>
        <filter val="ASSOCIAÇÃO AMIGOS DO BAIRRO E DO VOVO"/>
        <filter val="ASSOCIACAO BENEFICENTE DOE AMOR - ABDA/MCZ"/>
        <filter val="ASSOCIAÇÃO CASA DE GENTIL CULTURAS E CONVÍVIOS"/>
        <filter val="ASSOCIAÇÃO CULTURAL E EDUCACIONAL VIOLETA ELIZ"/>
        <filter val="ASSOCIACAO DIAMANTES NA COZINHA"/>
        <filter val="ASSOCIAÇÃO DOS REUMÁTICOS DE UBERLÂNDIA E REGIÃO - ARUR"/>
        <filter val="ASSOCIAÇÃO JOGANDO PELO REINO"/>
        <filter val="ASSOCIAÇÃO LACRE DO BEM"/>
        <filter val="ASSOCIAÇÃO NOSSA CASA MÃE ÁFRICA ESTUDOS E COMUNICAÇÃO"/>
        <filter val="ASSOCIAÇÃO REMEDIAR"/>
        <filter val="ASSOCIAÇÃO ZEIZA DOJO"/>
        <filter val="CAÇADORES"/>
        <filter val="CASA ASSISTENCIAL PAI JOAQUIM DE ANGOLA"/>
        <filter val="CAUSADORES DA ALEGRIA"/>
        <filter val="CENTRO DE DESENVOLVIMENTO COMUNITÁRIO VILA LEONINA"/>
        <filter val="CENTRO INTEGRADO DE ACOES COMUNITARIAS PELA VIDA"/>
        <filter val="CHAMA VIVA MISSÕES URBANAS"/>
        <filter val="COMPAIXÃO INTERNACIONAL"/>
        <filter val="COMPARTILHANDO LEITURA"/>
        <filter val="CONSELHO COMUNITÁRIO DE AÇÕES SOCIAIS DO CONJUNTO VILA VELHA"/>
        <filter val="DE DESENVOLVIMENTO EDUCACIONAL E INTEGRAÇÃO AMBIENTAL E SOCIAL"/>
        <filter val="DOA CG"/>
        <filter val="DOA??AÇÃO"/>
        <filter val="EMARCA DE PESQUISA E EDUCACAO PROFESSIONAL"/>
        <filter val="ENTREASPAS DE ACAO COMUNITARIA"/>
        <filter val="ESPAÇO CULTURAL NOVA BONSUCESSO"/>
        <filter val="ESPAÇO HUMANA.MENTE PSICOLOGIA SOCIAL E COMUNITÁRIA NA FAVELA"/>
        <filter val="ESPORTE CLUBE ARARA NEGRA"/>
        <filter val="EXITUS  SOCIOAMBIENTAL"/>
        <filter val="FEDERAÇÃO INTERNACIONAL DE SORVEBOL"/>
        <filter val="FÊNIX - MULHERES GIGANTES"/>
        <filter val="GERANDO FALCOES"/>
        <filter val="GERANDO FALCÕES - UNIDADE SUZANO"/>
        <filter val="GREMIO ESTUDANTIL ELITE ECODOM"/>
        <filter val="GRUPO ANJOS DA TIA STELLINHA"/>
        <filter val="HÁ ESPERANÇA"/>
        <filter val="ICEF-  DOM"/>
        <filter val="INTITUTO GERAÇÃO ELEITA MOVA-SE."/>
        <filter val="JUNTOS SOMOS MAIS FORTES"/>
        <filter val="MENTES BRILHANTES F.S"/>
        <filter val="MOVIMENTO DE ENSINO E ACONSELHAMENTO À JUVENTUDE - ME AJUDE"/>
        <filter val="MULHERE-SE"/>
        <filter val="NÃO POSSUI - SONIA MARIA"/>
        <filter val="NATURELIFE"/>
        <filter val="PROJETO AMOR AO PRÓXIMO"/>
        <filter val="PROJETO DOS AMIGOS DOAR FAZ BEM"/>
        <filter val="PROJETO FLOR DE LÓTUS"/>
        <filter val="PROJETO OUSADIA"/>
        <filter val="QUERUBINS CRIANÇAS VIVAS E SEM DROGAS"/>
        <filter val="SEED"/>
        <filter val="SOCIAL SEMEANDO"/>
        <filter val="SOFTWARE E PROCESSOS LTDA"/>
        <filter val="SUPERAÇÃO RUBENS AZEVEDO SECATO"/>
        <filter val="TESTE ATUALIZAÇÃO ONG"/>
        <filter val="VEMSER"/>
      </filters>
    </filterColumn>
    <filterColumn colId="2">
      <filters>
        <filter val="Ativo"/>
        <filter val="Afastado"/>
      </filters>
    </filterColumn>
    <sortState xmlns:xlrd2="http://schemas.microsoft.com/office/spreadsheetml/2017/richdata2" ref="A2:S1063">
      <sortCondition ref="S2:S1063"/>
      <sortCondition descending="1" ref="E2:E1063"/>
      <sortCondition descending="1" ref="I2:I1063"/>
    </sortState>
  </autoFilter>
  <customSheetViews>
    <customSheetView guid="{0544E540-745C-4D0A-9B44-D3C5D649D1DA}" filter="1" showAutoFilter="1">
      <pageMargins left="0.511811024" right="0.511811024" top="0.78740157499999996" bottom="0.78740157499999996" header="0.31496062000000002" footer="0.31496062000000002"/>
      <autoFilter ref="A1:S934" xr:uid="{59EF8D77-C694-4142-A063-57441D79662B}"/>
    </customSheetView>
  </customSheetViews>
  <pageMargins left="0.511811024" right="0.511811024" top="0.78740157499999996" bottom="0.78740157499999996" header="0.31496062000000002" footer="0.31496062000000002"/>
  <pageSetup paperSize="9" orientation="portrait" verticalDpi="597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2677F1"/>
    <outlinePr summaryBelow="0" summaryRight="0"/>
  </sheetPr>
  <dimension ref="A1:P933"/>
  <sheetViews>
    <sheetView tabSelected="1" zoomScale="70" zoomScaleNormal="70" workbookViewId="0"/>
  </sheetViews>
  <sheetFormatPr defaultColWidth="12.6328125" defaultRowHeight="15.75" customHeight="1" x14ac:dyDescent="0.3"/>
  <cols>
    <col min="1" max="1" width="80.6328125" style="27" customWidth="1"/>
    <col min="2" max="2" width="31.54296875" style="28" customWidth="1"/>
    <col min="3" max="3" width="41.26953125" style="21" customWidth="1"/>
    <col min="4" max="4" width="17.6328125" style="30" customWidth="1"/>
    <col min="5" max="5" width="40.6328125" style="28" customWidth="1"/>
    <col min="6" max="6" width="36.7265625" style="21" customWidth="1"/>
    <col min="7" max="7" width="17.6328125" style="21" customWidth="1"/>
    <col min="8" max="8" width="10.7265625" style="30" customWidth="1"/>
    <col min="9" max="9" width="12.6328125" customWidth="1"/>
    <col min="11" max="11" width="12.6328125" customWidth="1"/>
    <col min="17" max="16384" width="12.6328125" style="21"/>
  </cols>
  <sheetData>
    <row r="1" spans="1:16" ht="14.5" customHeight="1" x14ac:dyDescent="0.3">
      <c r="A1" s="24" t="s">
        <v>7260</v>
      </c>
      <c r="B1" s="24" t="s">
        <v>7216</v>
      </c>
      <c r="C1" s="24" t="s">
        <v>7212</v>
      </c>
      <c r="D1" s="23" t="s">
        <v>1</v>
      </c>
      <c r="E1" s="24" t="s">
        <v>7261</v>
      </c>
      <c r="F1" s="24" t="s">
        <v>7214</v>
      </c>
      <c r="G1" s="24" t="s">
        <v>7215</v>
      </c>
      <c r="H1" s="23" t="s">
        <v>7213</v>
      </c>
    </row>
    <row r="2" spans="1:16" ht="14.5" customHeight="1" x14ac:dyDescent="0.3">
      <c r="A2" s="19" t="s">
        <v>7262</v>
      </c>
      <c r="B2" s="19" t="s">
        <v>4229</v>
      </c>
      <c r="C2" s="18" t="s">
        <v>3525</v>
      </c>
      <c r="D2" s="20" t="s">
        <v>4226</v>
      </c>
      <c r="E2" s="19" t="s">
        <v>4227</v>
      </c>
      <c r="F2" s="18" t="s">
        <v>4228</v>
      </c>
      <c r="G2" s="18" t="s">
        <v>11</v>
      </c>
      <c r="H2" s="20" t="s">
        <v>9</v>
      </c>
    </row>
    <row r="3" spans="1:16" s="35" customFormat="1" ht="14.5" customHeight="1" x14ac:dyDescent="0.3">
      <c r="A3" s="31" t="s">
        <v>7217</v>
      </c>
      <c r="B3" s="31" t="s">
        <v>1199</v>
      </c>
      <c r="C3" s="32" t="s">
        <v>1862</v>
      </c>
      <c r="D3" s="33" t="s">
        <v>4233</v>
      </c>
      <c r="E3" s="31" t="s">
        <v>4234</v>
      </c>
      <c r="F3" s="32" t="s">
        <v>4235</v>
      </c>
      <c r="G3" s="32" t="s">
        <v>21</v>
      </c>
      <c r="H3" s="33" t="s">
        <v>17</v>
      </c>
      <c r="I3" s="34"/>
      <c r="J3"/>
      <c r="K3" s="34"/>
      <c r="L3" s="34"/>
      <c r="M3" s="34"/>
      <c r="N3" s="34"/>
      <c r="O3" s="34"/>
      <c r="P3" s="34"/>
    </row>
    <row r="4" spans="1:16" ht="14.5" customHeight="1" x14ac:dyDescent="0.3">
      <c r="A4" s="19" t="s">
        <v>7412</v>
      </c>
      <c r="B4" s="19" t="s">
        <v>4239</v>
      </c>
      <c r="C4" s="18" t="s">
        <v>2982</v>
      </c>
      <c r="D4" s="20" t="s">
        <v>4236</v>
      </c>
      <c r="E4" s="19" t="s">
        <v>4237</v>
      </c>
      <c r="F4" s="18"/>
      <c r="G4" s="18" t="s">
        <v>4238</v>
      </c>
      <c r="H4" s="20" t="s">
        <v>166</v>
      </c>
    </row>
    <row r="5" spans="1:16" ht="14.5" customHeight="1" x14ac:dyDescent="0.3">
      <c r="A5" s="31" t="s">
        <v>7269</v>
      </c>
      <c r="B5" s="31" t="s">
        <v>4244</v>
      </c>
      <c r="C5" s="32" t="s">
        <v>3044</v>
      </c>
      <c r="D5" s="33" t="s">
        <v>4241</v>
      </c>
      <c r="E5" s="31" t="s">
        <v>982</v>
      </c>
      <c r="F5" s="32" t="s">
        <v>4242</v>
      </c>
      <c r="G5" s="32" t="s">
        <v>4243</v>
      </c>
      <c r="H5" s="33" t="s">
        <v>32</v>
      </c>
    </row>
    <row r="6" spans="1:16" ht="14.5" customHeight="1" x14ac:dyDescent="0.3">
      <c r="A6" s="19" t="s">
        <v>7271</v>
      </c>
      <c r="B6" s="19" t="s">
        <v>466</v>
      </c>
      <c r="C6" s="18" t="s">
        <v>3459</v>
      </c>
      <c r="D6" s="20" t="s">
        <v>4245</v>
      </c>
      <c r="E6" s="19" t="s">
        <v>4246</v>
      </c>
      <c r="F6" s="18" t="s">
        <v>4247</v>
      </c>
      <c r="G6" s="18" t="s">
        <v>4248</v>
      </c>
      <c r="H6" s="20" t="s">
        <v>50</v>
      </c>
    </row>
    <row r="7" spans="1:16" ht="14.5" customHeight="1" x14ac:dyDescent="0.3">
      <c r="A7" s="31" t="s">
        <v>3597</v>
      </c>
      <c r="B7" s="31" t="s">
        <v>4252</v>
      </c>
      <c r="C7" s="32" t="s">
        <v>3598</v>
      </c>
      <c r="D7" s="33" t="s">
        <v>4249</v>
      </c>
      <c r="E7" s="31" t="s">
        <v>4250</v>
      </c>
      <c r="F7" s="32" t="s">
        <v>4251</v>
      </c>
      <c r="G7" s="32" t="s">
        <v>159</v>
      </c>
      <c r="H7" s="33" t="s">
        <v>9</v>
      </c>
    </row>
    <row r="8" spans="1:16" ht="14.5" customHeight="1" x14ac:dyDescent="0.3">
      <c r="A8" s="19" t="s">
        <v>3275</v>
      </c>
      <c r="B8" s="19" t="s">
        <v>4261</v>
      </c>
      <c r="C8" s="18" t="s">
        <v>3276</v>
      </c>
      <c r="D8" s="20" t="s">
        <v>4256</v>
      </c>
      <c r="E8" s="19" t="s">
        <v>4258</v>
      </c>
      <c r="F8" s="18" t="s">
        <v>4259</v>
      </c>
      <c r="G8" s="18" t="s">
        <v>4260</v>
      </c>
      <c r="H8" s="20" t="s">
        <v>4257</v>
      </c>
    </row>
    <row r="9" spans="1:16" ht="14.5" customHeight="1" x14ac:dyDescent="0.3">
      <c r="A9" s="31" t="s">
        <v>7275</v>
      </c>
      <c r="B9" s="31" t="s">
        <v>4268</v>
      </c>
      <c r="C9" s="32" t="s">
        <v>2201</v>
      </c>
      <c r="D9" s="33" t="s">
        <v>4265</v>
      </c>
      <c r="E9" s="31" t="s">
        <v>4266</v>
      </c>
      <c r="F9" s="32" t="s">
        <v>4267</v>
      </c>
      <c r="G9" s="32" t="s">
        <v>4255</v>
      </c>
      <c r="H9" s="33" t="s">
        <v>4253</v>
      </c>
    </row>
    <row r="10" spans="1:16" ht="14.5" customHeight="1" x14ac:dyDescent="0.3">
      <c r="A10" s="19" t="s">
        <v>3907</v>
      </c>
      <c r="B10" s="19" t="s">
        <v>650</v>
      </c>
      <c r="C10" s="18" t="s">
        <v>3908</v>
      </c>
      <c r="D10" s="20" t="s">
        <v>4269</v>
      </c>
      <c r="E10" s="19" t="s">
        <v>4270</v>
      </c>
      <c r="F10" s="18" t="s">
        <v>4271</v>
      </c>
      <c r="G10" s="18" t="s">
        <v>30</v>
      </c>
      <c r="H10" s="20" t="s">
        <v>13</v>
      </c>
    </row>
    <row r="11" spans="1:16" ht="14.5" customHeight="1" x14ac:dyDescent="0.3">
      <c r="A11" s="31" t="s">
        <v>7280</v>
      </c>
      <c r="B11" s="31" t="s">
        <v>4278</v>
      </c>
      <c r="C11" s="32" t="s">
        <v>2963</v>
      </c>
      <c r="D11" s="33" t="s">
        <v>4273</v>
      </c>
      <c r="E11" s="31" t="s">
        <v>4275</v>
      </c>
      <c r="F11" s="32" t="s">
        <v>4276</v>
      </c>
      <c r="G11" s="32" t="s">
        <v>4277</v>
      </c>
      <c r="H11" s="33" t="s">
        <v>4274</v>
      </c>
    </row>
    <row r="12" spans="1:16" ht="14.5" customHeight="1" x14ac:dyDescent="0.3">
      <c r="A12" s="19" t="s">
        <v>7285</v>
      </c>
      <c r="B12" s="19" t="s">
        <v>4286</v>
      </c>
      <c r="C12" s="18" t="s">
        <v>3917</v>
      </c>
      <c r="D12" s="20" t="s">
        <v>4283</v>
      </c>
      <c r="E12" s="19" t="s">
        <v>4284</v>
      </c>
      <c r="F12" s="18" t="s">
        <v>4285</v>
      </c>
      <c r="G12" s="18" t="s">
        <v>285</v>
      </c>
      <c r="H12" s="20" t="s">
        <v>148</v>
      </c>
    </row>
    <row r="13" spans="1:16" ht="14.5" customHeight="1" x14ac:dyDescent="0.3">
      <c r="A13" s="31" t="s">
        <v>3375</v>
      </c>
      <c r="B13" s="31" t="s">
        <v>4291</v>
      </c>
      <c r="C13" s="32" t="s">
        <v>3376</v>
      </c>
      <c r="D13" s="33" t="s">
        <v>4288</v>
      </c>
      <c r="E13" s="31" t="s">
        <v>4289</v>
      </c>
      <c r="F13" s="32" t="s">
        <v>4290</v>
      </c>
      <c r="G13" s="32" t="s">
        <v>4243</v>
      </c>
      <c r="H13" s="33" t="s">
        <v>32</v>
      </c>
    </row>
    <row r="14" spans="1:16" ht="14.5" customHeight="1" x14ac:dyDescent="0.3">
      <c r="A14" s="19" t="s">
        <v>81</v>
      </c>
      <c r="B14" s="19" t="s">
        <v>658</v>
      </c>
      <c r="C14" s="18" t="s">
        <v>82</v>
      </c>
      <c r="D14" s="20" t="s">
        <v>83</v>
      </c>
      <c r="E14" s="19" t="s">
        <v>85</v>
      </c>
      <c r="F14" s="18" t="s">
        <v>86</v>
      </c>
      <c r="G14" s="18" t="s">
        <v>164</v>
      </c>
      <c r="H14" s="20" t="s">
        <v>84</v>
      </c>
    </row>
    <row r="15" spans="1:16" ht="14.5" customHeight="1" x14ac:dyDescent="0.3">
      <c r="A15" s="31" t="s">
        <v>3204</v>
      </c>
      <c r="B15" s="31" t="s">
        <v>683</v>
      </c>
      <c r="C15" s="32" t="s">
        <v>3205</v>
      </c>
      <c r="D15" s="33" t="s">
        <v>4292</v>
      </c>
      <c r="E15" s="31" t="s">
        <v>4293</v>
      </c>
      <c r="F15" s="32" t="s">
        <v>4294</v>
      </c>
      <c r="G15" s="32" t="s">
        <v>11</v>
      </c>
      <c r="H15" s="33" t="s">
        <v>9</v>
      </c>
    </row>
    <row r="16" spans="1:16" ht="14.5" customHeight="1" x14ac:dyDescent="0.3">
      <c r="A16" s="19" t="s">
        <v>7286</v>
      </c>
      <c r="B16" s="19" t="s">
        <v>4298</v>
      </c>
      <c r="C16" s="18" t="s">
        <v>2945</v>
      </c>
      <c r="D16" s="20" t="s">
        <v>4295</v>
      </c>
      <c r="E16" s="19" t="s">
        <v>4296</v>
      </c>
      <c r="F16" s="18" t="s">
        <v>4297</v>
      </c>
      <c r="G16" s="18" t="s">
        <v>21</v>
      </c>
      <c r="H16" s="20" t="s">
        <v>17</v>
      </c>
    </row>
    <row r="17" spans="1:8" ht="14.5" customHeight="1" x14ac:dyDescent="0.3">
      <c r="A17" s="31" t="s">
        <v>3510</v>
      </c>
      <c r="B17" s="31" t="s">
        <v>4302</v>
      </c>
      <c r="C17" s="32" t="s">
        <v>3511</v>
      </c>
      <c r="D17" s="33" t="s">
        <v>4300</v>
      </c>
      <c r="E17" s="31" t="s">
        <v>4301</v>
      </c>
      <c r="F17" s="32" t="s">
        <v>4255</v>
      </c>
      <c r="G17" s="32" t="s">
        <v>61</v>
      </c>
      <c r="H17" s="33" t="s">
        <v>60</v>
      </c>
    </row>
    <row r="18" spans="1:8" ht="14.5" customHeight="1" x14ac:dyDescent="0.3">
      <c r="A18" s="19" t="s">
        <v>7652</v>
      </c>
      <c r="B18" s="19" t="s">
        <v>4306</v>
      </c>
      <c r="C18" s="18" t="s">
        <v>3448</v>
      </c>
      <c r="D18" s="20" t="s">
        <v>4304</v>
      </c>
      <c r="E18" s="19" t="s">
        <v>4305</v>
      </c>
      <c r="F18" s="18" t="s">
        <v>305</v>
      </c>
      <c r="G18" s="18" t="s">
        <v>285</v>
      </c>
      <c r="H18" s="20" t="s">
        <v>148</v>
      </c>
    </row>
    <row r="19" spans="1:8" ht="14.5" customHeight="1" x14ac:dyDescent="0.3">
      <c r="A19" s="31" t="s">
        <v>3294</v>
      </c>
      <c r="B19" s="31" t="s">
        <v>4313</v>
      </c>
      <c r="C19" s="32" t="s">
        <v>3295</v>
      </c>
      <c r="D19" s="33" t="s">
        <v>4310</v>
      </c>
      <c r="E19" s="31" t="s">
        <v>4311</v>
      </c>
      <c r="F19" s="32" t="s">
        <v>4312</v>
      </c>
      <c r="G19" s="32" t="s">
        <v>75</v>
      </c>
      <c r="H19" s="33" t="s">
        <v>74</v>
      </c>
    </row>
    <row r="20" spans="1:8" ht="14.5" customHeight="1" x14ac:dyDescent="0.3">
      <c r="A20" s="19" t="s">
        <v>7293</v>
      </c>
      <c r="B20" s="19" t="s">
        <v>4319</v>
      </c>
      <c r="C20" s="18" t="s">
        <v>3368</v>
      </c>
      <c r="D20" s="20" t="s">
        <v>4314</v>
      </c>
      <c r="E20" s="19" t="s">
        <v>4316</v>
      </c>
      <c r="F20" s="18" t="s">
        <v>4317</v>
      </c>
      <c r="G20" s="18" t="s">
        <v>4318</v>
      </c>
      <c r="H20" s="20" t="s">
        <v>4315</v>
      </c>
    </row>
    <row r="21" spans="1:8" ht="14.5" customHeight="1" x14ac:dyDescent="0.3">
      <c r="A21" s="31" t="s">
        <v>7294</v>
      </c>
      <c r="B21" s="31" t="s">
        <v>4324</v>
      </c>
      <c r="C21" s="32" t="s">
        <v>2341</v>
      </c>
      <c r="D21" s="33" t="s">
        <v>4320</v>
      </c>
      <c r="E21" s="31" t="s">
        <v>4321</v>
      </c>
      <c r="F21" s="32" t="s">
        <v>4322</v>
      </c>
      <c r="G21" s="32" t="s">
        <v>4323</v>
      </c>
      <c r="H21" s="33" t="s">
        <v>74</v>
      </c>
    </row>
    <row r="22" spans="1:8" ht="14.5" customHeight="1" x14ac:dyDescent="0.3">
      <c r="A22" s="19" t="s">
        <v>3410</v>
      </c>
      <c r="B22" s="19" t="s">
        <v>4328</v>
      </c>
      <c r="C22" s="18" t="s">
        <v>3411</v>
      </c>
      <c r="D22" s="20" t="s">
        <v>4325</v>
      </c>
      <c r="E22" s="19" t="s">
        <v>4326</v>
      </c>
      <c r="F22" s="18" t="s">
        <v>4327</v>
      </c>
      <c r="G22" s="18" t="s">
        <v>159</v>
      </c>
      <c r="H22" s="20" t="s">
        <v>9</v>
      </c>
    </row>
    <row r="23" spans="1:8" ht="14.5" customHeight="1" x14ac:dyDescent="0.3">
      <c r="A23" s="31" t="s">
        <v>7297</v>
      </c>
      <c r="B23" s="31" t="s">
        <v>4334</v>
      </c>
      <c r="C23" s="32" t="s">
        <v>3793</v>
      </c>
      <c r="D23" s="33" t="s">
        <v>4331</v>
      </c>
      <c r="E23" s="31" t="s">
        <v>4332</v>
      </c>
      <c r="F23" s="32" t="s">
        <v>4333</v>
      </c>
      <c r="G23" s="32" t="s">
        <v>38</v>
      </c>
      <c r="H23" s="33" t="s">
        <v>3</v>
      </c>
    </row>
    <row r="24" spans="1:8" ht="14.5" customHeight="1" x14ac:dyDescent="0.3">
      <c r="A24" s="19" t="s">
        <v>7298</v>
      </c>
      <c r="B24" s="19" t="s">
        <v>1584</v>
      </c>
      <c r="C24" s="18" t="s">
        <v>2879</v>
      </c>
      <c r="D24" s="20">
        <v>21968974594</v>
      </c>
      <c r="E24" s="19" t="s">
        <v>4337</v>
      </c>
      <c r="F24" s="18" t="s">
        <v>4338</v>
      </c>
      <c r="G24" s="18" t="s">
        <v>120</v>
      </c>
      <c r="H24" s="20" t="s">
        <v>9</v>
      </c>
    </row>
    <row r="25" spans="1:8" ht="14.5" customHeight="1" x14ac:dyDescent="0.3">
      <c r="A25" s="31" t="s">
        <v>7299</v>
      </c>
      <c r="B25" s="31" t="s">
        <v>4344</v>
      </c>
      <c r="C25" s="32" t="s">
        <v>1737</v>
      </c>
      <c r="D25" s="33" t="s">
        <v>4340</v>
      </c>
      <c r="E25" s="31" t="s">
        <v>4341</v>
      </c>
      <c r="F25" s="32" t="s">
        <v>4342</v>
      </c>
      <c r="G25" s="32" t="s">
        <v>4343</v>
      </c>
      <c r="H25" s="33" t="s">
        <v>13</v>
      </c>
    </row>
    <row r="26" spans="1:8" ht="14.5" customHeight="1" x14ac:dyDescent="0.3">
      <c r="A26" s="19" t="s">
        <v>7301</v>
      </c>
      <c r="B26" s="19" t="s">
        <v>4336</v>
      </c>
      <c r="C26" s="18" t="s">
        <v>1856</v>
      </c>
      <c r="D26" s="20" t="s">
        <v>4351</v>
      </c>
      <c r="E26" s="19" t="s">
        <v>4352</v>
      </c>
      <c r="F26" s="18" t="s">
        <v>4353</v>
      </c>
      <c r="G26" s="18" t="s">
        <v>4238</v>
      </c>
      <c r="H26" s="20" t="s">
        <v>166</v>
      </c>
    </row>
    <row r="27" spans="1:8" ht="14.5" customHeight="1" x14ac:dyDescent="0.3">
      <c r="A27" s="31" t="s">
        <v>7495</v>
      </c>
      <c r="B27" s="31" t="s">
        <v>658</v>
      </c>
      <c r="C27" s="32" t="s">
        <v>2153</v>
      </c>
      <c r="D27" s="33" t="s">
        <v>4347</v>
      </c>
      <c r="E27" s="31" t="s">
        <v>4348</v>
      </c>
      <c r="F27" s="32" t="s">
        <v>4349</v>
      </c>
      <c r="G27" s="32" t="s">
        <v>4350</v>
      </c>
      <c r="H27" s="33" t="s">
        <v>74</v>
      </c>
    </row>
    <row r="28" spans="1:8" ht="14.5" customHeight="1" x14ac:dyDescent="0.3">
      <c r="A28" s="19" t="s">
        <v>7304</v>
      </c>
      <c r="B28" s="19" t="s">
        <v>4359</v>
      </c>
      <c r="C28" s="18" t="s">
        <v>3998</v>
      </c>
      <c r="D28" s="20" t="s">
        <v>4356</v>
      </c>
      <c r="E28" s="19" t="s">
        <v>4357</v>
      </c>
      <c r="F28" s="18" t="s">
        <v>4358</v>
      </c>
      <c r="G28" s="18" t="s">
        <v>61</v>
      </c>
      <c r="H28" s="20" t="s">
        <v>60</v>
      </c>
    </row>
    <row r="29" spans="1:8" ht="14.5" customHeight="1" x14ac:dyDescent="0.3">
      <c r="A29" s="31" t="s">
        <v>3614</v>
      </c>
      <c r="B29" s="31" t="s">
        <v>4364</v>
      </c>
      <c r="C29" s="32" t="s">
        <v>3615</v>
      </c>
      <c r="D29" s="33" t="s">
        <v>4361</v>
      </c>
      <c r="E29" s="31" t="s">
        <v>4362</v>
      </c>
      <c r="F29" s="32" t="s">
        <v>4363</v>
      </c>
      <c r="G29" s="32" t="s">
        <v>285</v>
      </c>
      <c r="H29" s="33" t="s">
        <v>148</v>
      </c>
    </row>
    <row r="30" spans="1:8" ht="14.5" customHeight="1" x14ac:dyDescent="0.3">
      <c r="A30" s="19" t="s">
        <v>7302</v>
      </c>
      <c r="B30" s="19" t="s">
        <v>4368</v>
      </c>
      <c r="C30" s="18" t="s">
        <v>2498</v>
      </c>
      <c r="D30" s="20" t="s">
        <v>4365</v>
      </c>
      <c r="E30" s="19" t="s">
        <v>4366</v>
      </c>
      <c r="F30" s="18" t="s">
        <v>4367</v>
      </c>
      <c r="G30" s="18" t="s">
        <v>21</v>
      </c>
      <c r="H30" s="20" t="s">
        <v>17</v>
      </c>
    </row>
    <row r="31" spans="1:8" ht="14.5" customHeight="1" x14ac:dyDescent="0.3">
      <c r="A31" s="31" t="s">
        <v>3340</v>
      </c>
      <c r="B31" s="31" t="s">
        <v>4373</v>
      </c>
      <c r="C31" s="32" t="s">
        <v>3341</v>
      </c>
      <c r="D31" s="33" t="s">
        <v>4369</v>
      </c>
      <c r="E31" s="31" t="s">
        <v>4370</v>
      </c>
      <c r="F31" s="32" t="s">
        <v>4371</v>
      </c>
      <c r="G31" s="32" t="s">
        <v>4372</v>
      </c>
      <c r="H31" s="33" t="s">
        <v>32</v>
      </c>
    </row>
    <row r="32" spans="1:8" ht="14.5" customHeight="1" x14ac:dyDescent="0.3">
      <c r="A32" s="19" t="s">
        <v>7697</v>
      </c>
      <c r="B32" s="19" t="s">
        <v>4379</v>
      </c>
      <c r="C32" s="18" t="s">
        <v>2421</v>
      </c>
      <c r="D32" s="20" t="s">
        <v>4376</v>
      </c>
      <c r="E32" s="19" t="s">
        <v>4377</v>
      </c>
      <c r="F32" s="18" t="s">
        <v>4378</v>
      </c>
      <c r="G32" s="18" t="s">
        <v>21</v>
      </c>
      <c r="H32" s="20" t="s">
        <v>17</v>
      </c>
    </row>
    <row r="33" spans="1:8" ht="14.5" customHeight="1" x14ac:dyDescent="0.3">
      <c r="A33" s="31" t="s">
        <v>3207</v>
      </c>
      <c r="B33" s="31" t="s">
        <v>4387</v>
      </c>
      <c r="C33" s="32" t="s">
        <v>3208</v>
      </c>
      <c r="D33" s="33" t="s">
        <v>4384</v>
      </c>
      <c r="E33" s="31" t="s">
        <v>4385</v>
      </c>
      <c r="F33" s="32" t="s">
        <v>4386</v>
      </c>
      <c r="G33" s="32" t="s">
        <v>4260</v>
      </c>
      <c r="H33" s="33" t="s">
        <v>4257</v>
      </c>
    </row>
    <row r="34" spans="1:8" ht="14.5" customHeight="1" x14ac:dyDescent="0.3">
      <c r="A34" s="19" t="s">
        <v>3008</v>
      </c>
      <c r="B34" s="19" t="s">
        <v>4391</v>
      </c>
      <c r="C34" s="18" t="s">
        <v>3009</v>
      </c>
      <c r="D34" s="20" t="s">
        <v>4388</v>
      </c>
      <c r="E34" s="19" t="s">
        <v>4389</v>
      </c>
      <c r="F34" s="18" t="s">
        <v>4390</v>
      </c>
      <c r="G34" s="18" t="s">
        <v>94</v>
      </c>
      <c r="H34" s="20" t="s">
        <v>92</v>
      </c>
    </row>
    <row r="35" spans="1:8" ht="14.5" customHeight="1" x14ac:dyDescent="0.3">
      <c r="A35" s="31" t="s">
        <v>3078</v>
      </c>
      <c r="B35" s="31" t="s">
        <v>4397</v>
      </c>
      <c r="C35" s="32" t="s">
        <v>3079</v>
      </c>
      <c r="D35" s="33" t="s">
        <v>4392</v>
      </c>
      <c r="E35" s="31" t="s">
        <v>4394</v>
      </c>
      <c r="F35" s="32" t="s">
        <v>4395</v>
      </c>
      <c r="G35" s="32" t="s">
        <v>4396</v>
      </c>
      <c r="H35" s="33" t="s">
        <v>4393</v>
      </c>
    </row>
    <row r="36" spans="1:8" ht="14.5" customHeight="1" x14ac:dyDescent="0.3">
      <c r="A36" s="19" t="s">
        <v>1913</v>
      </c>
      <c r="B36" s="19" t="s">
        <v>959</v>
      </c>
      <c r="C36" s="18" t="s">
        <v>1914</v>
      </c>
      <c r="D36" s="20" t="s">
        <v>4399</v>
      </c>
      <c r="E36" s="19" t="s">
        <v>4400</v>
      </c>
      <c r="F36" s="18" t="s">
        <v>103</v>
      </c>
      <c r="G36" s="18" t="s">
        <v>4401</v>
      </c>
      <c r="H36" s="20" t="s">
        <v>148</v>
      </c>
    </row>
    <row r="37" spans="1:8" ht="14.5" customHeight="1" x14ac:dyDescent="0.3">
      <c r="A37" s="31" t="s">
        <v>3866</v>
      </c>
      <c r="B37" s="31" t="s">
        <v>650</v>
      </c>
      <c r="C37" s="32" t="s">
        <v>3867</v>
      </c>
      <c r="D37" s="33" t="s">
        <v>4402</v>
      </c>
      <c r="E37" s="31" t="s">
        <v>4403</v>
      </c>
      <c r="F37" s="32" t="s">
        <v>4404</v>
      </c>
      <c r="G37" s="32" t="s">
        <v>62</v>
      </c>
      <c r="H37" s="33" t="s">
        <v>17</v>
      </c>
    </row>
    <row r="38" spans="1:8" ht="14.5" customHeight="1" x14ac:dyDescent="0.3">
      <c r="A38" s="19" t="s">
        <v>4043</v>
      </c>
      <c r="B38" s="19" t="s">
        <v>4409</v>
      </c>
      <c r="C38" s="18" t="s">
        <v>4044</v>
      </c>
      <c r="D38" s="20" t="s">
        <v>4406</v>
      </c>
      <c r="E38" s="19" t="s">
        <v>4407</v>
      </c>
      <c r="F38" s="18" t="s">
        <v>4408</v>
      </c>
      <c r="G38" s="18" t="s">
        <v>55</v>
      </c>
      <c r="H38" s="20" t="s">
        <v>52</v>
      </c>
    </row>
    <row r="39" spans="1:8" ht="14.5" customHeight="1" x14ac:dyDescent="0.3">
      <c r="A39" s="31" t="s">
        <v>7384</v>
      </c>
      <c r="B39" s="31" t="s">
        <v>563</v>
      </c>
      <c r="C39" s="32" t="s">
        <v>1944</v>
      </c>
      <c r="D39" s="33" t="s">
        <v>4410</v>
      </c>
      <c r="E39" s="31" t="s">
        <v>4411</v>
      </c>
      <c r="F39" s="32" t="s">
        <v>305</v>
      </c>
      <c r="G39" s="32" t="s">
        <v>11</v>
      </c>
      <c r="H39" s="33" t="s">
        <v>9</v>
      </c>
    </row>
    <row r="40" spans="1:8" ht="14.5" customHeight="1" x14ac:dyDescent="0.3">
      <c r="A40" s="19" t="s">
        <v>3464</v>
      </c>
      <c r="B40" s="19" t="s">
        <v>4415</v>
      </c>
      <c r="C40" s="18" t="s">
        <v>3465</v>
      </c>
      <c r="D40" s="20" t="s">
        <v>4412</v>
      </c>
      <c r="E40" s="19" t="s">
        <v>4413</v>
      </c>
      <c r="F40" s="18" t="s">
        <v>4414</v>
      </c>
      <c r="G40" s="18" t="s">
        <v>61</v>
      </c>
      <c r="H40" s="20" t="s">
        <v>60</v>
      </c>
    </row>
    <row r="41" spans="1:8" ht="14.5" customHeight="1" x14ac:dyDescent="0.3">
      <c r="A41" s="31" t="s">
        <v>3945</v>
      </c>
      <c r="B41" s="31" t="s">
        <v>4419</v>
      </c>
      <c r="C41" s="32" t="s">
        <v>3946</v>
      </c>
      <c r="D41" s="33" t="s">
        <v>4416</v>
      </c>
      <c r="E41" s="31" t="s">
        <v>4417</v>
      </c>
      <c r="F41" s="32" t="s">
        <v>4418</v>
      </c>
      <c r="G41" s="32" t="s">
        <v>75</v>
      </c>
      <c r="H41" s="33" t="s">
        <v>74</v>
      </c>
    </row>
    <row r="42" spans="1:8" ht="14.5" customHeight="1" x14ac:dyDescent="0.3">
      <c r="A42" s="19" t="s">
        <v>49</v>
      </c>
      <c r="B42" s="19" t="s">
        <v>535</v>
      </c>
      <c r="C42" s="18" t="s">
        <v>1716</v>
      </c>
      <c r="D42" s="20" t="s">
        <v>4420</v>
      </c>
      <c r="E42" s="19" t="s">
        <v>4421</v>
      </c>
      <c r="F42" s="18"/>
      <c r="G42" s="18" t="s">
        <v>51</v>
      </c>
      <c r="H42" s="20" t="s">
        <v>50</v>
      </c>
    </row>
    <row r="43" spans="1:8" ht="14.5" customHeight="1" x14ac:dyDescent="0.3">
      <c r="A43" s="31" t="s">
        <v>7661</v>
      </c>
      <c r="B43" s="31" t="s">
        <v>915</v>
      </c>
      <c r="C43" s="32" t="s">
        <v>2366</v>
      </c>
      <c r="D43" s="33" t="s">
        <v>4424</v>
      </c>
      <c r="E43" s="31" t="s">
        <v>4425</v>
      </c>
      <c r="F43" s="32" t="s">
        <v>4426</v>
      </c>
      <c r="G43" s="32" t="s">
        <v>4427</v>
      </c>
      <c r="H43" s="33" t="s">
        <v>17</v>
      </c>
    </row>
    <row r="44" spans="1:8" ht="14.5" customHeight="1" x14ac:dyDescent="0.3">
      <c r="A44" s="19" t="s">
        <v>4098</v>
      </c>
      <c r="B44" s="19" t="s">
        <v>4432</v>
      </c>
      <c r="C44" s="18" t="s">
        <v>4099</v>
      </c>
      <c r="D44" s="20" t="s">
        <v>4428</v>
      </c>
      <c r="E44" s="19" t="s">
        <v>4429</v>
      </c>
      <c r="F44" s="18" t="s">
        <v>4430</v>
      </c>
      <c r="G44" s="18" t="s">
        <v>4431</v>
      </c>
      <c r="H44" s="20" t="s">
        <v>74</v>
      </c>
    </row>
    <row r="45" spans="1:8" ht="14.5" customHeight="1" x14ac:dyDescent="0.3">
      <c r="A45" s="31" t="s">
        <v>3980</v>
      </c>
      <c r="B45" s="31" t="s">
        <v>4436</v>
      </c>
      <c r="C45" s="32" t="s">
        <v>3981</v>
      </c>
      <c r="D45" s="33" t="s">
        <v>4433</v>
      </c>
      <c r="E45" s="31" t="s">
        <v>4434</v>
      </c>
      <c r="F45" s="32" t="s">
        <v>279</v>
      </c>
      <c r="G45" s="32" t="s">
        <v>4435</v>
      </c>
      <c r="H45" s="33" t="s">
        <v>13</v>
      </c>
    </row>
    <row r="46" spans="1:8" ht="14.5" customHeight="1" x14ac:dyDescent="0.3">
      <c r="A46" s="19" t="s">
        <v>3695</v>
      </c>
      <c r="B46" s="19" t="s">
        <v>4441</v>
      </c>
      <c r="C46" s="18" t="s">
        <v>3696</v>
      </c>
      <c r="D46" s="20" t="s">
        <v>4437</v>
      </c>
      <c r="E46" s="19" t="s">
        <v>4438</v>
      </c>
      <c r="F46" s="18" t="s">
        <v>4439</v>
      </c>
      <c r="G46" s="18" t="s">
        <v>4440</v>
      </c>
      <c r="H46" s="20" t="s">
        <v>13</v>
      </c>
    </row>
    <row r="47" spans="1:8" ht="14.5" customHeight="1" x14ac:dyDescent="0.3">
      <c r="A47" s="31" t="s">
        <v>3098</v>
      </c>
      <c r="B47" s="31" t="s">
        <v>4445</v>
      </c>
      <c r="C47" s="32" t="s">
        <v>3099</v>
      </c>
      <c r="D47" s="33" t="s">
        <v>4442</v>
      </c>
      <c r="E47" s="31" t="s">
        <v>4443</v>
      </c>
      <c r="F47" s="32" t="s">
        <v>4444</v>
      </c>
      <c r="G47" s="32" t="s">
        <v>285</v>
      </c>
      <c r="H47" s="33" t="s">
        <v>148</v>
      </c>
    </row>
    <row r="48" spans="1:8" ht="14.5" customHeight="1" x14ac:dyDescent="0.3">
      <c r="A48" s="19" t="s">
        <v>3775</v>
      </c>
      <c r="B48" s="19" t="s">
        <v>4449</v>
      </c>
      <c r="C48" s="18" t="s">
        <v>3776</v>
      </c>
      <c r="D48" s="20" t="s">
        <v>4447</v>
      </c>
      <c r="E48" s="19" t="s">
        <v>4448</v>
      </c>
      <c r="F48" s="18" t="s">
        <v>4228</v>
      </c>
      <c r="G48" s="18" t="s">
        <v>11</v>
      </c>
      <c r="H48" s="20" t="s">
        <v>9</v>
      </c>
    </row>
    <row r="49" spans="1:8" ht="14.5" customHeight="1" x14ac:dyDescent="0.3">
      <c r="A49" s="31" t="s">
        <v>2249</v>
      </c>
      <c r="B49" s="31" t="s">
        <v>4454</v>
      </c>
      <c r="C49" s="32" t="s">
        <v>2250</v>
      </c>
      <c r="D49" s="33" t="s">
        <v>4451</v>
      </c>
      <c r="E49" s="31" t="s">
        <v>4452</v>
      </c>
      <c r="F49" s="32" t="s">
        <v>4453</v>
      </c>
      <c r="G49" s="32" t="s">
        <v>21</v>
      </c>
      <c r="H49" s="33" t="s">
        <v>17</v>
      </c>
    </row>
    <row r="50" spans="1:8" ht="14.5" customHeight="1" x14ac:dyDescent="0.3">
      <c r="A50" s="19" t="s">
        <v>3954</v>
      </c>
      <c r="B50" s="19" t="s">
        <v>4461</v>
      </c>
      <c r="C50" s="18" t="s">
        <v>3955</v>
      </c>
      <c r="D50" s="20" t="s">
        <v>4459</v>
      </c>
      <c r="E50" s="19" t="s">
        <v>4460</v>
      </c>
      <c r="F50" s="18" t="s">
        <v>4312</v>
      </c>
      <c r="G50" s="18" t="s">
        <v>75</v>
      </c>
      <c r="H50" s="20" t="s">
        <v>74</v>
      </c>
    </row>
    <row r="51" spans="1:8" ht="14.5" customHeight="1" x14ac:dyDescent="0.3">
      <c r="A51" s="31" t="s">
        <v>2450</v>
      </c>
      <c r="B51" s="31" t="s">
        <v>4458</v>
      </c>
      <c r="C51" s="32" t="s">
        <v>2451</v>
      </c>
      <c r="D51" s="33" t="s">
        <v>4455</v>
      </c>
      <c r="E51" s="31" t="s">
        <v>4456</v>
      </c>
      <c r="F51" s="32" t="s">
        <v>4457</v>
      </c>
      <c r="G51" s="32" t="s">
        <v>21</v>
      </c>
      <c r="H51" s="33" t="s">
        <v>17</v>
      </c>
    </row>
    <row r="52" spans="1:8" ht="14.5" customHeight="1" x14ac:dyDescent="0.3">
      <c r="A52" s="19" t="s">
        <v>259</v>
      </c>
      <c r="B52" s="19" t="s">
        <v>1230</v>
      </c>
      <c r="C52" s="18" t="s">
        <v>260</v>
      </c>
      <c r="D52" s="20" t="s">
        <v>4462</v>
      </c>
      <c r="E52" s="19" t="s">
        <v>261</v>
      </c>
      <c r="F52" s="18" t="s">
        <v>262</v>
      </c>
      <c r="G52" s="18" t="s">
        <v>21</v>
      </c>
      <c r="H52" s="20" t="s">
        <v>17</v>
      </c>
    </row>
    <row r="53" spans="1:8" ht="14.5" customHeight="1" x14ac:dyDescent="0.3">
      <c r="A53" s="31" t="s">
        <v>350</v>
      </c>
      <c r="B53" s="31" t="s">
        <v>1497</v>
      </c>
      <c r="C53" s="32" t="s">
        <v>351</v>
      </c>
      <c r="D53" s="33" t="s">
        <v>4463</v>
      </c>
      <c r="E53" s="31" t="s">
        <v>4464</v>
      </c>
      <c r="F53" s="32" t="s">
        <v>352</v>
      </c>
      <c r="G53" s="32" t="s">
        <v>11</v>
      </c>
      <c r="H53" s="33" t="s">
        <v>9</v>
      </c>
    </row>
    <row r="54" spans="1:8" ht="14.5" customHeight="1" x14ac:dyDescent="0.3">
      <c r="A54" s="19" t="s">
        <v>3777</v>
      </c>
      <c r="B54" s="19" t="s">
        <v>4468</v>
      </c>
      <c r="C54" s="18" t="s">
        <v>3778</v>
      </c>
      <c r="D54" s="20" t="s">
        <v>4465</v>
      </c>
      <c r="E54" s="19" t="s">
        <v>4466</v>
      </c>
      <c r="F54" s="18" t="s">
        <v>4467</v>
      </c>
      <c r="G54" s="18" t="s">
        <v>285</v>
      </c>
      <c r="H54" s="20" t="s">
        <v>148</v>
      </c>
    </row>
    <row r="55" spans="1:8" ht="14.5" customHeight="1" x14ac:dyDescent="0.3">
      <c r="A55" s="31" t="s">
        <v>7267</v>
      </c>
      <c r="B55" s="31" t="s">
        <v>4473</v>
      </c>
      <c r="C55" s="32" t="s">
        <v>1896</v>
      </c>
      <c r="D55" s="33" t="s">
        <v>4469</v>
      </c>
      <c r="E55" s="31" t="s">
        <v>4470</v>
      </c>
      <c r="F55" s="32" t="s">
        <v>4471</v>
      </c>
      <c r="G55" s="32" t="s">
        <v>4472</v>
      </c>
      <c r="H55" s="33" t="s">
        <v>17</v>
      </c>
    </row>
    <row r="56" spans="1:8" ht="14.5" customHeight="1" x14ac:dyDescent="0.3">
      <c r="A56" s="19" t="s">
        <v>3235</v>
      </c>
      <c r="B56" s="19" t="s">
        <v>4479</v>
      </c>
      <c r="C56" s="18" t="s">
        <v>3236</v>
      </c>
      <c r="D56" s="20" t="s">
        <v>4475</v>
      </c>
      <c r="E56" s="19" t="s">
        <v>4476</v>
      </c>
      <c r="F56" s="18" t="s">
        <v>4477</v>
      </c>
      <c r="G56" s="18" t="s">
        <v>4478</v>
      </c>
      <c r="H56" s="20" t="s">
        <v>13</v>
      </c>
    </row>
    <row r="57" spans="1:8" ht="14.5" customHeight="1" x14ac:dyDescent="0.3">
      <c r="A57" s="31" t="s">
        <v>7459</v>
      </c>
      <c r="B57" s="31" t="s">
        <v>4487</v>
      </c>
      <c r="C57" s="32" t="s">
        <v>1928</v>
      </c>
      <c r="D57" s="33" t="s">
        <v>4484</v>
      </c>
      <c r="E57" s="31" t="s">
        <v>4485</v>
      </c>
      <c r="F57" s="32" t="s">
        <v>4486</v>
      </c>
      <c r="G57" s="32" t="s">
        <v>285</v>
      </c>
      <c r="H57" s="33" t="s">
        <v>148</v>
      </c>
    </row>
    <row r="58" spans="1:8" ht="14.5" customHeight="1" x14ac:dyDescent="0.3">
      <c r="A58" s="19" t="s">
        <v>7313</v>
      </c>
      <c r="B58" s="19" t="s">
        <v>1537</v>
      </c>
      <c r="C58" s="18" t="s">
        <v>2218</v>
      </c>
      <c r="D58" s="20" t="s">
        <v>4489</v>
      </c>
      <c r="E58" s="19" t="s">
        <v>4490</v>
      </c>
      <c r="F58" s="18" t="s">
        <v>4491</v>
      </c>
      <c r="G58" s="18" t="s">
        <v>21</v>
      </c>
      <c r="H58" s="20" t="s">
        <v>17</v>
      </c>
    </row>
    <row r="59" spans="1:8" ht="14.5" customHeight="1" x14ac:dyDescent="0.3">
      <c r="A59" s="31" t="s">
        <v>7728</v>
      </c>
      <c r="B59" s="31" t="s">
        <v>650</v>
      </c>
      <c r="C59" s="32" t="s">
        <v>1686</v>
      </c>
      <c r="D59" s="33" t="s">
        <v>4492</v>
      </c>
      <c r="E59" s="31" t="s">
        <v>4493</v>
      </c>
      <c r="F59" s="32"/>
      <c r="G59" s="32" t="s">
        <v>21</v>
      </c>
      <c r="H59" s="33" t="s">
        <v>17</v>
      </c>
    </row>
    <row r="60" spans="1:8" ht="14.5" customHeight="1" x14ac:dyDescent="0.3">
      <c r="A60" s="19" t="s">
        <v>3607</v>
      </c>
      <c r="B60" s="19" t="s">
        <v>4497</v>
      </c>
      <c r="C60" s="18" t="s">
        <v>3608</v>
      </c>
      <c r="D60" s="20" t="s">
        <v>4494</v>
      </c>
      <c r="E60" s="19" t="s">
        <v>4495</v>
      </c>
      <c r="F60" s="18" t="s">
        <v>4496</v>
      </c>
      <c r="G60" s="18" t="s">
        <v>42</v>
      </c>
      <c r="H60" s="20" t="s">
        <v>40</v>
      </c>
    </row>
    <row r="61" spans="1:8" ht="14.5" customHeight="1" x14ac:dyDescent="0.3">
      <c r="A61" s="31" t="s">
        <v>4124</v>
      </c>
      <c r="B61" s="31" t="s">
        <v>4500</v>
      </c>
      <c r="C61" s="32" t="s">
        <v>4125</v>
      </c>
      <c r="D61" s="33" t="s">
        <v>4498</v>
      </c>
      <c r="E61" s="31" t="s">
        <v>4499</v>
      </c>
      <c r="F61" s="32" t="s">
        <v>4345</v>
      </c>
      <c r="G61" s="32" t="s">
        <v>285</v>
      </c>
      <c r="H61" s="33" t="s">
        <v>148</v>
      </c>
    </row>
    <row r="62" spans="1:8" ht="14.5" customHeight="1" x14ac:dyDescent="0.3">
      <c r="A62" s="19" t="s">
        <v>7607</v>
      </c>
      <c r="B62" s="19" t="s">
        <v>501</v>
      </c>
      <c r="C62" s="18" t="s">
        <v>31</v>
      </c>
      <c r="D62" s="20" t="s">
        <v>4502</v>
      </c>
      <c r="E62" s="19" t="s">
        <v>4503</v>
      </c>
      <c r="F62" s="18" t="s">
        <v>4504</v>
      </c>
      <c r="G62" s="18" t="s">
        <v>4243</v>
      </c>
      <c r="H62" s="20" t="s">
        <v>32</v>
      </c>
    </row>
    <row r="63" spans="1:8" ht="14.5" customHeight="1" x14ac:dyDescent="0.3">
      <c r="A63" s="31" t="s">
        <v>7403</v>
      </c>
      <c r="B63" s="31" t="s">
        <v>4508</v>
      </c>
      <c r="C63" s="32" t="s">
        <v>2276</v>
      </c>
      <c r="D63" s="33" t="s">
        <v>4505</v>
      </c>
      <c r="E63" s="31" t="s">
        <v>4506</v>
      </c>
      <c r="F63" s="32" t="s">
        <v>4507</v>
      </c>
      <c r="G63" s="32" t="s">
        <v>4481</v>
      </c>
      <c r="H63" s="33" t="s">
        <v>17</v>
      </c>
    </row>
    <row r="64" spans="1:8" ht="14.5" customHeight="1" x14ac:dyDescent="0.3">
      <c r="A64" s="19" t="s">
        <v>3644</v>
      </c>
      <c r="B64" s="19" t="s">
        <v>4515</v>
      </c>
      <c r="C64" s="18" t="s">
        <v>3645</v>
      </c>
      <c r="D64" s="20" t="s">
        <v>4510</v>
      </c>
      <c r="E64" s="19" t="s">
        <v>4512</v>
      </c>
      <c r="F64" s="18" t="s">
        <v>4513</v>
      </c>
      <c r="G64" s="18" t="s">
        <v>4514</v>
      </c>
      <c r="H64" s="20" t="s">
        <v>4511</v>
      </c>
    </row>
    <row r="65" spans="1:8" ht="14.5" customHeight="1" x14ac:dyDescent="0.3">
      <c r="A65" s="31" t="s">
        <v>7336</v>
      </c>
      <c r="B65" s="31" t="s">
        <v>4521</v>
      </c>
      <c r="C65" s="32" t="s">
        <v>1839</v>
      </c>
      <c r="D65" s="33" t="s">
        <v>4518</v>
      </c>
      <c r="E65" s="31" t="s">
        <v>4519</v>
      </c>
      <c r="F65" s="32" t="s">
        <v>4520</v>
      </c>
      <c r="G65" s="32" t="s">
        <v>4427</v>
      </c>
      <c r="H65" s="33" t="s">
        <v>17</v>
      </c>
    </row>
    <row r="66" spans="1:8" ht="14.5" customHeight="1" x14ac:dyDescent="0.3">
      <c r="A66" s="19" t="s">
        <v>3023</v>
      </c>
      <c r="B66" s="19" t="s">
        <v>4525</v>
      </c>
      <c r="C66" s="18" t="s">
        <v>3024</v>
      </c>
      <c r="D66" s="20" t="s">
        <v>4522</v>
      </c>
      <c r="E66" s="19" t="s">
        <v>4523</v>
      </c>
      <c r="F66" s="18" t="s">
        <v>4524</v>
      </c>
      <c r="G66" s="18" t="s">
        <v>75</v>
      </c>
      <c r="H66" s="20" t="s">
        <v>74</v>
      </c>
    </row>
    <row r="67" spans="1:8" ht="14.5" customHeight="1" x14ac:dyDescent="0.3">
      <c r="A67" s="31" t="s">
        <v>3241</v>
      </c>
      <c r="B67" s="31" t="s">
        <v>4529</v>
      </c>
      <c r="C67" s="32" t="s">
        <v>3242</v>
      </c>
      <c r="D67" s="33" t="s">
        <v>4526</v>
      </c>
      <c r="E67" s="31" t="s">
        <v>4527</v>
      </c>
      <c r="F67" s="32" t="s">
        <v>4528</v>
      </c>
      <c r="G67" s="32" t="s">
        <v>285</v>
      </c>
      <c r="H67" s="33" t="s">
        <v>148</v>
      </c>
    </row>
    <row r="68" spans="1:8" ht="14.5" customHeight="1" x14ac:dyDescent="0.3">
      <c r="A68" s="19" t="s">
        <v>7278</v>
      </c>
      <c r="B68" s="19" t="s">
        <v>1319</v>
      </c>
      <c r="C68" s="18" t="s">
        <v>286</v>
      </c>
      <c r="D68" s="20" t="s">
        <v>1322</v>
      </c>
      <c r="E68" s="19" t="s">
        <v>4534</v>
      </c>
      <c r="F68" s="18" t="s">
        <v>288</v>
      </c>
      <c r="G68" s="18" t="s">
        <v>289</v>
      </c>
      <c r="H68" s="20" t="s">
        <v>287</v>
      </c>
    </row>
    <row r="69" spans="1:8" ht="14.5" customHeight="1" x14ac:dyDescent="0.3">
      <c r="A69" s="31" t="s">
        <v>7342</v>
      </c>
      <c r="B69" s="31" t="s">
        <v>4533</v>
      </c>
      <c r="C69" s="32" t="s">
        <v>2391</v>
      </c>
      <c r="D69" s="33" t="s">
        <v>4530</v>
      </c>
      <c r="E69" s="31" t="s">
        <v>4531</v>
      </c>
      <c r="F69" s="32" t="s">
        <v>4532</v>
      </c>
      <c r="G69" s="32" t="s">
        <v>4323</v>
      </c>
      <c r="H69" s="33" t="s">
        <v>74</v>
      </c>
    </row>
    <row r="70" spans="1:8" ht="14.5" customHeight="1" x14ac:dyDescent="0.3">
      <c r="A70" s="19" t="s">
        <v>171</v>
      </c>
      <c r="B70" s="19" t="s">
        <v>844</v>
      </c>
      <c r="C70" s="18" t="s">
        <v>172</v>
      </c>
      <c r="D70" s="20" t="s">
        <v>4535</v>
      </c>
      <c r="E70" s="19" t="s">
        <v>4536</v>
      </c>
      <c r="F70" s="18" t="s">
        <v>174</v>
      </c>
      <c r="G70" s="18" t="s">
        <v>45</v>
      </c>
      <c r="H70" s="20" t="s">
        <v>13</v>
      </c>
    </row>
    <row r="71" spans="1:8" ht="14.5" customHeight="1" x14ac:dyDescent="0.3">
      <c r="A71" s="31" t="s">
        <v>7575</v>
      </c>
      <c r="B71" s="31" t="s">
        <v>4542</v>
      </c>
      <c r="C71" s="32" t="s">
        <v>1903</v>
      </c>
      <c r="D71" s="33" t="s">
        <v>4538</v>
      </c>
      <c r="E71" s="31" t="s">
        <v>4539</v>
      </c>
      <c r="F71" s="32" t="s">
        <v>4540</v>
      </c>
      <c r="G71" s="32" t="s">
        <v>4541</v>
      </c>
      <c r="H71" s="33" t="s">
        <v>17</v>
      </c>
    </row>
    <row r="72" spans="1:8" ht="14.5" customHeight="1" x14ac:dyDescent="0.3">
      <c r="A72" s="19" t="s">
        <v>3395</v>
      </c>
      <c r="B72" s="19" t="s">
        <v>4546</v>
      </c>
      <c r="C72" s="18" t="s">
        <v>3396</v>
      </c>
      <c r="D72" s="20" t="s">
        <v>4543</v>
      </c>
      <c r="E72" s="19" t="s">
        <v>4544</v>
      </c>
      <c r="F72" s="18" t="s">
        <v>4545</v>
      </c>
      <c r="G72" s="18" t="s">
        <v>285</v>
      </c>
      <c r="H72" s="20" t="s">
        <v>148</v>
      </c>
    </row>
    <row r="73" spans="1:8" ht="14.5" customHeight="1" x14ac:dyDescent="0.3">
      <c r="A73" s="31" t="s">
        <v>3263</v>
      </c>
      <c r="B73" s="31" t="s">
        <v>4549</v>
      </c>
      <c r="C73" s="32" t="s">
        <v>3264</v>
      </c>
      <c r="D73" s="33" t="s">
        <v>4547</v>
      </c>
      <c r="E73" s="31" t="s">
        <v>4548</v>
      </c>
      <c r="F73" s="32" t="s">
        <v>14</v>
      </c>
      <c r="G73" s="32" t="s">
        <v>15</v>
      </c>
      <c r="H73" s="33" t="s">
        <v>13</v>
      </c>
    </row>
    <row r="74" spans="1:8" ht="14.5" customHeight="1" x14ac:dyDescent="0.3">
      <c r="A74" s="19" t="s">
        <v>3765</v>
      </c>
      <c r="B74" s="19" t="s">
        <v>4553</v>
      </c>
      <c r="C74" s="18" t="s">
        <v>3766</v>
      </c>
      <c r="D74" s="20" t="s">
        <v>4550</v>
      </c>
      <c r="E74" s="19" t="s">
        <v>4551</v>
      </c>
      <c r="F74" s="18" t="s">
        <v>4552</v>
      </c>
      <c r="G74" s="18" t="s">
        <v>159</v>
      </c>
      <c r="H74" s="20" t="s">
        <v>9</v>
      </c>
    </row>
    <row r="75" spans="1:8" ht="14.5" customHeight="1" x14ac:dyDescent="0.3">
      <c r="A75" s="31" t="s">
        <v>3617</v>
      </c>
      <c r="B75" s="31" t="s">
        <v>4560</v>
      </c>
      <c r="C75" s="32" t="s">
        <v>3618</v>
      </c>
      <c r="D75" s="33" t="s">
        <v>4557</v>
      </c>
      <c r="E75" s="31" t="s">
        <v>4558</v>
      </c>
      <c r="F75" s="32" t="s">
        <v>4559</v>
      </c>
      <c r="G75" s="32" t="s">
        <v>302</v>
      </c>
      <c r="H75" s="33" t="s">
        <v>196</v>
      </c>
    </row>
    <row r="76" spans="1:8" ht="14.5" customHeight="1" x14ac:dyDescent="0.3">
      <c r="A76" s="19" t="s">
        <v>3794</v>
      </c>
      <c r="B76" s="19" t="s">
        <v>4568</v>
      </c>
      <c r="C76" s="18" t="s">
        <v>3795</v>
      </c>
      <c r="D76" s="20" t="s">
        <v>4565</v>
      </c>
      <c r="E76" s="19" t="s">
        <v>4566</v>
      </c>
      <c r="F76" s="18" t="s">
        <v>4567</v>
      </c>
      <c r="G76" s="18" t="s">
        <v>21</v>
      </c>
      <c r="H76" s="20" t="s">
        <v>17</v>
      </c>
    </row>
    <row r="77" spans="1:8" ht="14.5" customHeight="1" x14ac:dyDescent="0.3">
      <c r="A77" s="31" t="s">
        <v>7687</v>
      </c>
      <c r="B77" s="31" t="s">
        <v>1199</v>
      </c>
      <c r="C77" s="32" t="s">
        <v>2843</v>
      </c>
      <c r="D77" s="33" t="s">
        <v>4562</v>
      </c>
      <c r="E77" s="31" t="s">
        <v>4563</v>
      </c>
      <c r="F77" s="32" t="s">
        <v>4564</v>
      </c>
      <c r="G77" s="32" t="s">
        <v>11</v>
      </c>
      <c r="H77" s="33" t="s">
        <v>9</v>
      </c>
    </row>
    <row r="78" spans="1:8" ht="14.5" customHeight="1" x14ac:dyDescent="0.3">
      <c r="A78" s="19" t="s">
        <v>3255</v>
      </c>
      <c r="B78" s="19" t="s">
        <v>4573</v>
      </c>
      <c r="C78" s="18" t="s">
        <v>3256</v>
      </c>
      <c r="D78" s="20" t="s">
        <v>4570</v>
      </c>
      <c r="E78" s="19" t="s">
        <v>4571</v>
      </c>
      <c r="F78" s="18" t="s">
        <v>103</v>
      </c>
      <c r="G78" s="18" t="s">
        <v>4572</v>
      </c>
      <c r="H78" s="20" t="s">
        <v>13</v>
      </c>
    </row>
    <row r="79" spans="1:8" ht="14.5" customHeight="1" x14ac:dyDescent="0.3">
      <c r="A79" s="31" t="s">
        <v>4032</v>
      </c>
      <c r="B79" s="31" t="s">
        <v>4578</v>
      </c>
      <c r="C79" s="32" t="s">
        <v>4033</v>
      </c>
      <c r="D79" s="33" t="s">
        <v>4574</v>
      </c>
      <c r="E79" s="31" t="s">
        <v>4575</v>
      </c>
      <c r="F79" s="32" t="s">
        <v>4576</v>
      </c>
      <c r="G79" s="32" t="s">
        <v>4577</v>
      </c>
      <c r="H79" s="33" t="s">
        <v>64</v>
      </c>
    </row>
    <row r="80" spans="1:8" ht="14.5" customHeight="1" x14ac:dyDescent="0.3">
      <c r="A80" s="19" t="s">
        <v>4206</v>
      </c>
      <c r="B80" s="19" t="s">
        <v>4501</v>
      </c>
      <c r="C80" s="18" t="s">
        <v>4207</v>
      </c>
      <c r="D80" s="20" t="s">
        <v>4580</v>
      </c>
      <c r="E80" s="19" t="s">
        <v>4581</v>
      </c>
      <c r="F80" s="18" t="s">
        <v>4582</v>
      </c>
      <c r="G80" s="18" t="s">
        <v>65</v>
      </c>
      <c r="H80" s="20" t="s">
        <v>64</v>
      </c>
    </row>
    <row r="81" spans="1:8" ht="14.5" customHeight="1" x14ac:dyDescent="0.3">
      <c r="A81" s="31" t="s">
        <v>7314</v>
      </c>
      <c r="B81" s="31" t="s">
        <v>4584</v>
      </c>
      <c r="C81" s="32" t="s">
        <v>3830</v>
      </c>
      <c r="D81" s="33" t="s">
        <v>4583</v>
      </c>
      <c r="E81" s="31">
        <v>91</v>
      </c>
      <c r="F81" s="32" t="s">
        <v>4358</v>
      </c>
      <c r="G81" s="32" t="s">
        <v>61</v>
      </c>
      <c r="H81" s="33" t="s">
        <v>60</v>
      </c>
    </row>
    <row r="82" spans="1:8" ht="14.5" customHeight="1" x14ac:dyDescent="0.3">
      <c r="A82" s="19" t="s">
        <v>7623</v>
      </c>
      <c r="B82" s="19" t="s">
        <v>4588</v>
      </c>
      <c r="C82" s="18" t="s">
        <v>2928</v>
      </c>
      <c r="D82" s="20" t="s">
        <v>4585</v>
      </c>
      <c r="E82" s="19" t="s">
        <v>4586</v>
      </c>
      <c r="F82" s="18" t="s">
        <v>4587</v>
      </c>
      <c r="G82" s="18" t="s">
        <v>21</v>
      </c>
      <c r="H82" s="20" t="s">
        <v>17</v>
      </c>
    </row>
    <row r="83" spans="1:8" ht="14.5" customHeight="1" x14ac:dyDescent="0.3">
      <c r="A83" s="31" t="s">
        <v>4107</v>
      </c>
      <c r="B83" s="31" t="s">
        <v>4592</v>
      </c>
      <c r="C83" s="32" t="s">
        <v>4108</v>
      </c>
      <c r="D83" s="33" t="s">
        <v>4589</v>
      </c>
      <c r="E83" s="31" t="s">
        <v>4590</v>
      </c>
      <c r="F83" s="32" t="s">
        <v>4591</v>
      </c>
      <c r="G83" s="32" t="s">
        <v>61</v>
      </c>
      <c r="H83" s="33" t="s">
        <v>60</v>
      </c>
    </row>
    <row r="84" spans="1:8" ht="14.5" customHeight="1" x14ac:dyDescent="0.3">
      <c r="A84" s="19" t="s">
        <v>3421</v>
      </c>
      <c r="B84" s="19" t="s">
        <v>4597</v>
      </c>
      <c r="C84" s="18" t="s">
        <v>3422</v>
      </c>
      <c r="D84" s="20" t="s">
        <v>4594</v>
      </c>
      <c r="E84" s="19" t="s">
        <v>4595</v>
      </c>
      <c r="F84" s="18" t="s">
        <v>4596</v>
      </c>
      <c r="G84" s="18" t="s">
        <v>75</v>
      </c>
      <c r="H84" s="20" t="s">
        <v>74</v>
      </c>
    </row>
    <row r="85" spans="1:8" ht="14.5" customHeight="1" x14ac:dyDescent="0.3">
      <c r="A85" s="31" t="s">
        <v>3346</v>
      </c>
      <c r="B85" s="31" t="s">
        <v>4601</v>
      </c>
      <c r="C85" s="32" t="s">
        <v>3347</v>
      </c>
      <c r="D85" s="33" t="s">
        <v>4598</v>
      </c>
      <c r="E85" s="31" t="s">
        <v>4599</v>
      </c>
      <c r="F85" s="32" t="s">
        <v>4600</v>
      </c>
      <c r="G85" s="32" t="s">
        <v>38</v>
      </c>
      <c r="H85" s="33" t="s">
        <v>3</v>
      </c>
    </row>
    <row r="86" spans="1:8" ht="14.5" customHeight="1" x14ac:dyDescent="0.3">
      <c r="A86" s="19" t="s">
        <v>4055</v>
      </c>
      <c r="B86" s="19" t="s">
        <v>4605</v>
      </c>
      <c r="C86" s="18" t="s">
        <v>4056</v>
      </c>
      <c r="D86" s="20" t="s">
        <v>4602</v>
      </c>
      <c r="E86" s="19" t="s">
        <v>4603</v>
      </c>
      <c r="F86" s="18" t="s">
        <v>4604</v>
      </c>
      <c r="G86" s="18" t="s">
        <v>42</v>
      </c>
      <c r="H86" s="20" t="s">
        <v>40</v>
      </c>
    </row>
    <row r="87" spans="1:8" ht="14.5" customHeight="1" x14ac:dyDescent="0.3">
      <c r="A87" s="31" t="s">
        <v>3984</v>
      </c>
      <c r="B87" s="31" t="s">
        <v>4608</v>
      </c>
      <c r="C87" s="32" t="s">
        <v>3985</v>
      </c>
      <c r="D87" s="33" t="s">
        <v>4606</v>
      </c>
      <c r="E87" s="31" t="s">
        <v>4281</v>
      </c>
      <c r="F87" s="32" t="s">
        <v>4607</v>
      </c>
      <c r="G87" s="32" t="s">
        <v>90</v>
      </c>
      <c r="H87" s="33" t="s">
        <v>148</v>
      </c>
    </row>
    <row r="88" spans="1:8" ht="14.5" customHeight="1" x14ac:dyDescent="0.3">
      <c r="A88" s="19" t="s">
        <v>4157</v>
      </c>
      <c r="B88" s="19" t="s">
        <v>4612</v>
      </c>
      <c r="C88" s="18" t="s">
        <v>4158</v>
      </c>
      <c r="D88" s="20" t="s">
        <v>4609</v>
      </c>
      <c r="E88" s="19" t="s">
        <v>4610</v>
      </c>
      <c r="F88" s="18" t="s">
        <v>4611</v>
      </c>
      <c r="G88" s="18" t="s">
        <v>4238</v>
      </c>
      <c r="H88" s="20" t="s">
        <v>166</v>
      </c>
    </row>
    <row r="89" spans="1:8" ht="14.5" customHeight="1" x14ac:dyDescent="0.3">
      <c r="A89" s="31" t="s">
        <v>3670</v>
      </c>
      <c r="B89" s="31" t="s">
        <v>4480</v>
      </c>
      <c r="C89" s="32" t="s">
        <v>3671</v>
      </c>
      <c r="D89" s="33" t="s">
        <v>4613</v>
      </c>
      <c r="E89" s="31" t="s">
        <v>4614</v>
      </c>
      <c r="F89" s="32" t="s">
        <v>4615</v>
      </c>
      <c r="G89" s="32" t="s">
        <v>4616</v>
      </c>
      <c r="H89" s="33" t="s">
        <v>60</v>
      </c>
    </row>
    <row r="90" spans="1:8" ht="14.5" customHeight="1" x14ac:dyDescent="0.3">
      <c r="A90" s="19" t="s">
        <v>7600</v>
      </c>
      <c r="B90" s="19" t="s">
        <v>4298</v>
      </c>
      <c r="C90" s="18" t="s">
        <v>1973</v>
      </c>
      <c r="D90" s="20" t="s">
        <v>4617</v>
      </c>
      <c r="E90" s="19" t="s">
        <v>4618</v>
      </c>
      <c r="F90" s="18" t="s">
        <v>4619</v>
      </c>
      <c r="G90" s="18" t="s">
        <v>18</v>
      </c>
      <c r="H90" s="20" t="s">
        <v>17</v>
      </c>
    </row>
    <row r="91" spans="1:8" ht="14.5" customHeight="1" x14ac:dyDescent="0.3">
      <c r="A91" s="31" t="s">
        <v>2372</v>
      </c>
      <c r="B91" s="31" t="s">
        <v>4623</v>
      </c>
      <c r="C91" s="32" t="s">
        <v>2373</v>
      </c>
      <c r="D91" s="33" t="s">
        <v>4620</v>
      </c>
      <c r="E91" s="31" t="s">
        <v>4621</v>
      </c>
      <c r="F91" s="32" t="s">
        <v>4622</v>
      </c>
      <c r="G91" s="32" t="s">
        <v>75</v>
      </c>
      <c r="H91" s="33" t="s">
        <v>74</v>
      </c>
    </row>
    <row r="92" spans="1:8" ht="14.5" customHeight="1" x14ac:dyDescent="0.3">
      <c r="A92" s="19" t="s">
        <v>3059</v>
      </c>
      <c r="B92" s="19" t="s">
        <v>4630</v>
      </c>
      <c r="C92" s="18" t="s">
        <v>3060</v>
      </c>
      <c r="D92" s="20" t="s">
        <v>4627</v>
      </c>
      <c r="E92" s="19" t="s">
        <v>4628</v>
      </c>
      <c r="F92" s="18" t="s">
        <v>4629</v>
      </c>
      <c r="G92" s="18" t="s">
        <v>4625</v>
      </c>
      <c r="H92" s="20" t="s">
        <v>13</v>
      </c>
    </row>
    <row r="93" spans="1:8" ht="14.5" customHeight="1" x14ac:dyDescent="0.3">
      <c r="A93" s="31" t="s">
        <v>3035</v>
      </c>
      <c r="B93" s="31" t="s">
        <v>4634</v>
      </c>
      <c r="C93" s="32" t="s">
        <v>3036</v>
      </c>
      <c r="D93" s="33" t="s">
        <v>4631</v>
      </c>
      <c r="E93" s="31" t="s">
        <v>4632</v>
      </c>
      <c r="F93" s="32" t="s">
        <v>4633</v>
      </c>
      <c r="G93" s="32" t="s">
        <v>21</v>
      </c>
      <c r="H93" s="33" t="s">
        <v>17</v>
      </c>
    </row>
    <row r="94" spans="1:8" ht="14.5" customHeight="1" x14ac:dyDescent="0.3">
      <c r="A94" s="19" t="s">
        <v>7680</v>
      </c>
      <c r="B94" s="19" t="s">
        <v>4638</v>
      </c>
      <c r="C94" s="18" t="s">
        <v>2316</v>
      </c>
      <c r="D94" s="20" t="s">
        <v>4635</v>
      </c>
      <c r="E94" s="19" t="s">
        <v>4636</v>
      </c>
      <c r="F94" s="18" t="s">
        <v>4637</v>
      </c>
      <c r="G94" s="18" t="s">
        <v>15</v>
      </c>
      <c r="H94" s="20" t="s">
        <v>13</v>
      </c>
    </row>
    <row r="95" spans="1:8" ht="14.5" customHeight="1" x14ac:dyDescent="0.3">
      <c r="A95" s="31" t="s">
        <v>7281</v>
      </c>
      <c r="B95" s="31" t="s">
        <v>4642</v>
      </c>
      <c r="C95" s="32" t="s">
        <v>1987</v>
      </c>
      <c r="D95" s="33" t="s">
        <v>4639</v>
      </c>
      <c r="E95" s="31" t="s">
        <v>4640</v>
      </c>
      <c r="F95" s="32" t="s">
        <v>219</v>
      </c>
      <c r="G95" s="32" t="s">
        <v>4641</v>
      </c>
      <c r="H95" s="33" t="s">
        <v>32</v>
      </c>
    </row>
    <row r="96" spans="1:8" ht="14.5" customHeight="1" x14ac:dyDescent="0.3">
      <c r="A96" s="19" t="s">
        <v>3763</v>
      </c>
      <c r="B96" s="19" t="s">
        <v>4647</v>
      </c>
      <c r="C96" s="18" t="s">
        <v>3764</v>
      </c>
      <c r="D96" s="20" t="s">
        <v>4645</v>
      </c>
      <c r="E96" s="19" t="s">
        <v>4646</v>
      </c>
      <c r="F96" s="18" t="s">
        <v>4564</v>
      </c>
      <c r="G96" s="18" t="s">
        <v>11</v>
      </c>
      <c r="H96" s="20" t="s">
        <v>9</v>
      </c>
    </row>
    <row r="97" spans="1:8" ht="14.5" customHeight="1" x14ac:dyDescent="0.3">
      <c r="A97" s="31" t="s">
        <v>3628</v>
      </c>
      <c r="B97" s="31" t="s">
        <v>4650</v>
      </c>
      <c r="C97" s="32" t="s">
        <v>3629</v>
      </c>
      <c r="D97" s="33" t="s">
        <v>4648</v>
      </c>
      <c r="E97" s="31" t="s">
        <v>4649</v>
      </c>
      <c r="F97" s="32" t="s">
        <v>4582</v>
      </c>
      <c r="G97" s="32" t="s">
        <v>65</v>
      </c>
      <c r="H97" s="33" t="s">
        <v>64</v>
      </c>
    </row>
    <row r="98" spans="1:8" ht="14.5" customHeight="1" x14ac:dyDescent="0.3">
      <c r="A98" s="19" t="s">
        <v>7300</v>
      </c>
      <c r="B98" s="19" t="s">
        <v>521</v>
      </c>
      <c r="C98" s="18" t="s">
        <v>29</v>
      </c>
      <c r="D98" s="20" t="s">
        <v>4653</v>
      </c>
      <c r="E98" s="19" t="s">
        <v>4654</v>
      </c>
      <c r="F98" s="18"/>
      <c r="G98" s="18" t="s">
        <v>4655</v>
      </c>
      <c r="H98" s="20" t="s">
        <v>13</v>
      </c>
    </row>
    <row r="99" spans="1:8" ht="14.5" customHeight="1" x14ac:dyDescent="0.3">
      <c r="A99" s="31" t="s">
        <v>2122</v>
      </c>
      <c r="B99" s="31" t="s">
        <v>4232</v>
      </c>
      <c r="C99" s="32" t="s">
        <v>2123</v>
      </c>
      <c r="D99" s="33" t="s">
        <v>4656</v>
      </c>
      <c r="E99" s="31" t="s">
        <v>4657</v>
      </c>
      <c r="F99" s="32" t="s">
        <v>4658</v>
      </c>
      <c r="G99" s="32" t="s">
        <v>4659</v>
      </c>
      <c r="H99" s="33" t="s">
        <v>74</v>
      </c>
    </row>
    <row r="100" spans="1:8" ht="14.5" customHeight="1" x14ac:dyDescent="0.3">
      <c r="A100" s="19" t="s">
        <v>7409</v>
      </c>
      <c r="B100" s="19" t="s">
        <v>593</v>
      </c>
      <c r="C100" s="18" t="s">
        <v>995</v>
      </c>
      <c r="D100" s="20"/>
      <c r="E100" s="19" t="s">
        <v>170</v>
      </c>
      <c r="F100" s="18"/>
      <c r="G100" s="18" t="s">
        <v>30</v>
      </c>
      <c r="H100" s="20" t="s">
        <v>13</v>
      </c>
    </row>
    <row r="101" spans="1:8" ht="14.5" customHeight="1" x14ac:dyDescent="0.3">
      <c r="A101" s="31" t="s">
        <v>7274</v>
      </c>
      <c r="B101" s="31" t="s">
        <v>936</v>
      </c>
      <c r="C101" s="32" t="s">
        <v>157</v>
      </c>
      <c r="D101" s="33" t="s">
        <v>4660</v>
      </c>
      <c r="E101" s="31" t="s">
        <v>4661</v>
      </c>
      <c r="F101" s="32"/>
      <c r="G101" s="32" t="s">
        <v>158</v>
      </c>
      <c r="H101" s="33" t="s">
        <v>13</v>
      </c>
    </row>
    <row r="102" spans="1:8" ht="14.5" customHeight="1" x14ac:dyDescent="0.3">
      <c r="A102" s="19" t="s">
        <v>179</v>
      </c>
      <c r="B102" s="19" t="s">
        <v>1029</v>
      </c>
      <c r="C102" s="18" t="s">
        <v>180</v>
      </c>
      <c r="D102" s="20" t="s">
        <v>4662</v>
      </c>
      <c r="E102" s="19" t="s">
        <v>4663</v>
      </c>
      <c r="F102" s="18" t="s">
        <v>181</v>
      </c>
      <c r="G102" s="18" t="s">
        <v>4664</v>
      </c>
      <c r="H102" s="20" t="s">
        <v>64</v>
      </c>
    </row>
    <row r="103" spans="1:8" ht="14.5" customHeight="1" x14ac:dyDescent="0.3">
      <c r="A103" s="31" t="s">
        <v>3173</v>
      </c>
      <c r="B103" s="31" t="s">
        <v>4670</v>
      </c>
      <c r="C103" s="32" t="s">
        <v>3174</v>
      </c>
      <c r="D103" s="33" t="s">
        <v>4667</v>
      </c>
      <c r="E103" s="31" t="s">
        <v>4668</v>
      </c>
      <c r="F103" s="32" t="s">
        <v>4477</v>
      </c>
      <c r="G103" s="32" t="s">
        <v>4669</v>
      </c>
      <c r="H103" s="33" t="s">
        <v>92</v>
      </c>
    </row>
    <row r="104" spans="1:8" ht="14.5" customHeight="1" x14ac:dyDescent="0.3">
      <c r="A104" s="19" t="s">
        <v>7279</v>
      </c>
      <c r="B104" s="19" t="s">
        <v>4674</v>
      </c>
      <c r="C104" s="18" t="s">
        <v>2811</v>
      </c>
      <c r="D104" s="20" t="s">
        <v>4671</v>
      </c>
      <c r="E104" s="19" t="s">
        <v>4672</v>
      </c>
      <c r="F104" s="18" t="s">
        <v>4673</v>
      </c>
      <c r="G104" s="18" t="s">
        <v>65</v>
      </c>
      <c r="H104" s="20" t="s">
        <v>64</v>
      </c>
    </row>
    <row r="105" spans="1:8" ht="14.5" customHeight="1" x14ac:dyDescent="0.3">
      <c r="A105" s="31" t="s">
        <v>7615</v>
      </c>
      <c r="B105" s="31" t="s">
        <v>743</v>
      </c>
      <c r="C105" s="32" t="s">
        <v>1690</v>
      </c>
      <c r="D105" s="33" t="s">
        <v>4665</v>
      </c>
      <c r="E105" s="31" t="s">
        <v>4666</v>
      </c>
      <c r="F105" s="32"/>
      <c r="G105" s="32" t="s">
        <v>11</v>
      </c>
      <c r="H105" s="33" t="s">
        <v>9</v>
      </c>
    </row>
    <row r="106" spans="1:8" ht="14.5" customHeight="1" x14ac:dyDescent="0.3">
      <c r="A106" s="19" t="s">
        <v>7440</v>
      </c>
      <c r="B106" s="19" t="s">
        <v>1001</v>
      </c>
      <c r="C106" s="18" t="s">
        <v>2396</v>
      </c>
      <c r="D106" s="20" t="s">
        <v>4677</v>
      </c>
      <c r="E106" s="19" t="s">
        <v>4678</v>
      </c>
      <c r="F106" s="18"/>
      <c r="G106" s="18" t="s">
        <v>61</v>
      </c>
      <c r="H106" s="20" t="s">
        <v>60</v>
      </c>
    </row>
    <row r="107" spans="1:8" ht="14.5" customHeight="1" x14ac:dyDescent="0.3">
      <c r="A107" s="31" t="s">
        <v>363</v>
      </c>
      <c r="B107" s="31" t="s">
        <v>658</v>
      </c>
      <c r="C107" s="32" t="s">
        <v>364</v>
      </c>
      <c r="D107" s="33" t="s">
        <v>1546</v>
      </c>
      <c r="E107" s="31" t="s">
        <v>4679</v>
      </c>
      <c r="F107" s="32" t="s">
        <v>103</v>
      </c>
      <c r="G107" s="32" t="s">
        <v>4680</v>
      </c>
      <c r="H107" s="33" t="s">
        <v>166</v>
      </c>
    </row>
    <row r="108" spans="1:8" ht="14.5" customHeight="1" x14ac:dyDescent="0.3">
      <c r="A108" s="19" t="s">
        <v>1753</v>
      </c>
      <c r="B108" s="19" t="s">
        <v>736</v>
      </c>
      <c r="C108" s="18" t="s">
        <v>1754</v>
      </c>
      <c r="D108" s="20" t="s">
        <v>4652</v>
      </c>
      <c r="E108" s="19" t="s">
        <v>124</v>
      </c>
      <c r="F108" s="18"/>
      <c r="G108" s="18" t="s">
        <v>125</v>
      </c>
      <c r="H108" s="20" t="s">
        <v>50</v>
      </c>
    </row>
    <row r="109" spans="1:8" ht="14.5" customHeight="1" x14ac:dyDescent="0.3">
      <c r="A109" s="31" t="s">
        <v>3577</v>
      </c>
      <c r="B109" s="31" t="s">
        <v>4685</v>
      </c>
      <c r="C109" s="32" t="s">
        <v>3578</v>
      </c>
      <c r="D109" s="33" t="s">
        <v>4682</v>
      </c>
      <c r="E109" s="31" t="s">
        <v>4683</v>
      </c>
      <c r="F109" s="32" t="s">
        <v>4684</v>
      </c>
      <c r="G109" s="32" t="s">
        <v>42</v>
      </c>
      <c r="H109" s="33" t="s">
        <v>40</v>
      </c>
    </row>
    <row r="110" spans="1:8" ht="14.5" customHeight="1" x14ac:dyDescent="0.3">
      <c r="A110" s="19" t="s">
        <v>3278</v>
      </c>
      <c r="B110" s="19" t="s">
        <v>4691</v>
      </c>
      <c r="C110" s="18" t="s">
        <v>3279</v>
      </c>
      <c r="D110" s="20" t="s">
        <v>4688</v>
      </c>
      <c r="E110" s="19" t="s">
        <v>4689</v>
      </c>
      <c r="F110" s="18" t="s">
        <v>4690</v>
      </c>
      <c r="G110" s="18" t="s">
        <v>38</v>
      </c>
      <c r="H110" s="20" t="s">
        <v>3</v>
      </c>
    </row>
    <row r="111" spans="1:8" ht="14.5" customHeight="1" x14ac:dyDescent="0.3">
      <c r="A111" s="31" t="s">
        <v>7295</v>
      </c>
      <c r="B111" s="31" t="s">
        <v>4473</v>
      </c>
      <c r="C111" s="32" t="s">
        <v>1725</v>
      </c>
      <c r="D111" s="33" t="s">
        <v>4693</v>
      </c>
      <c r="E111" s="31" t="s">
        <v>4694</v>
      </c>
      <c r="F111" s="32" t="s">
        <v>103</v>
      </c>
      <c r="G111" s="32" t="s">
        <v>4695</v>
      </c>
      <c r="H111" s="33" t="s">
        <v>60</v>
      </c>
    </row>
    <row r="112" spans="1:8" ht="14.5" customHeight="1" x14ac:dyDescent="0.3">
      <c r="A112" s="19" t="s">
        <v>3302</v>
      </c>
      <c r="B112" s="19" t="s">
        <v>4699</v>
      </c>
      <c r="C112" s="18" t="s">
        <v>3303</v>
      </c>
      <c r="D112" s="20" t="s">
        <v>4696</v>
      </c>
      <c r="E112" s="19" t="s">
        <v>4697</v>
      </c>
      <c r="F112" s="18" t="s">
        <v>4698</v>
      </c>
      <c r="G112" s="18" t="s">
        <v>302</v>
      </c>
      <c r="H112" s="20" t="s">
        <v>196</v>
      </c>
    </row>
    <row r="113" spans="1:8" ht="14.5" customHeight="1" x14ac:dyDescent="0.3">
      <c r="A113" s="31" t="s">
        <v>3316</v>
      </c>
      <c r="B113" s="31" t="s">
        <v>4704</v>
      </c>
      <c r="C113" s="32" t="s">
        <v>3317</v>
      </c>
      <c r="D113" s="33" t="s">
        <v>4700</v>
      </c>
      <c r="E113" s="31" t="s">
        <v>4701</v>
      </c>
      <c r="F113" s="32" t="s">
        <v>4702</v>
      </c>
      <c r="G113" s="32" t="s">
        <v>4703</v>
      </c>
      <c r="H113" s="33" t="s">
        <v>74</v>
      </c>
    </row>
    <row r="114" spans="1:8" ht="14.5" customHeight="1" x14ac:dyDescent="0.3">
      <c r="A114" s="19" t="s">
        <v>4195</v>
      </c>
      <c r="B114" s="19" t="s">
        <v>4500</v>
      </c>
      <c r="C114" s="18" t="s">
        <v>4196</v>
      </c>
      <c r="D114" s="20" t="s">
        <v>4707</v>
      </c>
      <c r="E114" s="19" t="s">
        <v>4708</v>
      </c>
      <c r="F114" s="18" t="s">
        <v>4709</v>
      </c>
      <c r="G114" s="18" t="s">
        <v>11</v>
      </c>
      <c r="H114" s="20" t="s">
        <v>9</v>
      </c>
    </row>
    <row r="115" spans="1:8" ht="14.5" customHeight="1" x14ac:dyDescent="0.3">
      <c r="A115" s="31" t="s">
        <v>7329</v>
      </c>
      <c r="B115" s="31" t="s">
        <v>4715</v>
      </c>
      <c r="C115" s="32" t="s">
        <v>2204</v>
      </c>
      <c r="D115" s="33" t="s">
        <v>4711</v>
      </c>
      <c r="E115" s="31" t="s">
        <v>4712</v>
      </c>
      <c r="F115" s="32" t="s">
        <v>4713</v>
      </c>
      <c r="G115" s="32" t="s">
        <v>4714</v>
      </c>
      <c r="H115" s="33" t="s">
        <v>17</v>
      </c>
    </row>
    <row r="116" spans="1:8" ht="14.5" customHeight="1" x14ac:dyDescent="0.3">
      <c r="A116" s="19" t="s">
        <v>7265</v>
      </c>
      <c r="B116" s="19" t="s">
        <v>4719</v>
      </c>
      <c r="C116" s="18" t="s">
        <v>2148</v>
      </c>
      <c r="D116" s="20" t="s">
        <v>4716</v>
      </c>
      <c r="E116" s="19" t="s">
        <v>4717</v>
      </c>
      <c r="F116" s="18" t="s">
        <v>4718</v>
      </c>
      <c r="G116" s="18" t="s">
        <v>21</v>
      </c>
      <c r="H116" s="20" t="s">
        <v>17</v>
      </c>
    </row>
    <row r="117" spans="1:8" ht="14.5" customHeight="1" x14ac:dyDescent="0.3">
      <c r="A117" s="31" t="s">
        <v>3002</v>
      </c>
      <c r="B117" s="31" t="s">
        <v>4725</v>
      </c>
      <c r="C117" s="32" t="s">
        <v>3003</v>
      </c>
      <c r="D117" s="33" t="s">
        <v>4721</v>
      </c>
      <c r="E117" s="31" t="s">
        <v>4722</v>
      </c>
      <c r="F117" s="32" t="s">
        <v>4723</v>
      </c>
      <c r="G117" s="32" t="s">
        <v>4724</v>
      </c>
      <c r="H117" s="33" t="s">
        <v>4253</v>
      </c>
    </row>
    <row r="118" spans="1:8" ht="14.5" customHeight="1" x14ac:dyDescent="0.3">
      <c r="A118" s="19" t="s">
        <v>1819</v>
      </c>
      <c r="B118" s="19" t="s">
        <v>4731</v>
      </c>
      <c r="C118" s="18" t="s">
        <v>1820</v>
      </c>
      <c r="D118" s="20" t="s">
        <v>4726</v>
      </c>
      <c r="E118" s="19" t="s">
        <v>4727</v>
      </c>
      <c r="F118" s="18" t="s">
        <v>4728</v>
      </c>
      <c r="G118" s="18" t="s">
        <v>4729</v>
      </c>
      <c r="H118" s="20" t="s">
        <v>92</v>
      </c>
    </row>
    <row r="119" spans="1:8" ht="14.5" customHeight="1" x14ac:dyDescent="0.3">
      <c r="A119" s="31" t="s">
        <v>3612</v>
      </c>
      <c r="B119" s="31" t="s">
        <v>4735</v>
      </c>
      <c r="C119" s="32" t="s">
        <v>3613</v>
      </c>
      <c r="D119" s="33" t="s">
        <v>4732</v>
      </c>
      <c r="E119" s="31" t="s">
        <v>4733</v>
      </c>
      <c r="F119" s="32" t="s">
        <v>4734</v>
      </c>
      <c r="G119" s="32" t="s">
        <v>4593</v>
      </c>
      <c r="H119" s="33" t="s">
        <v>74</v>
      </c>
    </row>
    <row r="120" spans="1:8" ht="14.5" customHeight="1" x14ac:dyDescent="0.3">
      <c r="A120" s="19" t="s">
        <v>7272</v>
      </c>
      <c r="B120" s="19" t="s">
        <v>4740</v>
      </c>
      <c r="C120" s="18" t="s">
        <v>1728</v>
      </c>
      <c r="D120" s="20" t="s">
        <v>4737</v>
      </c>
      <c r="E120" s="19" t="s">
        <v>4738</v>
      </c>
      <c r="F120" s="18" t="s">
        <v>4739</v>
      </c>
      <c r="G120" s="18" t="s">
        <v>11</v>
      </c>
      <c r="H120" s="20" t="s">
        <v>9</v>
      </c>
    </row>
    <row r="121" spans="1:8" ht="14.5" customHeight="1" x14ac:dyDescent="0.3">
      <c r="A121" s="31" t="s">
        <v>3053</v>
      </c>
      <c r="B121" s="31" t="s">
        <v>4744</v>
      </c>
      <c r="C121" s="32" t="s">
        <v>3054</v>
      </c>
      <c r="D121" s="33" t="s">
        <v>4741</v>
      </c>
      <c r="E121" s="31" t="s">
        <v>4742</v>
      </c>
      <c r="F121" s="32" t="s">
        <v>4743</v>
      </c>
      <c r="G121" s="32" t="s">
        <v>61</v>
      </c>
      <c r="H121" s="33" t="s">
        <v>60</v>
      </c>
    </row>
    <row r="122" spans="1:8" ht="14.5" customHeight="1" x14ac:dyDescent="0.3">
      <c r="A122" s="19" t="s">
        <v>7746</v>
      </c>
      <c r="B122" s="19" t="s">
        <v>4747</v>
      </c>
      <c r="C122" s="18" t="s">
        <v>3068</v>
      </c>
      <c r="D122" s="20" t="s">
        <v>4745</v>
      </c>
      <c r="E122" s="19" t="s">
        <v>4746</v>
      </c>
      <c r="F122" s="18" t="s">
        <v>4255</v>
      </c>
      <c r="G122" s="18" t="s">
        <v>61</v>
      </c>
      <c r="H122" s="20" t="s">
        <v>60</v>
      </c>
    </row>
    <row r="123" spans="1:8" ht="14.5" customHeight="1" x14ac:dyDescent="0.3">
      <c r="A123" s="31" t="s">
        <v>242</v>
      </c>
      <c r="B123" s="31" t="s">
        <v>1199</v>
      </c>
      <c r="C123" s="32" t="s">
        <v>243</v>
      </c>
      <c r="D123" s="33" t="s">
        <v>244</v>
      </c>
      <c r="E123" s="31" t="s">
        <v>4748</v>
      </c>
      <c r="F123" s="32" t="s">
        <v>245</v>
      </c>
      <c r="G123" s="32" t="s">
        <v>4687</v>
      </c>
      <c r="H123" s="33" t="s">
        <v>40</v>
      </c>
    </row>
    <row r="124" spans="1:8" ht="14.5" customHeight="1" x14ac:dyDescent="0.3">
      <c r="A124" s="19" t="s">
        <v>3265</v>
      </c>
      <c r="B124" s="19" t="s">
        <v>4752</v>
      </c>
      <c r="C124" s="18" t="s">
        <v>3266</v>
      </c>
      <c r="D124" s="20" t="s">
        <v>4749</v>
      </c>
      <c r="E124" s="19" t="s">
        <v>4750</v>
      </c>
      <c r="F124" s="18" t="s">
        <v>4751</v>
      </c>
      <c r="G124" s="18" t="s">
        <v>4243</v>
      </c>
      <c r="H124" s="20" t="s">
        <v>32</v>
      </c>
    </row>
    <row r="125" spans="1:8" ht="14.5" customHeight="1" x14ac:dyDescent="0.3">
      <c r="A125" s="31" t="s">
        <v>3056</v>
      </c>
      <c r="B125" s="31" t="s">
        <v>4760</v>
      </c>
      <c r="C125" s="32" t="s">
        <v>3057</v>
      </c>
      <c r="D125" s="33" t="s">
        <v>4758</v>
      </c>
      <c r="E125" s="31" t="s">
        <v>4759</v>
      </c>
      <c r="F125" s="32" t="s">
        <v>331</v>
      </c>
      <c r="G125" s="32" t="s">
        <v>4488</v>
      </c>
      <c r="H125" s="33" t="s">
        <v>13</v>
      </c>
    </row>
    <row r="126" spans="1:8" ht="14.5" customHeight="1" x14ac:dyDescent="0.3">
      <c r="A126" s="19" t="s">
        <v>7618</v>
      </c>
      <c r="B126" s="19" t="s">
        <v>4561</v>
      </c>
      <c r="C126" s="18" t="s">
        <v>2586</v>
      </c>
      <c r="D126" s="20" t="s">
        <v>4762</v>
      </c>
      <c r="E126" s="19" t="s">
        <v>4763</v>
      </c>
      <c r="F126" s="18" t="s">
        <v>4643</v>
      </c>
      <c r="G126" s="18" t="s">
        <v>11</v>
      </c>
      <c r="H126" s="20" t="s">
        <v>9</v>
      </c>
    </row>
    <row r="127" spans="1:8" ht="14.5" customHeight="1" x14ac:dyDescent="0.3">
      <c r="A127" s="31" t="s">
        <v>3789</v>
      </c>
      <c r="B127" s="31" t="s">
        <v>4767</v>
      </c>
      <c r="C127" s="32" t="s">
        <v>3790</v>
      </c>
      <c r="D127" s="33" t="s">
        <v>4764</v>
      </c>
      <c r="E127" s="31" t="s">
        <v>4765</v>
      </c>
      <c r="F127" s="32" t="s">
        <v>4766</v>
      </c>
      <c r="G127" s="32" t="s">
        <v>61</v>
      </c>
      <c r="H127" s="33" t="s">
        <v>60</v>
      </c>
    </row>
    <row r="128" spans="1:8" ht="14.5" customHeight="1" x14ac:dyDescent="0.3">
      <c r="A128" s="19" t="s">
        <v>3755</v>
      </c>
      <c r="B128" s="19" t="s">
        <v>4771</v>
      </c>
      <c r="C128" s="18" t="s">
        <v>3756</v>
      </c>
      <c r="D128" s="20" t="s">
        <v>4768</v>
      </c>
      <c r="E128" s="19" t="s">
        <v>4769</v>
      </c>
      <c r="F128" s="18" t="s">
        <v>4770</v>
      </c>
      <c r="G128" s="18" t="s">
        <v>70</v>
      </c>
      <c r="H128" s="20" t="s">
        <v>17</v>
      </c>
    </row>
    <row r="129" spans="1:8" ht="14.5" customHeight="1" x14ac:dyDescent="0.3">
      <c r="A129" s="31" t="s">
        <v>7317</v>
      </c>
      <c r="B129" s="31" t="s">
        <v>4778</v>
      </c>
      <c r="C129" s="32" t="s">
        <v>2875</v>
      </c>
      <c r="D129" s="33" t="s">
        <v>4774</v>
      </c>
      <c r="E129" s="31" t="s">
        <v>4775</v>
      </c>
      <c r="F129" s="32" t="s">
        <v>4776</v>
      </c>
      <c r="G129" s="32" t="s">
        <v>4777</v>
      </c>
      <c r="H129" s="33" t="s">
        <v>17</v>
      </c>
    </row>
    <row r="130" spans="1:8" ht="14.5" customHeight="1" x14ac:dyDescent="0.3">
      <c r="A130" s="19" t="s">
        <v>7316</v>
      </c>
      <c r="B130" s="19" t="s">
        <v>4782</v>
      </c>
      <c r="C130" s="18" t="s">
        <v>2684</v>
      </c>
      <c r="D130" s="20" t="s">
        <v>4779</v>
      </c>
      <c r="E130" s="19" t="s">
        <v>4780</v>
      </c>
      <c r="F130" s="18" t="s">
        <v>4781</v>
      </c>
      <c r="G130" s="18" t="s">
        <v>59</v>
      </c>
      <c r="H130" s="20" t="s">
        <v>13</v>
      </c>
    </row>
    <row r="131" spans="1:8" ht="14.5" customHeight="1" x14ac:dyDescent="0.3">
      <c r="A131" s="31" t="s">
        <v>3081</v>
      </c>
      <c r="B131" s="31" t="s">
        <v>4786</v>
      </c>
      <c r="C131" s="32" t="s">
        <v>3082</v>
      </c>
      <c r="D131" s="33" t="s">
        <v>4783</v>
      </c>
      <c r="E131" s="31" t="s">
        <v>4784</v>
      </c>
      <c r="F131" s="32" t="s">
        <v>4785</v>
      </c>
      <c r="G131" s="32" t="s">
        <v>21</v>
      </c>
      <c r="H131" s="33" t="s">
        <v>17</v>
      </c>
    </row>
    <row r="132" spans="1:8" ht="14.5" customHeight="1" x14ac:dyDescent="0.3">
      <c r="A132" s="19" t="s">
        <v>4095</v>
      </c>
      <c r="B132" s="19" t="s">
        <v>4789</v>
      </c>
      <c r="C132" s="18" t="s">
        <v>4096</v>
      </c>
      <c r="D132" s="20" t="s">
        <v>4787</v>
      </c>
      <c r="E132" s="19" t="s">
        <v>4788</v>
      </c>
      <c r="F132" s="18" t="s">
        <v>4545</v>
      </c>
      <c r="G132" s="18" t="s">
        <v>285</v>
      </c>
      <c r="H132" s="20" t="s">
        <v>148</v>
      </c>
    </row>
    <row r="133" spans="1:8" ht="14.5" customHeight="1" x14ac:dyDescent="0.3">
      <c r="A133" s="31" t="s">
        <v>7291</v>
      </c>
      <c r="B133" s="31" t="s">
        <v>943</v>
      </c>
      <c r="C133" s="32" t="s">
        <v>945</v>
      </c>
      <c r="D133" s="33" t="s">
        <v>4790</v>
      </c>
      <c r="E133" s="31" t="s">
        <v>4791</v>
      </c>
      <c r="F133" s="32"/>
      <c r="G133" s="32" t="s">
        <v>159</v>
      </c>
      <c r="H133" s="33" t="s">
        <v>9</v>
      </c>
    </row>
    <row r="134" spans="1:8" ht="14.5" customHeight="1" x14ac:dyDescent="0.3">
      <c r="A134" s="19" t="s">
        <v>315</v>
      </c>
      <c r="B134" s="19" t="s">
        <v>1368</v>
      </c>
      <c r="C134" s="18" t="s">
        <v>316</v>
      </c>
      <c r="D134" s="20" t="s">
        <v>1371</v>
      </c>
      <c r="E134" s="19" t="s">
        <v>4793</v>
      </c>
      <c r="F134" s="18" t="s">
        <v>317</v>
      </c>
      <c r="G134" s="18" t="s">
        <v>164</v>
      </c>
      <c r="H134" s="20" t="s">
        <v>84</v>
      </c>
    </row>
    <row r="135" spans="1:8" ht="14.5" customHeight="1" x14ac:dyDescent="0.3">
      <c r="A135" s="31" t="s">
        <v>7620</v>
      </c>
      <c r="B135" s="31" t="s">
        <v>4797</v>
      </c>
      <c r="C135" s="32" t="s">
        <v>2589</v>
      </c>
      <c r="D135" s="33" t="s">
        <v>4794</v>
      </c>
      <c r="E135" s="31" t="s">
        <v>4795</v>
      </c>
      <c r="F135" s="32" t="s">
        <v>4796</v>
      </c>
      <c r="G135" s="32" t="s">
        <v>4277</v>
      </c>
      <c r="H135" s="33" t="s">
        <v>4274</v>
      </c>
    </row>
    <row r="136" spans="1:8" ht="14.5" customHeight="1" x14ac:dyDescent="0.3">
      <c r="A136" s="19" t="s">
        <v>3678</v>
      </c>
      <c r="B136" s="19" t="s">
        <v>4802</v>
      </c>
      <c r="C136" s="18" t="s">
        <v>3679</v>
      </c>
      <c r="D136" s="20" t="s">
        <v>4799</v>
      </c>
      <c r="E136" s="19" t="s">
        <v>4800</v>
      </c>
      <c r="F136" s="18" t="s">
        <v>4801</v>
      </c>
      <c r="G136" s="18" t="s">
        <v>11</v>
      </c>
      <c r="H136" s="20" t="s">
        <v>9</v>
      </c>
    </row>
    <row r="137" spans="1:8" ht="14.5" customHeight="1" x14ac:dyDescent="0.3">
      <c r="A137" s="31" t="s">
        <v>3711</v>
      </c>
      <c r="B137" s="31" t="s">
        <v>4806</v>
      </c>
      <c r="C137" s="32" t="s">
        <v>3712</v>
      </c>
      <c r="D137" s="33" t="s">
        <v>4803</v>
      </c>
      <c r="E137" s="31" t="s">
        <v>4804</v>
      </c>
      <c r="F137" s="32" t="s">
        <v>4805</v>
      </c>
      <c r="G137" s="32" t="s">
        <v>11</v>
      </c>
      <c r="H137" s="33" t="s">
        <v>9</v>
      </c>
    </row>
    <row r="138" spans="1:8" ht="14.5" customHeight="1" x14ac:dyDescent="0.3">
      <c r="A138" s="19" t="s">
        <v>7309</v>
      </c>
      <c r="B138" s="19" t="s">
        <v>4814</v>
      </c>
      <c r="C138" s="18" t="s">
        <v>3824</v>
      </c>
      <c r="D138" s="20">
        <v>84991515376</v>
      </c>
      <c r="E138" s="19" t="s">
        <v>4813</v>
      </c>
      <c r="F138" s="18" t="s">
        <v>4773</v>
      </c>
      <c r="G138" s="18" t="s">
        <v>4243</v>
      </c>
      <c r="H138" s="20" t="s">
        <v>32</v>
      </c>
    </row>
    <row r="139" spans="1:8" ht="14.5" customHeight="1" x14ac:dyDescent="0.3">
      <c r="A139" s="31" t="s">
        <v>3976</v>
      </c>
      <c r="B139" s="31" t="s">
        <v>4755</v>
      </c>
      <c r="C139" s="32" t="s">
        <v>3977</v>
      </c>
      <c r="D139" s="33" t="s">
        <v>4753</v>
      </c>
      <c r="E139" s="31" t="s">
        <v>4754</v>
      </c>
      <c r="F139" s="32" t="s">
        <v>4255</v>
      </c>
      <c r="G139" s="32" t="s">
        <v>61</v>
      </c>
      <c r="H139" s="33" t="s">
        <v>60</v>
      </c>
    </row>
    <row r="140" spans="1:8" ht="14.5" customHeight="1" x14ac:dyDescent="0.3">
      <c r="A140" s="19" t="s">
        <v>2628</v>
      </c>
      <c r="B140" s="19" t="s">
        <v>1437</v>
      </c>
      <c r="C140" s="18" t="s">
        <v>336</v>
      </c>
      <c r="D140" s="20" t="s">
        <v>4807</v>
      </c>
      <c r="E140" s="19" t="s">
        <v>4808</v>
      </c>
      <c r="F140" s="18" t="s">
        <v>337</v>
      </c>
      <c r="G140" s="18" t="s">
        <v>337</v>
      </c>
      <c r="H140" s="20" t="s">
        <v>196</v>
      </c>
    </row>
    <row r="141" spans="1:8" ht="14.5" customHeight="1" x14ac:dyDescent="0.3">
      <c r="A141" s="31" t="s">
        <v>4007</v>
      </c>
      <c r="B141" s="31" t="s">
        <v>618</v>
      </c>
      <c r="C141" s="32" t="s">
        <v>4008</v>
      </c>
      <c r="D141" s="33" t="s">
        <v>4809</v>
      </c>
      <c r="E141" s="31" t="s">
        <v>4810</v>
      </c>
      <c r="F141" s="32" t="s">
        <v>4811</v>
      </c>
      <c r="G141" s="32" t="s">
        <v>65</v>
      </c>
      <c r="H141" s="33" t="s">
        <v>64</v>
      </c>
    </row>
    <row r="142" spans="1:8" ht="14.5" customHeight="1" x14ac:dyDescent="0.3">
      <c r="A142" s="19" t="s">
        <v>272</v>
      </c>
      <c r="B142" s="19" t="s">
        <v>1516</v>
      </c>
      <c r="C142" s="18" t="s">
        <v>273</v>
      </c>
      <c r="D142" s="20" t="s">
        <v>274</v>
      </c>
      <c r="E142" s="19" t="s">
        <v>4812</v>
      </c>
      <c r="F142" s="18" t="s">
        <v>275</v>
      </c>
      <c r="G142" s="18" t="s">
        <v>61</v>
      </c>
      <c r="H142" s="20" t="s">
        <v>60</v>
      </c>
    </row>
    <row r="143" spans="1:8" ht="14.5" customHeight="1" x14ac:dyDescent="0.3">
      <c r="A143" s="31" t="s">
        <v>2125</v>
      </c>
      <c r="B143" s="31" t="s">
        <v>563</v>
      </c>
      <c r="C143" s="32" t="s">
        <v>2126</v>
      </c>
      <c r="D143" s="33" t="s">
        <v>4815</v>
      </c>
      <c r="E143" s="31" t="s">
        <v>4816</v>
      </c>
      <c r="F143" s="32" t="s">
        <v>4477</v>
      </c>
      <c r="G143" s="32" t="s">
        <v>4817</v>
      </c>
      <c r="H143" s="33" t="s">
        <v>32</v>
      </c>
    </row>
    <row r="144" spans="1:8" ht="14.5" customHeight="1" x14ac:dyDescent="0.3">
      <c r="A144" s="19" t="s">
        <v>3011</v>
      </c>
      <c r="B144" s="19" t="s">
        <v>4821</v>
      </c>
      <c r="C144" s="18" t="s">
        <v>3012</v>
      </c>
      <c r="D144" s="20" t="s">
        <v>4818</v>
      </c>
      <c r="E144" s="19" t="s">
        <v>4819</v>
      </c>
      <c r="F144" s="18" t="s">
        <v>4820</v>
      </c>
      <c r="G144" s="18" t="s">
        <v>285</v>
      </c>
      <c r="H144" s="20" t="s">
        <v>148</v>
      </c>
    </row>
    <row r="145" spans="1:8" ht="14.5" customHeight="1" x14ac:dyDescent="0.3">
      <c r="A145" s="31" t="s">
        <v>7552</v>
      </c>
      <c r="B145" s="31" t="s">
        <v>4479</v>
      </c>
      <c r="C145" s="32" t="s">
        <v>3420</v>
      </c>
      <c r="D145" s="33" t="s">
        <v>4822</v>
      </c>
      <c r="E145" s="31" t="s">
        <v>4823</v>
      </c>
      <c r="F145" s="32" t="s">
        <v>4824</v>
      </c>
      <c r="G145" s="32" t="s">
        <v>30</v>
      </c>
      <c r="H145" s="33" t="s">
        <v>13</v>
      </c>
    </row>
    <row r="146" spans="1:8" ht="14.5" customHeight="1" x14ac:dyDescent="0.3">
      <c r="A146" s="19" t="s">
        <v>8</v>
      </c>
      <c r="B146" s="19" t="s">
        <v>466</v>
      </c>
      <c r="C146" s="18" t="s">
        <v>2252</v>
      </c>
      <c r="D146" s="20" t="s">
        <v>4825</v>
      </c>
      <c r="E146" s="19" t="s">
        <v>4826</v>
      </c>
      <c r="F146" s="18" t="s">
        <v>10</v>
      </c>
      <c r="G146" s="18" t="s">
        <v>4827</v>
      </c>
      <c r="H146" s="20" t="s">
        <v>9</v>
      </c>
    </row>
    <row r="147" spans="1:8" ht="14.5" customHeight="1" x14ac:dyDescent="0.3">
      <c r="A147" s="31" t="s">
        <v>7266</v>
      </c>
      <c r="B147" s="31" t="s">
        <v>4833</v>
      </c>
      <c r="C147" s="32" t="s">
        <v>2652</v>
      </c>
      <c r="D147" s="33" t="s">
        <v>4829</v>
      </c>
      <c r="E147" s="31" t="s">
        <v>4830</v>
      </c>
      <c r="F147" s="32" t="s">
        <v>4831</v>
      </c>
      <c r="G147" s="32" t="s">
        <v>4832</v>
      </c>
      <c r="H147" s="33" t="s">
        <v>166</v>
      </c>
    </row>
    <row r="148" spans="1:8" ht="14.5" customHeight="1" x14ac:dyDescent="0.3">
      <c r="A148" s="19" t="s">
        <v>3969</v>
      </c>
      <c r="B148" s="19" t="s">
        <v>4837</v>
      </c>
      <c r="C148" s="18" t="s">
        <v>3970</v>
      </c>
      <c r="D148" s="20" t="s">
        <v>4834</v>
      </c>
      <c r="E148" s="19" t="s">
        <v>4835</v>
      </c>
      <c r="F148" s="18" t="s">
        <v>4836</v>
      </c>
      <c r="G148" s="18" t="s">
        <v>75</v>
      </c>
      <c r="H148" s="20" t="s">
        <v>74</v>
      </c>
    </row>
    <row r="149" spans="1:8" ht="14.5" customHeight="1" x14ac:dyDescent="0.3">
      <c r="A149" s="31" t="s">
        <v>7276</v>
      </c>
      <c r="B149" s="31" t="s">
        <v>4843</v>
      </c>
      <c r="C149" s="32" t="s">
        <v>2290</v>
      </c>
      <c r="D149" s="33" t="s">
        <v>4840</v>
      </c>
      <c r="E149" s="31" t="s">
        <v>4841</v>
      </c>
      <c r="F149" s="32" t="s">
        <v>4842</v>
      </c>
      <c r="G149" s="32" t="s">
        <v>285</v>
      </c>
      <c r="H149" s="33" t="s">
        <v>148</v>
      </c>
    </row>
    <row r="150" spans="1:8" ht="14.5" customHeight="1" x14ac:dyDescent="0.3">
      <c r="A150" s="19" t="s">
        <v>3185</v>
      </c>
      <c r="B150" s="19" t="s">
        <v>4848</v>
      </c>
      <c r="C150" s="18" t="s">
        <v>3186</v>
      </c>
      <c r="D150" s="20" t="s">
        <v>4844</v>
      </c>
      <c r="E150" s="19" t="s">
        <v>4845</v>
      </c>
      <c r="F150" s="18" t="s">
        <v>4846</v>
      </c>
      <c r="G150" s="18" t="s">
        <v>4847</v>
      </c>
      <c r="H150" s="20" t="s">
        <v>74</v>
      </c>
    </row>
    <row r="151" spans="1:8" ht="14.5" customHeight="1" x14ac:dyDescent="0.3">
      <c r="A151" s="31" t="s">
        <v>7292</v>
      </c>
      <c r="B151" s="31" t="s">
        <v>4852</v>
      </c>
      <c r="C151" s="32" t="s">
        <v>2189</v>
      </c>
      <c r="D151" s="33" t="s">
        <v>97</v>
      </c>
      <c r="E151" s="31" t="s">
        <v>4849</v>
      </c>
      <c r="F151" s="32" t="s">
        <v>4850</v>
      </c>
      <c r="G151" s="32" t="s">
        <v>4851</v>
      </c>
      <c r="H151" s="33" t="s">
        <v>252</v>
      </c>
    </row>
    <row r="152" spans="1:8" ht="14.5" customHeight="1" x14ac:dyDescent="0.3">
      <c r="A152" s="19" t="s">
        <v>3328</v>
      </c>
      <c r="B152" s="19" t="s">
        <v>4859</v>
      </c>
      <c r="C152" s="18" t="s">
        <v>3329</v>
      </c>
      <c r="D152" s="20" t="s">
        <v>4855</v>
      </c>
      <c r="E152" s="19" t="s">
        <v>4856</v>
      </c>
      <c r="F152" s="18" t="s">
        <v>4857</v>
      </c>
      <c r="G152" s="18" t="s">
        <v>4858</v>
      </c>
      <c r="H152" s="20" t="s">
        <v>84</v>
      </c>
    </row>
    <row r="153" spans="1:8" ht="14.5" customHeight="1" x14ac:dyDescent="0.3">
      <c r="A153" s="31" t="s">
        <v>3387</v>
      </c>
      <c r="B153" s="31" t="s">
        <v>563</v>
      </c>
      <c r="C153" s="32" t="s">
        <v>3388</v>
      </c>
      <c r="D153" s="33" t="s">
        <v>4860</v>
      </c>
      <c r="E153" s="31" t="s">
        <v>4861</v>
      </c>
      <c r="F153" s="32" t="s">
        <v>4517</v>
      </c>
      <c r="G153" s="32" t="s">
        <v>4817</v>
      </c>
      <c r="H153" s="33" t="s">
        <v>32</v>
      </c>
    </row>
    <row r="154" spans="1:8" ht="14.5" customHeight="1" x14ac:dyDescent="0.3">
      <c r="A154" s="19" t="s">
        <v>7305</v>
      </c>
      <c r="B154" s="19" t="s">
        <v>4865</v>
      </c>
      <c r="C154" s="18" t="s">
        <v>2831</v>
      </c>
      <c r="D154" s="20" t="s">
        <v>4862</v>
      </c>
      <c r="E154" s="19" t="s">
        <v>4863</v>
      </c>
      <c r="F154" s="18" t="s">
        <v>4864</v>
      </c>
      <c r="G154" s="18" t="s">
        <v>59</v>
      </c>
      <c r="H154" s="20" t="s">
        <v>13</v>
      </c>
    </row>
    <row r="155" spans="1:8" ht="14.5" customHeight="1" x14ac:dyDescent="0.3">
      <c r="A155" s="31" t="s">
        <v>3594</v>
      </c>
      <c r="B155" s="31" t="s">
        <v>4871</v>
      </c>
      <c r="C155" s="32" t="s">
        <v>3595</v>
      </c>
      <c r="D155" s="33" t="s">
        <v>4867</v>
      </c>
      <c r="E155" s="31" t="s">
        <v>4868</v>
      </c>
      <c r="F155" s="32" t="s">
        <v>4869</v>
      </c>
      <c r="G155" s="32" t="s">
        <v>4870</v>
      </c>
      <c r="H155" s="33" t="s">
        <v>17</v>
      </c>
    </row>
    <row r="156" spans="1:8" ht="14.5" customHeight="1" x14ac:dyDescent="0.3">
      <c r="A156" s="19" t="s">
        <v>3675</v>
      </c>
      <c r="B156" s="19" t="s">
        <v>4879</v>
      </c>
      <c r="C156" s="18" t="s">
        <v>3676</v>
      </c>
      <c r="D156" s="20" t="s">
        <v>4877</v>
      </c>
      <c r="E156" s="19" t="s">
        <v>1324</v>
      </c>
      <c r="F156" s="18" t="s">
        <v>4878</v>
      </c>
      <c r="G156" s="18" t="s">
        <v>38</v>
      </c>
      <c r="H156" s="20" t="s">
        <v>3</v>
      </c>
    </row>
    <row r="157" spans="1:8" ht="14.5" customHeight="1" x14ac:dyDescent="0.3">
      <c r="A157" s="31" t="s">
        <v>4049</v>
      </c>
      <c r="B157" s="31" t="s">
        <v>4883</v>
      </c>
      <c r="C157" s="32" t="s">
        <v>4050</v>
      </c>
      <c r="D157" s="33" t="s">
        <v>4880</v>
      </c>
      <c r="E157" s="31" t="s">
        <v>4881</v>
      </c>
      <c r="F157" s="32" t="s">
        <v>4882</v>
      </c>
      <c r="G157" s="32" t="s">
        <v>4279</v>
      </c>
      <c r="H157" s="33" t="s">
        <v>287</v>
      </c>
    </row>
    <row r="158" spans="1:8" ht="14.5" customHeight="1" x14ac:dyDescent="0.3">
      <c r="A158" s="19" t="s">
        <v>3325</v>
      </c>
      <c r="B158" s="19" t="s">
        <v>4888</v>
      </c>
      <c r="C158" s="18" t="s">
        <v>3326</v>
      </c>
      <c r="D158" s="20" t="s">
        <v>4884</v>
      </c>
      <c r="E158" s="19" t="s">
        <v>4885</v>
      </c>
      <c r="F158" s="18" t="s">
        <v>4886</v>
      </c>
      <c r="G158" s="18" t="s">
        <v>4887</v>
      </c>
      <c r="H158" s="20" t="s">
        <v>84</v>
      </c>
    </row>
    <row r="159" spans="1:8" ht="14.5" customHeight="1" x14ac:dyDescent="0.3">
      <c r="A159" s="31" t="s">
        <v>7284</v>
      </c>
      <c r="B159" s="31" t="s">
        <v>4893</v>
      </c>
      <c r="C159" s="32" t="s">
        <v>1675</v>
      </c>
      <c r="D159" s="33" t="s">
        <v>4889</v>
      </c>
      <c r="E159" s="31" t="s">
        <v>4890</v>
      </c>
      <c r="F159" s="32" t="s">
        <v>4891</v>
      </c>
      <c r="G159" s="32" t="s">
        <v>4892</v>
      </c>
      <c r="H159" s="33" t="s">
        <v>287</v>
      </c>
    </row>
    <row r="160" spans="1:8" ht="14.5" customHeight="1" x14ac:dyDescent="0.3">
      <c r="A160" s="19" t="s">
        <v>7312</v>
      </c>
      <c r="B160" s="19" t="s">
        <v>4876</v>
      </c>
      <c r="C160" s="18" t="s">
        <v>1925</v>
      </c>
      <c r="D160" s="20" t="s">
        <v>4872</v>
      </c>
      <c r="E160" s="19" t="s">
        <v>4873</v>
      </c>
      <c r="F160" s="18" t="s">
        <v>4874</v>
      </c>
      <c r="G160" s="18" t="s">
        <v>4875</v>
      </c>
      <c r="H160" s="20" t="s">
        <v>17</v>
      </c>
    </row>
    <row r="161" spans="1:8" ht="14.5" customHeight="1" x14ac:dyDescent="0.3">
      <c r="A161" s="31" t="s">
        <v>3136</v>
      </c>
      <c r="B161" s="31" t="s">
        <v>4897</v>
      </c>
      <c r="C161" s="32" t="s">
        <v>3137</v>
      </c>
      <c r="D161" s="33" t="s">
        <v>4894</v>
      </c>
      <c r="E161" s="31" t="s">
        <v>4895</v>
      </c>
      <c r="F161" s="32" t="s">
        <v>4896</v>
      </c>
      <c r="G161" s="32" t="s">
        <v>4870</v>
      </c>
      <c r="H161" s="33" t="s">
        <v>17</v>
      </c>
    </row>
    <row r="162" spans="1:8" ht="14.5" customHeight="1" x14ac:dyDescent="0.3">
      <c r="A162" s="19" t="s">
        <v>3244</v>
      </c>
      <c r="B162" s="19" t="s">
        <v>4901</v>
      </c>
      <c r="C162" s="18" t="s">
        <v>3245</v>
      </c>
      <c r="D162" s="20" t="s">
        <v>4898</v>
      </c>
      <c r="E162" s="19" t="s">
        <v>4899</v>
      </c>
      <c r="F162" s="18" t="s">
        <v>4900</v>
      </c>
      <c r="G162" s="18" t="s">
        <v>285</v>
      </c>
      <c r="H162" s="20" t="s">
        <v>148</v>
      </c>
    </row>
    <row r="163" spans="1:8" ht="14.5" customHeight="1" x14ac:dyDescent="0.3">
      <c r="A163" s="31" t="s">
        <v>7422</v>
      </c>
      <c r="B163" s="31" t="s">
        <v>4906</v>
      </c>
      <c r="C163" s="32" t="s">
        <v>2369</v>
      </c>
      <c r="D163" s="33" t="s">
        <v>4902</v>
      </c>
      <c r="E163" s="31" t="s">
        <v>4903</v>
      </c>
      <c r="F163" s="32" t="s">
        <v>4904</v>
      </c>
      <c r="G163" s="32" t="s">
        <v>4905</v>
      </c>
      <c r="H163" s="33" t="s">
        <v>32</v>
      </c>
    </row>
    <row r="164" spans="1:8" ht="14.5" customHeight="1" x14ac:dyDescent="0.3">
      <c r="A164" s="19" t="s">
        <v>7601</v>
      </c>
      <c r="B164" s="19" t="s">
        <v>563</v>
      </c>
      <c r="C164" s="18" t="s">
        <v>565</v>
      </c>
      <c r="D164" s="20" t="s">
        <v>4907</v>
      </c>
      <c r="E164" s="19" t="s">
        <v>4908</v>
      </c>
      <c r="F164" s="18"/>
      <c r="G164" s="18" t="s">
        <v>62</v>
      </c>
      <c r="H164" s="20" t="s">
        <v>17</v>
      </c>
    </row>
    <row r="165" spans="1:8" ht="14.5" customHeight="1" x14ac:dyDescent="0.3">
      <c r="A165" s="31" t="s">
        <v>3738</v>
      </c>
      <c r="B165" s="31" t="s">
        <v>507</v>
      </c>
      <c r="C165" s="32" t="s">
        <v>3739</v>
      </c>
      <c r="D165" s="33" t="s">
        <v>4914</v>
      </c>
      <c r="E165" s="31" t="s">
        <v>4915</v>
      </c>
      <c r="F165" s="32" t="s">
        <v>4916</v>
      </c>
      <c r="G165" s="32" t="s">
        <v>4917</v>
      </c>
      <c r="H165" s="33" t="s">
        <v>17</v>
      </c>
    </row>
    <row r="166" spans="1:8" ht="14.5" customHeight="1" x14ac:dyDescent="0.3">
      <c r="A166" s="19" t="s">
        <v>311</v>
      </c>
      <c r="B166" s="19" t="s">
        <v>1358</v>
      </c>
      <c r="C166" s="18" t="s">
        <v>312</v>
      </c>
      <c r="D166" s="20" t="s">
        <v>4918</v>
      </c>
      <c r="E166" s="19" t="s">
        <v>313</v>
      </c>
      <c r="F166" s="18" t="s">
        <v>314</v>
      </c>
      <c r="G166" s="18" t="s">
        <v>62</v>
      </c>
      <c r="H166" s="20" t="s">
        <v>17</v>
      </c>
    </row>
    <row r="167" spans="1:8" ht="14.5" customHeight="1" x14ac:dyDescent="0.3">
      <c r="A167" s="31" t="s">
        <v>7318</v>
      </c>
      <c r="B167" s="31" t="s">
        <v>4923</v>
      </c>
      <c r="C167" s="32" t="s">
        <v>1933</v>
      </c>
      <c r="D167" s="33" t="s">
        <v>4920</v>
      </c>
      <c r="E167" s="31" t="s">
        <v>4921</v>
      </c>
      <c r="F167" s="32" t="s">
        <v>4922</v>
      </c>
      <c r="G167" s="32" t="s">
        <v>302</v>
      </c>
      <c r="H167" s="33" t="s">
        <v>196</v>
      </c>
    </row>
    <row r="168" spans="1:8" ht="14.5" customHeight="1" x14ac:dyDescent="0.3">
      <c r="A168" s="19" t="s">
        <v>7270</v>
      </c>
      <c r="B168" s="19" t="s">
        <v>507</v>
      </c>
      <c r="C168" s="18" t="s">
        <v>35</v>
      </c>
      <c r="D168" s="20" t="s">
        <v>4924</v>
      </c>
      <c r="E168" s="19" t="s">
        <v>4925</v>
      </c>
      <c r="F168" s="18"/>
      <c r="G168" s="18" t="s">
        <v>4926</v>
      </c>
      <c r="H168" s="20" t="s">
        <v>9</v>
      </c>
    </row>
    <row r="169" spans="1:8" ht="14.5" customHeight="1" x14ac:dyDescent="0.3">
      <c r="A169" s="31" t="s">
        <v>105</v>
      </c>
      <c r="B169" s="31" t="s">
        <v>693</v>
      </c>
      <c r="C169" s="32" t="s">
        <v>2554</v>
      </c>
      <c r="D169" s="33" t="s">
        <v>4929</v>
      </c>
      <c r="E169" s="31" t="s">
        <v>4930</v>
      </c>
      <c r="F169" s="32" t="s">
        <v>107</v>
      </c>
      <c r="G169" s="32" t="s">
        <v>30</v>
      </c>
      <c r="H169" s="33" t="s">
        <v>13</v>
      </c>
    </row>
    <row r="170" spans="1:8" ht="14.5" customHeight="1" x14ac:dyDescent="0.3">
      <c r="A170" s="19" t="s">
        <v>7659</v>
      </c>
      <c r="B170" s="19" t="s">
        <v>4933</v>
      </c>
      <c r="C170" s="18" t="s">
        <v>2507</v>
      </c>
      <c r="D170" s="20" t="s">
        <v>4931</v>
      </c>
      <c r="E170" s="19" t="s">
        <v>4932</v>
      </c>
      <c r="F170" s="18" t="s">
        <v>10</v>
      </c>
      <c r="G170" s="18" t="s">
        <v>4926</v>
      </c>
      <c r="H170" s="20" t="s">
        <v>9</v>
      </c>
    </row>
    <row r="171" spans="1:8" ht="14.5" customHeight="1" x14ac:dyDescent="0.3">
      <c r="A171" s="31" t="s">
        <v>7378</v>
      </c>
      <c r="B171" s="31" t="s">
        <v>4937</v>
      </c>
      <c r="C171" s="32" t="s">
        <v>2011</v>
      </c>
      <c r="D171" s="33" t="s">
        <v>4934</v>
      </c>
      <c r="E171" s="31" t="s">
        <v>4935</v>
      </c>
      <c r="F171" s="32" t="s">
        <v>4936</v>
      </c>
      <c r="G171" s="32" t="s">
        <v>4777</v>
      </c>
      <c r="H171" s="33" t="s">
        <v>17</v>
      </c>
    </row>
    <row r="172" spans="1:8" ht="14.5" customHeight="1" x14ac:dyDescent="0.3">
      <c r="A172" s="19" t="s">
        <v>3735</v>
      </c>
      <c r="B172" s="19" t="s">
        <v>4943</v>
      </c>
      <c r="C172" s="18" t="s">
        <v>3736</v>
      </c>
      <c r="D172" s="20" t="s">
        <v>4940</v>
      </c>
      <c r="E172" s="19" t="s">
        <v>4941</v>
      </c>
      <c r="F172" s="18" t="s">
        <v>4942</v>
      </c>
      <c r="G172" s="18" t="s">
        <v>21</v>
      </c>
      <c r="H172" s="20" t="s">
        <v>17</v>
      </c>
    </row>
    <row r="173" spans="1:8" ht="14.5" customHeight="1" x14ac:dyDescent="0.3">
      <c r="A173" s="31" t="s">
        <v>4087</v>
      </c>
      <c r="B173" s="31" t="s">
        <v>4415</v>
      </c>
      <c r="C173" s="32" t="s">
        <v>4088</v>
      </c>
      <c r="D173" s="33" t="s">
        <v>4944</v>
      </c>
      <c r="E173" s="31" t="s">
        <v>4945</v>
      </c>
      <c r="F173" s="32" t="s">
        <v>4946</v>
      </c>
      <c r="G173" s="32" t="s">
        <v>75</v>
      </c>
      <c r="H173" s="33" t="s">
        <v>74</v>
      </c>
    </row>
    <row r="174" spans="1:8" ht="14.5" customHeight="1" x14ac:dyDescent="0.3">
      <c r="A174" s="19" t="s">
        <v>3569</v>
      </c>
      <c r="B174" s="19" t="s">
        <v>4950</v>
      </c>
      <c r="C174" s="18" t="s">
        <v>3570</v>
      </c>
      <c r="D174" s="20" t="s">
        <v>4947</v>
      </c>
      <c r="E174" s="19" t="s">
        <v>4948</v>
      </c>
      <c r="F174" s="18" t="s">
        <v>4949</v>
      </c>
      <c r="G174" s="18" t="s">
        <v>11</v>
      </c>
      <c r="H174" s="20" t="s">
        <v>9</v>
      </c>
    </row>
    <row r="175" spans="1:8" ht="14.5" customHeight="1" x14ac:dyDescent="0.3">
      <c r="A175" s="31" t="s">
        <v>3363</v>
      </c>
      <c r="B175" s="31" t="s">
        <v>4954</v>
      </c>
      <c r="C175" s="32" t="s">
        <v>3364</v>
      </c>
      <c r="D175" s="33" t="s">
        <v>4951</v>
      </c>
      <c r="E175" s="31" t="s">
        <v>4952</v>
      </c>
      <c r="F175" s="32" t="s">
        <v>4953</v>
      </c>
      <c r="G175" s="32" t="s">
        <v>4870</v>
      </c>
      <c r="H175" s="33" t="s">
        <v>17</v>
      </c>
    </row>
    <row r="176" spans="1:8" ht="14.5" customHeight="1" x14ac:dyDescent="0.3">
      <c r="A176" s="19" t="s">
        <v>7289</v>
      </c>
      <c r="B176" s="19" t="s">
        <v>1525</v>
      </c>
      <c r="C176" s="18" t="s">
        <v>1010</v>
      </c>
      <c r="D176" s="20" t="s">
        <v>4955</v>
      </c>
      <c r="E176" s="19" t="s">
        <v>4956</v>
      </c>
      <c r="F176" s="18"/>
      <c r="G176" s="18" t="s">
        <v>4243</v>
      </c>
      <c r="H176" s="20" t="s">
        <v>32</v>
      </c>
    </row>
    <row r="177" spans="1:8" ht="14.5" customHeight="1" x14ac:dyDescent="0.3">
      <c r="A177" s="31" t="s">
        <v>2286</v>
      </c>
      <c r="B177" s="31" t="s">
        <v>821</v>
      </c>
      <c r="C177" s="32" t="s">
        <v>2287</v>
      </c>
      <c r="D177" s="33" t="s">
        <v>4958</v>
      </c>
      <c r="E177" s="31" t="s">
        <v>4959</v>
      </c>
      <c r="F177" s="32" t="s">
        <v>4960</v>
      </c>
      <c r="G177" s="32" t="s">
        <v>4961</v>
      </c>
      <c r="H177" s="33" t="s">
        <v>17</v>
      </c>
    </row>
    <row r="178" spans="1:8" ht="14.5" customHeight="1" x14ac:dyDescent="0.3">
      <c r="A178" s="19" t="s">
        <v>3889</v>
      </c>
      <c r="B178" s="19" t="s">
        <v>4330</v>
      </c>
      <c r="C178" s="18" t="s">
        <v>3890</v>
      </c>
      <c r="D178" s="20" t="s">
        <v>4962</v>
      </c>
      <c r="E178" s="19" t="s">
        <v>4963</v>
      </c>
      <c r="F178" s="18" t="s">
        <v>4964</v>
      </c>
      <c r="G178" s="18" t="s">
        <v>21</v>
      </c>
      <c r="H178" s="20" t="s">
        <v>17</v>
      </c>
    </row>
    <row r="179" spans="1:8" ht="14.5" customHeight="1" x14ac:dyDescent="0.3">
      <c r="A179" s="31" t="s">
        <v>3552</v>
      </c>
      <c r="B179" s="31" t="s">
        <v>676</v>
      </c>
      <c r="C179" s="32" t="s">
        <v>3553</v>
      </c>
      <c r="D179" s="33" t="s">
        <v>4965</v>
      </c>
      <c r="E179" s="31" t="s">
        <v>4966</v>
      </c>
      <c r="F179" s="32" t="s">
        <v>4967</v>
      </c>
      <c r="G179" s="32" t="s">
        <v>21</v>
      </c>
      <c r="H179" s="33" t="s">
        <v>17</v>
      </c>
    </row>
    <row r="180" spans="1:8" ht="14.5" customHeight="1" x14ac:dyDescent="0.3">
      <c r="A180" s="19" t="s">
        <v>3807</v>
      </c>
      <c r="B180" s="19" t="s">
        <v>4971</v>
      </c>
      <c r="C180" s="18" t="s">
        <v>3808</v>
      </c>
      <c r="D180" s="20" t="s">
        <v>4968</v>
      </c>
      <c r="E180" s="19" t="s">
        <v>4969</v>
      </c>
      <c r="F180" s="18" t="s">
        <v>219</v>
      </c>
      <c r="G180" s="18" t="s">
        <v>4970</v>
      </c>
      <c r="H180" s="20" t="s">
        <v>13</v>
      </c>
    </row>
    <row r="181" spans="1:8" ht="14.5" customHeight="1" x14ac:dyDescent="0.3">
      <c r="A181" s="31" t="s">
        <v>7322</v>
      </c>
      <c r="B181" s="31" t="s">
        <v>4975</v>
      </c>
      <c r="C181" s="32" t="s">
        <v>2088</v>
      </c>
      <c r="D181" s="33" t="s">
        <v>4972</v>
      </c>
      <c r="E181" s="31" t="s">
        <v>4973</v>
      </c>
      <c r="F181" s="32" t="s">
        <v>4974</v>
      </c>
      <c r="G181" s="32" t="s">
        <v>21</v>
      </c>
      <c r="H181" s="33" t="s">
        <v>17</v>
      </c>
    </row>
    <row r="182" spans="1:8" ht="14.5" customHeight="1" x14ac:dyDescent="0.3">
      <c r="A182" s="19" t="s">
        <v>3360</v>
      </c>
      <c r="B182" s="19" t="s">
        <v>437</v>
      </c>
      <c r="C182" s="18" t="s">
        <v>3361</v>
      </c>
      <c r="D182" s="20" t="s">
        <v>4976</v>
      </c>
      <c r="E182" s="19" t="s">
        <v>4977</v>
      </c>
      <c r="F182" s="18" t="s">
        <v>4978</v>
      </c>
      <c r="G182" s="18" t="s">
        <v>55</v>
      </c>
      <c r="H182" s="20" t="s">
        <v>52</v>
      </c>
    </row>
    <row r="183" spans="1:8" ht="14.5" customHeight="1" x14ac:dyDescent="0.3">
      <c r="A183" s="31" t="s">
        <v>7591</v>
      </c>
      <c r="B183" s="31" t="s">
        <v>4982</v>
      </c>
      <c r="C183" s="32" t="s">
        <v>4180</v>
      </c>
      <c r="D183" s="33" t="s">
        <v>4979</v>
      </c>
      <c r="E183" s="31" t="s">
        <v>4980</v>
      </c>
      <c r="F183" s="32" t="s">
        <v>4981</v>
      </c>
      <c r="G183" s="32" t="s">
        <v>11</v>
      </c>
      <c r="H183" s="33" t="s">
        <v>9</v>
      </c>
    </row>
    <row r="184" spans="1:8" ht="14.5" customHeight="1" x14ac:dyDescent="0.3">
      <c r="A184" s="19" t="s">
        <v>7557</v>
      </c>
      <c r="B184" s="19" t="s">
        <v>4986</v>
      </c>
      <c r="C184" s="18" t="s">
        <v>2320</v>
      </c>
      <c r="D184" s="20" t="s">
        <v>4983</v>
      </c>
      <c r="E184" s="19" t="s">
        <v>4984</v>
      </c>
      <c r="F184" s="18" t="s">
        <v>4985</v>
      </c>
      <c r="G184" s="18" t="s">
        <v>152</v>
      </c>
      <c r="H184" s="20" t="s">
        <v>9</v>
      </c>
    </row>
    <row r="185" spans="1:8" ht="14.5" customHeight="1" x14ac:dyDescent="0.3">
      <c r="A185" s="31" t="s">
        <v>7510</v>
      </c>
      <c r="B185" s="31" t="s">
        <v>4990</v>
      </c>
      <c r="C185" s="32" t="s">
        <v>3076</v>
      </c>
      <c r="D185" s="33" t="s">
        <v>4987</v>
      </c>
      <c r="E185" s="31" t="s">
        <v>4988</v>
      </c>
      <c r="F185" s="32" t="s">
        <v>4989</v>
      </c>
      <c r="G185" s="32" t="s">
        <v>11</v>
      </c>
      <c r="H185" s="33" t="s">
        <v>9</v>
      </c>
    </row>
    <row r="186" spans="1:8" ht="14.5" customHeight="1" x14ac:dyDescent="0.3">
      <c r="A186" s="19" t="s">
        <v>7526</v>
      </c>
      <c r="B186" s="19" t="s">
        <v>4995</v>
      </c>
      <c r="C186" s="18" t="s">
        <v>4131</v>
      </c>
      <c r="D186" s="20" t="s">
        <v>4991</v>
      </c>
      <c r="E186" s="19" t="s">
        <v>4992</v>
      </c>
      <c r="F186" s="18" t="s">
        <v>4993</v>
      </c>
      <c r="G186" s="18" t="s">
        <v>4994</v>
      </c>
      <c r="H186" s="20" t="s">
        <v>84</v>
      </c>
    </row>
    <row r="187" spans="1:8" ht="14.5" customHeight="1" x14ac:dyDescent="0.3">
      <c r="A187" s="31" t="s">
        <v>7435</v>
      </c>
      <c r="B187" s="31" t="s">
        <v>5000</v>
      </c>
      <c r="C187" s="32" t="s">
        <v>2479</v>
      </c>
      <c r="D187" s="33" t="s">
        <v>4996</v>
      </c>
      <c r="E187" s="31" t="s">
        <v>4997</v>
      </c>
      <c r="F187" s="32" t="s">
        <v>4998</v>
      </c>
      <c r="G187" s="32" t="s">
        <v>4999</v>
      </c>
      <c r="H187" s="33" t="s">
        <v>148</v>
      </c>
    </row>
    <row r="188" spans="1:8" ht="14.5" customHeight="1" x14ac:dyDescent="0.3">
      <c r="A188" s="19" t="s">
        <v>7551</v>
      </c>
      <c r="B188" s="19" t="s">
        <v>5004</v>
      </c>
      <c r="C188" s="18" t="s">
        <v>3284</v>
      </c>
      <c r="D188" s="20" t="s">
        <v>5001</v>
      </c>
      <c r="E188" s="19" t="s">
        <v>5002</v>
      </c>
      <c r="F188" s="18" t="s">
        <v>5003</v>
      </c>
      <c r="G188" s="18" t="s">
        <v>11</v>
      </c>
      <c r="H188" s="20" t="s">
        <v>9</v>
      </c>
    </row>
    <row r="189" spans="1:8" ht="14.5" customHeight="1" x14ac:dyDescent="0.3">
      <c r="A189" s="31" t="s">
        <v>4200</v>
      </c>
      <c r="B189" s="31" t="s">
        <v>5008</v>
      </c>
      <c r="C189" s="32" t="s">
        <v>4201</v>
      </c>
      <c r="D189" s="33" t="s">
        <v>5005</v>
      </c>
      <c r="E189" s="31" t="s">
        <v>5006</v>
      </c>
      <c r="F189" s="32" t="s">
        <v>5007</v>
      </c>
      <c r="G189" s="32" t="s">
        <v>11</v>
      </c>
      <c r="H189" s="33" t="s">
        <v>9</v>
      </c>
    </row>
    <row r="190" spans="1:8" ht="14.5" customHeight="1" x14ac:dyDescent="0.3">
      <c r="A190" s="19" t="s">
        <v>7631</v>
      </c>
      <c r="B190" s="19" t="s">
        <v>5013</v>
      </c>
      <c r="C190" s="18" t="s">
        <v>2432</v>
      </c>
      <c r="D190" s="20" t="s">
        <v>5009</v>
      </c>
      <c r="E190" s="19" t="s">
        <v>5010</v>
      </c>
      <c r="F190" s="18" t="s">
        <v>5011</v>
      </c>
      <c r="G190" s="18" t="s">
        <v>5012</v>
      </c>
      <c r="H190" s="20" t="s">
        <v>74</v>
      </c>
    </row>
    <row r="191" spans="1:8" ht="14.5" customHeight="1" x14ac:dyDescent="0.3">
      <c r="A191" s="31" t="s">
        <v>2272</v>
      </c>
      <c r="B191" s="31" t="s">
        <v>5016</v>
      </c>
      <c r="C191" s="32" t="s">
        <v>2273</v>
      </c>
      <c r="D191" s="33">
        <v>7132123656</v>
      </c>
      <c r="E191" s="31" t="s">
        <v>5014</v>
      </c>
      <c r="F191" s="32" t="s">
        <v>5015</v>
      </c>
      <c r="G191" s="32" t="s">
        <v>4919</v>
      </c>
      <c r="H191" s="33" t="s">
        <v>148</v>
      </c>
    </row>
    <row r="192" spans="1:8" ht="14.5" customHeight="1" x14ac:dyDescent="0.3">
      <c r="A192" s="19" t="s">
        <v>2543</v>
      </c>
      <c r="B192" s="19" t="s">
        <v>5019</v>
      </c>
      <c r="C192" s="18" t="s">
        <v>2544</v>
      </c>
      <c r="D192" s="20" t="s">
        <v>5017</v>
      </c>
      <c r="E192" s="19" t="s">
        <v>5018</v>
      </c>
      <c r="F192" s="18" t="s">
        <v>107</v>
      </c>
      <c r="G192" s="18" t="s">
        <v>4655</v>
      </c>
      <c r="H192" s="20" t="s">
        <v>13</v>
      </c>
    </row>
    <row r="193" spans="1:8" ht="14.5" customHeight="1" x14ac:dyDescent="0.3">
      <c r="A193" s="31" t="s">
        <v>7748</v>
      </c>
      <c r="B193" s="31" t="s">
        <v>5026</v>
      </c>
      <c r="C193" s="32" t="s">
        <v>1786</v>
      </c>
      <c r="D193" s="33" t="s">
        <v>5023</v>
      </c>
      <c r="E193" s="31" t="s">
        <v>5024</v>
      </c>
      <c r="F193" s="32" t="s">
        <v>5025</v>
      </c>
      <c r="G193" s="32" t="s">
        <v>11</v>
      </c>
      <c r="H193" s="33" t="s">
        <v>9</v>
      </c>
    </row>
    <row r="194" spans="1:8" ht="14.5" customHeight="1" x14ac:dyDescent="0.3">
      <c r="A194" s="19" t="s">
        <v>2952</v>
      </c>
      <c r="B194" s="19" t="s">
        <v>543</v>
      </c>
      <c r="C194" s="18" t="s">
        <v>2953</v>
      </c>
      <c r="D194" s="20" t="s">
        <v>5029</v>
      </c>
      <c r="E194" s="19" t="s">
        <v>5030</v>
      </c>
      <c r="F194" s="18" t="s">
        <v>5031</v>
      </c>
      <c r="G194" s="18" t="s">
        <v>75</v>
      </c>
      <c r="H194" s="20" t="s">
        <v>74</v>
      </c>
    </row>
    <row r="195" spans="1:8" ht="14.5" customHeight="1" x14ac:dyDescent="0.3">
      <c r="A195" s="31" t="s">
        <v>7599</v>
      </c>
      <c r="B195" s="31" t="s">
        <v>658</v>
      </c>
      <c r="C195" s="32" t="s">
        <v>2948</v>
      </c>
      <c r="D195" s="33" t="s">
        <v>5032</v>
      </c>
      <c r="E195" s="31" t="s">
        <v>5033</v>
      </c>
      <c r="F195" s="32" t="s">
        <v>5034</v>
      </c>
      <c r="G195" s="32" t="s">
        <v>21</v>
      </c>
      <c r="H195" s="33" t="s">
        <v>17</v>
      </c>
    </row>
    <row r="196" spans="1:8" ht="14.5" customHeight="1" x14ac:dyDescent="0.3">
      <c r="A196" s="19" t="s">
        <v>2868</v>
      </c>
      <c r="B196" s="19" t="s">
        <v>563</v>
      </c>
      <c r="C196" s="18" t="s">
        <v>2869</v>
      </c>
      <c r="D196" s="20" t="s">
        <v>5036</v>
      </c>
      <c r="E196" s="19" t="s">
        <v>5037</v>
      </c>
      <c r="F196" s="18" t="s">
        <v>5038</v>
      </c>
      <c r="G196" s="18" t="s">
        <v>5039</v>
      </c>
      <c r="H196" s="20" t="s">
        <v>74</v>
      </c>
    </row>
    <row r="197" spans="1:8" ht="14.5" customHeight="1" x14ac:dyDescent="0.3">
      <c r="A197" s="31" t="s">
        <v>3125</v>
      </c>
      <c r="B197" s="31" t="s">
        <v>5043</v>
      </c>
      <c r="C197" s="32" t="s">
        <v>3126</v>
      </c>
      <c r="D197" s="33" t="s">
        <v>5040</v>
      </c>
      <c r="E197" s="31" t="s">
        <v>5041</v>
      </c>
      <c r="F197" s="32" t="s">
        <v>5042</v>
      </c>
      <c r="G197" s="32" t="s">
        <v>11</v>
      </c>
      <c r="H197" s="33" t="s">
        <v>9</v>
      </c>
    </row>
    <row r="198" spans="1:8" ht="14.5" customHeight="1" x14ac:dyDescent="0.3">
      <c r="A198" s="19" t="s">
        <v>7290</v>
      </c>
      <c r="B198" s="19" t="s">
        <v>593</v>
      </c>
      <c r="C198" s="18" t="s">
        <v>595</v>
      </c>
      <c r="D198" s="20" t="s">
        <v>5044</v>
      </c>
      <c r="E198" s="19" t="s">
        <v>5045</v>
      </c>
      <c r="F198" s="18"/>
      <c r="G198" s="18" t="s">
        <v>53</v>
      </c>
      <c r="H198" s="20" t="s">
        <v>17</v>
      </c>
    </row>
    <row r="199" spans="1:8" ht="14.5" customHeight="1" x14ac:dyDescent="0.3">
      <c r="A199" s="31" t="s">
        <v>7311</v>
      </c>
      <c r="B199" s="31" t="s">
        <v>5049</v>
      </c>
      <c r="C199" s="32" t="s">
        <v>1958</v>
      </c>
      <c r="D199" s="33" t="s">
        <v>5046</v>
      </c>
      <c r="E199" s="31" t="s">
        <v>5047</v>
      </c>
      <c r="F199" s="32" t="s">
        <v>5048</v>
      </c>
      <c r="G199" s="32" t="s">
        <v>21</v>
      </c>
      <c r="H199" s="33" t="s">
        <v>17</v>
      </c>
    </row>
    <row r="200" spans="1:8" ht="14.5" customHeight="1" x14ac:dyDescent="0.3">
      <c r="A200" s="19" t="s">
        <v>232</v>
      </c>
      <c r="B200" s="19" t="s">
        <v>1179</v>
      </c>
      <c r="C200" s="18" t="s">
        <v>233</v>
      </c>
      <c r="D200" s="20" t="s">
        <v>234</v>
      </c>
      <c r="E200" s="19" t="s">
        <v>5050</v>
      </c>
      <c r="F200" s="18" t="s">
        <v>235</v>
      </c>
      <c r="G200" s="18" t="s">
        <v>4917</v>
      </c>
      <c r="H200" s="20" t="s">
        <v>17</v>
      </c>
    </row>
    <row r="201" spans="1:8" ht="14.5" customHeight="1" x14ac:dyDescent="0.3">
      <c r="A201" s="31" t="s">
        <v>7619</v>
      </c>
      <c r="B201" s="31" t="s">
        <v>4346</v>
      </c>
      <c r="C201" s="32" t="s">
        <v>2913</v>
      </c>
      <c r="D201" s="33" t="s">
        <v>5052</v>
      </c>
      <c r="E201" s="31" t="s">
        <v>5053</v>
      </c>
      <c r="F201" s="32" t="s">
        <v>4474</v>
      </c>
      <c r="G201" s="32" t="s">
        <v>42</v>
      </c>
      <c r="H201" s="33" t="s">
        <v>40</v>
      </c>
    </row>
    <row r="202" spans="1:8" ht="14.5" customHeight="1" x14ac:dyDescent="0.3">
      <c r="A202" s="19" t="s">
        <v>1701</v>
      </c>
      <c r="B202" s="19" t="s">
        <v>5056</v>
      </c>
      <c r="C202" s="18" t="s">
        <v>1702</v>
      </c>
      <c r="D202" s="20" t="s">
        <v>5054</v>
      </c>
      <c r="E202" s="19" t="s">
        <v>5055</v>
      </c>
      <c r="F202" s="18"/>
      <c r="G202" s="18" t="s">
        <v>4792</v>
      </c>
      <c r="H202" s="20" t="s">
        <v>9</v>
      </c>
    </row>
    <row r="203" spans="1:8" ht="14.5" customHeight="1" x14ac:dyDescent="0.3">
      <c r="A203" s="31" t="s">
        <v>217</v>
      </c>
      <c r="B203" s="31" t="s">
        <v>1138</v>
      </c>
      <c r="C203" s="32" t="s">
        <v>218</v>
      </c>
      <c r="D203" s="33" t="s">
        <v>5057</v>
      </c>
      <c r="E203" s="31" t="s">
        <v>5058</v>
      </c>
      <c r="F203" s="32" t="s">
        <v>219</v>
      </c>
      <c r="G203" s="32" t="s">
        <v>5059</v>
      </c>
      <c r="H203" s="33" t="s">
        <v>13</v>
      </c>
    </row>
    <row r="204" spans="1:8" ht="14.5" customHeight="1" x14ac:dyDescent="0.3">
      <c r="A204" s="19" t="s">
        <v>3860</v>
      </c>
      <c r="B204" s="19" t="s">
        <v>5063</v>
      </c>
      <c r="C204" s="18" t="s">
        <v>3861</v>
      </c>
      <c r="D204" s="20" t="s">
        <v>5060</v>
      </c>
      <c r="E204" s="19" t="s">
        <v>5061</v>
      </c>
      <c r="F204" s="18" t="s">
        <v>5062</v>
      </c>
      <c r="G204" s="18" t="s">
        <v>62</v>
      </c>
      <c r="H204" s="20" t="s">
        <v>17</v>
      </c>
    </row>
    <row r="205" spans="1:8" ht="14.5" customHeight="1" x14ac:dyDescent="0.3">
      <c r="A205" s="31" t="s">
        <v>2043</v>
      </c>
      <c r="B205" s="31" t="s">
        <v>5069</v>
      </c>
      <c r="C205" s="32" t="s">
        <v>2044</v>
      </c>
      <c r="D205" s="33" t="s">
        <v>5065</v>
      </c>
      <c r="E205" s="31" t="s">
        <v>5066</v>
      </c>
      <c r="F205" s="32" t="s">
        <v>5067</v>
      </c>
      <c r="G205" s="32" t="s">
        <v>5068</v>
      </c>
      <c r="H205" s="33" t="s">
        <v>148</v>
      </c>
    </row>
    <row r="206" spans="1:8" ht="14.5" customHeight="1" x14ac:dyDescent="0.3">
      <c r="A206" s="19" t="s">
        <v>3405</v>
      </c>
      <c r="B206" s="19" t="s">
        <v>5075</v>
      </c>
      <c r="C206" s="18" t="s">
        <v>3406</v>
      </c>
      <c r="D206" s="20" t="s">
        <v>5072</v>
      </c>
      <c r="E206" s="19" t="s">
        <v>5073</v>
      </c>
      <c r="F206" s="18" t="s">
        <v>5074</v>
      </c>
      <c r="G206" s="18" t="s">
        <v>4692</v>
      </c>
      <c r="H206" s="20" t="s">
        <v>74</v>
      </c>
    </row>
    <row r="207" spans="1:8" ht="14.5" customHeight="1" x14ac:dyDescent="0.3">
      <c r="A207" s="31" t="s">
        <v>3389</v>
      </c>
      <c r="B207" s="31" t="s">
        <v>5079</v>
      </c>
      <c r="C207" s="32" t="s">
        <v>3390</v>
      </c>
      <c r="D207" s="33" t="s">
        <v>5076</v>
      </c>
      <c r="E207" s="31" t="s">
        <v>5077</v>
      </c>
      <c r="F207" s="32" t="s">
        <v>5078</v>
      </c>
      <c r="G207" s="32" t="s">
        <v>21</v>
      </c>
      <c r="H207" s="33" t="s">
        <v>17</v>
      </c>
    </row>
    <row r="208" spans="1:8" ht="14.5" customHeight="1" x14ac:dyDescent="0.3">
      <c r="A208" s="19" t="s">
        <v>4082</v>
      </c>
      <c r="B208" s="19" t="s">
        <v>4480</v>
      </c>
      <c r="C208" s="18" t="s">
        <v>4083</v>
      </c>
      <c r="D208" s="20" t="s">
        <v>5080</v>
      </c>
      <c r="E208" s="19" t="s">
        <v>5081</v>
      </c>
      <c r="F208" s="18" t="s">
        <v>5082</v>
      </c>
      <c r="G208" s="18" t="s">
        <v>285</v>
      </c>
      <c r="H208" s="20" t="s">
        <v>148</v>
      </c>
    </row>
    <row r="209" spans="1:8" ht="14.5" customHeight="1" x14ac:dyDescent="0.3">
      <c r="A209" s="31" t="s">
        <v>3149</v>
      </c>
      <c r="B209" s="31" t="s">
        <v>5085</v>
      </c>
      <c r="C209" s="32" t="s">
        <v>3150</v>
      </c>
      <c r="D209" s="33" t="s">
        <v>5083</v>
      </c>
      <c r="E209" s="31" t="s">
        <v>5084</v>
      </c>
      <c r="F209" s="32" t="s">
        <v>103</v>
      </c>
      <c r="G209" s="32" t="s">
        <v>289</v>
      </c>
      <c r="H209" s="33" t="s">
        <v>287</v>
      </c>
    </row>
    <row r="210" spans="1:8" ht="14.5" customHeight="1" x14ac:dyDescent="0.3">
      <c r="A210" s="19" t="s">
        <v>4092</v>
      </c>
      <c r="B210" s="19" t="s">
        <v>5089</v>
      </c>
      <c r="C210" s="18" t="s">
        <v>4093</v>
      </c>
      <c r="D210" s="20" t="s">
        <v>5086</v>
      </c>
      <c r="E210" s="19" t="s">
        <v>5087</v>
      </c>
      <c r="F210" s="18" t="s">
        <v>5088</v>
      </c>
      <c r="G210" s="18" t="s">
        <v>75</v>
      </c>
      <c r="H210" s="20" t="s">
        <v>74</v>
      </c>
    </row>
    <row r="211" spans="1:8" ht="14.5" customHeight="1" x14ac:dyDescent="0.3">
      <c r="A211" s="31" t="s">
        <v>7319</v>
      </c>
      <c r="B211" s="31" t="s">
        <v>1046</v>
      </c>
      <c r="C211" s="32" t="s">
        <v>3899</v>
      </c>
      <c r="D211" s="33"/>
      <c r="E211" s="31" t="s">
        <v>5090</v>
      </c>
      <c r="F211" s="32" t="s">
        <v>5091</v>
      </c>
      <c r="G211" s="32" t="s">
        <v>285</v>
      </c>
      <c r="H211" s="33" t="s">
        <v>148</v>
      </c>
    </row>
    <row r="212" spans="1:8" ht="14.5" customHeight="1" x14ac:dyDescent="0.3">
      <c r="A212" s="19" t="s">
        <v>2700</v>
      </c>
      <c r="B212" s="19" t="s">
        <v>437</v>
      </c>
      <c r="C212" s="18" t="s">
        <v>2701</v>
      </c>
      <c r="D212" s="20" t="s">
        <v>5092</v>
      </c>
      <c r="E212" s="19" t="s">
        <v>5093</v>
      </c>
      <c r="F212" s="18" t="s">
        <v>103</v>
      </c>
      <c r="G212" s="18" t="s">
        <v>5094</v>
      </c>
      <c r="H212" s="20" t="s">
        <v>13</v>
      </c>
    </row>
    <row r="213" spans="1:8" ht="14.5" customHeight="1" x14ac:dyDescent="0.3">
      <c r="A213" s="31" t="s">
        <v>221</v>
      </c>
      <c r="B213" s="31" t="s">
        <v>4554</v>
      </c>
      <c r="C213" s="32" t="s">
        <v>222</v>
      </c>
      <c r="D213" s="33">
        <v>31988391924</v>
      </c>
      <c r="E213" s="31" t="s">
        <v>223</v>
      </c>
      <c r="F213" s="32" t="s">
        <v>224</v>
      </c>
      <c r="G213" s="32" t="s">
        <v>45</v>
      </c>
      <c r="H213" s="33" t="s">
        <v>13</v>
      </c>
    </row>
    <row r="214" spans="1:8" ht="14.5" customHeight="1" x14ac:dyDescent="0.3">
      <c r="A214" s="19" t="s">
        <v>3072</v>
      </c>
      <c r="B214" s="19" t="s">
        <v>1230</v>
      </c>
      <c r="C214" s="18" t="s">
        <v>3073</v>
      </c>
      <c r="D214" s="20" t="s">
        <v>5095</v>
      </c>
      <c r="E214" s="19" t="s">
        <v>5096</v>
      </c>
      <c r="F214" s="18" t="s">
        <v>5097</v>
      </c>
      <c r="G214" s="18" t="s">
        <v>11</v>
      </c>
      <c r="H214" s="20" t="s">
        <v>9</v>
      </c>
    </row>
    <row r="215" spans="1:8" ht="14.5" customHeight="1" x14ac:dyDescent="0.3">
      <c r="A215" s="31" t="s">
        <v>7323</v>
      </c>
      <c r="B215" s="31" t="s">
        <v>4415</v>
      </c>
      <c r="C215" s="32" t="s">
        <v>2271</v>
      </c>
      <c r="D215" s="33" t="s">
        <v>5098</v>
      </c>
      <c r="E215" s="31" t="s">
        <v>5099</v>
      </c>
      <c r="F215" s="32" t="s">
        <v>5100</v>
      </c>
      <c r="G215" s="32" t="s">
        <v>5101</v>
      </c>
      <c r="H215" s="33" t="s">
        <v>17</v>
      </c>
    </row>
    <row r="216" spans="1:8" ht="14.5" customHeight="1" x14ac:dyDescent="0.3">
      <c r="A216" s="19" t="s">
        <v>7414</v>
      </c>
      <c r="B216" s="19" t="s">
        <v>821</v>
      </c>
      <c r="C216" s="18" t="s">
        <v>2877</v>
      </c>
      <c r="D216" s="20" t="s">
        <v>5102</v>
      </c>
      <c r="E216" s="19" t="s">
        <v>5103</v>
      </c>
      <c r="F216" s="18"/>
      <c r="G216" s="18" t="s">
        <v>5104</v>
      </c>
      <c r="H216" s="20" t="s">
        <v>64</v>
      </c>
    </row>
    <row r="217" spans="1:8" ht="14.5" customHeight="1" x14ac:dyDescent="0.3">
      <c r="A217" s="31" t="s">
        <v>3408</v>
      </c>
      <c r="B217" s="31" t="s">
        <v>5107</v>
      </c>
      <c r="C217" s="32" t="s">
        <v>3409</v>
      </c>
      <c r="D217" s="33" t="s">
        <v>5105</v>
      </c>
      <c r="E217" s="31" t="s">
        <v>5106</v>
      </c>
      <c r="F217" s="32" t="s">
        <v>4736</v>
      </c>
      <c r="G217" s="32" t="s">
        <v>75</v>
      </c>
      <c r="H217" s="33" t="s">
        <v>74</v>
      </c>
    </row>
    <row r="218" spans="1:8" ht="14.5" customHeight="1" x14ac:dyDescent="0.3">
      <c r="A218" s="19" t="s">
        <v>7597</v>
      </c>
      <c r="B218" s="19" t="s">
        <v>5111</v>
      </c>
      <c r="C218" s="18" t="s">
        <v>2442</v>
      </c>
      <c r="D218" s="20" t="s">
        <v>5108</v>
      </c>
      <c r="E218" s="19" t="s">
        <v>5109</v>
      </c>
      <c r="F218" s="18" t="s">
        <v>5110</v>
      </c>
      <c r="G218" s="18" t="s">
        <v>51</v>
      </c>
      <c r="H218" s="20" t="s">
        <v>50</v>
      </c>
    </row>
    <row r="219" spans="1:8" ht="14.5" customHeight="1" x14ac:dyDescent="0.3">
      <c r="A219" s="31" t="s">
        <v>3215</v>
      </c>
      <c r="B219" s="31" t="s">
        <v>5115</v>
      </c>
      <c r="C219" s="32" t="s">
        <v>3216</v>
      </c>
      <c r="D219" s="33" t="s">
        <v>5112</v>
      </c>
      <c r="E219" s="31" t="s">
        <v>5113</v>
      </c>
      <c r="F219" s="32" t="s">
        <v>5114</v>
      </c>
      <c r="G219" s="32" t="s">
        <v>342</v>
      </c>
      <c r="H219" s="33" t="s">
        <v>252</v>
      </c>
    </row>
    <row r="220" spans="1:8" ht="14.5" customHeight="1" x14ac:dyDescent="0.3">
      <c r="A220" s="19" t="s">
        <v>175</v>
      </c>
      <c r="B220" s="19" t="s">
        <v>1046</v>
      </c>
      <c r="C220" s="18" t="s">
        <v>176</v>
      </c>
      <c r="D220" s="20" t="s">
        <v>5116</v>
      </c>
      <c r="E220" s="19" t="s">
        <v>5117</v>
      </c>
      <c r="F220" s="18" t="s">
        <v>177</v>
      </c>
      <c r="G220" s="18" t="s">
        <v>21</v>
      </c>
      <c r="H220" s="20" t="s">
        <v>17</v>
      </c>
    </row>
    <row r="221" spans="1:8" ht="14.5" customHeight="1" x14ac:dyDescent="0.3">
      <c r="A221" s="31" t="s">
        <v>7649</v>
      </c>
      <c r="B221" s="31" t="s">
        <v>821</v>
      </c>
      <c r="C221" s="32" t="s">
        <v>2753</v>
      </c>
      <c r="D221" s="33" t="s">
        <v>5118</v>
      </c>
      <c r="E221" s="31" t="s">
        <v>5119</v>
      </c>
      <c r="F221" s="32" t="s">
        <v>5120</v>
      </c>
      <c r="G221" s="32" t="s">
        <v>4917</v>
      </c>
      <c r="H221" s="33" t="s">
        <v>17</v>
      </c>
    </row>
    <row r="222" spans="1:8" ht="14.5" customHeight="1" x14ac:dyDescent="0.3">
      <c r="A222" s="19" t="s">
        <v>3926</v>
      </c>
      <c r="B222" s="19" t="s">
        <v>4264</v>
      </c>
      <c r="C222" s="18" t="s">
        <v>3927</v>
      </c>
      <c r="D222" s="20" t="s">
        <v>5121</v>
      </c>
      <c r="E222" s="19" t="s">
        <v>5122</v>
      </c>
      <c r="F222" s="18" t="s">
        <v>5123</v>
      </c>
      <c r="G222" s="18" t="s">
        <v>5124</v>
      </c>
      <c r="H222" s="20" t="s">
        <v>60</v>
      </c>
    </row>
    <row r="223" spans="1:8" ht="14.5" customHeight="1" x14ac:dyDescent="0.3">
      <c r="A223" s="31" t="s">
        <v>3470</v>
      </c>
      <c r="B223" s="31" t="s">
        <v>860</v>
      </c>
      <c r="C223" s="32" t="s">
        <v>3471</v>
      </c>
      <c r="D223" s="33" t="s">
        <v>4380</v>
      </c>
      <c r="E223" s="31" t="s">
        <v>4381</v>
      </c>
      <c r="F223" s="32" t="s">
        <v>4382</v>
      </c>
      <c r="G223" s="32" t="s">
        <v>4383</v>
      </c>
      <c r="H223" s="33" t="s">
        <v>17</v>
      </c>
    </row>
    <row r="224" spans="1:8" ht="14.5" customHeight="1" x14ac:dyDescent="0.3">
      <c r="A224" s="19" t="s">
        <v>7630</v>
      </c>
      <c r="B224" s="19" t="s">
        <v>5128</v>
      </c>
      <c r="C224" s="18" t="s">
        <v>1960</v>
      </c>
      <c r="D224" s="20" t="s">
        <v>5125</v>
      </c>
      <c r="E224" s="19" t="s">
        <v>5126</v>
      </c>
      <c r="F224" s="18" t="s">
        <v>5127</v>
      </c>
      <c r="G224" s="18" t="s">
        <v>65</v>
      </c>
      <c r="H224" s="20" t="s">
        <v>64</v>
      </c>
    </row>
    <row r="225" spans="1:8" ht="14.5" customHeight="1" x14ac:dyDescent="0.3">
      <c r="A225" s="31" t="s">
        <v>3784</v>
      </c>
      <c r="B225" s="31" t="s">
        <v>5132</v>
      </c>
      <c r="C225" s="32" t="s">
        <v>3785</v>
      </c>
      <c r="D225" s="33" t="s">
        <v>5129</v>
      </c>
      <c r="E225" s="31" t="s">
        <v>5130</v>
      </c>
      <c r="F225" s="32" t="s">
        <v>5131</v>
      </c>
      <c r="G225" s="32" t="s">
        <v>75</v>
      </c>
      <c r="H225" s="33" t="s">
        <v>74</v>
      </c>
    </row>
    <row r="226" spans="1:8" ht="14.5" customHeight="1" x14ac:dyDescent="0.3">
      <c r="A226" s="19" t="s">
        <v>100</v>
      </c>
      <c r="B226" s="19" t="s">
        <v>618</v>
      </c>
      <c r="C226" s="18" t="s">
        <v>101</v>
      </c>
      <c r="D226" s="20" t="s">
        <v>102</v>
      </c>
      <c r="E226" s="19" t="s">
        <v>5133</v>
      </c>
      <c r="F226" s="18" t="s">
        <v>103</v>
      </c>
      <c r="G226" s="18" t="s">
        <v>164</v>
      </c>
      <c r="H226" s="20" t="s">
        <v>84</v>
      </c>
    </row>
    <row r="227" spans="1:8" ht="14.5" customHeight="1" x14ac:dyDescent="0.3">
      <c r="A227" s="31" t="s">
        <v>7694</v>
      </c>
      <c r="B227" s="31" t="s">
        <v>5079</v>
      </c>
      <c r="C227" s="32" t="s">
        <v>1714</v>
      </c>
      <c r="D227" s="33" t="s">
        <v>5134</v>
      </c>
      <c r="E227" s="31" t="s">
        <v>5135</v>
      </c>
      <c r="F227" s="32" t="s">
        <v>258</v>
      </c>
      <c r="G227" s="32" t="s">
        <v>11</v>
      </c>
      <c r="H227" s="33" t="s">
        <v>9</v>
      </c>
    </row>
    <row r="228" spans="1:8" ht="14.5" customHeight="1" x14ac:dyDescent="0.3">
      <c r="A228" s="19" t="s">
        <v>7670</v>
      </c>
      <c r="B228" s="19" t="s">
        <v>5140</v>
      </c>
      <c r="C228" s="18" t="s">
        <v>2448</v>
      </c>
      <c r="D228" s="20" t="s">
        <v>5137</v>
      </c>
      <c r="E228" s="19" t="s">
        <v>5138</v>
      </c>
      <c r="F228" s="18" t="s">
        <v>5139</v>
      </c>
      <c r="G228" s="18" t="s">
        <v>11</v>
      </c>
      <c r="H228" s="20" t="s">
        <v>9</v>
      </c>
    </row>
    <row r="229" spans="1:8" ht="14.5" customHeight="1" x14ac:dyDescent="0.3">
      <c r="A229" s="31" t="s">
        <v>4038</v>
      </c>
      <c r="B229" s="31" t="s">
        <v>5144</v>
      </c>
      <c r="C229" s="32" t="s">
        <v>4039</v>
      </c>
      <c r="D229" s="33" t="s">
        <v>5141</v>
      </c>
      <c r="E229" s="31" t="s">
        <v>5142</v>
      </c>
      <c r="F229" s="32" t="s">
        <v>103</v>
      </c>
      <c r="G229" s="32" t="s">
        <v>5143</v>
      </c>
      <c r="H229" s="33" t="s">
        <v>4274</v>
      </c>
    </row>
    <row r="230" spans="1:8" ht="14.5" customHeight="1" x14ac:dyDescent="0.3">
      <c r="A230" s="19" t="s">
        <v>3195</v>
      </c>
      <c r="B230" s="19" t="s">
        <v>5148</v>
      </c>
      <c r="C230" s="18" t="s">
        <v>3196</v>
      </c>
      <c r="D230" s="20" t="s">
        <v>5145</v>
      </c>
      <c r="E230" s="19" t="s">
        <v>5146</v>
      </c>
      <c r="F230" s="18" t="s">
        <v>5147</v>
      </c>
      <c r="G230" s="18" t="s">
        <v>285</v>
      </c>
      <c r="H230" s="20" t="s">
        <v>148</v>
      </c>
    </row>
    <row r="231" spans="1:8" ht="14.5" customHeight="1" x14ac:dyDescent="0.3">
      <c r="A231" s="31" t="s">
        <v>2950</v>
      </c>
      <c r="B231" s="31" t="s">
        <v>658</v>
      </c>
      <c r="C231" s="32" t="s">
        <v>2951</v>
      </c>
      <c r="D231" s="33">
        <v>11930030803</v>
      </c>
      <c r="E231" s="31" t="s">
        <v>5149</v>
      </c>
      <c r="F231" s="32" t="s">
        <v>5150</v>
      </c>
      <c r="G231" s="32" t="s">
        <v>21</v>
      </c>
      <c r="H231" s="33" t="s">
        <v>17</v>
      </c>
    </row>
    <row r="232" spans="1:8" ht="14.5" customHeight="1" x14ac:dyDescent="0.3">
      <c r="A232" s="19" t="s">
        <v>3272</v>
      </c>
      <c r="B232" s="19" t="s">
        <v>5155</v>
      </c>
      <c r="C232" s="18" t="s">
        <v>3273</v>
      </c>
      <c r="D232" s="20" t="s">
        <v>5151</v>
      </c>
      <c r="E232" s="19" t="s">
        <v>5152</v>
      </c>
      <c r="F232" s="18" t="s">
        <v>5153</v>
      </c>
      <c r="G232" s="18" t="s">
        <v>5154</v>
      </c>
      <c r="H232" s="20" t="s">
        <v>32</v>
      </c>
    </row>
    <row r="233" spans="1:8" ht="14.5" customHeight="1" x14ac:dyDescent="0.3">
      <c r="A233" s="31" t="s">
        <v>3479</v>
      </c>
      <c r="B233" s="31" t="s">
        <v>4508</v>
      </c>
      <c r="C233" s="32" t="s">
        <v>3480</v>
      </c>
      <c r="D233" s="33" t="s">
        <v>5156</v>
      </c>
      <c r="E233" s="31" t="s">
        <v>5077</v>
      </c>
      <c r="F233" s="32" t="s">
        <v>5078</v>
      </c>
      <c r="G233" s="32" t="s">
        <v>21</v>
      </c>
      <c r="H233" s="33" t="s">
        <v>17</v>
      </c>
    </row>
    <row r="234" spans="1:8" ht="14.5" customHeight="1" x14ac:dyDescent="0.3">
      <c r="A234" s="19" t="s">
        <v>7277</v>
      </c>
      <c r="B234" s="19" t="s">
        <v>1319</v>
      </c>
      <c r="C234" s="18" t="s">
        <v>2630</v>
      </c>
      <c r="D234" s="20" t="s">
        <v>5158</v>
      </c>
      <c r="E234" s="19" t="s">
        <v>5159</v>
      </c>
      <c r="F234" s="18" t="s">
        <v>5160</v>
      </c>
      <c r="G234" s="18" t="s">
        <v>5161</v>
      </c>
      <c r="H234" s="20" t="s">
        <v>17</v>
      </c>
    </row>
    <row r="235" spans="1:8" ht="14.5" customHeight="1" x14ac:dyDescent="0.3">
      <c r="A235" s="31" t="s">
        <v>7588</v>
      </c>
      <c r="B235" s="31" t="s">
        <v>5165</v>
      </c>
      <c r="C235" s="32" t="s">
        <v>2254</v>
      </c>
      <c r="D235" s="33" t="s">
        <v>5162</v>
      </c>
      <c r="E235" s="31" t="s">
        <v>5163</v>
      </c>
      <c r="F235" s="32" t="s">
        <v>5164</v>
      </c>
      <c r="G235" s="32" t="s">
        <v>55</v>
      </c>
      <c r="H235" s="33" t="s">
        <v>52</v>
      </c>
    </row>
    <row r="236" spans="1:8" ht="14.5" customHeight="1" x14ac:dyDescent="0.3">
      <c r="A236" s="19" t="s">
        <v>7219</v>
      </c>
      <c r="B236" s="19" t="s">
        <v>5169</v>
      </c>
      <c r="C236" s="18" t="s">
        <v>2829</v>
      </c>
      <c r="D236" s="20" t="s">
        <v>5167</v>
      </c>
      <c r="E236" s="19" t="s">
        <v>5168</v>
      </c>
      <c r="F236" s="18" t="s">
        <v>162</v>
      </c>
      <c r="G236" s="18" t="s">
        <v>4243</v>
      </c>
      <c r="H236" s="20" t="s">
        <v>32</v>
      </c>
    </row>
    <row r="237" spans="1:8" ht="14.5" customHeight="1" x14ac:dyDescent="0.3">
      <c r="A237" s="31" t="s">
        <v>7722</v>
      </c>
      <c r="B237" s="31" t="s">
        <v>584</v>
      </c>
      <c r="C237" s="32" t="s">
        <v>1651</v>
      </c>
      <c r="D237" s="33" t="s">
        <v>5170</v>
      </c>
      <c r="E237" s="31" t="s">
        <v>57</v>
      </c>
      <c r="F237" s="32"/>
      <c r="G237" s="32" t="s">
        <v>5171</v>
      </c>
      <c r="H237" s="33" t="s">
        <v>13</v>
      </c>
    </row>
    <row r="238" spans="1:8" ht="14.5" customHeight="1" x14ac:dyDescent="0.3">
      <c r="A238" s="19" t="s">
        <v>7723</v>
      </c>
      <c r="B238" s="19" t="s">
        <v>4573</v>
      </c>
      <c r="C238" s="18" t="s">
        <v>3905</v>
      </c>
      <c r="D238" s="20" t="s">
        <v>5172</v>
      </c>
      <c r="E238" s="19" t="s">
        <v>5173</v>
      </c>
      <c r="F238" s="18" t="s">
        <v>5174</v>
      </c>
      <c r="G238" s="18" t="s">
        <v>5136</v>
      </c>
      <c r="H238" s="20" t="s">
        <v>9</v>
      </c>
    </row>
    <row r="239" spans="1:8" ht="14.5" customHeight="1" x14ac:dyDescent="0.3">
      <c r="A239" s="31" t="s">
        <v>3305</v>
      </c>
      <c r="B239" s="31" t="s">
        <v>5177</v>
      </c>
      <c r="C239" s="32" t="s">
        <v>3306</v>
      </c>
      <c r="D239" s="33" t="s">
        <v>97</v>
      </c>
      <c r="E239" s="31" t="s">
        <v>5175</v>
      </c>
      <c r="F239" s="32" t="s">
        <v>219</v>
      </c>
      <c r="G239" s="32" t="s">
        <v>5176</v>
      </c>
      <c r="H239" s="33" t="s">
        <v>92</v>
      </c>
    </row>
    <row r="240" spans="1:8" ht="14.5" customHeight="1" x14ac:dyDescent="0.3">
      <c r="A240" s="19" t="s">
        <v>3225</v>
      </c>
      <c r="B240" s="19" t="s">
        <v>5180</v>
      </c>
      <c r="C240" s="18" t="s">
        <v>3226</v>
      </c>
      <c r="D240" s="20" t="s">
        <v>5178</v>
      </c>
      <c r="E240" s="19" t="s">
        <v>5179</v>
      </c>
      <c r="F240" s="18" t="s">
        <v>4422</v>
      </c>
      <c r="G240" s="18" t="s">
        <v>94</v>
      </c>
      <c r="H240" s="20" t="s">
        <v>92</v>
      </c>
    </row>
    <row r="241" spans="1:8" ht="14.5" customHeight="1" x14ac:dyDescent="0.3">
      <c r="A241" s="31" t="s">
        <v>7725</v>
      </c>
      <c r="B241" s="31" t="s">
        <v>5184</v>
      </c>
      <c r="C241" s="32" t="s">
        <v>2280</v>
      </c>
      <c r="D241" s="33" t="s">
        <v>5181</v>
      </c>
      <c r="E241" s="31" t="s">
        <v>5182</v>
      </c>
      <c r="F241" s="32" t="s">
        <v>5183</v>
      </c>
      <c r="G241" s="32" t="s">
        <v>21</v>
      </c>
      <c r="H241" s="33" t="s">
        <v>17</v>
      </c>
    </row>
    <row r="242" spans="1:8" ht="14.5" customHeight="1" x14ac:dyDescent="0.3">
      <c r="A242" s="19" t="s">
        <v>7273</v>
      </c>
      <c r="B242" s="19" t="s">
        <v>4670</v>
      </c>
      <c r="C242" s="18" t="s">
        <v>2817</v>
      </c>
      <c r="D242" s="20"/>
      <c r="E242" s="19" t="s">
        <v>5185</v>
      </c>
      <c r="F242" s="18" t="s">
        <v>5186</v>
      </c>
      <c r="G242" s="18" t="s">
        <v>61</v>
      </c>
      <c r="H242" s="20" t="s">
        <v>60</v>
      </c>
    </row>
    <row r="243" spans="1:8" ht="14.5" customHeight="1" x14ac:dyDescent="0.3">
      <c r="A243" s="31" t="s">
        <v>7320</v>
      </c>
      <c r="B243" s="31" t="s">
        <v>923</v>
      </c>
      <c r="C243" s="32" t="s">
        <v>925</v>
      </c>
      <c r="D243" s="33" t="s">
        <v>5187</v>
      </c>
      <c r="E243" s="31" t="s">
        <v>5188</v>
      </c>
      <c r="F243" s="32"/>
      <c r="G243" s="32" t="s">
        <v>21</v>
      </c>
      <c r="H243" s="33" t="s">
        <v>17</v>
      </c>
    </row>
    <row r="244" spans="1:8" ht="14.5" customHeight="1" x14ac:dyDescent="0.3">
      <c r="A244" s="19" t="s">
        <v>3733</v>
      </c>
      <c r="B244" s="19" t="s">
        <v>5192</v>
      </c>
      <c r="C244" s="18" t="s">
        <v>3734</v>
      </c>
      <c r="D244" s="20" t="s">
        <v>5189</v>
      </c>
      <c r="E244" s="19" t="s">
        <v>5190</v>
      </c>
      <c r="F244" s="18" t="s">
        <v>5191</v>
      </c>
      <c r="G244" s="18" t="s">
        <v>11</v>
      </c>
      <c r="H244" s="20" t="s">
        <v>9</v>
      </c>
    </row>
    <row r="245" spans="1:8" ht="14.5" customHeight="1" x14ac:dyDescent="0.3">
      <c r="A245" s="31" t="s">
        <v>7310</v>
      </c>
      <c r="B245" s="31" t="s">
        <v>658</v>
      </c>
      <c r="C245" s="32" t="s">
        <v>1936</v>
      </c>
      <c r="D245" s="33" t="s">
        <v>5194</v>
      </c>
      <c r="E245" s="31" t="s">
        <v>5195</v>
      </c>
      <c r="F245" s="32" t="s">
        <v>4477</v>
      </c>
      <c r="G245" s="32" t="s">
        <v>5196</v>
      </c>
      <c r="H245" s="33" t="s">
        <v>148</v>
      </c>
    </row>
    <row r="246" spans="1:8" ht="14.5" customHeight="1" x14ac:dyDescent="0.3">
      <c r="A246" s="19" t="s">
        <v>2759</v>
      </c>
      <c r="B246" s="19" t="s">
        <v>5200</v>
      </c>
      <c r="C246" s="18" t="s">
        <v>2760</v>
      </c>
      <c r="D246" s="20" t="s">
        <v>5197</v>
      </c>
      <c r="E246" s="19" t="s">
        <v>5198</v>
      </c>
      <c r="F246" s="18" t="s">
        <v>5199</v>
      </c>
      <c r="G246" s="18" t="s">
        <v>4927</v>
      </c>
      <c r="H246" s="20" t="s">
        <v>64</v>
      </c>
    </row>
    <row r="247" spans="1:8" ht="14.5" customHeight="1" x14ac:dyDescent="0.3">
      <c r="A247" s="31" t="s">
        <v>3555</v>
      </c>
      <c r="B247" s="31" t="s">
        <v>5205</v>
      </c>
      <c r="C247" s="32" t="s">
        <v>3556</v>
      </c>
      <c r="D247" s="33" t="s">
        <v>5201</v>
      </c>
      <c r="E247" s="31" t="s">
        <v>5202</v>
      </c>
      <c r="F247" s="32" t="s">
        <v>5203</v>
      </c>
      <c r="G247" s="32" t="s">
        <v>5204</v>
      </c>
      <c r="H247" s="33" t="s">
        <v>17</v>
      </c>
    </row>
    <row r="248" spans="1:8" ht="14.5" customHeight="1" x14ac:dyDescent="0.3">
      <c r="A248" s="19" t="s">
        <v>3974</v>
      </c>
      <c r="B248" s="19" t="s">
        <v>5209</v>
      </c>
      <c r="C248" s="18" t="s">
        <v>3975</v>
      </c>
      <c r="D248" s="20" t="s">
        <v>5206</v>
      </c>
      <c r="E248" s="19" t="s">
        <v>5207</v>
      </c>
      <c r="F248" s="18" t="s">
        <v>103</v>
      </c>
      <c r="G248" s="18" t="s">
        <v>5208</v>
      </c>
      <c r="H248" s="20" t="s">
        <v>148</v>
      </c>
    </row>
    <row r="249" spans="1:8" ht="14.5" customHeight="1" x14ac:dyDescent="0.3">
      <c r="A249" s="31" t="s">
        <v>3286</v>
      </c>
      <c r="B249" s="31" t="s">
        <v>5213</v>
      </c>
      <c r="C249" s="32" t="s">
        <v>3287</v>
      </c>
      <c r="D249" s="33" t="s">
        <v>5210</v>
      </c>
      <c r="E249" s="31" t="s">
        <v>5211</v>
      </c>
      <c r="F249" s="32" t="s">
        <v>5212</v>
      </c>
      <c r="G249" s="32" t="s">
        <v>4318</v>
      </c>
      <c r="H249" s="33" t="s">
        <v>4315</v>
      </c>
    </row>
    <row r="250" spans="1:8" ht="14.5" customHeight="1" x14ac:dyDescent="0.3">
      <c r="A250" s="19" t="s">
        <v>3179</v>
      </c>
      <c r="B250" s="19" t="s">
        <v>5216</v>
      </c>
      <c r="C250" s="18" t="s">
        <v>3180</v>
      </c>
      <c r="D250" s="20" t="s">
        <v>5214</v>
      </c>
      <c r="E250" s="19" t="s">
        <v>5215</v>
      </c>
      <c r="F250" s="18" t="s">
        <v>4282</v>
      </c>
      <c r="G250" s="18" t="s">
        <v>285</v>
      </c>
      <c r="H250" s="20" t="s">
        <v>148</v>
      </c>
    </row>
    <row r="251" spans="1:8" ht="14.5" customHeight="1" x14ac:dyDescent="0.3">
      <c r="A251" s="31" t="s">
        <v>372</v>
      </c>
      <c r="B251" s="31" t="s">
        <v>1574</v>
      </c>
      <c r="C251" s="32" t="s">
        <v>373</v>
      </c>
      <c r="D251" s="33" t="s">
        <v>1576</v>
      </c>
      <c r="E251" s="31" t="s">
        <v>5217</v>
      </c>
      <c r="F251" s="32" t="s">
        <v>103</v>
      </c>
      <c r="G251" s="32" t="s">
        <v>375</v>
      </c>
      <c r="H251" s="33" t="s">
        <v>32</v>
      </c>
    </row>
    <row r="252" spans="1:8" ht="14.5" customHeight="1" x14ac:dyDescent="0.3">
      <c r="A252" s="19" t="s">
        <v>343</v>
      </c>
      <c r="B252" s="19" t="s">
        <v>1477</v>
      </c>
      <c r="C252" s="18" t="s">
        <v>344</v>
      </c>
      <c r="D252" s="20">
        <v>81986528072</v>
      </c>
      <c r="E252" s="19" t="s">
        <v>345</v>
      </c>
      <c r="F252" s="18" t="s">
        <v>103</v>
      </c>
      <c r="G252" s="18" t="s">
        <v>5219</v>
      </c>
      <c r="H252" s="20" t="s">
        <v>13</v>
      </c>
    </row>
    <row r="253" spans="1:8" ht="14.5" customHeight="1" x14ac:dyDescent="0.3">
      <c r="A253" s="31" t="s">
        <v>3163</v>
      </c>
      <c r="B253" s="31" t="s">
        <v>5223</v>
      </c>
      <c r="C253" s="32" t="s">
        <v>3164</v>
      </c>
      <c r="D253" s="33" t="s">
        <v>5220</v>
      </c>
      <c r="E253" s="31" t="s">
        <v>5221</v>
      </c>
      <c r="F253" s="32" t="s">
        <v>5222</v>
      </c>
      <c r="G253" s="32" t="s">
        <v>21</v>
      </c>
      <c r="H253" s="33" t="s">
        <v>17</v>
      </c>
    </row>
    <row r="254" spans="1:8" ht="14.5" customHeight="1" x14ac:dyDescent="0.3">
      <c r="A254" s="19" t="s">
        <v>7747</v>
      </c>
      <c r="B254" s="19" t="s">
        <v>5226</v>
      </c>
      <c r="C254" s="18" t="s">
        <v>2055</v>
      </c>
      <c r="D254" s="20"/>
      <c r="E254" s="19" t="s">
        <v>5224</v>
      </c>
      <c r="F254" s="18" t="s">
        <v>5225</v>
      </c>
      <c r="G254" s="18" t="s">
        <v>21</v>
      </c>
      <c r="H254" s="20" t="s">
        <v>17</v>
      </c>
    </row>
    <row r="255" spans="1:8" ht="14.5" customHeight="1" x14ac:dyDescent="0.3">
      <c r="A255" s="31" t="s">
        <v>7712</v>
      </c>
      <c r="B255" s="31" t="s">
        <v>570</v>
      </c>
      <c r="C255" s="32" t="s">
        <v>572</v>
      </c>
      <c r="D255" s="33" t="s">
        <v>5227</v>
      </c>
      <c r="E255" s="31" t="s">
        <v>5228</v>
      </c>
      <c r="F255" s="32"/>
      <c r="G255" s="32" t="s">
        <v>576</v>
      </c>
      <c r="H255" s="33" t="s">
        <v>52</v>
      </c>
    </row>
    <row r="256" spans="1:8" ht="14.5" customHeight="1" x14ac:dyDescent="0.3">
      <c r="A256" s="19" t="s">
        <v>2026</v>
      </c>
      <c r="B256" s="19" t="s">
        <v>5233</v>
      </c>
      <c r="C256" s="18" t="s">
        <v>2027</v>
      </c>
      <c r="D256" s="20" t="s">
        <v>5229</v>
      </c>
      <c r="E256" s="19" t="s">
        <v>5230</v>
      </c>
      <c r="F256" s="18" t="s">
        <v>5231</v>
      </c>
      <c r="G256" s="18" t="s">
        <v>5232</v>
      </c>
      <c r="H256" s="20" t="s">
        <v>13</v>
      </c>
    </row>
    <row r="257" spans="1:8" ht="14.5" customHeight="1" x14ac:dyDescent="0.3">
      <c r="A257" s="31" t="s">
        <v>3869</v>
      </c>
      <c r="B257" s="31" t="s">
        <v>5237</v>
      </c>
      <c r="C257" s="32" t="s">
        <v>3870</v>
      </c>
      <c r="D257" s="33" t="s">
        <v>5234</v>
      </c>
      <c r="E257" s="31" t="s">
        <v>5235</v>
      </c>
      <c r="F257" s="32" t="s">
        <v>5236</v>
      </c>
      <c r="G257" s="32" t="s">
        <v>4472</v>
      </c>
      <c r="H257" s="33" t="s">
        <v>17</v>
      </c>
    </row>
    <row r="258" spans="1:8" ht="14.5" customHeight="1" x14ac:dyDescent="0.3">
      <c r="A258" s="19" t="s">
        <v>3874</v>
      </c>
      <c r="B258" s="19" t="s">
        <v>563</v>
      </c>
      <c r="C258" s="18" t="s">
        <v>3875</v>
      </c>
      <c r="D258" s="20" t="s">
        <v>5238</v>
      </c>
      <c r="E258" s="19" t="s">
        <v>5239</v>
      </c>
      <c r="F258" s="18" t="s">
        <v>5240</v>
      </c>
      <c r="G258" s="18" t="s">
        <v>21</v>
      </c>
      <c r="H258" s="20" t="s">
        <v>17</v>
      </c>
    </row>
    <row r="259" spans="1:8" ht="14.5" customHeight="1" x14ac:dyDescent="0.3">
      <c r="A259" s="31" t="s">
        <v>7386</v>
      </c>
      <c r="B259" s="31" t="s">
        <v>658</v>
      </c>
      <c r="C259" s="32" t="s">
        <v>911</v>
      </c>
      <c r="D259" s="33" t="s">
        <v>5241</v>
      </c>
      <c r="E259" s="31" t="s">
        <v>5242</v>
      </c>
      <c r="F259" s="32"/>
      <c r="G259" s="32" t="s">
        <v>75</v>
      </c>
      <c r="H259" s="33" t="s">
        <v>74</v>
      </c>
    </row>
    <row r="260" spans="1:8" ht="14.5" customHeight="1" x14ac:dyDescent="0.3">
      <c r="A260" s="19" t="s">
        <v>3354</v>
      </c>
      <c r="B260" s="19" t="s">
        <v>5245</v>
      </c>
      <c r="C260" s="18" t="s">
        <v>3355</v>
      </c>
      <c r="D260" s="20" t="s">
        <v>5243</v>
      </c>
      <c r="E260" s="19" t="s">
        <v>5244</v>
      </c>
      <c r="F260" s="18" t="s">
        <v>4928</v>
      </c>
      <c r="G260" s="18" t="s">
        <v>11</v>
      </c>
      <c r="H260" s="20" t="s">
        <v>9</v>
      </c>
    </row>
    <row r="261" spans="1:8" ht="14.5" customHeight="1" x14ac:dyDescent="0.3">
      <c r="A261" s="31" t="s">
        <v>3571</v>
      </c>
      <c r="B261" s="31" t="s">
        <v>584</v>
      </c>
      <c r="C261" s="32" t="s">
        <v>3572</v>
      </c>
      <c r="D261" s="33" t="s">
        <v>5248</v>
      </c>
      <c r="E261" s="31" t="s">
        <v>5249</v>
      </c>
      <c r="F261" s="32" t="s">
        <v>5250</v>
      </c>
      <c r="G261" s="32" t="s">
        <v>21</v>
      </c>
      <c r="H261" s="33" t="s">
        <v>17</v>
      </c>
    </row>
    <row r="262" spans="1:8" ht="14.5" customHeight="1" x14ac:dyDescent="0.3">
      <c r="A262" s="19" t="s">
        <v>7379</v>
      </c>
      <c r="B262" s="19" t="s">
        <v>5254</v>
      </c>
      <c r="C262" s="18" t="s">
        <v>1805</v>
      </c>
      <c r="D262" s="20" t="s">
        <v>5251</v>
      </c>
      <c r="E262" s="19" t="s">
        <v>5252</v>
      </c>
      <c r="F262" s="18" t="s">
        <v>5253</v>
      </c>
      <c r="G262" s="18" t="s">
        <v>75</v>
      </c>
      <c r="H262" s="20" t="s">
        <v>74</v>
      </c>
    </row>
    <row r="263" spans="1:8" ht="14.5" customHeight="1" x14ac:dyDescent="0.3">
      <c r="A263" s="31" t="s">
        <v>109</v>
      </c>
      <c r="B263" s="31" t="s">
        <v>704</v>
      </c>
      <c r="C263" s="32" t="s">
        <v>110</v>
      </c>
      <c r="D263" s="33" t="s">
        <v>706</v>
      </c>
      <c r="E263" s="31" t="s">
        <v>5255</v>
      </c>
      <c r="F263" s="32" t="s">
        <v>111</v>
      </c>
      <c r="G263" s="32" t="s">
        <v>59</v>
      </c>
      <c r="H263" s="33" t="s">
        <v>13</v>
      </c>
    </row>
    <row r="264" spans="1:8" ht="14.5" customHeight="1" x14ac:dyDescent="0.3">
      <c r="A264" s="19" t="s">
        <v>3667</v>
      </c>
      <c r="B264" s="19" t="s">
        <v>5256</v>
      </c>
      <c r="C264" s="18" t="s">
        <v>3668</v>
      </c>
      <c r="D264" s="20" t="s">
        <v>5257</v>
      </c>
      <c r="E264" s="19" t="s">
        <v>5258</v>
      </c>
      <c r="F264" s="18" t="s">
        <v>5259</v>
      </c>
      <c r="G264" s="18" t="s">
        <v>75</v>
      </c>
      <c r="H264" s="20" t="s">
        <v>74</v>
      </c>
    </row>
    <row r="265" spans="1:8" ht="14.5" customHeight="1" x14ac:dyDescent="0.3">
      <c r="A265" s="31" t="s">
        <v>3982</v>
      </c>
      <c r="B265" s="31" t="s">
        <v>5263</v>
      </c>
      <c r="C265" s="32" t="s">
        <v>3983</v>
      </c>
      <c r="D265" s="33" t="s">
        <v>5260</v>
      </c>
      <c r="E265" s="31" t="s">
        <v>5261</v>
      </c>
      <c r="F265" s="32" t="s">
        <v>5262</v>
      </c>
      <c r="G265" s="32" t="s">
        <v>75</v>
      </c>
      <c r="H265" s="33" t="s">
        <v>74</v>
      </c>
    </row>
    <row r="266" spans="1:8" ht="14.5" customHeight="1" x14ac:dyDescent="0.3">
      <c r="A266" s="19" t="s">
        <v>3689</v>
      </c>
      <c r="B266" s="19" t="s">
        <v>5268</v>
      </c>
      <c r="C266" s="18" t="s">
        <v>3690</v>
      </c>
      <c r="D266" s="20" t="s">
        <v>5264</v>
      </c>
      <c r="E266" s="19" t="s">
        <v>5265</v>
      </c>
      <c r="F266" s="18" t="s">
        <v>5266</v>
      </c>
      <c r="G266" s="18" t="s">
        <v>5267</v>
      </c>
      <c r="H266" s="20" t="s">
        <v>84</v>
      </c>
    </row>
    <row r="267" spans="1:8" ht="14.5" customHeight="1" x14ac:dyDescent="0.3">
      <c r="A267" s="31" t="s">
        <v>7324</v>
      </c>
      <c r="B267" s="31" t="s">
        <v>5271</v>
      </c>
      <c r="C267" s="32" t="s">
        <v>2512</v>
      </c>
      <c r="D267" s="33" t="s">
        <v>5269</v>
      </c>
      <c r="E267" s="31" t="s">
        <v>5270</v>
      </c>
      <c r="F267" s="32" t="s">
        <v>4751</v>
      </c>
      <c r="G267" s="32" t="s">
        <v>4243</v>
      </c>
      <c r="H267" s="33" t="s">
        <v>32</v>
      </c>
    </row>
    <row r="268" spans="1:8" ht="14.5" customHeight="1" x14ac:dyDescent="0.3">
      <c r="A268" s="19" t="s">
        <v>7306</v>
      </c>
      <c r="B268" s="19" t="s">
        <v>563</v>
      </c>
      <c r="C268" s="18" t="s">
        <v>2463</v>
      </c>
      <c r="D268" s="20" t="s">
        <v>5273</v>
      </c>
      <c r="E268" s="19" t="s">
        <v>5274</v>
      </c>
      <c r="F268" s="18" t="s">
        <v>5275</v>
      </c>
      <c r="G268" s="18" t="s">
        <v>21</v>
      </c>
      <c r="H268" s="20" t="s">
        <v>17</v>
      </c>
    </row>
    <row r="269" spans="1:8" ht="14.5" customHeight="1" x14ac:dyDescent="0.3">
      <c r="A269" s="31" t="s">
        <v>7328</v>
      </c>
      <c r="B269" s="31" t="s">
        <v>5279</v>
      </c>
      <c r="C269" s="32" t="s">
        <v>3112</v>
      </c>
      <c r="D269" s="33" t="s">
        <v>5276</v>
      </c>
      <c r="E269" s="31" t="s">
        <v>5277</v>
      </c>
      <c r="F269" s="32" t="s">
        <v>5278</v>
      </c>
      <c r="G269" s="32" t="s">
        <v>302</v>
      </c>
      <c r="H269" s="33" t="s">
        <v>196</v>
      </c>
    </row>
    <row r="270" spans="1:8" ht="14.5" customHeight="1" x14ac:dyDescent="0.3">
      <c r="A270" s="19" t="s">
        <v>7325</v>
      </c>
      <c r="B270" s="19" t="s">
        <v>5280</v>
      </c>
      <c r="C270" s="18" t="s">
        <v>2710</v>
      </c>
      <c r="D270" s="20" t="s">
        <v>5281</v>
      </c>
      <c r="E270" s="19" t="s">
        <v>5282</v>
      </c>
      <c r="F270" s="18" t="s">
        <v>5283</v>
      </c>
      <c r="G270" s="18" t="s">
        <v>4926</v>
      </c>
      <c r="H270" s="20" t="s">
        <v>9</v>
      </c>
    </row>
    <row r="271" spans="1:8" ht="14.5" customHeight="1" x14ac:dyDescent="0.3">
      <c r="A271" s="31" t="s">
        <v>3530</v>
      </c>
      <c r="B271" s="31" t="s">
        <v>4740</v>
      </c>
      <c r="C271" s="32" t="s">
        <v>3531</v>
      </c>
      <c r="D271" s="33" t="s">
        <v>5285</v>
      </c>
      <c r="E271" s="31" t="s">
        <v>5286</v>
      </c>
      <c r="F271" s="32" t="s">
        <v>5287</v>
      </c>
      <c r="G271" s="32" t="s">
        <v>241</v>
      </c>
      <c r="H271" s="33" t="s">
        <v>9</v>
      </c>
    </row>
    <row r="272" spans="1:8" ht="14.5" customHeight="1" x14ac:dyDescent="0.3">
      <c r="A272" s="19" t="s">
        <v>7636</v>
      </c>
      <c r="B272" s="19" t="s">
        <v>543</v>
      </c>
      <c r="C272" s="18" t="s">
        <v>2923</v>
      </c>
      <c r="D272" s="20" t="s">
        <v>5288</v>
      </c>
      <c r="E272" s="19" t="s">
        <v>5289</v>
      </c>
      <c r="F272" s="18" t="s">
        <v>5290</v>
      </c>
      <c r="G272" s="18" t="s">
        <v>285</v>
      </c>
      <c r="H272" s="20" t="s">
        <v>148</v>
      </c>
    </row>
    <row r="273" spans="1:8" ht="14.5" customHeight="1" x14ac:dyDescent="0.3">
      <c r="A273" s="31" t="s">
        <v>7315</v>
      </c>
      <c r="B273" s="31" t="s">
        <v>5293</v>
      </c>
      <c r="C273" s="32" t="s">
        <v>3221</v>
      </c>
      <c r="D273" s="33" t="s">
        <v>5291</v>
      </c>
      <c r="E273" s="31" t="s">
        <v>5292</v>
      </c>
      <c r="F273" s="32" t="s">
        <v>219</v>
      </c>
      <c r="G273" s="32" t="s">
        <v>143</v>
      </c>
      <c r="H273" s="33" t="s">
        <v>32</v>
      </c>
    </row>
    <row r="274" spans="1:8" ht="14.5" customHeight="1" x14ac:dyDescent="0.3">
      <c r="A274" s="19" t="s">
        <v>3662</v>
      </c>
      <c r="B274" s="19" t="s">
        <v>5297</v>
      </c>
      <c r="C274" s="18" t="s">
        <v>3663</v>
      </c>
      <c r="D274" s="20" t="s">
        <v>5294</v>
      </c>
      <c r="E274" s="19" t="s">
        <v>5295</v>
      </c>
      <c r="F274" s="18" t="s">
        <v>5296</v>
      </c>
      <c r="G274" s="18" t="s">
        <v>5272</v>
      </c>
      <c r="H274" s="20" t="s">
        <v>13</v>
      </c>
    </row>
    <row r="275" spans="1:8" ht="14.5" customHeight="1" x14ac:dyDescent="0.3">
      <c r="A275" s="31" t="s">
        <v>7370</v>
      </c>
      <c r="B275" s="31" t="s">
        <v>1008</v>
      </c>
      <c r="C275" s="32" t="s">
        <v>2725</v>
      </c>
      <c r="D275" s="33" t="s">
        <v>5299</v>
      </c>
      <c r="E275" s="31" t="s">
        <v>5300</v>
      </c>
      <c r="F275" s="32" t="s">
        <v>103</v>
      </c>
      <c r="G275" s="32" t="s">
        <v>5301</v>
      </c>
      <c r="H275" s="33" t="s">
        <v>166</v>
      </c>
    </row>
    <row r="276" spans="1:8" ht="14.5" customHeight="1" x14ac:dyDescent="0.3">
      <c r="A276" s="19" t="s">
        <v>7350</v>
      </c>
      <c r="B276" s="19" t="s">
        <v>5305</v>
      </c>
      <c r="C276" s="18" t="s">
        <v>2058</v>
      </c>
      <c r="D276" s="20" t="s">
        <v>5303</v>
      </c>
      <c r="E276" s="19" t="s">
        <v>5304</v>
      </c>
      <c r="F276" s="18" t="s">
        <v>4900</v>
      </c>
      <c r="G276" s="18" t="s">
        <v>285</v>
      </c>
      <c r="H276" s="20" t="s">
        <v>148</v>
      </c>
    </row>
    <row r="277" spans="1:8" ht="14.5" customHeight="1" x14ac:dyDescent="0.3">
      <c r="A277" s="31" t="s">
        <v>4021</v>
      </c>
      <c r="B277" s="31" t="s">
        <v>4971</v>
      </c>
      <c r="C277" s="32" t="s">
        <v>4022</v>
      </c>
      <c r="D277" s="33" t="s">
        <v>5306</v>
      </c>
      <c r="E277" s="31" t="s">
        <v>5307</v>
      </c>
      <c r="F277" s="32" t="s">
        <v>219</v>
      </c>
      <c r="G277" s="32" t="s">
        <v>5308</v>
      </c>
      <c r="H277" s="33" t="s">
        <v>4257</v>
      </c>
    </row>
    <row r="278" spans="1:8" ht="14.5" customHeight="1" x14ac:dyDescent="0.3">
      <c r="A278" s="19" t="s">
        <v>3139</v>
      </c>
      <c r="B278" s="19" t="s">
        <v>5310</v>
      </c>
      <c r="C278" s="18" t="s">
        <v>3140</v>
      </c>
      <c r="D278" s="20" t="s">
        <v>5309</v>
      </c>
      <c r="E278" s="19" t="s">
        <v>4307</v>
      </c>
      <c r="F278" s="18" t="s">
        <v>4360</v>
      </c>
      <c r="G278" s="18" t="s">
        <v>342</v>
      </c>
      <c r="H278" s="20" t="s">
        <v>252</v>
      </c>
    </row>
    <row r="279" spans="1:8" ht="14.5" customHeight="1" x14ac:dyDescent="0.3">
      <c r="A279" s="31" t="s">
        <v>1827</v>
      </c>
      <c r="B279" s="31" t="s">
        <v>1017</v>
      </c>
      <c r="C279" s="32" t="s">
        <v>161</v>
      </c>
      <c r="D279" s="33" t="s">
        <v>5312</v>
      </c>
      <c r="E279" s="31" t="s">
        <v>5313</v>
      </c>
      <c r="F279" s="32" t="s">
        <v>162</v>
      </c>
      <c r="G279" s="32" t="s">
        <v>15</v>
      </c>
      <c r="H279" s="33" t="s">
        <v>13</v>
      </c>
    </row>
    <row r="280" spans="1:8" ht="14.5" customHeight="1" x14ac:dyDescent="0.3">
      <c r="A280" s="19" t="s">
        <v>367</v>
      </c>
      <c r="B280" s="19" t="s">
        <v>1565</v>
      </c>
      <c r="C280" s="18" t="s">
        <v>369</v>
      </c>
      <c r="D280" s="20" t="s">
        <v>5314</v>
      </c>
      <c r="E280" s="19" t="s">
        <v>370</v>
      </c>
      <c r="F280" s="18" t="s">
        <v>371</v>
      </c>
      <c r="G280" s="18" t="s">
        <v>5315</v>
      </c>
      <c r="H280" s="20" t="s">
        <v>60</v>
      </c>
    </row>
    <row r="281" spans="1:8" ht="14.5" customHeight="1" x14ac:dyDescent="0.3">
      <c r="A281" s="31" t="s">
        <v>3101</v>
      </c>
      <c r="B281" s="31" t="s">
        <v>5319</v>
      </c>
      <c r="C281" s="32" t="s">
        <v>3102</v>
      </c>
      <c r="D281" s="33" t="s">
        <v>5316</v>
      </c>
      <c r="E281" s="31" t="s">
        <v>5317</v>
      </c>
      <c r="F281" s="32" t="s">
        <v>5318</v>
      </c>
      <c r="G281" s="32" t="s">
        <v>61</v>
      </c>
      <c r="H281" s="33" t="s">
        <v>60</v>
      </c>
    </row>
    <row r="282" spans="1:8" ht="14.5" customHeight="1" x14ac:dyDescent="0.3">
      <c r="A282" s="19" t="s">
        <v>7573</v>
      </c>
      <c r="B282" s="19" t="s">
        <v>563</v>
      </c>
      <c r="C282" s="18" t="s">
        <v>2714</v>
      </c>
      <c r="D282" s="20" t="s">
        <v>5320</v>
      </c>
      <c r="E282" s="19" t="s">
        <v>5321</v>
      </c>
      <c r="F282" s="18" t="s">
        <v>4629</v>
      </c>
      <c r="G282" s="18" t="s">
        <v>5322</v>
      </c>
      <c r="H282" s="20" t="s">
        <v>60</v>
      </c>
    </row>
    <row r="283" spans="1:8" ht="14.5" customHeight="1" x14ac:dyDescent="0.3">
      <c r="A283" s="31" t="s">
        <v>3527</v>
      </c>
      <c r="B283" s="31" t="s">
        <v>5327</v>
      </c>
      <c r="C283" s="32" t="s">
        <v>3528</v>
      </c>
      <c r="D283" s="33" t="s">
        <v>5324</v>
      </c>
      <c r="E283" s="31" t="s">
        <v>5325</v>
      </c>
      <c r="F283" s="32" t="s">
        <v>5326</v>
      </c>
      <c r="G283" s="32" t="s">
        <v>21</v>
      </c>
      <c r="H283" s="33" t="s">
        <v>17</v>
      </c>
    </row>
    <row r="284" spans="1:8" ht="14.5" customHeight="1" x14ac:dyDescent="0.3">
      <c r="A284" s="19" t="s">
        <v>4160</v>
      </c>
      <c r="B284" s="19" t="s">
        <v>4329</v>
      </c>
      <c r="C284" s="18" t="s">
        <v>4161</v>
      </c>
      <c r="D284" s="20" t="s">
        <v>5329</v>
      </c>
      <c r="E284" s="19" t="s">
        <v>5070</v>
      </c>
      <c r="F284" s="18" t="s">
        <v>5330</v>
      </c>
      <c r="G284" s="18" t="s">
        <v>4243</v>
      </c>
      <c r="H284" s="20" t="s">
        <v>32</v>
      </c>
    </row>
    <row r="285" spans="1:8" ht="14.5" customHeight="1" x14ac:dyDescent="0.3">
      <c r="A285" s="31" t="s">
        <v>7338</v>
      </c>
      <c r="B285" s="31" t="s">
        <v>543</v>
      </c>
      <c r="C285" s="32" t="s">
        <v>1796</v>
      </c>
      <c r="D285" s="33" t="s">
        <v>5332</v>
      </c>
      <c r="E285" s="31" t="s">
        <v>5333</v>
      </c>
      <c r="F285" s="32" t="s">
        <v>5334</v>
      </c>
      <c r="G285" s="32" t="s">
        <v>5335</v>
      </c>
      <c r="H285" s="33" t="s">
        <v>13</v>
      </c>
    </row>
    <row r="286" spans="1:8" ht="14.5" customHeight="1" x14ac:dyDescent="0.3">
      <c r="A286" s="19" t="s">
        <v>7339</v>
      </c>
      <c r="B286" s="19" t="s">
        <v>5339</v>
      </c>
      <c r="C286" s="18" t="s">
        <v>2460</v>
      </c>
      <c r="D286" s="20" t="s">
        <v>5336</v>
      </c>
      <c r="E286" s="19" t="s">
        <v>5337</v>
      </c>
      <c r="F286" s="18" t="s">
        <v>5186</v>
      </c>
      <c r="G286" s="18" t="s">
        <v>5338</v>
      </c>
      <c r="H286" s="20" t="s">
        <v>32</v>
      </c>
    </row>
    <row r="287" spans="1:8" ht="14.5" customHeight="1" x14ac:dyDescent="0.3">
      <c r="A287" s="31" t="s">
        <v>7344</v>
      </c>
      <c r="B287" s="31" t="s">
        <v>5343</v>
      </c>
      <c r="C287" s="32" t="s">
        <v>2845</v>
      </c>
      <c r="D287" s="33" t="s">
        <v>5340</v>
      </c>
      <c r="E287" s="31" t="s">
        <v>5341</v>
      </c>
      <c r="F287" s="32" t="s">
        <v>5342</v>
      </c>
      <c r="G287" s="32" t="s">
        <v>285</v>
      </c>
      <c r="H287" s="33" t="s">
        <v>148</v>
      </c>
    </row>
    <row r="288" spans="1:8" ht="14.5" customHeight="1" x14ac:dyDescent="0.3">
      <c r="A288" s="19" t="s">
        <v>3583</v>
      </c>
      <c r="B288" s="19" t="s">
        <v>5346</v>
      </c>
      <c r="C288" s="18" t="s">
        <v>3584</v>
      </c>
      <c r="D288" s="20" t="s">
        <v>5344</v>
      </c>
      <c r="E288" s="19" t="s">
        <v>5345</v>
      </c>
      <c r="F288" s="18" t="s">
        <v>4596</v>
      </c>
      <c r="G288" s="18" t="s">
        <v>75</v>
      </c>
      <c r="H288" s="20" t="s">
        <v>74</v>
      </c>
    </row>
    <row r="289" spans="1:8" ht="14.5" customHeight="1" x14ac:dyDescent="0.3">
      <c r="A289" s="31" t="s">
        <v>7340</v>
      </c>
      <c r="B289" s="31" t="s">
        <v>563</v>
      </c>
      <c r="C289" s="32" t="s">
        <v>1825</v>
      </c>
      <c r="D289" s="33">
        <v>81983731998</v>
      </c>
      <c r="E289" s="31" t="s">
        <v>5347</v>
      </c>
      <c r="F289" s="32" t="s">
        <v>5348</v>
      </c>
      <c r="G289" s="32" t="s">
        <v>61</v>
      </c>
      <c r="H289" s="33" t="s">
        <v>60</v>
      </c>
    </row>
    <row r="290" spans="1:8" ht="14.5" customHeight="1" x14ac:dyDescent="0.3">
      <c r="A290" s="19" t="s">
        <v>7343</v>
      </c>
      <c r="B290" s="19" t="s">
        <v>5351</v>
      </c>
      <c r="C290" s="18" t="s">
        <v>2068</v>
      </c>
      <c r="D290" s="20" t="s">
        <v>5349</v>
      </c>
      <c r="E290" s="19" t="s">
        <v>5350</v>
      </c>
      <c r="F290" s="18" t="s">
        <v>103</v>
      </c>
      <c r="G290" s="18" t="s">
        <v>4706</v>
      </c>
      <c r="H290" s="20" t="s">
        <v>13</v>
      </c>
    </row>
    <row r="291" spans="1:8" ht="14.5" customHeight="1" x14ac:dyDescent="0.3">
      <c r="A291" s="31" t="s">
        <v>3545</v>
      </c>
      <c r="B291" s="31" t="s">
        <v>4839</v>
      </c>
      <c r="C291" s="32" t="s">
        <v>3546</v>
      </c>
      <c r="D291" s="33" t="s">
        <v>5353</v>
      </c>
      <c r="E291" s="31" t="s">
        <v>5354</v>
      </c>
      <c r="F291" s="32" t="s">
        <v>4255</v>
      </c>
      <c r="G291" s="32" t="s">
        <v>285</v>
      </c>
      <c r="H291" s="33" t="s">
        <v>148</v>
      </c>
    </row>
    <row r="292" spans="1:8" ht="14.5" customHeight="1" x14ac:dyDescent="0.3">
      <c r="A292" s="19" t="s">
        <v>4061</v>
      </c>
      <c r="B292" s="19" t="s">
        <v>5360</v>
      </c>
      <c r="C292" s="18" t="s">
        <v>4062</v>
      </c>
      <c r="D292" s="20" t="s">
        <v>5357</v>
      </c>
      <c r="E292" s="19" t="s">
        <v>5358</v>
      </c>
      <c r="F292" s="18" t="s">
        <v>5359</v>
      </c>
      <c r="G292" s="18" t="s">
        <v>42</v>
      </c>
      <c r="H292" s="20" t="s">
        <v>40</v>
      </c>
    </row>
    <row r="293" spans="1:8" ht="14.5" customHeight="1" x14ac:dyDescent="0.3">
      <c r="A293" s="31" t="s">
        <v>7423</v>
      </c>
      <c r="B293" s="31" t="s">
        <v>976</v>
      </c>
      <c r="C293" s="32" t="s">
        <v>978</v>
      </c>
      <c r="D293" s="33" t="s">
        <v>5361</v>
      </c>
      <c r="E293" s="31" t="s">
        <v>982</v>
      </c>
      <c r="F293" s="32"/>
      <c r="G293" s="32" t="s">
        <v>167</v>
      </c>
      <c r="H293" s="33" t="s">
        <v>166</v>
      </c>
    </row>
    <row r="294" spans="1:8" ht="14.5" customHeight="1" x14ac:dyDescent="0.3">
      <c r="A294" s="19" t="s">
        <v>3311</v>
      </c>
      <c r="B294" s="19" t="s">
        <v>5365</v>
      </c>
      <c r="C294" s="18" t="s">
        <v>3312</v>
      </c>
      <c r="D294" s="20" t="s">
        <v>5362</v>
      </c>
      <c r="E294" s="19" t="s">
        <v>5363</v>
      </c>
      <c r="F294" s="18" t="s">
        <v>5364</v>
      </c>
      <c r="G294" s="18" t="s">
        <v>42</v>
      </c>
      <c r="H294" s="20" t="s">
        <v>40</v>
      </c>
    </row>
    <row r="295" spans="1:8" ht="14.5" customHeight="1" x14ac:dyDescent="0.3">
      <c r="A295" s="31" t="s">
        <v>7395</v>
      </c>
      <c r="B295" s="31" t="s">
        <v>5369</v>
      </c>
      <c r="C295" s="32" t="s">
        <v>2283</v>
      </c>
      <c r="D295" s="33" t="s">
        <v>5366</v>
      </c>
      <c r="E295" s="31" t="s">
        <v>5367</v>
      </c>
      <c r="F295" s="32" t="s">
        <v>5368</v>
      </c>
      <c r="G295" s="32" t="s">
        <v>42</v>
      </c>
      <c r="H295" s="33" t="s">
        <v>40</v>
      </c>
    </row>
    <row r="296" spans="1:8" ht="14.5" customHeight="1" x14ac:dyDescent="0.3">
      <c r="A296" s="19" t="s">
        <v>4004</v>
      </c>
      <c r="B296" s="19" t="s">
        <v>5373</v>
      </c>
      <c r="C296" s="18" t="s">
        <v>4005</v>
      </c>
      <c r="D296" s="20" t="s">
        <v>5371</v>
      </c>
      <c r="E296" s="19" t="s">
        <v>5372</v>
      </c>
      <c r="F296" s="18" t="s">
        <v>5139</v>
      </c>
      <c r="G296" s="18" t="s">
        <v>11</v>
      </c>
      <c r="H296" s="20" t="s">
        <v>9</v>
      </c>
    </row>
    <row r="297" spans="1:8" ht="14.5" customHeight="1" x14ac:dyDescent="0.3">
      <c r="A297" s="31" t="s">
        <v>7349</v>
      </c>
      <c r="B297" s="31" t="s">
        <v>5377</v>
      </c>
      <c r="C297" s="32" t="s">
        <v>2824</v>
      </c>
      <c r="D297" s="33" t="s">
        <v>5374</v>
      </c>
      <c r="E297" s="31" t="s">
        <v>5375</v>
      </c>
      <c r="F297" s="32" t="s">
        <v>5376</v>
      </c>
      <c r="G297" s="32" t="s">
        <v>61</v>
      </c>
      <c r="H297" s="33" t="s">
        <v>60</v>
      </c>
    </row>
    <row r="298" spans="1:8" ht="14.5" customHeight="1" x14ac:dyDescent="0.3">
      <c r="A298" s="19" t="s">
        <v>3424</v>
      </c>
      <c r="B298" s="19" t="s">
        <v>5381</v>
      </c>
      <c r="C298" s="18" t="s">
        <v>3425</v>
      </c>
      <c r="D298" s="20" t="s">
        <v>5378</v>
      </c>
      <c r="E298" s="19" t="s">
        <v>5379</v>
      </c>
      <c r="F298" s="18" t="s">
        <v>5380</v>
      </c>
      <c r="G298" s="18" t="s">
        <v>285</v>
      </c>
      <c r="H298" s="20" t="s">
        <v>148</v>
      </c>
    </row>
    <row r="299" spans="1:8" ht="14.5" customHeight="1" x14ac:dyDescent="0.3">
      <c r="A299" s="31" t="s">
        <v>3549</v>
      </c>
      <c r="B299" s="31" t="s">
        <v>5385</v>
      </c>
      <c r="C299" s="32" t="s">
        <v>3550</v>
      </c>
      <c r="D299" s="33" t="s">
        <v>5382</v>
      </c>
      <c r="E299" s="31" t="s">
        <v>5383</v>
      </c>
      <c r="F299" s="32" t="s">
        <v>5384</v>
      </c>
      <c r="G299" s="32" t="s">
        <v>4681</v>
      </c>
      <c r="H299" s="33" t="s">
        <v>9</v>
      </c>
    </row>
    <row r="300" spans="1:8" ht="14.5" customHeight="1" x14ac:dyDescent="0.3">
      <c r="A300" s="19" t="s">
        <v>7420</v>
      </c>
      <c r="B300" s="19" t="s">
        <v>658</v>
      </c>
      <c r="C300" s="18" t="s">
        <v>1922</v>
      </c>
      <c r="D300" s="20" t="s">
        <v>5386</v>
      </c>
      <c r="E300" s="19" t="s">
        <v>5387</v>
      </c>
      <c r="F300" s="18" t="s">
        <v>5388</v>
      </c>
      <c r="G300" s="18" t="s">
        <v>11</v>
      </c>
      <c r="H300" s="20" t="s">
        <v>9</v>
      </c>
    </row>
    <row r="301" spans="1:8" ht="14.5" customHeight="1" x14ac:dyDescent="0.3">
      <c r="A301" s="31" t="s">
        <v>3455</v>
      </c>
      <c r="B301" s="31" t="s">
        <v>5393</v>
      </c>
      <c r="C301" s="32" t="s">
        <v>3456</v>
      </c>
      <c r="D301" s="33" t="s">
        <v>5389</v>
      </c>
      <c r="E301" s="31" t="s">
        <v>5390</v>
      </c>
      <c r="F301" s="32" t="s">
        <v>5391</v>
      </c>
      <c r="G301" s="32" t="s">
        <v>5392</v>
      </c>
      <c r="H301" s="33" t="s">
        <v>74</v>
      </c>
    </row>
    <row r="302" spans="1:8" ht="14.5" customHeight="1" x14ac:dyDescent="0.3">
      <c r="A302" s="19" t="s">
        <v>7663</v>
      </c>
      <c r="B302" s="19" t="s">
        <v>5396</v>
      </c>
      <c r="C302" s="18" t="s">
        <v>4111</v>
      </c>
      <c r="D302" s="20" t="s">
        <v>5394</v>
      </c>
      <c r="E302" s="19" t="s">
        <v>5395</v>
      </c>
      <c r="F302" s="18" t="s">
        <v>4335</v>
      </c>
      <c r="G302" s="18" t="s">
        <v>61</v>
      </c>
      <c r="H302" s="20" t="s">
        <v>60</v>
      </c>
    </row>
    <row r="303" spans="1:8" ht="14.5" customHeight="1" x14ac:dyDescent="0.3">
      <c r="A303" s="31" t="s">
        <v>7345</v>
      </c>
      <c r="B303" s="31" t="s">
        <v>5399</v>
      </c>
      <c r="C303" s="32" t="s">
        <v>3991</v>
      </c>
      <c r="D303" s="33" t="s">
        <v>5397</v>
      </c>
      <c r="E303" s="31" t="s">
        <v>5398</v>
      </c>
      <c r="F303" s="32" t="s">
        <v>4255</v>
      </c>
      <c r="G303" s="32" t="s">
        <v>61</v>
      </c>
      <c r="H303" s="33" t="s">
        <v>60</v>
      </c>
    </row>
    <row r="304" spans="1:8" ht="14.5" customHeight="1" x14ac:dyDescent="0.3">
      <c r="A304" s="19" t="s">
        <v>2771</v>
      </c>
      <c r="B304" s="19" t="s">
        <v>5404</v>
      </c>
      <c r="C304" s="18" t="s">
        <v>2772</v>
      </c>
      <c r="D304" s="20" t="s">
        <v>5401</v>
      </c>
      <c r="E304" s="19" t="s">
        <v>5402</v>
      </c>
      <c r="F304" s="18" t="s">
        <v>5403</v>
      </c>
      <c r="G304" s="18" t="s">
        <v>5136</v>
      </c>
      <c r="H304" s="20" t="s">
        <v>9</v>
      </c>
    </row>
    <row r="305" spans="1:8" ht="14.5" customHeight="1" x14ac:dyDescent="0.3">
      <c r="A305" s="31" t="s">
        <v>7356</v>
      </c>
      <c r="B305" s="31" t="s">
        <v>5409</v>
      </c>
      <c r="C305" s="32" t="s">
        <v>2212</v>
      </c>
      <c r="D305" s="33" t="s">
        <v>5407</v>
      </c>
      <c r="E305" s="31" t="s">
        <v>5408</v>
      </c>
      <c r="F305" s="32" t="s">
        <v>5139</v>
      </c>
      <c r="G305" s="32" t="s">
        <v>4926</v>
      </c>
      <c r="H305" s="33" t="s">
        <v>9</v>
      </c>
    </row>
    <row r="306" spans="1:8" ht="14.5" customHeight="1" x14ac:dyDescent="0.3">
      <c r="A306" s="19" t="s">
        <v>7532</v>
      </c>
      <c r="B306" s="19" t="s">
        <v>5414</v>
      </c>
      <c r="C306" s="18" t="s">
        <v>1947</v>
      </c>
      <c r="D306" s="20" t="s">
        <v>5411</v>
      </c>
      <c r="E306" s="19" t="s">
        <v>5412</v>
      </c>
      <c r="F306" s="18" t="s">
        <v>5413</v>
      </c>
      <c r="G306" s="18" t="s">
        <v>118</v>
      </c>
      <c r="H306" s="20" t="s">
        <v>17</v>
      </c>
    </row>
    <row r="307" spans="1:8" ht="14.5" customHeight="1" x14ac:dyDescent="0.3">
      <c r="A307" s="31" t="s">
        <v>306</v>
      </c>
      <c r="B307" s="31" t="s">
        <v>1351</v>
      </c>
      <c r="C307" s="32" t="s">
        <v>307</v>
      </c>
      <c r="D307" s="33" t="s">
        <v>308</v>
      </c>
      <c r="E307" s="31" t="s">
        <v>51</v>
      </c>
      <c r="F307" s="32" t="s">
        <v>310</v>
      </c>
      <c r="G307" s="32" t="s">
        <v>21</v>
      </c>
      <c r="H307" s="33" t="s">
        <v>17</v>
      </c>
    </row>
    <row r="308" spans="1:8" ht="14.5" customHeight="1" x14ac:dyDescent="0.3">
      <c r="A308" s="19" t="s">
        <v>7341</v>
      </c>
      <c r="B308" s="19" t="s">
        <v>5420</v>
      </c>
      <c r="C308" s="18" t="s">
        <v>2626</v>
      </c>
      <c r="D308" s="20" t="s">
        <v>5416</v>
      </c>
      <c r="E308" s="19" t="s">
        <v>5417</v>
      </c>
      <c r="F308" s="18" t="s">
        <v>5418</v>
      </c>
      <c r="G308" s="18" t="s">
        <v>5419</v>
      </c>
      <c r="H308" s="20" t="s">
        <v>60</v>
      </c>
    </row>
    <row r="309" spans="1:8" ht="14.5" customHeight="1" x14ac:dyDescent="0.3">
      <c r="A309" s="31" t="s">
        <v>3182</v>
      </c>
      <c r="B309" s="31" t="s">
        <v>5426</v>
      </c>
      <c r="C309" s="32" t="s">
        <v>3183</v>
      </c>
      <c r="D309" s="33" t="s">
        <v>5423</v>
      </c>
      <c r="E309" s="31" t="s">
        <v>5424</v>
      </c>
      <c r="F309" s="32" t="s">
        <v>5425</v>
      </c>
      <c r="G309" s="32" t="s">
        <v>42</v>
      </c>
      <c r="H309" s="33" t="s">
        <v>40</v>
      </c>
    </row>
    <row r="310" spans="1:8" ht="14.5" customHeight="1" x14ac:dyDescent="0.3">
      <c r="A310" s="19" t="s">
        <v>7375</v>
      </c>
      <c r="B310" s="19" t="s">
        <v>5429</v>
      </c>
      <c r="C310" s="18" t="s">
        <v>3730</v>
      </c>
      <c r="D310" s="20" t="s">
        <v>5427</v>
      </c>
      <c r="E310" s="19" t="s">
        <v>5428</v>
      </c>
      <c r="F310" s="18" t="s">
        <v>4255</v>
      </c>
      <c r="G310" s="18" t="s">
        <v>61</v>
      </c>
      <c r="H310" s="20" t="s">
        <v>60</v>
      </c>
    </row>
    <row r="311" spans="1:8" ht="14.5" customHeight="1" x14ac:dyDescent="0.3">
      <c r="A311" s="31" t="s">
        <v>3709</v>
      </c>
      <c r="B311" s="31" t="s">
        <v>5431</v>
      </c>
      <c r="C311" s="32" t="s">
        <v>3710</v>
      </c>
      <c r="D311" s="33" t="s">
        <v>5430</v>
      </c>
      <c r="E311" s="31" t="s">
        <v>4307</v>
      </c>
      <c r="F311" s="32" t="s">
        <v>4675</v>
      </c>
      <c r="G311" s="32" t="s">
        <v>61</v>
      </c>
      <c r="H311" s="33" t="s">
        <v>60</v>
      </c>
    </row>
    <row r="312" spans="1:8" ht="14.5" customHeight="1" x14ac:dyDescent="0.3">
      <c r="A312" s="19" t="s">
        <v>7347</v>
      </c>
      <c r="B312" s="19" t="s">
        <v>1017</v>
      </c>
      <c r="C312" s="18" t="s">
        <v>3439</v>
      </c>
      <c r="D312" s="20" t="s">
        <v>5421</v>
      </c>
      <c r="E312" s="19" t="s">
        <v>5422</v>
      </c>
      <c r="F312" s="18" t="s">
        <v>4358</v>
      </c>
      <c r="G312" s="18" t="s">
        <v>61</v>
      </c>
      <c r="H312" s="20" t="s">
        <v>60</v>
      </c>
    </row>
    <row r="313" spans="1:8" ht="14.5" customHeight="1" x14ac:dyDescent="0.3">
      <c r="A313" s="31" t="s">
        <v>7432</v>
      </c>
      <c r="B313" s="31" t="s">
        <v>4651</v>
      </c>
      <c r="C313" s="32" t="s">
        <v>2580</v>
      </c>
      <c r="D313" s="33" t="s">
        <v>5432</v>
      </c>
      <c r="E313" s="31" t="s">
        <v>5433</v>
      </c>
      <c r="F313" s="32" t="s">
        <v>5434</v>
      </c>
      <c r="G313" s="32" t="s">
        <v>61</v>
      </c>
      <c r="H313" s="33" t="s">
        <v>60</v>
      </c>
    </row>
    <row r="314" spans="1:8" ht="14.5" customHeight="1" x14ac:dyDescent="0.3">
      <c r="A314" s="19" t="s">
        <v>3103</v>
      </c>
      <c r="B314" s="19" t="s">
        <v>5008</v>
      </c>
      <c r="C314" s="18" t="s">
        <v>3104</v>
      </c>
      <c r="D314" s="20" t="s">
        <v>5436</v>
      </c>
      <c r="E314" s="19" t="s">
        <v>5437</v>
      </c>
      <c r="F314" s="18" t="s">
        <v>4477</v>
      </c>
      <c r="G314" s="18" t="s">
        <v>375</v>
      </c>
      <c r="H314" s="20" t="s">
        <v>32</v>
      </c>
    </row>
    <row r="315" spans="1:8" ht="14.5" customHeight="1" x14ac:dyDescent="0.3">
      <c r="A315" s="31" t="s">
        <v>7348</v>
      </c>
      <c r="B315" s="31" t="s">
        <v>5441</v>
      </c>
      <c r="C315" s="32" t="s">
        <v>3380</v>
      </c>
      <c r="D315" s="33" t="s">
        <v>5438</v>
      </c>
      <c r="E315" s="31" t="s">
        <v>5439</v>
      </c>
      <c r="F315" s="32" t="s">
        <v>5440</v>
      </c>
      <c r="G315" s="32" t="s">
        <v>11</v>
      </c>
      <c r="H315" s="33" t="s">
        <v>9</v>
      </c>
    </row>
    <row r="316" spans="1:8" ht="14.5" customHeight="1" x14ac:dyDescent="0.3">
      <c r="A316" s="19" t="s">
        <v>3532</v>
      </c>
      <c r="B316" s="19" t="s">
        <v>5414</v>
      </c>
      <c r="C316" s="18" t="s">
        <v>3533</v>
      </c>
      <c r="D316" s="20" t="s">
        <v>5442</v>
      </c>
      <c r="E316" s="19" t="s">
        <v>5443</v>
      </c>
      <c r="F316" s="18" t="s">
        <v>5444</v>
      </c>
      <c r="G316" s="18" t="s">
        <v>4279</v>
      </c>
      <c r="H316" s="20" t="s">
        <v>287</v>
      </c>
    </row>
    <row r="317" spans="1:8" ht="14.5" customHeight="1" x14ac:dyDescent="0.3">
      <c r="A317" s="31" t="s">
        <v>356</v>
      </c>
      <c r="B317" s="31" t="s">
        <v>1525</v>
      </c>
      <c r="C317" s="32" t="s">
        <v>357</v>
      </c>
      <c r="D317" s="33" t="s">
        <v>5445</v>
      </c>
      <c r="E317" s="31" t="s">
        <v>5446</v>
      </c>
      <c r="F317" s="32" t="s">
        <v>358</v>
      </c>
      <c r="G317" s="32" t="s">
        <v>38</v>
      </c>
      <c r="H317" s="33" t="s">
        <v>3</v>
      </c>
    </row>
    <row r="318" spans="1:8" ht="14.5" customHeight="1" x14ac:dyDescent="0.3">
      <c r="A318" s="19" t="s">
        <v>3798</v>
      </c>
      <c r="B318" s="19" t="s">
        <v>5449</v>
      </c>
      <c r="C318" s="18" t="s">
        <v>3799</v>
      </c>
      <c r="D318" s="20" t="s">
        <v>5447</v>
      </c>
      <c r="E318" s="19" t="s">
        <v>5448</v>
      </c>
      <c r="F318" s="18" t="s">
        <v>4230</v>
      </c>
      <c r="G318" s="18" t="s">
        <v>61</v>
      </c>
      <c r="H318" s="20" t="s">
        <v>60</v>
      </c>
    </row>
    <row r="319" spans="1:8" ht="14.5" customHeight="1" x14ac:dyDescent="0.3">
      <c r="A319" s="31" t="s">
        <v>3773</v>
      </c>
      <c r="B319" s="31" t="s">
        <v>4309</v>
      </c>
      <c r="C319" s="32" t="s">
        <v>3774</v>
      </c>
      <c r="D319" s="33" t="s">
        <v>5450</v>
      </c>
      <c r="E319" s="31" t="s">
        <v>5451</v>
      </c>
      <c r="F319" s="32" t="s">
        <v>5452</v>
      </c>
      <c r="G319" s="32" t="s">
        <v>21</v>
      </c>
      <c r="H319" s="33" t="s">
        <v>17</v>
      </c>
    </row>
    <row r="320" spans="1:8" ht="14.5" customHeight="1" x14ac:dyDescent="0.3">
      <c r="A320" s="19" t="s">
        <v>3047</v>
      </c>
      <c r="B320" s="19" t="s">
        <v>5456</v>
      </c>
      <c r="C320" s="18" t="s">
        <v>3048</v>
      </c>
      <c r="D320" s="20" t="s">
        <v>5453</v>
      </c>
      <c r="E320" s="19" t="s">
        <v>5454</v>
      </c>
      <c r="F320" s="18" t="s">
        <v>5455</v>
      </c>
      <c r="G320" s="18" t="s">
        <v>75</v>
      </c>
      <c r="H320" s="20" t="s">
        <v>74</v>
      </c>
    </row>
    <row r="321" spans="1:8" ht="14.5" customHeight="1" x14ac:dyDescent="0.3">
      <c r="A321" s="31" t="s">
        <v>7380</v>
      </c>
      <c r="B321" s="31" t="s">
        <v>584</v>
      </c>
      <c r="C321" s="32" t="s">
        <v>1836</v>
      </c>
      <c r="D321" s="33" t="s">
        <v>5458</v>
      </c>
      <c r="E321" s="31" t="s">
        <v>5459</v>
      </c>
      <c r="F321" s="32" t="s">
        <v>5460</v>
      </c>
      <c r="G321" s="32" t="s">
        <v>5461</v>
      </c>
      <c r="H321" s="33" t="s">
        <v>17</v>
      </c>
    </row>
    <row r="322" spans="1:8" ht="14.5" customHeight="1" x14ac:dyDescent="0.3">
      <c r="A322" s="19" t="s">
        <v>7352</v>
      </c>
      <c r="B322" s="19" t="s">
        <v>4450</v>
      </c>
      <c r="C322" s="18" t="s">
        <v>4106</v>
      </c>
      <c r="D322" s="20" t="s">
        <v>5462</v>
      </c>
      <c r="E322" s="19" t="s">
        <v>5463</v>
      </c>
      <c r="F322" s="18" t="s">
        <v>5464</v>
      </c>
      <c r="G322" s="18" t="s">
        <v>4687</v>
      </c>
      <c r="H322" s="20" t="s">
        <v>40</v>
      </c>
    </row>
    <row r="323" spans="1:8" ht="14.5" customHeight="1" x14ac:dyDescent="0.3">
      <c r="A323" s="31" t="s">
        <v>7353</v>
      </c>
      <c r="B323" s="31" t="s">
        <v>5311</v>
      </c>
      <c r="C323" s="32" t="s">
        <v>3996</v>
      </c>
      <c r="D323" s="33" t="s">
        <v>5465</v>
      </c>
      <c r="E323" s="31" t="s">
        <v>5466</v>
      </c>
      <c r="F323" s="32" t="s">
        <v>5467</v>
      </c>
      <c r="G323" s="32" t="s">
        <v>61</v>
      </c>
      <c r="H323" s="33" t="s">
        <v>60</v>
      </c>
    </row>
    <row r="324" spans="1:8" ht="14.5" customHeight="1" x14ac:dyDescent="0.3">
      <c r="A324" s="19" t="s">
        <v>7354</v>
      </c>
      <c r="B324" s="19" t="s">
        <v>5471</v>
      </c>
      <c r="C324" s="18" t="s">
        <v>4025</v>
      </c>
      <c r="D324" s="20" t="s">
        <v>5468</v>
      </c>
      <c r="E324" s="19" t="s">
        <v>5469</v>
      </c>
      <c r="F324" s="18" t="s">
        <v>5470</v>
      </c>
      <c r="G324" s="18" t="s">
        <v>5193</v>
      </c>
      <c r="H324" s="20" t="s">
        <v>9</v>
      </c>
    </row>
    <row r="325" spans="1:8" ht="14.5" customHeight="1" x14ac:dyDescent="0.3">
      <c r="A325" s="31" t="s">
        <v>7355</v>
      </c>
      <c r="B325" s="31" t="s">
        <v>4555</v>
      </c>
      <c r="C325" s="32" t="s">
        <v>2355</v>
      </c>
      <c r="D325" s="33" t="s">
        <v>5472</v>
      </c>
      <c r="E325" s="31" t="s">
        <v>5473</v>
      </c>
      <c r="F325" s="32" t="s">
        <v>4739</v>
      </c>
      <c r="G325" s="32" t="s">
        <v>11</v>
      </c>
      <c r="H325" s="33" t="s">
        <v>9</v>
      </c>
    </row>
    <row r="326" spans="1:8" ht="14.5" customHeight="1" x14ac:dyDescent="0.3">
      <c r="A326" s="19" t="s">
        <v>7357</v>
      </c>
      <c r="B326" s="19" t="s">
        <v>4232</v>
      </c>
      <c r="C326" s="18" t="s">
        <v>2453</v>
      </c>
      <c r="D326" s="20" t="s">
        <v>5474</v>
      </c>
      <c r="E326" s="19" t="s">
        <v>5475</v>
      </c>
      <c r="F326" s="18" t="s">
        <v>5476</v>
      </c>
      <c r="G326" s="18" t="s">
        <v>11</v>
      </c>
      <c r="H326" s="20" t="s">
        <v>9</v>
      </c>
    </row>
    <row r="327" spans="1:8" ht="14.5" customHeight="1" x14ac:dyDescent="0.3">
      <c r="A327" s="31" t="s">
        <v>3413</v>
      </c>
      <c r="B327" s="31" t="s">
        <v>5480</v>
      </c>
      <c r="C327" s="32" t="s">
        <v>3414</v>
      </c>
      <c r="D327" s="33" t="s">
        <v>97</v>
      </c>
      <c r="E327" s="31" t="s">
        <v>5478</v>
      </c>
      <c r="F327" s="32" t="s">
        <v>5479</v>
      </c>
      <c r="G327" s="32" t="s">
        <v>42</v>
      </c>
      <c r="H327" s="33" t="s">
        <v>40</v>
      </c>
    </row>
    <row r="328" spans="1:8" ht="14.5" customHeight="1" x14ac:dyDescent="0.3">
      <c r="A328" s="19" t="s">
        <v>7358</v>
      </c>
      <c r="B328" s="19" t="s">
        <v>5027</v>
      </c>
      <c r="C328" s="18" t="s">
        <v>2358</v>
      </c>
      <c r="D328" s="20">
        <v>31986070400</v>
      </c>
      <c r="E328" s="19" t="s">
        <v>5481</v>
      </c>
      <c r="F328" s="18" t="s">
        <v>5482</v>
      </c>
      <c r="G328" s="18" t="s">
        <v>4706</v>
      </c>
      <c r="H328" s="20" t="s">
        <v>13</v>
      </c>
    </row>
    <row r="329" spans="1:8" ht="14.5" customHeight="1" x14ac:dyDescent="0.3">
      <c r="A329" s="31" t="s">
        <v>7359</v>
      </c>
      <c r="B329" s="31" t="s">
        <v>5486</v>
      </c>
      <c r="C329" s="32" t="s">
        <v>3203</v>
      </c>
      <c r="D329" s="33" t="s">
        <v>5483</v>
      </c>
      <c r="E329" s="31" t="s">
        <v>5484</v>
      </c>
      <c r="F329" s="32" t="s">
        <v>5485</v>
      </c>
      <c r="G329" s="32" t="s">
        <v>285</v>
      </c>
      <c r="H329" s="33" t="s">
        <v>148</v>
      </c>
    </row>
    <row r="330" spans="1:8" ht="14.5" customHeight="1" x14ac:dyDescent="0.3">
      <c r="A330" s="19" t="s">
        <v>3403</v>
      </c>
      <c r="B330" s="19" t="s">
        <v>5489</v>
      </c>
      <c r="C330" s="18" t="s">
        <v>3404</v>
      </c>
      <c r="D330" s="20" t="s">
        <v>5487</v>
      </c>
      <c r="E330" s="19" t="s">
        <v>5488</v>
      </c>
      <c r="F330" s="18" t="s">
        <v>4596</v>
      </c>
      <c r="G330" s="18" t="s">
        <v>5392</v>
      </c>
      <c r="H330" s="20" t="s">
        <v>74</v>
      </c>
    </row>
    <row r="331" spans="1:8" ht="14.5" customHeight="1" x14ac:dyDescent="0.3">
      <c r="A331" s="31" t="s">
        <v>7633</v>
      </c>
      <c r="B331" s="31" t="s">
        <v>5492</v>
      </c>
      <c r="C331" s="32" t="s">
        <v>2769</v>
      </c>
      <c r="D331" s="33" t="s">
        <v>5490</v>
      </c>
      <c r="E331" s="31" t="s">
        <v>5491</v>
      </c>
      <c r="F331" s="32" t="s">
        <v>5246</v>
      </c>
      <c r="G331" s="32" t="s">
        <v>65</v>
      </c>
      <c r="H331" s="33" t="s">
        <v>64</v>
      </c>
    </row>
    <row r="332" spans="1:8" ht="14.5" customHeight="1" x14ac:dyDescent="0.3">
      <c r="A332" s="19" t="s">
        <v>194</v>
      </c>
      <c r="B332" s="19" t="s">
        <v>1126</v>
      </c>
      <c r="C332" s="18" t="s">
        <v>195</v>
      </c>
      <c r="D332" s="20" t="s">
        <v>5493</v>
      </c>
      <c r="E332" s="19" t="s">
        <v>5494</v>
      </c>
      <c r="F332" s="18" t="s">
        <v>197</v>
      </c>
      <c r="G332" s="18" t="s">
        <v>5218</v>
      </c>
      <c r="H332" s="20" t="s">
        <v>196</v>
      </c>
    </row>
    <row r="333" spans="1:8" ht="14.5" customHeight="1" x14ac:dyDescent="0.3">
      <c r="A333" s="31" t="s">
        <v>7334</v>
      </c>
      <c r="B333" s="31" t="s">
        <v>5500</v>
      </c>
      <c r="C333" s="32" t="s">
        <v>2687</v>
      </c>
      <c r="D333" s="33" t="s">
        <v>5497</v>
      </c>
      <c r="E333" s="31" t="s">
        <v>5498</v>
      </c>
      <c r="F333" s="32" t="s">
        <v>5499</v>
      </c>
      <c r="G333" s="32" t="s">
        <v>61</v>
      </c>
      <c r="H333" s="33" t="s">
        <v>60</v>
      </c>
    </row>
    <row r="334" spans="1:8" ht="14.5" customHeight="1" x14ac:dyDescent="0.3">
      <c r="A334" s="19" t="s">
        <v>7363</v>
      </c>
      <c r="B334" s="19" t="s">
        <v>5505</v>
      </c>
      <c r="C334" s="18" t="s">
        <v>3621</v>
      </c>
      <c r="D334" s="20" t="s">
        <v>5501</v>
      </c>
      <c r="E334" s="19" t="s">
        <v>5502</v>
      </c>
      <c r="F334" s="18" t="s">
        <v>5503</v>
      </c>
      <c r="G334" s="18" t="s">
        <v>5504</v>
      </c>
      <c r="H334" s="20" t="s">
        <v>50</v>
      </c>
    </row>
    <row r="335" spans="1:8" ht="14.5" customHeight="1" x14ac:dyDescent="0.3">
      <c r="A335" s="31" t="s">
        <v>7368</v>
      </c>
      <c r="B335" s="31" t="s">
        <v>844</v>
      </c>
      <c r="C335" s="32" t="s">
        <v>2339</v>
      </c>
      <c r="D335" s="33" t="s">
        <v>5506</v>
      </c>
      <c r="E335" s="31" t="s">
        <v>5507</v>
      </c>
      <c r="F335" s="32" t="s">
        <v>5508</v>
      </c>
      <c r="G335" s="32" t="s">
        <v>5509</v>
      </c>
      <c r="H335" s="33" t="s">
        <v>196</v>
      </c>
    </row>
    <row r="336" spans="1:8" ht="14.5" customHeight="1" x14ac:dyDescent="0.3">
      <c r="A336" s="19" t="s">
        <v>7365</v>
      </c>
      <c r="B336" s="19" t="s">
        <v>5513</v>
      </c>
      <c r="C336" s="18" t="s">
        <v>3219</v>
      </c>
      <c r="D336" s="20" t="s">
        <v>5510</v>
      </c>
      <c r="E336" s="19" t="s">
        <v>5511</v>
      </c>
      <c r="F336" s="18" t="s">
        <v>5512</v>
      </c>
      <c r="G336" s="18" t="s">
        <v>241</v>
      </c>
      <c r="H336" s="20" t="s">
        <v>9</v>
      </c>
    </row>
    <row r="337" spans="1:8" ht="14.5" customHeight="1" x14ac:dyDescent="0.3">
      <c r="A337" s="31" t="s">
        <v>7366</v>
      </c>
      <c r="B337" s="31" t="s">
        <v>4802</v>
      </c>
      <c r="C337" s="32" t="s">
        <v>4117</v>
      </c>
      <c r="D337" s="33" t="s">
        <v>5514</v>
      </c>
      <c r="E337" s="31" t="s">
        <v>5515</v>
      </c>
      <c r="F337" s="32" t="s">
        <v>103</v>
      </c>
      <c r="G337" s="32" t="s">
        <v>75</v>
      </c>
      <c r="H337" s="33" t="s">
        <v>74</v>
      </c>
    </row>
    <row r="338" spans="1:8" ht="14.5" customHeight="1" x14ac:dyDescent="0.3">
      <c r="A338" s="19" t="s">
        <v>7360</v>
      </c>
      <c r="B338" s="19" t="s">
        <v>5456</v>
      </c>
      <c r="C338" s="18" t="s">
        <v>2039</v>
      </c>
      <c r="D338" s="20" t="s">
        <v>5516</v>
      </c>
      <c r="E338" s="19" t="s">
        <v>5517</v>
      </c>
      <c r="F338" s="18" t="s">
        <v>5518</v>
      </c>
      <c r="G338" s="18" t="s">
        <v>5519</v>
      </c>
      <c r="H338" s="20" t="s">
        <v>84</v>
      </c>
    </row>
    <row r="339" spans="1:8" ht="14.5" customHeight="1" x14ac:dyDescent="0.3">
      <c r="A339" s="31" t="s">
        <v>7629</v>
      </c>
      <c r="B339" s="31" t="s">
        <v>5523</v>
      </c>
      <c r="C339" s="32" t="s">
        <v>1981</v>
      </c>
      <c r="D339" s="33" t="s">
        <v>5520</v>
      </c>
      <c r="E339" s="31" t="s">
        <v>5521</v>
      </c>
      <c r="F339" s="32" t="s">
        <v>5522</v>
      </c>
      <c r="G339" s="32" t="s">
        <v>75</v>
      </c>
      <c r="H339" s="33" t="s">
        <v>74</v>
      </c>
    </row>
    <row r="340" spans="1:8" ht="14.5" customHeight="1" x14ac:dyDescent="0.3">
      <c r="A340" s="19" t="s">
        <v>7367</v>
      </c>
      <c r="B340" s="19" t="s">
        <v>5527</v>
      </c>
      <c r="C340" s="18" t="s">
        <v>3564</v>
      </c>
      <c r="D340" s="20" t="s">
        <v>5524</v>
      </c>
      <c r="E340" s="19" t="s">
        <v>5525</v>
      </c>
      <c r="F340" s="18" t="s">
        <v>5526</v>
      </c>
      <c r="G340" s="18" t="s">
        <v>61</v>
      </c>
      <c r="H340" s="20" t="s">
        <v>60</v>
      </c>
    </row>
    <row r="341" spans="1:8" ht="14.5" customHeight="1" x14ac:dyDescent="0.3">
      <c r="A341" s="31" t="s">
        <v>7369</v>
      </c>
      <c r="B341" s="31" t="s">
        <v>5531</v>
      </c>
      <c r="C341" s="32" t="s">
        <v>3979</v>
      </c>
      <c r="D341" s="33" t="s">
        <v>5528</v>
      </c>
      <c r="E341" s="31" t="s">
        <v>5529</v>
      </c>
      <c r="F341" s="32" t="s">
        <v>5530</v>
      </c>
      <c r="G341" s="32" t="s">
        <v>5400</v>
      </c>
      <c r="H341" s="33" t="s">
        <v>148</v>
      </c>
    </row>
    <row r="342" spans="1:8" ht="14.5" customHeight="1" x14ac:dyDescent="0.3">
      <c r="A342" s="19" t="s">
        <v>3821</v>
      </c>
      <c r="B342" s="19" t="s">
        <v>5535</v>
      </c>
      <c r="C342" s="18" t="s">
        <v>3822</v>
      </c>
      <c r="D342" s="20" t="s">
        <v>5532</v>
      </c>
      <c r="E342" s="19" t="s">
        <v>5533</v>
      </c>
      <c r="F342" s="18" t="s">
        <v>5534</v>
      </c>
      <c r="G342" s="18" t="s">
        <v>4277</v>
      </c>
      <c r="H342" s="20" t="s">
        <v>4274</v>
      </c>
    </row>
    <row r="343" spans="1:8" ht="14.5" customHeight="1" x14ac:dyDescent="0.3">
      <c r="A343" s="31" t="s">
        <v>7326</v>
      </c>
      <c r="B343" s="31" t="s">
        <v>5538</v>
      </c>
      <c r="C343" s="32" t="s">
        <v>2704</v>
      </c>
      <c r="D343" s="33"/>
      <c r="E343" s="31" t="s">
        <v>5536</v>
      </c>
      <c r="F343" s="32" t="s">
        <v>5537</v>
      </c>
      <c r="G343" s="32" t="s">
        <v>342</v>
      </c>
      <c r="H343" s="33" t="s">
        <v>252</v>
      </c>
    </row>
    <row r="344" spans="1:8" ht="14.5" customHeight="1" x14ac:dyDescent="0.3">
      <c r="A344" s="19" t="s">
        <v>7371</v>
      </c>
      <c r="B344" s="19" t="s">
        <v>4339</v>
      </c>
      <c r="C344" s="18" t="s">
        <v>2620</v>
      </c>
      <c r="D344" s="20" t="s">
        <v>5539</v>
      </c>
      <c r="E344" s="19" t="s">
        <v>5540</v>
      </c>
      <c r="F344" s="18" t="s">
        <v>302</v>
      </c>
      <c r="G344" s="18" t="s">
        <v>342</v>
      </c>
      <c r="H344" s="20" t="s">
        <v>252</v>
      </c>
    </row>
    <row r="345" spans="1:8" ht="14.5" customHeight="1" x14ac:dyDescent="0.3">
      <c r="A345" s="31" t="s">
        <v>7373</v>
      </c>
      <c r="B345" s="31" t="s">
        <v>658</v>
      </c>
      <c r="C345" s="32" t="s">
        <v>2917</v>
      </c>
      <c r="D345" s="33" t="s">
        <v>5545</v>
      </c>
      <c r="E345" s="31" t="s">
        <v>5546</v>
      </c>
      <c r="F345" s="32" t="s">
        <v>5547</v>
      </c>
      <c r="G345" s="32" t="s">
        <v>285</v>
      </c>
      <c r="H345" s="33" t="s">
        <v>148</v>
      </c>
    </row>
    <row r="346" spans="1:8" ht="14.5" customHeight="1" x14ac:dyDescent="0.3">
      <c r="A346" s="19" t="s">
        <v>7373</v>
      </c>
      <c r="B346" s="19" t="s">
        <v>5963</v>
      </c>
      <c r="C346" s="18" t="s">
        <v>2917</v>
      </c>
      <c r="D346" s="20" t="s">
        <v>5960</v>
      </c>
      <c r="E346" s="19" t="s">
        <v>5961</v>
      </c>
      <c r="F346" s="18" t="s">
        <v>5962</v>
      </c>
      <c r="G346" s="18" t="s">
        <v>285</v>
      </c>
      <c r="H346" s="20" t="s">
        <v>148</v>
      </c>
    </row>
    <row r="347" spans="1:8" ht="14.5" customHeight="1" x14ac:dyDescent="0.3">
      <c r="A347" s="31" t="s">
        <v>3508</v>
      </c>
      <c r="B347" s="31" t="s">
        <v>5553</v>
      </c>
      <c r="C347" s="32" t="s">
        <v>3509</v>
      </c>
      <c r="D347" s="33" t="s">
        <v>5548</v>
      </c>
      <c r="E347" s="31" t="s">
        <v>5549</v>
      </c>
      <c r="F347" s="32" t="s">
        <v>5550</v>
      </c>
      <c r="G347" s="32" t="s">
        <v>5551</v>
      </c>
      <c r="H347" s="33" t="s">
        <v>40</v>
      </c>
    </row>
    <row r="348" spans="1:8" ht="14.5" customHeight="1" x14ac:dyDescent="0.3">
      <c r="A348" s="19" t="s">
        <v>3779</v>
      </c>
      <c r="B348" s="19" t="s">
        <v>5557</v>
      </c>
      <c r="C348" s="18" t="s">
        <v>3780</v>
      </c>
      <c r="D348" s="20" t="s">
        <v>5554</v>
      </c>
      <c r="E348" s="19" t="s">
        <v>5555</v>
      </c>
      <c r="F348" s="18" t="s">
        <v>5556</v>
      </c>
      <c r="G348" s="18" t="s">
        <v>61</v>
      </c>
      <c r="H348" s="20" t="s">
        <v>60</v>
      </c>
    </row>
    <row r="349" spans="1:8" ht="14.5" customHeight="1" x14ac:dyDescent="0.3">
      <c r="A349" s="31" t="s">
        <v>7374</v>
      </c>
      <c r="B349" s="31" t="s">
        <v>5544</v>
      </c>
      <c r="C349" s="32" t="s">
        <v>3445</v>
      </c>
      <c r="D349" s="33" t="s">
        <v>5541</v>
      </c>
      <c r="E349" s="31" t="s">
        <v>5542</v>
      </c>
      <c r="F349" s="32" t="s">
        <v>5543</v>
      </c>
      <c r="G349" s="32" t="s">
        <v>285</v>
      </c>
      <c r="H349" s="33" t="s">
        <v>148</v>
      </c>
    </row>
    <row r="350" spans="1:8" ht="14.5" customHeight="1" x14ac:dyDescent="0.3">
      <c r="A350" s="19" t="s">
        <v>7220</v>
      </c>
      <c r="B350" s="19" t="s">
        <v>5008</v>
      </c>
      <c r="C350" s="18" t="s">
        <v>3797</v>
      </c>
      <c r="D350" s="20" t="s">
        <v>5558</v>
      </c>
      <c r="E350" s="19" t="s">
        <v>5559</v>
      </c>
      <c r="F350" s="18" t="s">
        <v>5560</v>
      </c>
      <c r="G350" s="18" t="s">
        <v>4277</v>
      </c>
      <c r="H350" s="20" t="s">
        <v>4274</v>
      </c>
    </row>
    <row r="351" spans="1:8" ht="14.5" customHeight="1" x14ac:dyDescent="0.3">
      <c r="A351" s="31" t="s">
        <v>7376</v>
      </c>
      <c r="B351" s="31" t="s">
        <v>1319</v>
      </c>
      <c r="C351" s="32" t="s">
        <v>1941</v>
      </c>
      <c r="D351" s="33" t="s">
        <v>5561</v>
      </c>
      <c r="E351" s="31" t="s">
        <v>5562</v>
      </c>
      <c r="F351" s="32" t="s">
        <v>5563</v>
      </c>
      <c r="G351" s="32" t="s">
        <v>75</v>
      </c>
      <c r="H351" s="33" t="s">
        <v>74</v>
      </c>
    </row>
    <row r="352" spans="1:8" ht="14.5" customHeight="1" x14ac:dyDescent="0.3">
      <c r="A352" s="19" t="s">
        <v>3427</v>
      </c>
      <c r="B352" s="19" t="s">
        <v>5566</v>
      </c>
      <c r="C352" s="18" t="s">
        <v>3428</v>
      </c>
      <c r="D352" s="20" t="s">
        <v>5564</v>
      </c>
      <c r="E352" s="19" t="s">
        <v>5565</v>
      </c>
      <c r="F352" s="18" t="s">
        <v>4248</v>
      </c>
      <c r="G352" s="18" t="s">
        <v>75</v>
      </c>
      <c r="H352" s="20" t="s">
        <v>74</v>
      </c>
    </row>
    <row r="353" spans="1:8" ht="14.5" customHeight="1" x14ac:dyDescent="0.3">
      <c r="A353" s="31" t="s">
        <v>7578</v>
      </c>
      <c r="B353" s="31" t="s">
        <v>5571</v>
      </c>
      <c r="C353" s="32" t="s">
        <v>3973</v>
      </c>
      <c r="D353" s="33" t="s">
        <v>5568</v>
      </c>
      <c r="E353" s="31" t="s">
        <v>5569</v>
      </c>
      <c r="F353" s="32" t="s">
        <v>5570</v>
      </c>
      <c r="G353" s="32" t="s">
        <v>61</v>
      </c>
      <c r="H353" s="33" t="s">
        <v>60</v>
      </c>
    </row>
    <row r="354" spans="1:8" ht="14.5" customHeight="1" x14ac:dyDescent="0.3">
      <c r="A354" s="19" t="s">
        <v>3222</v>
      </c>
      <c r="B354" s="19" t="s">
        <v>5575</v>
      </c>
      <c r="C354" s="18" t="s">
        <v>3223</v>
      </c>
      <c r="D354" s="20" t="s">
        <v>5572</v>
      </c>
      <c r="E354" s="19" t="s">
        <v>5573</v>
      </c>
      <c r="F354" s="18" t="s">
        <v>5574</v>
      </c>
      <c r="G354" s="18" t="s">
        <v>21</v>
      </c>
      <c r="H354" s="20" t="s">
        <v>17</v>
      </c>
    </row>
    <row r="355" spans="1:8" ht="14.5" customHeight="1" x14ac:dyDescent="0.3">
      <c r="A355" s="31" t="s">
        <v>3065</v>
      </c>
      <c r="B355" s="31" t="s">
        <v>668</v>
      </c>
      <c r="C355" s="32" t="s">
        <v>3066</v>
      </c>
      <c r="D355" s="33" t="s">
        <v>5576</v>
      </c>
      <c r="E355" s="31" t="s">
        <v>5577</v>
      </c>
      <c r="F355" s="32" t="s">
        <v>4287</v>
      </c>
      <c r="G355" s="32" t="s">
        <v>61</v>
      </c>
      <c r="H355" s="33" t="s">
        <v>60</v>
      </c>
    </row>
    <row r="356" spans="1:8" ht="14.5" customHeight="1" x14ac:dyDescent="0.3">
      <c r="A356" s="19" t="s">
        <v>7392</v>
      </c>
      <c r="B356" s="19" t="s">
        <v>5585</v>
      </c>
      <c r="C356" s="18" t="s">
        <v>3638</v>
      </c>
      <c r="D356" s="20" t="s">
        <v>5583</v>
      </c>
      <c r="E356" s="19" t="s">
        <v>5584</v>
      </c>
      <c r="F356" s="18" t="s">
        <v>361</v>
      </c>
      <c r="G356" s="18" t="s">
        <v>94</v>
      </c>
      <c r="H356" s="20" t="s">
        <v>92</v>
      </c>
    </row>
    <row r="357" spans="1:8" ht="14.5" customHeight="1" x14ac:dyDescent="0.3">
      <c r="A357" s="31" t="s">
        <v>7393</v>
      </c>
      <c r="B357" s="31" t="s">
        <v>5588</v>
      </c>
      <c r="C357" s="32" t="s">
        <v>3485</v>
      </c>
      <c r="D357" s="33" t="s">
        <v>5586</v>
      </c>
      <c r="E357" s="31" t="s">
        <v>5587</v>
      </c>
      <c r="F357" s="32" t="s">
        <v>4643</v>
      </c>
      <c r="G357" s="32" t="s">
        <v>11</v>
      </c>
      <c r="H357" s="33" t="s">
        <v>9</v>
      </c>
    </row>
    <row r="358" spans="1:8" ht="14.5" customHeight="1" x14ac:dyDescent="0.3">
      <c r="A358" s="19" t="s">
        <v>7394</v>
      </c>
      <c r="B358" s="19" t="s">
        <v>5582</v>
      </c>
      <c r="C358" s="18" t="s">
        <v>2592</v>
      </c>
      <c r="D358" s="20" t="s">
        <v>5578</v>
      </c>
      <c r="E358" s="19" t="s">
        <v>5579</v>
      </c>
      <c r="F358" s="18" t="s">
        <v>5580</v>
      </c>
      <c r="G358" s="18" t="s">
        <v>5581</v>
      </c>
      <c r="H358" s="20" t="s">
        <v>148</v>
      </c>
    </row>
    <row r="359" spans="1:8" ht="14.5" customHeight="1" x14ac:dyDescent="0.3">
      <c r="A359" s="31" t="s">
        <v>7361</v>
      </c>
      <c r="B359" s="31" t="s">
        <v>5456</v>
      </c>
      <c r="C359" s="32" t="s">
        <v>1783</v>
      </c>
      <c r="D359" s="33" t="s">
        <v>5589</v>
      </c>
      <c r="E359" s="31" t="s">
        <v>5590</v>
      </c>
      <c r="F359" s="32" t="s">
        <v>5591</v>
      </c>
      <c r="G359" s="32" t="s">
        <v>5419</v>
      </c>
      <c r="H359" s="33" t="s">
        <v>60</v>
      </c>
    </row>
    <row r="360" spans="1:8" ht="14.5" customHeight="1" x14ac:dyDescent="0.3">
      <c r="A360" s="19" t="s">
        <v>3963</v>
      </c>
      <c r="B360" s="19" t="s">
        <v>4487</v>
      </c>
      <c r="C360" s="18" t="s">
        <v>3964</v>
      </c>
      <c r="D360" s="20" t="s">
        <v>5593</v>
      </c>
      <c r="E360" s="19" t="s">
        <v>5594</v>
      </c>
      <c r="F360" s="18" t="s">
        <v>4878</v>
      </c>
      <c r="G360" s="18" t="s">
        <v>30</v>
      </c>
      <c r="H360" s="20" t="s">
        <v>13</v>
      </c>
    </row>
    <row r="361" spans="1:8" ht="14.5" customHeight="1" x14ac:dyDescent="0.3">
      <c r="A361" s="31" t="s">
        <v>7402</v>
      </c>
      <c r="B361" s="31" t="s">
        <v>5598</v>
      </c>
      <c r="C361" s="32" t="s">
        <v>2784</v>
      </c>
      <c r="D361" s="33" t="s">
        <v>5595</v>
      </c>
      <c r="E361" s="31" t="s">
        <v>5596</v>
      </c>
      <c r="F361" s="32" t="s">
        <v>5597</v>
      </c>
      <c r="G361" s="32" t="s">
        <v>75</v>
      </c>
      <c r="H361" s="33" t="s">
        <v>74</v>
      </c>
    </row>
    <row r="362" spans="1:8" ht="14.5" customHeight="1" x14ac:dyDescent="0.3">
      <c r="A362" s="19" t="s">
        <v>3069</v>
      </c>
      <c r="B362" s="19" t="s">
        <v>5603</v>
      </c>
      <c r="C362" s="18" t="s">
        <v>3070</v>
      </c>
      <c r="D362" s="20" t="s">
        <v>5599</v>
      </c>
      <c r="E362" s="19" t="s">
        <v>5600</v>
      </c>
      <c r="F362" s="18" t="s">
        <v>5601</v>
      </c>
      <c r="G362" s="18" t="s">
        <v>5602</v>
      </c>
      <c r="H362" s="20" t="s">
        <v>17</v>
      </c>
    </row>
    <row r="363" spans="1:8" ht="14.5" customHeight="1" x14ac:dyDescent="0.3">
      <c r="A363" s="31" t="s">
        <v>7400</v>
      </c>
      <c r="B363" s="31" t="s">
        <v>1584</v>
      </c>
      <c r="C363" s="32" t="s">
        <v>3323</v>
      </c>
      <c r="D363" s="33" t="s">
        <v>5604</v>
      </c>
      <c r="E363" s="31" t="s">
        <v>5605</v>
      </c>
      <c r="F363" s="32" t="s">
        <v>5606</v>
      </c>
      <c r="G363" s="32" t="s">
        <v>21</v>
      </c>
      <c r="H363" s="33" t="s">
        <v>17</v>
      </c>
    </row>
    <row r="364" spans="1:8" ht="14.5" customHeight="1" x14ac:dyDescent="0.3">
      <c r="A364" s="19" t="s">
        <v>7406</v>
      </c>
      <c r="B364" s="19" t="s">
        <v>5022</v>
      </c>
      <c r="C364" s="18" t="s">
        <v>2915</v>
      </c>
      <c r="D364" s="20" t="s">
        <v>5607</v>
      </c>
      <c r="E364" s="19" t="s">
        <v>5608</v>
      </c>
      <c r="F364" s="18" t="s">
        <v>5609</v>
      </c>
      <c r="G364" s="18" t="s">
        <v>4720</v>
      </c>
      <c r="H364" s="20" t="s">
        <v>60</v>
      </c>
    </row>
    <row r="365" spans="1:8" ht="14.5" customHeight="1" x14ac:dyDescent="0.3">
      <c r="A365" s="31" t="s">
        <v>7407</v>
      </c>
      <c r="B365" s="31" t="s">
        <v>759</v>
      </c>
      <c r="C365" s="32" t="s">
        <v>2966</v>
      </c>
      <c r="D365" s="33" t="s">
        <v>5610</v>
      </c>
      <c r="E365" s="31" t="s">
        <v>5611</v>
      </c>
      <c r="F365" s="32" t="s">
        <v>5612</v>
      </c>
      <c r="G365" s="32" t="s">
        <v>75</v>
      </c>
      <c r="H365" s="33" t="s">
        <v>74</v>
      </c>
    </row>
    <row r="366" spans="1:8" ht="14.5" customHeight="1" x14ac:dyDescent="0.3">
      <c r="A366" s="19" t="s">
        <v>7410</v>
      </c>
      <c r="B366" s="19" t="s">
        <v>5618</v>
      </c>
      <c r="C366" s="18" t="s">
        <v>2434</v>
      </c>
      <c r="D366" s="20" t="s">
        <v>5614</v>
      </c>
      <c r="E366" s="19" t="s">
        <v>5615</v>
      </c>
      <c r="F366" s="18" t="s">
        <v>5616</v>
      </c>
      <c r="G366" s="18" t="s">
        <v>5617</v>
      </c>
      <c r="H366" s="20" t="s">
        <v>17</v>
      </c>
    </row>
    <row r="367" spans="1:8" ht="14.5" customHeight="1" x14ac:dyDescent="0.3">
      <c r="A367" s="31" t="s">
        <v>7411</v>
      </c>
      <c r="B367" s="31" t="s">
        <v>4756</v>
      </c>
      <c r="C367" s="32" t="s">
        <v>2145</v>
      </c>
      <c r="D367" s="33" t="s">
        <v>97</v>
      </c>
      <c r="E367" s="31" t="s">
        <v>5619</v>
      </c>
      <c r="F367" s="32" t="s">
        <v>5620</v>
      </c>
      <c r="G367" s="32" t="s">
        <v>65</v>
      </c>
      <c r="H367" s="33" t="s">
        <v>64</v>
      </c>
    </row>
    <row r="368" spans="1:8" ht="14.5" customHeight="1" x14ac:dyDescent="0.3">
      <c r="A368" s="19" t="s">
        <v>3535</v>
      </c>
      <c r="B368" s="19" t="s">
        <v>1046</v>
      </c>
      <c r="C368" s="18" t="s">
        <v>3536</v>
      </c>
      <c r="D368" s="20" t="s">
        <v>5622</v>
      </c>
      <c r="E368" s="19" t="s">
        <v>5623</v>
      </c>
      <c r="F368" s="18" t="s">
        <v>4474</v>
      </c>
      <c r="G368" s="18" t="s">
        <v>42</v>
      </c>
      <c r="H368" s="20" t="s">
        <v>40</v>
      </c>
    </row>
    <row r="369" spans="1:8" ht="14.5" customHeight="1" x14ac:dyDescent="0.3">
      <c r="A369" s="31" t="s">
        <v>7424</v>
      </c>
      <c r="B369" s="31" t="s">
        <v>5628</v>
      </c>
      <c r="C369" s="32" t="s">
        <v>1808</v>
      </c>
      <c r="D369" s="33" t="s">
        <v>5625</v>
      </c>
      <c r="E369" s="31" t="s">
        <v>5626</v>
      </c>
      <c r="F369" s="32" t="s">
        <v>5627</v>
      </c>
      <c r="G369" s="32" t="s">
        <v>61</v>
      </c>
      <c r="H369" s="33" t="s">
        <v>60</v>
      </c>
    </row>
    <row r="370" spans="1:8" ht="14.5" customHeight="1" x14ac:dyDescent="0.3">
      <c r="A370" s="19" t="s">
        <v>1750</v>
      </c>
      <c r="B370" s="19" t="s">
        <v>5635</v>
      </c>
      <c r="C370" s="18" t="s">
        <v>1751</v>
      </c>
      <c r="D370" s="20" t="s">
        <v>5632</v>
      </c>
      <c r="E370" s="19" t="s">
        <v>5633</v>
      </c>
      <c r="F370" s="18" t="s">
        <v>103</v>
      </c>
      <c r="G370" s="18" t="s">
        <v>5634</v>
      </c>
      <c r="H370" s="20" t="s">
        <v>64</v>
      </c>
    </row>
    <row r="371" spans="1:8" ht="14.5" customHeight="1" x14ac:dyDescent="0.3">
      <c r="A371" s="31" t="s">
        <v>7425</v>
      </c>
      <c r="B371" s="31" t="s">
        <v>5631</v>
      </c>
      <c r="C371" s="32" t="s">
        <v>3801</v>
      </c>
      <c r="D371" s="33" t="s">
        <v>5629</v>
      </c>
      <c r="E371" s="31" t="s">
        <v>5630</v>
      </c>
      <c r="F371" s="32" t="s">
        <v>5020</v>
      </c>
      <c r="G371" s="32" t="s">
        <v>48</v>
      </c>
      <c r="H371" s="33" t="s">
        <v>47</v>
      </c>
    </row>
    <row r="372" spans="1:8" ht="14.5" customHeight="1" x14ac:dyDescent="0.3">
      <c r="A372" s="19" t="s">
        <v>7511</v>
      </c>
      <c r="B372" s="19" t="s">
        <v>563</v>
      </c>
      <c r="C372" s="18" t="s">
        <v>2206</v>
      </c>
      <c r="D372" s="20" t="s">
        <v>5636</v>
      </c>
      <c r="E372" s="19" t="s">
        <v>5637</v>
      </c>
      <c r="F372" s="18" t="s">
        <v>4457</v>
      </c>
      <c r="G372" s="18" t="s">
        <v>21</v>
      </c>
      <c r="H372" s="20" t="s">
        <v>17</v>
      </c>
    </row>
    <row r="373" spans="1:8" ht="14.5" customHeight="1" x14ac:dyDescent="0.3">
      <c r="A373" s="31" t="s">
        <v>7332</v>
      </c>
      <c r="B373" s="31" t="s">
        <v>4624</v>
      </c>
      <c r="C373" s="32" t="s">
        <v>2414</v>
      </c>
      <c r="D373" s="33"/>
      <c r="E373" s="31" t="s">
        <v>5638</v>
      </c>
      <c r="F373" s="32" t="s">
        <v>5639</v>
      </c>
      <c r="G373" s="32" t="s">
        <v>11</v>
      </c>
      <c r="H373" s="33" t="s">
        <v>9</v>
      </c>
    </row>
    <row r="374" spans="1:8" ht="14.5" customHeight="1" x14ac:dyDescent="0.3">
      <c r="A374" s="19" t="s">
        <v>7429</v>
      </c>
      <c r="B374" s="19" t="s">
        <v>563</v>
      </c>
      <c r="C374" s="18" t="s">
        <v>2645</v>
      </c>
      <c r="D374" s="20" t="s">
        <v>5640</v>
      </c>
      <c r="E374" s="19" t="s">
        <v>5641</v>
      </c>
      <c r="F374" s="18" t="s">
        <v>5642</v>
      </c>
      <c r="G374" s="18" t="s">
        <v>21</v>
      </c>
      <c r="H374" s="20" t="s">
        <v>17</v>
      </c>
    </row>
    <row r="375" spans="1:8" ht="14.5" customHeight="1" x14ac:dyDescent="0.3">
      <c r="A375" s="31" t="s">
        <v>7434</v>
      </c>
      <c r="B375" s="31" t="s">
        <v>5646</v>
      </c>
      <c r="C375" s="32" t="s">
        <v>2617</v>
      </c>
      <c r="D375" s="33" t="s">
        <v>5643</v>
      </c>
      <c r="E375" s="31" t="s">
        <v>4398</v>
      </c>
      <c r="F375" s="32" t="s">
        <v>5644</v>
      </c>
      <c r="G375" s="32" t="s">
        <v>5645</v>
      </c>
      <c r="H375" s="33" t="s">
        <v>84</v>
      </c>
    </row>
    <row r="376" spans="1:8" ht="14.5" customHeight="1" x14ac:dyDescent="0.3">
      <c r="A376" s="19" t="s">
        <v>4166</v>
      </c>
      <c r="B376" s="19" t="s">
        <v>5650</v>
      </c>
      <c r="C376" s="18" t="s">
        <v>4167</v>
      </c>
      <c r="D376" s="20" t="s">
        <v>5647</v>
      </c>
      <c r="E376" s="19" t="s">
        <v>5648</v>
      </c>
      <c r="F376" s="18" t="s">
        <v>5649</v>
      </c>
      <c r="G376" s="18" t="s">
        <v>342</v>
      </c>
      <c r="H376" s="20" t="s">
        <v>252</v>
      </c>
    </row>
    <row r="377" spans="1:8" ht="14.5" customHeight="1" x14ac:dyDescent="0.3">
      <c r="A377" s="31" t="s">
        <v>7417</v>
      </c>
      <c r="B377" s="31" t="s">
        <v>5654</v>
      </c>
      <c r="C377" s="32" t="s">
        <v>1893</v>
      </c>
      <c r="D377" s="33" t="s">
        <v>5651</v>
      </c>
      <c r="E377" s="31" t="s">
        <v>5652</v>
      </c>
      <c r="F377" s="32" t="s">
        <v>5653</v>
      </c>
      <c r="G377" s="32" t="s">
        <v>136</v>
      </c>
      <c r="H377" s="33" t="s">
        <v>17</v>
      </c>
    </row>
    <row r="378" spans="1:8" ht="14.5" customHeight="1" x14ac:dyDescent="0.3">
      <c r="A378" s="19" t="s">
        <v>376</v>
      </c>
      <c r="B378" s="19" t="s">
        <v>1584</v>
      </c>
      <c r="C378" s="18" t="s">
        <v>377</v>
      </c>
      <c r="D378" s="20" t="s">
        <v>1587</v>
      </c>
      <c r="E378" s="19" t="s">
        <v>5656</v>
      </c>
      <c r="F378" s="18" t="s">
        <v>320</v>
      </c>
      <c r="G378" s="18" t="s">
        <v>11</v>
      </c>
      <c r="H378" s="20" t="s">
        <v>9</v>
      </c>
    </row>
    <row r="379" spans="1:8" ht="14.5" customHeight="1" x14ac:dyDescent="0.3">
      <c r="A379" s="31" t="s">
        <v>7436</v>
      </c>
      <c r="B379" s="31" t="s">
        <v>563</v>
      </c>
      <c r="C379" s="32" t="s">
        <v>4220</v>
      </c>
      <c r="D379" s="33" t="s">
        <v>5657</v>
      </c>
      <c r="E379" s="31" t="s">
        <v>5658</v>
      </c>
      <c r="F379" s="32" t="s">
        <v>5659</v>
      </c>
      <c r="G379" s="32" t="s">
        <v>61</v>
      </c>
      <c r="H379" s="33" t="s">
        <v>60</v>
      </c>
    </row>
    <row r="380" spans="1:8" ht="14.5" customHeight="1" x14ac:dyDescent="0.3">
      <c r="A380" s="19" t="s">
        <v>3109</v>
      </c>
      <c r="B380" s="19" t="s">
        <v>5664</v>
      </c>
      <c r="C380" s="18" t="s">
        <v>3110</v>
      </c>
      <c r="D380" s="20" t="s">
        <v>5661</v>
      </c>
      <c r="E380" s="19" t="s">
        <v>5662</v>
      </c>
      <c r="F380" s="18" t="s">
        <v>5663</v>
      </c>
      <c r="G380" s="18" t="s">
        <v>136</v>
      </c>
      <c r="H380" s="20" t="s">
        <v>17</v>
      </c>
    </row>
    <row r="381" spans="1:8" ht="14.5" customHeight="1" x14ac:dyDescent="0.3">
      <c r="A381" s="31" t="s">
        <v>7438</v>
      </c>
      <c r="B381" s="31" t="s">
        <v>5668</v>
      </c>
      <c r="C381" s="32" t="s">
        <v>3443</v>
      </c>
      <c r="D381" s="33" t="s">
        <v>5665</v>
      </c>
      <c r="E381" s="31" t="s">
        <v>5666</v>
      </c>
      <c r="F381" s="32" t="s">
        <v>5667</v>
      </c>
      <c r="G381" s="32" t="s">
        <v>61</v>
      </c>
      <c r="H381" s="33" t="s">
        <v>60</v>
      </c>
    </row>
    <row r="382" spans="1:8" ht="14.5" customHeight="1" x14ac:dyDescent="0.3">
      <c r="A382" s="19" t="s">
        <v>7439</v>
      </c>
      <c r="B382" s="19" t="s">
        <v>5672</v>
      </c>
      <c r="C382" s="18" t="s">
        <v>4211</v>
      </c>
      <c r="D382" s="20" t="s">
        <v>5669</v>
      </c>
      <c r="E382" s="19" t="s">
        <v>5670</v>
      </c>
      <c r="F382" s="18" t="s">
        <v>5671</v>
      </c>
      <c r="G382" s="18" t="s">
        <v>30</v>
      </c>
      <c r="H382" s="20" t="s">
        <v>13</v>
      </c>
    </row>
    <row r="383" spans="1:8" ht="14.5" customHeight="1" x14ac:dyDescent="0.3">
      <c r="A383" s="31" t="s">
        <v>3999</v>
      </c>
      <c r="B383" s="31" t="s">
        <v>5676</v>
      </c>
      <c r="C383" s="32" t="s">
        <v>4000</v>
      </c>
      <c r="D383" s="33" t="s">
        <v>5674</v>
      </c>
      <c r="E383" s="31" t="s">
        <v>5675</v>
      </c>
      <c r="F383" s="32" t="s">
        <v>4675</v>
      </c>
      <c r="G383" s="32" t="s">
        <v>61</v>
      </c>
      <c r="H383" s="33" t="s">
        <v>60</v>
      </c>
    </row>
    <row r="384" spans="1:8" ht="14.5" customHeight="1" x14ac:dyDescent="0.3">
      <c r="A384" s="19" t="s">
        <v>7441</v>
      </c>
      <c r="B384" s="19" t="s">
        <v>5679</v>
      </c>
      <c r="C384" s="18" t="s">
        <v>3290</v>
      </c>
      <c r="D384" s="20" t="s">
        <v>5677</v>
      </c>
      <c r="E384" s="19" t="s">
        <v>4537</v>
      </c>
      <c r="F384" s="18" t="s">
        <v>5678</v>
      </c>
      <c r="G384" s="18" t="s">
        <v>70</v>
      </c>
      <c r="H384" s="20" t="s">
        <v>17</v>
      </c>
    </row>
    <row r="385" spans="1:8" ht="14.5" customHeight="1" x14ac:dyDescent="0.3">
      <c r="A385" s="31" t="s">
        <v>7442</v>
      </c>
      <c r="B385" s="31" t="s">
        <v>5682</v>
      </c>
      <c r="C385" s="32" t="s">
        <v>3498</v>
      </c>
      <c r="D385" s="33" t="s">
        <v>5680</v>
      </c>
      <c r="E385" s="31" t="s">
        <v>5681</v>
      </c>
      <c r="F385" s="32" t="s">
        <v>4251</v>
      </c>
      <c r="G385" s="32" t="s">
        <v>4870</v>
      </c>
      <c r="H385" s="33" t="s">
        <v>17</v>
      </c>
    </row>
    <row r="386" spans="1:8" ht="14.5" customHeight="1" x14ac:dyDescent="0.3">
      <c r="A386" s="19" t="s">
        <v>7660</v>
      </c>
      <c r="B386" s="19" t="s">
        <v>437</v>
      </c>
      <c r="C386" s="18" t="s">
        <v>2668</v>
      </c>
      <c r="D386" s="20" t="s">
        <v>5683</v>
      </c>
      <c r="E386" s="19" t="s">
        <v>5684</v>
      </c>
      <c r="F386" s="18" t="s">
        <v>5685</v>
      </c>
      <c r="G386" s="18" t="s">
        <v>159</v>
      </c>
      <c r="H386" s="20" t="s">
        <v>9</v>
      </c>
    </row>
    <row r="387" spans="1:8" ht="14.5" customHeight="1" x14ac:dyDescent="0.3">
      <c r="A387" s="31" t="s">
        <v>3760</v>
      </c>
      <c r="B387" s="31" t="s">
        <v>5688</v>
      </c>
      <c r="C387" s="32" t="s">
        <v>3761</v>
      </c>
      <c r="D387" s="33" t="s">
        <v>5686</v>
      </c>
      <c r="E387" s="31" t="s">
        <v>5687</v>
      </c>
      <c r="F387" s="32" t="s">
        <v>4928</v>
      </c>
      <c r="G387" s="32" t="s">
        <v>11</v>
      </c>
      <c r="H387" s="33" t="s">
        <v>9</v>
      </c>
    </row>
    <row r="388" spans="1:8" ht="14.5" customHeight="1" x14ac:dyDescent="0.3">
      <c r="A388" s="19" t="s">
        <v>7445</v>
      </c>
      <c r="B388" s="19" t="s">
        <v>618</v>
      </c>
      <c r="C388" s="18" t="s">
        <v>116</v>
      </c>
      <c r="D388" s="20" t="s">
        <v>5689</v>
      </c>
      <c r="E388" s="19" t="s">
        <v>5690</v>
      </c>
      <c r="F388" s="18"/>
      <c r="G388" s="18" t="s">
        <v>11</v>
      </c>
      <c r="H388" s="20" t="s">
        <v>9</v>
      </c>
    </row>
    <row r="389" spans="1:8" ht="14.5" customHeight="1" x14ac:dyDescent="0.3">
      <c r="A389" s="31" t="s">
        <v>7398</v>
      </c>
      <c r="B389" s="31" t="s">
        <v>563</v>
      </c>
      <c r="C389" s="32" t="s">
        <v>3834</v>
      </c>
      <c r="D389" s="33">
        <v>84981202686</v>
      </c>
      <c r="E389" s="31" t="s">
        <v>5692</v>
      </c>
      <c r="F389" s="32" t="s">
        <v>5693</v>
      </c>
      <c r="G389" s="32" t="s">
        <v>5694</v>
      </c>
      <c r="H389" s="33" t="s">
        <v>32</v>
      </c>
    </row>
    <row r="390" spans="1:8" ht="14.5" customHeight="1" x14ac:dyDescent="0.3">
      <c r="A390" s="19" t="s">
        <v>3258</v>
      </c>
      <c r="B390" s="19" t="s">
        <v>5698</v>
      </c>
      <c r="C390" s="18" t="s">
        <v>3259</v>
      </c>
      <c r="D390" s="20" t="s">
        <v>5695</v>
      </c>
      <c r="E390" s="19" t="s">
        <v>5696</v>
      </c>
      <c r="F390" s="18" t="s">
        <v>5697</v>
      </c>
      <c r="G390" s="18" t="s">
        <v>285</v>
      </c>
      <c r="H390" s="20" t="s">
        <v>148</v>
      </c>
    </row>
    <row r="391" spans="1:8" ht="14.5" customHeight="1" x14ac:dyDescent="0.3">
      <c r="A391" s="31" t="s">
        <v>7448</v>
      </c>
      <c r="B391" s="31" t="s">
        <v>5703</v>
      </c>
      <c r="C391" s="32" t="s">
        <v>3723</v>
      </c>
      <c r="D391" s="33" t="s">
        <v>5700</v>
      </c>
      <c r="E391" s="31" t="s">
        <v>5701</v>
      </c>
      <c r="F391" s="32" t="s">
        <v>5702</v>
      </c>
      <c r="G391" s="32" t="s">
        <v>5272</v>
      </c>
      <c r="H391" s="33" t="s">
        <v>13</v>
      </c>
    </row>
    <row r="392" spans="1:8" ht="14.5" customHeight="1" x14ac:dyDescent="0.3">
      <c r="A392" s="19" t="s">
        <v>7449</v>
      </c>
      <c r="B392" s="19" t="s">
        <v>772</v>
      </c>
      <c r="C392" s="18" t="s">
        <v>131</v>
      </c>
      <c r="D392" s="20" t="s">
        <v>5704</v>
      </c>
      <c r="E392" s="19" t="s">
        <v>5705</v>
      </c>
      <c r="F392" s="18" t="s">
        <v>5706</v>
      </c>
      <c r="G392" s="18" t="s">
        <v>45</v>
      </c>
      <c r="H392" s="20" t="s">
        <v>13</v>
      </c>
    </row>
    <row r="393" spans="1:8" ht="14.5" customHeight="1" x14ac:dyDescent="0.3">
      <c r="A393" s="31" t="s">
        <v>7447</v>
      </c>
      <c r="B393" s="31" t="s">
        <v>4280</v>
      </c>
      <c r="C393" s="32" t="s">
        <v>2527</v>
      </c>
      <c r="D393" s="33" t="s">
        <v>5707</v>
      </c>
      <c r="E393" s="31" t="s">
        <v>5708</v>
      </c>
      <c r="F393" s="32" t="s">
        <v>5709</v>
      </c>
      <c r="G393" s="32" t="s">
        <v>125</v>
      </c>
      <c r="H393" s="33" t="s">
        <v>50</v>
      </c>
    </row>
    <row r="394" spans="1:8" ht="14.5" customHeight="1" x14ac:dyDescent="0.3">
      <c r="A394" s="19" t="s">
        <v>4198</v>
      </c>
      <c r="B394" s="19" t="s">
        <v>5714</v>
      </c>
      <c r="C394" s="18" t="s">
        <v>4199</v>
      </c>
      <c r="D394" s="20" t="s">
        <v>5710</v>
      </c>
      <c r="E394" s="19" t="s">
        <v>5711</v>
      </c>
      <c r="F394" s="18" t="s">
        <v>5712</v>
      </c>
      <c r="G394" s="18" t="s">
        <v>5713</v>
      </c>
      <c r="H394" s="20" t="s">
        <v>32</v>
      </c>
    </row>
    <row r="395" spans="1:8" ht="14.5" customHeight="1" x14ac:dyDescent="0.3">
      <c r="A395" s="31" t="s">
        <v>3114</v>
      </c>
      <c r="B395" s="31" t="s">
        <v>5718</v>
      </c>
      <c r="C395" s="32" t="s">
        <v>3115</v>
      </c>
      <c r="D395" s="33" t="s">
        <v>5715</v>
      </c>
      <c r="E395" s="31" t="s">
        <v>5716</v>
      </c>
      <c r="F395" s="32" t="s">
        <v>5717</v>
      </c>
      <c r="G395" s="32" t="s">
        <v>75</v>
      </c>
      <c r="H395" s="33" t="s">
        <v>74</v>
      </c>
    </row>
    <row r="396" spans="1:8" ht="14.5" customHeight="1" x14ac:dyDescent="0.3">
      <c r="A396" s="19" t="s">
        <v>7581</v>
      </c>
      <c r="B396" s="19" t="s">
        <v>5722</v>
      </c>
      <c r="C396" s="18" t="s">
        <v>4041</v>
      </c>
      <c r="D396" s="20" t="s">
        <v>5719</v>
      </c>
      <c r="E396" s="19" t="s">
        <v>5720</v>
      </c>
      <c r="F396" s="18" t="s">
        <v>5721</v>
      </c>
      <c r="G396" s="18" t="s">
        <v>4277</v>
      </c>
      <c r="H396" s="20" t="s">
        <v>4274</v>
      </c>
    </row>
    <row r="397" spans="1:8" ht="14.5" customHeight="1" x14ac:dyDescent="0.3">
      <c r="A397" s="31" t="s">
        <v>3948</v>
      </c>
      <c r="B397" s="31" t="s">
        <v>5726</v>
      </c>
      <c r="C397" s="32" t="s">
        <v>3949</v>
      </c>
      <c r="D397" s="33" t="s">
        <v>5723</v>
      </c>
      <c r="E397" s="31" t="s">
        <v>5724</v>
      </c>
      <c r="F397" s="32" t="s">
        <v>5725</v>
      </c>
      <c r="G397" s="32" t="s">
        <v>4279</v>
      </c>
      <c r="H397" s="33" t="s">
        <v>287</v>
      </c>
    </row>
    <row r="398" spans="1:8" ht="14.5" customHeight="1" x14ac:dyDescent="0.3">
      <c r="A398" s="19" t="s">
        <v>7664</v>
      </c>
      <c r="B398" s="19" t="s">
        <v>5730</v>
      </c>
      <c r="C398" s="18" t="s">
        <v>2731</v>
      </c>
      <c r="D398" s="20" t="s">
        <v>5727</v>
      </c>
      <c r="E398" s="19" t="s">
        <v>5728</v>
      </c>
      <c r="F398" s="18" t="s">
        <v>5729</v>
      </c>
      <c r="G398" s="18" t="s">
        <v>4579</v>
      </c>
      <c r="H398" s="20" t="s">
        <v>13</v>
      </c>
    </row>
    <row r="399" spans="1:8" ht="14.5" customHeight="1" x14ac:dyDescent="0.3">
      <c r="A399" s="31" t="s">
        <v>7452</v>
      </c>
      <c r="B399" s="31" t="s">
        <v>5734</v>
      </c>
      <c r="C399" s="32" t="s">
        <v>2005</v>
      </c>
      <c r="D399" s="33" t="s">
        <v>5731</v>
      </c>
      <c r="E399" s="31" t="s">
        <v>5732</v>
      </c>
      <c r="F399" s="32" t="s">
        <v>5733</v>
      </c>
      <c r="G399" s="32" t="s">
        <v>5284</v>
      </c>
      <c r="H399" s="33" t="s">
        <v>148</v>
      </c>
    </row>
    <row r="400" spans="1:8" ht="14.5" customHeight="1" x14ac:dyDescent="0.3">
      <c r="A400" s="19" t="s">
        <v>4073</v>
      </c>
      <c r="B400" s="19" t="s">
        <v>5737</v>
      </c>
      <c r="C400" s="18" t="s">
        <v>4074</v>
      </c>
      <c r="D400" s="20" t="s">
        <v>4602</v>
      </c>
      <c r="E400" s="19" t="s">
        <v>5735</v>
      </c>
      <c r="F400" s="18" t="s">
        <v>5736</v>
      </c>
      <c r="G400" s="18" t="s">
        <v>42</v>
      </c>
      <c r="H400" s="20" t="s">
        <v>40</v>
      </c>
    </row>
    <row r="401" spans="1:8" ht="14.5" customHeight="1" x14ac:dyDescent="0.3">
      <c r="A401" s="31" t="s">
        <v>7381</v>
      </c>
      <c r="B401" s="31" t="s">
        <v>5004</v>
      </c>
      <c r="C401" s="32" t="s">
        <v>1762</v>
      </c>
      <c r="D401" s="33" t="s">
        <v>5738</v>
      </c>
      <c r="E401" s="31" t="s">
        <v>5739</v>
      </c>
      <c r="F401" s="32" t="s">
        <v>4483</v>
      </c>
      <c r="G401" s="32" t="s">
        <v>11</v>
      </c>
      <c r="H401" s="33" t="s">
        <v>9</v>
      </c>
    </row>
    <row r="402" spans="1:8" ht="14.5" customHeight="1" x14ac:dyDescent="0.3">
      <c r="A402" s="19" t="s">
        <v>7456</v>
      </c>
      <c r="B402" s="19" t="s">
        <v>5742</v>
      </c>
      <c r="C402" s="18" t="s">
        <v>3335</v>
      </c>
      <c r="D402" s="20" t="s">
        <v>5740</v>
      </c>
      <c r="E402" s="19" t="s">
        <v>5741</v>
      </c>
      <c r="F402" s="18" t="s">
        <v>4358</v>
      </c>
      <c r="G402" s="18" t="s">
        <v>61</v>
      </c>
      <c r="H402" s="20" t="s">
        <v>60</v>
      </c>
    </row>
    <row r="403" spans="1:8" ht="14.5" customHeight="1" x14ac:dyDescent="0.3">
      <c r="A403" s="31" t="s">
        <v>7451</v>
      </c>
      <c r="B403" s="31" t="s">
        <v>5745</v>
      </c>
      <c r="C403" s="32" t="s">
        <v>2738</v>
      </c>
      <c r="D403" s="33" t="s">
        <v>5743</v>
      </c>
      <c r="E403" s="31" t="s">
        <v>5744</v>
      </c>
      <c r="F403" s="32" t="s">
        <v>4474</v>
      </c>
      <c r="G403" s="32" t="s">
        <v>42</v>
      </c>
      <c r="H403" s="33" t="s">
        <v>40</v>
      </c>
    </row>
    <row r="404" spans="1:8" ht="14.5" customHeight="1" x14ac:dyDescent="0.3">
      <c r="A404" s="19" t="s">
        <v>2180</v>
      </c>
      <c r="B404" s="19" t="s">
        <v>5749</v>
      </c>
      <c r="C404" s="18" t="s">
        <v>2181</v>
      </c>
      <c r="D404" s="20" t="s">
        <v>5747</v>
      </c>
      <c r="E404" s="19" t="s">
        <v>5748</v>
      </c>
      <c r="F404" s="18" t="s">
        <v>5556</v>
      </c>
      <c r="G404" s="18" t="s">
        <v>61</v>
      </c>
      <c r="H404" s="20" t="s">
        <v>60</v>
      </c>
    </row>
    <row r="405" spans="1:8" ht="14.5" customHeight="1" x14ac:dyDescent="0.3">
      <c r="A405" s="31" t="s">
        <v>3343</v>
      </c>
      <c r="B405" s="31" t="s">
        <v>5754</v>
      </c>
      <c r="C405" s="32" t="s">
        <v>3344</v>
      </c>
      <c r="D405" s="33" t="s">
        <v>5750</v>
      </c>
      <c r="E405" s="31" t="s">
        <v>5751</v>
      </c>
      <c r="F405" s="32" t="s">
        <v>5752</v>
      </c>
      <c r="G405" s="32" t="s">
        <v>5753</v>
      </c>
      <c r="H405" s="33" t="s">
        <v>60</v>
      </c>
    </row>
    <row r="406" spans="1:8" ht="14.5" customHeight="1" x14ac:dyDescent="0.3">
      <c r="A406" s="19" t="s">
        <v>3247</v>
      </c>
      <c r="B406" s="19" t="s">
        <v>521</v>
      </c>
      <c r="C406" s="18" t="s">
        <v>3248</v>
      </c>
      <c r="D406" s="20" t="s">
        <v>5757</v>
      </c>
      <c r="E406" s="19" t="s">
        <v>5758</v>
      </c>
      <c r="F406" s="18" t="s">
        <v>5759</v>
      </c>
      <c r="G406" s="18" t="s">
        <v>5551</v>
      </c>
      <c r="H406" s="20" t="s">
        <v>40</v>
      </c>
    </row>
    <row r="407" spans="1:8" ht="14.5" customHeight="1" x14ac:dyDescent="0.3">
      <c r="A407" s="31" t="s">
        <v>4169</v>
      </c>
      <c r="B407" s="31" t="s">
        <v>5763</v>
      </c>
      <c r="C407" s="32" t="s">
        <v>4170</v>
      </c>
      <c r="D407" s="33" t="s">
        <v>5760</v>
      </c>
      <c r="E407" s="31" t="s">
        <v>5761</v>
      </c>
      <c r="F407" s="32" t="s">
        <v>5762</v>
      </c>
      <c r="G407" s="32" t="s">
        <v>4277</v>
      </c>
      <c r="H407" s="33" t="s">
        <v>4274</v>
      </c>
    </row>
    <row r="408" spans="1:8" ht="14.5" customHeight="1" x14ac:dyDescent="0.3">
      <c r="A408" s="19" t="s">
        <v>7457</v>
      </c>
      <c r="B408" s="19" t="s">
        <v>5767</v>
      </c>
      <c r="C408" s="18" t="s">
        <v>3643</v>
      </c>
      <c r="D408" s="20" t="s">
        <v>5764</v>
      </c>
      <c r="E408" s="19" t="s">
        <v>5765</v>
      </c>
      <c r="F408" s="18" t="s">
        <v>5766</v>
      </c>
      <c r="G408" s="18" t="s">
        <v>11</v>
      </c>
      <c r="H408" s="20" t="s">
        <v>9</v>
      </c>
    </row>
    <row r="409" spans="1:8" ht="14.5" customHeight="1" x14ac:dyDescent="0.3">
      <c r="A409" s="31" t="s">
        <v>7458</v>
      </c>
      <c r="B409" s="31" t="s">
        <v>5771</v>
      </c>
      <c r="C409" s="32" t="s">
        <v>3548</v>
      </c>
      <c r="D409" s="33" t="s">
        <v>5768</v>
      </c>
      <c r="E409" s="31" t="s">
        <v>5769</v>
      </c>
      <c r="F409" s="32" t="s">
        <v>5770</v>
      </c>
      <c r="G409" s="32" t="s">
        <v>61</v>
      </c>
      <c r="H409" s="33" t="s">
        <v>60</v>
      </c>
    </row>
    <row r="410" spans="1:8" ht="14.5" customHeight="1" x14ac:dyDescent="0.3">
      <c r="A410" s="19" t="s">
        <v>7462</v>
      </c>
      <c r="B410" s="19" t="s">
        <v>5775</v>
      </c>
      <c r="C410" s="18" t="s">
        <v>3994</v>
      </c>
      <c r="D410" s="20" t="s">
        <v>5772</v>
      </c>
      <c r="E410" s="19" t="s">
        <v>5773</v>
      </c>
      <c r="F410" s="18" t="s">
        <v>5774</v>
      </c>
      <c r="G410" s="18" t="s">
        <v>30</v>
      </c>
      <c r="H410" s="20" t="s">
        <v>13</v>
      </c>
    </row>
    <row r="411" spans="1:8" ht="14.5" customHeight="1" x14ac:dyDescent="0.3">
      <c r="A411" s="31" t="s">
        <v>1731</v>
      </c>
      <c r="B411" s="31" t="s">
        <v>5780</v>
      </c>
      <c r="C411" s="32" t="s">
        <v>1732</v>
      </c>
      <c r="D411" s="33" t="s">
        <v>5776</v>
      </c>
      <c r="E411" s="31" t="s">
        <v>5777</v>
      </c>
      <c r="F411" s="32" t="s">
        <v>5778</v>
      </c>
      <c r="G411" s="32" t="s">
        <v>5779</v>
      </c>
      <c r="H411" s="33" t="s">
        <v>3</v>
      </c>
    </row>
    <row r="412" spans="1:8" ht="14.5" customHeight="1" x14ac:dyDescent="0.3">
      <c r="A412" s="19" t="s">
        <v>3705</v>
      </c>
      <c r="B412" s="19" t="s">
        <v>5784</v>
      </c>
      <c r="C412" s="18" t="s">
        <v>3706</v>
      </c>
      <c r="D412" s="20" t="s">
        <v>5781</v>
      </c>
      <c r="E412" s="19" t="s">
        <v>5782</v>
      </c>
      <c r="F412" s="18" t="s">
        <v>5783</v>
      </c>
      <c r="G412" s="18" t="s">
        <v>30</v>
      </c>
      <c r="H412" s="20" t="s">
        <v>13</v>
      </c>
    </row>
    <row r="413" spans="1:8" ht="14.5" customHeight="1" x14ac:dyDescent="0.3">
      <c r="A413" s="31" t="s">
        <v>7481</v>
      </c>
      <c r="B413" s="31" t="s">
        <v>4789</v>
      </c>
      <c r="C413" s="32" t="s">
        <v>2623</v>
      </c>
      <c r="D413" s="33" t="s">
        <v>5785</v>
      </c>
      <c r="E413" s="31" t="s">
        <v>5786</v>
      </c>
      <c r="F413" s="32" t="s">
        <v>5787</v>
      </c>
      <c r="G413" s="32" t="s">
        <v>5788</v>
      </c>
      <c r="H413" s="33" t="s">
        <v>17</v>
      </c>
    </row>
    <row r="414" spans="1:8" ht="14.5" customHeight="1" x14ac:dyDescent="0.3">
      <c r="A414" s="19" t="s">
        <v>7484</v>
      </c>
      <c r="B414" s="19" t="s">
        <v>578</v>
      </c>
      <c r="C414" s="18" t="s">
        <v>54</v>
      </c>
      <c r="D414" s="20" t="s">
        <v>5789</v>
      </c>
      <c r="E414" s="19" t="s">
        <v>5790</v>
      </c>
      <c r="F414" s="18" t="s">
        <v>5791</v>
      </c>
      <c r="G414" s="18" t="s">
        <v>55</v>
      </c>
      <c r="H414" s="20" t="s">
        <v>52</v>
      </c>
    </row>
    <row r="415" spans="1:8" ht="14.5" customHeight="1" x14ac:dyDescent="0.3">
      <c r="A415" s="31" t="s">
        <v>7387</v>
      </c>
      <c r="B415" s="31" t="s">
        <v>821</v>
      </c>
      <c r="C415" s="32" t="s">
        <v>1845</v>
      </c>
      <c r="D415" s="33" t="s">
        <v>5792</v>
      </c>
      <c r="E415" s="31" t="s">
        <v>5793</v>
      </c>
      <c r="F415" s="32" t="s">
        <v>5794</v>
      </c>
      <c r="G415" s="32" t="s">
        <v>4556</v>
      </c>
      <c r="H415" s="33" t="s">
        <v>17</v>
      </c>
    </row>
    <row r="416" spans="1:8" ht="14.5" customHeight="1" x14ac:dyDescent="0.3">
      <c r="A416" s="19" t="s">
        <v>7372</v>
      </c>
      <c r="B416" s="19" t="s">
        <v>5798</v>
      </c>
      <c r="C416" s="18" t="s">
        <v>1834</v>
      </c>
      <c r="D416" s="20" t="s">
        <v>5795</v>
      </c>
      <c r="E416" s="19" t="s">
        <v>5796</v>
      </c>
      <c r="F416" s="18" t="s">
        <v>5797</v>
      </c>
      <c r="G416" s="18" t="s">
        <v>5021</v>
      </c>
      <c r="H416" s="20" t="s">
        <v>17</v>
      </c>
    </row>
    <row r="417" spans="1:8" ht="14.5" customHeight="1" x14ac:dyDescent="0.3">
      <c r="A417" s="31" t="s">
        <v>7372</v>
      </c>
      <c r="B417" s="31" t="s">
        <v>1168</v>
      </c>
      <c r="C417" s="32" t="s">
        <v>1834</v>
      </c>
      <c r="D417" s="33" t="s">
        <v>5799</v>
      </c>
      <c r="E417" s="31" t="s">
        <v>5796</v>
      </c>
      <c r="F417" s="32" t="s">
        <v>5797</v>
      </c>
      <c r="G417" s="32" t="s">
        <v>5021</v>
      </c>
      <c r="H417" s="33" t="s">
        <v>17</v>
      </c>
    </row>
    <row r="418" spans="1:8" ht="14.5" customHeight="1" x14ac:dyDescent="0.3">
      <c r="A418" s="19" t="s">
        <v>1822</v>
      </c>
      <c r="B418" s="19" t="s">
        <v>5804</v>
      </c>
      <c r="C418" s="18" t="s">
        <v>1823</v>
      </c>
      <c r="D418" s="20" t="s">
        <v>5801</v>
      </c>
      <c r="E418" s="19" t="s">
        <v>5802</v>
      </c>
      <c r="F418" s="18" t="s">
        <v>5803</v>
      </c>
      <c r="G418" s="18" t="s">
        <v>192</v>
      </c>
      <c r="H418" s="20" t="s">
        <v>13</v>
      </c>
    </row>
    <row r="419" spans="1:8" ht="14.5" customHeight="1" x14ac:dyDescent="0.3">
      <c r="A419" s="31" t="s">
        <v>7474</v>
      </c>
      <c r="B419" s="31" t="s">
        <v>5807</v>
      </c>
      <c r="C419" s="32" t="s">
        <v>1878</v>
      </c>
      <c r="D419" s="33" t="s">
        <v>5805</v>
      </c>
      <c r="E419" s="31" t="s">
        <v>5806</v>
      </c>
      <c r="F419" s="32" t="s">
        <v>103</v>
      </c>
      <c r="G419" s="32" t="s">
        <v>159</v>
      </c>
      <c r="H419" s="33" t="s">
        <v>9</v>
      </c>
    </row>
    <row r="420" spans="1:8" ht="14.5" customHeight="1" x14ac:dyDescent="0.3">
      <c r="A420" s="19" t="s">
        <v>7487</v>
      </c>
      <c r="B420" s="19" t="s">
        <v>5954</v>
      </c>
      <c r="C420" s="18" t="s">
        <v>3819</v>
      </c>
      <c r="D420" s="20" t="s">
        <v>5951</v>
      </c>
      <c r="E420" s="19" t="s">
        <v>5952</v>
      </c>
      <c r="F420" s="18" t="s">
        <v>5953</v>
      </c>
      <c r="G420" s="18" t="s">
        <v>42</v>
      </c>
      <c r="H420" s="20" t="s">
        <v>40</v>
      </c>
    </row>
    <row r="421" spans="1:8" ht="14.5" customHeight="1" x14ac:dyDescent="0.3">
      <c r="A421" s="31" t="s">
        <v>7489</v>
      </c>
      <c r="B421" s="31" t="s">
        <v>5811</v>
      </c>
      <c r="C421" s="32" t="s">
        <v>3436</v>
      </c>
      <c r="D421" s="33" t="s">
        <v>5808</v>
      </c>
      <c r="E421" s="31" t="s">
        <v>5809</v>
      </c>
      <c r="F421" s="32" t="s">
        <v>5810</v>
      </c>
      <c r="G421" s="32" t="s">
        <v>61</v>
      </c>
      <c r="H421" s="33" t="s">
        <v>60</v>
      </c>
    </row>
    <row r="422" spans="1:8" ht="14.5" customHeight="1" x14ac:dyDescent="0.3">
      <c r="A422" s="19" t="s">
        <v>7488</v>
      </c>
      <c r="B422" s="19" t="s">
        <v>1046</v>
      </c>
      <c r="C422" s="18" t="s">
        <v>2655</v>
      </c>
      <c r="D422" s="20" t="s">
        <v>5812</v>
      </c>
      <c r="E422" s="19" t="s">
        <v>5813</v>
      </c>
      <c r="F422" s="18" t="s">
        <v>5814</v>
      </c>
      <c r="G422" s="18" t="s">
        <v>30</v>
      </c>
      <c r="H422" s="20" t="s">
        <v>13</v>
      </c>
    </row>
    <row r="423" spans="1:8" ht="14.5" customHeight="1" x14ac:dyDescent="0.3">
      <c r="A423" s="31" t="s">
        <v>7264</v>
      </c>
      <c r="B423" s="31" t="s">
        <v>5819</v>
      </c>
      <c r="C423" s="32" t="s">
        <v>1742</v>
      </c>
      <c r="D423" s="33" t="s">
        <v>5815</v>
      </c>
      <c r="E423" s="31" t="s">
        <v>5816</v>
      </c>
      <c r="F423" s="32" t="s">
        <v>5817</v>
      </c>
      <c r="G423" s="32" t="s">
        <v>5818</v>
      </c>
      <c r="H423" s="33" t="s">
        <v>13</v>
      </c>
    </row>
    <row r="424" spans="1:8" ht="14.5" customHeight="1" x14ac:dyDescent="0.3">
      <c r="A424" s="19" t="s">
        <v>7221</v>
      </c>
      <c r="B424" s="19" t="s">
        <v>5825</v>
      </c>
      <c r="C424" s="18" t="s">
        <v>3309</v>
      </c>
      <c r="D424" s="20" t="s">
        <v>5821</v>
      </c>
      <c r="E424" s="19" t="s">
        <v>5822</v>
      </c>
      <c r="F424" s="18" t="s">
        <v>5823</v>
      </c>
      <c r="G424" s="18" t="s">
        <v>5824</v>
      </c>
      <c r="H424" s="20" t="s">
        <v>148</v>
      </c>
    </row>
    <row r="425" spans="1:8" ht="14.5" customHeight="1" x14ac:dyDescent="0.3">
      <c r="A425" s="31" t="s">
        <v>7288</v>
      </c>
      <c r="B425" s="31" t="s">
        <v>4500</v>
      </c>
      <c r="C425" s="32" t="s">
        <v>3856</v>
      </c>
      <c r="D425" s="33" t="s">
        <v>5826</v>
      </c>
      <c r="E425" s="31" t="s">
        <v>5827</v>
      </c>
      <c r="F425" s="32" t="s">
        <v>5828</v>
      </c>
      <c r="G425" s="32" t="s">
        <v>21</v>
      </c>
      <c r="H425" s="33" t="s">
        <v>17</v>
      </c>
    </row>
    <row r="426" spans="1:8" ht="14.5" customHeight="1" x14ac:dyDescent="0.3">
      <c r="A426" s="19" t="s">
        <v>7222</v>
      </c>
      <c r="B426" s="19" t="s">
        <v>4910</v>
      </c>
      <c r="C426" s="18" t="s">
        <v>3378</v>
      </c>
      <c r="D426" s="20" t="s">
        <v>5829</v>
      </c>
      <c r="E426" s="19" t="s">
        <v>5830</v>
      </c>
      <c r="F426" s="18" t="s">
        <v>5831</v>
      </c>
      <c r="G426" s="18" t="s">
        <v>5832</v>
      </c>
      <c r="H426" s="20" t="s">
        <v>17</v>
      </c>
    </row>
    <row r="427" spans="1:8" ht="14.5" customHeight="1" x14ac:dyDescent="0.3">
      <c r="A427" s="31" t="s">
        <v>7491</v>
      </c>
      <c r="B427" s="31" t="s">
        <v>5835</v>
      </c>
      <c r="C427" s="32" t="s">
        <v>2882</v>
      </c>
      <c r="D427" s="33" t="s">
        <v>5833</v>
      </c>
      <c r="E427" s="31" t="s">
        <v>5834</v>
      </c>
      <c r="F427" s="32" t="s">
        <v>5755</v>
      </c>
      <c r="G427" s="32" t="s">
        <v>61</v>
      </c>
      <c r="H427" s="33" t="s">
        <v>60</v>
      </c>
    </row>
    <row r="428" spans="1:8" ht="14.5" customHeight="1" x14ac:dyDescent="0.3">
      <c r="A428" s="19" t="s">
        <v>7492</v>
      </c>
      <c r="B428" s="19" t="s">
        <v>1400</v>
      </c>
      <c r="C428" s="18" t="s">
        <v>323</v>
      </c>
      <c r="D428" s="20" t="s">
        <v>324</v>
      </c>
      <c r="E428" s="19" t="s">
        <v>5836</v>
      </c>
      <c r="F428" s="18" t="s">
        <v>325</v>
      </c>
      <c r="G428" s="18" t="s">
        <v>5272</v>
      </c>
      <c r="H428" s="20" t="s">
        <v>13</v>
      </c>
    </row>
    <row r="429" spans="1:8" ht="14.5" customHeight="1" x14ac:dyDescent="0.3">
      <c r="A429" s="31" t="s">
        <v>7733</v>
      </c>
      <c r="B429" s="31" t="s">
        <v>5840</v>
      </c>
      <c r="C429" s="32" t="s">
        <v>3086</v>
      </c>
      <c r="D429" s="33" t="s">
        <v>5838</v>
      </c>
      <c r="E429" s="31" t="s">
        <v>5839</v>
      </c>
      <c r="F429" s="32" t="s">
        <v>4690</v>
      </c>
      <c r="G429" s="32" t="s">
        <v>38</v>
      </c>
      <c r="H429" s="33" t="s">
        <v>3</v>
      </c>
    </row>
    <row r="430" spans="1:8" ht="14.5" customHeight="1" x14ac:dyDescent="0.3">
      <c r="A430" s="19" t="s">
        <v>7493</v>
      </c>
      <c r="B430" s="19" t="s">
        <v>1157</v>
      </c>
      <c r="C430" s="18" t="s">
        <v>1842</v>
      </c>
      <c r="D430" s="20" t="s">
        <v>5841</v>
      </c>
      <c r="E430" s="19" t="s">
        <v>5842</v>
      </c>
      <c r="F430" s="18" t="s">
        <v>5843</v>
      </c>
      <c r="G430" s="18" t="s">
        <v>241</v>
      </c>
      <c r="H430" s="20" t="s">
        <v>9</v>
      </c>
    </row>
    <row r="431" spans="1:8" ht="14.5" customHeight="1" x14ac:dyDescent="0.3">
      <c r="A431" s="31" t="s">
        <v>7494</v>
      </c>
      <c r="B431" s="31" t="s">
        <v>600</v>
      </c>
      <c r="C431" s="32" t="s">
        <v>3523</v>
      </c>
      <c r="D431" s="33" t="s">
        <v>5844</v>
      </c>
      <c r="E431" s="31" t="s">
        <v>5845</v>
      </c>
      <c r="F431" s="32" t="s">
        <v>5222</v>
      </c>
      <c r="G431" s="32" t="s">
        <v>4541</v>
      </c>
      <c r="H431" s="33" t="s">
        <v>17</v>
      </c>
    </row>
    <row r="432" spans="1:8" ht="14.5" customHeight="1" x14ac:dyDescent="0.3">
      <c r="A432" s="19" t="s">
        <v>7483</v>
      </c>
      <c r="B432" s="19" t="s">
        <v>5852</v>
      </c>
      <c r="C432" s="18" t="s">
        <v>3450</v>
      </c>
      <c r="D432" s="20" t="s">
        <v>5850</v>
      </c>
      <c r="E432" s="19" t="s">
        <v>5851</v>
      </c>
      <c r="F432" s="18" t="s">
        <v>5592</v>
      </c>
      <c r="G432" s="18" t="s">
        <v>285</v>
      </c>
      <c r="H432" s="20" t="s">
        <v>148</v>
      </c>
    </row>
    <row r="433" spans="1:8" ht="14.5" customHeight="1" x14ac:dyDescent="0.3">
      <c r="A433" s="31" t="s">
        <v>7223</v>
      </c>
      <c r="B433" s="31" t="s">
        <v>5849</v>
      </c>
      <c r="C433" s="32" t="s">
        <v>5847</v>
      </c>
      <c r="D433" s="33" t="s">
        <v>5846</v>
      </c>
      <c r="E433" s="31" t="s">
        <v>5848</v>
      </c>
      <c r="F433" s="32" t="s">
        <v>305</v>
      </c>
      <c r="G433" s="32" t="s">
        <v>285</v>
      </c>
      <c r="H433" s="33" t="s">
        <v>148</v>
      </c>
    </row>
    <row r="434" spans="1:8" ht="14.5" customHeight="1" x14ac:dyDescent="0.3">
      <c r="A434" s="19" t="s">
        <v>7296</v>
      </c>
      <c r="B434" s="19" t="s">
        <v>5856</v>
      </c>
      <c r="C434" s="18" t="s">
        <v>3358</v>
      </c>
      <c r="D434" s="20" t="s">
        <v>5853</v>
      </c>
      <c r="E434" s="19" t="s">
        <v>5854</v>
      </c>
      <c r="F434" s="18" t="s">
        <v>5855</v>
      </c>
      <c r="G434" s="18" t="s">
        <v>21</v>
      </c>
      <c r="H434" s="20" t="s">
        <v>17</v>
      </c>
    </row>
    <row r="435" spans="1:8" ht="14.5" customHeight="1" x14ac:dyDescent="0.3">
      <c r="A435" s="31" t="s">
        <v>7303</v>
      </c>
      <c r="B435" s="31" t="s">
        <v>5860</v>
      </c>
      <c r="C435" s="32" t="s">
        <v>3635</v>
      </c>
      <c r="D435" s="33" t="s">
        <v>5857</v>
      </c>
      <c r="E435" s="31" t="s">
        <v>5858</v>
      </c>
      <c r="F435" s="32" t="s">
        <v>5859</v>
      </c>
      <c r="G435" s="32" t="s">
        <v>4961</v>
      </c>
      <c r="H435" s="33" t="s">
        <v>17</v>
      </c>
    </row>
    <row r="436" spans="1:8" ht="14.5" customHeight="1" x14ac:dyDescent="0.3">
      <c r="A436" s="19" t="s">
        <v>7307</v>
      </c>
      <c r="B436" s="19" t="s">
        <v>600</v>
      </c>
      <c r="C436" s="18" t="s">
        <v>132</v>
      </c>
      <c r="D436" s="20" t="s">
        <v>5863</v>
      </c>
      <c r="E436" s="19" t="s">
        <v>5864</v>
      </c>
      <c r="F436" s="18" t="s">
        <v>5865</v>
      </c>
      <c r="G436" s="18" t="s">
        <v>133</v>
      </c>
      <c r="H436" s="20" t="s">
        <v>17</v>
      </c>
    </row>
    <row r="437" spans="1:8" ht="14.5" customHeight="1" x14ac:dyDescent="0.3">
      <c r="A437" s="31" t="s">
        <v>7308</v>
      </c>
      <c r="B437" s="31" t="s">
        <v>728</v>
      </c>
      <c r="C437" s="32" t="s">
        <v>63</v>
      </c>
      <c r="D437" s="33" t="s">
        <v>5861</v>
      </c>
      <c r="E437" s="31" t="s">
        <v>5862</v>
      </c>
      <c r="F437" s="32"/>
      <c r="G437" s="32" t="s">
        <v>65</v>
      </c>
      <c r="H437" s="33" t="s">
        <v>64</v>
      </c>
    </row>
    <row r="438" spans="1:8" ht="14.5" customHeight="1" x14ac:dyDescent="0.3">
      <c r="A438" s="19" t="s">
        <v>7496</v>
      </c>
      <c r="B438" s="19" t="s">
        <v>501</v>
      </c>
      <c r="C438" s="18" t="s">
        <v>2607</v>
      </c>
      <c r="D438" s="20" t="s">
        <v>5866</v>
      </c>
      <c r="E438" s="19" t="s">
        <v>5867</v>
      </c>
      <c r="F438" s="18" t="s">
        <v>5868</v>
      </c>
      <c r="G438" s="18" t="s">
        <v>136</v>
      </c>
      <c r="H438" s="20" t="s">
        <v>17</v>
      </c>
    </row>
    <row r="439" spans="1:8" ht="14.5" customHeight="1" x14ac:dyDescent="0.3">
      <c r="A439" s="31" t="s">
        <v>7497</v>
      </c>
      <c r="B439" s="31" t="s">
        <v>5872</v>
      </c>
      <c r="C439" s="32" t="s">
        <v>3495</v>
      </c>
      <c r="D439" s="33" t="s">
        <v>5869</v>
      </c>
      <c r="E439" s="31" t="s">
        <v>5870</v>
      </c>
      <c r="F439" s="32" t="s">
        <v>5871</v>
      </c>
      <c r="G439" s="32" t="s">
        <v>159</v>
      </c>
      <c r="H439" s="33" t="s">
        <v>9</v>
      </c>
    </row>
    <row r="440" spans="1:8" ht="14.5" customHeight="1" x14ac:dyDescent="0.3">
      <c r="A440" s="19" t="s">
        <v>7498</v>
      </c>
      <c r="B440" s="19" t="s">
        <v>4264</v>
      </c>
      <c r="C440" s="18" t="s">
        <v>3601</v>
      </c>
      <c r="D440" s="20" t="s">
        <v>5874</v>
      </c>
      <c r="E440" s="19" t="s">
        <v>5875</v>
      </c>
      <c r="F440" s="18" t="s">
        <v>5876</v>
      </c>
      <c r="G440" s="18" t="s">
        <v>11</v>
      </c>
      <c r="H440" s="20" t="s">
        <v>9</v>
      </c>
    </row>
    <row r="441" spans="1:8" ht="14.5" customHeight="1" x14ac:dyDescent="0.3">
      <c r="A441" s="31" t="s">
        <v>7465</v>
      </c>
      <c r="B441" s="31" t="s">
        <v>5544</v>
      </c>
      <c r="C441" s="32" t="s">
        <v>1931</v>
      </c>
      <c r="D441" s="33" t="s">
        <v>5877</v>
      </c>
      <c r="E441" s="31" t="s">
        <v>5878</v>
      </c>
      <c r="F441" s="32" t="s">
        <v>5879</v>
      </c>
      <c r="G441" s="32" t="s">
        <v>21</v>
      </c>
      <c r="H441" s="33" t="s">
        <v>17</v>
      </c>
    </row>
    <row r="442" spans="1:8" ht="14.5" customHeight="1" x14ac:dyDescent="0.3">
      <c r="A442" s="19" t="s">
        <v>7610</v>
      </c>
      <c r="B442" s="19" t="s">
        <v>563</v>
      </c>
      <c r="C442" s="18" t="s">
        <v>3988</v>
      </c>
      <c r="D442" s="20" t="s">
        <v>5880</v>
      </c>
      <c r="E442" s="19" t="s">
        <v>5881</v>
      </c>
      <c r="F442" s="18" t="s">
        <v>5882</v>
      </c>
      <c r="G442" s="18" t="s">
        <v>75</v>
      </c>
      <c r="H442" s="20" t="s">
        <v>74</v>
      </c>
    </row>
    <row r="443" spans="1:8" ht="14.5" customHeight="1" x14ac:dyDescent="0.3">
      <c r="A443" s="31" t="s">
        <v>7382</v>
      </c>
      <c r="B443" s="31" t="s">
        <v>5825</v>
      </c>
      <c r="C443" s="32" t="s">
        <v>2121</v>
      </c>
      <c r="D443" s="33" t="s">
        <v>5883</v>
      </c>
      <c r="E443" s="31" t="s">
        <v>5884</v>
      </c>
      <c r="F443" s="32" t="s">
        <v>5885</v>
      </c>
      <c r="G443" s="32" t="s">
        <v>5886</v>
      </c>
      <c r="H443" s="33" t="s">
        <v>148</v>
      </c>
    </row>
    <row r="444" spans="1:8" ht="14.5" customHeight="1" x14ac:dyDescent="0.3">
      <c r="A444" s="19" t="s">
        <v>7499</v>
      </c>
      <c r="B444" s="19" t="s">
        <v>5890</v>
      </c>
      <c r="C444" s="18" t="s">
        <v>3687</v>
      </c>
      <c r="D444" s="20" t="s">
        <v>5887</v>
      </c>
      <c r="E444" s="19" t="s">
        <v>5888</v>
      </c>
      <c r="F444" s="18" t="s">
        <v>5889</v>
      </c>
      <c r="G444" s="18" t="s">
        <v>21</v>
      </c>
      <c r="H444" s="20" t="s">
        <v>17</v>
      </c>
    </row>
    <row r="445" spans="1:8" ht="14.5" customHeight="1" x14ac:dyDescent="0.3">
      <c r="A445" s="31" t="s">
        <v>7500</v>
      </c>
      <c r="B445" s="31" t="s">
        <v>5567</v>
      </c>
      <c r="C445" s="32" t="s">
        <v>3886</v>
      </c>
      <c r="D445" s="33" t="s">
        <v>5891</v>
      </c>
      <c r="E445" s="31" t="s">
        <v>5892</v>
      </c>
      <c r="F445" s="32" t="s">
        <v>5893</v>
      </c>
      <c r="G445" s="32" t="s">
        <v>21</v>
      </c>
      <c r="H445" s="33" t="s">
        <v>17</v>
      </c>
    </row>
    <row r="446" spans="1:8" ht="14.5" customHeight="1" x14ac:dyDescent="0.3">
      <c r="A446" s="19" t="s">
        <v>7501</v>
      </c>
      <c r="B446" s="19" t="s">
        <v>5896</v>
      </c>
      <c r="C446" s="18" t="s">
        <v>3292</v>
      </c>
      <c r="D446" s="20" t="s">
        <v>5894</v>
      </c>
      <c r="E446" s="19" t="s">
        <v>5895</v>
      </c>
      <c r="F446" s="18" t="s">
        <v>4690</v>
      </c>
      <c r="G446" s="18" t="s">
        <v>38</v>
      </c>
      <c r="H446" s="20" t="s">
        <v>3</v>
      </c>
    </row>
    <row r="447" spans="1:8" ht="14.5" customHeight="1" x14ac:dyDescent="0.3">
      <c r="A447" s="31" t="s">
        <v>7333</v>
      </c>
      <c r="B447" s="31" t="s">
        <v>5901</v>
      </c>
      <c r="C447" s="32" t="s">
        <v>2257</v>
      </c>
      <c r="D447" s="33" t="s">
        <v>5897</v>
      </c>
      <c r="E447" s="31" t="s">
        <v>5898</v>
      </c>
      <c r="F447" s="32" t="s">
        <v>5899</v>
      </c>
      <c r="G447" s="32" t="s">
        <v>5900</v>
      </c>
      <c r="H447" s="33" t="s">
        <v>148</v>
      </c>
    </row>
    <row r="448" spans="1:8" ht="14.5" customHeight="1" x14ac:dyDescent="0.3">
      <c r="A448" s="19" t="s">
        <v>7335</v>
      </c>
      <c r="B448" s="19" t="s">
        <v>1417</v>
      </c>
      <c r="C448" s="18" t="s">
        <v>329</v>
      </c>
      <c r="D448" s="20" t="s">
        <v>5904</v>
      </c>
      <c r="E448" s="19" t="s">
        <v>5905</v>
      </c>
      <c r="F448" s="18" t="s">
        <v>330</v>
      </c>
      <c r="G448" s="18" t="s">
        <v>5906</v>
      </c>
      <c r="H448" s="20" t="s">
        <v>148</v>
      </c>
    </row>
    <row r="449" spans="1:8" ht="14.5" customHeight="1" x14ac:dyDescent="0.3">
      <c r="A449" s="31" t="s">
        <v>7502</v>
      </c>
      <c r="B449" s="31" t="s">
        <v>5908</v>
      </c>
      <c r="C449" s="32" t="s">
        <v>3878</v>
      </c>
      <c r="D449" s="33" t="s">
        <v>5907</v>
      </c>
      <c r="E449" s="31" t="s">
        <v>5851</v>
      </c>
      <c r="F449" s="32" t="s">
        <v>4869</v>
      </c>
      <c r="G449" s="32" t="s">
        <v>4870</v>
      </c>
      <c r="H449" s="33" t="s">
        <v>17</v>
      </c>
    </row>
    <row r="450" spans="1:8" ht="14.5" customHeight="1" x14ac:dyDescent="0.3">
      <c r="A450" s="19" t="s">
        <v>7469</v>
      </c>
      <c r="B450" s="19" t="s">
        <v>5913</v>
      </c>
      <c r="C450" s="18" t="s">
        <v>3177</v>
      </c>
      <c r="D450" s="20" t="s">
        <v>5910</v>
      </c>
      <c r="E450" s="19" t="s">
        <v>5911</v>
      </c>
      <c r="F450" s="18" t="s">
        <v>5912</v>
      </c>
      <c r="G450" s="18" t="s">
        <v>42</v>
      </c>
      <c r="H450" s="20" t="s">
        <v>40</v>
      </c>
    </row>
    <row r="451" spans="1:8" ht="14.5" customHeight="1" x14ac:dyDescent="0.3">
      <c r="A451" s="31" t="s">
        <v>7468</v>
      </c>
      <c r="B451" s="31" t="s">
        <v>4909</v>
      </c>
      <c r="C451" s="32" t="s">
        <v>1869</v>
      </c>
      <c r="D451" s="33" t="s">
        <v>5914</v>
      </c>
      <c r="E451" s="31" t="s">
        <v>5915</v>
      </c>
      <c r="F451" s="32" t="s">
        <v>5655</v>
      </c>
      <c r="G451" s="32" t="s">
        <v>38</v>
      </c>
      <c r="H451" s="33" t="s">
        <v>3</v>
      </c>
    </row>
    <row r="452" spans="1:8" ht="14.5" customHeight="1" x14ac:dyDescent="0.3">
      <c r="A452" s="19" t="s">
        <v>7485</v>
      </c>
      <c r="B452" s="19" t="s">
        <v>5920</v>
      </c>
      <c r="C452" s="18" t="s">
        <v>1848</v>
      </c>
      <c r="D452" s="20" t="s">
        <v>5916</v>
      </c>
      <c r="E452" s="19" t="s">
        <v>5917</v>
      </c>
      <c r="F452" s="18" t="s">
        <v>5918</v>
      </c>
      <c r="G452" s="18" t="s">
        <v>5919</v>
      </c>
      <c r="H452" s="20" t="s">
        <v>84</v>
      </c>
    </row>
    <row r="453" spans="1:8" ht="14.5" customHeight="1" x14ac:dyDescent="0.3">
      <c r="A453" s="31" t="s">
        <v>7224</v>
      </c>
      <c r="B453" s="31" t="s">
        <v>1179</v>
      </c>
      <c r="C453" s="32" t="s">
        <v>3051</v>
      </c>
      <c r="D453" s="33" t="s">
        <v>5921</v>
      </c>
      <c r="E453" s="31" t="s">
        <v>5922</v>
      </c>
      <c r="F453" s="32" t="s">
        <v>5923</v>
      </c>
      <c r="G453" s="32" t="s">
        <v>285</v>
      </c>
      <c r="H453" s="33" t="s">
        <v>148</v>
      </c>
    </row>
    <row r="454" spans="1:8" ht="14.5" customHeight="1" x14ac:dyDescent="0.3">
      <c r="A454" s="19" t="s">
        <v>7390</v>
      </c>
      <c r="B454" s="19" t="s">
        <v>530</v>
      </c>
      <c r="C454" s="18" t="s">
        <v>39</v>
      </c>
      <c r="D454" s="20" t="s">
        <v>5924</v>
      </c>
      <c r="E454" s="19" t="s">
        <v>5925</v>
      </c>
      <c r="F454" s="18"/>
      <c r="G454" s="18" t="s">
        <v>42</v>
      </c>
      <c r="H454" s="20" t="s">
        <v>40</v>
      </c>
    </row>
    <row r="455" spans="1:8" ht="14.5" customHeight="1" x14ac:dyDescent="0.3">
      <c r="A455" s="31" t="s">
        <v>7621</v>
      </c>
      <c r="B455" s="31" t="s">
        <v>5929</v>
      </c>
      <c r="C455" s="32" t="s">
        <v>2906</v>
      </c>
      <c r="D455" s="33">
        <v>82999575865</v>
      </c>
      <c r="E455" s="31" t="s">
        <v>5926</v>
      </c>
      <c r="F455" s="32" t="s">
        <v>5927</v>
      </c>
      <c r="G455" s="32" t="s">
        <v>5928</v>
      </c>
      <c r="H455" s="33" t="s">
        <v>3</v>
      </c>
    </row>
    <row r="456" spans="1:8" ht="14.5" customHeight="1" x14ac:dyDescent="0.3">
      <c r="A456" s="19" t="s">
        <v>7401</v>
      </c>
      <c r="B456" s="19" t="s">
        <v>5933</v>
      </c>
      <c r="C456" s="18" t="s">
        <v>2313</v>
      </c>
      <c r="D456" s="20" t="s">
        <v>5930</v>
      </c>
      <c r="E456" s="19" t="s">
        <v>5931</v>
      </c>
      <c r="F456" s="18" t="s">
        <v>5932</v>
      </c>
      <c r="G456" s="18" t="s">
        <v>65</v>
      </c>
      <c r="H456" s="20" t="s">
        <v>64</v>
      </c>
    </row>
    <row r="457" spans="1:8" ht="14.5" customHeight="1" x14ac:dyDescent="0.3">
      <c r="A457" s="31" t="s">
        <v>7413</v>
      </c>
      <c r="B457" s="31" t="s">
        <v>609</v>
      </c>
      <c r="C457" s="32" t="s">
        <v>1875</v>
      </c>
      <c r="D457" s="33" t="s">
        <v>5934</v>
      </c>
      <c r="E457" s="31" t="s">
        <v>5935</v>
      </c>
      <c r="F457" s="32"/>
      <c r="G457" s="32" t="s">
        <v>21</v>
      </c>
      <c r="H457" s="33" t="s">
        <v>17</v>
      </c>
    </row>
    <row r="458" spans="1:8" ht="14.5" customHeight="1" x14ac:dyDescent="0.3">
      <c r="A458" s="19" t="s">
        <v>7466</v>
      </c>
      <c r="B458" s="19" t="s">
        <v>5938</v>
      </c>
      <c r="C458" s="18" t="s">
        <v>5937</v>
      </c>
      <c r="D458" s="20" t="s">
        <v>5936</v>
      </c>
      <c r="E458" s="19" t="s">
        <v>5496</v>
      </c>
      <c r="F458" s="18" t="s">
        <v>5259</v>
      </c>
      <c r="G458" s="18" t="s">
        <v>75</v>
      </c>
      <c r="H458" s="20" t="s">
        <v>74</v>
      </c>
    </row>
    <row r="459" spans="1:8" ht="14.5" customHeight="1" x14ac:dyDescent="0.3">
      <c r="A459" s="31" t="s">
        <v>7330</v>
      </c>
      <c r="B459" s="31" t="s">
        <v>4670</v>
      </c>
      <c r="C459" s="32" t="s">
        <v>2495</v>
      </c>
      <c r="D459" s="33" t="s">
        <v>5939</v>
      </c>
      <c r="E459" s="31" t="s">
        <v>5940</v>
      </c>
      <c r="F459" s="32" t="s">
        <v>5495</v>
      </c>
      <c r="G459" s="32" t="s">
        <v>4572</v>
      </c>
      <c r="H459" s="33" t="s">
        <v>13</v>
      </c>
    </row>
    <row r="460" spans="1:8" ht="14.5" customHeight="1" x14ac:dyDescent="0.3">
      <c r="A460" s="19" t="s">
        <v>7467</v>
      </c>
      <c r="B460" s="19" t="s">
        <v>5944</v>
      </c>
      <c r="C460" s="18" t="s">
        <v>4019</v>
      </c>
      <c r="D460" s="20" t="s">
        <v>5941</v>
      </c>
      <c r="E460" s="19" t="s">
        <v>5942</v>
      </c>
      <c r="F460" s="18" t="s">
        <v>5943</v>
      </c>
      <c r="G460" s="18" t="s">
        <v>4396</v>
      </c>
      <c r="H460" s="20" t="s">
        <v>4393</v>
      </c>
    </row>
    <row r="461" spans="1:8" ht="14.5" customHeight="1" x14ac:dyDescent="0.3">
      <c r="A461" s="31" t="s">
        <v>7225</v>
      </c>
      <c r="B461" s="31" t="s">
        <v>584</v>
      </c>
      <c r="C461" s="32" t="s">
        <v>3014</v>
      </c>
      <c r="D461" s="33" t="s">
        <v>5945</v>
      </c>
      <c r="E461" s="31" t="s">
        <v>5946</v>
      </c>
      <c r="F461" s="32" t="s">
        <v>5947</v>
      </c>
      <c r="G461" s="32" t="s">
        <v>5028</v>
      </c>
      <c r="H461" s="33" t="s">
        <v>60</v>
      </c>
    </row>
    <row r="462" spans="1:8" ht="14.5" customHeight="1" x14ac:dyDescent="0.3">
      <c r="A462" s="19" t="s">
        <v>7383</v>
      </c>
      <c r="B462" s="19" t="s">
        <v>563</v>
      </c>
      <c r="C462" s="18" t="s">
        <v>2470</v>
      </c>
      <c r="D462" s="20" t="s">
        <v>5948</v>
      </c>
      <c r="E462" s="19" t="s">
        <v>5949</v>
      </c>
      <c r="F462" s="18" t="s">
        <v>5950</v>
      </c>
      <c r="G462" s="18" t="s">
        <v>21</v>
      </c>
      <c r="H462" s="20" t="s">
        <v>17</v>
      </c>
    </row>
    <row r="463" spans="1:8" ht="14.5" customHeight="1" x14ac:dyDescent="0.3">
      <c r="A463" s="31" t="s">
        <v>7287</v>
      </c>
      <c r="B463" s="31" t="s">
        <v>668</v>
      </c>
      <c r="C463" s="32" t="s">
        <v>88</v>
      </c>
      <c r="D463" s="33" t="s">
        <v>5955</v>
      </c>
      <c r="E463" s="31" t="s">
        <v>89</v>
      </c>
      <c r="F463" s="32" t="s">
        <v>90</v>
      </c>
      <c r="G463" s="32" t="s">
        <v>75</v>
      </c>
      <c r="H463" s="33" t="s">
        <v>74</v>
      </c>
    </row>
    <row r="464" spans="1:8" ht="14.5" customHeight="1" x14ac:dyDescent="0.3">
      <c r="A464" s="19" t="s">
        <v>7226</v>
      </c>
      <c r="B464" s="19" t="s">
        <v>501</v>
      </c>
      <c r="C464" s="18" t="s">
        <v>3145</v>
      </c>
      <c r="D464" s="20" t="s">
        <v>5956</v>
      </c>
      <c r="E464" s="19" t="s">
        <v>5957</v>
      </c>
      <c r="F464" s="18" t="s">
        <v>5958</v>
      </c>
      <c r="G464" s="18" t="s">
        <v>5959</v>
      </c>
      <c r="H464" s="20" t="s">
        <v>17</v>
      </c>
    </row>
    <row r="465" spans="1:8" ht="14.5" customHeight="1" x14ac:dyDescent="0.3">
      <c r="A465" s="31" t="s">
        <v>7464</v>
      </c>
      <c r="B465" s="31" t="s">
        <v>5967</v>
      </c>
      <c r="C465" s="32" t="s">
        <v>1872</v>
      </c>
      <c r="D465" s="33" t="s">
        <v>5964</v>
      </c>
      <c r="E465" s="31" t="s">
        <v>5965</v>
      </c>
      <c r="F465" s="32" t="s">
        <v>5966</v>
      </c>
      <c r="G465" s="32" t="s">
        <v>75</v>
      </c>
      <c r="H465" s="33" t="s">
        <v>74</v>
      </c>
    </row>
    <row r="466" spans="1:8" ht="14.5" customHeight="1" x14ac:dyDescent="0.3">
      <c r="A466" s="19" t="s">
        <v>7505</v>
      </c>
      <c r="B466" s="19" t="s">
        <v>4509</v>
      </c>
      <c r="C466" s="18" t="s">
        <v>3430</v>
      </c>
      <c r="D466" s="20" t="s">
        <v>5968</v>
      </c>
      <c r="E466" s="19" t="s">
        <v>5969</v>
      </c>
      <c r="F466" s="18" t="s">
        <v>5970</v>
      </c>
      <c r="G466" s="18" t="s">
        <v>4687</v>
      </c>
      <c r="H466" s="20" t="s">
        <v>40</v>
      </c>
    </row>
    <row r="467" spans="1:8" ht="14.5" customHeight="1" x14ac:dyDescent="0.3">
      <c r="A467" s="31" t="s">
        <v>7583</v>
      </c>
      <c r="B467" s="31" t="s">
        <v>5975</v>
      </c>
      <c r="C467" s="32" t="s">
        <v>4036</v>
      </c>
      <c r="D467" s="33" t="s">
        <v>5971</v>
      </c>
      <c r="E467" s="31" t="s">
        <v>5972</v>
      </c>
      <c r="F467" s="32" t="s">
        <v>5973</v>
      </c>
      <c r="G467" s="32" t="s">
        <v>5974</v>
      </c>
      <c r="H467" s="33" t="s">
        <v>4393</v>
      </c>
    </row>
    <row r="468" spans="1:8" ht="14.5" customHeight="1" x14ac:dyDescent="0.3">
      <c r="A468" s="19" t="s">
        <v>7701</v>
      </c>
      <c r="B468" s="19" t="s">
        <v>5978</v>
      </c>
      <c r="C468" s="18" t="s">
        <v>3940</v>
      </c>
      <c r="D468" s="20" t="s">
        <v>5976</v>
      </c>
      <c r="E468" s="19" t="s">
        <v>5977</v>
      </c>
      <c r="F468" s="18" t="s">
        <v>5522</v>
      </c>
      <c r="G468" s="18" t="s">
        <v>75</v>
      </c>
      <c r="H468" s="20" t="s">
        <v>74</v>
      </c>
    </row>
    <row r="469" spans="1:8" ht="14.5" customHeight="1" x14ac:dyDescent="0.3">
      <c r="A469" s="31" t="s">
        <v>7626</v>
      </c>
      <c r="B469" s="31" t="s">
        <v>492</v>
      </c>
      <c r="C469" s="32" t="s">
        <v>43</v>
      </c>
      <c r="D469" s="33" t="s">
        <v>5979</v>
      </c>
      <c r="E469" s="31" t="s">
        <v>44</v>
      </c>
      <c r="F469" s="32"/>
      <c r="G469" s="32" t="s">
        <v>5157</v>
      </c>
      <c r="H469" s="33" t="s">
        <v>13</v>
      </c>
    </row>
    <row r="470" spans="1:8" ht="14.5" customHeight="1" x14ac:dyDescent="0.3">
      <c r="A470" s="19" t="s">
        <v>7415</v>
      </c>
      <c r="B470" s="19" t="s">
        <v>1246</v>
      </c>
      <c r="C470" s="18" t="s">
        <v>269</v>
      </c>
      <c r="D470" s="20">
        <v>21992600720</v>
      </c>
      <c r="E470" s="19" t="s">
        <v>5980</v>
      </c>
      <c r="F470" s="18" t="s">
        <v>271</v>
      </c>
      <c r="G470" s="18" t="s">
        <v>21</v>
      </c>
      <c r="H470" s="20" t="s">
        <v>17</v>
      </c>
    </row>
    <row r="471" spans="1:8" ht="14.5" customHeight="1" x14ac:dyDescent="0.3">
      <c r="A471" s="31" t="s">
        <v>7471</v>
      </c>
      <c r="B471" s="31" t="s">
        <v>5756</v>
      </c>
      <c r="C471" s="32" t="s">
        <v>3134</v>
      </c>
      <c r="D471" s="33" t="s">
        <v>5981</v>
      </c>
      <c r="E471" s="31" t="s">
        <v>5982</v>
      </c>
      <c r="F471" s="32" t="s">
        <v>5983</v>
      </c>
      <c r="G471" s="32" t="s">
        <v>4875</v>
      </c>
      <c r="H471" s="33" t="s">
        <v>17</v>
      </c>
    </row>
    <row r="472" spans="1:8" ht="14.5" customHeight="1" x14ac:dyDescent="0.3">
      <c r="A472" s="19" t="s">
        <v>7490</v>
      </c>
      <c r="B472" s="19" t="s">
        <v>5987</v>
      </c>
      <c r="C472" s="18" t="s">
        <v>2183</v>
      </c>
      <c r="D472" s="20" t="s">
        <v>5984</v>
      </c>
      <c r="E472" s="19" t="s">
        <v>5985</v>
      </c>
      <c r="F472" s="18" t="s">
        <v>5986</v>
      </c>
      <c r="G472" s="18" t="s">
        <v>38</v>
      </c>
      <c r="H472" s="20" t="s">
        <v>3</v>
      </c>
    </row>
    <row r="473" spans="1:8" ht="14.5" customHeight="1" x14ac:dyDescent="0.3">
      <c r="A473" s="31" t="s">
        <v>7437</v>
      </c>
      <c r="B473" s="31" t="s">
        <v>837</v>
      </c>
      <c r="C473" s="32" t="s">
        <v>839</v>
      </c>
      <c r="D473" s="33"/>
      <c r="E473" s="31" t="s">
        <v>5988</v>
      </c>
      <c r="F473" s="32"/>
      <c r="G473" s="32" t="s">
        <v>75</v>
      </c>
      <c r="H473" s="33" t="s">
        <v>74</v>
      </c>
    </row>
    <row r="474" spans="1:8" ht="14.5" customHeight="1" x14ac:dyDescent="0.3">
      <c r="A474" s="19" t="s">
        <v>7517</v>
      </c>
      <c r="B474" s="19" t="s">
        <v>501</v>
      </c>
      <c r="C474" s="18" t="s">
        <v>3482</v>
      </c>
      <c r="D474" s="20" t="s">
        <v>5989</v>
      </c>
      <c r="E474" s="19" t="s">
        <v>5990</v>
      </c>
      <c r="F474" s="18" t="s">
        <v>5991</v>
      </c>
      <c r="G474" s="18" t="s">
        <v>5992</v>
      </c>
      <c r="H474" s="20" t="s">
        <v>3</v>
      </c>
    </row>
    <row r="475" spans="1:8" ht="14.5" customHeight="1" x14ac:dyDescent="0.3">
      <c r="A475" s="31" t="s">
        <v>7503</v>
      </c>
      <c r="B475" s="31" t="s">
        <v>5995</v>
      </c>
      <c r="C475" s="32" t="s">
        <v>3300</v>
      </c>
      <c r="D475" s="33" t="s">
        <v>5993</v>
      </c>
      <c r="E475" s="31" t="s">
        <v>1206</v>
      </c>
      <c r="F475" s="32" t="s">
        <v>5994</v>
      </c>
      <c r="G475" s="32" t="s">
        <v>192</v>
      </c>
      <c r="H475" s="33" t="s">
        <v>13</v>
      </c>
    </row>
    <row r="476" spans="1:8" ht="14.5" customHeight="1" x14ac:dyDescent="0.3">
      <c r="A476" s="19" t="s">
        <v>7421</v>
      </c>
      <c r="B476" s="19" t="s">
        <v>1189</v>
      </c>
      <c r="C476" s="18" t="s">
        <v>238</v>
      </c>
      <c r="D476" s="20" t="s">
        <v>239</v>
      </c>
      <c r="E476" s="19" t="s">
        <v>5996</v>
      </c>
      <c r="F476" s="18" t="s">
        <v>240</v>
      </c>
      <c r="G476" s="18" t="s">
        <v>241</v>
      </c>
      <c r="H476" s="20" t="s">
        <v>9</v>
      </c>
    </row>
    <row r="477" spans="1:8" ht="14.5" customHeight="1" x14ac:dyDescent="0.3">
      <c r="A477" s="31" t="s">
        <v>7506</v>
      </c>
      <c r="B477" s="31" t="s">
        <v>6000</v>
      </c>
      <c r="C477" s="32" t="s">
        <v>3088</v>
      </c>
      <c r="D477" s="33" t="s">
        <v>5997</v>
      </c>
      <c r="E477" s="31" t="s">
        <v>5998</v>
      </c>
      <c r="F477" s="32" t="s">
        <v>5186</v>
      </c>
      <c r="G477" s="32" t="s">
        <v>5999</v>
      </c>
      <c r="H477" s="33" t="s">
        <v>32</v>
      </c>
    </row>
    <row r="478" spans="1:8" ht="14.5" customHeight="1" x14ac:dyDescent="0.3">
      <c r="A478" s="19" t="s">
        <v>7528</v>
      </c>
      <c r="B478" s="19" t="s">
        <v>821</v>
      </c>
      <c r="C478" s="18" t="s">
        <v>2129</v>
      </c>
      <c r="D478" s="20" t="s">
        <v>6001</v>
      </c>
      <c r="E478" s="19" t="s">
        <v>6002</v>
      </c>
      <c r="F478" s="18" t="s">
        <v>6003</v>
      </c>
      <c r="G478" s="18" t="s">
        <v>21</v>
      </c>
      <c r="H478" s="20" t="s">
        <v>17</v>
      </c>
    </row>
    <row r="479" spans="1:8" ht="14.5" customHeight="1" x14ac:dyDescent="0.3">
      <c r="A479" s="31" t="s">
        <v>7549</v>
      </c>
      <c r="B479" s="31" t="s">
        <v>4756</v>
      </c>
      <c r="C479" s="32" t="s">
        <v>4177</v>
      </c>
      <c r="D479" s="33" t="s">
        <v>6006</v>
      </c>
      <c r="E479" s="31" t="s">
        <v>6007</v>
      </c>
      <c r="F479" s="32" t="s">
        <v>6008</v>
      </c>
      <c r="G479" s="32" t="s">
        <v>11</v>
      </c>
      <c r="H479" s="33" t="s">
        <v>9</v>
      </c>
    </row>
    <row r="480" spans="1:8" ht="14.5" customHeight="1" x14ac:dyDescent="0.3">
      <c r="A480" s="19" t="s">
        <v>7587</v>
      </c>
      <c r="B480" s="19" t="s">
        <v>915</v>
      </c>
      <c r="C480" s="18" t="s">
        <v>3943</v>
      </c>
      <c r="D480" s="20" t="s">
        <v>6009</v>
      </c>
      <c r="E480" s="19" t="s">
        <v>6010</v>
      </c>
      <c r="F480" s="18" t="s">
        <v>6011</v>
      </c>
      <c r="G480" s="18" t="s">
        <v>75</v>
      </c>
      <c r="H480" s="20" t="s">
        <v>74</v>
      </c>
    </row>
    <row r="481" spans="1:8" ht="14.5" customHeight="1" x14ac:dyDescent="0.3">
      <c r="A481" s="31" t="s">
        <v>7470</v>
      </c>
      <c r="B481" s="31" t="s">
        <v>4740</v>
      </c>
      <c r="C481" s="32" t="s">
        <v>2517</v>
      </c>
      <c r="D481" s="33" t="s">
        <v>6004</v>
      </c>
      <c r="E481" s="31" t="s">
        <v>6005</v>
      </c>
      <c r="F481" s="32" t="s">
        <v>4739</v>
      </c>
      <c r="G481" s="32" t="s">
        <v>11</v>
      </c>
      <c r="H481" s="33" t="s">
        <v>9</v>
      </c>
    </row>
    <row r="482" spans="1:8" ht="14.5" customHeight="1" x14ac:dyDescent="0.3">
      <c r="A482" s="19" t="s">
        <v>7507</v>
      </c>
      <c r="B482" s="19" t="s">
        <v>6020</v>
      </c>
      <c r="C482" s="18" t="s">
        <v>4003</v>
      </c>
      <c r="D482" s="20" t="s">
        <v>6017</v>
      </c>
      <c r="E482" s="19" t="s">
        <v>6018</v>
      </c>
      <c r="F482" s="18" t="s">
        <v>6019</v>
      </c>
      <c r="G482" s="18" t="s">
        <v>38</v>
      </c>
      <c r="H482" s="20" t="s">
        <v>3</v>
      </c>
    </row>
    <row r="483" spans="1:8" ht="14.5" customHeight="1" x14ac:dyDescent="0.3">
      <c r="A483" s="31" t="s">
        <v>7508</v>
      </c>
      <c r="B483" s="31" t="s">
        <v>6016</v>
      </c>
      <c r="C483" s="32" t="s">
        <v>2899</v>
      </c>
      <c r="D483" s="33" t="s">
        <v>6013</v>
      </c>
      <c r="E483" s="31" t="s">
        <v>6014</v>
      </c>
      <c r="F483" s="32" t="s">
        <v>103</v>
      </c>
      <c r="G483" s="32" t="s">
        <v>6015</v>
      </c>
      <c r="H483" s="33" t="s">
        <v>3</v>
      </c>
    </row>
    <row r="484" spans="1:8" ht="14.5" customHeight="1" x14ac:dyDescent="0.3">
      <c r="A484" s="19" t="s">
        <v>7554</v>
      </c>
      <c r="B484" s="19" t="s">
        <v>6025</v>
      </c>
      <c r="C484" s="18" t="s">
        <v>6022</v>
      </c>
      <c r="D484" s="20" t="s">
        <v>6021</v>
      </c>
      <c r="E484" s="19" t="s">
        <v>6023</v>
      </c>
      <c r="F484" s="18" t="s">
        <v>6024</v>
      </c>
      <c r="G484" s="18" t="s">
        <v>75</v>
      </c>
      <c r="H484" s="20" t="s">
        <v>74</v>
      </c>
    </row>
    <row r="485" spans="1:8" ht="14.5" customHeight="1" x14ac:dyDescent="0.3">
      <c r="A485" s="31" t="s">
        <v>7475</v>
      </c>
      <c r="B485" s="31" t="s">
        <v>6029</v>
      </c>
      <c r="C485" s="32" t="s">
        <v>1696</v>
      </c>
      <c r="D485" s="33" t="s">
        <v>6026</v>
      </c>
      <c r="E485" s="31" t="s">
        <v>6027</v>
      </c>
      <c r="F485" s="32" t="s">
        <v>6028</v>
      </c>
      <c r="G485" s="32" t="s">
        <v>5788</v>
      </c>
      <c r="H485" s="33" t="s">
        <v>17</v>
      </c>
    </row>
    <row r="486" spans="1:8" ht="14.5" customHeight="1" x14ac:dyDescent="0.3">
      <c r="A486" s="19" t="s">
        <v>7227</v>
      </c>
      <c r="B486" s="19" t="s">
        <v>6034</v>
      </c>
      <c r="C486" s="18" t="s">
        <v>3961</v>
      </c>
      <c r="D486" s="20" t="s">
        <v>6030</v>
      </c>
      <c r="E486" s="19" t="s">
        <v>6031</v>
      </c>
      <c r="F486" s="18" t="s">
        <v>6032</v>
      </c>
      <c r="G486" s="18" t="s">
        <v>6033</v>
      </c>
      <c r="H486" s="20" t="s">
        <v>74</v>
      </c>
    </row>
    <row r="487" spans="1:8" ht="14.5" customHeight="1" x14ac:dyDescent="0.3">
      <c r="A487" s="31" t="s">
        <v>7228</v>
      </c>
      <c r="B487" s="31" t="s">
        <v>1199</v>
      </c>
      <c r="C487" s="32" t="s">
        <v>251</v>
      </c>
      <c r="D487" s="33" t="s">
        <v>6035</v>
      </c>
      <c r="E487" s="31" t="s">
        <v>253</v>
      </c>
      <c r="F487" s="32" t="s">
        <v>254</v>
      </c>
      <c r="G487" s="32" t="s">
        <v>255</v>
      </c>
      <c r="H487" s="33" t="s">
        <v>252</v>
      </c>
    </row>
    <row r="488" spans="1:8" ht="14.5" customHeight="1" x14ac:dyDescent="0.3">
      <c r="A488" s="19" t="s">
        <v>7229</v>
      </c>
      <c r="B488" s="19" t="s">
        <v>563</v>
      </c>
      <c r="C488" s="18" t="s">
        <v>186</v>
      </c>
      <c r="D488" s="20">
        <v>61986352313</v>
      </c>
      <c r="E488" s="19" t="s">
        <v>6046</v>
      </c>
      <c r="F488" s="18" t="s">
        <v>188</v>
      </c>
      <c r="G488" s="18" t="s">
        <v>4323</v>
      </c>
      <c r="H488" s="20" t="s">
        <v>74</v>
      </c>
    </row>
    <row r="489" spans="1:8" ht="14.5" customHeight="1" x14ac:dyDescent="0.3">
      <c r="A489" s="31" t="s">
        <v>7430</v>
      </c>
      <c r="B489" s="31" t="s">
        <v>6038</v>
      </c>
      <c r="C489" s="32" t="s">
        <v>3592</v>
      </c>
      <c r="D489" s="33" t="s">
        <v>6036</v>
      </c>
      <c r="E489" s="31" t="s">
        <v>6037</v>
      </c>
      <c r="F489" s="32" t="s">
        <v>4474</v>
      </c>
      <c r="G489" s="32" t="s">
        <v>42</v>
      </c>
      <c r="H489" s="33" t="s">
        <v>40</v>
      </c>
    </row>
    <row r="490" spans="1:8" ht="14.5" customHeight="1" x14ac:dyDescent="0.3">
      <c r="A490" s="19" t="s">
        <v>7431</v>
      </c>
      <c r="B490" s="19" t="s">
        <v>6042</v>
      </c>
      <c r="C490" s="18" t="s">
        <v>3155</v>
      </c>
      <c r="D490" s="20" t="s">
        <v>6039</v>
      </c>
      <c r="E490" s="19" t="s">
        <v>6040</v>
      </c>
      <c r="F490" s="18" t="s">
        <v>6041</v>
      </c>
      <c r="G490" s="18" t="s">
        <v>42</v>
      </c>
      <c r="H490" s="20" t="s">
        <v>40</v>
      </c>
    </row>
    <row r="491" spans="1:8" ht="14.5" customHeight="1" x14ac:dyDescent="0.3">
      <c r="A491" s="31" t="s">
        <v>7433</v>
      </c>
      <c r="B491" s="31" t="s">
        <v>5582</v>
      </c>
      <c r="C491" s="32" t="s">
        <v>3958</v>
      </c>
      <c r="D491" s="33" t="s">
        <v>6044</v>
      </c>
      <c r="E491" s="31" t="s">
        <v>4548</v>
      </c>
      <c r="F491" s="32" t="s">
        <v>6045</v>
      </c>
      <c r="G491" s="32" t="s">
        <v>42</v>
      </c>
      <c r="H491" s="33" t="s">
        <v>40</v>
      </c>
    </row>
    <row r="492" spans="1:8" ht="14.5" customHeight="1" x14ac:dyDescent="0.3">
      <c r="A492" s="19" t="s">
        <v>7230</v>
      </c>
      <c r="B492" s="19" t="s">
        <v>6050</v>
      </c>
      <c r="C492" s="18" t="s">
        <v>2113</v>
      </c>
      <c r="D492" s="20" t="s">
        <v>6047</v>
      </c>
      <c r="E492" s="19" t="s">
        <v>6048</v>
      </c>
      <c r="F492" s="18" t="s">
        <v>6049</v>
      </c>
      <c r="G492" s="18" t="s">
        <v>4692</v>
      </c>
      <c r="H492" s="20" t="s">
        <v>32</v>
      </c>
    </row>
    <row r="493" spans="1:8" ht="14.5" customHeight="1" x14ac:dyDescent="0.3">
      <c r="A493" s="31" t="s">
        <v>7426</v>
      </c>
      <c r="B493" s="31" t="s">
        <v>6053</v>
      </c>
      <c r="C493" s="32" t="s">
        <v>2493</v>
      </c>
      <c r="D493" s="33" t="s">
        <v>6051</v>
      </c>
      <c r="E493" s="31">
        <v>412</v>
      </c>
      <c r="F493" s="32" t="s">
        <v>6052</v>
      </c>
      <c r="G493" s="32" t="s">
        <v>75</v>
      </c>
      <c r="H493" s="33" t="s">
        <v>74</v>
      </c>
    </row>
    <row r="494" spans="1:8" ht="14.5" customHeight="1" x14ac:dyDescent="0.3">
      <c r="A494" s="19" t="s">
        <v>7428</v>
      </c>
      <c r="B494" s="19" t="s">
        <v>4651</v>
      </c>
      <c r="C494" s="18" t="s">
        <v>303</v>
      </c>
      <c r="D494" s="20" t="s">
        <v>6054</v>
      </c>
      <c r="E494" s="19" t="s">
        <v>304</v>
      </c>
      <c r="F494" s="18" t="s">
        <v>305</v>
      </c>
      <c r="G494" s="18" t="s">
        <v>285</v>
      </c>
      <c r="H494" s="20" t="s">
        <v>148</v>
      </c>
    </row>
    <row r="495" spans="1:8" ht="14.5" customHeight="1" x14ac:dyDescent="0.3">
      <c r="A495" s="31" t="s">
        <v>7427</v>
      </c>
      <c r="B495" s="31" t="s">
        <v>798</v>
      </c>
      <c r="C495" s="32" t="s">
        <v>140</v>
      </c>
      <c r="D495" s="33" t="s">
        <v>6055</v>
      </c>
      <c r="E495" s="31" t="s">
        <v>141</v>
      </c>
      <c r="F495" s="32"/>
      <c r="G495" s="32" t="s">
        <v>11</v>
      </c>
      <c r="H495" s="33" t="s">
        <v>9</v>
      </c>
    </row>
    <row r="496" spans="1:8" ht="14.5" customHeight="1" x14ac:dyDescent="0.3">
      <c r="A496" s="19" t="s">
        <v>7476</v>
      </c>
      <c r="B496" s="19" t="s">
        <v>4676</v>
      </c>
      <c r="C496" s="18" t="s">
        <v>3398</v>
      </c>
      <c r="D496" s="20" t="s">
        <v>6056</v>
      </c>
      <c r="E496" s="19" t="s">
        <v>6057</v>
      </c>
      <c r="F496" s="18" t="s">
        <v>198</v>
      </c>
      <c r="G496" s="18" t="s">
        <v>302</v>
      </c>
      <c r="H496" s="20" t="s">
        <v>196</v>
      </c>
    </row>
    <row r="497" spans="1:8" ht="14.5" customHeight="1" x14ac:dyDescent="0.3">
      <c r="A497" s="31" t="s">
        <v>7453</v>
      </c>
      <c r="B497" s="31" t="s">
        <v>501</v>
      </c>
      <c r="C497" s="32" t="s">
        <v>1882</v>
      </c>
      <c r="D497" s="33" t="s">
        <v>6058</v>
      </c>
      <c r="E497" s="31" t="s">
        <v>6059</v>
      </c>
      <c r="F497" s="32" t="s">
        <v>6060</v>
      </c>
      <c r="G497" s="32" t="s">
        <v>5038</v>
      </c>
      <c r="H497" s="33" t="s">
        <v>13</v>
      </c>
    </row>
    <row r="498" spans="1:8" ht="14.5" customHeight="1" x14ac:dyDescent="0.3">
      <c r="A498" s="19" t="s">
        <v>7231</v>
      </c>
      <c r="B498" s="19" t="s">
        <v>6064</v>
      </c>
      <c r="C498" s="18" t="s">
        <v>3167</v>
      </c>
      <c r="D498" s="20" t="s">
        <v>6061</v>
      </c>
      <c r="E498" s="19" t="s">
        <v>6062</v>
      </c>
      <c r="F498" s="18" t="s">
        <v>6063</v>
      </c>
      <c r="G498" s="18" t="s">
        <v>230</v>
      </c>
      <c r="H498" s="20" t="s">
        <v>60</v>
      </c>
    </row>
    <row r="499" spans="1:8" ht="14.5" customHeight="1" x14ac:dyDescent="0.3">
      <c r="A499" s="31" t="s">
        <v>7232</v>
      </c>
      <c r="B499" s="31" t="s">
        <v>6068</v>
      </c>
      <c r="C499" s="32" t="s">
        <v>3161</v>
      </c>
      <c r="D499" s="33" t="s">
        <v>6065</v>
      </c>
      <c r="E499" s="31" t="s">
        <v>6066</v>
      </c>
      <c r="F499" s="32" t="s">
        <v>6067</v>
      </c>
      <c r="G499" s="32" t="s">
        <v>42</v>
      </c>
      <c r="H499" s="33" t="s">
        <v>40</v>
      </c>
    </row>
    <row r="500" spans="1:8" ht="14.5" customHeight="1" x14ac:dyDescent="0.3">
      <c r="A500" s="19" t="s">
        <v>7767</v>
      </c>
      <c r="B500" s="19" t="s">
        <v>4291</v>
      </c>
      <c r="C500" s="18" t="s">
        <v>2819</v>
      </c>
      <c r="D500" s="20" t="s">
        <v>6070</v>
      </c>
      <c r="E500" s="19" t="s">
        <v>6071</v>
      </c>
      <c r="F500" s="18" t="s">
        <v>6072</v>
      </c>
      <c r="G500" s="18" t="s">
        <v>4514</v>
      </c>
      <c r="H500" s="20" t="s">
        <v>4511</v>
      </c>
    </row>
    <row r="501" spans="1:8" ht="14.5" customHeight="1" x14ac:dyDescent="0.3">
      <c r="A501" s="31" t="s">
        <v>7454</v>
      </c>
      <c r="B501" s="31" t="s">
        <v>4521</v>
      </c>
      <c r="C501" s="32" t="s">
        <v>1909</v>
      </c>
      <c r="D501" s="33" t="s">
        <v>6073</v>
      </c>
      <c r="E501" s="31" t="s">
        <v>6074</v>
      </c>
      <c r="F501" s="32" t="s">
        <v>6075</v>
      </c>
      <c r="G501" s="32" t="s">
        <v>6076</v>
      </c>
      <c r="H501" s="33" t="s">
        <v>17</v>
      </c>
    </row>
    <row r="502" spans="1:8" ht="14.5" customHeight="1" x14ac:dyDescent="0.3">
      <c r="A502" s="19" t="s">
        <v>7408</v>
      </c>
      <c r="B502" s="19" t="s">
        <v>889</v>
      </c>
      <c r="C502" s="18" t="s">
        <v>891</v>
      </c>
      <c r="D502" s="20" t="s">
        <v>6077</v>
      </c>
      <c r="E502" s="19" t="s">
        <v>117</v>
      </c>
      <c r="F502" s="18"/>
      <c r="G502" s="18" t="s">
        <v>118</v>
      </c>
      <c r="H502" s="20" t="s">
        <v>17</v>
      </c>
    </row>
    <row r="503" spans="1:8" ht="14.5" customHeight="1" x14ac:dyDescent="0.3">
      <c r="A503" s="31" t="s">
        <v>7443</v>
      </c>
      <c r="B503" s="31" t="s">
        <v>4676</v>
      </c>
      <c r="C503" s="32" t="s">
        <v>142</v>
      </c>
      <c r="D503" s="33" t="s">
        <v>6078</v>
      </c>
      <c r="E503" s="31" t="s">
        <v>6079</v>
      </c>
      <c r="F503" s="32"/>
      <c r="G503" s="32" t="s">
        <v>143</v>
      </c>
      <c r="H503" s="33" t="s">
        <v>32</v>
      </c>
    </row>
    <row r="504" spans="1:8" ht="14.5" customHeight="1" x14ac:dyDescent="0.3">
      <c r="A504" s="19" t="s">
        <v>7444</v>
      </c>
      <c r="B504" s="19" t="s">
        <v>1328</v>
      </c>
      <c r="C504" s="18" t="s">
        <v>1657</v>
      </c>
      <c r="D504" s="20" t="s">
        <v>6080</v>
      </c>
      <c r="E504" s="19" t="s">
        <v>6081</v>
      </c>
      <c r="F504" s="18" t="s">
        <v>5902</v>
      </c>
      <c r="G504" s="18" t="s">
        <v>302</v>
      </c>
      <c r="H504" s="20" t="s">
        <v>196</v>
      </c>
    </row>
    <row r="505" spans="1:8" ht="14.5" customHeight="1" x14ac:dyDescent="0.3">
      <c r="A505" s="31" t="s">
        <v>7446</v>
      </c>
      <c r="B505" s="31" t="s">
        <v>4828</v>
      </c>
      <c r="C505" s="32" t="s">
        <v>3732</v>
      </c>
      <c r="D505" s="33" t="s">
        <v>6082</v>
      </c>
      <c r="E505" s="31" t="s">
        <v>6083</v>
      </c>
      <c r="F505" s="32" t="s">
        <v>4989</v>
      </c>
      <c r="G505" s="32" t="s">
        <v>11</v>
      </c>
      <c r="H505" s="33" t="s">
        <v>9</v>
      </c>
    </row>
    <row r="506" spans="1:8" ht="14.5" customHeight="1" x14ac:dyDescent="0.3">
      <c r="A506" s="19" t="s">
        <v>7637</v>
      </c>
      <c r="B506" s="19" t="s">
        <v>6089</v>
      </c>
      <c r="C506" s="18" t="s">
        <v>2195</v>
      </c>
      <c r="D506" s="20" t="s">
        <v>6085</v>
      </c>
      <c r="E506" s="19" t="s">
        <v>6086</v>
      </c>
      <c r="F506" s="18" t="s">
        <v>6087</v>
      </c>
      <c r="G506" s="18" t="s">
        <v>6088</v>
      </c>
      <c r="H506" s="20" t="s">
        <v>17</v>
      </c>
    </row>
    <row r="507" spans="1:8" ht="14.5" customHeight="1" x14ac:dyDescent="0.3">
      <c r="A507" s="31" t="s">
        <v>7282</v>
      </c>
      <c r="B507" s="31" t="s">
        <v>6092</v>
      </c>
      <c r="C507" s="32" t="s">
        <v>1756</v>
      </c>
      <c r="D507" s="33" t="s">
        <v>6090</v>
      </c>
      <c r="E507" s="31" t="s">
        <v>6091</v>
      </c>
      <c r="F507" s="32" t="s">
        <v>103</v>
      </c>
      <c r="G507" s="32" t="s">
        <v>11</v>
      </c>
      <c r="H507" s="33" t="s">
        <v>9</v>
      </c>
    </row>
    <row r="508" spans="1:8" ht="14.5" customHeight="1" x14ac:dyDescent="0.3">
      <c r="A508" s="19" t="s">
        <v>7233</v>
      </c>
      <c r="B508" s="19" t="s">
        <v>6095</v>
      </c>
      <c r="C508" s="18" t="s">
        <v>3282</v>
      </c>
      <c r="D508" s="20" t="s">
        <v>6093</v>
      </c>
      <c r="E508" s="19" t="s">
        <v>6094</v>
      </c>
      <c r="F508" s="18" t="s">
        <v>6008</v>
      </c>
      <c r="G508" s="18" t="s">
        <v>11</v>
      </c>
      <c r="H508" s="20" t="s">
        <v>9</v>
      </c>
    </row>
    <row r="509" spans="1:8" ht="14.5" customHeight="1" x14ac:dyDescent="0.3">
      <c r="A509" s="31" t="s">
        <v>7450</v>
      </c>
      <c r="B509" s="31" t="s">
        <v>630</v>
      </c>
      <c r="C509" s="32" t="s">
        <v>632</v>
      </c>
      <c r="D509" s="33" t="s">
        <v>6096</v>
      </c>
      <c r="E509" s="31" t="s">
        <v>6097</v>
      </c>
      <c r="F509" s="32"/>
      <c r="G509" s="32" t="s">
        <v>61</v>
      </c>
      <c r="H509" s="33" t="s">
        <v>60</v>
      </c>
    </row>
    <row r="510" spans="1:8" ht="14.5" customHeight="1" x14ac:dyDescent="0.3">
      <c r="A510" s="19" t="s">
        <v>7754</v>
      </c>
      <c r="B510" s="19" t="s">
        <v>584</v>
      </c>
      <c r="C510" s="18" t="s">
        <v>67</v>
      </c>
      <c r="D510" s="20" t="s">
        <v>68</v>
      </c>
      <c r="E510" s="19" t="s">
        <v>6098</v>
      </c>
      <c r="F510" s="18" t="s">
        <v>6099</v>
      </c>
      <c r="G510" s="18" t="s">
        <v>4870</v>
      </c>
      <c r="H510" s="20" t="s">
        <v>17</v>
      </c>
    </row>
    <row r="511" spans="1:8" ht="14.5" customHeight="1" x14ac:dyDescent="0.3">
      <c r="A511" s="31" t="s">
        <v>7753</v>
      </c>
      <c r="B511" s="31" t="s">
        <v>6102</v>
      </c>
      <c r="C511" s="32" t="s">
        <v>862</v>
      </c>
      <c r="D511" s="33" t="s">
        <v>6100</v>
      </c>
      <c r="E511" s="31" t="s">
        <v>69</v>
      </c>
      <c r="F511" s="32" t="s">
        <v>6101</v>
      </c>
      <c r="G511" s="32" t="s">
        <v>70</v>
      </c>
      <c r="H511" s="33" t="s">
        <v>17</v>
      </c>
    </row>
    <row r="512" spans="1:8" ht="14.5" customHeight="1" x14ac:dyDescent="0.3">
      <c r="A512" s="19" t="s">
        <v>7559</v>
      </c>
      <c r="B512" s="19" t="s">
        <v>4651</v>
      </c>
      <c r="C512" s="18" t="s">
        <v>2455</v>
      </c>
      <c r="D512" s="20" t="s">
        <v>6103</v>
      </c>
      <c r="E512" s="19" t="s">
        <v>6104</v>
      </c>
      <c r="F512" s="18" t="s">
        <v>6105</v>
      </c>
      <c r="G512" s="18" t="s">
        <v>11</v>
      </c>
      <c r="H512" s="20" t="s">
        <v>9</v>
      </c>
    </row>
    <row r="513" spans="1:8" ht="14.5" customHeight="1" x14ac:dyDescent="0.3">
      <c r="A513" s="31" t="s">
        <v>7650</v>
      </c>
      <c r="B513" s="31" t="s">
        <v>6109</v>
      </c>
      <c r="C513" s="32" t="s">
        <v>3169</v>
      </c>
      <c r="D513" s="33" t="s">
        <v>6106</v>
      </c>
      <c r="E513" s="31" t="s">
        <v>6107</v>
      </c>
      <c r="F513" s="32" t="s">
        <v>6108</v>
      </c>
      <c r="G513" s="32" t="s">
        <v>159</v>
      </c>
      <c r="H513" s="33" t="s">
        <v>9</v>
      </c>
    </row>
    <row r="514" spans="1:8" ht="14.5" customHeight="1" x14ac:dyDescent="0.3">
      <c r="A514" s="19" t="s">
        <v>7455</v>
      </c>
      <c r="B514" s="19" t="s">
        <v>456</v>
      </c>
      <c r="C514" s="18" t="s">
        <v>1718</v>
      </c>
      <c r="D514" s="20" t="s">
        <v>6110</v>
      </c>
      <c r="E514" s="19" t="s">
        <v>6111</v>
      </c>
      <c r="F514" s="18" t="s">
        <v>4</v>
      </c>
      <c r="G514" s="18" t="s">
        <v>6112</v>
      </c>
      <c r="H514" s="20" t="s">
        <v>3</v>
      </c>
    </row>
    <row r="515" spans="1:8" ht="14.5" customHeight="1" x14ac:dyDescent="0.3">
      <c r="A515" s="31" t="s">
        <v>7513</v>
      </c>
      <c r="B515" s="31" t="s">
        <v>6116</v>
      </c>
      <c r="C515" s="32" t="s">
        <v>3627</v>
      </c>
      <c r="D515" s="33" t="s">
        <v>6113</v>
      </c>
      <c r="E515" s="31" t="s">
        <v>6114</v>
      </c>
      <c r="F515" s="32" t="s">
        <v>6115</v>
      </c>
      <c r="G515" s="32" t="s">
        <v>169</v>
      </c>
      <c r="H515" s="33" t="s">
        <v>9</v>
      </c>
    </row>
    <row r="516" spans="1:8" ht="14.5" customHeight="1" x14ac:dyDescent="0.3">
      <c r="A516" s="19" t="s">
        <v>7460</v>
      </c>
      <c r="B516" s="19" t="s">
        <v>1115</v>
      </c>
      <c r="C516" s="18" t="s">
        <v>1709</v>
      </c>
      <c r="D516" s="20" t="s">
        <v>6117</v>
      </c>
      <c r="E516" s="19" t="s">
        <v>6118</v>
      </c>
      <c r="F516" s="18" t="s">
        <v>200</v>
      </c>
      <c r="G516" s="18" t="s">
        <v>30</v>
      </c>
      <c r="H516" s="20" t="s">
        <v>13</v>
      </c>
    </row>
    <row r="517" spans="1:8" ht="14.5" customHeight="1" x14ac:dyDescent="0.3">
      <c r="A517" s="31" t="s">
        <v>7460</v>
      </c>
      <c r="B517" s="31" t="s">
        <v>6119</v>
      </c>
      <c r="C517" s="32" t="s">
        <v>1709</v>
      </c>
      <c r="D517" s="33">
        <v>3134934369</v>
      </c>
      <c r="E517" s="31" t="s">
        <v>6118</v>
      </c>
      <c r="F517" s="32" t="s">
        <v>200</v>
      </c>
      <c r="G517" s="32" t="s">
        <v>30</v>
      </c>
      <c r="H517" s="33" t="s">
        <v>13</v>
      </c>
    </row>
    <row r="518" spans="1:8" ht="14.5" customHeight="1" x14ac:dyDescent="0.3">
      <c r="A518" s="19" t="s">
        <v>7514</v>
      </c>
      <c r="B518" s="19" t="s">
        <v>6123</v>
      </c>
      <c r="C518" s="18" t="s">
        <v>3366</v>
      </c>
      <c r="D518" s="20" t="s">
        <v>6120</v>
      </c>
      <c r="E518" s="19" t="s">
        <v>6121</v>
      </c>
      <c r="F518" s="18" t="s">
        <v>6122</v>
      </c>
      <c r="G518" s="18" t="s">
        <v>241</v>
      </c>
      <c r="H518" s="20" t="s">
        <v>9</v>
      </c>
    </row>
    <row r="519" spans="1:8" ht="14.5" customHeight="1" x14ac:dyDescent="0.3">
      <c r="A519" s="31" t="s">
        <v>7516</v>
      </c>
      <c r="B519" s="31" t="s">
        <v>6127</v>
      </c>
      <c r="C519" s="32" t="s">
        <v>3704</v>
      </c>
      <c r="D519" s="33" t="s">
        <v>6124</v>
      </c>
      <c r="E519" s="31" t="s">
        <v>6125</v>
      </c>
      <c r="F519" s="32" t="s">
        <v>6126</v>
      </c>
      <c r="G519" s="32" t="s">
        <v>21</v>
      </c>
      <c r="H519" s="33" t="s">
        <v>17</v>
      </c>
    </row>
    <row r="520" spans="1:8" ht="14.5" customHeight="1" x14ac:dyDescent="0.3">
      <c r="A520" s="19" t="s">
        <v>7234</v>
      </c>
      <c r="B520" s="19" t="s">
        <v>5415</v>
      </c>
      <c r="C520" s="18" t="s">
        <v>3952</v>
      </c>
      <c r="D520" s="20" t="s">
        <v>6128</v>
      </c>
      <c r="E520" s="19" t="s">
        <v>6129</v>
      </c>
      <c r="F520" s="18" t="s">
        <v>6130</v>
      </c>
      <c r="G520" s="18" t="s">
        <v>5335</v>
      </c>
      <c r="H520" s="20" t="s">
        <v>13</v>
      </c>
    </row>
    <row r="521" spans="1:8" ht="14.5" customHeight="1" x14ac:dyDescent="0.3">
      <c r="A521" s="31" t="s">
        <v>7758</v>
      </c>
      <c r="B521" s="31" t="s">
        <v>826</v>
      </c>
      <c r="C521" s="32" t="s">
        <v>652</v>
      </c>
      <c r="D521" s="33" t="s">
        <v>6131</v>
      </c>
      <c r="E521" s="31" t="s">
        <v>6132</v>
      </c>
      <c r="F521" s="32"/>
      <c r="G521" s="32" t="s">
        <v>21</v>
      </c>
      <c r="H521" s="33" t="s">
        <v>17</v>
      </c>
    </row>
    <row r="522" spans="1:8" ht="14.5" customHeight="1" x14ac:dyDescent="0.3">
      <c r="A522" s="19" t="s">
        <v>7478</v>
      </c>
      <c r="B522" s="19" t="s">
        <v>6135</v>
      </c>
      <c r="C522" s="18" t="s">
        <v>2305</v>
      </c>
      <c r="D522" s="20" t="s">
        <v>6133</v>
      </c>
      <c r="E522" s="19" t="s">
        <v>6134</v>
      </c>
      <c r="F522" s="18" t="s">
        <v>6084</v>
      </c>
      <c r="G522" s="18" t="s">
        <v>75</v>
      </c>
      <c r="H522" s="20" t="s">
        <v>74</v>
      </c>
    </row>
    <row r="523" spans="1:8" ht="14.5" customHeight="1" x14ac:dyDescent="0.3">
      <c r="A523" s="31" t="s">
        <v>7518</v>
      </c>
      <c r="B523" s="31" t="s">
        <v>6136</v>
      </c>
      <c r="C523" s="32" t="s">
        <v>2934</v>
      </c>
      <c r="D523" s="33"/>
      <c r="E523" s="31" t="s">
        <v>6137</v>
      </c>
      <c r="F523" s="32" t="s">
        <v>6138</v>
      </c>
      <c r="G523" s="32" t="s">
        <v>21</v>
      </c>
      <c r="H523" s="33" t="s">
        <v>17</v>
      </c>
    </row>
    <row r="524" spans="1:8" ht="14.5" customHeight="1" x14ac:dyDescent="0.3">
      <c r="A524" s="19" t="s">
        <v>7519</v>
      </c>
      <c r="B524" s="19" t="s">
        <v>6012</v>
      </c>
      <c r="C524" s="18" t="s">
        <v>2827</v>
      </c>
      <c r="D524" s="20" t="s">
        <v>6139</v>
      </c>
      <c r="E524" s="19" t="s">
        <v>6140</v>
      </c>
      <c r="F524" s="18" t="s">
        <v>6141</v>
      </c>
      <c r="G524" s="18" t="s">
        <v>4616</v>
      </c>
      <c r="H524" s="20" t="s">
        <v>60</v>
      </c>
    </row>
    <row r="525" spans="1:8" ht="14.5" customHeight="1" x14ac:dyDescent="0.3">
      <c r="A525" s="31" t="s">
        <v>7477</v>
      </c>
      <c r="B525" s="31" t="s">
        <v>521</v>
      </c>
      <c r="C525" s="32" t="s">
        <v>3315</v>
      </c>
      <c r="D525" s="33" t="s">
        <v>6142</v>
      </c>
      <c r="E525" s="31" t="s">
        <v>6143</v>
      </c>
      <c r="F525" s="32" t="s">
        <v>6144</v>
      </c>
      <c r="G525" s="32" t="s">
        <v>5028</v>
      </c>
      <c r="H525" s="33" t="s">
        <v>60</v>
      </c>
    </row>
    <row r="526" spans="1:8" ht="14.5" customHeight="1" x14ac:dyDescent="0.3">
      <c r="A526" s="19" t="s">
        <v>7235</v>
      </c>
      <c r="B526" s="19" t="s">
        <v>5746</v>
      </c>
      <c r="C526" s="18" t="s">
        <v>1817</v>
      </c>
      <c r="D526" s="20" t="s">
        <v>6145</v>
      </c>
      <c r="E526" s="19" t="s">
        <v>5873</v>
      </c>
      <c r="F526" s="18" t="s">
        <v>6146</v>
      </c>
      <c r="G526" s="18" t="s">
        <v>4355</v>
      </c>
      <c r="H526" s="20" t="s">
        <v>4354</v>
      </c>
    </row>
    <row r="527" spans="1:8" ht="14.5" customHeight="1" x14ac:dyDescent="0.3">
      <c r="A527" s="31" t="s">
        <v>7584</v>
      </c>
      <c r="B527" s="31" t="s">
        <v>850</v>
      </c>
      <c r="C527" s="32" t="s">
        <v>73</v>
      </c>
      <c r="D527" s="33" t="s">
        <v>6147</v>
      </c>
      <c r="E527" s="31" t="s">
        <v>6148</v>
      </c>
      <c r="F527" s="32"/>
      <c r="G527" s="32" t="s">
        <v>75</v>
      </c>
      <c r="H527" s="33" t="s">
        <v>74</v>
      </c>
    </row>
    <row r="528" spans="1:8" ht="14.5" customHeight="1" x14ac:dyDescent="0.3">
      <c r="A528" s="19" t="s">
        <v>7520</v>
      </c>
      <c r="B528" s="19" t="s">
        <v>4676</v>
      </c>
      <c r="C528" s="18" t="s">
        <v>3123</v>
      </c>
      <c r="D528" s="20" t="s">
        <v>6149</v>
      </c>
      <c r="E528" s="19" t="s">
        <v>6150</v>
      </c>
      <c r="F528" s="18" t="s">
        <v>103</v>
      </c>
      <c r="G528" s="18" t="s">
        <v>11</v>
      </c>
      <c r="H528" s="20" t="s">
        <v>9</v>
      </c>
    </row>
    <row r="529" spans="1:8" ht="14.5" customHeight="1" x14ac:dyDescent="0.3">
      <c r="A529" s="31" t="s">
        <v>7397</v>
      </c>
      <c r="B529" s="31" t="s">
        <v>6153</v>
      </c>
      <c r="C529" s="32" t="s">
        <v>4067</v>
      </c>
      <c r="D529" s="33" t="s">
        <v>6151</v>
      </c>
      <c r="E529" s="31" t="s">
        <v>6152</v>
      </c>
      <c r="F529" s="32" t="s">
        <v>4686</v>
      </c>
      <c r="G529" s="32" t="s">
        <v>42</v>
      </c>
      <c r="H529" s="33" t="s">
        <v>40</v>
      </c>
    </row>
    <row r="530" spans="1:8" ht="14.5" customHeight="1" x14ac:dyDescent="0.3">
      <c r="A530" s="19" t="s">
        <v>7521</v>
      </c>
      <c r="B530" s="19" t="s">
        <v>4487</v>
      </c>
      <c r="C530" s="18" t="s">
        <v>2673</v>
      </c>
      <c r="D530" s="20"/>
      <c r="E530" s="19" t="s">
        <v>6154</v>
      </c>
      <c r="F530" s="18" t="s">
        <v>4773</v>
      </c>
      <c r="G530" s="18" t="s">
        <v>4243</v>
      </c>
      <c r="H530" s="20" t="s">
        <v>32</v>
      </c>
    </row>
    <row r="531" spans="1:8" ht="14.5" customHeight="1" x14ac:dyDescent="0.3">
      <c r="A531" s="31" t="s">
        <v>7522</v>
      </c>
      <c r="B531" s="31" t="s">
        <v>6158</v>
      </c>
      <c r="C531" s="32" t="s">
        <v>2224</v>
      </c>
      <c r="D531" s="33" t="s">
        <v>6155</v>
      </c>
      <c r="E531" s="31" t="s">
        <v>6156</v>
      </c>
      <c r="F531" s="32" t="s">
        <v>6157</v>
      </c>
      <c r="G531" s="32" t="s">
        <v>38</v>
      </c>
      <c r="H531" s="33" t="s">
        <v>3</v>
      </c>
    </row>
    <row r="532" spans="1:8" ht="14.5" customHeight="1" x14ac:dyDescent="0.3">
      <c r="A532" s="19" t="s">
        <v>7236</v>
      </c>
      <c r="B532" s="19" t="s">
        <v>4756</v>
      </c>
      <c r="C532" s="18" t="s">
        <v>1666</v>
      </c>
      <c r="D532" s="20" t="s">
        <v>6159</v>
      </c>
      <c r="E532" s="19" t="s">
        <v>6160</v>
      </c>
      <c r="F532" s="18" t="s">
        <v>6161</v>
      </c>
      <c r="G532" s="18" t="s">
        <v>4255</v>
      </c>
      <c r="H532" s="20" t="s">
        <v>4253</v>
      </c>
    </row>
    <row r="533" spans="1:8" ht="14.5" customHeight="1" x14ac:dyDescent="0.3">
      <c r="A533" s="31" t="s">
        <v>7237</v>
      </c>
      <c r="B533" s="31" t="s">
        <v>6165</v>
      </c>
      <c r="C533" s="32" t="s">
        <v>3251</v>
      </c>
      <c r="D533" s="33" t="s">
        <v>6162</v>
      </c>
      <c r="E533" s="31" t="s">
        <v>6163</v>
      </c>
      <c r="F533" s="32" t="s">
        <v>6164</v>
      </c>
      <c r="G533" s="32" t="s">
        <v>285</v>
      </c>
      <c r="H533" s="33" t="s">
        <v>148</v>
      </c>
    </row>
    <row r="534" spans="1:8" ht="14.5" customHeight="1" x14ac:dyDescent="0.3">
      <c r="A534" s="19" t="s">
        <v>7598</v>
      </c>
      <c r="B534" s="19" t="s">
        <v>6167</v>
      </c>
      <c r="C534" s="18" t="s">
        <v>36</v>
      </c>
      <c r="D534" s="20" t="s">
        <v>37</v>
      </c>
      <c r="E534" s="19" t="s">
        <v>6166</v>
      </c>
      <c r="F534" s="18"/>
      <c r="G534" s="18" t="s">
        <v>38</v>
      </c>
      <c r="H534" s="20" t="s">
        <v>3</v>
      </c>
    </row>
    <row r="535" spans="1:8" ht="14.5" customHeight="1" x14ac:dyDescent="0.3">
      <c r="A535" s="31" t="s">
        <v>7479</v>
      </c>
      <c r="B535" s="31" t="s">
        <v>5435</v>
      </c>
      <c r="C535" s="32" t="s">
        <v>4102</v>
      </c>
      <c r="D535" s="33" t="s">
        <v>6168</v>
      </c>
      <c r="E535" s="31" t="s">
        <v>6169</v>
      </c>
      <c r="F535" s="32" t="s">
        <v>6170</v>
      </c>
      <c r="G535" s="32" t="s">
        <v>6171</v>
      </c>
      <c r="H535" s="33" t="s">
        <v>74</v>
      </c>
    </row>
    <row r="536" spans="1:8" ht="14.5" customHeight="1" x14ac:dyDescent="0.3">
      <c r="A536" s="19" t="s">
        <v>7238</v>
      </c>
      <c r="B536" s="19" t="s">
        <v>6175</v>
      </c>
      <c r="C536" s="18" t="s">
        <v>4080</v>
      </c>
      <c r="D536" s="20" t="s">
        <v>6173</v>
      </c>
      <c r="E536" s="19" t="s">
        <v>6174</v>
      </c>
      <c r="F536" s="18" t="s">
        <v>5912</v>
      </c>
      <c r="G536" s="18" t="s">
        <v>42</v>
      </c>
      <c r="H536" s="20" t="s">
        <v>40</v>
      </c>
    </row>
    <row r="537" spans="1:8" ht="14.5" customHeight="1" x14ac:dyDescent="0.3">
      <c r="A537" s="31" t="s">
        <v>7523</v>
      </c>
      <c r="B537" s="31" t="s">
        <v>6179</v>
      </c>
      <c r="C537" s="32" t="s">
        <v>4027</v>
      </c>
      <c r="D537" s="33" t="s">
        <v>6176</v>
      </c>
      <c r="E537" s="31" t="s">
        <v>6177</v>
      </c>
      <c r="F537" s="32" t="s">
        <v>6178</v>
      </c>
      <c r="G537" s="32" t="s">
        <v>342</v>
      </c>
      <c r="H537" s="33" t="s">
        <v>252</v>
      </c>
    </row>
    <row r="538" spans="1:8" ht="14.5" customHeight="1" x14ac:dyDescent="0.3">
      <c r="A538" s="19" t="s">
        <v>7524</v>
      </c>
      <c r="B538" s="19" t="s">
        <v>6182</v>
      </c>
      <c r="C538" s="18" t="s">
        <v>3501</v>
      </c>
      <c r="D538" s="20" t="s">
        <v>6180</v>
      </c>
      <c r="E538" s="19" t="s">
        <v>6181</v>
      </c>
      <c r="F538" s="18" t="s">
        <v>4254</v>
      </c>
      <c r="G538" s="18" t="s">
        <v>11</v>
      </c>
      <c r="H538" s="20" t="s">
        <v>9</v>
      </c>
    </row>
    <row r="539" spans="1:8" ht="14.5" customHeight="1" x14ac:dyDescent="0.3">
      <c r="A539" s="31" t="s">
        <v>7509</v>
      </c>
      <c r="B539" s="31" t="s">
        <v>563</v>
      </c>
      <c r="C539" s="32" t="s">
        <v>1830</v>
      </c>
      <c r="D539" s="33" t="s">
        <v>6183</v>
      </c>
      <c r="E539" s="31">
        <v>11</v>
      </c>
      <c r="F539" s="32" t="s">
        <v>5912</v>
      </c>
      <c r="G539" s="32" t="s">
        <v>42</v>
      </c>
      <c r="H539" s="33" t="s">
        <v>40</v>
      </c>
    </row>
    <row r="540" spans="1:8" ht="14.5" customHeight="1" x14ac:dyDescent="0.3">
      <c r="A540" s="19" t="s">
        <v>7239</v>
      </c>
      <c r="B540" s="19" t="s">
        <v>6188</v>
      </c>
      <c r="C540" s="18" t="s">
        <v>3332</v>
      </c>
      <c r="D540" s="20" t="s">
        <v>6185</v>
      </c>
      <c r="E540" s="19" t="s">
        <v>6186</v>
      </c>
      <c r="F540" s="18" t="s">
        <v>6187</v>
      </c>
      <c r="G540" s="18" t="s">
        <v>4238</v>
      </c>
      <c r="H540" s="20" t="s">
        <v>166</v>
      </c>
    </row>
    <row r="541" spans="1:8" ht="14.5" customHeight="1" x14ac:dyDescent="0.3">
      <c r="A541" s="31" t="s">
        <v>7553</v>
      </c>
      <c r="B541" s="31" t="s">
        <v>1427</v>
      </c>
      <c r="C541" s="32" t="s">
        <v>332</v>
      </c>
      <c r="D541" s="33" t="s">
        <v>6189</v>
      </c>
      <c r="E541" s="31" t="s">
        <v>6190</v>
      </c>
      <c r="F541" s="32" t="s">
        <v>103</v>
      </c>
      <c r="G541" s="32" t="s">
        <v>334</v>
      </c>
      <c r="H541" s="33" t="s">
        <v>13</v>
      </c>
    </row>
    <row r="542" spans="1:8" ht="14.5" customHeight="1" x14ac:dyDescent="0.3">
      <c r="A542" s="19" t="s">
        <v>7525</v>
      </c>
      <c r="B542" s="19" t="s">
        <v>1555</v>
      </c>
      <c r="C542" s="18" t="s">
        <v>366</v>
      </c>
      <c r="D542" s="20" t="s">
        <v>6191</v>
      </c>
      <c r="E542" s="19" t="s">
        <v>6192</v>
      </c>
      <c r="F542" s="18" t="s">
        <v>103</v>
      </c>
      <c r="G542" s="18" t="s">
        <v>75</v>
      </c>
      <c r="H542" s="20" t="s">
        <v>74</v>
      </c>
    </row>
    <row r="543" spans="1:8" ht="14.5" customHeight="1" x14ac:dyDescent="0.3">
      <c r="A543" s="31" t="s">
        <v>7605</v>
      </c>
      <c r="B543" s="31" t="s">
        <v>5849</v>
      </c>
      <c r="C543" s="32" t="s">
        <v>2678</v>
      </c>
      <c r="D543" s="33" t="s">
        <v>6193</v>
      </c>
      <c r="E543" s="31" t="s">
        <v>6194</v>
      </c>
      <c r="F543" s="32" t="s">
        <v>1139</v>
      </c>
      <c r="G543" s="32" t="s">
        <v>65</v>
      </c>
      <c r="H543" s="33" t="s">
        <v>64</v>
      </c>
    </row>
    <row r="544" spans="1:8" ht="14.5" customHeight="1" x14ac:dyDescent="0.3">
      <c r="A544" s="19" t="s">
        <v>7556</v>
      </c>
      <c r="B544" s="19" t="s">
        <v>600</v>
      </c>
      <c r="C544" s="18" t="s">
        <v>2360</v>
      </c>
      <c r="D544" s="20" t="s">
        <v>6195</v>
      </c>
      <c r="E544" s="19" t="s">
        <v>6196</v>
      </c>
      <c r="F544" s="18" t="s">
        <v>6197</v>
      </c>
      <c r="G544" s="18" t="s">
        <v>5406</v>
      </c>
      <c r="H544" s="20" t="s">
        <v>9</v>
      </c>
    </row>
    <row r="545" spans="1:8" ht="14.5" customHeight="1" x14ac:dyDescent="0.3">
      <c r="A545" s="31" t="s">
        <v>7327</v>
      </c>
      <c r="B545" s="31" t="s">
        <v>6200</v>
      </c>
      <c r="C545" s="32" t="s">
        <v>1906</v>
      </c>
      <c r="D545" s="33" t="s">
        <v>6198</v>
      </c>
      <c r="E545" s="31" t="s">
        <v>6199</v>
      </c>
      <c r="F545" s="32" t="s">
        <v>5298</v>
      </c>
      <c r="G545" s="32" t="s">
        <v>230</v>
      </c>
      <c r="H545" s="33" t="s">
        <v>60</v>
      </c>
    </row>
    <row r="546" spans="1:8" ht="14.5" customHeight="1" x14ac:dyDescent="0.3">
      <c r="A546" s="19" t="s">
        <v>7527</v>
      </c>
      <c r="B546" s="19" t="s">
        <v>6207</v>
      </c>
      <c r="C546" s="18" t="s">
        <v>3433</v>
      </c>
      <c r="D546" s="20" t="s">
        <v>6205</v>
      </c>
      <c r="E546" s="19" t="s">
        <v>6206</v>
      </c>
      <c r="F546" s="18" t="s">
        <v>5457</v>
      </c>
      <c r="G546" s="18" t="s">
        <v>21</v>
      </c>
      <c r="H546" s="20" t="s">
        <v>17</v>
      </c>
    </row>
    <row r="547" spans="1:8" ht="14.5" customHeight="1" x14ac:dyDescent="0.3">
      <c r="A547" s="31" t="s">
        <v>7331</v>
      </c>
      <c r="B547" s="31" t="s">
        <v>466</v>
      </c>
      <c r="C547" s="32" t="s">
        <v>1735</v>
      </c>
      <c r="D547" s="33" t="s">
        <v>6208</v>
      </c>
      <c r="E547" s="31" t="s">
        <v>6209</v>
      </c>
      <c r="F547" s="32"/>
      <c r="G547" s="32" t="s">
        <v>120</v>
      </c>
      <c r="H547" s="33" t="s">
        <v>9</v>
      </c>
    </row>
    <row r="548" spans="1:8" ht="14.5" customHeight="1" x14ac:dyDescent="0.3">
      <c r="A548" s="19" t="s">
        <v>7472</v>
      </c>
      <c r="B548" s="19" t="s">
        <v>6213</v>
      </c>
      <c r="C548" s="18" t="s">
        <v>1765</v>
      </c>
      <c r="D548" s="20" t="s">
        <v>6210</v>
      </c>
      <c r="E548" s="19" t="s">
        <v>6211</v>
      </c>
      <c r="F548" s="18" t="s">
        <v>6212</v>
      </c>
      <c r="G548" s="18" t="s">
        <v>75</v>
      </c>
      <c r="H548" s="20" t="s">
        <v>74</v>
      </c>
    </row>
    <row r="549" spans="1:8" ht="14.5" customHeight="1" x14ac:dyDescent="0.3">
      <c r="A549" s="31" t="s">
        <v>7486</v>
      </c>
      <c r="B549" s="31" t="s">
        <v>6217</v>
      </c>
      <c r="C549" s="32" t="s">
        <v>2735</v>
      </c>
      <c r="D549" s="33" t="s">
        <v>6214</v>
      </c>
      <c r="E549" s="31" t="s">
        <v>6215</v>
      </c>
      <c r="F549" s="32" t="s">
        <v>6216</v>
      </c>
      <c r="G549" s="32" t="s">
        <v>5136</v>
      </c>
      <c r="H549" s="33" t="s">
        <v>9</v>
      </c>
    </row>
    <row r="550" spans="1:8" ht="14.5" customHeight="1" x14ac:dyDescent="0.3">
      <c r="A550" s="19" t="s">
        <v>7240</v>
      </c>
      <c r="B550" s="19" t="s">
        <v>6222</v>
      </c>
      <c r="C550" s="18" t="s">
        <v>3417</v>
      </c>
      <c r="D550" s="20" t="s">
        <v>6218</v>
      </c>
      <c r="E550" s="19" t="s">
        <v>6219</v>
      </c>
      <c r="F550" s="18" t="s">
        <v>6220</v>
      </c>
      <c r="G550" s="18" t="s">
        <v>6221</v>
      </c>
      <c r="H550" s="20" t="s">
        <v>47</v>
      </c>
    </row>
    <row r="551" spans="1:8" ht="14.5" customHeight="1" x14ac:dyDescent="0.3">
      <c r="A551" s="31" t="s">
        <v>7482</v>
      </c>
      <c r="B551" s="31" t="s">
        <v>6226</v>
      </c>
      <c r="C551" s="32" t="s">
        <v>3506</v>
      </c>
      <c r="D551" s="33" t="s">
        <v>6223</v>
      </c>
      <c r="E551" s="31" t="s">
        <v>6224</v>
      </c>
      <c r="F551" s="32" t="s">
        <v>103</v>
      </c>
      <c r="G551" s="32" t="s">
        <v>6225</v>
      </c>
      <c r="H551" s="33" t="s">
        <v>252</v>
      </c>
    </row>
    <row r="552" spans="1:8" ht="14.5" customHeight="1" x14ac:dyDescent="0.3">
      <c r="A552" s="19" t="s">
        <v>7622</v>
      </c>
      <c r="B552" s="19" t="s">
        <v>521</v>
      </c>
      <c r="C552" s="18" t="s">
        <v>2698</v>
      </c>
      <c r="D552" s="20" t="s">
        <v>6227</v>
      </c>
      <c r="E552" s="19" t="s">
        <v>6228</v>
      </c>
      <c r="F552" s="18" t="s">
        <v>6229</v>
      </c>
      <c r="G552" s="18" t="s">
        <v>21</v>
      </c>
      <c r="H552" s="20" t="s">
        <v>17</v>
      </c>
    </row>
    <row r="553" spans="1:8" ht="14.5" customHeight="1" x14ac:dyDescent="0.3">
      <c r="A553" s="31" t="s">
        <v>7529</v>
      </c>
      <c r="B553" s="31" t="s">
        <v>6233</v>
      </c>
      <c r="C553" s="32" t="s">
        <v>4190</v>
      </c>
      <c r="D553" s="33" t="s">
        <v>6230</v>
      </c>
      <c r="E553" s="31" t="s">
        <v>6231</v>
      </c>
      <c r="F553" s="32" t="s">
        <v>6232</v>
      </c>
      <c r="G553" s="32" t="s">
        <v>38</v>
      </c>
      <c r="H553" s="33" t="s">
        <v>3</v>
      </c>
    </row>
    <row r="554" spans="1:8" ht="14.5" customHeight="1" x14ac:dyDescent="0.3">
      <c r="A554" s="19" t="s">
        <v>7241</v>
      </c>
      <c r="B554" s="19" t="s">
        <v>6237</v>
      </c>
      <c r="C554" s="18" t="s">
        <v>3393</v>
      </c>
      <c r="D554" s="20" t="s">
        <v>6234</v>
      </c>
      <c r="E554" s="19" t="s">
        <v>6235</v>
      </c>
      <c r="F554" s="18" t="s">
        <v>219</v>
      </c>
      <c r="G554" s="18" t="s">
        <v>6236</v>
      </c>
      <c r="H554" s="20" t="s">
        <v>74</v>
      </c>
    </row>
    <row r="555" spans="1:8" ht="14.5" customHeight="1" x14ac:dyDescent="0.3">
      <c r="A555" s="31" t="s">
        <v>7565</v>
      </c>
      <c r="B555" s="31" t="s">
        <v>6242</v>
      </c>
      <c r="C555" s="32" t="s">
        <v>2036</v>
      </c>
      <c r="D555" s="33" t="s">
        <v>6238</v>
      </c>
      <c r="E555" s="31" t="s">
        <v>6239</v>
      </c>
      <c r="F555" s="32" t="s">
        <v>6240</v>
      </c>
      <c r="G555" s="32" t="s">
        <v>6241</v>
      </c>
      <c r="H555" s="33" t="s">
        <v>60</v>
      </c>
    </row>
    <row r="556" spans="1:8" ht="14.5" customHeight="1" x14ac:dyDescent="0.3">
      <c r="A556" s="19" t="s">
        <v>7512</v>
      </c>
      <c r="B556" s="19" t="s">
        <v>6245</v>
      </c>
      <c r="C556" s="18" t="s">
        <v>1865</v>
      </c>
      <c r="D556" s="20" t="s">
        <v>6243</v>
      </c>
      <c r="E556" s="19" t="s">
        <v>6244</v>
      </c>
      <c r="F556" s="18" t="s">
        <v>4796</v>
      </c>
      <c r="G556" s="18" t="s">
        <v>75</v>
      </c>
      <c r="H556" s="20" t="s">
        <v>74</v>
      </c>
    </row>
    <row r="557" spans="1:8" ht="14.5" customHeight="1" x14ac:dyDescent="0.3">
      <c r="A557" s="31" t="s">
        <v>7388</v>
      </c>
      <c r="B557" s="31" t="s">
        <v>904</v>
      </c>
      <c r="C557" s="32" t="s">
        <v>1749</v>
      </c>
      <c r="D557" s="33" t="s">
        <v>6246</v>
      </c>
      <c r="E557" s="31" t="s">
        <v>6247</v>
      </c>
      <c r="F557" s="32"/>
      <c r="G557" s="32" t="s">
        <v>6248</v>
      </c>
      <c r="H557" s="33" t="s">
        <v>50</v>
      </c>
    </row>
    <row r="558" spans="1:8" ht="14.5" customHeight="1" x14ac:dyDescent="0.3">
      <c r="A558" s="19" t="s">
        <v>7242</v>
      </c>
      <c r="B558" s="19" t="s">
        <v>658</v>
      </c>
      <c r="C558" s="18" t="s">
        <v>2956</v>
      </c>
      <c r="D558" s="20" t="s">
        <v>6249</v>
      </c>
      <c r="E558" s="19" t="s">
        <v>5410</v>
      </c>
      <c r="F558" s="18" t="s">
        <v>6250</v>
      </c>
      <c r="G558" s="18" t="s">
        <v>342</v>
      </c>
      <c r="H558" s="20" t="s">
        <v>166</v>
      </c>
    </row>
    <row r="559" spans="1:8" ht="14.5" customHeight="1" x14ac:dyDescent="0.3">
      <c r="A559" s="31" t="s">
        <v>7627</v>
      </c>
      <c r="B559" s="31" t="s">
        <v>5660</v>
      </c>
      <c r="C559" s="32" t="s">
        <v>3896</v>
      </c>
      <c r="D559" s="33" t="s">
        <v>6251</v>
      </c>
      <c r="E559" s="31" t="s">
        <v>6252</v>
      </c>
      <c r="F559" s="32" t="s">
        <v>4675</v>
      </c>
      <c r="G559" s="32" t="s">
        <v>61</v>
      </c>
      <c r="H559" s="33" t="s">
        <v>60</v>
      </c>
    </row>
    <row r="560" spans="1:8" ht="14.5" customHeight="1" x14ac:dyDescent="0.3">
      <c r="A560" s="19" t="s">
        <v>7716</v>
      </c>
      <c r="B560" s="19" t="s">
        <v>475</v>
      </c>
      <c r="C560" s="18" t="s">
        <v>2066</v>
      </c>
      <c r="D560" s="20">
        <v>11996124457</v>
      </c>
      <c r="E560" s="19" t="s">
        <v>478</v>
      </c>
      <c r="F560" s="18" t="s">
        <v>6253</v>
      </c>
      <c r="G560" s="18" t="s">
        <v>479</v>
      </c>
      <c r="H560" s="20" t="s">
        <v>13</v>
      </c>
    </row>
    <row r="561" spans="1:8" ht="14.5" customHeight="1" x14ac:dyDescent="0.3">
      <c r="A561" s="31" t="s">
        <v>7533</v>
      </c>
      <c r="B561" s="31" t="s">
        <v>5688</v>
      </c>
      <c r="C561" s="32" t="s">
        <v>3741</v>
      </c>
      <c r="D561" s="33" t="s">
        <v>6254</v>
      </c>
      <c r="E561" s="31" t="s">
        <v>6255</v>
      </c>
      <c r="F561" s="32" t="s">
        <v>6256</v>
      </c>
      <c r="G561" s="32" t="s">
        <v>65</v>
      </c>
      <c r="H561" s="33" t="s">
        <v>64</v>
      </c>
    </row>
    <row r="562" spans="1:8" ht="14.5" customHeight="1" x14ac:dyDescent="0.3">
      <c r="A562" s="19" t="s">
        <v>7534</v>
      </c>
      <c r="B562" s="19" t="s">
        <v>1389</v>
      </c>
      <c r="C562" s="18" t="s">
        <v>321</v>
      </c>
      <c r="D562" s="20" t="s">
        <v>6257</v>
      </c>
      <c r="E562" s="19" t="s">
        <v>6258</v>
      </c>
      <c r="F562" s="18" t="s">
        <v>103</v>
      </c>
      <c r="G562" s="18" t="s">
        <v>322</v>
      </c>
      <c r="H562" s="20" t="s">
        <v>74</v>
      </c>
    </row>
    <row r="563" spans="1:8" ht="14.5" customHeight="1" x14ac:dyDescent="0.3">
      <c r="A563" s="31" t="s">
        <v>7560</v>
      </c>
      <c r="B563" s="31" t="s">
        <v>6265</v>
      </c>
      <c r="C563" s="32" t="s">
        <v>2574</v>
      </c>
      <c r="D563" s="33" t="s">
        <v>6262</v>
      </c>
      <c r="E563" s="31" t="s">
        <v>6263</v>
      </c>
      <c r="F563" s="32" t="s">
        <v>6264</v>
      </c>
      <c r="G563" s="32" t="s">
        <v>21</v>
      </c>
      <c r="H563" s="33" t="s">
        <v>17</v>
      </c>
    </row>
    <row r="564" spans="1:8" ht="14.5" customHeight="1" x14ac:dyDescent="0.3">
      <c r="A564" s="19" t="s">
        <v>7656</v>
      </c>
      <c r="B564" s="19" t="s">
        <v>6261</v>
      </c>
      <c r="C564" s="18" t="s">
        <v>1900</v>
      </c>
      <c r="D564" s="20" t="s">
        <v>6259</v>
      </c>
      <c r="E564" s="19" t="s">
        <v>6260</v>
      </c>
      <c r="F564" s="18" t="s">
        <v>4949</v>
      </c>
      <c r="G564" s="18" t="s">
        <v>11</v>
      </c>
      <c r="H564" s="20" t="s">
        <v>9</v>
      </c>
    </row>
    <row r="565" spans="1:8" ht="14.5" customHeight="1" x14ac:dyDescent="0.3">
      <c r="A565" s="31" t="s">
        <v>7243</v>
      </c>
      <c r="B565" s="31" t="s">
        <v>6270</v>
      </c>
      <c r="C565" s="32" t="s">
        <v>2814</v>
      </c>
      <c r="D565" s="33" t="s">
        <v>6266</v>
      </c>
      <c r="E565" s="31" t="s">
        <v>6267</v>
      </c>
      <c r="F565" s="32" t="s">
        <v>6268</v>
      </c>
      <c r="G565" s="32" t="s">
        <v>6269</v>
      </c>
      <c r="H565" s="33" t="s">
        <v>50</v>
      </c>
    </row>
    <row r="566" spans="1:8" ht="14.5" customHeight="1" x14ac:dyDescent="0.3">
      <c r="A566" s="19" t="s">
        <v>7244</v>
      </c>
      <c r="B566" s="19" t="s">
        <v>4650</v>
      </c>
      <c r="C566" s="18" t="s">
        <v>3967</v>
      </c>
      <c r="D566" s="20" t="s">
        <v>6271</v>
      </c>
      <c r="E566" s="19" t="s">
        <v>6272</v>
      </c>
      <c r="F566" s="18" t="s">
        <v>6273</v>
      </c>
      <c r="G566" s="18" t="s">
        <v>75</v>
      </c>
      <c r="H566" s="20" t="s">
        <v>74</v>
      </c>
    </row>
    <row r="567" spans="1:8" ht="14.5" customHeight="1" x14ac:dyDescent="0.3">
      <c r="A567" s="31" t="s">
        <v>7696</v>
      </c>
      <c r="B567" s="31" t="s">
        <v>6278</v>
      </c>
      <c r="C567" s="32" t="s">
        <v>2558</v>
      </c>
      <c r="D567" s="33" t="s">
        <v>6274</v>
      </c>
      <c r="E567" s="31" t="s">
        <v>6275</v>
      </c>
      <c r="F567" s="32" t="s">
        <v>6276</v>
      </c>
      <c r="G567" s="32" t="s">
        <v>6277</v>
      </c>
      <c r="H567" s="33" t="s">
        <v>4253</v>
      </c>
    </row>
    <row r="568" spans="1:8" ht="14.5" customHeight="1" x14ac:dyDescent="0.3">
      <c r="A568" s="19" t="s">
        <v>7245</v>
      </c>
      <c r="B568" s="19" t="s">
        <v>676</v>
      </c>
      <c r="C568" s="18" t="s">
        <v>91</v>
      </c>
      <c r="D568" s="20" t="s">
        <v>6279</v>
      </c>
      <c r="E568" s="19">
        <v>32</v>
      </c>
      <c r="F568" s="18"/>
      <c r="G568" s="18" t="s">
        <v>94</v>
      </c>
      <c r="H568" s="20" t="s">
        <v>92</v>
      </c>
    </row>
    <row r="569" spans="1:8" ht="14.5" customHeight="1" x14ac:dyDescent="0.3">
      <c r="A569" s="31" t="s">
        <v>7698</v>
      </c>
      <c r="B569" s="31" t="s">
        <v>6282</v>
      </c>
      <c r="C569" s="32" t="s">
        <v>1769</v>
      </c>
      <c r="D569" s="33" t="s">
        <v>6280</v>
      </c>
      <c r="E569" s="31" t="s">
        <v>6281</v>
      </c>
      <c r="F569" s="32" t="s">
        <v>219</v>
      </c>
      <c r="G569" s="32" t="s">
        <v>125</v>
      </c>
      <c r="H569" s="33" t="s">
        <v>50</v>
      </c>
    </row>
    <row r="570" spans="1:8" ht="14.5" customHeight="1" x14ac:dyDescent="0.3">
      <c r="A570" s="19" t="s">
        <v>7246</v>
      </c>
      <c r="B570" s="19" t="s">
        <v>6287</v>
      </c>
      <c r="C570" s="18" t="s">
        <v>4014</v>
      </c>
      <c r="D570" s="20" t="s">
        <v>6284</v>
      </c>
      <c r="E570" s="19" t="s">
        <v>6285</v>
      </c>
      <c r="F570" s="18" t="s">
        <v>6286</v>
      </c>
      <c r="G570" s="18" t="s">
        <v>159</v>
      </c>
      <c r="H570" s="20" t="s">
        <v>9</v>
      </c>
    </row>
    <row r="571" spans="1:8" ht="14.5" customHeight="1" x14ac:dyDescent="0.3">
      <c r="A571" s="31" t="s">
        <v>7535</v>
      </c>
      <c r="B571" s="31" t="s">
        <v>1319</v>
      </c>
      <c r="C571" s="32" t="s">
        <v>2388</v>
      </c>
      <c r="D571" s="33" t="s">
        <v>6288</v>
      </c>
      <c r="E571" s="31" t="s">
        <v>6289</v>
      </c>
      <c r="F571" s="32" t="s">
        <v>6290</v>
      </c>
      <c r="G571" s="32" t="s">
        <v>6291</v>
      </c>
      <c r="H571" s="33" t="s">
        <v>74</v>
      </c>
    </row>
    <row r="572" spans="1:8" ht="14.5" customHeight="1" x14ac:dyDescent="0.3">
      <c r="A572" s="19" t="s">
        <v>7699</v>
      </c>
      <c r="B572" s="19" t="s">
        <v>816</v>
      </c>
      <c r="C572" s="18" t="s">
        <v>144</v>
      </c>
      <c r="D572" s="20" t="s">
        <v>6292</v>
      </c>
      <c r="E572" s="19" t="s">
        <v>6293</v>
      </c>
      <c r="F572" s="18"/>
      <c r="G572" s="18" t="s">
        <v>70</v>
      </c>
      <c r="H572" s="20" t="s">
        <v>17</v>
      </c>
    </row>
    <row r="573" spans="1:8" ht="14.5" customHeight="1" x14ac:dyDescent="0.3">
      <c r="A573" s="31" t="s">
        <v>7536</v>
      </c>
      <c r="B573" s="31" t="s">
        <v>6296</v>
      </c>
      <c r="C573" s="32" t="s">
        <v>3229</v>
      </c>
      <c r="D573" s="33" t="s">
        <v>6294</v>
      </c>
      <c r="E573" s="31" t="s">
        <v>6295</v>
      </c>
      <c r="F573" s="32" t="s">
        <v>72</v>
      </c>
      <c r="G573" s="32" t="s">
        <v>4875</v>
      </c>
      <c r="H573" s="33" t="s">
        <v>17</v>
      </c>
    </row>
    <row r="574" spans="1:8" ht="14.5" customHeight="1" x14ac:dyDescent="0.3">
      <c r="A574" s="19" t="s">
        <v>7337</v>
      </c>
      <c r="B574" s="19" t="s">
        <v>6299</v>
      </c>
      <c r="C574" s="18" t="s">
        <v>2118</v>
      </c>
      <c r="D574" s="20" t="s">
        <v>6297</v>
      </c>
      <c r="E574" s="19" t="s">
        <v>6298</v>
      </c>
      <c r="F574" s="18" t="s">
        <v>5621</v>
      </c>
      <c r="G574" s="18" t="s">
        <v>21</v>
      </c>
      <c r="H574" s="20" t="s">
        <v>17</v>
      </c>
    </row>
    <row r="575" spans="1:8" ht="14.5" customHeight="1" x14ac:dyDescent="0.3">
      <c r="A575" s="31" t="s">
        <v>7567</v>
      </c>
      <c r="B575" s="31" t="s">
        <v>6303</v>
      </c>
      <c r="C575" s="32" t="s">
        <v>3715</v>
      </c>
      <c r="D575" s="33" t="s">
        <v>6300</v>
      </c>
      <c r="E575" s="31" t="s">
        <v>6301</v>
      </c>
      <c r="F575" s="32" t="s">
        <v>6302</v>
      </c>
      <c r="G575" s="32" t="s">
        <v>21</v>
      </c>
      <c r="H575" s="33" t="s">
        <v>17</v>
      </c>
    </row>
    <row r="576" spans="1:8" ht="14.5" customHeight="1" x14ac:dyDescent="0.3">
      <c r="A576" s="19" t="s">
        <v>7705</v>
      </c>
      <c r="B576" s="19" t="s">
        <v>4309</v>
      </c>
      <c r="C576" s="18" t="s">
        <v>4016</v>
      </c>
      <c r="D576" s="20" t="s">
        <v>6304</v>
      </c>
      <c r="E576" s="19" t="s">
        <v>6305</v>
      </c>
      <c r="F576" s="18" t="s">
        <v>6306</v>
      </c>
      <c r="G576" s="18" t="s">
        <v>241</v>
      </c>
      <c r="H576" s="20" t="s">
        <v>9</v>
      </c>
    </row>
    <row r="577" spans="1:8" ht="14.5" customHeight="1" x14ac:dyDescent="0.3">
      <c r="A577" s="31" t="s">
        <v>7707</v>
      </c>
      <c r="B577" s="31" t="s">
        <v>1274</v>
      </c>
      <c r="C577" s="32" t="s">
        <v>283</v>
      </c>
      <c r="D577" s="33" t="s">
        <v>6307</v>
      </c>
      <c r="E577" s="31" t="s">
        <v>6308</v>
      </c>
      <c r="F577" s="32" t="s">
        <v>284</v>
      </c>
      <c r="G577" s="32" t="s">
        <v>6309</v>
      </c>
      <c r="H577" s="33" t="s">
        <v>148</v>
      </c>
    </row>
    <row r="578" spans="1:8" ht="14.5" customHeight="1" x14ac:dyDescent="0.3">
      <c r="A578" s="19" t="s">
        <v>7708</v>
      </c>
      <c r="B578" s="19" t="s">
        <v>514</v>
      </c>
      <c r="C578" s="18" t="s">
        <v>28</v>
      </c>
      <c r="D578" s="20" t="s">
        <v>6310</v>
      </c>
      <c r="E578" s="19" t="s">
        <v>6311</v>
      </c>
      <c r="F578" s="18" t="s">
        <v>6312</v>
      </c>
      <c r="G578" s="18" t="s">
        <v>21</v>
      </c>
      <c r="H578" s="20" t="s">
        <v>17</v>
      </c>
    </row>
    <row r="579" spans="1:8" ht="14.5" customHeight="1" x14ac:dyDescent="0.3">
      <c r="A579" s="31" t="s">
        <v>7710</v>
      </c>
      <c r="B579" s="31" t="s">
        <v>959</v>
      </c>
      <c r="C579" s="32" t="s">
        <v>961</v>
      </c>
      <c r="D579" s="33" t="s">
        <v>6313</v>
      </c>
      <c r="E579" s="31" t="s">
        <v>163</v>
      </c>
      <c r="F579" s="32"/>
      <c r="G579" s="32" t="s">
        <v>164</v>
      </c>
      <c r="H579" s="33" t="s">
        <v>84</v>
      </c>
    </row>
    <row r="580" spans="1:8" ht="14.5" customHeight="1" x14ac:dyDescent="0.3">
      <c r="A580" s="19" t="s">
        <v>7537</v>
      </c>
      <c r="B580" s="19" t="s">
        <v>6317</v>
      </c>
      <c r="C580" s="18" t="s">
        <v>4090</v>
      </c>
      <c r="D580" s="20" t="s">
        <v>6314</v>
      </c>
      <c r="E580" s="19" t="s">
        <v>6315</v>
      </c>
      <c r="F580" s="18" t="s">
        <v>219</v>
      </c>
      <c r="G580" s="18" t="s">
        <v>6316</v>
      </c>
      <c r="H580" s="20" t="s">
        <v>13</v>
      </c>
    </row>
    <row r="581" spans="1:8" ht="14.5" customHeight="1" x14ac:dyDescent="0.3">
      <c r="A581" s="31" t="s">
        <v>7538</v>
      </c>
      <c r="B581" s="31" t="s">
        <v>6321</v>
      </c>
      <c r="C581" s="32" t="s">
        <v>3373</v>
      </c>
      <c r="D581" s="33" t="s">
        <v>6318</v>
      </c>
      <c r="E581" s="31" t="s">
        <v>6319</v>
      </c>
      <c r="F581" s="32" t="s">
        <v>6320</v>
      </c>
      <c r="G581" s="32" t="s">
        <v>21</v>
      </c>
      <c r="H581" s="33" t="s">
        <v>17</v>
      </c>
    </row>
    <row r="582" spans="1:8" ht="14.5" customHeight="1" x14ac:dyDescent="0.3">
      <c r="A582" s="19" t="s">
        <v>7566</v>
      </c>
      <c r="B582" s="19" t="s">
        <v>6325</v>
      </c>
      <c r="C582" s="18" t="s">
        <v>3838</v>
      </c>
      <c r="D582" s="20" t="s">
        <v>6322</v>
      </c>
      <c r="E582" s="19" t="s">
        <v>6323</v>
      </c>
      <c r="F582" s="18" t="s">
        <v>6324</v>
      </c>
      <c r="G582" s="18" t="s">
        <v>21</v>
      </c>
      <c r="H582" s="20" t="s">
        <v>17</v>
      </c>
    </row>
    <row r="583" spans="1:8" ht="14.5" customHeight="1" x14ac:dyDescent="0.3">
      <c r="A583" s="31" t="s">
        <v>7713</v>
      </c>
      <c r="B583" s="31" t="s">
        <v>929</v>
      </c>
      <c r="C583" s="32" t="s">
        <v>156</v>
      </c>
      <c r="D583" s="33" t="s">
        <v>6326</v>
      </c>
      <c r="E583" s="31" t="s">
        <v>6327</v>
      </c>
      <c r="F583" s="32"/>
      <c r="G583" s="32" t="s">
        <v>21</v>
      </c>
      <c r="H583" s="33" t="s">
        <v>17</v>
      </c>
    </row>
    <row r="584" spans="1:8" ht="14.5" customHeight="1" x14ac:dyDescent="0.3">
      <c r="A584" s="19" t="s">
        <v>7568</v>
      </c>
      <c r="B584" s="19" t="s">
        <v>4674</v>
      </c>
      <c r="C584" s="18" t="s">
        <v>2079</v>
      </c>
      <c r="D584" s="20" t="s">
        <v>6328</v>
      </c>
      <c r="E584" s="19" t="s">
        <v>6329</v>
      </c>
      <c r="F584" s="18" t="s">
        <v>4736</v>
      </c>
      <c r="G584" s="18" t="s">
        <v>75</v>
      </c>
      <c r="H584" s="20" t="s">
        <v>74</v>
      </c>
    </row>
    <row r="585" spans="1:8" ht="14.5" customHeight="1" x14ac:dyDescent="0.3">
      <c r="A585" s="31" t="s">
        <v>7539</v>
      </c>
      <c r="B585" s="31" t="s">
        <v>4454</v>
      </c>
      <c r="C585" s="32" t="s">
        <v>1789</v>
      </c>
      <c r="D585" s="33" t="s">
        <v>6330</v>
      </c>
      <c r="E585" s="31" t="s">
        <v>6331</v>
      </c>
      <c r="F585" s="32" t="s">
        <v>6332</v>
      </c>
      <c r="G585" s="32" t="s">
        <v>62</v>
      </c>
      <c r="H585" s="33" t="s">
        <v>17</v>
      </c>
    </row>
    <row r="586" spans="1:8" ht="14.5" customHeight="1" x14ac:dyDescent="0.3">
      <c r="A586" s="19" t="s">
        <v>7362</v>
      </c>
      <c r="B586" s="19" t="s">
        <v>6336</v>
      </c>
      <c r="C586" s="18" t="s">
        <v>3017</v>
      </c>
      <c r="D586" s="20" t="s">
        <v>6333</v>
      </c>
      <c r="E586" s="19" t="s">
        <v>6334</v>
      </c>
      <c r="F586" s="18" t="s">
        <v>6335</v>
      </c>
      <c r="G586" s="18" t="s">
        <v>42</v>
      </c>
      <c r="H586" s="20" t="s">
        <v>40</v>
      </c>
    </row>
    <row r="587" spans="1:8" ht="14.5" customHeight="1" x14ac:dyDescent="0.3">
      <c r="A587" s="31" t="s">
        <v>7540</v>
      </c>
      <c r="B587" s="31" t="s">
        <v>6340</v>
      </c>
      <c r="C587" s="32" t="s">
        <v>4204</v>
      </c>
      <c r="D587" s="33" t="s">
        <v>6337</v>
      </c>
      <c r="E587" s="31" t="s">
        <v>6338</v>
      </c>
      <c r="F587" s="32" t="s">
        <v>6339</v>
      </c>
      <c r="G587" s="32" t="s">
        <v>5124</v>
      </c>
      <c r="H587" s="33" t="s">
        <v>60</v>
      </c>
    </row>
    <row r="588" spans="1:8" ht="14.5" customHeight="1" x14ac:dyDescent="0.3">
      <c r="A588" s="19" t="s">
        <v>7541</v>
      </c>
      <c r="B588" s="19" t="s">
        <v>4264</v>
      </c>
      <c r="C588" s="18" t="s">
        <v>3516</v>
      </c>
      <c r="D588" s="20" t="s">
        <v>6341</v>
      </c>
      <c r="E588" s="19" t="s">
        <v>6342</v>
      </c>
      <c r="F588" s="18" t="s">
        <v>6343</v>
      </c>
      <c r="G588" s="18" t="s">
        <v>11</v>
      </c>
      <c r="H588" s="20" t="s">
        <v>9</v>
      </c>
    </row>
    <row r="589" spans="1:8" ht="14.5" customHeight="1" x14ac:dyDescent="0.3">
      <c r="A589" s="31" t="s">
        <v>7542</v>
      </c>
      <c r="B589" s="31" t="s">
        <v>6347</v>
      </c>
      <c r="C589" s="32" t="s">
        <v>3007</v>
      </c>
      <c r="D589" s="33" t="s">
        <v>6344</v>
      </c>
      <c r="E589" s="31" t="s">
        <v>6345</v>
      </c>
      <c r="F589" s="32" t="s">
        <v>6346</v>
      </c>
      <c r="G589" s="32" t="s">
        <v>4303</v>
      </c>
      <c r="H589" s="33" t="s">
        <v>17</v>
      </c>
    </row>
    <row r="590" spans="1:8" ht="14.5" customHeight="1" x14ac:dyDescent="0.3">
      <c r="A590" s="19" t="s">
        <v>7569</v>
      </c>
      <c r="B590" s="19" t="s">
        <v>600</v>
      </c>
      <c r="C590" s="18" t="s">
        <v>2074</v>
      </c>
      <c r="D590" s="20" t="s">
        <v>6348</v>
      </c>
      <c r="E590" s="19" t="s">
        <v>38</v>
      </c>
      <c r="F590" s="18" t="s">
        <v>6349</v>
      </c>
      <c r="G590" s="18" t="s">
        <v>21</v>
      </c>
      <c r="H590" s="20" t="s">
        <v>17</v>
      </c>
    </row>
    <row r="591" spans="1:8" ht="14.5" customHeight="1" x14ac:dyDescent="0.3">
      <c r="A591" s="31" t="s">
        <v>7544</v>
      </c>
      <c r="B591" s="31" t="s">
        <v>6353</v>
      </c>
      <c r="C591" s="32" t="s">
        <v>2910</v>
      </c>
      <c r="D591" s="33" t="s">
        <v>6350</v>
      </c>
      <c r="E591" s="31" t="s">
        <v>6351</v>
      </c>
      <c r="F591" s="32" t="s">
        <v>6352</v>
      </c>
      <c r="G591" s="32" t="s">
        <v>21</v>
      </c>
      <c r="H591" s="33" t="s">
        <v>17</v>
      </c>
    </row>
    <row r="592" spans="1:8" ht="14.5" customHeight="1" x14ac:dyDescent="0.3">
      <c r="A592" s="19" t="s">
        <v>7247</v>
      </c>
      <c r="B592" s="19" t="s">
        <v>6357</v>
      </c>
      <c r="C592" s="18" t="s">
        <v>2758</v>
      </c>
      <c r="D592" s="20" t="s">
        <v>6354</v>
      </c>
      <c r="E592" s="19" t="s">
        <v>6355</v>
      </c>
      <c r="F592" s="18" t="s">
        <v>4477</v>
      </c>
      <c r="G592" s="18" t="s">
        <v>6356</v>
      </c>
      <c r="H592" s="20" t="s">
        <v>3</v>
      </c>
    </row>
    <row r="593" spans="1:8" ht="14.5" customHeight="1" x14ac:dyDescent="0.3">
      <c r="A593" s="31" t="s">
        <v>7416</v>
      </c>
      <c r="B593" s="31" t="s">
        <v>4487</v>
      </c>
      <c r="C593" s="32" t="s">
        <v>3881</v>
      </c>
      <c r="D593" s="33" t="s">
        <v>6361</v>
      </c>
      <c r="E593" s="31" t="s">
        <v>6362</v>
      </c>
      <c r="F593" s="32" t="s">
        <v>72</v>
      </c>
      <c r="G593" s="32" t="s">
        <v>4870</v>
      </c>
      <c r="H593" s="33" t="s">
        <v>17</v>
      </c>
    </row>
    <row r="594" spans="1:8" ht="14.5" customHeight="1" x14ac:dyDescent="0.3">
      <c r="A594" s="19" t="s">
        <v>7545</v>
      </c>
      <c r="B594" s="19" t="s">
        <v>6365</v>
      </c>
      <c r="C594" s="18" t="s">
        <v>4193</v>
      </c>
      <c r="D594" s="20" t="s">
        <v>5309</v>
      </c>
      <c r="E594" s="19" t="s">
        <v>6363</v>
      </c>
      <c r="F594" s="18" t="s">
        <v>6364</v>
      </c>
      <c r="G594" s="18" t="s">
        <v>94</v>
      </c>
      <c r="H594" s="20" t="s">
        <v>92</v>
      </c>
    </row>
    <row r="595" spans="1:8" ht="14.5" customHeight="1" x14ac:dyDescent="0.3">
      <c r="A595" s="31" t="s">
        <v>7391</v>
      </c>
      <c r="B595" s="31" t="s">
        <v>1086</v>
      </c>
      <c r="C595" s="32" t="s">
        <v>189</v>
      </c>
      <c r="D595" s="33" t="s">
        <v>190</v>
      </c>
      <c r="E595" s="31" t="s">
        <v>6366</v>
      </c>
      <c r="F595" s="32" t="s">
        <v>191</v>
      </c>
      <c r="G595" s="32" t="s">
        <v>192</v>
      </c>
      <c r="H595" s="33" t="s">
        <v>13</v>
      </c>
    </row>
    <row r="596" spans="1:8" ht="14.5" customHeight="1" x14ac:dyDescent="0.3">
      <c r="A596" s="19" t="s">
        <v>7531</v>
      </c>
      <c r="B596" s="19" t="s">
        <v>1389</v>
      </c>
      <c r="C596" s="18" t="s">
        <v>1774</v>
      </c>
      <c r="D596" s="20" t="s">
        <v>6367</v>
      </c>
      <c r="E596" s="19" t="s">
        <v>6368</v>
      </c>
      <c r="F596" s="18" t="s">
        <v>103</v>
      </c>
      <c r="G596" s="18" t="s">
        <v>6369</v>
      </c>
      <c r="H596" s="20" t="s">
        <v>74</v>
      </c>
    </row>
    <row r="597" spans="1:8" ht="14.5" customHeight="1" x14ac:dyDescent="0.3">
      <c r="A597" s="31" t="s">
        <v>7676</v>
      </c>
      <c r="B597" s="31" t="s">
        <v>6372</v>
      </c>
      <c r="C597" s="32" t="s">
        <v>2787</v>
      </c>
      <c r="D597" s="33">
        <v>77999771462</v>
      </c>
      <c r="E597" s="31" t="s">
        <v>6370</v>
      </c>
      <c r="F597" s="32" t="s">
        <v>4730</v>
      </c>
      <c r="G597" s="32" t="s">
        <v>6371</v>
      </c>
      <c r="H597" s="33" t="s">
        <v>148</v>
      </c>
    </row>
    <row r="598" spans="1:8" ht="14.5" customHeight="1" x14ac:dyDescent="0.3">
      <c r="A598" s="19" t="s">
        <v>7714</v>
      </c>
      <c r="B598" s="19" t="s">
        <v>6376</v>
      </c>
      <c r="C598" s="18" t="s">
        <v>3385</v>
      </c>
      <c r="D598" s="20" t="s">
        <v>6373</v>
      </c>
      <c r="E598" s="19" t="s">
        <v>6374</v>
      </c>
      <c r="F598" s="18" t="s">
        <v>6375</v>
      </c>
      <c r="G598" s="18" t="s">
        <v>285</v>
      </c>
      <c r="H598" s="20" t="s">
        <v>148</v>
      </c>
    </row>
    <row r="599" spans="1:8" ht="14.5" customHeight="1" x14ac:dyDescent="0.3">
      <c r="A599" s="31" t="s">
        <v>7473</v>
      </c>
      <c r="B599" s="31" t="s">
        <v>6380</v>
      </c>
      <c r="C599" s="32" t="s">
        <v>2231</v>
      </c>
      <c r="D599" s="33" t="s">
        <v>6377</v>
      </c>
      <c r="E599" s="31" t="s">
        <v>6378</v>
      </c>
      <c r="F599" s="32" t="s">
        <v>6379</v>
      </c>
      <c r="G599" s="32" t="s">
        <v>42</v>
      </c>
      <c r="H599" s="33" t="s">
        <v>40</v>
      </c>
    </row>
    <row r="600" spans="1:8" ht="14.5" customHeight="1" x14ac:dyDescent="0.3">
      <c r="A600" s="19" t="s">
        <v>7248</v>
      </c>
      <c r="B600" s="19" t="s">
        <v>6384</v>
      </c>
      <c r="C600" s="18" t="s">
        <v>4149</v>
      </c>
      <c r="D600" s="20" t="s">
        <v>6381</v>
      </c>
      <c r="E600" s="19" t="s">
        <v>6382</v>
      </c>
      <c r="F600" s="18" t="s">
        <v>6383</v>
      </c>
      <c r="G600" s="18" t="s">
        <v>75</v>
      </c>
      <c r="H600" s="20" t="s">
        <v>74</v>
      </c>
    </row>
    <row r="601" spans="1:8" ht="14.5" customHeight="1" x14ac:dyDescent="0.3">
      <c r="A601" s="31" t="s">
        <v>7504</v>
      </c>
      <c r="B601" s="31" t="s">
        <v>6283</v>
      </c>
      <c r="C601" s="32" t="s">
        <v>4030</v>
      </c>
      <c r="D601" s="33" t="s">
        <v>6385</v>
      </c>
      <c r="E601" s="31" t="s">
        <v>6386</v>
      </c>
      <c r="F601" s="32" t="s">
        <v>6387</v>
      </c>
      <c r="G601" s="32" t="s">
        <v>65</v>
      </c>
      <c r="H601" s="33" t="s">
        <v>64</v>
      </c>
    </row>
    <row r="602" spans="1:8" ht="14.5" customHeight="1" x14ac:dyDescent="0.3">
      <c r="A602" s="19" t="s">
        <v>7249</v>
      </c>
      <c r="B602" s="19" t="s">
        <v>6391</v>
      </c>
      <c r="C602" s="18" t="s">
        <v>3651</v>
      </c>
      <c r="D602" s="20" t="s">
        <v>6388</v>
      </c>
      <c r="E602" s="19" t="s">
        <v>6389</v>
      </c>
      <c r="F602" s="18" t="s">
        <v>6390</v>
      </c>
      <c r="G602" s="18" t="s">
        <v>302</v>
      </c>
      <c r="H602" s="20" t="s">
        <v>196</v>
      </c>
    </row>
    <row r="603" spans="1:8" ht="14.5" customHeight="1" x14ac:dyDescent="0.3">
      <c r="A603" s="31" t="s">
        <v>7515</v>
      </c>
      <c r="B603" s="31" t="s">
        <v>6395</v>
      </c>
      <c r="C603" s="32" t="s">
        <v>3559</v>
      </c>
      <c r="D603" s="33" t="s">
        <v>6392</v>
      </c>
      <c r="E603" s="31" t="s">
        <v>6393</v>
      </c>
      <c r="F603" s="32" t="s">
        <v>6394</v>
      </c>
      <c r="G603" s="32" t="s">
        <v>21</v>
      </c>
      <c r="H603" s="33" t="s">
        <v>17</v>
      </c>
    </row>
    <row r="604" spans="1:8" ht="14.5" customHeight="1" x14ac:dyDescent="0.3">
      <c r="A604" s="19" t="s">
        <v>7563</v>
      </c>
      <c r="B604" s="19" t="s">
        <v>6400</v>
      </c>
      <c r="C604" s="18" t="s">
        <v>4185</v>
      </c>
      <c r="D604" s="20" t="s">
        <v>6397</v>
      </c>
      <c r="E604" s="19" t="s">
        <v>6398</v>
      </c>
      <c r="F604" s="18" t="s">
        <v>103</v>
      </c>
      <c r="G604" s="18" t="s">
        <v>6399</v>
      </c>
      <c r="H604" s="20" t="s">
        <v>32</v>
      </c>
    </row>
    <row r="605" spans="1:8" ht="14.5" customHeight="1" x14ac:dyDescent="0.3">
      <c r="A605" s="31" t="s">
        <v>7547</v>
      </c>
      <c r="B605" s="31" t="s">
        <v>6403</v>
      </c>
      <c r="C605" s="32" t="s">
        <v>3632</v>
      </c>
      <c r="D605" s="33" t="s">
        <v>6401</v>
      </c>
      <c r="E605" s="31" t="s">
        <v>6402</v>
      </c>
      <c r="F605" s="32" t="s">
        <v>4312</v>
      </c>
      <c r="G605" s="32" t="s">
        <v>75</v>
      </c>
      <c r="H605" s="33" t="s">
        <v>74</v>
      </c>
    </row>
    <row r="606" spans="1:8" ht="14.5" customHeight="1" x14ac:dyDescent="0.3">
      <c r="A606" s="19" t="s">
        <v>7377</v>
      </c>
      <c r="B606" s="19" t="s">
        <v>563</v>
      </c>
      <c r="C606" s="18" t="s">
        <v>1916</v>
      </c>
      <c r="D606" s="20" t="s">
        <v>6404</v>
      </c>
      <c r="E606" s="19" t="s">
        <v>6405</v>
      </c>
      <c r="F606" s="18" t="s">
        <v>6406</v>
      </c>
      <c r="G606" s="18" t="s">
        <v>6407</v>
      </c>
      <c r="H606" s="20" t="s">
        <v>13</v>
      </c>
    </row>
    <row r="607" spans="1:8" ht="14.5" customHeight="1" x14ac:dyDescent="0.3">
      <c r="A607" s="31" t="s">
        <v>7250</v>
      </c>
      <c r="B607" s="31" t="s">
        <v>6414</v>
      </c>
      <c r="C607" s="32" t="s">
        <v>2942</v>
      </c>
      <c r="D607" s="33" t="s">
        <v>6412</v>
      </c>
      <c r="E607" s="31" t="s">
        <v>6413</v>
      </c>
      <c r="F607" s="32" t="s">
        <v>103</v>
      </c>
      <c r="G607" s="32" t="s">
        <v>21</v>
      </c>
      <c r="H607" s="33" t="s">
        <v>17</v>
      </c>
    </row>
    <row r="608" spans="1:8" ht="14.5" customHeight="1" x14ac:dyDescent="0.3">
      <c r="A608" s="19" t="s">
        <v>7530</v>
      </c>
      <c r="B608" s="19" t="s">
        <v>6411</v>
      </c>
      <c r="C608" s="18" t="s">
        <v>3661</v>
      </c>
      <c r="D608" s="20" t="s">
        <v>6408</v>
      </c>
      <c r="E608" s="19" t="s">
        <v>6409</v>
      </c>
      <c r="F608" s="18" t="s">
        <v>6410</v>
      </c>
      <c r="G608" s="18" t="s">
        <v>61</v>
      </c>
      <c r="H608" s="20" t="s">
        <v>60</v>
      </c>
    </row>
    <row r="609" spans="1:8" ht="14.5" customHeight="1" x14ac:dyDescent="0.3">
      <c r="A609" s="31" t="s">
        <v>7546</v>
      </c>
      <c r="B609" s="31" t="s">
        <v>6360</v>
      </c>
      <c r="C609" s="32" t="s">
        <v>3538</v>
      </c>
      <c r="D609" s="33" t="s">
        <v>6358</v>
      </c>
      <c r="E609" s="31" t="s">
        <v>6359</v>
      </c>
      <c r="F609" s="32" t="s">
        <v>4243</v>
      </c>
      <c r="G609" s="32" t="s">
        <v>5400</v>
      </c>
      <c r="H609" s="33" t="s">
        <v>148</v>
      </c>
    </row>
    <row r="610" spans="1:8" ht="14.5" customHeight="1" x14ac:dyDescent="0.3">
      <c r="A610" s="19" t="s">
        <v>7251</v>
      </c>
      <c r="B610" s="19" t="s">
        <v>6426</v>
      </c>
      <c r="C610" s="18" t="s">
        <v>3648</v>
      </c>
      <c r="D610" s="20" t="s">
        <v>6423</v>
      </c>
      <c r="E610" s="19" t="s">
        <v>6424</v>
      </c>
      <c r="F610" s="18" t="s">
        <v>6425</v>
      </c>
      <c r="G610" s="18" t="s">
        <v>4870</v>
      </c>
      <c r="H610" s="20" t="s">
        <v>17</v>
      </c>
    </row>
    <row r="611" spans="1:8" ht="14.5" customHeight="1" x14ac:dyDescent="0.3">
      <c r="A611" s="31" t="s">
        <v>7570</v>
      </c>
      <c r="B611" s="31" t="s">
        <v>6418</v>
      </c>
      <c r="C611" s="32" t="s">
        <v>2041</v>
      </c>
      <c r="D611" s="33" t="s">
        <v>6415</v>
      </c>
      <c r="E611" s="31" t="s">
        <v>6416</v>
      </c>
      <c r="F611" s="32" t="s">
        <v>6417</v>
      </c>
      <c r="G611" s="32" t="s">
        <v>4713</v>
      </c>
      <c r="H611" s="33" t="s">
        <v>13</v>
      </c>
    </row>
    <row r="612" spans="1:8" ht="14.5" customHeight="1" x14ac:dyDescent="0.3">
      <c r="A612" s="19" t="s">
        <v>7364</v>
      </c>
      <c r="B612" s="19" t="s">
        <v>6422</v>
      </c>
      <c r="C612" s="18" t="s">
        <v>3233</v>
      </c>
      <c r="D612" s="20" t="s">
        <v>6419</v>
      </c>
      <c r="E612" s="19" t="s">
        <v>6420</v>
      </c>
      <c r="F612" s="18" t="s">
        <v>4658</v>
      </c>
      <c r="G612" s="18" t="s">
        <v>6421</v>
      </c>
      <c r="H612" s="20" t="s">
        <v>84</v>
      </c>
    </row>
    <row r="613" spans="1:8" ht="14.5" customHeight="1" x14ac:dyDescent="0.3">
      <c r="A613" s="31" t="s">
        <v>7548</v>
      </c>
      <c r="B613" s="31" t="s">
        <v>6427</v>
      </c>
      <c r="C613" s="32" t="s">
        <v>3020</v>
      </c>
      <c r="D613" s="33" t="s">
        <v>6428</v>
      </c>
      <c r="E613" s="31" t="s">
        <v>6429</v>
      </c>
      <c r="F613" s="32" t="s">
        <v>5405</v>
      </c>
      <c r="G613" s="32" t="s">
        <v>45</v>
      </c>
      <c r="H613" s="33" t="s">
        <v>13</v>
      </c>
    </row>
    <row r="614" spans="1:8" ht="14.5" customHeight="1" x14ac:dyDescent="0.3">
      <c r="A614" s="19" t="s">
        <v>7730</v>
      </c>
      <c r="B614" s="19" t="s">
        <v>5613</v>
      </c>
      <c r="C614" s="18" t="s">
        <v>2156</v>
      </c>
      <c r="D614" s="20" t="s">
        <v>6430</v>
      </c>
      <c r="E614" s="19" t="s">
        <v>6431</v>
      </c>
      <c r="F614" s="18" t="s">
        <v>4854</v>
      </c>
      <c r="G614" s="18" t="s">
        <v>4994</v>
      </c>
      <c r="H614" s="20" t="s">
        <v>84</v>
      </c>
    </row>
    <row r="615" spans="1:8" ht="14.5" customHeight="1" x14ac:dyDescent="0.3">
      <c r="A615" s="31" t="s">
        <v>7732</v>
      </c>
      <c r="B615" s="31" t="s">
        <v>785</v>
      </c>
      <c r="C615" s="32" t="s">
        <v>134</v>
      </c>
      <c r="D615" s="33" t="s">
        <v>6432</v>
      </c>
      <c r="E615" s="31" t="s">
        <v>135</v>
      </c>
      <c r="F615" s="32"/>
      <c r="G615" s="32" t="s">
        <v>136</v>
      </c>
      <c r="H615" s="33" t="s">
        <v>17</v>
      </c>
    </row>
    <row r="616" spans="1:8" ht="14.5" customHeight="1" x14ac:dyDescent="0.3">
      <c r="A616" s="19" t="s">
        <v>7668</v>
      </c>
      <c r="B616" s="19" t="s">
        <v>896</v>
      </c>
      <c r="C616" s="18" t="s">
        <v>898</v>
      </c>
      <c r="D616" s="20" t="s">
        <v>6433</v>
      </c>
      <c r="E616" s="19" t="s">
        <v>121</v>
      </c>
      <c r="F616" s="18"/>
      <c r="G616" s="18" t="s">
        <v>21</v>
      </c>
      <c r="H616" s="20" t="s">
        <v>17</v>
      </c>
    </row>
    <row r="617" spans="1:8" ht="14.5" customHeight="1" x14ac:dyDescent="0.3">
      <c r="A617" s="31" t="s">
        <v>7734</v>
      </c>
      <c r="B617" s="31" t="s">
        <v>4624</v>
      </c>
      <c r="C617" s="32" t="s">
        <v>3893</v>
      </c>
      <c r="D617" s="33" t="s">
        <v>6434</v>
      </c>
      <c r="E617" s="31" t="s">
        <v>6435</v>
      </c>
      <c r="F617" s="32" t="s">
        <v>6436</v>
      </c>
      <c r="G617" s="32" t="s">
        <v>21</v>
      </c>
      <c r="H617" s="33" t="s">
        <v>17</v>
      </c>
    </row>
    <row r="618" spans="1:8" ht="14.5" customHeight="1" x14ac:dyDescent="0.3">
      <c r="A618" s="19" t="s">
        <v>7735</v>
      </c>
      <c r="B618" s="19" t="s">
        <v>521</v>
      </c>
      <c r="C618" s="18" t="s">
        <v>987</v>
      </c>
      <c r="D618" s="20" t="s">
        <v>6437</v>
      </c>
      <c r="E618" s="19" t="s">
        <v>168</v>
      </c>
      <c r="F618" s="18"/>
      <c r="G618" s="18" t="s">
        <v>6438</v>
      </c>
      <c r="H618" s="20" t="s">
        <v>9</v>
      </c>
    </row>
    <row r="619" spans="1:8" ht="14.5" customHeight="1" x14ac:dyDescent="0.3">
      <c r="A619" s="31" t="s">
        <v>7561</v>
      </c>
      <c r="B619" s="31" t="s">
        <v>6441</v>
      </c>
      <c r="C619" s="32" t="s">
        <v>3581</v>
      </c>
      <c r="D619" s="33" t="s">
        <v>6439</v>
      </c>
      <c r="E619" s="31" t="s">
        <v>6440</v>
      </c>
      <c r="F619" s="32" t="s">
        <v>4262</v>
      </c>
      <c r="G619" s="32" t="s">
        <v>152</v>
      </c>
      <c r="H619" s="33" t="s">
        <v>9</v>
      </c>
    </row>
    <row r="620" spans="1:8" ht="14.5" customHeight="1" x14ac:dyDescent="0.3">
      <c r="A620" s="19" t="s">
        <v>7550</v>
      </c>
      <c r="B620" s="19" t="s">
        <v>658</v>
      </c>
      <c r="C620" s="18" t="s">
        <v>1880</v>
      </c>
      <c r="D620" s="20">
        <v>11975911225</v>
      </c>
      <c r="E620" s="19" t="s">
        <v>6442</v>
      </c>
      <c r="F620" s="18" t="s">
        <v>6443</v>
      </c>
      <c r="G620" s="18" t="s">
        <v>21</v>
      </c>
      <c r="H620" s="20" t="s">
        <v>17</v>
      </c>
    </row>
    <row r="621" spans="1:8" ht="14.5" customHeight="1" x14ac:dyDescent="0.3">
      <c r="A621" s="31" t="s">
        <v>7739</v>
      </c>
      <c r="B621" s="31" t="s">
        <v>6446</v>
      </c>
      <c r="C621" s="32" t="s">
        <v>2681</v>
      </c>
      <c r="D621" s="33" t="s">
        <v>6444</v>
      </c>
      <c r="E621" s="31" t="s">
        <v>57</v>
      </c>
      <c r="F621" s="32" t="s">
        <v>6445</v>
      </c>
      <c r="G621" s="32" t="s">
        <v>4279</v>
      </c>
      <c r="H621" s="33" t="s">
        <v>287</v>
      </c>
    </row>
    <row r="622" spans="1:8" ht="14.5" customHeight="1" x14ac:dyDescent="0.3">
      <c r="A622" s="19" t="s">
        <v>7252</v>
      </c>
      <c r="B622" s="19" t="s">
        <v>6449</v>
      </c>
      <c r="C622" s="18" t="s">
        <v>3353</v>
      </c>
      <c r="D622" s="20" t="s">
        <v>6447</v>
      </c>
      <c r="E622" s="19" t="s">
        <v>6448</v>
      </c>
      <c r="F622" s="18" t="s">
        <v>103</v>
      </c>
      <c r="G622" s="18" t="s">
        <v>55</v>
      </c>
      <c r="H622" s="20" t="s">
        <v>52</v>
      </c>
    </row>
    <row r="623" spans="1:8" ht="14.5" customHeight="1" x14ac:dyDescent="0.3">
      <c r="A623" s="31" t="s">
        <v>7218</v>
      </c>
      <c r="B623" s="31" t="s">
        <v>492</v>
      </c>
      <c r="C623" s="32" t="s">
        <v>2233</v>
      </c>
      <c r="D623" s="33" t="s">
        <v>6453</v>
      </c>
      <c r="E623" s="31" t="s">
        <v>6069</v>
      </c>
      <c r="F623" s="32" t="s">
        <v>6454</v>
      </c>
      <c r="G623" s="32" t="s">
        <v>6452</v>
      </c>
      <c r="H623" s="33" t="s">
        <v>148</v>
      </c>
    </row>
    <row r="624" spans="1:8" ht="14.5" customHeight="1" x14ac:dyDescent="0.3">
      <c r="A624" s="19" t="s">
        <v>7463</v>
      </c>
      <c r="B624" s="19" t="s">
        <v>6458</v>
      </c>
      <c r="C624" s="18" t="s">
        <v>3604</v>
      </c>
      <c r="D624" s="20" t="s">
        <v>6455</v>
      </c>
      <c r="E624" s="19" t="s">
        <v>6456</v>
      </c>
      <c r="F624" s="18" t="s">
        <v>6457</v>
      </c>
      <c r="G624" s="18" t="s">
        <v>21</v>
      </c>
      <c r="H624" s="20" t="s">
        <v>17</v>
      </c>
    </row>
    <row r="625" spans="1:8" ht="14.5" customHeight="1" x14ac:dyDescent="0.3">
      <c r="A625" s="31" t="s">
        <v>7757</v>
      </c>
      <c r="B625" s="31" t="s">
        <v>5415</v>
      </c>
      <c r="C625" s="32" t="s">
        <v>1802</v>
      </c>
      <c r="D625" s="33" t="s">
        <v>6459</v>
      </c>
      <c r="E625" s="31" t="s">
        <v>6460</v>
      </c>
      <c r="F625" s="32" t="s">
        <v>6461</v>
      </c>
      <c r="G625" s="32" t="s">
        <v>21</v>
      </c>
      <c r="H625" s="33" t="s">
        <v>17</v>
      </c>
    </row>
    <row r="626" spans="1:8" ht="14.5" customHeight="1" x14ac:dyDescent="0.3">
      <c r="A626" s="19" t="s">
        <v>7562</v>
      </c>
      <c r="B626" s="19" t="s">
        <v>600</v>
      </c>
      <c r="C626" s="18" t="s">
        <v>2408</v>
      </c>
      <c r="D626" s="20" t="s">
        <v>6462</v>
      </c>
      <c r="E626" s="19" t="s">
        <v>6463</v>
      </c>
      <c r="F626" s="18" t="s">
        <v>6464</v>
      </c>
      <c r="G626" s="18" t="s">
        <v>4926</v>
      </c>
      <c r="H626" s="20" t="s">
        <v>9</v>
      </c>
    </row>
    <row r="627" spans="1:8" ht="14.5" customHeight="1" x14ac:dyDescent="0.3">
      <c r="A627" s="31" t="s">
        <v>7760</v>
      </c>
      <c r="B627" s="31" t="s">
        <v>1377</v>
      </c>
      <c r="C627" s="32" t="s">
        <v>319</v>
      </c>
      <c r="D627" s="33" t="s">
        <v>6465</v>
      </c>
      <c r="E627" s="31" t="s">
        <v>6466</v>
      </c>
      <c r="F627" s="32" t="s">
        <v>320</v>
      </c>
      <c r="G627" s="32" t="s">
        <v>11</v>
      </c>
      <c r="H627" s="33" t="s">
        <v>9</v>
      </c>
    </row>
    <row r="628" spans="1:8" ht="14.5" customHeight="1" x14ac:dyDescent="0.3">
      <c r="A628" s="19" t="s">
        <v>7762</v>
      </c>
      <c r="B628" s="19" t="s">
        <v>1104</v>
      </c>
      <c r="C628" s="18" t="s">
        <v>1106</v>
      </c>
      <c r="D628" s="20" t="s">
        <v>183</v>
      </c>
      <c r="E628" s="19" t="s">
        <v>184</v>
      </c>
      <c r="F628" s="18" t="s">
        <v>185</v>
      </c>
      <c r="G628" s="18" t="s">
        <v>21</v>
      </c>
      <c r="H628" s="20" t="s">
        <v>17</v>
      </c>
    </row>
    <row r="629" spans="1:8" ht="14.5" customHeight="1" x14ac:dyDescent="0.3">
      <c r="A629" s="31" t="s">
        <v>7764</v>
      </c>
      <c r="B629" s="31" t="s">
        <v>1286</v>
      </c>
      <c r="C629" s="32" t="s">
        <v>291</v>
      </c>
      <c r="D629" s="33" t="s">
        <v>1289</v>
      </c>
      <c r="E629" s="31" t="s">
        <v>292</v>
      </c>
      <c r="F629" s="32" t="s">
        <v>293</v>
      </c>
      <c r="G629" s="32" t="s">
        <v>21</v>
      </c>
      <c r="H629" s="33" t="s">
        <v>17</v>
      </c>
    </row>
    <row r="630" spans="1:8" ht="14.5" customHeight="1" x14ac:dyDescent="0.3">
      <c r="A630" s="19" t="s">
        <v>7253</v>
      </c>
      <c r="B630" s="19" t="s">
        <v>6470</v>
      </c>
      <c r="C630" s="18" t="s">
        <v>4172</v>
      </c>
      <c r="D630" s="20" t="s">
        <v>6467</v>
      </c>
      <c r="E630" s="19" t="s">
        <v>6468</v>
      </c>
      <c r="F630" s="18" t="s">
        <v>6469</v>
      </c>
      <c r="G630" s="18" t="s">
        <v>4375</v>
      </c>
      <c r="H630" s="20" t="s">
        <v>64</v>
      </c>
    </row>
    <row r="631" spans="1:8" ht="14.5" customHeight="1" x14ac:dyDescent="0.3">
      <c r="A631" s="31" t="s">
        <v>7571</v>
      </c>
      <c r="B631" s="31" t="s">
        <v>6474</v>
      </c>
      <c r="C631" s="32" t="s">
        <v>3350</v>
      </c>
      <c r="D631" s="33" t="s">
        <v>6471</v>
      </c>
      <c r="E631" s="31" t="s">
        <v>6472</v>
      </c>
      <c r="F631" s="32" t="s">
        <v>6473</v>
      </c>
      <c r="G631" s="32" t="s">
        <v>21</v>
      </c>
      <c r="H631" s="33" t="s">
        <v>17</v>
      </c>
    </row>
    <row r="632" spans="1:8" ht="14.5" customHeight="1" x14ac:dyDescent="0.3">
      <c r="A632" s="19" t="s">
        <v>7555</v>
      </c>
      <c r="B632" s="19" t="s">
        <v>6478</v>
      </c>
      <c r="C632" s="18" t="s">
        <v>4139</v>
      </c>
      <c r="D632" s="20" t="s">
        <v>6475</v>
      </c>
      <c r="E632" s="19" t="s">
        <v>6476</v>
      </c>
      <c r="F632" s="18" t="s">
        <v>6477</v>
      </c>
      <c r="G632" s="18" t="s">
        <v>4687</v>
      </c>
      <c r="H632" s="20" t="s">
        <v>40</v>
      </c>
    </row>
    <row r="633" spans="1:8" ht="14.5" customHeight="1" x14ac:dyDescent="0.3">
      <c r="A633" s="31" t="s">
        <v>7768</v>
      </c>
      <c r="B633" s="31" t="s">
        <v>6136</v>
      </c>
      <c r="C633" s="32" t="s">
        <v>1811</v>
      </c>
      <c r="D633" s="33" t="s">
        <v>6479</v>
      </c>
      <c r="E633" s="31" t="s">
        <v>6480</v>
      </c>
      <c r="F633" s="32" t="s">
        <v>6481</v>
      </c>
      <c r="G633" s="32" t="s">
        <v>6482</v>
      </c>
      <c r="H633" s="33" t="s">
        <v>13</v>
      </c>
    </row>
    <row r="634" spans="1:8" ht="14.5" customHeight="1" x14ac:dyDescent="0.3">
      <c r="A634" s="19" t="s">
        <v>7726</v>
      </c>
      <c r="B634" s="19" t="s">
        <v>4554</v>
      </c>
      <c r="C634" s="18" t="s">
        <v>2707</v>
      </c>
      <c r="D634" s="20" t="s">
        <v>6450</v>
      </c>
      <c r="E634" s="19" t="s">
        <v>6451</v>
      </c>
      <c r="F634" s="18" t="s">
        <v>6256</v>
      </c>
      <c r="G634" s="18" t="s">
        <v>152</v>
      </c>
      <c r="H634" s="20" t="s">
        <v>9</v>
      </c>
    </row>
    <row r="635" spans="1:8" ht="14.5" customHeight="1" x14ac:dyDescent="0.3">
      <c r="A635" s="31" t="s">
        <v>7480</v>
      </c>
      <c r="B635" s="31" t="s">
        <v>6204</v>
      </c>
      <c r="C635" s="32" t="s">
        <v>2872</v>
      </c>
      <c r="D635" s="33" t="s">
        <v>6201</v>
      </c>
      <c r="E635" s="31" t="s">
        <v>6202</v>
      </c>
      <c r="F635" s="32" t="s">
        <v>6203</v>
      </c>
      <c r="G635" s="32" t="s">
        <v>4892</v>
      </c>
      <c r="H635" s="33" t="s">
        <v>287</v>
      </c>
    </row>
    <row r="636" spans="1:8" ht="14.5" customHeight="1" x14ac:dyDescent="0.3">
      <c r="A636" s="19" t="s">
        <v>7558</v>
      </c>
      <c r="B636" s="19" t="s">
        <v>563</v>
      </c>
      <c r="C636" s="18" t="s">
        <v>2926</v>
      </c>
      <c r="D636" s="20" t="s">
        <v>6483</v>
      </c>
      <c r="E636" s="19" t="s">
        <v>6484</v>
      </c>
      <c r="F636" s="18" t="s">
        <v>103</v>
      </c>
      <c r="G636" s="18" t="s">
        <v>6485</v>
      </c>
      <c r="H636" s="20" t="s">
        <v>3</v>
      </c>
    </row>
    <row r="637" spans="1:8" ht="14.5" customHeight="1" x14ac:dyDescent="0.3">
      <c r="A637" s="31" t="s">
        <v>7564</v>
      </c>
      <c r="B637" s="31" t="s">
        <v>821</v>
      </c>
      <c r="C637" s="32" t="s">
        <v>2505</v>
      </c>
      <c r="D637" s="33" t="s">
        <v>6486</v>
      </c>
      <c r="E637" s="31" t="s">
        <v>6487</v>
      </c>
      <c r="F637" s="32" t="s">
        <v>4285</v>
      </c>
      <c r="G637" s="32" t="s">
        <v>285</v>
      </c>
      <c r="H637" s="33" t="s">
        <v>148</v>
      </c>
    </row>
    <row r="638" spans="1:8" ht="14.5" customHeight="1" x14ac:dyDescent="0.3">
      <c r="A638" s="19" t="s">
        <v>7396</v>
      </c>
      <c r="B638" s="19" t="s">
        <v>4588</v>
      </c>
      <c r="C638" s="18" t="s">
        <v>4053</v>
      </c>
      <c r="D638" s="20" t="s">
        <v>6488</v>
      </c>
      <c r="E638" s="19" t="s">
        <v>6489</v>
      </c>
      <c r="F638" s="18" t="s">
        <v>5485</v>
      </c>
      <c r="G638" s="18" t="s">
        <v>285</v>
      </c>
      <c r="H638" s="20" t="s">
        <v>148</v>
      </c>
    </row>
    <row r="639" spans="1:8" ht="14.5" customHeight="1" x14ac:dyDescent="0.3">
      <c r="A639" s="31" t="s">
        <v>7640</v>
      </c>
      <c r="B639" s="31" t="s">
        <v>6493</v>
      </c>
      <c r="C639" s="32" t="s">
        <v>2439</v>
      </c>
      <c r="D639" s="33" t="s">
        <v>6490</v>
      </c>
      <c r="E639" s="31" t="s">
        <v>6491</v>
      </c>
      <c r="F639" s="32" t="s">
        <v>6492</v>
      </c>
      <c r="G639" s="32" t="s">
        <v>4238</v>
      </c>
      <c r="H639" s="33" t="s">
        <v>166</v>
      </c>
    </row>
    <row r="640" spans="1:8" ht="14.5" customHeight="1" x14ac:dyDescent="0.3">
      <c r="A640" s="19" t="s">
        <v>7574</v>
      </c>
      <c r="B640" s="19" t="s">
        <v>6497</v>
      </c>
      <c r="C640" s="18" t="s">
        <v>3189</v>
      </c>
      <c r="D640" s="20" t="s">
        <v>6494</v>
      </c>
      <c r="E640" s="19" t="s">
        <v>6495</v>
      </c>
      <c r="F640" s="18" t="s">
        <v>6496</v>
      </c>
      <c r="G640" s="18" t="s">
        <v>4572</v>
      </c>
      <c r="H640" s="20" t="s">
        <v>13</v>
      </c>
    </row>
    <row r="641" spans="1:8" ht="14.5" customHeight="1" x14ac:dyDescent="0.3">
      <c r="A641" s="31" t="s">
        <v>7576</v>
      </c>
      <c r="B641" s="31" t="s">
        <v>816</v>
      </c>
      <c r="C641" s="32" t="s">
        <v>3199</v>
      </c>
      <c r="D641" s="33" t="s">
        <v>6498</v>
      </c>
      <c r="E641" s="31" t="s">
        <v>6499</v>
      </c>
      <c r="F641" s="32" t="s">
        <v>103</v>
      </c>
      <c r="G641" s="32" t="s">
        <v>5028</v>
      </c>
      <c r="H641" s="33" t="s">
        <v>60</v>
      </c>
    </row>
    <row r="642" spans="1:8" ht="14.5" customHeight="1" x14ac:dyDescent="0.3">
      <c r="A642" s="19" t="s">
        <v>7742</v>
      </c>
      <c r="B642" s="19" t="s">
        <v>6503</v>
      </c>
      <c r="C642" s="18" t="s">
        <v>2458</v>
      </c>
      <c r="D642" s="20" t="s">
        <v>6500</v>
      </c>
      <c r="E642" s="19" t="s">
        <v>6501</v>
      </c>
      <c r="F642" s="18" t="s">
        <v>21</v>
      </c>
      <c r="G642" s="18" t="s">
        <v>6502</v>
      </c>
      <c r="H642" s="20" t="s">
        <v>84</v>
      </c>
    </row>
    <row r="643" spans="1:8" ht="14.5" customHeight="1" x14ac:dyDescent="0.3">
      <c r="A643" s="31" t="s">
        <v>7580</v>
      </c>
      <c r="B643" s="31" t="s">
        <v>6507</v>
      </c>
      <c r="C643" s="32" t="s">
        <v>3029</v>
      </c>
      <c r="D643" s="33" t="s">
        <v>6504</v>
      </c>
      <c r="E643" s="31" t="s">
        <v>6505</v>
      </c>
      <c r="F643" s="32" t="s">
        <v>6506</v>
      </c>
      <c r="G643" s="32" t="s">
        <v>230</v>
      </c>
      <c r="H643" s="33" t="s">
        <v>60</v>
      </c>
    </row>
    <row r="644" spans="1:8" ht="14.5" customHeight="1" x14ac:dyDescent="0.3">
      <c r="A644" s="19" t="s">
        <v>7582</v>
      </c>
      <c r="B644" s="19" t="s">
        <v>5328</v>
      </c>
      <c r="C644" s="18" t="s">
        <v>3884</v>
      </c>
      <c r="D644" s="20" t="s">
        <v>6508</v>
      </c>
      <c r="E644" s="19" t="s">
        <v>6509</v>
      </c>
      <c r="F644" s="18" t="s">
        <v>6510</v>
      </c>
      <c r="G644" s="18" t="s">
        <v>21</v>
      </c>
      <c r="H644" s="20" t="s">
        <v>17</v>
      </c>
    </row>
    <row r="645" spans="1:8" ht="14.5" customHeight="1" x14ac:dyDescent="0.3">
      <c r="A645" s="31" t="s">
        <v>7585</v>
      </c>
      <c r="B645" s="31" t="s">
        <v>6513</v>
      </c>
      <c r="C645" s="32" t="s">
        <v>3131</v>
      </c>
      <c r="D645" s="33" t="s">
        <v>6511</v>
      </c>
      <c r="E645" s="31" t="s">
        <v>6512</v>
      </c>
      <c r="F645" s="32" t="s">
        <v>5051</v>
      </c>
      <c r="G645" s="32" t="s">
        <v>5071</v>
      </c>
      <c r="H645" s="33" t="s">
        <v>148</v>
      </c>
    </row>
    <row r="646" spans="1:8" ht="14.5" customHeight="1" x14ac:dyDescent="0.3">
      <c r="A646" s="19" t="s">
        <v>201</v>
      </c>
      <c r="B646" s="19" t="s">
        <v>1075</v>
      </c>
      <c r="C646" s="18" t="s">
        <v>202</v>
      </c>
      <c r="D646" s="20" t="s">
        <v>6514</v>
      </c>
      <c r="E646" s="19" t="s">
        <v>203</v>
      </c>
      <c r="F646" s="18" t="s">
        <v>204</v>
      </c>
      <c r="G646" s="18" t="s">
        <v>45</v>
      </c>
      <c r="H646" s="20" t="s">
        <v>13</v>
      </c>
    </row>
    <row r="647" spans="1:8" ht="14.5" customHeight="1" x14ac:dyDescent="0.3">
      <c r="A647" s="31" t="s">
        <v>7586</v>
      </c>
      <c r="B647" s="31" t="s">
        <v>6518</v>
      </c>
      <c r="C647" s="32" t="s">
        <v>3702</v>
      </c>
      <c r="D647" s="33" t="s">
        <v>6515</v>
      </c>
      <c r="E647" s="31" t="s">
        <v>6516</v>
      </c>
      <c r="F647" s="32" t="s">
        <v>6517</v>
      </c>
      <c r="G647" s="32" t="s">
        <v>5788</v>
      </c>
      <c r="H647" s="33" t="s">
        <v>17</v>
      </c>
    </row>
    <row r="648" spans="1:8" ht="14.5" customHeight="1" x14ac:dyDescent="0.3">
      <c r="A648" s="19" t="s">
        <v>3296</v>
      </c>
      <c r="B648" s="19" t="s">
        <v>4670</v>
      </c>
      <c r="C648" s="18" t="s">
        <v>3297</v>
      </c>
      <c r="D648" s="20" t="s">
        <v>6519</v>
      </c>
      <c r="E648" s="19" t="s">
        <v>6520</v>
      </c>
      <c r="F648" s="18" t="s">
        <v>6521</v>
      </c>
      <c r="G648" s="18" t="s">
        <v>21</v>
      </c>
      <c r="H648" s="20" t="s">
        <v>17</v>
      </c>
    </row>
    <row r="649" spans="1:8" ht="14.5" customHeight="1" x14ac:dyDescent="0.3">
      <c r="A649" s="31" t="s">
        <v>3657</v>
      </c>
      <c r="B649" s="31" t="s">
        <v>6524</v>
      </c>
      <c r="C649" s="32" t="s">
        <v>3658</v>
      </c>
      <c r="D649" s="33" t="s">
        <v>6522</v>
      </c>
      <c r="E649" s="31" t="s">
        <v>6523</v>
      </c>
      <c r="F649" s="32" t="s">
        <v>4335</v>
      </c>
      <c r="G649" s="32" t="s">
        <v>61</v>
      </c>
      <c r="H649" s="33" t="s">
        <v>60</v>
      </c>
    </row>
    <row r="650" spans="1:8" ht="14.5" customHeight="1" x14ac:dyDescent="0.3">
      <c r="A650" s="19" t="s">
        <v>7589</v>
      </c>
      <c r="B650" s="19" t="s">
        <v>6529</v>
      </c>
      <c r="C650" s="18" t="s">
        <v>3022</v>
      </c>
      <c r="D650" s="20" t="s">
        <v>6525</v>
      </c>
      <c r="E650" s="19" t="s">
        <v>6526</v>
      </c>
      <c r="F650" s="18" t="s">
        <v>6527</v>
      </c>
      <c r="G650" s="18" t="s">
        <v>6528</v>
      </c>
      <c r="H650" s="20" t="s">
        <v>84</v>
      </c>
    </row>
    <row r="651" spans="1:8" ht="14.5" customHeight="1" x14ac:dyDescent="0.3">
      <c r="A651" s="31" t="s">
        <v>7590</v>
      </c>
      <c r="B651" s="31" t="s">
        <v>4280</v>
      </c>
      <c r="C651" s="32" t="s">
        <v>3520</v>
      </c>
      <c r="D651" s="33" t="s">
        <v>6530</v>
      </c>
      <c r="E651" s="31" t="s">
        <v>6531</v>
      </c>
      <c r="F651" s="32" t="s">
        <v>6532</v>
      </c>
      <c r="G651" s="32" t="s">
        <v>5331</v>
      </c>
      <c r="H651" s="33" t="s">
        <v>32</v>
      </c>
    </row>
    <row r="652" spans="1:8" ht="14.5" customHeight="1" x14ac:dyDescent="0.3">
      <c r="A652" s="19" t="s">
        <v>7254</v>
      </c>
      <c r="B652" s="19" t="s">
        <v>6535</v>
      </c>
      <c r="C652" s="18" t="s">
        <v>3147</v>
      </c>
      <c r="D652" s="20" t="s">
        <v>6533</v>
      </c>
      <c r="E652" s="19" t="s">
        <v>6534</v>
      </c>
      <c r="F652" s="18" t="s">
        <v>4633</v>
      </c>
      <c r="G652" s="18" t="s">
        <v>21</v>
      </c>
      <c r="H652" s="20" t="s">
        <v>17</v>
      </c>
    </row>
    <row r="653" spans="1:8" ht="14.5" customHeight="1" x14ac:dyDescent="0.3">
      <c r="A653" s="31" t="s">
        <v>2973</v>
      </c>
      <c r="B653" s="31" t="s">
        <v>4644</v>
      </c>
      <c r="C653" s="32" t="s">
        <v>2974</v>
      </c>
      <c r="D653" s="33" t="s">
        <v>6536</v>
      </c>
      <c r="E653" s="31" t="s">
        <v>6537</v>
      </c>
      <c r="F653" s="32" t="s">
        <v>6538</v>
      </c>
      <c r="G653" s="32" t="s">
        <v>61</v>
      </c>
      <c r="H653" s="33" t="s">
        <v>60</v>
      </c>
    </row>
    <row r="654" spans="1:8" ht="14.5" customHeight="1" x14ac:dyDescent="0.3">
      <c r="A654" s="19" t="s">
        <v>7592</v>
      </c>
      <c r="B654" s="19" t="s">
        <v>6541</v>
      </c>
      <c r="C654" s="18" t="s">
        <v>3027</v>
      </c>
      <c r="D654" s="20" t="s">
        <v>6539</v>
      </c>
      <c r="E654" s="19" t="s">
        <v>6540</v>
      </c>
      <c r="F654" s="18" t="s">
        <v>5352</v>
      </c>
      <c r="G654" s="18" t="s">
        <v>285</v>
      </c>
      <c r="H654" s="20" t="s">
        <v>148</v>
      </c>
    </row>
    <row r="655" spans="1:8" ht="14.5" customHeight="1" x14ac:dyDescent="0.3">
      <c r="A655" s="31" t="s">
        <v>7596</v>
      </c>
      <c r="B655" s="31" t="s">
        <v>658</v>
      </c>
      <c r="C655" s="32" t="s">
        <v>2908</v>
      </c>
      <c r="D655" s="33" t="s">
        <v>6542</v>
      </c>
      <c r="E655" s="31" t="s">
        <v>6543</v>
      </c>
      <c r="F655" s="32" t="s">
        <v>4251</v>
      </c>
      <c r="G655" s="32" t="s">
        <v>159</v>
      </c>
      <c r="H655" s="33" t="s">
        <v>9</v>
      </c>
    </row>
    <row r="656" spans="1:8" ht="14.5" customHeight="1" x14ac:dyDescent="0.3">
      <c r="A656" s="19" t="s">
        <v>7593</v>
      </c>
      <c r="B656" s="19" t="s">
        <v>6547</v>
      </c>
      <c r="C656" s="18" t="s">
        <v>2610</v>
      </c>
      <c r="D656" s="20" t="s">
        <v>6544</v>
      </c>
      <c r="E656" s="19" t="s">
        <v>6545</v>
      </c>
      <c r="F656" s="18" t="s">
        <v>6546</v>
      </c>
      <c r="G656" s="18" t="s">
        <v>61</v>
      </c>
      <c r="H656" s="20" t="s">
        <v>60</v>
      </c>
    </row>
    <row r="657" spans="1:8" ht="14.5" customHeight="1" x14ac:dyDescent="0.3">
      <c r="A657" s="31" t="s">
        <v>7594</v>
      </c>
      <c r="B657" s="31" t="s">
        <v>4240</v>
      </c>
      <c r="C657" s="32" t="s">
        <v>3720</v>
      </c>
      <c r="D657" s="33" t="s">
        <v>6548</v>
      </c>
      <c r="E657" s="31" t="s">
        <v>6549</v>
      </c>
      <c r="F657" s="32" t="s">
        <v>6550</v>
      </c>
      <c r="G657" s="32" t="s">
        <v>48</v>
      </c>
      <c r="H657" s="33" t="s">
        <v>47</v>
      </c>
    </row>
    <row r="658" spans="1:8" ht="14.5" customHeight="1" x14ac:dyDescent="0.3">
      <c r="A658" s="19" t="s">
        <v>7263</v>
      </c>
      <c r="B658" s="19" t="s">
        <v>4500</v>
      </c>
      <c r="C658" s="18" t="s">
        <v>6552</v>
      </c>
      <c r="D658" s="20" t="s">
        <v>6551</v>
      </c>
      <c r="E658" s="19" t="s">
        <v>6553</v>
      </c>
      <c r="F658" s="18" t="s">
        <v>4285</v>
      </c>
      <c r="G658" s="18" t="s">
        <v>285</v>
      </c>
      <c r="H658" s="20" t="s">
        <v>148</v>
      </c>
    </row>
    <row r="659" spans="1:8" ht="14.5" customHeight="1" x14ac:dyDescent="0.3">
      <c r="A659" s="31" t="s">
        <v>7745</v>
      </c>
      <c r="B659" s="31" t="s">
        <v>6554</v>
      </c>
      <c r="C659" s="32" t="s">
        <v>2968</v>
      </c>
      <c r="D659" s="33"/>
      <c r="E659" s="31" t="s">
        <v>6555</v>
      </c>
      <c r="F659" s="32" t="s">
        <v>6556</v>
      </c>
      <c r="G659" s="32" t="s">
        <v>6557</v>
      </c>
      <c r="H659" s="33" t="s">
        <v>74</v>
      </c>
    </row>
    <row r="660" spans="1:8" ht="14.5" customHeight="1" x14ac:dyDescent="0.3">
      <c r="A660" s="19" t="s">
        <v>205</v>
      </c>
      <c r="B660" s="19" t="s">
        <v>1057</v>
      </c>
      <c r="C660" s="18" t="s">
        <v>206</v>
      </c>
      <c r="D660" s="20" t="s">
        <v>6559</v>
      </c>
      <c r="E660" s="19" t="s">
        <v>6560</v>
      </c>
      <c r="F660" s="18" t="s">
        <v>207</v>
      </c>
      <c r="G660" s="18" t="s">
        <v>208</v>
      </c>
      <c r="H660" s="20" t="s">
        <v>13</v>
      </c>
    </row>
    <row r="661" spans="1:8" ht="14.5" customHeight="1" x14ac:dyDescent="0.3">
      <c r="A661" s="31" t="s">
        <v>2259</v>
      </c>
      <c r="B661" s="31" t="s">
        <v>563</v>
      </c>
      <c r="C661" s="32" t="s">
        <v>2260</v>
      </c>
      <c r="D661" s="33" t="s">
        <v>6561</v>
      </c>
      <c r="E661" s="31" t="s">
        <v>6562</v>
      </c>
      <c r="F661" s="32" t="s">
        <v>6563</v>
      </c>
      <c r="G661" s="32" t="s">
        <v>6564</v>
      </c>
      <c r="H661" s="33" t="s">
        <v>9</v>
      </c>
    </row>
    <row r="662" spans="1:8" ht="14.5" customHeight="1" x14ac:dyDescent="0.3">
      <c r="A662" s="19" t="s">
        <v>7602</v>
      </c>
      <c r="B662" s="19" t="s">
        <v>6567</v>
      </c>
      <c r="C662" s="18" t="s">
        <v>3271</v>
      </c>
      <c r="D662" s="20" t="s">
        <v>6565</v>
      </c>
      <c r="E662" s="19" t="s">
        <v>6566</v>
      </c>
      <c r="F662" s="18" t="s">
        <v>4773</v>
      </c>
      <c r="G662" s="18" t="s">
        <v>4243</v>
      </c>
      <c r="H662" s="20" t="s">
        <v>32</v>
      </c>
    </row>
    <row r="663" spans="1:8" ht="14.5" customHeight="1" x14ac:dyDescent="0.3">
      <c r="A663" s="31" t="s">
        <v>4076</v>
      </c>
      <c r="B663" s="31" t="s">
        <v>4415</v>
      </c>
      <c r="C663" s="32" t="s">
        <v>4077</v>
      </c>
      <c r="D663" s="33" t="s">
        <v>6568</v>
      </c>
      <c r="E663" s="31" t="s">
        <v>6569</v>
      </c>
      <c r="F663" s="32" t="s">
        <v>6570</v>
      </c>
      <c r="G663" s="32" t="s">
        <v>4720</v>
      </c>
      <c r="H663" s="33" t="s">
        <v>60</v>
      </c>
    </row>
    <row r="664" spans="1:8" ht="14.5" customHeight="1" x14ac:dyDescent="0.3">
      <c r="A664" s="19" t="s">
        <v>7603</v>
      </c>
      <c r="B664" s="19" t="s">
        <v>6575</v>
      </c>
      <c r="C664" s="18" t="s">
        <v>2371</v>
      </c>
      <c r="D664" s="20" t="s">
        <v>6572</v>
      </c>
      <c r="E664" s="19" t="s">
        <v>6573</v>
      </c>
      <c r="F664" s="18" t="s">
        <v>6574</v>
      </c>
      <c r="G664" s="18" t="s">
        <v>5193</v>
      </c>
      <c r="H664" s="20" t="s">
        <v>9</v>
      </c>
    </row>
    <row r="665" spans="1:8" ht="14.5" customHeight="1" x14ac:dyDescent="0.3">
      <c r="A665" s="31" t="s">
        <v>7604</v>
      </c>
      <c r="B665" s="31" t="s">
        <v>4957</v>
      </c>
      <c r="C665" s="32" t="s">
        <v>2308</v>
      </c>
      <c r="D665" s="33" t="s">
        <v>6576</v>
      </c>
      <c r="E665" s="31" t="s">
        <v>6577</v>
      </c>
      <c r="F665" s="32" t="s">
        <v>4896</v>
      </c>
      <c r="G665" s="32" t="s">
        <v>4870</v>
      </c>
      <c r="H665" s="33" t="s">
        <v>17</v>
      </c>
    </row>
    <row r="666" spans="1:8" ht="14.5" customHeight="1" x14ac:dyDescent="0.3">
      <c r="A666" s="19" t="s">
        <v>7606</v>
      </c>
      <c r="B666" s="19" t="s">
        <v>6580</v>
      </c>
      <c r="C666" s="18" t="s">
        <v>2485</v>
      </c>
      <c r="D666" s="20" t="s">
        <v>6578</v>
      </c>
      <c r="E666" s="19" t="s">
        <v>6579</v>
      </c>
      <c r="F666" s="18" t="s">
        <v>6579</v>
      </c>
      <c r="G666" s="18" t="s">
        <v>62</v>
      </c>
      <c r="H666" s="20" t="s">
        <v>17</v>
      </c>
    </row>
    <row r="667" spans="1:8" ht="14.5" customHeight="1" x14ac:dyDescent="0.3">
      <c r="A667" s="31" t="s">
        <v>7608</v>
      </c>
      <c r="B667" s="31" t="s">
        <v>6184</v>
      </c>
      <c r="C667" s="32" t="s">
        <v>3925</v>
      </c>
      <c r="D667" s="33" t="s">
        <v>6581</v>
      </c>
      <c r="E667" s="31" t="s">
        <v>6582</v>
      </c>
      <c r="F667" s="32" t="s">
        <v>6583</v>
      </c>
      <c r="G667" s="32" t="s">
        <v>4938</v>
      </c>
      <c r="H667" s="33" t="s">
        <v>9</v>
      </c>
    </row>
    <row r="668" spans="1:8" ht="14.5" customHeight="1" x14ac:dyDescent="0.3">
      <c r="A668" s="19" t="s">
        <v>4064</v>
      </c>
      <c r="B668" s="19" t="s">
        <v>6586</v>
      </c>
      <c r="C668" s="18" t="s">
        <v>4065</v>
      </c>
      <c r="D668" s="20" t="s">
        <v>6584</v>
      </c>
      <c r="E668" s="19" t="s">
        <v>6585</v>
      </c>
      <c r="F668" s="18" t="s">
        <v>4853</v>
      </c>
      <c r="G668" s="18" t="s">
        <v>61</v>
      </c>
      <c r="H668" s="20" t="s">
        <v>60</v>
      </c>
    </row>
    <row r="669" spans="1:8" ht="14.5" customHeight="1" x14ac:dyDescent="0.3">
      <c r="A669" s="31" t="s">
        <v>3083</v>
      </c>
      <c r="B669" s="31" t="s">
        <v>6589</v>
      </c>
      <c r="C669" s="32" t="s">
        <v>3084</v>
      </c>
      <c r="D669" s="33" t="s">
        <v>6587</v>
      </c>
      <c r="E669" s="31" t="s">
        <v>6588</v>
      </c>
      <c r="F669" s="32" t="s">
        <v>4928</v>
      </c>
      <c r="G669" s="32" t="s">
        <v>11</v>
      </c>
      <c r="H669" s="33" t="s">
        <v>9</v>
      </c>
    </row>
    <row r="670" spans="1:8" ht="14.5" customHeight="1" x14ac:dyDescent="0.3">
      <c r="A670" s="19" t="s">
        <v>226</v>
      </c>
      <c r="B670" s="19" t="s">
        <v>1157</v>
      </c>
      <c r="C670" s="18" t="s">
        <v>227</v>
      </c>
      <c r="D670" s="20" t="s">
        <v>1160</v>
      </c>
      <c r="E670" s="19" t="s">
        <v>6590</v>
      </c>
      <c r="F670" s="18" t="s">
        <v>229</v>
      </c>
      <c r="G670" s="18" t="s">
        <v>230</v>
      </c>
      <c r="H670" s="20" t="s">
        <v>60</v>
      </c>
    </row>
    <row r="671" spans="1:8" ht="14.5" customHeight="1" x14ac:dyDescent="0.3">
      <c r="A671" s="31" t="s">
        <v>1776</v>
      </c>
      <c r="B671" s="31" t="s">
        <v>6594</v>
      </c>
      <c r="C671" s="32" t="s">
        <v>1777</v>
      </c>
      <c r="D671" s="33" t="s">
        <v>6591</v>
      </c>
      <c r="E671" s="31" t="s">
        <v>6592</v>
      </c>
      <c r="F671" s="32" t="s">
        <v>6593</v>
      </c>
      <c r="G671" s="32" t="s">
        <v>61</v>
      </c>
      <c r="H671" s="33" t="s">
        <v>60</v>
      </c>
    </row>
    <row r="672" spans="1:8" ht="14.5" customHeight="1" x14ac:dyDescent="0.3">
      <c r="A672" s="19" t="s">
        <v>7609</v>
      </c>
      <c r="B672" s="19" t="s">
        <v>6598</v>
      </c>
      <c r="C672" s="18" t="s">
        <v>2385</v>
      </c>
      <c r="D672" s="20" t="s">
        <v>6595</v>
      </c>
      <c r="E672" s="19" t="s">
        <v>6596</v>
      </c>
      <c r="F672" s="18" t="s">
        <v>6597</v>
      </c>
      <c r="G672" s="18" t="s">
        <v>285</v>
      </c>
      <c r="H672" s="20" t="s">
        <v>148</v>
      </c>
    </row>
    <row r="673" spans="1:8" ht="14.5" customHeight="1" x14ac:dyDescent="0.3">
      <c r="A673" s="31" t="s">
        <v>7611</v>
      </c>
      <c r="B673" s="31" t="s">
        <v>5373</v>
      </c>
      <c r="C673" s="32" t="s">
        <v>3118</v>
      </c>
      <c r="D673" s="33" t="s">
        <v>6599</v>
      </c>
      <c r="E673" s="31" t="s">
        <v>6600</v>
      </c>
      <c r="F673" s="32" t="s">
        <v>4251</v>
      </c>
      <c r="G673" s="32" t="s">
        <v>159</v>
      </c>
      <c r="H673" s="33" t="s">
        <v>9</v>
      </c>
    </row>
    <row r="674" spans="1:8" ht="14.5" customHeight="1" x14ac:dyDescent="0.3">
      <c r="A674" s="19" t="s">
        <v>7612</v>
      </c>
      <c r="B674" s="19" t="s">
        <v>6603</v>
      </c>
      <c r="C674" s="18" t="s">
        <v>2029</v>
      </c>
      <c r="D674" s="20" t="s">
        <v>6601</v>
      </c>
      <c r="E674" s="19" t="s">
        <v>6602</v>
      </c>
      <c r="F674" s="18" t="s">
        <v>4582</v>
      </c>
      <c r="G674" s="18" t="s">
        <v>65</v>
      </c>
      <c r="H674" s="20" t="s">
        <v>64</v>
      </c>
    </row>
    <row r="675" spans="1:8" ht="14.5" customHeight="1" x14ac:dyDescent="0.3">
      <c r="A675" s="31" t="s">
        <v>7614</v>
      </c>
      <c r="B675" s="31" t="s">
        <v>6607</v>
      </c>
      <c r="C675" s="32" t="s">
        <v>2718</v>
      </c>
      <c r="D675" s="33" t="s">
        <v>374</v>
      </c>
      <c r="E675" s="31" t="s">
        <v>6604</v>
      </c>
      <c r="F675" s="32" t="s">
        <v>6605</v>
      </c>
      <c r="G675" s="32" t="s">
        <v>6606</v>
      </c>
      <c r="H675" s="33" t="s">
        <v>32</v>
      </c>
    </row>
    <row r="676" spans="1:8" ht="14.5" customHeight="1" x14ac:dyDescent="0.3">
      <c r="A676" s="19" t="s">
        <v>7268</v>
      </c>
      <c r="B676" s="19" t="s">
        <v>6610</v>
      </c>
      <c r="C676" s="18" t="s">
        <v>2140</v>
      </c>
      <c r="D676" s="20" t="s">
        <v>6608</v>
      </c>
      <c r="E676" s="19" t="s">
        <v>6609</v>
      </c>
      <c r="F676" s="18" t="s">
        <v>4255</v>
      </c>
      <c r="G676" s="18" t="s">
        <v>11</v>
      </c>
      <c r="H676" s="20" t="s">
        <v>9</v>
      </c>
    </row>
    <row r="677" spans="1:8" ht="14.5" customHeight="1" x14ac:dyDescent="0.3">
      <c r="A677" s="31" t="s">
        <v>7595</v>
      </c>
      <c r="B677" s="31" t="s">
        <v>6615</v>
      </c>
      <c r="C677" s="32" t="s">
        <v>3587</v>
      </c>
      <c r="D677" s="33" t="s">
        <v>6611</v>
      </c>
      <c r="E677" s="31" t="s">
        <v>6612</v>
      </c>
      <c r="F677" s="32" t="s">
        <v>6613</v>
      </c>
      <c r="G677" s="32" t="s">
        <v>6614</v>
      </c>
      <c r="H677" s="33" t="s">
        <v>17</v>
      </c>
    </row>
    <row r="678" spans="1:8" ht="14.5" customHeight="1" x14ac:dyDescent="0.3">
      <c r="A678" s="19" t="s">
        <v>354</v>
      </c>
      <c r="B678" s="19" t="s">
        <v>1447</v>
      </c>
      <c r="C678" s="18" t="s">
        <v>1692</v>
      </c>
      <c r="D678" s="20" t="s">
        <v>6616</v>
      </c>
      <c r="E678" s="19" t="s">
        <v>6617</v>
      </c>
      <c r="F678" s="18" t="s">
        <v>355</v>
      </c>
      <c r="G678" s="18" t="s">
        <v>21</v>
      </c>
      <c r="H678" s="20" t="s">
        <v>17</v>
      </c>
    </row>
    <row r="679" spans="1:8" ht="14.5" customHeight="1" x14ac:dyDescent="0.3">
      <c r="A679" s="31" t="s">
        <v>7616</v>
      </c>
      <c r="B679" s="31" t="s">
        <v>5613</v>
      </c>
      <c r="C679" s="32" t="s">
        <v>2329</v>
      </c>
      <c r="D679" s="33" t="s">
        <v>6618</v>
      </c>
      <c r="E679" s="31" t="s">
        <v>6619</v>
      </c>
      <c r="F679" s="32" t="s">
        <v>4857</v>
      </c>
      <c r="G679" s="32" t="s">
        <v>4798</v>
      </c>
      <c r="H679" s="33" t="s">
        <v>148</v>
      </c>
    </row>
    <row r="680" spans="1:8" ht="14.5" customHeight="1" x14ac:dyDescent="0.3">
      <c r="A680" s="19" t="s">
        <v>7644</v>
      </c>
      <c r="B680" s="19" t="s">
        <v>6623</v>
      </c>
      <c r="C680" s="18" t="s">
        <v>2047</v>
      </c>
      <c r="D680" s="20" t="s">
        <v>6620</v>
      </c>
      <c r="E680" s="19" t="s">
        <v>6621</v>
      </c>
      <c r="F680" s="18" t="s">
        <v>6622</v>
      </c>
      <c r="G680" s="18" t="s">
        <v>5800</v>
      </c>
      <c r="H680" s="20" t="s">
        <v>17</v>
      </c>
    </row>
    <row r="681" spans="1:8" ht="14.5" customHeight="1" x14ac:dyDescent="0.3">
      <c r="A681" s="31" t="s">
        <v>7625</v>
      </c>
      <c r="B681" s="31" t="s">
        <v>4939</v>
      </c>
      <c r="C681" s="32" t="s">
        <v>4146</v>
      </c>
      <c r="D681" s="33" t="s">
        <v>6624</v>
      </c>
      <c r="E681" s="31" t="s">
        <v>6043</v>
      </c>
      <c r="F681" s="32" t="s">
        <v>5370</v>
      </c>
      <c r="G681" s="32" t="s">
        <v>331</v>
      </c>
      <c r="H681" s="33" t="s">
        <v>148</v>
      </c>
    </row>
    <row r="682" spans="1:8" ht="14.5" customHeight="1" x14ac:dyDescent="0.3">
      <c r="A682" s="19" t="s">
        <v>3440</v>
      </c>
      <c r="B682" s="19" t="s">
        <v>5192</v>
      </c>
      <c r="C682" s="18" t="s">
        <v>3441</v>
      </c>
      <c r="D682" s="20" t="s">
        <v>6625</v>
      </c>
      <c r="E682" s="19" t="s">
        <v>6626</v>
      </c>
      <c r="F682" s="18" t="s">
        <v>5418</v>
      </c>
      <c r="G682" s="18" t="s">
        <v>5419</v>
      </c>
      <c r="H682" s="20" t="s">
        <v>60</v>
      </c>
    </row>
    <row r="683" spans="1:8" ht="14.5" customHeight="1" x14ac:dyDescent="0.3">
      <c r="A683" s="31" t="s">
        <v>3210</v>
      </c>
      <c r="B683" s="31" t="s">
        <v>6629</v>
      </c>
      <c r="C683" s="32" t="s">
        <v>3211</v>
      </c>
      <c r="D683" s="33" t="s">
        <v>6627</v>
      </c>
      <c r="E683" s="31" t="s">
        <v>6628</v>
      </c>
      <c r="F683" s="32" t="s">
        <v>5139</v>
      </c>
      <c r="G683" s="32" t="s">
        <v>11</v>
      </c>
      <c r="H683" s="33" t="s">
        <v>9</v>
      </c>
    </row>
    <row r="684" spans="1:8" ht="14.5" customHeight="1" x14ac:dyDescent="0.3">
      <c r="A684" s="19" t="s">
        <v>7628</v>
      </c>
      <c r="B684" s="19" t="s">
        <v>658</v>
      </c>
      <c r="C684" s="18" t="s">
        <v>2851</v>
      </c>
      <c r="D684" s="20" t="s">
        <v>6630</v>
      </c>
      <c r="E684" s="19" t="s">
        <v>6631</v>
      </c>
      <c r="F684" s="18" t="s">
        <v>6632</v>
      </c>
      <c r="G684" s="18" t="s">
        <v>45</v>
      </c>
      <c r="H684" s="20" t="s">
        <v>13</v>
      </c>
    </row>
    <row r="685" spans="1:8" ht="14.5" customHeight="1" x14ac:dyDescent="0.3">
      <c r="A685" s="31" t="s">
        <v>3040</v>
      </c>
      <c r="B685" s="31" t="s">
        <v>6635</v>
      </c>
      <c r="C685" s="32" t="s">
        <v>3041</v>
      </c>
      <c r="D685" s="33" t="s">
        <v>6633</v>
      </c>
      <c r="E685" s="31" t="s">
        <v>6634</v>
      </c>
      <c r="F685" s="32" t="s">
        <v>305</v>
      </c>
      <c r="G685" s="32" t="s">
        <v>11</v>
      </c>
      <c r="H685" s="33" t="s">
        <v>9</v>
      </c>
    </row>
    <row r="686" spans="1:8" ht="14.5" customHeight="1" x14ac:dyDescent="0.3">
      <c r="A686" s="19" t="s">
        <v>276</v>
      </c>
      <c r="B686" s="19" t="s">
        <v>1255</v>
      </c>
      <c r="C686" s="18" t="s">
        <v>277</v>
      </c>
      <c r="D686" s="20" t="s">
        <v>1258</v>
      </c>
      <c r="E686" s="19" t="s">
        <v>278</v>
      </c>
      <c r="F686" s="18" t="s">
        <v>279</v>
      </c>
      <c r="G686" s="18" t="s">
        <v>280</v>
      </c>
      <c r="H686" s="20" t="s">
        <v>47</v>
      </c>
    </row>
    <row r="687" spans="1:8" ht="14.5" customHeight="1" x14ac:dyDescent="0.3">
      <c r="A687" s="31" t="s">
        <v>4085</v>
      </c>
      <c r="B687" s="31" t="s">
        <v>4554</v>
      </c>
      <c r="C687" s="32" t="s">
        <v>4086</v>
      </c>
      <c r="D687" s="33" t="s">
        <v>6636</v>
      </c>
      <c r="E687" s="31" t="s">
        <v>6637</v>
      </c>
      <c r="F687" s="32" t="s">
        <v>6638</v>
      </c>
      <c r="G687" s="32" t="s">
        <v>6639</v>
      </c>
      <c r="H687" s="33" t="s">
        <v>4511</v>
      </c>
    </row>
    <row r="688" spans="1:8" ht="14.5" customHeight="1" x14ac:dyDescent="0.3">
      <c r="A688" s="19" t="s">
        <v>3787</v>
      </c>
      <c r="B688" s="19" t="s">
        <v>6643</v>
      </c>
      <c r="C688" s="18" t="s">
        <v>3788</v>
      </c>
      <c r="D688" s="20" t="s">
        <v>6640</v>
      </c>
      <c r="E688" s="19" t="s">
        <v>6641</v>
      </c>
      <c r="F688" s="18" t="s">
        <v>6642</v>
      </c>
      <c r="G688" s="18" t="s">
        <v>5124</v>
      </c>
      <c r="H688" s="20" t="s">
        <v>60</v>
      </c>
    </row>
    <row r="689" spans="1:8" ht="14.5" customHeight="1" x14ac:dyDescent="0.3">
      <c r="A689" s="31" t="s">
        <v>2399</v>
      </c>
      <c r="B689" s="31" t="s">
        <v>6647</v>
      </c>
      <c r="C689" s="32" t="s">
        <v>2400</v>
      </c>
      <c r="D689" s="33" t="s">
        <v>6644</v>
      </c>
      <c r="E689" s="31" t="s">
        <v>6645</v>
      </c>
      <c r="F689" s="32" t="s">
        <v>6646</v>
      </c>
      <c r="G689" s="32" t="s">
        <v>45</v>
      </c>
      <c r="H689" s="33" t="s">
        <v>13</v>
      </c>
    </row>
    <row r="690" spans="1:8" ht="14.5" customHeight="1" x14ac:dyDescent="0.3">
      <c r="A690" s="19" t="s">
        <v>7632</v>
      </c>
      <c r="B690" s="19" t="s">
        <v>6651</v>
      </c>
      <c r="C690" s="18" t="s">
        <v>3468</v>
      </c>
      <c r="D690" s="20" t="s">
        <v>6648</v>
      </c>
      <c r="E690" s="19" t="s">
        <v>6649</v>
      </c>
      <c r="F690" s="18" t="s">
        <v>6650</v>
      </c>
      <c r="G690" s="18" t="s">
        <v>21</v>
      </c>
      <c r="H690" s="20" t="s">
        <v>17</v>
      </c>
    </row>
    <row r="691" spans="1:8" ht="14.5" customHeight="1" x14ac:dyDescent="0.3">
      <c r="A691" s="31" t="s">
        <v>7346</v>
      </c>
      <c r="B691" s="31" t="s">
        <v>501</v>
      </c>
      <c r="C691" s="32" t="s">
        <v>2550</v>
      </c>
      <c r="D691" s="33"/>
      <c r="E691" s="31" t="s">
        <v>6655</v>
      </c>
      <c r="F691" s="32" t="s">
        <v>103</v>
      </c>
      <c r="G691" s="32" t="s">
        <v>6656</v>
      </c>
      <c r="H691" s="33" t="s">
        <v>60</v>
      </c>
    </row>
    <row r="692" spans="1:8" ht="14.5" customHeight="1" x14ac:dyDescent="0.3">
      <c r="A692" s="19" t="s">
        <v>3492</v>
      </c>
      <c r="B692" s="19" t="s">
        <v>1525</v>
      </c>
      <c r="C692" s="18" t="s">
        <v>3493</v>
      </c>
      <c r="D692" s="20" t="s">
        <v>6652</v>
      </c>
      <c r="E692" s="19" t="s">
        <v>6653</v>
      </c>
      <c r="F692" s="18" t="s">
        <v>6654</v>
      </c>
      <c r="G692" s="18" t="s">
        <v>165</v>
      </c>
      <c r="H692" s="20" t="s">
        <v>17</v>
      </c>
    </row>
    <row r="693" spans="1:8" ht="14.5" customHeight="1" x14ac:dyDescent="0.3">
      <c r="A693" s="31" t="s">
        <v>3802</v>
      </c>
      <c r="B693" s="31" t="s">
        <v>6662</v>
      </c>
      <c r="C693" s="32" t="s">
        <v>3803</v>
      </c>
      <c r="D693" s="33" t="s">
        <v>6659</v>
      </c>
      <c r="E693" s="31" t="s">
        <v>6660</v>
      </c>
      <c r="F693" s="32" t="s">
        <v>6661</v>
      </c>
      <c r="G693" s="32" t="s">
        <v>21</v>
      </c>
      <c r="H693" s="33" t="s">
        <v>17</v>
      </c>
    </row>
    <row r="694" spans="1:8" ht="14.5" customHeight="1" x14ac:dyDescent="0.3">
      <c r="A694" s="19" t="s">
        <v>7461</v>
      </c>
      <c r="B694" s="19" t="s">
        <v>6666</v>
      </c>
      <c r="C694" s="18" t="s">
        <v>2063</v>
      </c>
      <c r="D694" s="20" t="s">
        <v>6663</v>
      </c>
      <c r="E694" s="19" t="s">
        <v>6664</v>
      </c>
      <c r="F694" s="18" t="s">
        <v>6665</v>
      </c>
      <c r="G694" s="18" t="s">
        <v>21</v>
      </c>
      <c r="H694" s="20" t="s">
        <v>17</v>
      </c>
    </row>
    <row r="695" spans="1:8" ht="14.5" customHeight="1" x14ac:dyDescent="0.3">
      <c r="A695" s="31" t="s">
        <v>3540</v>
      </c>
      <c r="B695" s="31" t="s">
        <v>6671</v>
      </c>
      <c r="C695" s="32" t="s">
        <v>3541</v>
      </c>
      <c r="D695" s="33" t="s">
        <v>6667</v>
      </c>
      <c r="E695" s="31" t="s">
        <v>6668</v>
      </c>
      <c r="F695" s="32" t="s">
        <v>6669</v>
      </c>
      <c r="G695" s="32" t="s">
        <v>6670</v>
      </c>
      <c r="H695" s="33" t="s">
        <v>13</v>
      </c>
    </row>
    <row r="696" spans="1:8" ht="14.5" customHeight="1" x14ac:dyDescent="0.3">
      <c r="A696" s="19" t="s">
        <v>7635</v>
      </c>
      <c r="B696" s="19" t="s">
        <v>6657</v>
      </c>
      <c r="C696" s="18" t="s">
        <v>2344</v>
      </c>
      <c r="D696" s="20" t="s">
        <v>6672</v>
      </c>
      <c r="E696" s="19" t="s">
        <v>6673</v>
      </c>
      <c r="F696" s="18" t="s">
        <v>6674</v>
      </c>
      <c r="G696" s="18" t="s">
        <v>136</v>
      </c>
      <c r="H696" s="20" t="s">
        <v>17</v>
      </c>
    </row>
    <row r="697" spans="1:8" ht="14.5" customHeight="1" x14ac:dyDescent="0.3">
      <c r="A697" s="31" t="s">
        <v>7706</v>
      </c>
      <c r="B697" s="31" t="s">
        <v>6677</v>
      </c>
      <c r="C697" s="32" t="s">
        <v>2501</v>
      </c>
      <c r="D697" s="33" t="s">
        <v>6675</v>
      </c>
      <c r="E697" s="31" t="s">
        <v>6676</v>
      </c>
      <c r="F697" s="32" t="s">
        <v>188</v>
      </c>
      <c r="G697" s="32" t="s">
        <v>4926</v>
      </c>
      <c r="H697" s="33" t="s">
        <v>9</v>
      </c>
    </row>
    <row r="698" spans="1:8" ht="14.5" customHeight="1" x14ac:dyDescent="0.3">
      <c r="A698" s="19" t="s">
        <v>4132</v>
      </c>
      <c r="B698" s="19" t="s">
        <v>6680</v>
      </c>
      <c r="C698" s="18" t="s">
        <v>4133</v>
      </c>
      <c r="D698" s="20" t="s">
        <v>6678</v>
      </c>
      <c r="E698" s="19" t="s">
        <v>6679</v>
      </c>
      <c r="F698" s="18" t="s">
        <v>5355</v>
      </c>
      <c r="G698" s="18" t="s">
        <v>285</v>
      </c>
      <c r="H698" s="20" t="s">
        <v>148</v>
      </c>
    </row>
    <row r="699" spans="1:8" ht="14.5" customHeight="1" x14ac:dyDescent="0.3">
      <c r="A699" s="31" t="s">
        <v>3038</v>
      </c>
      <c r="B699" s="31" t="s">
        <v>650</v>
      </c>
      <c r="C699" s="32" t="s">
        <v>3039</v>
      </c>
      <c r="D699" s="33" t="s">
        <v>6681</v>
      </c>
      <c r="E699" s="31" t="s">
        <v>6682</v>
      </c>
      <c r="F699" s="32" t="s">
        <v>103</v>
      </c>
      <c r="G699" s="32" t="s">
        <v>159</v>
      </c>
      <c r="H699" s="33" t="s">
        <v>9</v>
      </c>
    </row>
    <row r="700" spans="1:8" ht="14.5" customHeight="1" x14ac:dyDescent="0.3">
      <c r="A700" s="19" t="s">
        <v>7572</v>
      </c>
      <c r="B700" s="19" t="s">
        <v>915</v>
      </c>
      <c r="C700" s="18" t="s">
        <v>153</v>
      </c>
      <c r="D700" s="20" t="s">
        <v>6683</v>
      </c>
      <c r="E700" s="19" t="s">
        <v>154</v>
      </c>
      <c r="F700" s="18"/>
      <c r="G700" s="18" t="s">
        <v>21</v>
      </c>
      <c r="H700" s="20" t="s">
        <v>17</v>
      </c>
    </row>
    <row r="701" spans="1:8" ht="14.5" customHeight="1" x14ac:dyDescent="0.3">
      <c r="A701" s="31" t="s">
        <v>3268</v>
      </c>
      <c r="B701" s="31" t="s">
        <v>6686</v>
      </c>
      <c r="C701" s="32" t="s">
        <v>3269</v>
      </c>
      <c r="D701" s="33" t="s">
        <v>6684</v>
      </c>
      <c r="E701" s="31" t="s">
        <v>6685</v>
      </c>
      <c r="F701" s="32" t="s">
        <v>4785</v>
      </c>
      <c r="G701" s="32" t="s">
        <v>21</v>
      </c>
      <c r="H701" s="33" t="s">
        <v>17</v>
      </c>
    </row>
    <row r="702" spans="1:8" ht="14.5" customHeight="1" x14ac:dyDescent="0.3">
      <c r="A702" s="19" t="s">
        <v>7283</v>
      </c>
      <c r="B702" s="19" t="s">
        <v>6689</v>
      </c>
      <c r="C702" s="18" t="s">
        <v>1771</v>
      </c>
      <c r="D702" s="20" t="s">
        <v>6687</v>
      </c>
      <c r="E702" s="19" t="s">
        <v>4977</v>
      </c>
      <c r="F702" s="18" t="s">
        <v>6688</v>
      </c>
      <c r="G702" s="18" t="s">
        <v>55</v>
      </c>
      <c r="H702" s="20" t="s">
        <v>52</v>
      </c>
    </row>
    <row r="703" spans="1:8" ht="14.5" customHeight="1" x14ac:dyDescent="0.3">
      <c r="A703" s="31" t="s">
        <v>3486</v>
      </c>
      <c r="B703" s="31" t="s">
        <v>6693</v>
      </c>
      <c r="C703" s="32" t="s">
        <v>3487</v>
      </c>
      <c r="D703" s="33" t="s">
        <v>6690</v>
      </c>
      <c r="E703" s="31" t="s">
        <v>6691</v>
      </c>
      <c r="F703" s="32" t="s">
        <v>6692</v>
      </c>
      <c r="G703" s="32" t="s">
        <v>136</v>
      </c>
      <c r="H703" s="33" t="s">
        <v>17</v>
      </c>
    </row>
    <row r="704" spans="1:8" ht="14.5" customHeight="1" x14ac:dyDescent="0.3">
      <c r="A704" s="19" t="s">
        <v>210</v>
      </c>
      <c r="B704" s="19" t="s">
        <v>543</v>
      </c>
      <c r="C704" s="18" t="s">
        <v>211</v>
      </c>
      <c r="D704" s="20" t="s">
        <v>6694</v>
      </c>
      <c r="E704" s="19" t="s">
        <v>6695</v>
      </c>
      <c r="F704" s="18" t="s">
        <v>212</v>
      </c>
      <c r="G704" s="18" t="s">
        <v>21</v>
      </c>
      <c r="H704" s="20" t="s">
        <v>17</v>
      </c>
    </row>
    <row r="705" spans="1:8" ht="14.5" customHeight="1" x14ac:dyDescent="0.3">
      <c r="A705" s="31" t="s">
        <v>7624</v>
      </c>
      <c r="B705" s="31" t="s">
        <v>767</v>
      </c>
      <c r="C705" s="32" t="s">
        <v>130</v>
      </c>
      <c r="D705" s="33" t="s">
        <v>6696</v>
      </c>
      <c r="E705" s="31" t="s">
        <v>6697</v>
      </c>
      <c r="F705" s="32"/>
      <c r="G705" s="32" t="s">
        <v>21</v>
      </c>
      <c r="H705" s="33" t="s">
        <v>17</v>
      </c>
    </row>
    <row r="706" spans="1:8" ht="14.5" customHeight="1" x14ac:dyDescent="0.3">
      <c r="A706" s="19" t="s">
        <v>2775</v>
      </c>
      <c r="B706" s="19" t="s">
        <v>5328</v>
      </c>
      <c r="C706" s="18" t="s">
        <v>2776</v>
      </c>
      <c r="D706" s="20" t="s">
        <v>6698</v>
      </c>
      <c r="E706" s="19" t="s">
        <v>6699</v>
      </c>
      <c r="F706" s="18" t="s">
        <v>4231</v>
      </c>
      <c r="G706" s="18" t="s">
        <v>21</v>
      </c>
      <c r="H706" s="20" t="s">
        <v>17</v>
      </c>
    </row>
    <row r="707" spans="1:8" ht="14.5" customHeight="1" x14ac:dyDescent="0.3">
      <c r="A707" s="31" t="s">
        <v>3238</v>
      </c>
      <c r="B707" s="31" t="s">
        <v>6704</v>
      </c>
      <c r="C707" s="32" t="s">
        <v>3239</v>
      </c>
      <c r="D707" s="33" t="s">
        <v>6700</v>
      </c>
      <c r="E707" s="31" t="s">
        <v>6701</v>
      </c>
      <c r="F707" s="32" t="s">
        <v>6702</v>
      </c>
      <c r="G707" s="32" t="s">
        <v>6703</v>
      </c>
      <c r="H707" s="33" t="s">
        <v>13</v>
      </c>
    </row>
    <row r="708" spans="1:8" ht="14.5" customHeight="1" x14ac:dyDescent="0.3">
      <c r="A708" s="19" t="s">
        <v>3566</v>
      </c>
      <c r="B708" s="19" t="s">
        <v>6711</v>
      </c>
      <c r="C708" s="18" t="s">
        <v>3567</v>
      </c>
      <c r="D708" s="20" t="s">
        <v>6709</v>
      </c>
      <c r="E708" s="19" t="s">
        <v>4813</v>
      </c>
      <c r="F708" s="18" t="s">
        <v>6710</v>
      </c>
      <c r="G708" s="18" t="s">
        <v>4243</v>
      </c>
      <c r="H708" s="20" t="s">
        <v>32</v>
      </c>
    </row>
    <row r="709" spans="1:8" ht="14.5" customHeight="1" x14ac:dyDescent="0.3">
      <c r="A709" s="31" t="s">
        <v>2780</v>
      </c>
      <c r="B709" s="31" t="s">
        <v>6706</v>
      </c>
      <c r="C709" s="32" t="s">
        <v>2781</v>
      </c>
      <c r="D709" s="33"/>
      <c r="E709" s="31" t="s">
        <v>6705</v>
      </c>
      <c r="F709" s="32" t="s">
        <v>320</v>
      </c>
      <c r="G709" s="32" t="s">
        <v>11</v>
      </c>
      <c r="H709" s="33" t="s">
        <v>9</v>
      </c>
    </row>
    <row r="710" spans="1:8" ht="14.5" customHeight="1" x14ac:dyDescent="0.3">
      <c r="A710" s="19" t="s">
        <v>7579</v>
      </c>
      <c r="B710" s="19" t="s">
        <v>6708</v>
      </c>
      <c r="C710" s="18" t="s">
        <v>2583</v>
      </c>
      <c r="D710" s="20">
        <v>8738610620</v>
      </c>
      <c r="E710" s="19" t="s">
        <v>6707</v>
      </c>
      <c r="F710" s="18" t="s">
        <v>103</v>
      </c>
      <c r="G710" s="18" t="s">
        <v>4710</v>
      </c>
      <c r="H710" s="20" t="s">
        <v>60</v>
      </c>
    </row>
    <row r="711" spans="1:8" ht="14.5" customHeight="1" x14ac:dyDescent="0.3">
      <c r="A711" s="31" t="s">
        <v>2820</v>
      </c>
      <c r="B711" s="31" t="s">
        <v>6714</v>
      </c>
      <c r="C711" s="32" t="s">
        <v>2821</v>
      </c>
      <c r="D711" s="33" t="s">
        <v>6712</v>
      </c>
      <c r="E711" s="31" t="s">
        <v>6713</v>
      </c>
      <c r="F711" s="32" t="s">
        <v>4853</v>
      </c>
      <c r="G711" s="32" t="s">
        <v>61</v>
      </c>
      <c r="H711" s="33" t="s">
        <v>60</v>
      </c>
    </row>
    <row r="712" spans="1:8" ht="14.5" customHeight="1" x14ac:dyDescent="0.3">
      <c r="A712" s="19" t="s">
        <v>3863</v>
      </c>
      <c r="B712" s="19" t="s">
        <v>1286</v>
      </c>
      <c r="C712" s="18" t="s">
        <v>3864</v>
      </c>
      <c r="D712" s="20" t="s">
        <v>6715</v>
      </c>
      <c r="E712" s="19" t="s">
        <v>6716</v>
      </c>
      <c r="F712" s="18" t="s">
        <v>5655</v>
      </c>
      <c r="G712" s="18" t="s">
        <v>21</v>
      </c>
      <c r="H712" s="20" t="s">
        <v>17</v>
      </c>
    </row>
    <row r="713" spans="1:8" ht="14.5" customHeight="1" x14ac:dyDescent="0.3">
      <c r="A713" s="31" t="s">
        <v>22</v>
      </c>
      <c r="B713" s="31" t="s">
        <v>483</v>
      </c>
      <c r="C713" s="32" t="s">
        <v>485</v>
      </c>
      <c r="D713" s="33" t="s">
        <v>23</v>
      </c>
      <c r="E713" s="31" t="s">
        <v>6717</v>
      </c>
      <c r="F713" s="32" t="s">
        <v>24</v>
      </c>
      <c r="G713" s="32" t="s">
        <v>25</v>
      </c>
      <c r="H713" s="33" t="s">
        <v>13</v>
      </c>
    </row>
    <row r="714" spans="1:8" ht="14.5" customHeight="1" x14ac:dyDescent="0.3">
      <c r="A714" s="19" t="s">
        <v>7639</v>
      </c>
      <c r="B714" s="19" t="s">
        <v>6721</v>
      </c>
      <c r="C714" s="18" t="s">
        <v>4218</v>
      </c>
      <c r="D714" s="20" t="s">
        <v>6718</v>
      </c>
      <c r="E714" s="19" t="s">
        <v>6719</v>
      </c>
      <c r="F714" s="18" t="s">
        <v>6720</v>
      </c>
      <c r="G714" s="18" t="s">
        <v>4277</v>
      </c>
      <c r="H714" s="20" t="s">
        <v>4274</v>
      </c>
    </row>
    <row r="715" spans="1:8" ht="14.5" customHeight="1" x14ac:dyDescent="0.3">
      <c r="A715" s="31" t="s">
        <v>7715</v>
      </c>
      <c r="B715" s="31" t="s">
        <v>6725</v>
      </c>
      <c r="C715" s="32" t="s">
        <v>1950</v>
      </c>
      <c r="D715" s="33" t="s">
        <v>6722</v>
      </c>
      <c r="E715" s="31" t="s">
        <v>6723</v>
      </c>
      <c r="F715" s="32" t="s">
        <v>6724</v>
      </c>
      <c r="G715" s="32" t="s">
        <v>4838</v>
      </c>
      <c r="H715" s="33" t="s">
        <v>74</v>
      </c>
    </row>
    <row r="716" spans="1:8" ht="14.5" customHeight="1" x14ac:dyDescent="0.3">
      <c r="A716" s="19" t="s">
        <v>7643</v>
      </c>
      <c r="B716" s="19" t="s">
        <v>792</v>
      </c>
      <c r="C716" s="18" t="s">
        <v>138</v>
      </c>
      <c r="D716" s="20" t="s">
        <v>6726</v>
      </c>
      <c r="E716" s="19" t="s">
        <v>6727</v>
      </c>
      <c r="F716" s="18"/>
      <c r="G716" s="18" t="s">
        <v>75</v>
      </c>
      <c r="H716" s="20" t="s">
        <v>74</v>
      </c>
    </row>
    <row r="717" spans="1:8" ht="14.5" customHeight="1" x14ac:dyDescent="0.3">
      <c r="A717" s="31" t="s">
        <v>3031</v>
      </c>
      <c r="B717" s="31" t="s">
        <v>6730</v>
      </c>
      <c r="C717" s="32" t="s">
        <v>3032</v>
      </c>
      <c r="D717" s="33" t="s">
        <v>6728</v>
      </c>
      <c r="E717" s="31" t="s">
        <v>6729</v>
      </c>
      <c r="F717" s="32" t="s">
        <v>5114</v>
      </c>
      <c r="G717" s="32" t="s">
        <v>342</v>
      </c>
      <c r="H717" s="33" t="s">
        <v>252</v>
      </c>
    </row>
    <row r="718" spans="1:8" ht="14.5" customHeight="1" x14ac:dyDescent="0.3">
      <c r="A718" s="19" t="s">
        <v>7645</v>
      </c>
      <c r="B718" s="19" t="s">
        <v>1029</v>
      </c>
      <c r="C718" s="18" t="s">
        <v>2837</v>
      </c>
      <c r="D718" s="20" t="s">
        <v>6731</v>
      </c>
      <c r="E718" s="19" t="s">
        <v>6732</v>
      </c>
      <c r="F718" s="18" t="s">
        <v>6733</v>
      </c>
      <c r="G718" s="18" t="s">
        <v>61</v>
      </c>
      <c r="H718" s="20" t="s">
        <v>60</v>
      </c>
    </row>
    <row r="719" spans="1:8" ht="14.5" customHeight="1" x14ac:dyDescent="0.3">
      <c r="A719" s="31" t="s">
        <v>7646</v>
      </c>
      <c r="B719" s="31" t="s">
        <v>4910</v>
      </c>
      <c r="C719" s="32" t="s">
        <v>3684</v>
      </c>
      <c r="D719" s="33" t="s">
        <v>6735</v>
      </c>
      <c r="E719" s="31" t="s">
        <v>6736</v>
      </c>
      <c r="F719" s="32" t="s">
        <v>6737</v>
      </c>
      <c r="G719" s="32" t="s">
        <v>169</v>
      </c>
      <c r="H719" s="33" t="s">
        <v>9</v>
      </c>
    </row>
    <row r="720" spans="1:8" ht="14.5" customHeight="1" x14ac:dyDescent="0.3">
      <c r="A720" s="19" t="s">
        <v>7648</v>
      </c>
      <c r="B720" s="19" t="s">
        <v>4828</v>
      </c>
      <c r="C720" s="18" t="s">
        <v>3477</v>
      </c>
      <c r="D720" s="20" t="s">
        <v>6738</v>
      </c>
      <c r="E720" s="19" t="s">
        <v>6451</v>
      </c>
      <c r="F720" s="18" t="s">
        <v>6558</v>
      </c>
      <c r="G720" s="18" t="s">
        <v>152</v>
      </c>
      <c r="H720" s="20" t="s">
        <v>9</v>
      </c>
    </row>
    <row r="721" spans="1:8" ht="14.5" customHeight="1" x14ac:dyDescent="0.3">
      <c r="A721" s="31" t="s">
        <v>213</v>
      </c>
      <c r="B721" s="31" t="s">
        <v>1168</v>
      </c>
      <c r="C721" s="32" t="s">
        <v>214</v>
      </c>
      <c r="D721" s="33" t="s">
        <v>6739</v>
      </c>
      <c r="E721" s="31" t="s">
        <v>6740</v>
      </c>
      <c r="F721" s="32" t="s">
        <v>215</v>
      </c>
      <c r="G721" s="32" t="s">
        <v>4866</v>
      </c>
      <c r="H721" s="33" t="s">
        <v>13</v>
      </c>
    </row>
    <row r="722" spans="1:8" ht="14.5" customHeight="1" x14ac:dyDescent="0.3">
      <c r="A722" s="19" t="s">
        <v>2473</v>
      </c>
      <c r="B722" s="19" t="s">
        <v>6745</v>
      </c>
      <c r="C722" s="18" t="s">
        <v>2474</v>
      </c>
      <c r="D722" s="20" t="s">
        <v>6742</v>
      </c>
      <c r="E722" s="19" t="s">
        <v>6743</v>
      </c>
      <c r="F722" s="18" t="s">
        <v>6744</v>
      </c>
      <c r="G722" s="18" t="s">
        <v>11</v>
      </c>
      <c r="H722" s="20" t="s">
        <v>9</v>
      </c>
    </row>
    <row r="723" spans="1:8" ht="14.5" customHeight="1" x14ac:dyDescent="0.3">
      <c r="A723" s="31" t="s">
        <v>7405</v>
      </c>
      <c r="B723" s="31" t="s">
        <v>844</v>
      </c>
      <c r="C723" s="32" t="s">
        <v>1898</v>
      </c>
      <c r="D723" s="33" t="s">
        <v>6746</v>
      </c>
      <c r="E723" s="31" t="s">
        <v>151</v>
      </c>
      <c r="F723" s="32"/>
      <c r="G723" s="32" t="s">
        <v>152</v>
      </c>
      <c r="H723" s="33" t="s">
        <v>9</v>
      </c>
    </row>
    <row r="724" spans="1:8" ht="14.5" customHeight="1" x14ac:dyDescent="0.3">
      <c r="A724" s="19" t="s">
        <v>3157</v>
      </c>
      <c r="B724" s="19" t="s">
        <v>6750</v>
      </c>
      <c r="C724" s="18" t="s">
        <v>3158</v>
      </c>
      <c r="D724" s="20" t="s">
        <v>6747</v>
      </c>
      <c r="E724" s="19" t="s">
        <v>6748</v>
      </c>
      <c r="F724" s="18" t="s">
        <v>6749</v>
      </c>
      <c r="G724" s="18" t="s">
        <v>285</v>
      </c>
      <c r="H724" s="20" t="s">
        <v>148</v>
      </c>
    </row>
    <row r="725" spans="1:8" ht="14.5" customHeight="1" x14ac:dyDescent="0.3">
      <c r="A725" s="31" t="s">
        <v>7651</v>
      </c>
      <c r="B725" s="31" t="s">
        <v>5624</v>
      </c>
      <c r="C725" s="32" t="s">
        <v>4155</v>
      </c>
      <c r="D725" s="33" t="s">
        <v>6751</v>
      </c>
      <c r="E725" s="31" t="s">
        <v>6752</v>
      </c>
      <c r="F725" s="32" t="s">
        <v>6753</v>
      </c>
      <c r="G725" s="32" t="s">
        <v>4238</v>
      </c>
      <c r="H725" s="33" t="s">
        <v>166</v>
      </c>
    </row>
    <row r="726" spans="1:8" ht="14.5" customHeight="1" x14ac:dyDescent="0.3">
      <c r="A726" s="19" t="s">
        <v>3370</v>
      </c>
      <c r="B726" s="19" t="s">
        <v>6756</v>
      </c>
      <c r="C726" s="18" t="s">
        <v>3371</v>
      </c>
      <c r="D726" s="20" t="s">
        <v>6754</v>
      </c>
      <c r="E726" s="19" t="s">
        <v>6755</v>
      </c>
      <c r="F726" s="18" t="s">
        <v>4374</v>
      </c>
      <c r="G726" s="18" t="s">
        <v>4318</v>
      </c>
      <c r="H726" s="20" t="s">
        <v>4315</v>
      </c>
    </row>
    <row r="727" spans="1:8" ht="14.5" customHeight="1" x14ac:dyDescent="0.3">
      <c r="A727" s="31" t="s">
        <v>3698</v>
      </c>
      <c r="B727" s="31" t="s">
        <v>6760</v>
      </c>
      <c r="C727" s="32" t="s">
        <v>3699</v>
      </c>
      <c r="D727" s="33" t="s">
        <v>6757</v>
      </c>
      <c r="E727" s="31" t="s">
        <v>6758</v>
      </c>
      <c r="F727" s="32" t="s">
        <v>6759</v>
      </c>
      <c r="G727" s="32" t="s">
        <v>302</v>
      </c>
      <c r="H727" s="33" t="s">
        <v>196</v>
      </c>
    </row>
    <row r="728" spans="1:8" ht="14.5" customHeight="1" x14ac:dyDescent="0.3">
      <c r="A728" s="19" t="s">
        <v>7617</v>
      </c>
      <c r="B728" s="19" t="s">
        <v>558</v>
      </c>
      <c r="C728" s="18" t="s">
        <v>560</v>
      </c>
      <c r="D728" s="20" t="s">
        <v>6761</v>
      </c>
      <c r="E728" s="19" t="s">
        <v>561</v>
      </c>
      <c r="F728" s="18" t="s">
        <v>6762</v>
      </c>
      <c r="G728" s="18" t="s">
        <v>61</v>
      </c>
      <c r="H728" s="20" t="s">
        <v>60</v>
      </c>
    </row>
    <row r="729" spans="1:8" ht="14.5" customHeight="1" x14ac:dyDescent="0.3">
      <c r="A729" s="31" t="s">
        <v>7641</v>
      </c>
      <c r="B729" s="31" t="s">
        <v>6766</v>
      </c>
      <c r="C729" s="32" t="s">
        <v>2744</v>
      </c>
      <c r="D729" s="33" t="s">
        <v>6763</v>
      </c>
      <c r="E729" s="31" t="s">
        <v>6764</v>
      </c>
      <c r="F729" s="32" t="s">
        <v>6765</v>
      </c>
      <c r="G729" s="32" t="s">
        <v>5166</v>
      </c>
      <c r="H729" s="33" t="s">
        <v>196</v>
      </c>
    </row>
    <row r="730" spans="1:8" ht="14.5" customHeight="1" x14ac:dyDescent="0.3">
      <c r="A730" s="19" t="s">
        <v>1850</v>
      </c>
      <c r="B730" s="19" t="s">
        <v>6769</v>
      </c>
      <c r="C730" s="18" t="s">
        <v>1851</v>
      </c>
      <c r="D730" s="20" t="s">
        <v>6767</v>
      </c>
      <c r="E730" s="19" t="s">
        <v>6768</v>
      </c>
      <c r="F730" s="18" t="s">
        <v>5659</v>
      </c>
      <c r="G730" s="18" t="s">
        <v>6734</v>
      </c>
      <c r="H730" s="20" t="s">
        <v>60</v>
      </c>
    </row>
    <row r="731" spans="1:8" ht="14.5" customHeight="1" x14ac:dyDescent="0.3">
      <c r="A731" s="31" t="s">
        <v>7385</v>
      </c>
      <c r="B731" s="31" t="s">
        <v>4521</v>
      </c>
      <c r="C731" s="32" t="s">
        <v>1891</v>
      </c>
      <c r="D731" s="33" t="s">
        <v>6770</v>
      </c>
      <c r="E731" s="31" t="s">
        <v>6771</v>
      </c>
      <c r="F731" s="32" t="s">
        <v>296</v>
      </c>
      <c r="G731" s="32" t="s">
        <v>4938</v>
      </c>
      <c r="H731" s="33" t="s">
        <v>9</v>
      </c>
    </row>
    <row r="732" spans="1:8" ht="14.5" customHeight="1" x14ac:dyDescent="0.3">
      <c r="A732" s="19" t="s">
        <v>7688</v>
      </c>
      <c r="B732" s="19" t="s">
        <v>6775</v>
      </c>
      <c r="C732" s="18" t="s">
        <v>3813</v>
      </c>
      <c r="D732" s="20" t="s">
        <v>6772</v>
      </c>
      <c r="E732" s="19" t="s">
        <v>6773</v>
      </c>
      <c r="F732" s="18" t="s">
        <v>6774</v>
      </c>
      <c r="G732" s="18" t="s">
        <v>21</v>
      </c>
      <c r="H732" s="20" t="s">
        <v>17</v>
      </c>
    </row>
    <row r="733" spans="1:8" ht="14.5" customHeight="1" x14ac:dyDescent="0.3">
      <c r="A733" s="31" t="s">
        <v>7653</v>
      </c>
      <c r="B733" s="31" t="s">
        <v>6778</v>
      </c>
      <c r="C733" s="32" t="s">
        <v>3214</v>
      </c>
      <c r="D733" s="33" t="s">
        <v>6776</v>
      </c>
      <c r="E733" s="31" t="s">
        <v>6777</v>
      </c>
      <c r="F733" s="32" t="s">
        <v>6019</v>
      </c>
      <c r="G733" s="32" t="s">
        <v>38</v>
      </c>
      <c r="H733" s="33" t="s">
        <v>3</v>
      </c>
    </row>
    <row r="734" spans="1:8" ht="14.5" customHeight="1" x14ac:dyDescent="0.3">
      <c r="A734" s="19" t="s">
        <v>7654</v>
      </c>
      <c r="B734" s="19" t="s">
        <v>1389</v>
      </c>
      <c r="C734" s="18" t="s">
        <v>2092</v>
      </c>
      <c r="D734" s="20" t="s">
        <v>6779</v>
      </c>
      <c r="E734" s="19" t="s">
        <v>6780</v>
      </c>
      <c r="F734" s="18" t="s">
        <v>5477</v>
      </c>
      <c r="G734" s="18" t="s">
        <v>4243</v>
      </c>
      <c r="H734" s="20" t="s">
        <v>32</v>
      </c>
    </row>
    <row r="735" spans="1:8" ht="14.5" customHeight="1" x14ac:dyDescent="0.3">
      <c r="A735" s="31" t="s">
        <v>339</v>
      </c>
      <c r="B735" s="31" t="s">
        <v>1507</v>
      </c>
      <c r="C735" s="32" t="s">
        <v>340</v>
      </c>
      <c r="D735" s="33" t="s">
        <v>1509</v>
      </c>
      <c r="E735" s="31" t="s">
        <v>6781</v>
      </c>
      <c r="F735" s="32" t="s">
        <v>341</v>
      </c>
      <c r="G735" s="32" t="s">
        <v>6782</v>
      </c>
      <c r="H735" s="33" t="s">
        <v>252</v>
      </c>
    </row>
    <row r="736" spans="1:8" ht="14.5" customHeight="1" x14ac:dyDescent="0.3">
      <c r="A736" s="19" t="s">
        <v>7711</v>
      </c>
      <c r="B736" s="19" t="s">
        <v>721</v>
      </c>
      <c r="C736" s="18" t="s">
        <v>2542</v>
      </c>
      <c r="D736" s="20" t="s">
        <v>6783</v>
      </c>
      <c r="E736" s="19" t="s">
        <v>114</v>
      </c>
      <c r="F736" s="18"/>
      <c r="G736" s="18" t="s">
        <v>38</v>
      </c>
      <c r="H736" s="20" t="s">
        <v>3</v>
      </c>
    </row>
    <row r="737" spans="1:8" ht="14.5" customHeight="1" x14ac:dyDescent="0.3">
      <c r="A737" s="31" t="s">
        <v>7689</v>
      </c>
      <c r="B737" s="31" t="s">
        <v>6786</v>
      </c>
      <c r="C737" s="32" t="s">
        <v>2695</v>
      </c>
      <c r="D737" s="33" t="s">
        <v>6784</v>
      </c>
      <c r="E737" s="31" t="s">
        <v>6785</v>
      </c>
      <c r="F737" s="32" t="s">
        <v>4853</v>
      </c>
      <c r="G737" s="32" t="s">
        <v>5315</v>
      </c>
      <c r="H737" s="33" t="s">
        <v>60</v>
      </c>
    </row>
    <row r="738" spans="1:8" ht="14.5" customHeight="1" x14ac:dyDescent="0.3">
      <c r="A738" s="19" t="s">
        <v>7655</v>
      </c>
      <c r="B738" s="19" t="s">
        <v>6790</v>
      </c>
      <c r="C738" s="18" t="s">
        <v>3744</v>
      </c>
      <c r="D738" s="20" t="s">
        <v>6788</v>
      </c>
      <c r="E738" s="19" t="s">
        <v>6789</v>
      </c>
      <c r="F738" s="18" t="s">
        <v>4781</v>
      </c>
      <c r="G738" s="18" t="s">
        <v>4279</v>
      </c>
      <c r="H738" s="20" t="s">
        <v>287</v>
      </c>
    </row>
    <row r="739" spans="1:8" ht="14.5" customHeight="1" x14ac:dyDescent="0.3">
      <c r="A739" s="31" t="s">
        <v>4046</v>
      </c>
      <c r="B739" s="31" t="s">
        <v>6794</v>
      </c>
      <c r="C739" s="32" t="s">
        <v>4047</v>
      </c>
      <c r="D739" s="33" t="s">
        <v>6791</v>
      </c>
      <c r="E739" s="31" t="s">
        <v>6792</v>
      </c>
      <c r="F739" s="32" t="s">
        <v>6793</v>
      </c>
      <c r="G739" s="32" t="s">
        <v>75</v>
      </c>
      <c r="H739" s="33" t="s">
        <v>74</v>
      </c>
    </row>
    <row r="740" spans="1:8" ht="14.5" customHeight="1" x14ac:dyDescent="0.3">
      <c r="A740" s="19" t="s">
        <v>3652</v>
      </c>
      <c r="B740" s="19" t="s">
        <v>4521</v>
      </c>
      <c r="C740" s="18" t="s">
        <v>3653</v>
      </c>
      <c r="D740" s="20" t="s">
        <v>6795</v>
      </c>
      <c r="E740" s="19" t="s">
        <v>6796</v>
      </c>
      <c r="F740" s="18" t="s">
        <v>6797</v>
      </c>
      <c r="G740" s="18" t="s">
        <v>5302</v>
      </c>
      <c r="H740" s="20" t="s">
        <v>166</v>
      </c>
    </row>
    <row r="741" spans="1:8" ht="14.5" customHeight="1" x14ac:dyDescent="0.3">
      <c r="A741" s="31" t="s">
        <v>2404</v>
      </c>
      <c r="B741" s="31" t="s">
        <v>6799</v>
      </c>
      <c r="C741" s="32" t="s">
        <v>2405</v>
      </c>
      <c r="D741" s="33"/>
      <c r="E741" s="31" t="s">
        <v>6798</v>
      </c>
      <c r="F741" s="32" t="s">
        <v>5693</v>
      </c>
      <c r="G741" s="32" t="s">
        <v>285</v>
      </c>
      <c r="H741" s="33" t="s">
        <v>148</v>
      </c>
    </row>
    <row r="742" spans="1:8" ht="14.5" customHeight="1" x14ac:dyDescent="0.3">
      <c r="A742" s="19" t="s">
        <v>7399</v>
      </c>
      <c r="B742" s="19" t="s">
        <v>6802</v>
      </c>
      <c r="C742" s="18" t="s">
        <v>3920</v>
      </c>
      <c r="D742" s="20">
        <v>81983735911</v>
      </c>
      <c r="E742" s="19" t="s">
        <v>6800</v>
      </c>
      <c r="F742" s="18" t="s">
        <v>6801</v>
      </c>
      <c r="G742" s="18" t="s">
        <v>230</v>
      </c>
      <c r="H742" s="20" t="s">
        <v>60</v>
      </c>
    </row>
    <row r="743" spans="1:8" ht="14.5" customHeight="1" x14ac:dyDescent="0.3">
      <c r="A743" s="31" t="s">
        <v>7690</v>
      </c>
      <c r="B743" s="31" t="s">
        <v>6807</v>
      </c>
      <c r="C743" s="32" t="s">
        <v>3769</v>
      </c>
      <c r="D743" s="33" t="s">
        <v>6804</v>
      </c>
      <c r="E743" s="31" t="s">
        <v>6805</v>
      </c>
      <c r="F743" s="32" t="s">
        <v>6806</v>
      </c>
      <c r="G743" s="32" t="s">
        <v>75</v>
      </c>
      <c r="H743" s="33" t="s">
        <v>74</v>
      </c>
    </row>
    <row r="744" spans="1:8" ht="14.5" customHeight="1" x14ac:dyDescent="0.3">
      <c r="A744" s="19" t="s">
        <v>7657</v>
      </c>
      <c r="B744" s="19" t="s">
        <v>6607</v>
      </c>
      <c r="C744" s="18" t="s">
        <v>3853</v>
      </c>
      <c r="D744" s="20" t="s">
        <v>6808</v>
      </c>
      <c r="E744" s="19" t="s">
        <v>6809</v>
      </c>
      <c r="F744" s="18" t="s">
        <v>6810</v>
      </c>
      <c r="G744" s="18" t="s">
        <v>21</v>
      </c>
      <c r="H744" s="20" t="s">
        <v>17</v>
      </c>
    </row>
    <row r="745" spans="1:8" ht="14.5" customHeight="1" x14ac:dyDescent="0.3">
      <c r="A745" s="31" t="s">
        <v>7658</v>
      </c>
      <c r="B745" s="31" t="s">
        <v>816</v>
      </c>
      <c r="C745" s="32" t="s">
        <v>3759</v>
      </c>
      <c r="D745" s="33" t="s">
        <v>6811</v>
      </c>
      <c r="E745" s="31" t="s">
        <v>6812</v>
      </c>
      <c r="F745" s="32" t="s">
        <v>4705</v>
      </c>
      <c r="G745" s="32" t="s">
        <v>5154</v>
      </c>
      <c r="H745" s="33" t="s">
        <v>32</v>
      </c>
    </row>
    <row r="746" spans="1:8" ht="14.5" customHeight="1" x14ac:dyDescent="0.3">
      <c r="A746" s="19" t="s">
        <v>2096</v>
      </c>
      <c r="B746" s="19" t="s">
        <v>4339</v>
      </c>
      <c r="C746" s="18" t="s">
        <v>2097</v>
      </c>
      <c r="D746" s="20" t="s">
        <v>6813</v>
      </c>
      <c r="E746" s="19" t="s">
        <v>6814</v>
      </c>
      <c r="F746" s="18" t="s">
        <v>6815</v>
      </c>
      <c r="G746" s="18" t="s">
        <v>75</v>
      </c>
      <c r="H746" s="20" t="s">
        <v>74</v>
      </c>
    </row>
    <row r="747" spans="1:8" ht="14.5" customHeight="1" x14ac:dyDescent="0.3">
      <c r="A747" s="31" t="s">
        <v>7321</v>
      </c>
      <c r="B747" s="31" t="s">
        <v>5673</v>
      </c>
      <c r="C747" s="32" t="s">
        <v>2885</v>
      </c>
      <c r="D747" s="33" t="s">
        <v>6816</v>
      </c>
      <c r="E747" s="31" t="s">
        <v>6817</v>
      </c>
      <c r="F747" s="32" t="s">
        <v>6818</v>
      </c>
      <c r="G747" s="32" t="s">
        <v>21</v>
      </c>
      <c r="H747" s="33" t="s">
        <v>17</v>
      </c>
    </row>
    <row r="748" spans="1:8" ht="14.5" customHeight="1" x14ac:dyDescent="0.3">
      <c r="A748" s="19" t="s">
        <v>7419</v>
      </c>
      <c r="B748" s="19" t="s">
        <v>6822</v>
      </c>
      <c r="C748" s="18" t="s">
        <v>3826</v>
      </c>
      <c r="D748" s="20" t="s">
        <v>6819</v>
      </c>
      <c r="E748" s="19" t="s">
        <v>6820</v>
      </c>
      <c r="F748" s="18" t="s">
        <v>6821</v>
      </c>
      <c r="G748" s="18" t="s">
        <v>75</v>
      </c>
      <c r="H748" s="20" t="s">
        <v>74</v>
      </c>
    </row>
    <row r="749" spans="1:8" ht="14.5" customHeight="1" x14ac:dyDescent="0.3">
      <c r="A749" s="31" t="s">
        <v>2335</v>
      </c>
      <c r="B749" s="31" t="s">
        <v>6825</v>
      </c>
      <c r="C749" s="32" t="s">
        <v>2336</v>
      </c>
      <c r="D749" s="33" t="s">
        <v>6823</v>
      </c>
      <c r="E749" s="31" t="s">
        <v>6824</v>
      </c>
      <c r="F749" s="32" t="s">
        <v>5296</v>
      </c>
      <c r="G749" s="32" t="s">
        <v>120</v>
      </c>
      <c r="H749" s="33" t="s">
        <v>9</v>
      </c>
    </row>
    <row r="750" spans="1:8" ht="14.5" customHeight="1" x14ac:dyDescent="0.3">
      <c r="A750" s="19" t="s">
        <v>1961</v>
      </c>
      <c r="B750" s="19" t="s">
        <v>6829</v>
      </c>
      <c r="C750" s="18" t="s">
        <v>1962</v>
      </c>
      <c r="D750" s="20" t="s">
        <v>6826</v>
      </c>
      <c r="E750" s="19" t="s">
        <v>6827</v>
      </c>
      <c r="F750" s="18" t="s">
        <v>6828</v>
      </c>
      <c r="G750" s="18" t="s">
        <v>6564</v>
      </c>
      <c r="H750" s="20" t="s">
        <v>9</v>
      </c>
    </row>
    <row r="751" spans="1:8" ht="14.5" customHeight="1" x14ac:dyDescent="0.3">
      <c r="A751" s="31" t="s">
        <v>3724</v>
      </c>
      <c r="B751" s="31" t="s">
        <v>6832</v>
      </c>
      <c r="C751" s="32" t="s">
        <v>3725</v>
      </c>
      <c r="D751" s="33" t="s">
        <v>6830</v>
      </c>
      <c r="E751" s="31" t="s">
        <v>6831</v>
      </c>
      <c r="F751" s="32" t="s">
        <v>5247</v>
      </c>
      <c r="G751" s="32" t="s">
        <v>61</v>
      </c>
      <c r="H751" s="33" t="s">
        <v>60</v>
      </c>
    </row>
    <row r="752" spans="1:8" ht="14.5" customHeight="1" x14ac:dyDescent="0.3">
      <c r="A752" s="19" t="s">
        <v>7404</v>
      </c>
      <c r="B752" s="19" t="s">
        <v>6571</v>
      </c>
      <c r="C752" s="18" t="s">
        <v>2796</v>
      </c>
      <c r="D752" s="20" t="s">
        <v>6833</v>
      </c>
      <c r="E752" s="19" t="s">
        <v>6834</v>
      </c>
      <c r="F752" s="18" t="s">
        <v>4427</v>
      </c>
      <c r="G752" s="18" t="s">
        <v>285</v>
      </c>
      <c r="H752" s="20" t="s">
        <v>148</v>
      </c>
    </row>
    <row r="753" spans="1:8" ht="14.5" customHeight="1" x14ac:dyDescent="0.3">
      <c r="A753" s="31" t="s">
        <v>2959</v>
      </c>
      <c r="B753" s="31" t="s">
        <v>4670</v>
      </c>
      <c r="C753" s="32" t="s">
        <v>2960</v>
      </c>
      <c r="D753" s="33" t="s">
        <v>6835</v>
      </c>
      <c r="E753" s="31" t="s">
        <v>6836</v>
      </c>
      <c r="F753" s="32" t="s">
        <v>6837</v>
      </c>
      <c r="G753" s="32" t="s">
        <v>61</v>
      </c>
      <c r="H753" s="33" t="s">
        <v>60</v>
      </c>
    </row>
    <row r="754" spans="1:8" ht="14.5" customHeight="1" x14ac:dyDescent="0.3">
      <c r="A754" s="19" t="s">
        <v>3142</v>
      </c>
      <c r="B754" s="19" t="s">
        <v>6741</v>
      </c>
      <c r="C754" s="18" t="s">
        <v>3143</v>
      </c>
      <c r="D754" s="20" t="s">
        <v>6838</v>
      </c>
      <c r="E754" s="19" t="s">
        <v>6839</v>
      </c>
      <c r="F754" s="18" t="s">
        <v>4482</v>
      </c>
      <c r="G754" s="18" t="s">
        <v>21</v>
      </c>
      <c r="H754" s="20" t="s">
        <v>17</v>
      </c>
    </row>
    <row r="755" spans="1:8" ht="14.5" customHeight="1" x14ac:dyDescent="0.3">
      <c r="A755" s="31" t="s">
        <v>7662</v>
      </c>
      <c r="B755" s="31" t="s">
        <v>6842</v>
      </c>
      <c r="C755" s="32" t="s">
        <v>4216</v>
      </c>
      <c r="D755" s="33" t="s">
        <v>6840</v>
      </c>
      <c r="E755" s="31" t="s">
        <v>6841</v>
      </c>
      <c r="F755" s="32" t="s">
        <v>5318</v>
      </c>
      <c r="G755" s="32" t="s">
        <v>61</v>
      </c>
      <c r="H755" s="33" t="s">
        <v>60</v>
      </c>
    </row>
    <row r="756" spans="1:8" ht="14.5" customHeight="1" x14ac:dyDescent="0.3">
      <c r="A756" s="19" t="s">
        <v>7255</v>
      </c>
      <c r="B756" s="19" t="s">
        <v>6846</v>
      </c>
      <c r="C756" s="18" t="s">
        <v>3201</v>
      </c>
      <c r="D756" s="20" t="s">
        <v>6843</v>
      </c>
      <c r="E756" s="19" t="s">
        <v>6844</v>
      </c>
      <c r="F756" s="18" t="s">
        <v>6845</v>
      </c>
      <c r="G756" s="18" t="s">
        <v>285</v>
      </c>
      <c r="H756" s="20" t="s">
        <v>148</v>
      </c>
    </row>
    <row r="757" spans="1:8" ht="14.5" customHeight="1" x14ac:dyDescent="0.3">
      <c r="A757" s="31" t="s">
        <v>7665</v>
      </c>
      <c r="B757" s="31" t="s">
        <v>4336</v>
      </c>
      <c r="C757" s="32" t="s">
        <v>3772</v>
      </c>
      <c r="D757" s="33" t="s">
        <v>6847</v>
      </c>
      <c r="E757" s="31" t="s">
        <v>6848</v>
      </c>
      <c r="F757" s="32" t="s">
        <v>4477</v>
      </c>
      <c r="G757" s="32" t="s">
        <v>6849</v>
      </c>
      <c r="H757" s="33" t="s">
        <v>252</v>
      </c>
    </row>
    <row r="758" spans="1:8" ht="14.5" customHeight="1" x14ac:dyDescent="0.3">
      <c r="A758" s="19" t="s">
        <v>7666</v>
      </c>
      <c r="B758" s="19" t="s">
        <v>4309</v>
      </c>
      <c r="C758" s="18" t="s">
        <v>3262</v>
      </c>
      <c r="D758" s="20" t="s">
        <v>6850</v>
      </c>
      <c r="E758" s="19" t="s">
        <v>4446</v>
      </c>
      <c r="F758" s="18" t="s">
        <v>6851</v>
      </c>
      <c r="G758" s="18" t="s">
        <v>285</v>
      </c>
      <c r="H758" s="20" t="s">
        <v>148</v>
      </c>
    </row>
    <row r="759" spans="1:8" ht="14.5" customHeight="1" x14ac:dyDescent="0.3">
      <c r="A759" s="31" t="s">
        <v>1858</v>
      </c>
      <c r="B759" s="31" t="s">
        <v>421</v>
      </c>
      <c r="C759" s="32" t="s">
        <v>1859</v>
      </c>
      <c r="D759" s="33" t="s">
        <v>6852</v>
      </c>
      <c r="E759" s="31" t="s">
        <v>6853</v>
      </c>
      <c r="F759" s="32" t="s">
        <v>320</v>
      </c>
      <c r="G759" s="32" t="s">
        <v>11</v>
      </c>
      <c r="H759" s="33" t="s">
        <v>9</v>
      </c>
    </row>
    <row r="760" spans="1:8" ht="14.5" customHeight="1" x14ac:dyDescent="0.3">
      <c r="A760" s="19" t="s">
        <v>2476</v>
      </c>
      <c r="B760" s="19" t="s">
        <v>5409</v>
      </c>
      <c r="C760" s="18" t="s">
        <v>2477</v>
      </c>
      <c r="D760" s="20" t="s">
        <v>6854</v>
      </c>
      <c r="E760" s="19" t="s">
        <v>6855</v>
      </c>
      <c r="F760" s="18" t="s">
        <v>6856</v>
      </c>
      <c r="G760" s="18" t="s">
        <v>159</v>
      </c>
      <c r="H760" s="20" t="s">
        <v>9</v>
      </c>
    </row>
    <row r="761" spans="1:8" ht="14.5" customHeight="1" x14ac:dyDescent="0.3">
      <c r="A761" s="31" t="s">
        <v>7667</v>
      </c>
      <c r="B761" s="31" t="s">
        <v>5837</v>
      </c>
      <c r="C761" s="32" t="s">
        <v>3320</v>
      </c>
      <c r="D761" s="33" t="s">
        <v>6857</v>
      </c>
      <c r="E761" s="31" t="s">
        <v>6858</v>
      </c>
      <c r="F761" s="32" t="s">
        <v>6859</v>
      </c>
      <c r="G761" s="32" t="s">
        <v>75</v>
      </c>
      <c r="H761" s="33" t="s">
        <v>74</v>
      </c>
    </row>
    <row r="762" spans="1:8" ht="14.5" customHeight="1" x14ac:dyDescent="0.3">
      <c r="A762" s="19" t="s">
        <v>7256</v>
      </c>
      <c r="B762" s="19" t="s">
        <v>4912</v>
      </c>
      <c r="C762" s="18" t="s">
        <v>3922</v>
      </c>
      <c r="D762" s="20" t="s">
        <v>6860</v>
      </c>
      <c r="E762" s="19" t="s">
        <v>6861</v>
      </c>
      <c r="F762" s="18" t="s">
        <v>4743</v>
      </c>
      <c r="G762" s="18" t="s">
        <v>61</v>
      </c>
      <c r="H762" s="20" t="s">
        <v>60</v>
      </c>
    </row>
    <row r="763" spans="1:8" ht="14.5" customHeight="1" x14ac:dyDescent="0.3">
      <c r="A763" s="31" t="s">
        <v>7577</v>
      </c>
      <c r="B763" s="31" t="s">
        <v>965</v>
      </c>
      <c r="C763" s="32" t="s">
        <v>2229</v>
      </c>
      <c r="D763" s="33" t="s">
        <v>6862</v>
      </c>
      <c r="E763" s="31" t="s">
        <v>6863</v>
      </c>
      <c r="F763" s="32"/>
      <c r="G763" s="32" t="s">
        <v>165</v>
      </c>
      <c r="H763" s="33" t="s">
        <v>17</v>
      </c>
    </row>
    <row r="764" spans="1:8" ht="14.5" customHeight="1" x14ac:dyDescent="0.3">
      <c r="A764" s="19" t="s">
        <v>7669</v>
      </c>
      <c r="B764" s="19" t="s">
        <v>6866</v>
      </c>
      <c r="C764" s="18" t="s">
        <v>4142</v>
      </c>
      <c r="D764" s="20" t="s">
        <v>6864</v>
      </c>
      <c r="E764" s="19" t="s">
        <v>6865</v>
      </c>
      <c r="F764" s="18" t="s">
        <v>5699</v>
      </c>
      <c r="G764" s="18" t="s">
        <v>230</v>
      </c>
      <c r="H764" s="20" t="s">
        <v>60</v>
      </c>
    </row>
    <row r="765" spans="1:8" ht="14.5" customHeight="1" x14ac:dyDescent="0.3">
      <c r="A765" s="31" t="s">
        <v>7257</v>
      </c>
      <c r="B765" s="31" t="s">
        <v>1219</v>
      </c>
      <c r="C765" s="32" t="s">
        <v>256</v>
      </c>
      <c r="D765" s="33" t="s">
        <v>257</v>
      </c>
      <c r="E765" s="31" t="s">
        <v>6867</v>
      </c>
      <c r="F765" s="32" t="s">
        <v>258</v>
      </c>
      <c r="G765" s="32" t="s">
        <v>30</v>
      </c>
      <c r="H765" s="33" t="s">
        <v>13</v>
      </c>
    </row>
    <row r="766" spans="1:8" ht="14.5" customHeight="1" x14ac:dyDescent="0.3">
      <c r="A766" s="19" t="s">
        <v>7691</v>
      </c>
      <c r="B766" s="19" t="s">
        <v>4839</v>
      </c>
      <c r="C766" s="18" t="s">
        <v>2547</v>
      </c>
      <c r="D766" s="20" t="s">
        <v>6868</v>
      </c>
      <c r="E766" s="19" t="s">
        <v>6869</v>
      </c>
      <c r="F766" s="18" t="s">
        <v>6870</v>
      </c>
      <c r="G766" s="18" t="s">
        <v>75</v>
      </c>
      <c r="H766" s="20" t="s">
        <v>74</v>
      </c>
    </row>
    <row r="767" spans="1:8" ht="14.5" customHeight="1" x14ac:dyDescent="0.3">
      <c r="A767" s="31" t="s">
        <v>4163</v>
      </c>
      <c r="B767" s="31" t="s">
        <v>6874</v>
      </c>
      <c r="C767" s="32" t="s">
        <v>4164</v>
      </c>
      <c r="D767" s="33" t="s">
        <v>6871</v>
      </c>
      <c r="E767" s="31" t="s">
        <v>6872</v>
      </c>
      <c r="F767" s="32" t="s">
        <v>6873</v>
      </c>
      <c r="G767" s="32" t="s">
        <v>11</v>
      </c>
      <c r="H767" s="33" t="s">
        <v>9</v>
      </c>
    </row>
    <row r="768" spans="1:8" ht="14.5" customHeight="1" x14ac:dyDescent="0.3">
      <c r="A768" s="19" t="s">
        <v>7718</v>
      </c>
      <c r="B768" s="19" t="s">
        <v>6878</v>
      </c>
      <c r="C768" s="18" t="s">
        <v>2050</v>
      </c>
      <c r="D768" s="20" t="s">
        <v>6875</v>
      </c>
      <c r="E768" s="19" t="s">
        <v>6876</v>
      </c>
      <c r="F768" s="18" t="s">
        <v>6877</v>
      </c>
      <c r="G768" s="18" t="s">
        <v>21</v>
      </c>
      <c r="H768" s="20" t="s">
        <v>17</v>
      </c>
    </row>
    <row r="769" spans="1:8" ht="14.5" customHeight="1" x14ac:dyDescent="0.3">
      <c r="A769" s="31" t="s">
        <v>347</v>
      </c>
      <c r="B769" s="31" t="s">
        <v>668</v>
      </c>
      <c r="C769" s="32" t="s">
        <v>348</v>
      </c>
      <c r="D769" s="33" t="s">
        <v>6879</v>
      </c>
      <c r="E769" s="31" t="s">
        <v>1491</v>
      </c>
      <c r="F769" s="32" t="s">
        <v>349</v>
      </c>
      <c r="G769" s="32" t="s">
        <v>30</v>
      </c>
      <c r="H769" s="33" t="s">
        <v>13</v>
      </c>
    </row>
    <row r="770" spans="1:8" ht="14.5" customHeight="1" x14ac:dyDescent="0.3">
      <c r="A770" s="19" t="s">
        <v>7671</v>
      </c>
      <c r="B770" s="19" t="s">
        <v>6883</v>
      </c>
      <c r="C770" s="18" t="s">
        <v>3107</v>
      </c>
      <c r="D770" s="20" t="s">
        <v>6880</v>
      </c>
      <c r="E770" s="19" t="s">
        <v>6881</v>
      </c>
      <c r="F770" s="18" t="s">
        <v>6882</v>
      </c>
      <c r="G770" s="18" t="s">
        <v>5788</v>
      </c>
      <c r="H770" s="20" t="s">
        <v>17</v>
      </c>
    </row>
    <row r="771" spans="1:8" ht="14.5" customHeight="1" x14ac:dyDescent="0.3">
      <c r="A771" s="31" t="s">
        <v>4058</v>
      </c>
      <c r="B771" s="31" t="s">
        <v>6886</v>
      </c>
      <c r="C771" s="32" t="s">
        <v>4059</v>
      </c>
      <c r="D771" s="33" t="s">
        <v>6884</v>
      </c>
      <c r="E771" s="31" t="s">
        <v>6885</v>
      </c>
      <c r="F771" s="32" t="s">
        <v>5356</v>
      </c>
      <c r="G771" s="32" t="s">
        <v>15</v>
      </c>
      <c r="H771" s="33" t="s">
        <v>13</v>
      </c>
    </row>
    <row r="772" spans="1:8" ht="14.5" customHeight="1" x14ac:dyDescent="0.3">
      <c r="A772" s="19" t="s">
        <v>7543</v>
      </c>
      <c r="B772" s="19" t="s">
        <v>6890</v>
      </c>
      <c r="C772" s="18" t="s">
        <v>2741</v>
      </c>
      <c r="D772" s="20" t="s">
        <v>6887</v>
      </c>
      <c r="E772" s="19" t="s">
        <v>6888</v>
      </c>
      <c r="F772" s="18" t="s">
        <v>6889</v>
      </c>
      <c r="G772" s="18" t="s">
        <v>4272</v>
      </c>
      <c r="H772" s="20" t="s">
        <v>60</v>
      </c>
    </row>
    <row r="773" spans="1:8" ht="14.5" customHeight="1" x14ac:dyDescent="0.3">
      <c r="A773" s="31" t="s">
        <v>7672</v>
      </c>
      <c r="B773" s="31" t="s">
        <v>6894</v>
      </c>
      <c r="C773" s="32" t="s">
        <v>2577</v>
      </c>
      <c r="D773" s="33" t="s">
        <v>6891</v>
      </c>
      <c r="E773" s="31" t="s">
        <v>6892</v>
      </c>
      <c r="F773" s="32" t="s">
        <v>6893</v>
      </c>
      <c r="G773" s="32" t="s">
        <v>5193</v>
      </c>
      <c r="H773" s="33" t="s">
        <v>9</v>
      </c>
    </row>
    <row r="774" spans="1:8" ht="14.5" customHeight="1" x14ac:dyDescent="0.3">
      <c r="A774" s="19" t="s">
        <v>4208</v>
      </c>
      <c r="B774" s="19" t="s">
        <v>6102</v>
      </c>
      <c r="C774" s="18" t="s">
        <v>4209</v>
      </c>
      <c r="D774" s="20" t="s">
        <v>6895</v>
      </c>
      <c r="E774" s="19" t="s">
        <v>6896</v>
      </c>
      <c r="F774" s="18" t="s">
        <v>5035</v>
      </c>
      <c r="G774" s="18" t="s">
        <v>6897</v>
      </c>
      <c r="H774" s="20" t="s">
        <v>32</v>
      </c>
    </row>
    <row r="775" spans="1:8" ht="14.5" customHeight="1" x14ac:dyDescent="0.3">
      <c r="A775" s="31" t="s">
        <v>7673</v>
      </c>
      <c r="B775" s="31" t="s">
        <v>6102</v>
      </c>
      <c r="C775" s="32" t="s">
        <v>4128</v>
      </c>
      <c r="D775" s="33" t="s">
        <v>6898</v>
      </c>
      <c r="E775" s="31" t="s">
        <v>6899</v>
      </c>
      <c r="F775" s="32" t="s">
        <v>4287</v>
      </c>
      <c r="G775" s="32" t="s">
        <v>61</v>
      </c>
      <c r="H775" s="33" t="s">
        <v>60</v>
      </c>
    </row>
    <row r="776" spans="1:8" ht="14.5" customHeight="1" x14ac:dyDescent="0.3">
      <c r="A776" s="19" t="s">
        <v>7674</v>
      </c>
      <c r="B776" s="19" t="s">
        <v>6902</v>
      </c>
      <c r="C776" s="18" t="s">
        <v>3453</v>
      </c>
      <c r="D776" s="20" t="s">
        <v>6900</v>
      </c>
      <c r="E776" s="19" t="s">
        <v>6901</v>
      </c>
      <c r="F776" s="18" t="s">
        <v>4477</v>
      </c>
      <c r="G776" s="18" t="s">
        <v>4423</v>
      </c>
      <c r="H776" s="20" t="s">
        <v>148</v>
      </c>
    </row>
    <row r="777" spans="1:8" ht="14.5" customHeight="1" x14ac:dyDescent="0.3">
      <c r="A777" s="31" t="s">
        <v>7675</v>
      </c>
      <c r="B777" s="31" t="s">
        <v>1389</v>
      </c>
      <c r="C777" s="32" t="s">
        <v>4136</v>
      </c>
      <c r="D777" s="33" t="s">
        <v>6903</v>
      </c>
      <c r="E777" s="31" t="s">
        <v>6904</v>
      </c>
      <c r="F777" s="32" t="s">
        <v>6905</v>
      </c>
      <c r="G777" s="32" t="s">
        <v>4720</v>
      </c>
      <c r="H777" s="33" t="s">
        <v>60</v>
      </c>
    </row>
    <row r="778" spans="1:8" ht="14.5" customHeight="1" x14ac:dyDescent="0.3">
      <c r="A778" s="19" t="s">
        <v>7677</v>
      </c>
      <c r="B778" s="19" t="s">
        <v>837</v>
      </c>
      <c r="C778" s="18" t="s">
        <v>4122</v>
      </c>
      <c r="D778" s="20" t="s">
        <v>6906</v>
      </c>
      <c r="E778" s="19" t="s">
        <v>5820</v>
      </c>
      <c r="F778" s="18" t="s">
        <v>6907</v>
      </c>
      <c r="G778" s="18" t="s">
        <v>6908</v>
      </c>
      <c r="H778" s="20" t="s">
        <v>9</v>
      </c>
    </row>
    <row r="779" spans="1:8" ht="14.5" customHeight="1" x14ac:dyDescent="0.3">
      <c r="A779" s="31" t="s">
        <v>7642</v>
      </c>
      <c r="B779" s="31" t="s">
        <v>5323</v>
      </c>
      <c r="C779" s="32" t="s">
        <v>2137</v>
      </c>
      <c r="D779" s="33" t="s">
        <v>6909</v>
      </c>
      <c r="E779" s="31" t="s">
        <v>6910</v>
      </c>
      <c r="F779" s="32" t="s">
        <v>5355</v>
      </c>
      <c r="G779" s="32" t="s">
        <v>285</v>
      </c>
      <c r="H779" s="33" t="s">
        <v>148</v>
      </c>
    </row>
    <row r="780" spans="1:8" ht="14.5" customHeight="1" x14ac:dyDescent="0.3">
      <c r="A780" s="19" t="s">
        <v>7679</v>
      </c>
      <c r="B780" s="19" t="s">
        <v>6913</v>
      </c>
      <c r="C780" s="18" t="s">
        <v>3490</v>
      </c>
      <c r="D780" s="20" t="s">
        <v>6911</v>
      </c>
      <c r="E780" s="19" t="s">
        <v>6912</v>
      </c>
      <c r="F780" s="18" t="s">
        <v>352</v>
      </c>
      <c r="G780" s="18" t="s">
        <v>11</v>
      </c>
      <c r="H780" s="20" t="s">
        <v>9</v>
      </c>
    </row>
    <row r="781" spans="1:8" ht="14.5" customHeight="1" x14ac:dyDescent="0.3">
      <c r="A781" s="31" t="s">
        <v>7681</v>
      </c>
      <c r="B781" s="31" t="s">
        <v>5022</v>
      </c>
      <c r="C781" s="32" t="s">
        <v>3611</v>
      </c>
      <c r="D781" s="33" t="s">
        <v>6914</v>
      </c>
      <c r="E781" s="31" t="s">
        <v>6915</v>
      </c>
      <c r="F781" s="32" t="s">
        <v>4836</v>
      </c>
      <c r="G781" s="32" t="s">
        <v>75</v>
      </c>
      <c r="H781" s="33" t="s">
        <v>74</v>
      </c>
    </row>
    <row r="782" spans="1:8" ht="14.5" customHeight="1" x14ac:dyDescent="0.3">
      <c r="A782" s="19" t="s">
        <v>3654</v>
      </c>
      <c r="B782" s="19" t="s">
        <v>767</v>
      </c>
      <c r="C782" s="18" t="s">
        <v>3655</v>
      </c>
      <c r="D782" s="20" t="s">
        <v>6916</v>
      </c>
      <c r="E782" s="19" t="s">
        <v>6917</v>
      </c>
      <c r="F782" s="18" t="s">
        <v>6918</v>
      </c>
      <c r="G782" s="18" t="s">
        <v>21</v>
      </c>
      <c r="H782" s="20" t="s">
        <v>17</v>
      </c>
    </row>
    <row r="783" spans="1:8" ht="14.5" customHeight="1" x14ac:dyDescent="0.3">
      <c r="A783" s="31" t="s">
        <v>7682</v>
      </c>
      <c r="B783" s="31" t="s">
        <v>6920</v>
      </c>
      <c r="C783" s="32" t="s">
        <v>3121</v>
      </c>
      <c r="D783" s="33" t="s">
        <v>6919</v>
      </c>
      <c r="E783" s="31" t="s">
        <v>6748</v>
      </c>
      <c r="F783" s="32" t="s">
        <v>5699</v>
      </c>
      <c r="G783" s="32" t="s">
        <v>230</v>
      </c>
      <c r="H783" s="33" t="s">
        <v>60</v>
      </c>
    </row>
    <row r="784" spans="1:8" ht="14.5" customHeight="1" x14ac:dyDescent="0.3">
      <c r="A784" s="19" t="s">
        <v>7683</v>
      </c>
      <c r="B784" s="19" t="s">
        <v>1437</v>
      </c>
      <c r="C784" s="18" t="s">
        <v>2971</v>
      </c>
      <c r="D784" s="20" t="s">
        <v>6921</v>
      </c>
      <c r="E784" s="19" t="s">
        <v>6922</v>
      </c>
      <c r="F784" s="18" t="s">
        <v>6923</v>
      </c>
      <c r="G784" s="18" t="s">
        <v>6924</v>
      </c>
      <c r="H784" s="20" t="s">
        <v>60</v>
      </c>
    </row>
    <row r="785" spans="1:8" ht="14.5" customHeight="1" x14ac:dyDescent="0.3">
      <c r="A785" s="31" t="s">
        <v>7704</v>
      </c>
      <c r="B785" s="31" t="s">
        <v>6925</v>
      </c>
      <c r="C785" s="32" t="s">
        <v>3806</v>
      </c>
      <c r="D785" s="33" t="s">
        <v>6926</v>
      </c>
      <c r="E785" s="31" t="s">
        <v>6927</v>
      </c>
      <c r="F785" s="32" t="s">
        <v>6928</v>
      </c>
      <c r="G785" s="32" t="s">
        <v>6929</v>
      </c>
      <c r="H785" s="33" t="s">
        <v>166</v>
      </c>
    </row>
    <row r="786" spans="1:8" ht="14.5" customHeight="1" x14ac:dyDescent="0.3">
      <c r="A786" s="19" t="s">
        <v>7258</v>
      </c>
      <c r="B786" s="19" t="s">
        <v>4674</v>
      </c>
      <c r="C786" s="18" t="s">
        <v>3518</v>
      </c>
      <c r="D786" s="20" t="s">
        <v>6930</v>
      </c>
      <c r="E786" s="19" t="s">
        <v>6931</v>
      </c>
      <c r="F786" s="18" t="s">
        <v>6932</v>
      </c>
      <c r="G786" s="18" t="s">
        <v>11</v>
      </c>
      <c r="H786" s="20" t="s">
        <v>9</v>
      </c>
    </row>
    <row r="787" spans="1:8" ht="14.5" customHeight="1" x14ac:dyDescent="0.3">
      <c r="A787" s="31" t="s">
        <v>7684</v>
      </c>
      <c r="B787" s="31" t="s">
        <v>6936</v>
      </c>
      <c r="C787" s="32" t="s">
        <v>3753</v>
      </c>
      <c r="D787" s="33" t="s">
        <v>6933</v>
      </c>
      <c r="E787" s="31" t="s">
        <v>6934</v>
      </c>
      <c r="F787" s="32" t="s">
        <v>6935</v>
      </c>
      <c r="G787" s="32" t="s">
        <v>152</v>
      </c>
      <c r="H787" s="33" t="s">
        <v>9</v>
      </c>
    </row>
    <row r="788" spans="1:8" ht="14.5" customHeight="1" x14ac:dyDescent="0.3">
      <c r="A788" s="19" t="s">
        <v>3152</v>
      </c>
      <c r="B788" s="19" t="s">
        <v>6940</v>
      </c>
      <c r="C788" s="18" t="s">
        <v>3153</v>
      </c>
      <c r="D788" s="20" t="s">
        <v>6937</v>
      </c>
      <c r="E788" s="19" t="s">
        <v>6938</v>
      </c>
      <c r="F788" s="18" t="s">
        <v>6939</v>
      </c>
      <c r="G788" s="18" t="s">
        <v>15</v>
      </c>
      <c r="H788" s="20" t="s">
        <v>13</v>
      </c>
    </row>
    <row r="789" spans="1:8" ht="14.5" customHeight="1" x14ac:dyDescent="0.3">
      <c r="A789" s="31" t="s">
        <v>4186</v>
      </c>
      <c r="B789" s="31" t="s">
        <v>4634</v>
      </c>
      <c r="C789" s="32" t="s">
        <v>4187</v>
      </c>
      <c r="D789" s="33" t="s">
        <v>6941</v>
      </c>
      <c r="E789" s="31" t="s">
        <v>6942</v>
      </c>
      <c r="F789" s="32" t="s">
        <v>6943</v>
      </c>
      <c r="G789" s="32" t="s">
        <v>6944</v>
      </c>
      <c r="H789" s="33" t="s">
        <v>9</v>
      </c>
    </row>
    <row r="790" spans="1:8" ht="14.5" customHeight="1" x14ac:dyDescent="0.3">
      <c r="A790" s="19" t="s">
        <v>7693</v>
      </c>
      <c r="B790" s="19" t="s">
        <v>6947</v>
      </c>
      <c r="C790" s="18" t="s">
        <v>1919</v>
      </c>
      <c r="D790" s="20" t="s">
        <v>6945</v>
      </c>
      <c r="E790" s="19" t="s">
        <v>4275</v>
      </c>
      <c r="F790" s="18" t="s">
        <v>6946</v>
      </c>
      <c r="G790" s="18" t="s">
        <v>61</v>
      </c>
      <c r="H790" s="20" t="s">
        <v>60</v>
      </c>
    </row>
    <row r="791" spans="1:8" ht="14.5" customHeight="1" x14ac:dyDescent="0.3">
      <c r="A791" s="31" t="s">
        <v>95</v>
      </c>
      <c r="B791" s="31" t="s">
        <v>683</v>
      </c>
      <c r="C791" s="32" t="s">
        <v>96</v>
      </c>
      <c r="D791" s="33" t="s">
        <v>97</v>
      </c>
      <c r="E791" s="31" t="s">
        <v>6948</v>
      </c>
      <c r="F791" s="32" t="s">
        <v>98</v>
      </c>
      <c r="G791" s="32" t="s">
        <v>11</v>
      </c>
      <c r="H791" s="33" t="s">
        <v>9</v>
      </c>
    </row>
    <row r="792" spans="1:8" ht="14.5" customHeight="1" x14ac:dyDescent="0.3">
      <c r="A792" s="19" t="s">
        <v>7685</v>
      </c>
      <c r="B792" s="19" t="s">
        <v>6955</v>
      </c>
      <c r="C792" s="18" t="s">
        <v>3194</v>
      </c>
      <c r="D792" s="20" t="s">
        <v>6953</v>
      </c>
      <c r="E792" s="19" t="s">
        <v>6954</v>
      </c>
      <c r="F792" s="18" t="s">
        <v>4853</v>
      </c>
      <c r="G792" s="18" t="s">
        <v>61</v>
      </c>
      <c r="H792" s="20" t="s">
        <v>60</v>
      </c>
    </row>
    <row r="793" spans="1:8" ht="14.5" customHeight="1" x14ac:dyDescent="0.3">
      <c r="A793" s="31" t="s">
        <v>2649</v>
      </c>
      <c r="B793" s="31" t="s">
        <v>6952</v>
      </c>
      <c r="C793" s="32" t="s">
        <v>2650</v>
      </c>
      <c r="D793" s="33" t="s">
        <v>6949</v>
      </c>
      <c r="E793" s="31" t="s">
        <v>6950</v>
      </c>
      <c r="F793" s="32" t="s">
        <v>6951</v>
      </c>
      <c r="G793" s="32" t="s">
        <v>21</v>
      </c>
      <c r="H793" s="33" t="s">
        <v>17</v>
      </c>
    </row>
    <row r="794" spans="1:8" ht="14.5" customHeight="1" x14ac:dyDescent="0.3">
      <c r="A794" s="19" t="s">
        <v>7259</v>
      </c>
      <c r="B794" s="19" t="s">
        <v>6957</v>
      </c>
      <c r="C794" s="18" t="s">
        <v>3543</v>
      </c>
      <c r="D794" s="20" t="s">
        <v>6956</v>
      </c>
      <c r="E794" s="19" t="s">
        <v>4516</v>
      </c>
      <c r="F794" s="18" t="s">
        <v>158</v>
      </c>
      <c r="G794" s="18" t="s">
        <v>4272</v>
      </c>
      <c r="H794" s="20" t="s">
        <v>60</v>
      </c>
    </row>
    <row r="795" spans="1:8" ht="14.5" customHeight="1" x14ac:dyDescent="0.3">
      <c r="A795" s="31" t="s">
        <v>7752</v>
      </c>
      <c r="B795" s="31" t="s">
        <v>521</v>
      </c>
      <c r="C795" s="32" t="s">
        <v>2903</v>
      </c>
      <c r="D795" s="33" t="s">
        <v>6958</v>
      </c>
      <c r="E795" s="31" t="s">
        <v>6959</v>
      </c>
      <c r="F795" s="32" t="s">
        <v>6960</v>
      </c>
      <c r="G795" s="32" t="s">
        <v>4792</v>
      </c>
      <c r="H795" s="33" t="s">
        <v>9</v>
      </c>
    </row>
    <row r="796" spans="1:8" ht="14.5" customHeight="1" x14ac:dyDescent="0.3">
      <c r="A796" s="19" t="s">
        <v>7761</v>
      </c>
      <c r="B796" s="19" t="s">
        <v>446</v>
      </c>
      <c r="C796" s="18" t="s">
        <v>448</v>
      </c>
      <c r="D796" s="20" t="s">
        <v>6961</v>
      </c>
      <c r="E796" s="19" t="s">
        <v>6962</v>
      </c>
      <c r="F796" s="18" t="s">
        <v>19</v>
      </c>
      <c r="G796" s="18" t="s">
        <v>11</v>
      </c>
      <c r="H796" s="20" t="s">
        <v>9</v>
      </c>
    </row>
    <row r="797" spans="1:8" ht="14.5" customHeight="1" x14ac:dyDescent="0.3">
      <c r="A797" s="31" t="s">
        <v>7686</v>
      </c>
      <c r="B797" s="31" t="s">
        <v>521</v>
      </c>
      <c r="C797" s="32" t="s">
        <v>78</v>
      </c>
      <c r="D797" s="33" t="s">
        <v>6963</v>
      </c>
      <c r="E797" s="31" t="s">
        <v>6964</v>
      </c>
      <c r="F797" s="32"/>
      <c r="G797" s="32" t="s">
        <v>21</v>
      </c>
      <c r="H797" s="33" t="s">
        <v>17</v>
      </c>
    </row>
    <row r="798" spans="1:8" ht="14.5" customHeight="1" x14ac:dyDescent="0.3">
      <c r="A798" s="19" t="s">
        <v>4150</v>
      </c>
      <c r="B798" s="19" t="s">
        <v>5373</v>
      </c>
      <c r="C798" s="18" t="s">
        <v>4151</v>
      </c>
      <c r="D798" s="20" t="s">
        <v>6965</v>
      </c>
      <c r="E798" s="19" t="s">
        <v>6966</v>
      </c>
      <c r="F798" s="18" t="s">
        <v>5262</v>
      </c>
      <c r="G798" s="18" t="s">
        <v>75</v>
      </c>
      <c r="H798" s="20" t="s">
        <v>74</v>
      </c>
    </row>
    <row r="799" spans="1:8" ht="14.5" customHeight="1" x14ac:dyDescent="0.3">
      <c r="A799" s="31" t="s">
        <v>4174</v>
      </c>
      <c r="B799" s="31" t="s">
        <v>5613</v>
      </c>
      <c r="C799" s="32" t="s">
        <v>4175</v>
      </c>
      <c r="D799" s="33" t="s">
        <v>6967</v>
      </c>
      <c r="E799" s="31" t="s">
        <v>6083</v>
      </c>
      <c r="F799" s="32" t="s">
        <v>4989</v>
      </c>
      <c r="G799" s="32" t="s">
        <v>11</v>
      </c>
      <c r="H799" s="33" t="s">
        <v>9</v>
      </c>
    </row>
    <row r="800" spans="1:8" ht="14.5" customHeight="1" x14ac:dyDescent="0.3">
      <c r="A800" s="19" t="s">
        <v>7695</v>
      </c>
      <c r="B800" s="19" t="s">
        <v>6109</v>
      </c>
      <c r="C800" s="18" t="s">
        <v>4144</v>
      </c>
      <c r="D800" s="20" t="s">
        <v>6968</v>
      </c>
      <c r="E800" s="19" t="s">
        <v>6969</v>
      </c>
      <c r="F800" s="18" t="s">
        <v>6970</v>
      </c>
      <c r="G800" s="18" t="s">
        <v>4681</v>
      </c>
      <c r="H800" s="20" t="s">
        <v>148</v>
      </c>
    </row>
    <row r="801" spans="1:8" ht="14.5" customHeight="1" x14ac:dyDescent="0.3">
      <c r="A801" s="31" t="s">
        <v>2521</v>
      </c>
      <c r="B801" s="31" t="s">
        <v>6825</v>
      </c>
      <c r="C801" s="32" t="s">
        <v>2522</v>
      </c>
      <c r="D801" s="33" t="s">
        <v>6971</v>
      </c>
      <c r="E801" s="31" t="s">
        <v>4772</v>
      </c>
      <c r="F801" s="32" t="s">
        <v>5455</v>
      </c>
      <c r="G801" s="32" t="s">
        <v>75</v>
      </c>
      <c r="H801" s="33" t="s">
        <v>74</v>
      </c>
    </row>
    <row r="802" spans="1:8" ht="14.5" customHeight="1" x14ac:dyDescent="0.3">
      <c r="A802" s="19" t="s">
        <v>7678</v>
      </c>
      <c r="B802" s="19" t="s">
        <v>4910</v>
      </c>
      <c r="C802" s="18" t="s">
        <v>4183</v>
      </c>
      <c r="D802" s="20" t="s">
        <v>6972</v>
      </c>
      <c r="E802" s="19" t="s">
        <v>6973</v>
      </c>
      <c r="F802" s="18" t="s">
        <v>6974</v>
      </c>
      <c r="G802" s="18" t="s">
        <v>65</v>
      </c>
      <c r="H802" s="20" t="s">
        <v>64</v>
      </c>
    </row>
    <row r="803" spans="1:8" ht="14.5" customHeight="1" x14ac:dyDescent="0.3">
      <c r="A803" s="31" t="s">
        <v>3810</v>
      </c>
      <c r="B803" s="31" t="s">
        <v>5613</v>
      </c>
      <c r="C803" s="32" t="s">
        <v>3811</v>
      </c>
      <c r="D803" s="33" t="s">
        <v>6976</v>
      </c>
      <c r="E803" s="31" t="s">
        <v>6977</v>
      </c>
      <c r="F803" s="32" t="s">
        <v>6978</v>
      </c>
      <c r="G803" s="32" t="s">
        <v>4277</v>
      </c>
      <c r="H803" s="33" t="s">
        <v>4274</v>
      </c>
    </row>
    <row r="804" spans="1:8" ht="14.5" customHeight="1" x14ac:dyDescent="0.3">
      <c r="A804" s="19" t="s">
        <v>7700</v>
      </c>
      <c r="B804" s="19" t="s">
        <v>6982</v>
      </c>
      <c r="C804" s="18" t="s">
        <v>3728</v>
      </c>
      <c r="D804" s="20" t="s">
        <v>6979</v>
      </c>
      <c r="E804" s="19" t="s">
        <v>6980</v>
      </c>
      <c r="F804" s="18" t="s">
        <v>6981</v>
      </c>
      <c r="G804" s="18" t="s">
        <v>6787</v>
      </c>
      <c r="H804" s="20" t="s">
        <v>9</v>
      </c>
    </row>
    <row r="805" spans="1:8" ht="14.5" customHeight="1" x14ac:dyDescent="0.3">
      <c r="A805" s="31" t="s">
        <v>7702</v>
      </c>
      <c r="B805" s="31" t="s">
        <v>6984</v>
      </c>
      <c r="C805" s="32" t="s">
        <v>3624</v>
      </c>
      <c r="D805" s="33" t="s">
        <v>97</v>
      </c>
      <c r="E805" s="31" t="s">
        <v>6983</v>
      </c>
      <c r="F805" s="32" t="s">
        <v>4853</v>
      </c>
      <c r="G805" s="32" t="s">
        <v>61</v>
      </c>
      <c r="H805" s="33" t="s">
        <v>60</v>
      </c>
    </row>
    <row r="806" spans="1:8" ht="14.5" customHeight="1" x14ac:dyDescent="0.3">
      <c r="A806" s="19" t="s">
        <v>7703</v>
      </c>
      <c r="B806" s="19" t="s">
        <v>6825</v>
      </c>
      <c r="C806" s="18" t="s">
        <v>1976</v>
      </c>
      <c r="D806" s="20" t="s">
        <v>6985</v>
      </c>
      <c r="E806" s="19" t="s">
        <v>6986</v>
      </c>
      <c r="F806" s="18" t="s">
        <v>4911</v>
      </c>
      <c r="G806" s="18" t="s">
        <v>11</v>
      </c>
      <c r="H806" s="20" t="s">
        <v>9</v>
      </c>
    </row>
    <row r="807" spans="1:8" ht="14.5" customHeight="1" x14ac:dyDescent="0.3">
      <c r="A807" s="31" t="s">
        <v>3461</v>
      </c>
      <c r="B807" s="31" t="s">
        <v>6990</v>
      </c>
      <c r="C807" s="32" t="s">
        <v>3462</v>
      </c>
      <c r="D807" s="33" t="s">
        <v>6987</v>
      </c>
      <c r="E807" s="31" t="s">
        <v>6988</v>
      </c>
      <c r="F807" s="32" t="s">
        <v>6989</v>
      </c>
      <c r="G807" s="32" t="s">
        <v>75</v>
      </c>
      <c r="H807" s="33" t="s">
        <v>74</v>
      </c>
    </row>
    <row r="808" spans="1:8" ht="14.5" customHeight="1" x14ac:dyDescent="0.3">
      <c r="A808" s="19" t="s">
        <v>265</v>
      </c>
      <c r="B808" s="19" t="s">
        <v>1238</v>
      </c>
      <c r="C808" s="18" t="s">
        <v>266</v>
      </c>
      <c r="D808" s="20" t="s">
        <v>6991</v>
      </c>
      <c r="E808" s="19" t="s">
        <v>267</v>
      </c>
      <c r="F808" s="18" t="s">
        <v>268</v>
      </c>
      <c r="G808" s="18" t="s">
        <v>30</v>
      </c>
      <c r="H808" s="20" t="s">
        <v>13</v>
      </c>
    </row>
    <row r="809" spans="1:8" ht="14.5" customHeight="1" x14ac:dyDescent="0.3">
      <c r="A809" s="31" t="s">
        <v>7709</v>
      </c>
      <c r="B809" s="31" t="s">
        <v>6995</v>
      </c>
      <c r="C809" s="32" t="s">
        <v>2778</v>
      </c>
      <c r="D809" s="33" t="s">
        <v>6992</v>
      </c>
      <c r="E809" s="31" t="s">
        <v>6993</v>
      </c>
      <c r="F809" s="32" t="s">
        <v>6994</v>
      </c>
      <c r="G809" s="32" t="s">
        <v>164</v>
      </c>
      <c r="H809" s="33" t="s">
        <v>84</v>
      </c>
    </row>
    <row r="810" spans="1:8" ht="14.5" customHeight="1" x14ac:dyDescent="0.3">
      <c r="A810" s="19" t="s">
        <v>3574</v>
      </c>
      <c r="B810" s="19" t="s">
        <v>4910</v>
      </c>
      <c r="C810" s="18" t="s">
        <v>3575</v>
      </c>
      <c r="D810" s="20" t="s">
        <v>6996</v>
      </c>
      <c r="E810" s="19" t="s">
        <v>6997</v>
      </c>
      <c r="F810" s="18" t="s">
        <v>6998</v>
      </c>
      <c r="G810" s="18" t="s">
        <v>21</v>
      </c>
      <c r="H810" s="20" t="s">
        <v>17</v>
      </c>
    </row>
    <row r="811" spans="1:8" ht="14.5" customHeight="1" x14ac:dyDescent="0.3">
      <c r="A811" s="31" t="s">
        <v>7613</v>
      </c>
      <c r="B811" s="31" t="s">
        <v>5676</v>
      </c>
      <c r="C811" s="32" t="s">
        <v>2482</v>
      </c>
      <c r="D811" s="33">
        <v>2138351044</v>
      </c>
      <c r="E811" s="31" t="s">
        <v>6999</v>
      </c>
      <c r="F811" s="32" t="s">
        <v>4228</v>
      </c>
      <c r="G811" s="32" t="s">
        <v>11</v>
      </c>
      <c r="H811" s="33" t="s">
        <v>9</v>
      </c>
    </row>
    <row r="812" spans="1:8" ht="14.5" customHeight="1" x14ac:dyDescent="0.3">
      <c r="A812" s="19" t="s">
        <v>7717</v>
      </c>
      <c r="B812" s="19" t="s">
        <v>563</v>
      </c>
      <c r="C812" s="18" t="s">
        <v>1699</v>
      </c>
      <c r="D812" s="20" t="s">
        <v>7000</v>
      </c>
      <c r="E812" s="19" t="s">
        <v>7001</v>
      </c>
      <c r="F812" s="18"/>
      <c r="G812" s="18" t="s">
        <v>7002</v>
      </c>
      <c r="H812" s="20" t="s">
        <v>148</v>
      </c>
    </row>
    <row r="813" spans="1:8" ht="14.5" customHeight="1" x14ac:dyDescent="0.3">
      <c r="A813" s="31" t="s">
        <v>4071</v>
      </c>
      <c r="B813" s="31" t="s">
        <v>4650</v>
      </c>
      <c r="C813" s="32" t="s">
        <v>7004</v>
      </c>
      <c r="D813" s="33" t="s">
        <v>7003</v>
      </c>
      <c r="E813" s="31" t="s">
        <v>7005</v>
      </c>
      <c r="F813" s="32" t="s">
        <v>7006</v>
      </c>
      <c r="G813" s="32" t="s">
        <v>285</v>
      </c>
      <c r="H813" s="33" t="s">
        <v>148</v>
      </c>
    </row>
    <row r="814" spans="1:8" ht="14.5" customHeight="1" x14ac:dyDescent="0.3">
      <c r="A814" s="19" t="s">
        <v>7719</v>
      </c>
      <c r="B814" s="19" t="s">
        <v>4309</v>
      </c>
      <c r="C814" s="18" t="s">
        <v>3192</v>
      </c>
      <c r="D814" s="20" t="s">
        <v>7007</v>
      </c>
      <c r="E814" s="19" t="s">
        <v>7008</v>
      </c>
      <c r="F814" s="18" t="s">
        <v>7009</v>
      </c>
      <c r="G814" s="18" t="s">
        <v>61</v>
      </c>
      <c r="H814" s="20" t="s">
        <v>60</v>
      </c>
    </row>
    <row r="815" spans="1:8" ht="14.5" customHeight="1" x14ac:dyDescent="0.3">
      <c r="A815" s="31" t="s">
        <v>7720</v>
      </c>
      <c r="B815" s="31" t="s">
        <v>5664</v>
      </c>
      <c r="C815" s="32" t="s">
        <v>2468</v>
      </c>
      <c r="D815" s="33" t="s">
        <v>7010</v>
      </c>
      <c r="E815" s="31" t="s">
        <v>7011</v>
      </c>
      <c r="F815" s="32" t="s">
        <v>7012</v>
      </c>
      <c r="G815" s="32" t="s">
        <v>11</v>
      </c>
      <c r="H815" s="33" t="s">
        <v>9</v>
      </c>
    </row>
    <row r="816" spans="1:8" ht="14.5" customHeight="1" x14ac:dyDescent="0.3">
      <c r="A816" s="19" t="s">
        <v>7721</v>
      </c>
      <c r="B816" s="19" t="s">
        <v>676</v>
      </c>
      <c r="C816" s="18" t="s">
        <v>3231</v>
      </c>
      <c r="D816" s="20" t="s">
        <v>7013</v>
      </c>
      <c r="E816" s="19" t="s">
        <v>7014</v>
      </c>
      <c r="F816" s="18" t="s">
        <v>4287</v>
      </c>
      <c r="G816" s="18" t="s">
        <v>61</v>
      </c>
      <c r="H816" s="20" t="s">
        <v>60</v>
      </c>
    </row>
    <row r="817" spans="1:8" ht="14.5" customHeight="1" x14ac:dyDescent="0.3">
      <c r="A817" s="31" t="s">
        <v>7724</v>
      </c>
      <c r="B817" s="31" t="s">
        <v>437</v>
      </c>
      <c r="C817" s="32" t="s">
        <v>3063</v>
      </c>
      <c r="D817" s="33" t="s">
        <v>7015</v>
      </c>
      <c r="E817" s="31" t="s">
        <v>7016</v>
      </c>
      <c r="F817" s="32" t="s">
        <v>7017</v>
      </c>
      <c r="G817" s="32" t="s">
        <v>4405</v>
      </c>
      <c r="H817" s="33" t="s">
        <v>47</v>
      </c>
    </row>
    <row r="818" spans="1:8" ht="14.5" customHeight="1" x14ac:dyDescent="0.3">
      <c r="A818" s="19" t="s">
        <v>7729</v>
      </c>
      <c r="B818" s="19" t="s">
        <v>7021</v>
      </c>
      <c r="C818" s="18" t="s">
        <v>3859</v>
      </c>
      <c r="D818" s="20" t="s">
        <v>7018</v>
      </c>
      <c r="E818" s="19" t="s">
        <v>7019</v>
      </c>
      <c r="F818" s="18" t="s">
        <v>7020</v>
      </c>
      <c r="G818" s="18" t="s">
        <v>21</v>
      </c>
      <c r="H818" s="20" t="s">
        <v>17</v>
      </c>
    </row>
    <row r="819" spans="1:8" ht="14.5" customHeight="1" x14ac:dyDescent="0.3">
      <c r="A819" s="31" t="s">
        <v>7351</v>
      </c>
      <c r="B819" s="31" t="s">
        <v>4509</v>
      </c>
      <c r="C819" s="32" t="s">
        <v>1853</v>
      </c>
      <c r="D819" s="33" t="s">
        <v>7022</v>
      </c>
      <c r="E819" s="31" t="s">
        <v>7023</v>
      </c>
      <c r="F819" s="32" t="s">
        <v>7024</v>
      </c>
      <c r="G819" s="32" t="s">
        <v>21</v>
      </c>
      <c r="H819" s="33" t="s">
        <v>17</v>
      </c>
    </row>
    <row r="820" spans="1:8" ht="14.5" customHeight="1" x14ac:dyDescent="0.3">
      <c r="A820" s="19" t="s">
        <v>7389</v>
      </c>
      <c r="B820" s="19" t="s">
        <v>713</v>
      </c>
      <c r="C820" s="18" t="s">
        <v>715</v>
      </c>
      <c r="D820" s="20"/>
      <c r="E820" s="19" t="s">
        <v>7025</v>
      </c>
      <c r="F820" s="18" t="s">
        <v>7026</v>
      </c>
      <c r="G820" s="18" t="s">
        <v>159</v>
      </c>
      <c r="H820" s="20" t="s">
        <v>9</v>
      </c>
    </row>
    <row r="821" spans="1:8" ht="14.5" customHeight="1" x14ac:dyDescent="0.3">
      <c r="A821" s="31" t="s">
        <v>3815</v>
      </c>
      <c r="B821" s="31" t="s">
        <v>821</v>
      </c>
      <c r="C821" s="32" t="s">
        <v>3816</v>
      </c>
      <c r="D821" s="33" t="s">
        <v>7027</v>
      </c>
      <c r="E821" s="31" t="s">
        <v>7028</v>
      </c>
      <c r="F821" s="32" t="s">
        <v>1139</v>
      </c>
      <c r="G821" s="32" t="s">
        <v>65</v>
      </c>
      <c r="H821" s="33" t="s">
        <v>64</v>
      </c>
    </row>
    <row r="822" spans="1:8" ht="14.5" customHeight="1" x14ac:dyDescent="0.3">
      <c r="A822" s="19" t="s">
        <v>7727</v>
      </c>
      <c r="B822" s="19" t="s">
        <v>543</v>
      </c>
      <c r="C822" s="18" t="s">
        <v>46</v>
      </c>
      <c r="D822" s="20" t="s">
        <v>7029</v>
      </c>
      <c r="E822" s="19" t="s">
        <v>7030</v>
      </c>
      <c r="F822" s="18" t="s">
        <v>7031</v>
      </c>
      <c r="G822" s="18" t="s">
        <v>48</v>
      </c>
      <c r="H822" s="20" t="s">
        <v>47</v>
      </c>
    </row>
    <row r="823" spans="1:8" ht="14.5" customHeight="1" x14ac:dyDescent="0.3">
      <c r="A823" s="31" t="s">
        <v>7634</v>
      </c>
      <c r="B823" s="31" t="s">
        <v>7035</v>
      </c>
      <c r="C823" s="32" t="s">
        <v>2173</v>
      </c>
      <c r="D823" s="33" t="s">
        <v>7032</v>
      </c>
      <c r="E823" s="31" t="s">
        <v>7033</v>
      </c>
      <c r="F823" s="32" t="s">
        <v>7034</v>
      </c>
      <c r="G823" s="32" t="s">
        <v>65</v>
      </c>
      <c r="H823" s="33" t="s">
        <v>64</v>
      </c>
    </row>
    <row r="824" spans="1:8" ht="14.5" customHeight="1" x14ac:dyDescent="0.3">
      <c r="A824" s="19" t="s">
        <v>7731</v>
      </c>
      <c r="B824" s="19" t="s">
        <v>5311</v>
      </c>
      <c r="C824" s="18" t="s">
        <v>2094</v>
      </c>
      <c r="D824" s="20" t="s">
        <v>7036</v>
      </c>
      <c r="E824" s="19" t="s">
        <v>7037</v>
      </c>
      <c r="F824" s="18" t="s">
        <v>7038</v>
      </c>
      <c r="G824" s="18" t="s">
        <v>7039</v>
      </c>
      <c r="H824" s="20" t="s">
        <v>60</v>
      </c>
    </row>
    <row r="825" spans="1:8" ht="14.5" customHeight="1" x14ac:dyDescent="0.3">
      <c r="A825" s="31" t="s">
        <v>7736</v>
      </c>
      <c r="B825" s="31" t="s">
        <v>7042</v>
      </c>
      <c r="C825" s="32" t="s">
        <v>4153</v>
      </c>
      <c r="D825" s="33" t="s">
        <v>7040</v>
      </c>
      <c r="E825" s="31" t="s">
        <v>7041</v>
      </c>
      <c r="F825" s="32" t="s">
        <v>87</v>
      </c>
      <c r="G825" s="32" t="s">
        <v>4238</v>
      </c>
      <c r="H825" s="33" t="s">
        <v>166</v>
      </c>
    </row>
    <row r="826" spans="1:8" ht="14.5" customHeight="1" x14ac:dyDescent="0.3">
      <c r="A826" s="19" t="s">
        <v>7737</v>
      </c>
      <c r="B826" s="19" t="s">
        <v>7046</v>
      </c>
      <c r="C826" s="18" t="s">
        <v>4104</v>
      </c>
      <c r="D826" s="20" t="s">
        <v>7043</v>
      </c>
      <c r="E826" s="19" t="s">
        <v>7044</v>
      </c>
      <c r="F826" s="18" t="s">
        <v>7045</v>
      </c>
      <c r="G826" s="18" t="s">
        <v>5272</v>
      </c>
      <c r="H826" s="20" t="s">
        <v>13</v>
      </c>
    </row>
    <row r="827" spans="1:8" ht="14.5" customHeight="1" x14ac:dyDescent="0.3">
      <c r="A827" s="31" t="s">
        <v>4213</v>
      </c>
      <c r="B827" s="31" t="s">
        <v>7049</v>
      </c>
      <c r="C827" s="32" t="s">
        <v>4214</v>
      </c>
      <c r="D827" s="33" t="s">
        <v>7047</v>
      </c>
      <c r="E827" s="31" t="s">
        <v>7048</v>
      </c>
      <c r="F827" s="32" t="s">
        <v>4989</v>
      </c>
      <c r="G827" s="32" t="s">
        <v>11</v>
      </c>
      <c r="H827" s="33" t="s">
        <v>9</v>
      </c>
    </row>
    <row r="828" spans="1:8" ht="14.5" customHeight="1" x14ac:dyDescent="0.3">
      <c r="A828" s="19" t="s">
        <v>7738</v>
      </c>
      <c r="B828" s="19" t="s">
        <v>7050</v>
      </c>
      <c r="C828" s="18" t="s">
        <v>3513</v>
      </c>
      <c r="D828" s="20" t="s">
        <v>7051</v>
      </c>
      <c r="E828" s="19" t="s">
        <v>7052</v>
      </c>
      <c r="F828" s="18" t="s">
        <v>7053</v>
      </c>
      <c r="G828" s="18" t="s">
        <v>285</v>
      </c>
      <c r="H828" s="20" t="s">
        <v>148</v>
      </c>
    </row>
    <row r="829" spans="1:8" ht="14.5" customHeight="1" x14ac:dyDescent="0.3">
      <c r="A829" s="31" t="s">
        <v>7740</v>
      </c>
      <c r="B829" s="31" t="s">
        <v>7056</v>
      </c>
      <c r="C829" s="32" t="s">
        <v>3094</v>
      </c>
      <c r="D829" s="33" t="s">
        <v>7054</v>
      </c>
      <c r="E829" s="31" t="s">
        <v>7055</v>
      </c>
      <c r="F829" s="32" t="s">
        <v>4517</v>
      </c>
      <c r="G829" s="32" t="s">
        <v>4401</v>
      </c>
      <c r="H829" s="33" t="s">
        <v>148</v>
      </c>
    </row>
    <row r="830" spans="1:8" ht="14.5" customHeight="1" x14ac:dyDescent="0.3">
      <c r="A830" s="19" t="s">
        <v>7741</v>
      </c>
      <c r="B830" s="19" t="s">
        <v>5538</v>
      </c>
      <c r="C830" s="18" t="s">
        <v>1814</v>
      </c>
      <c r="D830" s="20" t="s">
        <v>7057</v>
      </c>
      <c r="E830" s="19" t="s">
        <v>7058</v>
      </c>
      <c r="F830" s="18" t="s">
        <v>103</v>
      </c>
      <c r="G830" s="18" t="s">
        <v>55</v>
      </c>
      <c r="H830" s="20" t="s">
        <v>52</v>
      </c>
    </row>
    <row r="831" spans="1:8" ht="14.5" customHeight="1" x14ac:dyDescent="0.3">
      <c r="A831" s="31" t="s">
        <v>7743</v>
      </c>
      <c r="B831" s="31" t="s">
        <v>492</v>
      </c>
      <c r="C831" s="32" t="s">
        <v>2363</v>
      </c>
      <c r="D831" s="33" t="s">
        <v>7059</v>
      </c>
      <c r="E831" s="31" t="s">
        <v>7060</v>
      </c>
      <c r="F831" s="32" t="s">
        <v>5691</v>
      </c>
      <c r="G831" s="32" t="s">
        <v>11</v>
      </c>
      <c r="H831" s="33" t="s">
        <v>9</v>
      </c>
    </row>
    <row r="832" spans="1:8" ht="14.5" customHeight="1" x14ac:dyDescent="0.3">
      <c r="A832" s="19" t="s">
        <v>7418</v>
      </c>
      <c r="B832" s="19" t="s">
        <v>7065</v>
      </c>
      <c r="C832" s="18" t="s">
        <v>1978</v>
      </c>
      <c r="D832" s="20" t="s">
        <v>7061</v>
      </c>
      <c r="E832" s="19" t="s">
        <v>7062</v>
      </c>
      <c r="F832" s="18" t="s">
        <v>7063</v>
      </c>
      <c r="G832" s="18" t="s">
        <v>7064</v>
      </c>
      <c r="H832" s="20" t="s">
        <v>84</v>
      </c>
    </row>
    <row r="833" spans="1:8" ht="14.5" customHeight="1" x14ac:dyDescent="0.3">
      <c r="A833" s="31" t="s">
        <v>7744</v>
      </c>
      <c r="B833" s="31" t="s">
        <v>5903</v>
      </c>
      <c r="C833" s="32" t="s">
        <v>2033</v>
      </c>
      <c r="D833" s="33" t="s">
        <v>7066</v>
      </c>
      <c r="E833" s="31" t="s">
        <v>7067</v>
      </c>
      <c r="F833" s="32" t="s">
        <v>5725</v>
      </c>
      <c r="G833" s="32" t="s">
        <v>59</v>
      </c>
      <c r="H833" s="33" t="s">
        <v>13</v>
      </c>
    </row>
    <row r="834" spans="1:8" ht="14.5" customHeight="1" x14ac:dyDescent="0.3">
      <c r="A834" s="19" t="s">
        <v>2893</v>
      </c>
      <c r="B834" s="19" t="s">
        <v>5311</v>
      </c>
      <c r="C834" s="18" t="s">
        <v>2894</v>
      </c>
      <c r="D834" s="20" t="s">
        <v>7068</v>
      </c>
      <c r="E834" s="19" t="s">
        <v>7069</v>
      </c>
      <c r="F834" s="18" t="s">
        <v>7070</v>
      </c>
      <c r="G834" s="18" t="s">
        <v>241</v>
      </c>
      <c r="H834" s="20" t="s">
        <v>9</v>
      </c>
    </row>
    <row r="835" spans="1:8" ht="14.5" customHeight="1" x14ac:dyDescent="0.3">
      <c r="A835" s="31" t="s">
        <v>7749</v>
      </c>
      <c r="B835" s="31" t="s">
        <v>4487</v>
      </c>
      <c r="C835" s="32" t="s">
        <v>3746</v>
      </c>
      <c r="D835" s="33" t="s">
        <v>7071</v>
      </c>
      <c r="E835" s="31" t="s">
        <v>7072</v>
      </c>
      <c r="F835" s="32" t="s">
        <v>7073</v>
      </c>
      <c r="G835" s="32" t="s">
        <v>159</v>
      </c>
      <c r="H835" s="33" t="s">
        <v>9</v>
      </c>
    </row>
    <row r="836" spans="1:8" ht="14.5" customHeight="1" x14ac:dyDescent="0.3">
      <c r="A836" s="19" t="s">
        <v>7750</v>
      </c>
      <c r="B836" s="19" t="s">
        <v>521</v>
      </c>
      <c r="C836" s="18" t="s">
        <v>3682</v>
      </c>
      <c r="D836" s="20" t="s">
        <v>7074</v>
      </c>
      <c r="E836" s="19" t="s">
        <v>6172</v>
      </c>
      <c r="F836" s="18" t="s">
        <v>4263</v>
      </c>
      <c r="G836" s="18" t="s">
        <v>159</v>
      </c>
      <c r="H836" s="20" t="s">
        <v>9</v>
      </c>
    </row>
    <row r="837" spans="1:8" ht="14.5" customHeight="1" x14ac:dyDescent="0.3">
      <c r="A837" s="31" t="s">
        <v>7751</v>
      </c>
      <c r="B837" s="31" t="s">
        <v>7077</v>
      </c>
      <c r="C837" s="32" t="s">
        <v>3172</v>
      </c>
      <c r="D837" s="33" t="s">
        <v>7075</v>
      </c>
      <c r="E837" s="31" t="s">
        <v>7076</v>
      </c>
      <c r="F837" s="32" t="s">
        <v>4360</v>
      </c>
      <c r="G837" s="32" t="s">
        <v>342</v>
      </c>
      <c r="H837" s="33" t="s">
        <v>252</v>
      </c>
    </row>
    <row r="838" spans="1:8" ht="14.5" customHeight="1" x14ac:dyDescent="0.3">
      <c r="A838" s="19" t="s">
        <v>2789</v>
      </c>
      <c r="B838" s="19" t="s">
        <v>4939</v>
      </c>
      <c r="C838" s="18" t="s">
        <v>2790</v>
      </c>
      <c r="D838" s="20" t="s">
        <v>7078</v>
      </c>
      <c r="E838" s="19" t="s">
        <v>7079</v>
      </c>
      <c r="F838" s="18" t="s">
        <v>7080</v>
      </c>
      <c r="G838" s="18" t="s">
        <v>5419</v>
      </c>
      <c r="H838" s="20" t="s">
        <v>60</v>
      </c>
    </row>
    <row r="839" spans="1:8" ht="14.5" customHeight="1" x14ac:dyDescent="0.3">
      <c r="A839" s="31" t="s">
        <v>3750</v>
      </c>
      <c r="B839" s="31" t="s">
        <v>1179</v>
      </c>
      <c r="C839" s="32" t="s">
        <v>3751</v>
      </c>
      <c r="D839" s="33" t="s">
        <v>7081</v>
      </c>
      <c r="E839" s="31" t="s">
        <v>7082</v>
      </c>
      <c r="F839" s="32" t="s">
        <v>7083</v>
      </c>
      <c r="G839" s="32" t="s">
        <v>21</v>
      </c>
      <c r="H839" s="33" t="s">
        <v>17</v>
      </c>
    </row>
    <row r="840" spans="1:8" ht="14.5" customHeight="1" x14ac:dyDescent="0.3">
      <c r="A840" s="19" t="s">
        <v>3692</v>
      </c>
      <c r="B840" s="19" t="s">
        <v>7087</v>
      </c>
      <c r="C840" s="18" t="s">
        <v>3693</v>
      </c>
      <c r="D840" s="20" t="s">
        <v>7084</v>
      </c>
      <c r="E840" s="19" t="s">
        <v>7085</v>
      </c>
      <c r="F840" s="18" t="s">
        <v>7086</v>
      </c>
      <c r="G840" s="18" t="s">
        <v>4431</v>
      </c>
      <c r="H840" s="20" t="s">
        <v>74</v>
      </c>
    </row>
    <row r="841" spans="1:8" ht="14.5" customHeight="1" x14ac:dyDescent="0.3">
      <c r="A841" s="31" t="s">
        <v>2853</v>
      </c>
      <c r="B841" s="31" t="s">
        <v>4761</v>
      </c>
      <c r="C841" s="32" t="s">
        <v>2854</v>
      </c>
      <c r="D841" s="33" t="s">
        <v>7088</v>
      </c>
      <c r="E841" s="31" t="s">
        <v>7089</v>
      </c>
      <c r="F841" s="32"/>
      <c r="G841" s="32" t="s">
        <v>4687</v>
      </c>
      <c r="H841" s="33" t="s">
        <v>40</v>
      </c>
    </row>
    <row r="842" spans="1:8" ht="14.5" customHeight="1" x14ac:dyDescent="0.3">
      <c r="A842" s="19" t="s">
        <v>3716</v>
      </c>
      <c r="B842" s="19" t="s">
        <v>7092</v>
      </c>
      <c r="C842" s="18" t="s">
        <v>3717</v>
      </c>
      <c r="D842" s="20" t="s">
        <v>7090</v>
      </c>
      <c r="E842" s="19" t="s">
        <v>5070</v>
      </c>
      <c r="F842" s="18" t="s">
        <v>7091</v>
      </c>
      <c r="G842" s="18" t="s">
        <v>42</v>
      </c>
      <c r="H842" s="20" t="s">
        <v>40</v>
      </c>
    </row>
    <row r="843" spans="1:8" ht="14.5" customHeight="1" x14ac:dyDescent="0.3">
      <c r="A843" s="31" t="s">
        <v>3747</v>
      </c>
      <c r="B843" s="31" t="s">
        <v>6050</v>
      </c>
      <c r="C843" s="32" t="s">
        <v>3748</v>
      </c>
      <c r="D843" s="33" t="s">
        <v>7093</v>
      </c>
      <c r="E843" s="31" t="s">
        <v>7094</v>
      </c>
      <c r="F843" s="32" t="s">
        <v>4285</v>
      </c>
      <c r="G843" s="32" t="s">
        <v>285</v>
      </c>
      <c r="H843" s="33" t="s">
        <v>148</v>
      </c>
    </row>
    <row r="844" spans="1:8" ht="14.5" customHeight="1" x14ac:dyDescent="0.3">
      <c r="A844" s="19" t="s">
        <v>7692</v>
      </c>
      <c r="B844" s="19" t="s">
        <v>7099</v>
      </c>
      <c r="C844" s="18" t="s">
        <v>2891</v>
      </c>
      <c r="D844" s="20" t="s">
        <v>7095</v>
      </c>
      <c r="E844" s="19" t="s">
        <v>7096</v>
      </c>
      <c r="F844" s="18" t="s">
        <v>7097</v>
      </c>
      <c r="G844" s="18" t="s">
        <v>7098</v>
      </c>
      <c r="H844" s="20" t="s">
        <v>17</v>
      </c>
    </row>
    <row r="845" spans="1:8" ht="14.5" customHeight="1" x14ac:dyDescent="0.3">
      <c r="A845" s="31" t="s">
        <v>1758</v>
      </c>
      <c r="B845" s="31" t="s">
        <v>7104</v>
      </c>
      <c r="C845" s="32" t="s">
        <v>1759</v>
      </c>
      <c r="D845" s="33" t="s">
        <v>7100</v>
      </c>
      <c r="E845" s="31" t="s">
        <v>7101</v>
      </c>
      <c r="F845" s="32" t="s">
        <v>7102</v>
      </c>
      <c r="G845" s="32" t="s">
        <v>7103</v>
      </c>
      <c r="H845" s="33" t="s">
        <v>74</v>
      </c>
    </row>
    <row r="846" spans="1:8" ht="14.5" customHeight="1" x14ac:dyDescent="0.3">
      <c r="A846" s="19" t="s">
        <v>7755</v>
      </c>
      <c r="B846" s="19" t="s">
        <v>5064</v>
      </c>
      <c r="C846" s="18" t="s">
        <v>2416</v>
      </c>
      <c r="D846" s="20" t="s">
        <v>7105</v>
      </c>
      <c r="E846" s="19" t="s">
        <v>7106</v>
      </c>
      <c r="F846" s="18" t="s">
        <v>7107</v>
      </c>
      <c r="G846" s="18" t="s">
        <v>4757</v>
      </c>
      <c r="H846" s="20" t="s">
        <v>17</v>
      </c>
    </row>
    <row r="847" spans="1:8" ht="14.5" customHeight="1" x14ac:dyDescent="0.3">
      <c r="A847" s="31" t="s">
        <v>7756</v>
      </c>
      <c r="B847" s="31" t="s">
        <v>7109</v>
      </c>
      <c r="C847" s="32" t="s">
        <v>3832</v>
      </c>
      <c r="D847" s="33"/>
      <c r="E847" s="31" t="s">
        <v>7108</v>
      </c>
      <c r="F847" s="32" t="s">
        <v>4287</v>
      </c>
      <c r="G847" s="32" t="s">
        <v>61</v>
      </c>
      <c r="H847" s="33" t="s">
        <v>60</v>
      </c>
    </row>
    <row r="848" spans="1:8" ht="14.5" customHeight="1" x14ac:dyDescent="0.3">
      <c r="A848" s="19" t="s">
        <v>3928</v>
      </c>
      <c r="B848" s="19" t="s">
        <v>4264</v>
      </c>
      <c r="C848" s="18" t="s">
        <v>3929</v>
      </c>
      <c r="D848" s="20" t="s">
        <v>7110</v>
      </c>
      <c r="E848" s="19" t="s">
        <v>7111</v>
      </c>
      <c r="F848" s="18" t="s">
        <v>305</v>
      </c>
      <c r="G848" s="18" t="s">
        <v>285</v>
      </c>
      <c r="H848" s="20" t="s">
        <v>148</v>
      </c>
    </row>
    <row r="849" spans="1:8" ht="14.5" customHeight="1" x14ac:dyDescent="0.3">
      <c r="A849" s="31" t="s">
        <v>3665</v>
      </c>
      <c r="B849" s="31" t="s">
        <v>7116</v>
      </c>
      <c r="C849" s="32" t="s">
        <v>3666</v>
      </c>
      <c r="D849" s="33" t="s">
        <v>7112</v>
      </c>
      <c r="E849" s="31" t="s">
        <v>7113</v>
      </c>
      <c r="F849" s="32" t="s">
        <v>7114</v>
      </c>
      <c r="G849" s="32" t="s">
        <v>7115</v>
      </c>
      <c r="H849" s="33" t="s">
        <v>287</v>
      </c>
    </row>
    <row r="850" spans="1:8" ht="14.5" customHeight="1" x14ac:dyDescent="0.3">
      <c r="A850" s="19" t="s">
        <v>2523</v>
      </c>
      <c r="B850" s="19" t="s">
        <v>1389</v>
      </c>
      <c r="C850" s="18" t="s">
        <v>2524</v>
      </c>
      <c r="D850" s="20" t="s">
        <v>7117</v>
      </c>
      <c r="E850" s="19" t="s">
        <v>7118</v>
      </c>
      <c r="F850" s="18" t="s">
        <v>7119</v>
      </c>
      <c r="G850" s="18" t="s">
        <v>7120</v>
      </c>
      <c r="H850" s="20" t="s">
        <v>92</v>
      </c>
    </row>
    <row r="851" spans="1:8" ht="14.5" customHeight="1" x14ac:dyDescent="0.3">
      <c r="A851" s="31" t="s">
        <v>7759</v>
      </c>
      <c r="B851" s="31" t="s">
        <v>7123</v>
      </c>
      <c r="C851" s="32" t="s">
        <v>3097</v>
      </c>
      <c r="D851" s="33" t="s">
        <v>7121</v>
      </c>
      <c r="E851" s="31" t="s">
        <v>7122</v>
      </c>
      <c r="F851" s="32" t="s">
        <v>4248</v>
      </c>
      <c r="G851" s="32" t="s">
        <v>75</v>
      </c>
      <c r="H851" s="33" t="s">
        <v>74</v>
      </c>
    </row>
    <row r="852" spans="1:8" ht="14.5" customHeight="1" x14ac:dyDescent="0.3">
      <c r="A852" s="19" t="s">
        <v>7763</v>
      </c>
      <c r="B852" s="19" t="s">
        <v>4509</v>
      </c>
      <c r="C852" s="18" t="s">
        <v>4119</v>
      </c>
      <c r="D852" s="20" t="s">
        <v>7124</v>
      </c>
      <c r="E852" s="19" t="s">
        <v>7125</v>
      </c>
      <c r="F852" s="18" t="s">
        <v>7126</v>
      </c>
      <c r="G852" s="18" t="s">
        <v>4308</v>
      </c>
      <c r="H852" s="20" t="s">
        <v>50</v>
      </c>
    </row>
    <row r="853" spans="1:8" ht="14.5" customHeight="1" x14ac:dyDescent="0.3">
      <c r="A853" s="31" t="s">
        <v>7765</v>
      </c>
      <c r="B853" s="31" t="s">
        <v>7129</v>
      </c>
      <c r="C853" s="32" t="s">
        <v>3338</v>
      </c>
      <c r="D853" s="33" t="s">
        <v>7127</v>
      </c>
      <c r="E853" s="31" t="s">
        <v>7128</v>
      </c>
      <c r="F853" s="32" t="s">
        <v>4675</v>
      </c>
      <c r="G853" s="32" t="s">
        <v>61</v>
      </c>
      <c r="H853" s="33" t="s">
        <v>60</v>
      </c>
    </row>
    <row r="854" spans="1:8" ht="14.5" customHeight="1" x14ac:dyDescent="0.3">
      <c r="A854" s="19" t="s">
        <v>7647</v>
      </c>
      <c r="B854" s="19" t="s">
        <v>1001</v>
      </c>
      <c r="C854" s="18" t="s">
        <v>2712</v>
      </c>
      <c r="D854" s="20" t="s">
        <v>7130</v>
      </c>
      <c r="E854" s="19" t="s">
        <v>7131</v>
      </c>
      <c r="F854" s="18" t="s">
        <v>7132</v>
      </c>
      <c r="G854" s="18" t="s">
        <v>21</v>
      </c>
      <c r="H854" s="20" t="s">
        <v>17</v>
      </c>
    </row>
    <row r="855" spans="1:8" ht="14.5" customHeight="1" x14ac:dyDescent="0.3">
      <c r="A855" s="31" t="s">
        <v>7638</v>
      </c>
      <c r="B855" s="31" t="s">
        <v>658</v>
      </c>
      <c r="C855" s="32" t="s">
        <v>2394</v>
      </c>
      <c r="D855" s="33" t="s">
        <v>7133</v>
      </c>
      <c r="E855" s="31" t="s">
        <v>7134</v>
      </c>
      <c r="F855" s="32" t="s">
        <v>7135</v>
      </c>
      <c r="G855" s="32" t="s">
        <v>11</v>
      </c>
      <c r="H855" s="33" t="s">
        <v>9</v>
      </c>
    </row>
    <row r="856" spans="1:8" ht="14.5" customHeight="1" x14ac:dyDescent="0.3">
      <c r="A856" s="19" t="s">
        <v>7766</v>
      </c>
      <c r="B856" s="19" t="s">
        <v>759</v>
      </c>
      <c r="C856" s="18" t="s">
        <v>129</v>
      </c>
      <c r="D856" s="20" t="s">
        <v>7136</v>
      </c>
      <c r="E856" s="19" t="s">
        <v>7137</v>
      </c>
      <c r="F856" s="18" t="s">
        <v>7138</v>
      </c>
      <c r="G856" s="18" t="s">
        <v>4777</v>
      </c>
      <c r="H856" s="20" t="s">
        <v>17</v>
      </c>
    </row>
    <row r="857" spans="1:8" ht="14.5" customHeight="1" x14ac:dyDescent="0.3">
      <c r="A857" s="31" t="s">
        <v>2243</v>
      </c>
      <c r="B857" s="31" t="s">
        <v>7141</v>
      </c>
      <c r="C857" s="32" t="s">
        <v>2244</v>
      </c>
      <c r="D857" s="33" t="s">
        <v>7139</v>
      </c>
      <c r="E857" s="31" t="s">
        <v>7140</v>
      </c>
      <c r="F857" s="32" t="s">
        <v>5893</v>
      </c>
      <c r="G857" s="32" t="s">
        <v>21</v>
      </c>
      <c r="H857" s="33" t="s">
        <v>17</v>
      </c>
    </row>
    <row r="858" spans="1:8" ht="14.5" customHeight="1" x14ac:dyDescent="0.3">
      <c r="A858" s="19" t="s">
        <v>3503</v>
      </c>
      <c r="B858" s="19" t="s">
        <v>7145</v>
      </c>
      <c r="C858" s="18" t="s">
        <v>3504</v>
      </c>
      <c r="D858" s="20" t="s">
        <v>7142</v>
      </c>
      <c r="E858" s="19" t="s">
        <v>7143</v>
      </c>
      <c r="F858" s="18" t="s">
        <v>7144</v>
      </c>
      <c r="G858" s="18" t="s">
        <v>62</v>
      </c>
      <c r="H858" s="20" t="s">
        <v>17</v>
      </c>
    </row>
    <row r="859" spans="1:8" ht="42.75" customHeight="1" x14ac:dyDescent="0.3">
      <c r="A859" s="25"/>
      <c r="B859" s="25"/>
      <c r="C859" s="22"/>
      <c r="D859" s="29"/>
      <c r="E859" s="25"/>
      <c r="F859" s="22"/>
      <c r="G859" s="22"/>
      <c r="H859" s="29"/>
    </row>
    <row r="860" spans="1:8" ht="42.75" customHeight="1" x14ac:dyDescent="0.3">
      <c r="A860" s="26"/>
      <c r="B860" s="25"/>
      <c r="C860" s="22"/>
      <c r="D860" s="29"/>
      <c r="E860" s="25"/>
      <c r="F860" s="22"/>
      <c r="G860" s="22"/>
      <c r="H860" s="29"/>
    </row>
    <row r="861" spans="1:8" ht="42.75" customHeight="1" x14ac:dyDescent="0.3">
      <c r="A861" s="26"/>
      <c r="B861" s="25"/>
      <c r="C861" s="22"/>
      <c r="D861" s="29"/>
      <c r="E861" s="25"/>
      <c r="F861" s="22"/>
      <c r="G861" s="22"/>
      <c r="H861" s="29"/>
    </row>
    <row r="862" spans="1:8" ht="42.75" customHeight="1" x14ac:dyDescent="0.3">
      <c r="A862" s="26"/>
      <c r="B862" s="25"/>
      <c r="C862" s="22"/>
      <c r="D862" s="29"/>
      <c r="E862" s="25"/>
      <c r="F862" s="22"/>
      <c r="G862" s="22"/>
      <c r="H862" s="29"/>
    </row>
    <row r="863" spans="1:8" ht="42.75" customHeight="1" x14ac:dyDescent="0.3">
      <c r="A863" s="26"/>
      <c r="B863" s="25"/>
      <c r="C863" s="22"/>
      <c r="D863" s="29"/>
      <c r="E863" s="25"/>
      <c r="F863" s="22"/>
      <c r="G863" s="22"/>
      <c r="H863" s="29"/>
    </row>
    <row r="864" spans="1:8" ht="42.75" customHeight="1" x14ac:dyDescent="0.3">
      <c r="A864" s="26"/>
      <c r="B864" s="25"/>
      <c r="C864" s="22"/>
      <c r="D864" s="29"/>
      <c r="E864" s="25"/>
      <c r="F864" s="22"/>
      <c r="G864" s="22"/>
      <c r="H864" s="29"/>
    </row>
    <row r="865" spans="1:8" ht="42.75" customHeight="1" x14ac:dyDescent="0.3">
      <c r="A865" s="26"/>
      <c r="B865" s="25"/>
      <c r="C865" s="22"/>
      <c r="D865" s="29"/>
      <c r="E865" s="25"/>
      <c r="F865" s="22"/>
      <c r="G865" s="22"/>
      <c r="H865" s="29"/>
    </row>
    <row r="866" spans="1:8" ht="42.75" customHeight="1" x14ac:dyDescent="0.3">
      <c r="A866" s="26"/>
      <c r="B866" s="25"/>
      <c r="C866" s="22"/>
      <c r="D866" s="29"/>
      <c r="E866" s="25"/>
      <c r="F866" s="22"/>
      <c r="G866" s="22"/>
      <c r="H866" s="29"/>
    </row>
    <row r="867" spans="1:8" ht="42.75" customHeight="1" x14ac:dyDescent="0.3">
      <c r="A867" s="26"/>
      <c r="B867" s="25"/>
      <c r="C867" s="22"/>
      <c r="D867" s="29"/>
      <c r="E867" s="25"/>
      <c r="F867" s="22"/>
      <c r="G867" s="22"/>
      <c r="H867" s="29"/>
    </row>
    <row r="868" spans="1:8" ht="42.75" customHeight="1" x14ac:dyDescent="0.3">
      <c r="A868" s="26"/>
      <c r="B868" s="25"/>
      <c r="C868" s="22"/>
      <c r="D868" s="29"/>
      <c r="E868" s="25"/>
      <c r="F868" s="22"/>
      <c r="G868" s="22"/>
      <c r="H868" s="29"/>
    </row>
    <row r="869" spans="1:8" ht="42.75" customHeight="1" x14ac:dyDescent="0.3">
      <c r="A869" s="26"/>
      <c r="B869" s="25"/>
      <c r="C869" s="22"/>
      <c r="D869" s="29"/>
      <c r="E869" s="25"/>
      <c r="F869" s="22"/>
      <c r="G869" s="22"/>
      <c r="H869" s="29"/>
    </row>
    <row r="870" spans="1:8" ht="42.75" customHeight="1" x14ac:dyDescent="0.3">
      <c r="A870" s="26"/>
      <c r="B870" s="25"/>
      <c r="C870" s="22"/>
      <c r="D870" s="29"/>
      <c r="E870" s="25"/>
      <c r="F870" s="22"/>
      <c r="G870" s="22"/>
      <c r="H870" s="29"/>
    </row>
    <row r="871" spans="1:8" ht="42.75" customHeight="1" x14ac:dyDescent="0.3">
      <c r="A871" s="26"/>
      <c r="B871" s="25"/>
      <c r="C871" s="22"/>
      <c r="D871" s="29"/>
      <c r="E871" s="25"/>
      <c r="F871" s="22"/>
      <c r="G871" s="22"/>
      <c r="H871" s="29"/>
    </row>
    <row r="872" spans="1:8" ht="42.75" customHeight="1" x14ac:dyDescent="0.3">
      <c r="A872" s="26"/>
      <c r="B872" s="25"/>
      <c r="C872" s="22"/>
      <c r="D872" s="29"/>
      <c r="E872" s="25"/>
      <c r="F872" s="22"/>
      <c r="G872" s="22"/>
      <c r="H872" s="29"/>
    </row>
    <row r="873" spans="1:8" ht="42.75" customHeight="1" x14ac:dyDescent="0.3">
      <c r="A873" s="26"/>
      <c r="B873" s="25"/>
      <c r="C873" s="22"/>
      <c r="D873" s="29"/>
      <c r="E873" s="25"/>
      <c r="F873" s="22"/>
      <c r="G873" s="22"/>
      <c r="H873" s="29"/>
    </row>
    <row r="874" spans="1:8" ht="42.75" customHeight="1" x14ac:dyDescent="0.3">
      <c r="A874" s="26"/>
      <c r="B874" s="25"/>
      <c r="C874" s="22"/>
      <c r="D874" s="29"/>
      <c r="E874" s="25"/>
      <c r="F874" s="22"/>
      <c r="G874" s="22"/>
      <c r="H874" s="29"/>
    </row>
    <row r="875" spans="1:8" ht="42.75" customHeight="1" x14ac:dyDescent="0.3">
      <c r="A875" s="26"/>
      <c r="B875" s="25"/>
      <c r="C875" s="22"/>
      <c r="D875" s="29"/>
      <c r="E875" s="25"/>
      <c r="F875" s="22"/>
      <c r="G875" s="22"/>
      <c r="H875" s="29"/>
    </row>
    <row r="876" spans="1:8" ht="42.75" customHeight="1" x14ac:dyDescent="0.3">
      <c r="A876" s="26"/>
      <c r="B876" s="25"/>
      <c r="C876" s="22"/>
      <c r="D876" s="29"/>
      <c r="E876" s="25"/>
      <c r="F876" s="22"/>
      <c r="G876" s="22"/>
      <c r="H876" s="29"/>
    </row>
    <row r="877" spans="1:8" ht="42.75" customHeight="1" x14ac:dyDescent="0.3">
      <c r="A877" s="26"/>
      <c r="B877" s="25"/>
      <c r="C877" s="22"/>
      <c r="D877" s="29"/>
      <c r="E877" s="25"/>
      <c r="F877" s="22"/>
      <c r="G877" s="22"/>
      <c r="H877" s="29"/>
    </row>
    <row r="878" spans="1:8" ht="42.75" customHeight="1" x14ac:dyDescent="0.3">
      <c r="A878" s="26"/>
      <c r="B878" s="25"/>
      <c r="C878" s="22"/>
      <c r="D878" s="29"/>
      <c r="E878" s="25"/>
      <c r="F878" s="22"/>
      <c r="G878" s="22"/>
      <c r="H878" s="29"/>
    </row>
    <row r="879" spans="1:8" ht="42.75" customHeight="1" x14ac:dyDescent="0.3">
      <c r="A879" s="26"/>
      <c r="B879" s="25"/>
      <c r="C879" s="22"/>
      <c r="D879" s="29"/>
      <c r="E879" s="25"/>
      <c r="F879" s="22"/>
      <c r="G879" s="22"/>
      <c r="H879" s="29"/>
    </row>
    <row r="880" spans="1:8" ht="42.75" customHeight="1" x14ac:dyDescent="0.3">
      <c r="A880" s="26"/>
      <c r="B880" s="25"/>
      <c r="C880" s="22"/>
      <c r="D880" s="29"/>
      <c r="E880" s="25"/>
      <c r="F880" s="22"/>
      <c r="G880" s="22"/>
      <c r="H880" s="29"/>
    </row>
    <row r="881" spans="1:8" ht="42.75" customHeight="1" x14ac:dyDescent="0.3">
      <c r="A881" s="26"/>
      <c r="B881" s="25"/>
      <c r="C881" s="22"/>
      <c r="D881" s="29"/>
      <c r="E881" s="25"/>
      <c r="F881" s="22"/>
      <c r="G881" s="22"/>
      <c r="H881" s="29"/>
    </row>
    <row r="882" spans="1:8" ht="42.75" customHeight="1" x14ac:dyDescent="0.3">
      <c r="A882" s="26"/>
      <c r="B882" s="25"/>
      <c r="C882" s="22"/>
      <c r="D882" s="29"/>
      <c r="E882" s="25"/>
      <c r="F882" s="22"/>
      <c r="G882" s="22"/>
      <c r="H882" s="29"/>
    </row>
    <row r="883" spans="1:8" ht="42.75" customHeight="1" x14ac:dyDescent="0.3">
      <c r="A883" s="26"/>
      <c r="B883" s="25"/>
      <c r="C883" s="22"/>
      <c r="D883" s="29"/>
      <c r="E883" s="25"/>
      <c r="F883" s="22"/>
      <c r="G883" s="22"/>
      <c r="H883" s="29"/>
    </row>
    <row r="884" spans="1:8" ht="42.75" customHeight="1" x14ac:dyDescent="0.3">
      <c r="A884" s="26"/>
      <c r="B884" s="25"/>
      <c r="C884" s="22"/>
      <c r="D884" s="29"/>
      <c r="E884" s="25"/>
      <c r="F884" s="22"/>
      <c r="G884" s="22"/>
      <c r="H884" s="29"/>
    </row>
    <row r="885" spans="1:8" ht="42.75" customHeight="1" x14ac:dyDescent="0.3">
      <c r="A885" s="26"/>
      <c r="B885" s="25"/>
      <c r="C885" s="22"/>
      <c r="D885" s="29"/>
      <c r="E885" s="25"/>
      <c r="F885" s="22"/>
      <c r="G885" s="22"/>
      <c r="H885" s="29"/>
    </row>
    <row r="886" spans="1:8" ht="42.75" customHeight="1" x14ac:dyDescent="0.3">
      <c r="A886" s="26"/>
      <c r="B886" s="25"/>
      <c r="C886" s="22"/>
      <c r="D886" s="29"/>
      <c r="E886" s="25"/>
      <c r="F886" s="22"/>
      <c r="G886" s="22"/>
      <c r="H886" s="29"/>
    </row>
    <row r="887" spans="1:8" ht="42.75" customHeight="1" x14ac:dyDescent="0.3">
      <c r="A887" s="26"/>
      <c r="B887" s="25"/>
      <c r="C887" s="22"/>
      <c r="D887" s="29"/>
      <c r="E887" s="25"/>
      <c r="F887" s="22"/>
      <c r="G887" s="22"/>
      <c r="H887" s="29"/>
    </row>
    <row r="888" spans="1:8" ht="42.75" customHeight="1" x14ac:dyDescent="0.3">
      <c r="A888" s="26"/>
      <c r="B888" s="25"/>
      <c r="C888" s="22"/>
      <c r="D888" s="29"/>
      <c r="E888" s="25"/>
      <c r="F888" s="22"/>
      <c r="G888" s="22"/>
      <c r="H888" s="29"/>
    </row>
    <row r="889" spans="1:8" ht="42.75" customHeight="1" x14ac:dyDescent="0.3">
      <c r="A889" s="26"/>
      <c r="B889" s="25"/>
      <c r="C889" s="22"/>
      <c r="D889" s="29"/>
      <c r="E889" s="25"/>
      <c r="F889" s="22"/>
      <c r="G889" s="22"/>
      <c r="H889" s="29"/>
    </row>
    <row r="890" spans="1:8" ht="42.75" customHeight="1" x14ac:dyDescent="0.3">
      <c r="A890" s="26"/>
      <c r="B890" s="25"/>
      <c r="C890" s="22"/>
      <c r="D890" s="29"/>
      <c r="E890" s="25"/>
      <c r="F890" s="22"/>
      <c r="G890" s="22"/>
      <c r="H890" s="29"/>
    </row>
    <row r="891" spans="1:8" ht="42.75" customHeight="1" x14ac:dyDescent="0.3">
      <c r="A891" s="26"/>
      <c r="B891" s="25"/>
      <c r="C891" s="22"/>
      <c r="D891" s="29"/>
      <c r="E891" s="25"/>
      <c r="F891" s="22"/>
      <c r="G891" s="22"/>
      <c r="H891" s="29"/>
    </row>
    <row r="892" spans="1:8" ht="42.75" customHeight="1" x14ac:dyDescent="0.3">
      <c r="A892" s="26"/>
      <c r="B892" s="25"/>
      <c r="C892" s="22"/>
      <c r="D892" s="29"/>
      <c r="E892" s="25"/>
      <c r="F892" s="22"/>
      <c r="G892" s="22"/>
      <c r="H892" s="29"/>
    </row>
    <row r="893" spans="1:8" ht="42.75" customHeight="1" x14ac:dyDescent="0.3">
      <c r="A893" s="26"/>
      <c r="B893" s="25"/>
      <c r="C893" s="22"/>
      <c r="D893" s="29"/>
      <c r="E893" s="25"/>
      <c r="F893" s="22"/>
      <c r="G893" s="22"/>
      <c r="H893" s="29"/>
    </row>
    <row r="894" spans="1:8" ht="42.75" customHeight="1" x14ac:dyDescent="0.3">
      <c r="A894" s="26"/>
      <c r="B894" s="25"/>
      <c r="C894" s="22"/>
      <c r="D894" s="29"/>
      <c r="E894" s="25"/>
      <c r="F894" s="22"/>
      <c r="G894" s="22"/>
      <c r="H894" s="29"/>
    </row>
    <row r="895" spans="1:8" ht="42.75" customHeight="1" x14ac:dyDescent="0.3">
      <c r="A895" s="26"/>
      <c r="B895" s="25"/>
      <c r="C895" s="22"/>
      <c r="D895" s="29"/>
      <c r="E895" s="25"/>
      <c r="F895" s="22"/>
      <c r="G895" s="22"/>
      <c r="H895" s="29"/>
    </row>
    <row r="896" spans="1:8" ht="42.75" customHeight="1" x14ac:dyDescent="0.3">
      <c r="A896" s="26"/>
      <c r="B896" s="25"/>
      <c r="C896" s="22"/>
      <c r="D896" s="29"/>
      <c r="E896" s="25"/>
      <c r="F896" s="22"/>
      <c r="G896" s="22"/>
      <c r="H896" s="29"/>
    </row>
    <row r="897" spans="1:8" ht="42.75" customHeight="1" x14ac:dyDescent="0.3">
      <c r="A897" s="26"/>
      <c r="B897" s="25"/>
      <c r="C897" s="22"/>
      <c r="D897" s="29"/>
      <c r="E897" s="25"/>
      <c r="F897" s="22"/>
      <c r="G897" s="22"/>
      <c r="H897" s="29"/>
    </row>
    <row r="898" spans="1:8" ht="42.75" customHeight="1" x14ac:dyDescent="0.3">
      <c r="A898" s="26"/>
      <c r="B898" s="25"/>
      <c r="C898" s="22"/>
      <c r="D898" s="29"/>
      <c r="E898" s="25"/>
      <c r="F898" s="22"/>
      <c r="G898" s="22"/>
      <c r="H898" s="29"/>
    </row>
    <row r="899" spans="1:8" ht="42.75" customHeight="1" x14ac:dyDescent="0.3">
      <c r="A899" s="26"/>
      <c r="B899" s="25"/>
      <c r="C899" s="22"/>
      <c r="D899" s="29"/>
      <c r="E899" s="25"/>
      <c r="F899" s="22"/>
      <c r="G899" s="22"/>
      <c r="H899" s="29"/>
    </row>
    <row r="900" spans="1:8" ht="42.75" customHeight="1" x14ac:dyDescent="0.3">
      <c r="A900" s="26"/>
      <c r="B900" s="25"/>
      <c r="C900" s="22"/>
      <c r="D900" s="29"/>
      <c r="E900" s="25"/>
      <c r="F900" s="22"/>
      <c r="G900" s="22"/>
      <c r="H900" s="29"/>
    </row>
    <row r="901" spans="1:8" ht="42.75" customHeight="1" x14ac:dyDescent="0.3">
      <c r="A901" s="26"/>
      <c r="B901" s="25"/>
      <c r="C901" s="22"/>
      <c r="D901" s="29"/>
      <c r="E901" s="25"/>
      <c r="F901" s="22"/>
      <c r="G901" s="22"/>
      <c r="H901" s="29"/>
    </row>
    <row r="902" spans="1:8" ht="42.75" customHeight="1" x14ac:dyDescent="0.3">
      <c r="A902" s="26"/>
      <c r="B902" s="25"/>
      <c r="C902" s="22"/>
      <c r="D902" s="29"/>
      <c r="E902" s="25"/>
      <c r="F902" s="22"/>
      <c r="G902" s="22"/>
      <c r="H902" s="29"/>
    </row>
    <row r="903" spans="1:8" ht="42.75" customHeight="1" x14ac:dyDescent="0.3">
      <c r="A903" s="26"/>
      <c r="B903" s="25"/>
      <c r="C903" s="22"/>
      <c r="D903" s="29"/>
      <c r="E903" s="25"/>
      <c r="F903" s="22"/>
      <c r="G903" s="22"/>
      <c r="H903" s="29"/>
    </row>
    <row r="904" spans="1:8" ht="42.75" customHeight="1" x14ac:dyDescent="0.3">
      <c r="A904" s="26"/>
      <c r="B904" s="25"/>
      <c r="C904" s="22"/>
      <c r="D904" s="29"/>
      <c r="E904" s="25"/>
      <c r="F904" s="22"/>
      <c r="G904" s="22"/>
      <c r="H904" s="29"/>
    </row>
    <row r="905" spans="1:8" ht="42.75" customHeight="1" x14ac:dyDescent="0.3">
      <c r="A905" s="26"/>
      <c r="B905" s="25"/>
      <c r="C905" s="22"/>
      <c r="D905" s="29"/>
      <c r="E905" s="25"/>
      <c r="F905" s="22"/>
      <c r="G905" s="22"/>
      <c r="H905" s="29"/>
    </row>
    <row r="906" spans="1:8" ht="42.75" customHeight="1" x14ac:dyDescent="0.3">
      <c r="A906" s="26"/>
      <c r="B906" s="25"/>
      <c r="C906" s="22"/>
      <c r="D906" s="29"/>
      <c r="E906" s="25"/>
      <c r="F906" s="22"/>
      <c r="G906" s="22"/>
      <c r="H906" s="29"/>
    </row>
    <row r="907" spans="1:8" ht="42.75" customHeight="1" x14ac:dyDescent="0.3">
      <c r="A907" s="26"/>
      <c r="B907" s="25"/>
      <c r="C907" s="22"/>
      <c r="D907" s="29"/>
      <c r="E907" s="25"/>
      <c r="F907" s="22"/>
      <c r="G907" s="22"/>
      <c r="H907" s="29"/>
    </row>
    <row r="908" spans="1:8" ht="42.75" customHeight="1" x14ac:dyDescent="0.3">
      <c r="A908" s="26"/>
      <c r="B908" s="25"/>
      <c r="C908" s="22"/>
      <c r="D908" s="29"/>
      <c r="E908" s="25"/>
      <c r="F908" s="22"/>
      <c r="G908" s="22"/>
      <c r="H908" s="29"/>
    </row>
    <row r="909" spans="1:8" ht="42.75" customHeight="1" x14ac:dyDescent="0.3">
      <c r="A909" s="26"/>
      <c r="B909" s="25"/>
      <c r="C909" s="22"/>
      <c r="D909" s="29"/>
      <c r="E909" s="25"/>
      <c r="F909" s="22"/>
      <c r="G909" s="22"/>
      <c r="H909" s="29"/>
    </row>
    <row r="910" spans="1:8" ht="42.75" customHeight="1" x14ac:dyDescent="0.3">
      <c r="A910" s="26"/>
      <c r="B910" s="25"/>
      <c r="C910" s="22"/>
      <c r="D910" s="29"/>
      <c r="E910" s="25"/>
      <c r="F910" s="22"/>
      <c r="G910" s="22"/>
      <c r="H910" s="29"/>
    </row>
    <row r="911" spans="1:8" ht="42.75" customHeight="1" x14ac:dyDescent="0.3">
      <c r="A911" s="26"/>
      <c r="B911" s="25"/>
      <c r="C911" s="22"/>
      <c r="D911" s="29"/>
      <c r="E911" s="25"/>
      <c r="F911" s="22"/>
      <c r="G911" s="22"/>
      <c r="H911" s="29"/>
    </row>
    <row r="912" spans="1:8" ht="42.75" customHeight="1" x14ac:dyDescent="0.3">
      <c r="A912" s="26"/>
      <c r="B912" s="25"/>
      <c r="C912" s="22"/>
      <c r="D912" s="29"/>
      <c r="E912" s="25"/>
      <c r="F912" s="22"/>
      <c r="G912" s="22"/>
      <c r="H912" s="29"/>
    </row>
    <row r="913" spans="1:8" ht="42.75" customHeight="1" x14ac:dyDescent="0.3">
      <c r="A913" s="26"/>
      <c r="B913" s="25"/>
      <c r="C913" s="22"/>
      <c r="D913" s="29"/>
      <c r="E913" s="25"/>
      <c r="F913" s="22"/>
      <c r="G913" s="22"/>
      <c r="H913" s="29"/>
    </row>
    <row r="914" spans="1:8" ht="42.75" customHeight="1" x14ac:dyDescent="0.3">
      <c r="A914" s="26"/>
      <c r="B914" s="25"/>
      <c r="C914" s="22"/>
      <c r="D914" s="29"/>
      <c r="E914" s="25"/>
      <c r="F914" s="22"/>
      <c r="G914" s="22"/>
      <c r="H914" s="29"/>
    </row>
    <row r="915" spans="1:8" ht="42.75" customHeight="1" x14ac:dyDescent="0.3">
      <c r="A915" s="26"/>
      <c r="B915" s="25"/>
      <c r="C915" s="22"/>
      <c r="D915" s="29"/>
      <c r="E915" s="25"/>
      <c r="F915" s="22"/>
      <c r="G915" s="22"/>
      <c r="H915" s="29"/>
    </row>
    <row r="916" spans="1:8" ht="42.75" customHeight="1" x14ac:dyDescent="0.3">
      <c r="A916" s="26"/>
      <c r="B916" s="25"/>
      <c r="C916" s="22"/>
      <c r="D916" s="29"/>
      <c r="E916" s="25"/>
      <c r="F916" s="22"/>
      <c r="G916" s="22"/>
      <c r="H916" s="29"/>
    </row>
    <row r="917" spans="1:8" ht="42.75" customHeight="1" x14ac:dyDescent="0.3">
      <c r="A917" s="26"/>
      <c r="B917" s="25"/>
      <c r="C917" s="22"/>
      <c r="D917" s="29"/>
      <c r="E917" s="25"/>
      <c r="F917" s="22"/>
      <c r="G917" s="22"/>
      <c r="H917" s="29"/>
    </row>
    <row r="918" spans="1:8" ht="42.75" customHeight="1" x14ac:dyDescent="0.3">
      <c r="A918" s="26"/>
      <c r="B918" s="25"/>
      <c r="C918" s="22"/>
      <c r="D918" s="29"/>
      <c r="E918" s="25"/>
      <c r="F918" s="22"/>
      <c r="G918" s="22"/>
      <c r="H918" s="29"/>
    </row>
    <row r="919" spans="1:8" ht="42.75" customHeight="1" x14ac:dyDescent="0.3">
      <c r="A919" s="26"/>
      <c r="B919" s="25"/>
      <c r="C919" s="22"/>
      <c r="D919" s="29"/>
      <c r="E919" s="25"/>
      <c r="F919" s="22"/>
      <c r="G919" s="22"/>
      <c r="H919" s="29"/>
    </row>
    <row r="920" spans="1:8" ht="42.75" customHeight="1" x14ac:dyDescent="0.3">
      <c r="A920" s="26"/>
      <c r="B920" s="25"/>
      <c r="C920" s="22"/>
      <c r="D920" s="29"/>
      <c r="E920" s="25"/>
      <c r="F920" s="22"/>
      <c r="G920" s="22"/>
      <c r="H920" s="29"/>
    </row>
    <row r="921" spans="1:8" ht="42.75" customHeight="1" x14ac:dyDescent="0.3">
      <c r="A921" s="26"/>
      <c r="B921" s="25"/>
      <c r="C921" s="22"/>
      <c r="D921" s="29"/>
      <c r="E921" s="25"/>
      <c r="F921" s="22"/>
      <c r="G921" s="22"/>
      <c r="H921" s="29"/>
    </row>
    <row r="922" spans="1:8" ht="42.75" customHeight="1" x14ac:dyDescent="0.3">
      <c r="A922" s="26"/>
      <c r="B922" s="25"/>
      <c r="C922" s="22"/>
      <c r="D922" s="29"/>
      <c r="E922" s="25"/>
      <c r="F922" s="22"/>
      <c r="G922" s="22"/>
      <c r="H922" s="29"/>
    </row>
    <row r="923" spans="1:8" ht="42.75" customHeight="1" x14ac:dyDescent="0.3">
      <c r="A923" s="26"/>
      <c r="B923" s="25"/>
      <c r="C923" s="22"/>
      <c r="D923" s="29"/>
      <c r="E923" s="25"/>
      <c r="F923" s="22"/>
      <c r="G923" s="22"/>
      <c r="H923" s="29"/>
    </row>
    <row r="924" spans="1:8" ht="42.75" customHeight="1" x14ac:dyDescent="0.3">
      <c r="A924" s="26"/>
      <c r="B924" s="25"/>
      <c r="C924" s="22"/>
      <c r="D924" s="29"/>
      <c r="E924" s="25"/>
      <c r="F924" s="22"/>
      <c r="G924" s="22"/>
      <c r="H924" s="29"/>
    </row>
    <row r="925" spans="1:8" ht="42.75" customHeight="1" x14ac:dyDescent="0.3">
      <c r="A925" s="26"/>
      <c r="B925" s="25"/>
      <c r="C925" s="22"/>
      <c r="D925" s="29"/>
      <c r="E925" s="25"/>
      <c r="F925" s="22"/>
      <c r="G925" s="22"/>
      <c r="H925" s="29"/>
    </row>
    <row r="926" spans="1:8" ht="42.75" customHeight="1" x14ac:dyDescent="0.3">
      <c r="A926" s="26"/>
      <c r="B926" s="25"/>
      <c r="C926" s="22"/>
      <c r="D926" s="29"/>
      <c r="E926" s="25"/>
      <c r="F926" s="22"/>
      <c r="G926" s="22"/>
      <c r="H926" s="29"/>
    </row>
    <row r="927" spans="1:8" ht="42.75" customHeight="1" x14ac:dyDescent="0.3">
      <c r="A927" s="26"/>
      <c r="B927" s="25"/>
      <c r="C927" s="22"/>
      <c r="D927" s="29"/>
      <c r="E927" s="25"/>
      <c r="F927" s="22"/>
      <c r="G927" s="22"/>
      <c r="H927" s="29"/>
    </row>
    <row r="928" spans="1:8" ht="42.75" customHeight="1" x14ac:dyDescent="0.3">
      <c r="A928" s="26"/>
      <c r="B928" s="25"/>
      <c r="C928" s="22"/>
      <c r="D928" s="29"/>
      <c r="E928" s="25"/>
      <c r="F928" s="22"/>
      <c r="G928" s="22"/>
      <c r="H928" s="29"/>
    </row>
    <row r="929" spans="1:8" ht="42.75" customHeight="1" x14ac:dyDescent="0.3">
      <c r="A929" s="26"/>
      <c r="B929" s="25"/>
      <c r="C929" s="22"/>
      <c r="D929" s="29"/>
      <c r="E929" s="25"/>
      <c r="F929" s="22"/>
      <c r="G929" s="22"/>
      <c r="H929" s="29"/>
    </row>
    <row r="930" spans="1:8" ht="42.75" customHeight="1" x14ac:dyDescent="0.3">
      <c r="A930" s="26"/>
      <c r="B930" s="25"/>
      <c r="C930" s="22"/>
      <c r="D930" s="29"/>
      <c r="E930" s="25"/>
      <c r="F930" s="22"/>
      <c r="G930" s="22"/>
      <c r="H930" s="29"/>
    </row>
    <row r="931" spans="1:8" ht="42.75" customHeight="1" x14ac:dyDescent="0.3">
      <c r="A931" s="26"/>
      <c r="B931" s="25"/>
      <c r="C931" s="22"/>
      <c r="D931" s="29"/>
      <c r="E931" s="25"/>
      <c r="F931" s="22"/>
      <c r="G931" s="22"/>
      <c r="H931" s="29"/>
    </row>
    <row r="932" spans="1:8" ht="42.75" customHeight="1" x14ac:dyDescent="0.3">
      <c r="A932" s="26"/>
      <c r="B932" s="25"/>
      <c r="C932" s="22"/>
      <c r="D932" s="29"/>
      <c r="E932" s="25"/>
      <c r="F932" s="22"/>
      <c r="G932" s="22"/>
      <c r="H932" s="29"/>
    </row>
    <row r="933" spans="1:8" ht="42.75" customHeight="1" x14ac:dyDescent="0.3">
      <c r="A933" s="26"/>
      <c r="B933" s="25"/>
      <c r="C933" s="22"/>
      <c r="D933" s="29"/>
      <c r="E933" s="25"/>
      <c r="F933" s="22"/>
      <c r="G933" s="22"/>
      <c r="H933" s="29"/>
    </row>
  </sheetData>
  <autoFilter ref="A1:H21" xr:uid="{00000000-0001-0000-0500-000000000000}"/>
  <sortState xmlns:xlrd2="http://schemas.microsoft.com/office/spreadsheetml/2017/richdata2" ref="A2:H858">
    <sortCondition ref="A2:A858"/>
  </sortState>
  <customSheetViews>
    <customSheetView guid="{FAF87334-FA65-465B-8B18-3F67967D2ED5}" filter="1" showAutoFilter="1">
      <pageMargins left="0.511811024" right="0.511811024" top="0.78740157499999996" bottom="0.78740157499999996" header="0.31496062000000002" footer="0.31496062000000002"/>
      <autoFilter ref="A1:CS33" xr:uid="{C9F0F0A1-142D-4BC6-B343-53A2614FB4BD}"/>
    </customSheetView>
    <customSheetView guid="{0544E540-745C-4D0A-9B44-D3C5D649D1DA}" filter="1" showAutoFilter="1">
      <pageMargins left="0.511811024" right="0.511811024" top="0.78740157499999996" bottom="0.78740157499999996" header="0.31496062000000002" footer="0.31496062000000002"/>
      <autoFilter ref="A2:CU738" xr:uid="{BA640A0A-417A-4CD9-A06B-D51D08B8EE5D}">
        <filterColumn colId="9">
          <filters>
            <filter val="AC"/>
            <filter val="AP"/>
            <filter val="MT"/>
            <filter val="PI"/>
            <filter val="RO"/>
            <filter val="SP"/>
            <filter val="TO"/>
          </filters>
        </filterColumn>
      </autoFilter>
    </customSheetView>
    <customSheetView guid="{9DAC7724-64C5-4159-8748-5458F3380950}" filter="1" showAutoFilter="1">
      <pageMargins left="0.511811024" right="0.511811024" top="0.78740157499999996" bottom="0.78740157499999996" header="0.31496062000000002" footer="0.31496062000000002"/>
      <autoFilter ref="A2:CU797" xr:uid="{577027C3-E1F8-49AE-AADA-BF34ECB9711C}"/>
    </customSheetView>
  </customSheetViews>
  <pageMargins left="0.511811024" right="0.511811024" top="0.78740157499999996" bottom="0.78740157499999996" header="0.31496062000000002" footer="0.31496062000000002"/>
  <pageSetup paperSize="9" orientation="portrait" verticalDpi="597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>
    <tabColor rgb="FF00B0B0"/>
    <outlinePr summaryBelow="0" summaryRight="0"/>
  </sheetPr>
  <dimension ref="A1:Z1000"/>
  <sheetViews>
    <sheetView workbookViewId="0">
      <pane ySplit="2" topLeftCell="A3" activePane="bottomLeft" state="frozen"/>
      <selection pane="bottomLeft" activeCell="B4" sqref="B4"/>
    </sheetView>
  </sheetViews>
  <sheetFormatPr defaultColWidth="12.6328125" defaultRowHeight="15.75" customHeight="1" x14ac:dyDescent="0.25"/>
  <cols>
    <col min="1" max="1" width="20.08984375" customWidth="1"/>
    <col min="2" max="2" width="37.6328125" customWidth="1"/>
    <col min="3" max="3" width="13.08984375" customWidth="1"/>
    <col min="4" max="4" width="16.08984375" customWidth="1"/>
    <col min="5" max="5" width="14.08984375" customWidth="1"/>
    <col min="6" max="6" width="17.08984375" customWidth="1"/>
    <col min="7" max="8" width="19.08984375" customWidth="1"/>
    <col min="9" max="9" width="14.08984375" customWidth="1"/>
    <col min="10" max="10" width="16.36328125" customWidth="1"/>
    <col min="11" max="11" width="11.08984375" customWidth="1"/>
    <col min="12" max="12" width="18.08984375" customWidth="1"/>
    <col min="13" max="13" width="21.08984375" customWidth="1"/>
    <col min="14" max="15" width="23.08984375" customWidth="1"/>
    <col min="16" max="16" width="18.08984375" customWidth="1"/>
    <col min="17" max="18" width="37.6328125" customWidth="1"/>
    <col min="19" max="19" width="30.08984375" customWidth="1"/>
  </cols>
  <sheetData>
    <row r="1" spans="1:26" ht="33.75" customHeight="1" x14ac:dyDescent="0.25">
      <c r="A1" s="17" t="s">
        <v>7146</v>
      </c>
      <c r="B1" s="17" t="s">
        <v>1632</v>
      </c>
      <c r="C1" s="17" t="s">
        <v>1632</v>
      </c>
      <c r="D1" s="17" t="s">
        <v>1632</v>
      </c>
      <c r="E1" s="17" t="s">
        <v>1632</v>
      </c>
      <c r="F1" s="17" t="s">
        <v>1632</v>
      </c>
      <c r="G1" s="17" t="s">
        <v>1632</v>
      </c>
      <c r="H1" s="17" t="s">
        <v>1632</v>
      </c>
      <c r="I1" s="17" t="s">
        <v>1632</v>
      </c>
      <c r="J1" s="17" t="s">
        <v>1632</v>
      </c>
      <c r="K1" s="17" t="s">
        <v>1632</v>
      </c>
      <c r="L1" s="17" t="s">
        <v>1632</v>
      </c>
      <c r="M1" s="17" t="s">
        <v>1632</v>
      </c>
      <c r="N1" s="17" t="s">
        <v>1632</v>
      </c>
      <c r="O1" s="17" t="s">
        <v>1632</v>
      </c>
      <c r="P1" s="17" t="s">
        <v>1632</v>
      </c>
      <c r="Q1" s="17" t="s">
        <v>1632</v>
      </c>
      <c r="R1" s="17" t="s">
        <v>1632</v>
      </c>
      <c r="S1" s="17" t="s">
        <v>1632</v>
      </c>
      <c r="T1" s="17"/>
      <c r="U1" s="17"/>
      <c r="V1" s="17"/>
      <c r="W1" s="17"/>
      <c r="X1" s="17"/>
      <c r="Y1" s="17"/>
      <c r="Z1" s="17"/>
    </row>
    <row r="2" spans="1:26" ht="22.5" customHeight="1" x14ac:dyDescent="0.25">
      <c r="A2" s="15" t="s">
        <v>1633</v>
      </c>
      <c r="B2" s="15" t="s">
        <v>1634</v>
      </c>
      <c r="C2" s="15" t="s">
        <v>1635</v>
      </c>
      <c r="D2" s="15" t="s">
        <v>0</v>
      </c>
      <c r="E2" s="15" t="s">
        <v>1636</v>
      </c>
      <c r="F2" s="15" t="s">
        <v>1637</v>
      </c>
      <c r="G2" s="15" t="s">
        <v>1638</v>
      </c>
      <c r="H2" s="15" t="s">
        <v>1639</v>
      </c>
      <c r="I2" s="15" t="s">
        <v>1640</v>
      </c>
      <c r="J2" s="15" t="s">
        <v>1625</v>
      </c>
      <c r="K2" s="15" t="s">
        <v>1641</v>
      </c>
      <c r="L2" s="15" t="s">
        <v>1642</v>
      </c>
      <c r="M2" s="15" t="s">
        <v>1643</v>
      </c>
      <c r="N2" s="15" t="s">
        <v>1644</v>
      </c>
      <c r="O2" s="15" t="s">
        <v>1645</v>
      </c>
      <c r="P2" s="15" t="s">
        <v>1646</v>
      </c>
      <c r="Q2" s="15" t="s">
        <v>1647</v>
      </c>
      <c r="R2" s="15" t="s">
        <v>387</v>
      </c>
      <c r="S2" s="15" t="s">
        <v>1648</v>
      </c>
      <c r="T2" s="16"/>
      <c r="U2" s="16"/>
      <c r="V2" s="16"/>
      <c r="W2" s="16"/>
      <c r="X2" s="16"/>
      <c r="Y2" s="16"/>
      <c r="Z2" s="16"/>
    </row>
    <row r="3" spans="1:26" ht="12.5" x14ac:dyDescent="0.25">
      <c r="A3" s="14" t="str">
        <f>HYPERLINK("https://gerandofalcoes.my.salesforce.com/0014P00003AN2h6QAD", "0014P00003AN2h6QAD")</f>
        <v>0014P00003AN2h6QAD</v>
      </c>
      <c r="B3" s="2" t="s">
        <v>1649</v>
      </c>
      <c r="C3" s="2" t="s">
        <v>423</v>
      </c>
      <c r="D3" s="2" t="s">
        <v>27</v>
      </c>
      <c r="E3" s="2">
        <v>98</v>
      </c>
      <c r="F3" s="2">
        <v>13</v>
      </c>
      <c r="G3" s="2">
        <v>3</v>
      </c>
      <c r="H3" s="2">
        <v>245092.99</v>
      </c>
      <c r="I3" s="2">
        <v>182</v>
      </c>
      <c r="J3" s="2" t="s">
        <v>1650</v>
      </c>
      <c r="K3" s="2">
        <v>77</v>
      </c>
      <c r="L3" s="2">
        <v>30</v>
      </c>
      <c r="M3" s="2">
        <v>12</v>
      </c>
      <c r="N3" s="2">
        <v>8</v>
      </c>
      <c r="O3" s="2">
        <v>15</v>
      </c>
      <c r="P3" s="2">
        <v>12</v>
      </c>
      <c r="Q3" s="2" t="s">
        <v>1651</v>
      </c>
      <c r="R3" s="2" t="s">
        <v>1652</v>
      </c>
      <c r="S3" s="4">
        <v>44837</v>
      </c>
    </row>
    <row r="4" spans="1:26" ht="12.5" x14ac:dyDescent="0.25">
      <c r="A4" s="14" t="str">
        <f>HYPERLINK("https://gerandofalcoes.my.salesforce.com/0014P00003AN2GPQA1", "0014P00003AN2GPQA1")</f>
        <v>0014P00003AN2GPQA1</v>
      </c>
      <c r="B4" s="2" t="s">
        <v>1653</v>
      </c>
      <c r="C4" s="2" t="s">
        <v>423</v>
      </c>
      <c r="D4" s="2" t="s">
        <v>27</v>
      </c>
      <c r="E4" s="2">
        <v>97</v>
      </c>
      <c r="F4" s="2">
        <v>33</v>
      </c>
      <c r="G4" s="2">
        <v>4</v>
      </c>
      <c r="H4" s="2">
        <v>1500734.93</v>
      </c>
      <c r="I4" s="2">
        <v>378</v>
      </c>
      <c r="J4" s="2" t="s">
        <v>1654</v>
      </c>
      <c r="K4" s="2">
        <v>95</v>
      </c>
      <c r="L4" s="2">
        <v>30</v>
      </c>
      <c r="M4" s="2">
        <v>15</v>
      </c>
      <c r="N4" s="2">
        <v>10</v>
      </c>
      <c r="O4" s="2">
        <v>25</v>
      </c>
      <c r="P4" s="2">
        <v>15</v>
      </c>
      <c r="Q4" s="2" t="s">
        <v>36</v>
      </c>
      <c r="R4" s="2" t="s">
        <v>553</v>
      </c>
      <c r="S4" s="4">
        <v>44837</v>
      </c>
    </row>
    <row r="5" spans="1:26" ht="12.5" x14ac:dyDescent="0.25">
      <c r="A5" s="14" t="str">
        <f>HYPERLINK("https://gerandofalcoes.my.salesforce.com/0014P00003AN2GNQA1", "0014P00003AN2GNQA1")</f>
        <v>0014P00003AN2GNQA1</v>
      </c>
      <c r="B5" s="2" t="s">
        <v>1655</v>
      </c>
      <c r="C5" s="2" t="s">
        <v>423</v>
      </c>
      <c r="D5" s="2" t="s">
        <v>27</v>
      </c>
      <c r="E5" s="2">
        <v>96</v>
      </c>
      <c r="F5" s="2">
        <v>22</v>
      </c>
      <c r="G5" s="2">
        <v>4</v>
      </c>
      <c r="H5" s="2">
        <v>392688.36</v>
      </c>
      <c r="I5" s="2">
        <v>341</v>
      </c>
      <c r="J5" s="2" t="s">
        <v>1654</v>
      </c>
      <c r="K5" s="2">
        <v>87</v>
      </c>
      <c r="L5" s="2">
        <v>30</v>
      </c>
      <c r="M5" s="2">
        <v>12</v>
      </c>
      <c r="N5" s="2">
        <v>10</v>
      </c>
      <c r="O5" s="2">
        <v>20</v>
      </c>
      <c r="P5" s="2">
        <v>15</v>
      </c>
      <c r="Q5" s="2" t="s">
        <v>43</v>
      </c>
      <c r="R5" s="2" t="s">
        <v>43</v>
      </c>
      <c r="S5" s="4">
        <v>44837</v>
      </c>
    </row>
    <row r="6" spans="1:26" ht="12.5" x14ac:dyDescent="0.25">
      <c r="A6" s="14" t="str">
        <f>HYPERLINK("https://gerandofalcoes.my.salesforce.com/0014P00003SGWPiQAP", "0014P00003SGWPiQAP")</f>
        <v>0014P00003SGWPiQAP</v>
      </c>
      <c r="B6" s="2" t="s">
        <v>1656</v>
      </c>
      <c r="C6" s="2" t="s">
        <v>423</v>
      </c>
      <c r="D6" s="2" t="s">
        <v>27</v>
      </c>
      <c r="E6" s="2">
        <v>96</v>
      </c>
      <c r="F6" s="2">
        <v>8</v>
      </c>
      <c r="G6" s="2">
        <v>4</v>
      </c>
      <c r="H6" s="2">
        <v>587278.81999999995</v>
      </c>
      <c r="I6" s="2">
        <v>115</v>
      </c>
      <c r="J6" s="2" t="s">
        <v>1654</v>
      </c>
      <c r="K6" s="2">
        <v>80</v>
      </c>
      <c r="L6" s="2">
        <v>30</v>
      </c>
      <c r="M6" s="2">
        <v>10</v>
      </c>
      <c r="N6" s="2">
        <v>10</v>
      </c>
      <c r="O6" s="2">
        <v>20</v>
      </c>
      <c r="P6" s="2">
        <v>10</v>
      </c>
      <c r="Q6" s="2" t="s">
        <v>1657</v>
      </c>
      <c r="R6" s="2" t="s">
        <v>1657</v>
      </c>
      <c r="S6" s="4">
        <v>44837</v>
      </c>
    </row>
    <row r="7" spans="1:26" ht="12.5" x14ac:dyDescent="0.25">
      <c r="A7" s="14" t="str">
        <f>HYPERLINK("https://gerandofalcoes.my.salesforce.com/0014P00003AN2FqQAL", "0014P00003AN2FqQAL")</f>
        <v>0014P00003AN2FqQAL</v>
      </c>
      <c r="B7" s="2" t="s">
        <v>1658</v>
      </c>
      <c r="C7" s="2" t="s">
        <v>423</v>
      </c>
      <c r="D7" s="2" t="s">
        <v>27</v>
      </c>
      <c r="E7" s="2">
        <v>95</v>
      </c>
      <c r="F7" s="2">
        <v>46</v>
      </c>
      <c r="G7" s="2">
        <v>4</v>
      </c>
      <c r="H7" s="2">
        <v>1272655.06</v>
      </c>
      <c r="I7" s="2">
        <v>348</v>
      </c>
      <c r="J7" s="2" t="s">
        <v>1654</v>
      </c>
      <c r="K7" s="2">
        <v>95</v>
      </c>
      <c r="L7" s="2">
        <v>30</v>
      </c>
      <c r="M7" s="2">
        <v>15</v>
      </c>
      <c r="N7" s="2">
        <v>10</v>
      </c>
      <c r="O7" s="2">
        <v>25</v>
      </c>
      <c r="P7" s="2">
        <v>15</v>
      </c>
      <c r="Q7" s="2" t="s">
        <v>132</v>
      </c>
      <c r="R7" s="2" t="s">
        <v>132</v>
      </c>
      <c r="S7" s="4">
        <v>44837</v>
      </c>
    </row>
    <row r="8" spans="1:26" ht="12.5" x14ac:dyDescent="0.25">
      <c r="A8" s="14" t="str">
        <f>HYPERLINK("https://gerandofalcoes.my.salesforce.com/0014P00003AN2FuQAL", "0014P00003AN2FuQAL")</f>
        <v>0014P00003AN2FuQAL</v>
      </c>
      <c r="B8" s="2" t="s">
        <v>1659</v>
      </c>
      <c r="C8" s="2" t="s">
        <v>423</v>
      </c>
      <c r="D8" s="2" t="s">
        <v>27</v>
      </c>
      <c r="E8" s="2">
        <v>95</v>
      </c>
      <c r="F8" s="2">
        <v>23</v>
      </c>
      <c r="G8" s="2">
        <v>3</v>
      </c>
      <c r="H8" s="2">
        <v>243360.63</v>
      </c>
      <c r="I8" s="2">
        <v>291</v>
      </c>
      <c r="J8" s="2" t="s">
        <v>1650</v>
      </c>
      <c r="K8" s="2">
        <v>77</v>
      </c>
      <c r="L8" s="2">
        <v>30</v>
      </c>
      <c r="M8" s="2">
        <v>12</v>
      </c>
      <c r="N8" s="2">
        <v>8</v>
      </c>
      <c r="O8" s="2">
        <v>15</v>
      </c>
      <c r="P8" s="2">
        <v>12</v>
      </c>
      <c r="Q8" s="2" t="s">
        <v>140</v>
      </c>
      <c r="R8" s="2" t="s">
        <v>140</v>
      </c>
      <c r="S8" s="4">
        <v>44837</v>
      </c>
    </row>
    <row r="9" spans="1:26" ht="12.5" x14ac:dyDescent="0.25">
      <c r="A9" s="14" t="str">
        <f>HYPERLINK("https://gerandofalcoes.my.salesforce.com/0014P00003AN2h5QAD", "0014P00003AN2h5QAD")</f>
        <v>0014P00003AN2h5QAD</v>
      </c>
      <c r="B9" s="2" t="s">
        <v>1660</v>
      </c>
      <c r="C9" s="2" t="s">
        <v>423</v>
      </c>
      <c r="D9" s="2" t="s">
        <v>27</v>
      </c>
      <c r="E9" s="2">
        <v>95</v>
      </c>
      <c r="F9" s="2">
        <v>25</v>
      </c>
      <c r="G9" s="2">
        <v>3</v>
      </c>
      <c r="H9" s="2">
        <v>1106859.57</v>
      </c>
      <c r="I9" s="2">
        <v>164</v>
      </c>
      <c r="J9" s="2" t="s">
        <v>1654</v>
      </c>
      <c r="K9" s="2">
        <v>87</v>
      </c>
      <c r="L9" s="2">
        <v>30</v>
      </c>
      <c r="M9" s="2">
        <v>12</v>
      </c>
      <c r="N9" s="2">
        <v>8</v>
      </c>
      <c r="O9" s="2">
        <v>25</v>
      </c>
      <c r="P9" s="2">
        <v>12</v>
      </c>
      <c r="Q9" s="2" t="s">
        <v>54</v>
      </c>
      <c r="R9" s="2" t="s">
        <v>54</v>
      </c>
      <c r="S9" s="4">
        <v>44837</v>
      </c>
    </row>
    <row r="10" spans="1:26" ht="12.5" x14ac:dyDescent="0.25">
      <c r="A10" s="14" t="str">
        <f>HYPERLINK("https://gerandofalcoes.my.salesforce.com/0014P00003AN2GIQA1", "0014P00003AN2GIQA1")</f>
        <v>0014P00003AN2GIQA1</v>
      </c>
      <c r="B10" s="2" t="s">
        <v>1661</v>
      </c>
      <c r="C10" s="2" t="s">
        <v>423</v>
      </c>
      <c r="D10" s="2" t="s">
        <v>27</v>
      </c>
      <c r="E10" s="2">
        <v>95</v>
      </c>
      <c r="F10" s="2">
        <v>5</v>
      </c>
      <c r="G10" s="2">
        <v>3</v>
      </c>
      <c r="H10" s="2">
        <v>133580.48000000001</v>
      </c>
      <c r="I10" s="2">
        <v>82</v>
      </c>
      <c r="J10" s="2" t="s">
        <v>1650</v>
      </c>
      <c r="K10" s="2">
        <v>68</v>
      </c>
      <c r="L10" s="2">
        <v>30</v>
      </c>
      <c r="M10" s="2">
        <v>5</v>
      </c>
      <c r="N10" s="2">
        <v>8</v>
      </c>
      <c r="O10" s="2">
        <v>15</v>
      </c>
      <c r="P10" s="2">
        <v>10</v>
      </c>
      <c r="Q10" s="2" t="s">
        <v>31</v>
      </c>
      <c r="R10" s="2" t="s">
        <v>1662</v>
      </c>
      <c r="S10" s="4">
        <v>44837</v>
      </c>
    </row>
    <row r="11" spans="1:26" ht="12.5" x14ac:dyDescent="0.25">
      <c r="A11" s="14" t="str">
        <f>HYPERLINK("https://gerandofalcoes.my.salesforce.com/0014P00003SGWPsQAP", "0014P00003SGWPsQAP")</f>
        <v>0014P00003SGWPsQAP</v>
      </c>
      <c r="B11" s="2" t="s">
        <v>1663</v>
      </c>
      <c r="C11" s="2" t="s">
        <v>423</v>
      </c>
      <c r="D11" s="2" t="s">
        <v>27</v>
      </c>
      <c r="E11" s="2">
        <v>93</v>
      </c>
      <c r="F11" s="2">
        <v>49</v>
      </c>
      <c r="G11" s="2">
        <v>3</v>
      </c>
      <c r="H11" s="2">
        <v>1126099.1000000001</v>
      </c>
      <c r="I11" s="2">
        <v>390</v>
      </c>
      <c r="J11" s="2" t="s">
        <v>1654</v>
      </c>
      <c r="K11" s="2">
        <v>93</v>
      </c>
      <c r="L11" s="2">
        <v>30</v>
      </c>
      <c r="M11" s="2">
        <v>15</v>
      </c>
      <c r="N11" s="2">
        <v>8</v>
      </c>
      <c r="O11" s="2">
        <v>25</v>
      </c>
      <c r="P11" s="2">
        <v>15</v>
      </c>
      <c r="Q11" s="2" t="s">
        <v>332</v>
      </c>
      <c r="R11" s="2" t="s">
        <v>1429</v>
      </c>
      <c r="S11" s="4">
        <v>44837</v>
      </c>
    </row>
    <row r="12" spans="1:26" ht="12.5" x14ac:dyDescent="0.25">
      <c r="A12" s="14" t="str">
        <f>HYPERLINK("https://gerandofalcoes.my.salesforce.com/0014P00003AN2FxQAL", "0014P00003AN2FxQAL")</f>
        <v>0014P00003AN2FxQAL</v>
      </c>
      <c r="B12" s="2" t="s">
        <v>1664</v>
      </c>
      <c r="C12" s="2" t="s">
        <v>423</v>
      </c>
      <c r="D12" s="2" t="s">
        <v>27</v>
      </c>
      <c r="E12" s="2">
        <v>93</v>
      </c>
      <c r="F12" s="2">
        <v>29</v>
      </c>
      <c r="G12" s="2">
        <v>1</v>
      </c>
      <c r="H12" s="2">
        <v>621309.18999999994</v>
      </c>
      <c r="I12" s="2">
        <v>203</v>
      </c>
      <c r="J12" s="2" t="s">
        <v>1650</v>
      </c>
      <c r="K12" s="2">
        <v>78</v>
      </c>
      <c r="L12" s="2">
        <v>30</v>
      </c>
      <c r="M12" s="2">
        <v>12</v>
      </c>
      <c r="N12" s="2">
        <v>4</v>
      </c>
      <c r="O12" s="2">
        <v>20</v>
      </c>
      <c r="P12" s="2">
        <v>12</v>
      </c>
      <c r="Q12" s="2" t="s">
        <v>144</v>
      </c>
      <c r="R12" s="2" t="s">
        <v>144</v>
      </c>
      <c r="S12" s="4">
        <v>44837</v>
      </c>
    </row>
    <row r="13" spans="1:26" ht="12.5" x14ac:dyDescent="0.25">
      <c r="A13" s="14" t="str">
        <f>HYPERLINK("https://gerandofalcoes.my.salesforce.com/0014P00003SGWPQQA5", "0014P00003SGWPQQA5")</f>
        <v>0014P00003SGWPQQA5</v>
      </c>
      <c r="B13" s="2" t="s">
        <v>363</v>
      </c>
      <c r="C13" s="2" t="s">
        <v>423</v>
      </c>
      <c r="D13" s="2" t="s">
        <v>27</v>
      </c>
      <c r="E13" s="2">
        <v>93</v>
      </c>
      <c r="F13" s="2">
        <v>32</v>
      </c>
      <c r="G13" s="2">
        <v>4</v>
      </c>
      <c r="H13" s="2">
        <v>1010730.87</v>
      </c>
      <c r="I13" s="2">
        <v>192</v>
      </c>
      <c r="J13" s="2" t="s">
        <v>1654</v>
      </c>
      <c r="K13" s="2">
        <v>92</v>
      </c>
      <c r="L13" s="2">
        <v>30</v>
      </c>
      <c r="M13" s="2">
        <v>15</v>
      </c>
      <c r="N13" s="2">
        <v>10</v>
      </c>
      <c r="O13" s="2">
        <v>25</v>
      </c>
      <c r="P13" s="2">
        <v>12</v>
      </c>
      <c r="Q13" s="2" t="s">
        <v>364</v>
      </c>
      <c r="R13" s="2" t="s">
        <v>1545</v>
      </c>
      <c r="S13" s="4">
        <v>44837</v>
      </c>
    </row>
    <row r="14" spans="1:26" ht="12.5" x14ac:dyDescent="0.25">
      <c r="A14" s="14" t="str">
        <f>HYPERLINK("https://gerandofalcoes.my.salesforce.com/0014P00003YSp9mQAD", "0014P00003YSp9mQAD")</f>
        <v>0014P00003YSp9mQAD</v>
      </c>
      <c r="B14" s="2" t="s">
        <v>1665</v>
      </c>
      <c r="C14" s="2" t="s">
        <v>423</v>
      </c>
      <c r="D14" s="2" t="s">
        <v>27</v>
      </c>
      <c r="E14" s="2">
        <v>92.77</v>
      </c>
      <c r="F14" s="2">
        <v>15</v>
      </c>
      <c r="G14" s="2">
        <v>6</v>
      </c>
      <c r="H14" s="2">
        <v>1000000</v>
      </c>
      <c r="I14" s="2">
        <v>767</v>
      </c>
      <c r="J14" s="2" t="s">
        <v>1654</v>
      </c>
      <c r="K14" s="2">
        <v>97</v>
      </c>
      <c r="L14" s="2">
        <v>30</v>
      </c>
      <c r="M14" s="2">
        <v>12</v>
      </c>
      <c r="N14" s="2">
        <v>10</v>
      </c>
      <c r="O14" s="2">
        <v>25</v>
      </c>
      <c r="P14" s="2">
        <v>20</v>
      </c>
      <c r="Q14" s="2" t="s">
        <v>1666</v>
      </c>
      <c r="R14" s="2" t="s">
        <v>1667</v>
      </c>
      <c r="S14" s="4">
        <v>44837</v>
      </c>
    </row>
    <row r="15" spans="1:26" ht="12.5" x14ac:dyDescent="0.25">
      <c r="A15" s="14" t="str">
        <f>HYPERLINK("https://gerandofalcoes.my.salesforce.com/0014P00003ERUfsQAH", "0014P00003ERUfsQAH")</f>
        <v>0014P00003ERUfsQAH</v>
      </c>
      <c r="B15" s="2" t="s">
        <v>1668</v>
      </c>
      <c r="C15" s="2" t="s">
        <v>423</v>
      </c>
      <c r="D15" s="2" t="s">
        <v>27</v>
      </c>
      <c r="E15" s="2">
        <v>91</v>
      </c>
      <c r="F15" s="2">
        <v>30</v>
      </c>
      <c r="G15" s="2">
        <v>4</v>
      </c>
      <c r="H15" s="2">
        <v>155230.70000000001</v>
      </c>
      <c r="I15" s="2">
        <v>782</v>
      </c>
      <c r="J15" s="2" t="s">
        <v>1654</v>
      </c>
      <c r="K15" s="2">
        <v>87</v>
      </c>
      <c r="L15" s="2">
        <v>30</v>
      </c>
      <c r="M15" s="2">
        <v>12</v>
      </c>
      <c r="N15" s="2">
        <v>10</v>
      </c>
      <c r="O15" s="2">
        <v>15</v>
      </c>
      <c r="P15" s="2">
        <v>20</v>
      </c>
      <c r="Q15" s="2" t="s">
        <v>73</v>
      </c>
      <c r="R15" s="2" t="s">
        <v>73</v>
      </c>
      <c r="S15" s="4">
        <v>44837</v>
      </c>
    </row>
    <row r="16" spans="1:26" ht="12.5" x14ac:dyDescent="0.25">
      <c r="A16" s="14" t="str">
        <f>HYPERLINK("https://gerandofalcoes.my.salesforce.com/0014P00003SGWQDQA5", "0014P00003SGWQDQA5")</f>
        <v>0014P00003SGWQDQA5</v>
      </c>
      <c r="B16" s="2" t="s">
        <v>1669</v>
      </c>
      <c r="C16" s="2" t="s">
        <v>423</v>
      </c>
      <c r="D16" s="2" t="s">
        <v>27</v>
      </c>
      <c r="E16" s="2">
        <v>91</v>
      </c>
      <c r="F16" s="2">
        <v>10</v>
      </c>
      <c r="G16" s="2">
        <v>3</v>
      </c>
      <c r="H16" s="2">
        <v>707090.8</v>
      </c>
      <c r="I16" s="2">
        <v>390</v>
      </c>
      <c r="J16" s="2" t="s">
        <v>1654</v>
      </c>
      <c r="K16" s="2">
        <v>83</v>
      </c>
      <c r="L16" s="2">
        <v>30</v>
      </c>
      <c r="M16" s="2">
        <v>10</v>
      </c>
      <c r="N16" s="2">
        <v>8</v>
      </c>
      <c r="O16" s="2">
        <v>20</v>
      </c>
      <c r="P16" s="2">
        <v>15</v>
      </c>
      <c r="Q16" s="2" t="s">
        <v>251</v>
      </c>
      <c r="R16" s="2" t="s">
        <v>251</v>
      </c>
      <c r="S16" s="4">
        <v>44837</v>
      </c>
    </row>
    <row r="17" spans="1:19" ht="12.5" x14ac:dyDescent="0.25">
      <c r="A17" s="14" t="str">
        <f>HYPERLINK("https://gerandofalcoes.my.salesforce.com/0014P00003AN2G9QAL", "0014P00003AN2G9QAL")</f>
        <v>0014P00003AN2G9QAL</v>
      </c>
      <c r="B17" s="2" t="s">
        <v>1670</v>
      </c>
      <c r="C17" s="2" t="s">
        <v>423</v>
      </c>
      <c r="D17" s="2" t="s">
        <v>27</v>
      </c>
      <c r="E17" s="2">
        <v>90.24</v>
      </c>
      <c r="F17" s="2">
        <v>7</v>
      </c>
      <c r="G17" s="2">
        <v>2</v>
      </c>
      <c r="H17" s="2">
        <v>5950</v>
      </c>
      <c r="I17" s="2">
        <v>210</v>
      </c>
      <c r="J17" s="2" t="s">
        <v>1671</v>
      </c>
      <c r="K17" s="2">
        <v>63</v>
      </c>
      <c r="L17" s="2">
        <v>30</v>
      </c>
      <c r="M17" s="2">
        <v>10</v>
      </c>
      <c r="N17" s="2">
        <v>6</v>
      </c>
      <c r="O17" s="2">
        <v>5</v>
      </c>
      <c r="P17" s="2">
        <v>12</v>
      </c>
      <c r="Q17" s="2" t="s">
        <v>961</v>
      </c>
      <c r="R17" s="2" t="s">
        <v>961</v>
      </c>
      <c r="S17" s="4">
        <v>44837</v>
      </c>
    </row>
    <row r="18" spans="1:19" ht="12.5" x14ac:dyDescent="0.25">
      <c r="A18" s="14" t="str">
        <f>HYPERLINK("https://gerandofalcoes.my.salesforce.com/0014P00003SGWPuQAP", "0014P00003SGWPuQAP")</f>
        <v>0014P00003SGWPuQAP</v>
      </c>
      <c r="B18" s="2" t="s">
        <v>1672</v>
      </c>
      <c r="C18" s="2" t="s">
        <v>423</v>
      </c>
      <c r="D18" s="2" t="s">
        <v>27</v>
      </c>
      <c r="E18" s="2">
        <v>90.19</v>
      </c>
      <c r="F18" s="2">
        <v>0</v>
      </c>
      <c r="G18" s="2">
        <v>4</v>
      </c>
      <c r="H18" s="2">
        <v>3000</v>
      </c>
      <c r="I18" s="2">
        <v>268</v>
      </c>
      <c r="J18" s="2" t="s">
        <v>1671</v>
      </c>
      <c r="K18" s="2">
        <v>57</v>
      </c>
      <c r="L18" s="2">
        <v>30</v>
      </c>
      <c r="M18" s="2">
        <v>0</v>
      </c>
      <c r="N18" s="2">
        <v>10</v>
      </c>
      <c r="O18" s="2">
        <v>5</v>
      </c>
      <c r="P18" s="2">
        <v>12</v>
      </c>
      <c r="Q18" s="2" t="s">
        <v>186</v>
      </c>
      <c r="R18" s="2" t="s">
        <v>1673</v>
      </c>
      <c r="S18" s="4">
        <v>44837</v>
      </c>
    </row>
    <row r="19" spans="1:19" ht="12.5" hidden="1" x14ac:dyDescent="0.25">
      <c r="A19" s="14" t="str">
        <f>HYPERLINK("https://gerandofalcoes.my.salesforce.com/0014X00002UFYFtQAP", "0014X00002UFYFtQAP")</f>
        <v>0014X00002UFYFtQAP</v>
      </c>
      <c r="B19" s="2" t="s">
        <v>3588</v>
      </c>
      <c r="C19" s="2" t="s">
        <v>1684</v>
      </c>
      <c r="D19" s="2" t="s">
        <v>2</v>
      </c>
      <c r="E19" s="2">
        <v>90</v>
      </c>
      <c r="F19" s="2">
        <v>15</v>
      </c>
      <c r="G19" s="2">
        <v>4</v>
      </c>
      <c r="H19" s="2">
        <v>600000</v>
      </c>
      <c r="I19" s="2">
        <v>5000</v>
      </c>
      <c r="J19" s="2"/>
      <c r="K19" s="2">
        <v>92</v>
      </c>
      <c r="L19" s="2">
        <v>30</v>
      </c>
      <c r="M19" s="2">
        <v>12</v>
      </c>
      <c r="N19" s="2">
        <v>10</v>
      </c>
      <c r="O19" s="2">
        <v>20</v>
      </c>
      <c r="P19" s="2">
        <v>20</v>
      </c>
      <c r="Q19" s="2" t="s">
        <v>3589</v>
      </c>
      <c r="R19" s="2" t="s">
        <v>3590</v>
      </c>
      <c r="S19" s="4">
        <v>44962</v>
      </c>
    </row>
    <row r="20" spans="1:19" ht="12.5" x14ac:dyDescent="0.25">
      <c r="A20" s="14" t="str">
        <f>HYPERLINK("https://gerandofalcoes.my.salesforce.com/0014P00003AN2FnQAL", "0014P00003AN2FnQAL")</f>
        <v>0014P00003AN2FnQAL</v>
      </c>
      <c r="B20" s="2" t="s">
        <v>128</v>
      </c>
      <c r="C20" s="2" t="s">
        <v>423</v>
      </c>
      <c r="D20" s="2" t="s">
        <v>27</v>
      </c>
      <c r="E20" s="2">
        <v>90</v>
      </c>
      <c r="F20" s="2">
        <v>22</v>
      </c>
      <c r="G20" s="2">
        <v>3</v>
      </c>
      <c r="H20" s="2">
        <v>850231.83</v>
      </c>
      <c r="I20" s="2">
        <v>323</v>
      </c>
      <c r="J20" s="2" t="s">
        <v>1654</v>
      </c>
      <c r="K20" s="2">
        <v>90</v>
      </c>
      <c r="L20" s="2">
        <v>30</v>
      </c>
      <c r="M20" s="2">
        <v>12</v>
      </c>
      <c r="N20" s="2">
        <v>8</v>
      </c>
      <c r="O20" s="2">
        <v>25</v>
      </c>
      <c r="P20" s="2">
        <v>15</v>
      </c>
      <c r="Q20" s="2" t="s">
        <v>129</v>
      </c>
      <c r="R20" s="2" t="s">
        <v>129</v>
      </c>
      <c r="S20" s="4">
        <v>44837</v>
      </c>
    </row>
    <row r="21" spans="1:19" ht="12.5" x14ac:dyDescent="0.25">
      <c r="A21" s="14" t="str">
        <f>HYPERLINK("https://gerandofalcoes.my.salesforce.com/0014P00003YSp7sQAD", "0014P00003YSp7sQAD")</f>
        <v>0014P00003YSp7sQAD</v>
      </c>
      <c r="B21" s="2" t="s">
        <v>1674</v>
      </c>
      <c r="C21" s="2" t="s">
        <v>423</v>
      </c>
      <c r="D21" s="2" t="s">
        <v>27</v>
      </c>
      <c r="E21" s="2">
        <v>89.2</v>
      </c>
      <c r="F21" s="2">
        <v>12</v>
      </c>
      <c r="G21" s="2">
        <v>3</v>
      </c>
      <c r="H21" s="2">
        <v>60000</v>
      </c>
      <c r="I21" s="2">
        <v>300</v>
      </c>
      <c r="J21" s="2" t="s">
        <v>1650</v>
      </c>
      <c r="K21" s="2">
        <v>70</v>
      </c>
      <c r="L21" s="2">
        <v>25</v>
      </c>
      <c r="M21" s="2">
        <v>12</v>
      </c>
      <c r="N21" s="2">
        <v>8</v>
      </c>
      <c r="O21" s="2">
        <v>10</v>
      </c>
      <c r="P21" s="2">
        <v>15</v>
      </c>
      <c r="Q21" s="2" t="s">
        <v>1675</v>
      </c>
      <c r="R21" s="2" t="s">
        <v>1676</v>
      </c>
      <c r="S21" s="4">
        <v>44837</v>
      </c>
    </row>
    <row r="22" spans="1:19" ht="12.5" x14ac:dyDescent="0.25">
      <c r="A22" s="14" t="str">
        <f>HYPERLINK("https://gerandofalcoes.my.salesforce.com/0014P00003SGWPWQA5", "0014P00003SGWPWQA5")</f>
        <v>0014P00003SGWPWQA5</v>
      </c>
      <c r="B22" s="2" t="s">
        <v>171</v>
      </c>
      <c r="C22" s="2" t="s">
        <v>423</v>
      </c>
      <c r="D22" s="2" t="s">
        <v>27</v>
      </c>
      <c r="E22" s="2">
        <v>89</v>
      </c>
      <c r="F22" s="2">
        <v>7</v>
      </c>
      <c r="G22" s="2">
        <v>4</v>
      </c>
      <c r="H22" s="2">
        <v>30000</v>
      </c>
      <c r="I22" s="2">
        <v>278</v>
      </c>
      <c r="J22" s="2" t="s">
        <v>1650</v>
      </c>
      <c r="K22" s="2">
        <v>67</v>
      </c>
      <c r="L22" s="2">
        <v>25</v>
      </c>
      <c r="M22" s="2">
        <v>10</v>
      </c>
      <c r="N22" s="2">
        <v>10</v>
      </c>
      <c r="O22" s="2">
        <v>10</v>
      </c>
      <c r="P22" s="2">
        <v>12</v>
      </c>
      <c r="Q22" s="2" t="s">
        <v>172</v>
      </c>
      <c r="R22" s="2" t="s">
        <v>172</v>
      </c>
      <c r="S22" s="4">
        <v>44837</v>
      </c>
    </row>
    <row r="23" spans="1:19" ht="12.5" x14ac:dyDescent="0.25">
      <c r="A23" s="14" t="str">
        <f>HYPERLINK("https://gerandofalcoes.my.salesforce.com/0014P00003AN2G3QAL", "0014P00003AN2G3QAL")</f>
        <v>0014P00003AN2G3QAL</v>
      </c>
      <c r="B23" s="2" t="s">
        <v>1677</v>
      </c>
      <c r="C23" s="2" t="s">
        <v>423</v>
      </c>
      <c r="D23" s="2" t="s">
        <v>27</v>
      </c>
      <c r="E23" s="2">
        <v>89</v>
      </c>
      <c r="F23" s="2">
        <v>9</v>
      </c>
      <c r="G23" s="2">
        <v>3</v>
      </c>
      <c r="H23" s="2">
        <v>46396.77</v>
      </c>
      <c r="I23" s="2">
        <v>188</v>
      </c>
      <c r="J23" s="2" t="s">
        <v>1650</v>
      </c>
      <c r="K23" s="2">
        <v>65</v>
      </c>
      <c r="L23" s="2">
        <v>25</v>
      </c>
      <c r="M23" s="2">
        <v>10</v>
      </c>
      <c r="N23" s="2">
        <v>8</v>
      </c>
      <c r="O23" s="2">
        <v>10</v>
      </c>
      <c r="P23" s="2">
        <v>12</v>
      </c>
      <c r="Q23" s="2" t="s">
        <v>153</v>
      </c>
      <c r="R23" s="2" t="s">
        <v>153</v>
      </c>
      <c r="S23" s="4">
        <v>44837</v>
      </c>
    </row>
    <row r="24" spans="1:19" ht="12.5" x14ac:dyDescent="0.25">
      <c r="A24" s="14" t="str">
        <f>HYPERLINK("https://gerandofalcoes.my.salesforce.com/0014P00003AN2FpQAL", "0014P00003AN2FpQAL")</f>
        <v>0014P00003AN2FpQAL</v>
      </c>
      <c r="B24" s="2" t="s">
        <v>1678</v>
      </c>
      <c r="C24" s="2" t="s">
        <v>423</v>
      </c>
      <c r="D24" s="2" t="s">
        <v>27</v>
      </c>
      <c r="E24" s="2">
        <v>89</v>
      </c>
      <c r="F24" s="2">
        <v>16</v>
      </c>
      <c r="G24" s="2">
        <v>2</v>
      </c>
      <c r="H24" s="2">
        <v>76727.45</v>
      </c>
      <c r="I24" s="2">
        <v>173</v>
      </c>
      <c r="J24" s="2" t="s">
        <v>1650</v>
      </c>
      <c r="K24" s="2">
        <v>65</v>
      </c>
      <c r="L24" s="2">
        <v>25</v>
      </c>
      <c r="M24" s="2">
        <v>12</v>
      </c>
      <c r="N24" s="2">
        <v>6</v>
      </c>
      <c r="O24" s="2">
        <v>10</v>
      </c>
      <c r="P24" s="2">
        <v>12</v>
      </c>
      <c r="Q24" s="2" t="s">
        <v>131</v>
      </c>
      <c r="R24" s="2" t="s">
        <v>131</v>
      </c>
      <c r="S24" s="4">
        <v>44837</v>
      </c>
    </row>
    <row r="25" spans="1:19" ht="12.5" x14ac:dyDescent="0.25">
      <c r="A25" s="14" t="str">
        <f>HYPERLINK("https://gerandofalcoes.my.salesforce.com/0014P00003AN2FjQAL", "0014P00003AN2FjQAL")</f>
        <v>0014P00003AN2FjQAL</v>
      </c>
      <c r="B25" s="2" t="s">
        <v>1679</v>
      </c>
      <c r="C25" s="2" t="s">
        <v>423</v>
      </c>
      <c r="D25" s="2" t="s">
        <v>27</v>
      </c>
      <c r="E25" s="2">
        <v>89</v>
      </c>
      <c r="F25" s="2">
        <v>5</v>
      </c>
      <c r="G25" s="2">
        <v>4</v>
      </c>
      <c r="H25" s="2">
        <v>49628.39</v>
      </c>
      <c r="I25" s="2">
        <v>79</v>
      </c>
      <c r="J25" s="2" t="s">
        <v>1671</v>
      </c>
      <c r="K25" s="2">
        <v>55</v>
      </c>
      <c r="L25" s="2">
        <v>25</v>
      </c>
      <c r="M25" s="2">
        <v>5</v>
      </c>
      <c r="N25" s="2">
        <v>10</v>
      </c>
      <c r="O25" s="2">
        <v>10</v>
      </c>
      <c r="P25" s="2">
        <v>5</v>
      </c>
      <c r="Q25" s="2" t="s">
        <v>63</v>
      </c>
      <c r="R25" s="2" t="s">
        <v>1680</v>
      </c>
      <c r="S25" s="4">
        <v>44837</v>
      </c>
    </row>
    <row r="26" spans="1:19" ht="12.5" x14ac:dyDescent="0.25">
      <c r="A26" s="14" t="str">
        <f>HYPERLINK("https://gerandofalcoes.my.salesforce.com/0014P00003AN2FcQAL", "0014P00003AN2FcQAL")</f>
        <v>0014P00003AN2FcQAL</v>
      </c>
      <c r="B26" s="2" t="s">
        <v>1681</v>
      </c>
      <c r="C26" s="2" t="s">
        <v>423</v>
      </c>
      <c r="D26" s="2" t="s">
        <v>27</v>
      </c>
      <c r="E26" s="2">
        <v>87</v>
      </c>
      <c r="F26" s="2">
        <v>10</v>
      </c>
      <c r="G26" s="2">
        <v>3</v>
      </c>
      <c r="H26" s="2">
        <v>501150</v>
      </c>
      <c r="I26" s="2">
        <v>171</v>
      </c>
      <c r="J26" s="2" t="s">
        <v>1650</v>
      </c>
      <c r="K26" s="2">
        <v>75</v>
      </c>
      <c r="L26" s="2">
        <v>25</v>
      </c>
      <c r="M26" s="2">
        <v>10</v>
      </c>
      <c r="N26" s="2">
        <v>8</v>
      </c>
      <c r="O26" s="2">
        <v>20</v>
      </c>
      <c r="P26" s="2">
        <v>12</v>
      </c>
      <c r="Q26" s="2" t="s">
        <v>91</v>
      </c>
      <c r="R26" s="2" t="s">
        <v>91</v>
      </c>
      <c r="S26" s="4">
        <v>44837</v>
      </c>
    </row>
    <row r="27" spans="1:19" ht="12.5" x14ac:dyDescent="0.25">
      <c r="A27" s="14" t="str">
        <f>HYPERLINK("https://gerandofalcoes.my.salesforce.com/0014P00003ERavoQAD", "0014P00003ERavoQAD")</f>
        <v>0014P00003ERavoQAD</v>
      </c>
      <c r="B27" s="2" t="s">
        <v>77</v>
      </c>
      <c r="C27" s="2" t="s">
        <v>423</v>
      </c>
      <c r="D27" s="2" t="s">
        <v>27</v>
      </c>
      <c r="E27" s="2">
        <v>86</v>
      </c>
      <c r="F27" s="2">
        <v>5</v>
      </c>
      <c r="G27" s="2">
        <v>4</v>
      </c>
      <c r="H27" s="2">
        <v>275378.40000000002</v>
      </c>
      <c r="I27" s="2">
        <v>184</v>
      </c>
      <c r="J27" s="2" t="s">
        <v>1650</v>
      </c>
      <c r="K27" s="2">
        <v>67</v>
      </c>
      <c r="L27" s="2">
        <v>25</v>
      </c>
      <c r="M27" s="2">
        <v>5</v>
      </c>
      <c r="N27" s="2">
        <v>10</v>
      </c>
      <c r="O27" s="2">
        <v>15</v>
      </c>
      <c r="P27" s="2">
        <v>12</v>
      </c>
      <c r="Q27" s="2" t="s">
        <v>78</v>
      </c>
      <c r="R27" s="2" t="s">
        <v>78</v>
      </c>
      <c r="S27" s="4">
        <v>44837</v>
      </c>
    </row>
    <row r="28" spans="1:19" ht="12.5" x14ac:dyDescent="0.25">
      <c r="A28" s="14" t="str">
        <f>HYPERLINK("https://gerandofalcoes.my.salesforce.com/0014P00003AN2FtQAL", "0014P00003AN2FtQAL")</f>
        <v>0014P00003AN2FtQAL</v>
      </c>
      <c r="B28" s="2" t="s">
        <v>137</v>
      </c>
      <c r="C28" s="2" t="s">
        <v>423</v>
      </c>
      <c r="D28" s="2" t="s">
        <v>27</v>
      </c>
      <c r="E28" s="2">
        <v>86</v>
      </c>
      <c r="F28" s="2">
        <v>7</v>
      </c>
      <c r="G28" s="2">
        <v>4</v>
      </c>
      <c r="H28" s="2">
        <v>67399.429999999993</v>
      </c>
      <c r="I28" s="2">
        <v>159</v>
      </c>
      <c r="J28" s="2" t="s">
        <v>1650</v>
      </c>
      <c r="K28" s="2">
        <v>67</v>
      </c>
      <c r="L28" s="2">
        <v>25</v>
      </c>
      <c r="M28" s="2">
        <v>10</v>
      </c>
      <c r="N28" s="2">
        <v>10</v>
      </c>
      <c r="O28" s="2">
        <v>10</v>
      </c>
      <c r="P28" s="2">
        <v>12</v>
      </c>
      <c r="Q28" s="2" t="s">
        <v>138</v>
      </c>
      <c r="R28" s="2" t="s">
        <v>1682</v>
      </c>
      <c r="S28" s="4">
        <v>44837</v>
      </c>
    </row>
    <row r="29" spans="1:19" ht="12.5" hidden="1" x14ac:dyDescent="0.25">
      <c r="A29" s="14" t="str">
        <f>HYPERLINK("https://gerandofalcoes.my.salesforce.com/0014P00003AN2FmQAL", "0014P00003AN2FmQAL")</f>
        <v>0014P00003AN2FmQAL</v>
      </c>
      <c r="B29" s="2" t="s">
        <v>1683</v>
      </c>
      <c r="C29" s="2" t="s">
        <v>1684</v>
      </c>
      <c r="D29" s="2" t="s">
        <v>27</v>
      </c>
      <c r="E29" s="2">
        <v>86</v>
      </c>
      <c r="F29" s="2">
        <v>30</v>
      </c>
      <c r="G29" s="2">
        <v>5</v>
      </c>
      <c r="H29" s="2">
        <v>969799.69</v>
      </c>
      <c r="I29" s="2">
        <v>111</v>
      </c>
      <c r="J29" s="2" t="s">
        <v>1654</v>
      </c>
      <c r="K29" s="2">
        <v>82</v>
      </c>
      <c r="L29" s="2">
        <v>25</v>
      </c>
      <c r="M29" s="2">
        <v>12</v>
      </c>
      <c r="N29" s="2">
        <v>10</v>
      </c>
      <c r="O29" s="2">
        <v>25</v>
      </c>
      <c r="P29" s="2">
        <v>10</v>
      </c>
      <c r="Q29" s="2" t="s">
        <v>127</v>
      </c>
      <c r="R29" s="2" t="s">
        <v>127</v>
      </c>
      <c r="S29" s="4">
        <v>44837</v>
      </c>
    </row>
    <row r="30" spans="1:19" ht="12.5" x14ac:dyDescent="0.25">
      <c r="A30" s="14" t="str">
        <f>HYPERLINK("https://gerandofalcoes.my.salesforce.com/0014P00003AN2FZQA1", "0014P00003AN2FZQA1")</f>
        <v>0014P00003AN2FZQA1</v>
      </c>
      <c r="B30" s="2" t="s">
        <v>1685</v>
      </c>
      <c r="C30" s="2" t="s">
        <v>423</v>
      </c>
      <c r="D30" s="2" t="s">
        <v>2</v>
      </c>
      <c r="E30" s="2">
        <v>85.13</v>
      </c>
      <c r="F30" s="2">
        <v>51</v>
      </c>
      <c r="G30" s="2">
        <v>8</v>
      </c>
      <c r="H30" s="2">
        <v>501000</v>
      </c>
      <c r="I30" s="2">
        <v>400</v>
      </c>
      <c r="J30" s="2" t="s">
        <v>1654</v>
      </c>
      <c r="K30" s="2">
        <v>85</v>
      </c>
      <c r="L30" s="2">
        <v>25</v>
      </c>
      <c r="M30" s="2">
        <v>15</v>
      </c>
      <c r="N30" s="2">
        <v>10</v>
      </c>
      <c r="O30" s="2">
        <v>20</v>
      </c>
      <c r="P30" s="2">
        <v>15</v>
      </c>
      <c r="Q30" s="2" t="s">
        <v>1686</v>
      </c>
      <c r="R30" s="2" t="s">
        <v>1686</v>
      </c>
      <c r="S30" s="4">
        <v>44837</v>
      </c>
    </row>
    <row r="31" spans="1:19" ht="12.5" x14ac:dyDescent="0.25">
      <c r="A31" s="14" t="str">
        <f>HYPERLINK("https://gerandofalcoes.my.salesforce.com/0014P00003AN2GKQA1", "0014P00003AN2GKQA1")</f>
        <v>0014P00003AN2GKQA1</v>
      </c>
      <c r="B31" s="2" t="s">
        <v>1687</v>
      </c>
      <c r="C31" s="2" t="s">
        <v>423</v>
      </c>
      <c r="D31" s="2" t="s">
        <v>27</v>
      </c>
      <c r="E31" s="2">
        <v>85</v>
      </c>
      <c r="F31" s="2">
        <v>22</v>
      </c>
      <c r="G31" s="2">
        <v>5</v>
      </c>
      <c r="H31" s="2">
        <v>1314918.45</v>
      </c>
      <c r="I31" s="2">
        <v>358</v>
      </c>
      <c r="J31" s="2" t="s">
        <v>1654</v>
      </c>
      <c r="K31" s="2">
        <v>87</v>
      </c>
      <c r="L31" s="2">
        <v>25</v>
      </c>
      <c r="M31" s="2">
        <v>12</v>
      </c>
      <c r="N31" s="2">
        <v>10</v>
      </c>
      <c r="O31" s="2">
        <v>25</v>
      </c>
      <c r="P31" s="2">
        <v>15</v>
      </c>
      <c r="Q31" s="2" t="s">
        <v>28</v>
      </c>
      <c r="R31" s="2" t="s">
        <v>28</v>
      </c>
      <c r="S31" s="4">
        <v>44837</v>
      </c>
    </row>
    <row r="32" spans="1:19" ht="12.5" x14ac:dyDescent="0.25">
      <c r="A32" s="14" t="str">
        <f>HYPERLINK("https://gerandofalcoes.my.salesforce.com/0014P00003AN2FsQAL", "0014P00003AN2FsQAL")</f>
        <v>0014P00003AN2FsQAL</v>
      </c>
      <c r="B32" s="2" t="s">
        <v>1688</v>
      </c>
      <c r="C32" s="2" t="s">
        <v>423</v>
      </c>
      <c r="D32" s="2" t="s">
        <v>27</v>
      </c>
      <c r="E32" s="2">
        <v>85</v>
      </c>
      <c r="F32" s="2">
        <v>6</v>
      </c>
      <c r="G32" s="2">
        <v>3</v>
      </c>
      <c r="H32" s="2">
        <v>93122.27</v>
      </c>
      <c r="I32" s="2">
        <v>206</v>
      </c>
      <c r="J32" s="2" t="s">
        <v>1650</v>
      </c>
      <c r="K32" s="2">
        <v>65</v>
      </c>
      <c r="L32" s="2">
        <v>25</v>
      </c>
      <c r="M32" s="2">
        <v>10</v>
      </c>
      <c r="N32" s="2">
        <v>8</v>
      </c>
      <c r="O32" s="2">
        <v>10</v>
      </c>
      <c r="P32" s="2">
        <v>12</v>
      </c>
      <c r="Q32" s="2" t="s">
        <v>134</v>
      </c>
      <c r="R32" s="2" t="s">
        <v>134</v>
      </c>
      <c r="S32" s="4">
        <v>44837</v>
      </c>
    </row>
    <row r="33" spans="1:19" ht="12.5" x14ac:dyDescent="0.25">
      <c r="A33" s="14" t="str">
        <f>HYPERLINK("https://gerandofalcoes.my.salesforce.com/0014P00003AN2FlQAL", "0014P00003AN2FlQAL")</f>
        <v>0014P00003AN2FlQAL</v>
      </c>
      <c r="B33" s="2" t="s">
        <v>1689</v>
      </c>
      <c r="C33" s="2" t="s">
        <v>423</v>
      </c>
      <c r="D33" s="2" t="s">
        <v>27</v>
      </c>
      <c r="E33" s="2">
        <v>85</v>
      </c>
      <c r="F33" s="2">
        <v>9</v>
      </c>
      <c r="G33" s="2">
        <v>5</v>
      </c>
      <c r="H33" s="2">
        <v>128126.51</v>
      </c>
      <c r="I33" s="2">
        <v>196</v>
      </c>
      <c r="J33" s="2" t="s">
        <v>1650</v>
      </c>
      <c r="K33" s="2">
        <v>72</v>
      </c>
      <c r="L33" s="2">
        <v>25</v>
      </c>
      <c r="M33" s="2">
        <v>10</v>
      </c>
      <c r="N33" s="2">
        <v>10</v>
      </c>
      <c r="O33" s="2">
        <v>15</v>
      </c>
      <c r="P33" s="2">
        <v>12</v>
      </c>
      <c r="Q33" s="2" t="s">
        <v>126</v>
      </c>
      <c r="R33" s="2" t="s">
        <v>1690</v>
      </c>
      <c r="S33" s="4">
        <v>44837</v>
      </c>
    </row>
    <row r="34" spans="1:19" ht="12.5" x14ac:dyDescent="0.25">
      <c r="A34" s="14" t="str">
        <f>HYPERLINK("https://gerandofalcoes.my.salesforce.com/0014P00003AN2GLQA1", "0014P00003AN2GLQA1")</f>
        <v>0014P00003AN2GLQA1</v>
      </c>
      <c r="B34" s="2" t="s">
        <v>1691</v>
      </c>
      <c r="C34" s="2" t="s">
        <v>423</v>
      </c>
      <c r="D34" s="2" t="s">
        <v>27</v>
      </c>
      <c r="E34" s="2">
        <v>85</v>
      </c>
      <c r="F34" s="2">
        <v>13</v>
      </c>
      <c r="G34" s="2">
        <v>4</v>
      </c>
      <c r="H34" s="2">
        <v>154904.04</v>
      </c>
      <c r="I34" s="2">
        <v>172</v>
      </c>
      <c r="J34" s="2" t="s">
        <v>1650</v>
      </c>
      <c r="K34" s="2">
        <v>74</v>
      </c>
      <c r="L34" s="2">
        <v>25</v>
      </c>
      <c r="M34" s="2">
        <v>12</v>
      </c>
      <c r="N34" s="2">
        <v>10</v>
      </c>
      <c r="O34" s="2">
        <v>15</v>
      </c>
      <c r="P34" s="2">
        <v>12</v>
      </c>
      <c r="Q34" s="2" t="s">
        <v>29</v>
      </c>
      <c r="R34" s="2" t="s">
        <v>29</v>
      </c>
      <c r="S34" s="4">
        <v>44837</v>
      </c>
    </row>
    <row r="35" spans="1:19" ht="12.5" x14ac:dyDescent="0.25">
      <c r="A35" s="14" t="str">
        <f>HYPERLINK("https://gerandofalcoes.my.salesforce.com/0014P00003SGWFtQAP", "0014P00003SGWFtQAP")</f>
        <v>0014P00003SGWFtQAP</v>
      </c>
      <c r="B35" s="2" t="s">
        <v>354</v>
      </c>
      <c r="C35" s="2" t="s">
        <v>423</v>
      </c>
      <c r="D35" s="2" t="s">
        <v>27</v>
      </c>
      <c r="E35" s="2">
        <v>85</v>
      </c>
      <c r="F35" s="2">
        <v>4</v>
      </c>
      <c r="G35" s="2">
        <v>1</v>
      </c>
      <c r="H35" s="2">
        <v>11500</v>
      </c>
      <c r="I35" s="2">
        <v>78</v>
      </c>
      <c r="J35" s="2" t="s">
        <v>1671</v>
      </c>
      <c r="K35" s="2">
        <v>44</v>
      </c>
      <c r="L35" s="2">
        <v>25</v>
      </c>
      <c r="M35" s="2">
        <v>5</v>
      </c>
      <c r="N35" s="2">
        <v>4</v>
      </c>
      <c r="O35" s="2">
        <v>5</v>
      </c>
      <c r="P35" s="2">
        <v>5</v>
      </c>
      <c r="Q35" s="2" t="s">
        <v>1692</v>
      </c>
      <c r="R35" s="2" t="s">
        <v>1449</v>
      </c>
      <c r="S35" s="4">
        <v>44837</v>
      </c>
    </row>
    <row r="36" spans="1:19" ht="12.5" x14ac:dyDescent="0.25">
      <c r="A36" s="14" t="str">
        <f>HYPERLINK("https://gerandofalcoes.my.salesforce.com/0014P00003SGWPhQAP", "0014P00003SGWPhQAP")</f>
        <v>0014P00003SGWPhQAP</v>
      </c>
      <c r="B36" s="2" t="s">
        <v>1693</v>
      </c>
      <c r="C36" s="2" t="s">
        <v>423</v>
      </c>
      <c r="D36" s="2" t="s">
        <v>27</v>
      </c>
      <c r="E36" s="2">
        <v>84.64</v>
      </c>
      <c r="F36" s="2">
        <v>14</v>
      </c>
      <c r="G36" s="2">
        <v>3</v>
      </c>
      <c r="H36" s="2">
        <v>173994</v>
      </c>
      <c r="I36" s="2">
        <v>310</v>
      </c>
      <c r="J36" s="2" t="s">
        <v>1650</v>
      </c>
      <c r="K36" s="2">
        <v>75</v>
      </c>
      <c r="L36" s="2">
        <v>25</v>
      </c>
      <c r="M36" s="2">
        <v>12</v>
      </c>
      <c r="N36" s="2">
        <v>8</v>
      </c>
      <c r="O36" s="2">
        <v>15</v>
      </c>
      <c r="P36" s="2">
        <v>15</v>
      </c>
      <c r="Q36" s="2" t="s">
        <v>286</v>
      </c>
      <c r="R36" s="2" t="s">
        <v>1321</v>
      </c>
      <c r="S36" s="4">
        <v>44837</v>
      </c>
    </row>
    <row r="37" spans="1:19" ht="12.5" x14ac:dyDescent="0.25">
      <c r="A37" s="14" t="str">
        <f>HYPERLINK("https://gerandofalcoes.my.salesforce.com/0014P00003SGWPpQAP", "0014P00003SGWPpQAP")</f>
        <v>0014P00003SGWPpQAP</v>
      </c>
      <c r="B37" s="2" t="s">
        <v>1694</v>
      </c>
      <c r="C37" s="2" t="s">
        <v>423</v>
      </c>
      <c r="D37" s="2" t="s">
        <v>27</v>
      </c>
      <c r="E37" s="2">
        <v>84.52</v>
      </c>
      <c r="F37" s="2">
        <v>1</v>
      </c>
      <c r="G37" s="2">
        <v>5</v>
      </c>
      <c r="H37" s="2">
        <v>36000</v>
      </c>
      <c r="I37" s="2">
        <v>80</v>
      </c>
      <c r="J37" s="2" t="s">
        <v>1671</v>
      </c>
      <c r="K37" s="2">
        <v>60</v>
      </c>
      <c r="L37" s="2">
        <v>25</v>
      </c>
      <c r="M37" s="2">
        <v>5</v>
      </c>
      <c r="N37" s="2">
        <v>10</v>
      </c>
      <c r="O37" s="2">
        <v>10</v>
      </c>
      <c r="P37" s="2">
        <v>10</v>
      </c>
      <c r="Q37" s="2" t="s">
        <v>323</v>
      </c>
      <c r="R37" s="2" t="s">
        <v>1402</v>
      </c>
      <c r="S37" s="4">
        <v>44837</v>
      </c>
    </row>
    <row r="38" spans="1:19" ht="12.5" x14ac:dyDescent="0.25">
      <c r="A38" s="14" t="str">
        <f>HYPERLINK("https://gerandofalcoes.my.salesforce.com/0014P00003YSp99QAD", "0014P00003YSp99QAD")</f>
        <v>0014P00003YSp99QAD</v>
      </c>
      <c r="B38" s="2" t="s">
        <v>1695</v>
      </c>
      <c r="C38" s="2" t="s">
        <v>423</v>
      </c>
      <c r="D38" s="2" t="s">
        <v>2</v>
      </c>
      <c r="E38" s="2">
        <v>84.43</v>
      </c>
      <c r="F38" s="2">
        <v>0</v>
      </c>
      <c r="G38" s="2">
        <v>5</v>
      </c>
      <c r="H38" s="2">
        <v>68450</v>
      </c>
      <c r="I38" s="2">
        <v>204</v>
      </c>
      <c r="J38" s="2" t="s">
        <v>1671</v>
      </c>
      <c r="K38" s="2">
        <v>57</v>
      </c>
      <c r="L38" s="2">
        <v>25</v>
      </c>
      <c r="M38" s="2">
        <v>0</v>
      </c>
      <c r="N38" s="2">
        <v>10</v>
      </c>
      <c r="O38" s="2">
        <v>10</v>
      </c>
      <c r="P38" s="2">
        <v>12</v>
      </c>
      <c r="Q38" s="2" t="s">
        <v>1696</v>
      </c>
      <c r="R38" s="2" t="s">
        <v>1697</v>
      </c>
      <c r="S38" s="4">
        <v>44837</v>
      </c>
    </row>
    <row r="39" spans="1:19" ht="12.5" x14ac:dyDescent="0.25">
      <c r="A39" s="14" t="str">
        <f>HYPERLINK("https://gerandofalcoes.my.salesforce.com/0014P00003AN2h4QAD", "0014P00003AN2h4QAD")</f>
        <v>0014P00003AN2h4QAD</v>
      </c>
      <c r="B39" s="2" t="s">
        <v>1698</v>
      </c>
      <c r="C39" s="2" t="s">
        <v>423</v>
      </c>
      <c r="D39" s="2" t="s">
        <v>2</v>
      </c>
      <c r="E39" s="2">
        <v>84.3</v>
      </c>
      <c r="F39" s="2">
        <v>10</v>
      </c>
      <c r="G39" s="2">
        <v>5</v>
      </c>
      <c r="H39" s="2">
        <v>450000</v>
      </c>
      <c r="I39" s="2">
        <v>106</v>
      </c>
      <c r="J39" s="2" t="s">
        <v>1650</v>
      </c>
      <c r="K39" s="2">
        <v>75</v>
      </c>
      <c r="L39" s="2">
        <v>25</v>
      </c>
      <c r="M39" s="2">
        <v>10</v>
      </c>
      <c r="N39" s="2">
        <v>10</v>
      </c>
      <c r="O39" s="2">
        <v>20</v>
      </c>
      <c r="P39" s="2">
        <v>10</v>
      </c>
      <c r="Q39" s="2" t="s">
        <v>595</v>
      </c>
      <c r="R39" s="2" t="s">
        <v>595</v>
      </c>
      <c r="S39" s="4">
        <v>44837</v>
      </c>
    </row>
    <row r="40" spans="1:19" ht="12.5" x14ac:dyDescent="0.25">
      <c r="A40" s="14" t="str">
        <f>HYPERLINK("https://gerandofalcoes.my.salesforce.com/0014P00003AN2G0QAL", "0014P00003AN2G0QAL")</f>
        <v>0014P00003AN2G0QAL</v>
      </c>
      <c r="B40" s="2" t="s">
        <v>146</v>
      </c>
      <c r="C40" s="2" t="s">
        <v>423</v>
      </c>
      <c r="D40" s="2" t="s">
        <v>27</v>
      </c>
      <c r="E40" s="2">
        <v>83</v>
      </c>
      <c r="F40" s="2">
        <v>7</v>
      </c>
      <c r="G40" s="2">
        <v>3</v>
      </c>
      <c r="H40" s="2">
        <v>31263.49</v>
      </c>
      <c r="I40" s="2">
        <v>71</v>
      </c>
      <c r="J40" s="2" t="s">
        <v>1671</v>
      </c>
      <c r="K40" s="2">
        <v>58</v>
      </c>
      <c r="L40" s="2">
        <v>25</v>
      </c>
      <c r="M40" s="2">
        <v>10</v>
      </c>
      <c r="N40" s="2">
        <v>8</v>
      </c>
      <c r="O40" s="2">
        <v>10</v>
      </c>
      <c r="P40" s="2">
        <v>5</v>
      </c>
      <c r="Q40" s="2" t="s">
        <v>1699</v>
      </c>
      <c r="R40" s="2" t="s">
        <v>1699</v>
      </c>
      <c r="S40" s="4">
        <v>44837</v>
      </c>
    </row>
    <row r="41" spans="1:19" ht="12.5" x14ac:dyDescent="0.25">
      <c r="A41" s="14" t="str">
        <f>HYPERLINK("https://gerandofalcoes.my.salesforce.com/0014P00003SGWPPQA5", "0014P00003SGWPPQA5")</f>
        <v>0014P00003SGWPPQA5</v>
      </c>
      <c r="B41" s="2" t="s">
        <v>1700</v>
      </c>
      <c r="C41" s="2" t="s">
        <v>423</v>
      </c>
      <c r="D41" s="2" t="s">
        <v>27</v>
      </c>
      <c r="E41" s="2">
        <v>82.37</v>
      </c>
      <c r="F41" s="2">
        <v>10</v>
      </c>
      <c r="G41" s="2">
        <v>2</v>
      </c>
      <c r="H41" s="2">
        <v>60000</v>
      </c>
      <c r="I41" s="2">
        <v>120</v>
      </c>
      <c r="J41" s="2" t="s">
        <v>1671</v>
      </c>
      <c r="K41" s="2">
        <v>61</v>
      </c>
      <c r="L41" s="2">
        <v>25</v>
      </c>
      <c r="M41" s="2">
        <v>10</v>
      </c>
      <c r="N41" s="2">
        <v>6</v>
      </c>
      <c r="O41" s="2">
        <v>10</v>
      </c>
      <c r="P41" s="2">
        <v>10</v>
      </c>
      <c r="Q41" s="2" t="s">
        <v>366</v>
      </c>
      <c r="R41" s="2" t="s">
        <v>1557</v>
      </c>
      <c r="S41" s="4">
        <v>44837</v>
      </c>
    </row>
    <row r="42" spans="1:19" ht="12.5" x14ac:dyDescent="0.25">
      <c r="A42" s="14" t="str">
        <f>HYPERLINK("https://gerandofalcoes.my.salesforce.com/0014X00002QTry4QAD", "0014X00002QTry4QAD")</f>
        <v>0014X00002QTry4QAD</v>
      </c>
      <c r="B42" s="2" t="s">
        <v>1701</v>
      </c>
      <c r="C42" s="2" t="s">
        <v>423</v>
      </c>
      <c r="D42" s="2" t="s">
        <v>27</v>
      </c>
      <c r="E42" s="2">
        <v>82.02</v>
      </c>
      <c r="F42" s="2">
        <v>0</v>
      </c>
      <c r="G42" s="2">
        <v>3</v>
      </c>
      <c r="H42" s="2">
        <v>350</v>
      </c>
      <c r="I42" s="2">
        <v>40</v>
      </c>
      <c r="J42" s="2" t="s">
        <v>1671</v>
      </c>
      <c r="K42" s="2">
        <v>43</v>
      </c>
      <c r="L42" s="2">
        <v>25</v>
      </c>
      <c r="M42" s="2">
        <v>0</v>
      </c>
      <c r="N42" s="2">
        <v>8</v>
      </c>
      <c r="O42" s="2">
        <v>5</v>
      </c>
      <c r="P42" s="2">
        <v>5</v>
      </c>
      <c r="Q42" s="2" t="s">
        <v>1702</v>
      </c>
      <c r="R42" s="2" t="s">
        <v>1703</v>
      </c>
      <c r="S42" s="4">
        <v>44837</v>
      </c>
    </row>
    <row r="43" spans="1:19" ht="12.5" x14ac:dyDescent="0.25">
      <c r="A43" s="14" t="str">
        <f>HYPERLINK("https://gerandofalcoes.my.salesforce.com/0014P00003AN2G6QAL", "0014P00003AN2G6QAL")</f>
        <v>0014P00003AN2G6QAL</v>
      </c>
      <c r="B43" s="2" t="s">
        <v>1704</v>
      </c>
      <c r="C43" s="2" t="s">
        <v>423</v>
      </c>
      <c r="D43" s="2" t="s">
        <v>27</v>
      </c>
      <c r="E43" s="2">
        <v>82</v>
      </c>
      <c r="F43" s="2">
        <v>11</v>
      </c>
      <c r="G43" s="2">
        <v>3</v>
      </c>
      <c r="H43" s="2">
        <v>62859.59</v>
      </c>
      <c r="I43" s="2">
        <v>282</v>
      </c>
      <c r="J43" s="2" t="s">
        <v>1650</v>
      </c>
      <c r="K43" s="2">
        <v>67</v>
      </c>
      <c r="L43" s="2">
        <v>25</v>
      </c>
      <c r="M43" s="2">
        <v>12</v>
      </c>
      <c r="N43" s="2">
        <v>8</v>
      </c>
      <c r="O43" s="2">
        <v>10</v>
      </c>
      <c r="P43" s="2">
        <v>12</v>
      </c>
      <c r="Q43" s="2" t="s">
        <v>157</v>
      </c>
      <c r="R43" s="2" t="s">
        <v>157</v>
      </c>
      <c r="S43" s="4">
        <v>44837</v>
      </c>
    </row>
    <row r="44" spans="1:19" ht="12.5" x14ac:dyDescent="0.25">
      <c r="A44" s="14" t="str">
        <f>HYPERLINK("https://gerandofalcoes.my.salesforce.com/0014P00003SGWPoQAP", "0014P00003SGWPoQAP")</f>
        <v>0014P00003SGWPoQAP</v>
      </c>
      <c r="B44" s="2" t="s">
        <v>1705</v>
      </c>
      <c r="C44" s="2" t="s">
        <v>423</v>
      </c>
      <c r="D44" s="2" t="s">
        <v>27</v>
      </c>
      <c r="E44" s="2">
        <v>81.87</v>
      </c>
      <c r="F44" s="2">
        <v>0</v>
      </c>
      <c r="G44" s="2">
        <v>2</v>
      </c>
      <c r="H44" s="2">
        <v>1000</v>
      </c>
      <c r="I44" s="2">
        <v>120</v>
      </c>
      <c r="J44" s="2" t="s">
        <v>1671</v>
      </c>
      <c r="K44" s="2">
        <v>46</v>
      </c>
      <c r="L44" s="2">
        <v>25</v>
      </c>
      <c r="M44" s="2">
        <v>0</v>
      </c>
      <c r="N44" s="2">
        <v>6</v>
      </c>
      <c r="O44" s="2">
        <v>5</v>
      </c>
      <c r="P44" s="2">
        <v>10</v>
      </c>
      <c r="Q44" s="2" t="s">
        <v>321</v>
      </c>
      <c r="R44" s="2" t="s">
        <v>1706</v>
      </c>
      <c r="S44" s="4">
        <v>44837</v>
      </c>
    </row>
    <row r="45" spans="1:19" ht="12.5" x14ac:dyDescent="0.25">
      <c r="A45" s="14" t="str">
        <f>HYPERLINK("https://gerandofalcoes.my.salesforce.com/0014P00003AN2GDQA1", "0014P00003AN2GDQA1")</f>
        <v>0014P00003AN2GDQA1</v>
      </c>
      <c r="B45" s="2" t="s">
        <v>1707</v>
      </c>
      <c r="C45" s="2" t="s">
        <v>423</v>
      </c>
      <c r="D45" s="2" t="s">
        <v>27</v>
      </c>
      <c r="E45" s="2">
        <v>80.319999999999993</v>
      </c>
      <c r="F45" s="2">
        <v>5</v>
      </c>
      <c r="G45" s="2">
        <v>2</v>
      </c>
      <c r="H45" s="2">
        <v>77000</v>
      </c>
      <c r="I45" s="2">
        <v>157</v>
      </c>
      <c r="J45" s="2" t="s">
        <v>1671</v>
      </c>
      <c r="K45" s="2">
        <v>58</v>
      </c>
      <c r="L45" s="2">
        <v>25</v>
      </c>
      <c r="M45" s="2">
        <v>5</v>
      </c>
      <c r="N45" s="2">
        <v>6</v>
      </c>
      <c r="O45" s="2">
        <v>10</v>
      </c>
      <c r="P45" s="2">
        <v>12</v>
      </c>
      <c r="Q45" s="2" t="s">
        <v>987</v>
      </c>
      <c r="R45" s="2" t="s">
        <v>987</v>
      </c>
      <c r="S45" s="4">
        <v>44837</v>
      </c>
    </row>
    <row r="46" spans="1:19" ht="12.5" x14ac:dyDescent="0.25">
      <c r="A46" s="14" t="str">
        <f>HYPERLINK("https://gerandofalcoes.my.salesforce.com/0014P00003SGWPzQAP", "0014P00003SGWPzQAP")</f>
        <v>0014P00003SGWPzQAP</v>
      </c>
      <c r="B46" s="2" t="s">
        <v>1708</v>
      </c>
      <c r="C46" s="2" t="s">
        <v>423</v>
      </c>
      <c r="D46" s="2" t="s">
        <v>2</v>
      </c>
      <c r="E46" s="2">
        <v>79.64</v>
      </c>
      <c r="F46" s="2">
        <v>10</v>
      </c>
      <c r="G46" s="2">
        <v>3</v>
      </c>
      <c r="H46" s="2">
        <v>330138</v>
      </c>
      <c r="I46" s="2">
        <v>100</v>
      </c>
      <c r="J46" s="2" t="s">
        <v>1650</v>
      </c>
      <c r="K46" s="2">
        <v>73</v>
      </c>
      <c r="L46" s="2">
        <v>25</v>
      </c>
      <c r="M46" s="2">
        <v>10</v>
      </c>
      <c r="N46" s="2">
        <v>8</v>
      </c>
      <c r="O46" s="2">
        <v>20</v>
      </c>
      <c r="P46" s="2">
        <v>10</v>
      </c>
      <c r="Q46" s="2" t="s">
        <v>1709</v>
      </c>
      <c r="R46" s="2" t="s">
        <v>199</v>
      </c>
      <c r="S46" s="4">
        <v>44837</v>
      </c>
    </row>
    <row r="47" spans="1:19" ht="12.5" x14ac:dyDescent="0.25">
      <c r="A47" s="14" t="str">
        <f>HYPERLINK("https://gerandofalcoes.my.salesforce.com/0014P00003AN2GOQA1", "0014P00003AN2GOQA1")</f>
        <v>0014P00003AN2GOQA1</v>
      </c>
      <c r="B47" s="2" t="s">
        <v>1710</v>
      </c>
      <c r="C47" s="2" t="s">
        <v>423</v>
      </c>
      <c r="D47" s="2" t="s">
        <v>27</v>
      </c>
      <c r="E47" s="2">
        <v>79</v>
      </c>
      <c r="F47" s="2">
        <v>10</v>
      </c>
      <c r="G47" s="2">
        <v>3</v>
      </c>
      <c r="H47" s="2">
        <v>230836.02</v>
      </c>
      <c r="I47" s="2">
        <v>124</v>
      </c>
      <c r="J47" s="2" t="s">
        <v>1650</v>
      </c>
      <c r="K47" s="2">
        <v>68</v>
      </c>
      <c r="L47" s="2">
        <v>25</v>
      </c>
      <c r="M47" s="2">
        <v>10</v>
      </c>
      <c r="N47" s="2">
        <v>8</v>
      </c>
      <c r="O47" s="2">
        <v>15</v>
      </c>
      <c r="P47" s="2">
        <v>10</v>
      </c>
      <c r="Q47" s="2" t="s">
        <v>46</v>
      </c>
      <c r="R47" s="2" t="s">
        <v>1711</v>
      </c>
      <c r="S47" s="4">
        <v>44837</v>
      </c>
    </row>
    <row r="48" spans="1:19" ht="12.5" x14ac:dyDescent="0.25">
      <c r="A48" s="14" t="str">
        <f>HYPERLINK("https://gerandofalcoes.my.salesforce.com/0014P00003AN2G5QAL", "0014P00003AN2G5QAL")</f>
        <v>0014P00003AN2G5QAL</v>
      </c>
      <c r="B48" s="2" t="s">
        <v>1712</v>
      </c>
      <c r="C48" s="2" t="s">
        <v>423</v>
      </c>
      <c r="D48" s="2" t="s">
        <v>27</v>
      </c>
      <c r="E48" s="2">
        <v>78</v>
      </c>
      <c r="F48" s="2">
        <v>19</v>
      </c>
      <c r="G48" s="2">
        <v>3</v>
      </c>
      <c r="H48" s="2">
        <v>1912288.57</v>
      </c>
      <c r="I48" s="2">
        <v>193</v>
      </c>
      <c r="J48" s="2" t="s">
        <v>1654</v>
      </c>
      <c r="K48" s="2">
        <v>82</v>
      </c>
      <c r="L48" s="2">
        <v>25</v>
      </c>
      <c r="M48" s="2">
        <v>12</v>
      </c>
      <c r="N48" s="2">
        <v>8</v>
      </c>
      <c r="O48" s="2">
        <v>25</v>
      </c>
      <c r="P48" s="2">
        <v>12</v>
      </c>
      <c r="Q48" s="2" t="s">
        <v>156</v>
      </c>
      <c r="R48" s="2" t="s">
        <v>156</v>
      </c>
      <c r="S48" s="4">
        <v>44837</v>
      </c>
    </row>
    <row r="49" spans="1:19" ht="12.5" x14ac:dyDescent="0.25">
      <c r="A49" s="14" t="str">
        <f>HYPERLINK("https://gerandofalcoes.my.salesforce.com/0014P00003YSp8fQAD", "0014P00003YSp8fQAD")</f>
        <v>0014P00003YSp8fQAD</v>
      </c>
      <c r="B49" s="2" t="s">
        <v>1713</v>
      </c>
      <c r="C49" s="2" t="s">
        <v>423</v>
      </c>
      <c r="D49" s="2" t="s">
        <v>2</v>
      </c>
      <c r="E49" s="2">
        <v>77.38</v>
      </c>
      <c r="F49" s="2">
        <v>7</v>
      </c>
      <c r="G49" s="2">
        <v>5</v>
      </c>
      <c r="H49" s="2">
        <v>19685789</v>
      </c>
      <c r="I49" s="2">
        <v>215</v>
      </c>
      <c r="J49" s="2" t="s">
        <v>1654</v>
      </c>
      <c r="K49" s="2">
        <v>82</v>
      </c>
      <c r="L49" s="2">
        <v>25</v>
      </c>
      <c r="M49" s="2">
        <v>10</v>
      </c>
      <c r="N49" s="2">
        <v>10</v>
      </c>
      <c r="O49" s="2">
        <v>25</v>
      </c>
      <c r="P49" s="2">
        <v>12</v>
      </c>
      <c r="Q49" s="2" t="s">
        <v>1714</v>
      </c>
      <c r="R49" s="2" t="s">
        <v>1715</v>
      </c>
      <c r="S49" s="4">
        <v>44837</v>
      </c>
    </row>
    <row r="50" spans="1:19" ht="12.5" x14ac:dyDescent="0.25">
      <c r="A50" s="14" t="str">
        <f>HYPERLINK("https://gerandofalcoes.my.salesforce.com/0014P00003AN76yQAD", "0014P00003AN76yQAD")</f>
        <v>0014P00003AN76yQAD</v>
      </c>
      <c r="B50" s="2" t="s">
        <v>49</v>
      </c>
      <c r="C50" s="2" t="s">
        <v>423</v>
      </c>
      <c r="D50" s="2" t="s">
        <v>27</v>
      </c>
      <c r="E50" s="2">
        <v>77.38</v>
      </c>
      <c r="F50" s="2">
        <v>6</v>
      </c>
      <c r="G50" s="2">
        <v>2</v>
      </c>
      <c r="H50" s="2">
        <v>80000</v>
      </c>
      <c r="I50" s="2">
        <v>80</v>
      </c>
      <c r="J50" s="2" t="s">
        <v>1671</v>
      </c>
      <c r="K50" s="2">
        <v>61</v>
      </c>
      <c r="L50" s="2">
        <v>25</v>
      </c>
      <c r="M50" s="2">
        <v>10</v>
      </c>
      <c r="N50" s="2">
        <v>6</v>
      </c>
      <c r="O50" s="2">
        <v>10</v>
      </c>
      <c r="P50" s="2">
        <v>10</v>
      </c>
      <c r="Q50" s="2" t="s">
        <v>1716</v>
      </c>
      <c r="R50" s="2" t="s">
        <v>1716</v>
      </c>
      <c r="S50" s="4">
        <v>44837</v>
      </c>
    </row>
    <row r="51" spans="1:19" ht="12.5" x14ac:dyDescent="0.25">
      <c r="A51" s="14" t="str">
        <f>HYPERLINK("https://gerandofalcoes.my.salesforce.com/0014X00002PUOZAQA5", "0014X00002PUOZAQA5")</f>
        <v>0014X00002PUOZAQA5</v>
      </c>
      <c r="B51" s="2" t="s">
        <v>1717</v>
      </c>
      <c r="C51" s="2" t="s">
        <v>423</v>
      </c>
      <c r="D51" s="2" t="s">
        <v>2</v>
      </c>
      <c r="E51" s="2">
        <v>76.81</v>
      </c>
      <c r="F51" s="2">
        <v>0</v>
      </c>
      <c r="G51" s="2">
        <v>3</v>
      </c>
      <c r="H51" s="2">
        <v>286000</v>
      </c>
      <c r="I51" s="2">
        <v>127</v>
      </c>
      <c r="J51" s="2" t="s">
        <v>1671</v>
      </c>
      <c r="K51" s="2">
        <v>58</v>
      </c>
      <c r="L51" s="2">
        <v>25</v>
      </c>
      <c r="M51" s="2">
        <v>0</v>
      </c>
      <c r="N51" s="2">
        <v>8</v>
      </c>
      <c r="O51" s="2">
        <v>15</v>
      </c>
      <c r="P51" s="2">
        <v>10</v>
      </c>
      <c r="Q51" s="2" t="s">
        <v>1718</v>
      </c>
      <c r="R51" s="2" t="s">
        <v>1718</v>
      </c>
      <c r="S51" s="4">
        <v>44837</v>
      </c>
    </row>
    <row r="52" spans="1:19" ht="12.5" x14ac:dyDescent="0.25">
      <c r="A52" s="14" t="str">
        <f>HYPERLINK("https://gerandofalcoes.my.salesforce.com/0014P00003ESKdlQAH", "0014P00003ESKdlQAH")</f>
        <v>0014P00003ESKdlQAH</v>
      </c>
      <c r="B52" s="2" t="s">
        <v>1719</v>
      </c>
      <c r="C52" s="2" t="s">
        <v>423</v>
      </c>
      <c r="D52" s="2" t="s">
        <v>2</v>
      </c>
      <c r="E52" s="2">
        <v>76</v>
      </c>
      <c r="F52" s="2">
        <v>0</v>
      </c>
      <c r="G52" s="2">
        <v>3</v>
      </c>
      <c r="H52" s="2">
        <v>97514224</v>
      </c>
      <c r="I52" s="2">
        <v>500</v>
      </c>
      <c r="J52" s="2" t="s">
        <v>1650</v>
      </c>
      <c r="K52" s="2">
        <v>78</v>
      </c>
      <c r="L52" s="2">
        <v>25</v>
      </c>
      <c r="M52" s="2">
        <v>0</v>
      </c>
      <c r="N52" s="2">
        <v>8</v>
      </c>
      <c r="O52" s="2">
        <v>25</v>
      </c>
      <c r="P52" s="2">
        <v>20</v>
      </c>
      <c r="Q52" s="2" t="s">
        <v>898</v>
      </c>
      <c r="R52" s="2" t="s">
        <v>898</v>
      </c>
      <c r="S52" s="4">
        <v>44837</v>
      </c>
    </row>
    <row r="53" spans="1:19" ht="12.5" x14ac:dyDescent="0.25">
      <c r="A53" s="14" t="str">
        <f>HYPERLINK("https://gerandofalcoes.my.salesforce.com/0014P00003AN2GJQA1", "0014P00003AN2GJQA1")</f>
        <v>0014P00003AN2GJQA1</v>
      </c>
      <c r="B53" s="2" t="s">
        <v>1720</v>
      </c>
      <c r="C53" s="2" t="s">
        <v>423</v>
      </c>
      <c r="D53" s="2" t="s">
        <v>27</v>
      </c>
      <c r="E53" s="2">
        <v>76</v>
      </c>
      <c r="F53" s="2">
        <v>10</v>
      </c>
      <c r="G53" s="2">
        <v>2</v>
      </c>
      <c r="H53" s="2">
        <v>786451.23</v>
      </c>
      <c r="I53" s="2">
        <v>99</v>
      </c>
      <c r="J53" s="2" t="s">
        <v>1650</v>
      </c>
      <c r="K53" s="2">
        <v>71</v>
      </c>
      <c r="L53" s="2">
        <v>25</v>
      </c>
      <c r="M53" s="2">
        <v>10</v>
      </c>
      <c r="N53" s="2">
        <v>6</v>
      </c>
      <c r="O53" s="2">
        <v>20</v>
      </c>
      <c r="P53" s="2">
        <v>10</v>
      </c>
      <c r="Q53" s="2" t="s">
        <v>35</v>
      </c>
      <c r="R53" s="2" t="s">
        <v>1721</v>
      </c>
      <c r="S53" s="4">
        <v>44837</v>
      </c>
    </row>
    <row r="54" spans="1:19" ht="12.5" x14ac:dyDescent="0.25">
      <c r="A54" s="14" t="str">
        <f>HYPERLINK("https://gerandofalcoes.my.salesforce.com/0014P00003AN72DQAT", "0014P00003AN72DQAT")</f>
        <v>0014P00003AN72DQAT</v>
      </c>
      <c r="B54" s="2" t="s">
        <v>1722</v>
      </c>
      <c r="C54" s="2" t="s">
        <v>423</v>
      </c>
      <c r="D54" s="2" t="s">
        <v>2</v>
      </c>
      <c r="E54" s="2">
        <v>74</v>
      </c>
      <c r="F54" s="2">
        <v>35</v>
      </c>
      <c r="G54" s="2">
        <v>5</v>
      </c>
      <c r="H54" s="2">
        <v>1000000</v>
      </c>
      <c r="I54" s="2">
        <v>506</v>
      </c>
      <c r="J54" s="2" t="s">
        <v>1654</v>
      </c>
      <c r="K54" s="2">
        <v>90</v>
      </c>
      <c r="L54" s="2">
        <v>20</v>
      </c>
      <c r="M54" s="2">
        <v>15</v>
      </c>
      <c r="N54" s="2">
        <v>10</v>
      </c>
      <c r="O54" s="2">
        <v>25</v>
      </c>
      <c r="P54" s="2">
        <v>20</v>
      </c>
      <c r="Q54" s="2" t="s">
        <v>565</v>
      </c>
      <c r="R54" s="2" t="s">
        <v>565</v>
      </c>
      <c r="S54" s="4">
        <v>44837</v>
      </c>
    </row>
    <row r="55" spans="1:19" ht="12.5" x14ac:dyDescent="0.25">
      <c r="A55" s="14" t="str">
        <f>HYPERLINK("https://gerandofalcoes.my.salesforce.com/0014P00003AN2FwQAL", "0014P00003AN2FwQAL")</f>
        <v>0014P00003AN2FwQAL</v>
      </c>
      <c r="B55" s="2" t="s">
        <v>115</v>
      </c>
      <c r="C55" s="2" t="s">
        <v>423</v>
      </c>
      <c r="D55" s="2" t="s">
        <v>27</v>
      </c>
      <c r="E55" s="2">
        <v>73</v>
      </c>
      <c r="F55" s="2">
        <v>15</v>
      </c>
      <c r="G55" s="2">
        <v>1</v>
      </c>
      <c r="H55" s="2">
        <v>65923</v>
      </c>
      <c r="I55" s="2">
        <v>77</v>
      </c>
      <c r="J55" s="2" t="s">
        <v>1671</v>
      </c>
      <c r="K55" s="2">
        <v>51</v>
      </c>
      <c r="L55" s="2">
        <v>20</v>
      </c>
      <c r="M55" s="2">
        <v>12</v>
      </c>
      <c r="N55" s="2">
        <v>4</v>
      </c>
      <c r="O55" s="2">
        <v>10</v>
      </c>
      <c r="P55" s="2">
        <v>5</v>
      </c>
      <c r="Q55" s="2" t="s">
        <v>116</v>
      </c>
      <c r="R55" s="2" t="s">
        <v>1723</v>
      </c>
      <c r="S55" s="4">
        <v>44837</v>
      </c>
    </row>
    <row r="56" spans="1:19" ht="12.5" x14ac:dyDescent="0.25">
      <c r="A56" s="14" t="str">
        <f>HYPERLINK("https://gerandofalcoes.my.salesforce.com/0014X00002VKCrZQAX", "0014X00002VKCrZQAX")</f>
        <v>0014X00002VKCrZQAX</v>
      </c>
      <c r="B56" s="2" t="s">
        <v>1724</v>
      </c>
      <c r="C56" s="2" t="s">
        <v>423</v>
      </c>
      <c r="D56" s="2" t="s">
        <v>2</v>
      </c>
      <c r="E56" s="2">
        <v>72.430000000000007</v>
      </c>
      <c r="F56" s="2">
        <v>5</v>
      </c>
      <c r="G56" s="2">
        <v>7</v>
      </c>
      <c r="H56" s="2">
        <v>701915</v>
      </c>
      <c r="I56" s="2">
        <v>259</v>
      </c>
      <c r="J56" s="2" t="s">
        <v>1650</v>
      </c>
      <c r="K56" s="2">
        <v>67</v>
      </c>
      <c r="L56" s="2">
        <v>20</v>
      </c>
      <c r="M56" s="2">
        <v>5</v>
      </c>
      <c r="N56" s="2">
        <v>10</v>
      </c>
      <c r="O56" s="2">
        <v>20</v>
      </c>
      <c r="P56" s="2">
        <v>12</v>
      </c>
      <c r="Q56" s="2" t="s">
        <v>1725</v>
      </c>
      <c r="R56" s="2" t="s">
        <v>1726</v>
      </c>
      <c r="S56" s="4">
        <v>44837</v>
      </c>
    </row>
    <row r="57" spans="1:19" ht="12.5" x14ac:dyDescent="0.25">
      <c r="A57" s="14" t="str">
        <f>HYPERLINK("https://gerandofalcoes.my.salesforce.com/0014P00003YSp83QAD", "0014P00003YSp83QAD")</f>
        <v>0014P00003YSp83QAD</v>
      </c>
      <c r="B57" s="2" t="s">
        <v>1727</v>
      </c>
      <c r="C57" s="2" t="s">
        <v>423</v>
      </c>
      <c r="D57" s="2" t="s">
        <v>2</v>
      </c>
      <c r="E57" s="2">
        <v>71.08</v>
      </c>
      <c r="F57" s="2">
        <v>3</v>
      </c>
      <c r="G57" s="2">
        <v>2</v>
      </c>
      <c r="H57" s="2">
        <v>15844866</v>
      </c>
      <c r="I57" s="2">
        <v>502</v>
      </c>
      <c r="J57" s="2" t="s">
        <v>1650</v>
      </c>
      <c r="K57" s="2">
        <v>76</v>
      </c>
      <c r="L57" s="2">
        <v>20</v>
      </c>
      <c r="M57" s="2">
        <v>5</v>
      </c>
      <c r="N57" s="2">
        <v>6</v>
      </c>
      <c r="O57" s="2">
        <v>25</v>
      </c>
      <c r="P57" s="2">
        <v>20</v>
      </c>
      <c r="Q57" s="2" t="s">
        <v>1728</v>
      </c>
      <c r="R57" s="2" t="s">
        <v>1729</v>
      </c>
      <c r="S57" s="4">
        <v>44837</v>
      </c>
    </row>
    <row r="58" spans="1:19" ht="12.5" x14ac:dyDescent="0.25">
      <c r="A58" s="14" t="str">
        <f>HYPERLINK("https://gerandofalcoes.my.salesforce.com/0014P00003AN2GMQA1", "0014P00003AN2GMQA1")</f>
        <v>0014P00003AN2GMQA1</v>
      </c>
      <c r="B58" s="2" t="s">
        <v>1730</v>
      </c>
      <c r="C58" s="2" t="s">
        <v>423</v>
      </c>
      <c r="D58" s="2" t="s">
        <v>27</v>
      </c>
      <c r="E58" s="2">
        <v>71</v>
      </c>
      <c r="F58" s="2">
        <v>7</v>
      </c>
      <c r="G58" s="2">
        <v>2</v>
      </c>
      <c r="H58" s="2">
        <v>225804.57</v>
      </c>
      <c r="I58" s="2">
        <v>93</v>
      </c>
      <c r="J58" s="2" t="s">
        <v>1671</v>
      </c>
      <c r="K58" s="2">
        <v>61</v>
      </c>
      <c r="L58" s="2">
        <v>20</v>
      </c>
      <c r="M58" s="2">
        <v>10</v>
      </c>
      <c r="N58" s="2">
        <v>6</v>
      </c>
      <c r="O58" s="2">
        <v>15</v>
      </c>
      <c r="P58" s="2">
        <v>10</v>
      </c>
      <c r="Q58" s="2" t="s">
        <v>39</v>
      </c>
      <c r="R58" s="2" t="s">
        <v>39</v>
      </c>
      <c r="S58" s="4">
        <v>44837</v>
      </c>
    </row>
    <row r="59" spans="1:19" ht="12.5" x14ac:dyDescent="0.25">
      <c r="A59" s="14" t="str">
        <f>HYPERLINK("https://gerandofalcoes.my.salesforce.com/0014X00002VKCpdQAH", "0014X00002VKCpdQAH")</f>
        <v>0014X00002VKCpdQAH</v>
      </c>
      <c r="B59" s="2" t="s">
        <v>1731</v>
      </c>
      <c r="C59" s="2" t="s">
        <v>423</v>
      </c>
      <c r="D59" s="2" t="s">
        <v>2</v>
      </c>
      <c r="E59" s="2">
        <v>70.47</v>
      </c>
      <c r="F59" s="2">
        <v>22</v>
      </c>
      <c r="G59" s="2">
        <v>3</v>
      </c>
      <c r="H59" s="2">
        <v>1200000</v>
      </c>
      <c r="I59" s="2">
        <v>520</v>
      </c>
      <c r="J59" s="2" t="s">
        <v>1654</v>
      </c>
      <c r="K59" s="2">
        <v>85</v>
      </c>
      <c r="L59" s="2">
        <v>20</v>
      </c>
      <c r="M59" s="2">
        <v>12</v>
      </c>
      <c r="N59" s="2">
        <v>8</v>
      </c>
      <c r="O59" s="2">
        <v>25</v>
      </c>
      <c r="P59" s="2">
        <v>20</v>
      </c>
      <c r="Q59" s="2" t="s">
        <v>1732</v>
      </c>
      <c r="R59" s="2" t="s">
        <v>1733</v>
      </c>
      <c r="S59" s="4">
        <v>44837</v>
      </c>
    </row>
    <row r="60" spans="1:19" ht="12.5" x14ac:dyDescent="0.25">
      <c r="A60" s="14" t="str">
        <f>HYPERLINK("https://gerandofalcoes.my.salesforce.com/0014P00003Ck8NjQAJ", "0014P00003Ck8NjQAJ")</f>
        <v>0014P00003Ck8NjQAJ</v>
      </c>
      <c r="B60" s="2" t="s">
        <v>1734</v>
      </c>
      <c r="C60" s="2" t="s">
        <v>423</v>
      </c>
      <c r="D60" s="2" t="s">
        <v>2</v>
      </c>
      <c r="E60" s="2">
        <v>70.44</v>
      </c>
      <c r="F60" s="2">
        <v>30</v>
      </c>
      <c r="G60" s="2">
        <v>4</v>
      </c>
      <c r="H60" s="2">
        <v>168000</v>
      </c>
      <c r="I60" s="2">
        <v>200</v>
      </c>
      <c r="J60" s="2" t="s">
        <v>1650</v>
      </c>
      <c r="K60" s="2">
        <v>69</v>
      </c>
      <c r="L60" s="2">
        <v>20</v>
      </c>
      <c r="M60" s="2">
        <v>12</v>
      </c>
      <c r="N60" s="2">
        <v>10</v>
      </c>
      <c r="O60" s="2">
        <v>15</v>
      </c>
      <c r="P60" s="2">
        <v>12</v>
      </c>
      <c r="Q60" s="2" t="s">
        <v>1735</v>
      </c>
      <c r="R60" s="2" t="s">
        <v>1735</v>
      </c>
      <c r="S60" s="4">
        <v>44837</v>
      </c>
    </row>
    <row r="61" spans="1:19" ht="12.5" x14ac:dyDescent="0.25">
      <c r="A61" s="14" t="str">
        <f>HYPERLINK("https://gerandofalcoes.my.salesforce.com/0014P00003YSpADQA1", "0014P00003YSpADQA1")</f>
        <v>0014P00003YSpADQA1</v>
      </c>
      <c r="B61" s="2" t="s">
        <v>1736</v>
      </c>
      <c r="C61" s="2" t="s">
        <v>423</v>
      </c>
      <c r="D61" s="2" t="s">
        <v>2</v>
      </c>
      <c r="E61" s="2">
        <v>70.09</v>
      </c>
      <c r="F61" s="2">
        <v>10</v>
      </c>
      <c r="G61" s="2">
        <v>7</v>
      </c>
      <c r="H61" s="2">
        <v>595384</v>
      </c>
      <c r="I61" s="2">
        <v>246</v>
      </c>
      <c r="J61" s="2" t="s">
        <v>1650</v>
      </c>
      <c r="K61" s="2">
        <v>72</v>
      </c>
      <c r="L61" s="2">
        <v>20</v>
      </c>
      <c r="M61" s="2">
        <v>10</v>
      </c>
      <c r="N61" s="2">
        <v>10</v>
      </c>
      <c r="O61" s="2">
        <v>20</v>
      </c>
      <c r="P61" s="2">
        <v>12</v>
      </c>
      <c r="Q61" s="2" t="s">
        <v>1737</v>
      </c>
      <c r="R61" s="2" t="s">
        <v>1737</v>
      </c>
      <c r="S61" s="4">
        <v>44837</v>
      </c>
    </row>
    <row r="62" spans="1:19" ht="12.5" x14ac:dyDescent="0.25">
      <c r="A62" s="14" t="str">
        <f>HYPERLINK("https://gerandofalcoes.my.salesforce.com/0014P00003AN2FVQA1", "0014P00003AN2FVQA1")</f>
        <v>0014P00003AN2FVQA1</v>
      </c>
      <c r="B62" s="2" t="s">
        <v>1738</v>
      </c>
      <c r="C62" s="2" t="s">
        <v>423</v>
      </c>
      <c r="D62" s="2" t="s">
        <v>2</v>
      </c>
      <c r="E62" s="2">
        <v>70</v>
      </c>
      <c r="F62" s="2">
        <v>22</v>
      </c>
      <c r="G62" s="2">
        <v>3</v>
      </c>
      <c r="H62" s="2">
        <v>1385871</v>
      </c>
      <c r="I62" s="2">
        <v>700</v>
      </c>
      <c r="J62" s="2" t="s">
        <v>1654</v>
      </c>
      <c r="K62" s="2">
        <v>85</v>
      </c>
      <c r="L62" s="2">
        <v>20</v>
      </c>
      <c r="M62" s="2">
        <v>12</v>
      </c>
      <c r="N62" s="2">
        <v>8</v>
      </c>
      <c r="O62" s="2">
        <v>25</v>
      </c>
      <c r="P62" s="2">
        <v>20</v>
      </c>
      <c r="Q62" s="2" t="s">
        <v>632</v>
      </c>
      <c r="R62" s="2" t="s">
        <v>632</v>
      </c>
      <c r="S62" s="4">
        <v>44837</v>
      </c>
    </row>
    <row r="63" spans="1:19" ht="12.5" x14ac:dyDescent="0.25">
      <c r="A63" s="14" t="str">
        <f>HYPERLINK("https://gerandofalcoes.my.salesforce.com/0014P00003SGWPxQAP", "0014P00003SGWPxQAP")</f>
        <v>0014P00003SGWPxQAP</v>
      </c>
      <c r="B63" s="2" t="s">
        <v>1739</v>
      </c>
      <c r="C63" s="2" t="s">
        <v>423</v>
      </c>
      <c r="D63" s="2" t="s">
        <v>2</v>
      </c>
      <c r="E63" s="2">
        <v>67.709999999999994</v>
      </c>
      <c r="F63" s="2">
        <v>4</v>
      </c>
      <c r="G63" s="2">
        <v>3</v>
      </c>
      <c r="H63" s="2">
        <v>135000</v>
      </c>
      <c r="I63" s="2">
        <v>442</v>
      </c>
      <c r="J63" s="2" t="s">
        <v>1671</v>
      </c>
      <c r="K63" s="2">
        <v>63</v>
      </c>
      <c r="L63" s="2">
        <v>20</v>
      </c>
      <c r="M63" s="2">
        <v>5</v>
      </c>
      <c r="N63" s="2">
        <v>8</v>
      </c>
      <c r="O63" s="2">
        <v>15</v>
      </c>
      <c r="P63" s="2">
        <v>15</v>
      </c>
      <c r="Q63" s="2" t="s">
        <v>1106</v>
      </c>
      <c r="R63" s="2" t="s">
        <v>1106</v>
      </c>
      <c r="S63" s="4">
        <v>44837</v>
      </c>
    </row>
    <row r="64" spans="1:19" ht="12.5" x14ac:dyDescent="0.25">
      <c r="A64" s="14" t="str">
        <f>HYPERLINK("https://gerandofalcoes.my.salesforce.com/0014P00003AN2G7QAL", "0014P00003AN2G7QAL")</f>
        <v>0014P00003AN2G7QAL</v>
      </c>
      <c r="B64" s="2" t="s">
        <v>1740</v>
      </c>
      <c r="C64" s="2" t="s">
        <v>423</v>
      </c>
      <c r="D64" s="2" t="s">
        <v>2</v>
      </c>
      <c r="E64" s="2">
        <v>67.37</v>
      </c>
      <c r="F64" s="2">
        <v>3</v>
      </c>
      <c r="G64" s="2">
        <v>4</v>
      </c>
      <c r="H64" s="2">
        <v>140000</v>
      </c>
      <c r="I64" s="2">
        <v>3</v>
      </c>
      <c r="J64" s="2" t="s">
        <v>1671</v>
      </c>
      <c r="K64" s="2">
        <v>55</v>
      </c>
      <c r="L64" s="2">
        <v>20</v>
      </c>
      <c r="M64" s="2">
        <v>5</v>
      </c>
      <c r="N64" s="2">
        <v>10</v>
      </c>
      <c r="O64" s="2">
        <v>15</v>
      </c>
      <c r="P64" s="2">
        <v>5</v>
      </c>
      <c r="Q64" s="2" t="s">
        <v>945</v>
      </c>
      <c r="R64" s="2" t="s">
        <v>945</v>
      </c>
      <c r="S64" s="4">
        <v>44837</v>
      </c>
    </row>
    <row r="65" spans="1:19" ht="12.5" x14ac:dyDescent="0.25">
      <c r="A65" s="14" t="str">
        <f>HYPERLINK("https://gerandofalcoes.my.salesforce.com/0014X00002VKCqlQAH", "0014X00002VKCqlQAH")</f>
        <v>0014X00002VKCqlQAH</v>
      </c>
      <c r="B65" s="2" t="s">
        <v>1741</v>
      </c>
      <c r="C65" s="2" t="s">
        <v>423</v>
      </c>
      <c r="D65" s="2" t="s">
        <v>2</v>
      </c>
      <c r="E65" s="2">
        <v>67.11</v>
      </c>
      <c r="F65" s="2">
        <v>5</v>
      </c>
      <c r="G65" s="2">
        <v>3</v>
      </c>
      <c r="H65" s="2">
        <v>300000</v>
      </c>
      <c r="I65" s="2">
        <v>83</v>
      </c>
      <c r="J65" s="2" t="s">
        <v>1671</v>
      </c>
      <c r="K65" s="2">
        <v>63</v>
      </c>
      <c r="L65" s="2">
        <v>20</v>
      </c>
      <c r="M65" s="2">
        <v>5</v>
      </c>
      <c r="N65" s="2">
        <v>8</v>
      </c>
      <c r="O65" s="2">
        <v>20</v>
      </c>
      <c r="P65" s="2">
        <v>10</v>
      </c>
      <c r="Q65" s="2" t="s">
        <v>1742</v>
      </c>
      <c r="R65" s="2" t="s">
        <v>1743</v>
      </c>
      <c r="S65" s="4">
        <v>44837</v>
      </c>
    </row>
    <row r="66" spans="1:19" ht="12.5" x14ac:dyDescent="0.25">
      <c r="A66" s="14" t="str">
        <f>HYPERLINK("https://gerandofalcoes.my.salesforce.com/0014P00003AN2G1QAL", "0014P00003AN2G1QAL")</f>
        <v>0014P00003AN2G1QAL</v>
      </c>
      <c r="B66" s="2" t="s">
        <v>1744</v>
      </c>
      <c r="C66" s="2" t="s">
        <v>423</v>
      </c>
      <c r="D66" s="2" t="s">
        <v>2</v>
      </c>
      <c r="E66" s="2">
        <v>66.45</v>
      </c>
      <c r="F66" s="2">
        <v>10</v>
      </c>
      <c r="G66" s="2">
        <v>2</v>
      </c>
      <c r="H66" s="2">
        <v>1545600</v>
      </c>
      <c r="I66" s="2">
        <v>123</v>
      </c>
      <c r="J66" s="2" t="s">
        <v>1650</v>
      </c>
      <c r="K66" s="2">
        <v>71</v>
      </c>
      <c r="L66" s="2">
        <v>20</v>
      </c>
      <c r="M66" s="2">
        <v>10</v>
      </c>
      <c r="N66" s="2">
        <v>6</v>
      </c>
      <c r="O66" s="2">
        <v>25</v>
      </c>
      <c r="P66" s="2">
        <v>10</v>
      </c>
      <c r="Q66" s="2" t="s">
        <v>839</v>
      </c>
      <c r="R66" s="2" t="s">
        <v>839</v>
      </c>
      <c r="S66" s="4">
        <v>44837</v>
      </c>
    </row>
    <row r="67" spans="1:19" ht="12.5" x14ac:dyDescent="0.25">
      <c r="A67" s="14" t="str">
        <f>HYPERLINK("https://gerandofalcoes.my.salesforce.com/0014P00003SGWFqQAP", "0014P00003SGWFqQAP")</f>
        <v>0014P00003SGWFqQAP</v>
      </c>
      <c r="B67" s="2" t="s">
        <v>343</v>
      </c>
      <c r="C67" s="2" t="s">
        <v>423</v>
      </c>
      <c r="D67" s="2" t="s">
        <v>2</v>
      </c>
      <c r="E67" s="2">
        <v>66.09</v>
      </c>
      <c r="F67" s="2">
        <v>10</v>
      </c>
      <c r="G67" s="2">
        <v>6</v>
      </c>
      <c r="H67" s="2">
        <v>796000</v>
      </c>
      <c r="I67" s="2">
        <v>80</v>
      </c>
      <c r="J67" s="2" t="s">
        <v>1650</v>
      </c>
      <c r="K67" s="2">
        <v>70</v>
      </c>
      <c r="L67" s="2">
        <v>20</v>
      </c>
      <c r="M67" s="2">
        <v>10</v>
      </c>
      <c r="N67" s="2">
        <v>10</v>
      </c>
      <c r="O67" s="2">
        <v>20</v>
      </c>
      <c r="P67" s="2">
        <v>10</v>
      </c>
      <c r="Q67" s="2" t="s">
        <v>344</v>
      </c>
      <c r="R67" s="2" t="s">
        <v>1479</v>
      </c>
      <c r="S67" s="4">
        <v>44837</v>
      </c>
    </row>
    <row r="68" spans="1:19" ht="12.5" x14ac:dyDescent="0.25">
      <c r="A68" s="14" t="str">
        <f>HYPERLINK("https://gerandofalcoes.my.salesforce.com/0014P00003SGWPnQAP", "0014P00003SGWPnQAP")</f>
        <v>0014P00003SGWPnQAP</v>
      </c>
      <c r="B68" s="2" t="s">
        <v>1745</v>
      </c>
      <c r="C68" s="2" t="s">
        <v>423</v>
      </c>
      <c r="D68" s="2" t="s">
        <v>2</v>
      </c>
      <c r="E68" s="2">
        <v>64</v>
      </c>
      <c r="F68" s="2">
        <v>20</v>
      </c>
      <c r="G68" s="2">
        <v>1</v>
      </c>
      <c r="H68" s="2">
        <v>1266000</v>
      </c>
      <c r="I68" s="2">
        <v>250</v>
      </c>
      <c r="J68" s="2" t="s">
        <v>1650</v>
      </c>
      <c r="K68" s="2">
        <v>73</v>
      </c>
      <c r="L68" s="2">
        <v>20</v>
      </c>
      <c r="M68" s="2">
        <v>12</v>
      </c>
      <c r="N68" s="2">
        <v>4</v>
      </c>
      <c r="O68" s="2">
        <v>25</v>
      </c>
      <c r="P68" s="2">
        <v>12</v>
      </c>
      <c r="Q68" s="2" t="s">
        <v>319</v>
      </c>
      <c r="R68" s="2" t="s">
        <v>1379</v>
      </c>
      <c r="S68" s="4">
        <v>44837</v>
      </c>
    </row>
    <row r="69" spans="1:19" ht="12.5" x14ac:dyDescent="0.25">
      <c r="A69" s="14" t="str">
        <f>HYPERLINK("https://gerandofalcoes.my.salesforce.com/0014P00003AN2FvQAL", "0014P00003AN2FvQAL")</f>
        <v>0014P00003AN2FvQAL</v>
      </c>
      <c r="B69" s="2" t="s">
        <v>1746</v>
      </c>
      <c r="C69" s="2" t="s">
        <v>423</v>
      </c>
      <c r="D69" s="2" t="s">
        <v>27</v>
      </c>
      <c r="E69" s="2">
        <v>64</v>
      </c>
      <c r="F69" s="2">
        <v>7</v>
      </c>
      <c r="G69" s="2">
        <v>2</v>
      </c>
      <c r="H69" s="2">
        <v>109514.68</v>
      </c>
      <c r="I69" s="2">
        <v>127</v>
      </c>
      <c r="J69" s="2" t="s">
        <v>1671</v>
      </c>
      <c r="K69" s="2">
        <v>61</v>
      </c>
      <c r="L69" s="2">
        <v>20</v>
      </c>
      <c r="M69" s="2">
        <v>10</v>
      </c>
      <c r="N69" s="2">
        <v>6</v>
      </c>
      <c r="O69" s="2">
        <v>15</v>
      </c>
      <c r="P69" s="2">
        <v>10</v>
      </c>
      <c r="Q69" s="2" t="s">
        <v>142</v>
      </c>
      <c r="R69" s="2" t="s">
        <v>142</v>
      </c>
      <c r="S69" s="4">
        <v>44837</v>
      </c>
    </row>
    <row r="70" spans="1:19" ht="12.5" x14ac:dyDescent="0.25">
      <c r="A70" s="14" t="str">
        <f>HYPERLINK("https://gerandofalcoes.my.salesforce.com/0014X00002YgggiQAB", "0014X00002YgggiQAB")</f>
        <v>0014X00002YgggiQAB</v>
      </c>
      <c r="B70" s="2" t="s">
        <v>4046</v>
      </c>
      <c r="C70" s="2" t="s">
        <v>423</v>
      </c>
      <c r="D70" s="2" t="s">
        <v>2</v>
      </c>
      <c r="E70" s="2">
        <v>63.71</v>
      </c>
      <c r="F70" s="2">
        <v>12</v>
      </c>
      <c r="G70" s="2">
        <v>3</v>
      </c>
      <c r="H70" s="2">
        <v>646396</v>
      </c>
      <c r="I70" s="2">
        <v>775</v>
      </c>
      <c r="J70" s="2"/>
      <c r="K70" s="2">
        <v>80</v>
      </c>
      <c r="L70" s="2">
        <v>20</v>
      </c>
      <c r="M70" s="2">
        <v>12</v>
      </c>
      <c r="N70" s="2">
        <v>8</v>
      </c>
      <c r="O70" s="2">
        <v>20</v>
      </c>
      <c r="P70" s="2">
        <v>20</v>
      </c>
      <c r="Q70" s="2" t="s">
        <v>4047</v>
      </c>
      <c r="R70" s="2" t="s">
        <v>4048</v>
      </c>
      <c r="S70" s="4">
        <v>45169</v>
      </c>
    </row>
    <row r="71" spans="1:19" ht="12.5" x14ac:dyDescent="0.25">
      <c r="A71" s="14" t="str">
        <f>HYPERLINK("https://gerandofalcoes.my.salesforce.com/0014P00003AN2G4QAL", "0014P00003AN2G4QAL")</f>
        <v>0014P00003AN2G4QAL</v>
      </c>
      <c r="B71" s="2" t="s">
        <v>1747</v>
      </c>
      <c r="C71" s="2" t="s">
        <v>423</v>
      </c>
      <c r="D71" s="2" t="s">
        <v>27</v>
      </c>
      <c r="E71" s="2">
        <v>63.71</v>
      </c>
      <c r="F71" s="2">
        <v>0</v>
      </c>
      <c r="G71" s="2">
        <v>2</v>
      </c>
      <c r="H71" s="2">
        <v>37000</v>
      </c>
      <c r="I71" s="2">
        <v>180</v>
      </c>
      <c r="J71" s="2" t="s">
        <v>1671</v>
      </c>
      <c r="K71" s="2">
        <v>48</v>
      </c>
      <c r="L71" s="2">
        <v>20</v>
      </c>
      <c r="M71" s="2">
        <v>0</v>
      </c>
      <c r="N71" s="2">
        <v>6</v>
      </c>
      <c r="O71" s="2">
        <v>10</v>
      </c>
      <c r="P71" s="2">
        <v>12</v>
      </c>
      <c r="Q71" s="2" t="s">
        <v>925</v>
      </c>
      <c r="R71" s="2" t="s">
        <v>925</v>
      </c>
      <c r="S71" s="4">
        <v>44837</v>
      </c>
    </row>
    <row r="72" spans="1:19" ht="12.5" x14ac:dyDescent="0.25">
      <c r="A72" s="14" t="str">
        <f>HYPERLINK("https://gerandofalcoes.my.salesforce.com/0014X00002YgggrQAB", "0014X00002YgggrQAB")</f>
        <v>0014X00002YgggrQAB</v>
      </c>
      <c r="B72" s="2" t="s">
        <v>3232</v>
      </c>
      <c r="C72" s="2" t="s">
        <v>423</v>
      </c>
      <c r="D72" s="2" t="s">
        <v>2</v>
      </c>
      <c r="E72" s="2">
        <v>63.18</v>
      </c>
      <c r="F72" s="2">
        <v>0</v>
      </c>
      <c r="G72" s="2">
        <v>6</v>
      </c>
      <c r="H72" s="2">
        <v>50000</v>
      </c>
      <c r="I72" s="2">
        <v>84</v>
      </c>
      <c r="J72" s="2" t="s">
        <v>1671</v>
      </c>
      <c r="K72" s="2">
        <v>50</v>
      </c>
      <c r="L72" s="2">
        <v>20</v>
      </c>
      <c r="M72" s="2">
        <v>0</v>
      </c>
      <c r="N72" s="2">
        <v>10</v>
      </c>
      <c r="O72" s="2">
        <v>10</v>
      </c>
      <c r="P72" s="2">
        <v>10</v>
      </c>
      <c r="Q72" s="2" t="s">
        <v>3233</v>
      </c>
      <c r="R72" s="2" t="s">
        <v>3234</v>
      </c>
      <c r="S72" s="4">
        <v>44952</v>
      </c>
    </row>
    <row r="73" spans="1:19" ht="12.5" x14ac:dyDescent="0.25">
      <c r="A73" s="14" t="str">
        <f>HYPERLINK("https://gerandofalcoes.my.salesforce.com/0014P00003I7WH2QAN", "0014P00003I7WH2QAN")</f>
        <v>0014P00003I7WH2QAN</v>
      </c>
      <c r="B73" s="2" t="s">
        <v>1748</v>
      </c>
      <c r="C73" s="2" t="s">
        <v>423</v>
      </c>
      <c r="D73" s="2" t="s">
        <v>2</v>
      </c>
      <c r="E73" s="2">
        <v>63.15</v>
      </c>
      <c r="F73" s="2">
        <v>5</v>
      </c>
      <c r="G73" s="2">
        <v>3</v>
      </c>
      <c r="H73" s="2">
        <v>300000</v>
      </c>
      <c r="I73" s="2">
        <v>216</v>
      </c>
      <c r="J73" s="2" t="s">
        <v>1650</v>
      </c>
      <c r="K73" s="2">
        <v>65</v>
      </c>
      <c r="L73" s="2">
        <v>20</v>
      </c>
      <c r="M73" s="2">
        <v>5</v>
      </c>
      <c r="N73" s="2">
        <v>8</v>
      </c>
      <c r="O73" s="2">
        <v>20</v>
      </c>
      <c r="P73" s="2">
        <v>12</v>
      </c>
      <c r="Q73" s="2" t="s">
        <v>1749</v>
      </c>
      <c r="R73" s="2" t="s">
        <v>906</v>
      </c>
      <c r="S73" s="4">
        <v>44837</v>
      </c>
    </row>
    <row r="74" spans="1:19" ht="12.5" x14ac:dyDescent="0.25">
      <c r="A74" s="14" t="str">
        <f>HYPERLINK("https://gerandofalcoes.my.salesforce.com/0014X00002VKCtyQAH", "0014X00002VKCtyQAH")</f>
        <v>0014X00002VKCtyQAH</v>
      </c>
      <c r="B74" s="2" t="s">
        <v>1750</v>
      </c>
      <c r="C74" s="2" t="s">
        <v>423</v>
      </c>
      <c r="D74" s="2" t="s">
        <v>2</v>
      </c>
      <c r="E74" s="2">
        <v>63</v>
      </c>
      <c r="F74" s="2">
        <v>0</v>
      </c>
      <c r="G74" s="2">
        <v>4</v>
      </c>
      <c r="H74" s="2">
        <v>50000</v>
      </c>
      <c r="I74" s="2">
        <v>45</v>
      </c>
      <c r="J74" s="2" t="s">
        <v>1671</v>
      </c>
      <c r="K74" s="2">
        <v>45</v>
      </c>
      <c r="L74" s="2">
        <v>20</v>
      </c>
      <c r="M74" s="2">
        <v>0</v>
      </c>
      <c r="N74" s="2">
        <v>10</v>
      </c>
      <c r="O74" s="2">
        <v>10</v>
      </c>
      <c r="P74" s="2">
        <v>5</v>
      </c>
      <c r="Q74" s="2" t="s">
        <v>1751</v>
      </c>
      <c r="R74" s="2" t="s">
        <v>1752</v>
      </c>
      <c r="S74" s="4">
        <v>44837</v>
      </c>
    </row>
    <row r="75" spans="1:19" ht="12.5" hidden="1" x14ac:dyDescent="0.25">
      <c r="A75" s="14" t="str">
        <f>HYPERLINK("https://gerandofalcoes.my.salesforce.com/0014P00003AN2FgQAL", "0014P00003AN2FgQAL")</f>
        <v>0014P00003AN2FgQAL</v>
      </c>
      <c r="B75" s="2" t="s">
        <v>109</v>
      </c>
      <c r="C75" s="2" t="s">
        <v>1684</v>
      </c>
      <c r="D75" s="2" t="s">
        <v>2</v>
      </c>
      <c r="E75" s="2">
        <v>62.56</v>
      </c>
      <c r="F75" s="2">
        <v>2</v>
      </c>
      <c r="G75" s="2">
        <v>7</v>
      </c>
      <c r="H75" s="2">
        <v>290735</v>
      </c>
      <c r="I75" s="2">
        <v>750</v>
      </c>
      <c r="J75" s="2" t="s">
        <v>1650</v>
      </c>
      <c r="K75" s="2">
        <v>70</v>
      </c>
      <c r="L75" s="2">
        <v>20</v>
      </c>
      <c r="M75" s="2">
        <v>5</v>
      </c>
      <c r="N75" s="2">
        <v>10</v>
      </c>
      <c r="O75" s="2">
        <v>15</v>
      </c>
      <c r="P75" s="2">
        <v>20</v>
      </c>
      <c r="Q75" s="2" t="s">
        <v>110</v>
      </c>
      <c r="R75" s="2" t="s">
        <v>110</v>
      </c>
      <c r="S75" s="4">
        <v>44837</v>
      </c>
    </row>
    <row r="76" spans="1:19" ht="12.5" x14ac:dyDescent="0.25">
      <c r="A76" s="14" t="str">
        <f>HYPERLINK("https://gerandofalcoes.my.salesforce.com/0014P00003AN2FkQAL", "0014P00003AN2FkQAL")</f>
        <v>0014P00003AN2FkQAL</v>
      </c>
      <c r="B76" s="2" t="s">
        <v>1753</v>
      </c>
      <c r="C76" s="2" t="s">
        <v>423</v>
      </c>
      <c r="D76" s="2" t="s">
        <v>27</v>
      </c>
      <c r="E76" s="2">
        <v>62.55</v>
      </c>
      <c r="F76" s="2">
        <v>0</v>
      </c>
      <c r="G76" s="2">
        <v>4</v>
      </c>
      <c r="H76" s="2">
        <v>45000</v>
      </c>
      <c r="I76" s="2">
        <v>700</v>
      </c>
      <c r="J76" s="2" t="s">
        <v>1671</v>
      </c>
      <c r="K76" s="2">
        <v>60</v>
      </c>
      <c r="L76" s="2">
        <v>20</v>
      </c>
      <c r="M76" s="2">
        <v>0</v>
      </c>
      <c r="N76" s="2">
        <v>10</v>
      </c>
      <c r="O76" s="2">
        <v>10</v>
      </c>
      <c r="P76" s="2">
        <v>20</v>
      </c>
      <c r="Q76" s="2" t="s">
        <v>1754</v>
      </c>
      <c r="R76" s="2" t="s">
        <v>738</v>
      </c>
      <c r="S76" s="4">
        <v>44837</v>
      </c>
    </row>
    <row r="77" spans="1:19" ht="12.5" x14ac:dyDescent="0.25">
      <c r="A77" s="14" t="str">
        <f>HYPERLINK("https://gerandofalcoes.my.salesforce.com/0014P00003YSp87QAD", "0014P00003YSp87QAD")</f>
        <v>0014P00003YSp87QAD</v>
      </c>
      <c r="B77" s="2" t="s">
        <v>1755</v>
      </c>
      <c r="C77" s="2" t="s">
        <v>423</v>
      </c>
      <c r="D77" s="2" t="s">
        <v>2</v>
      </c>
      <c r="E77" s="2">
        <v>62.5</v>
      </c>
      <c r="F77" s="2">
        <v>19</v>
      </c>
      <c r="G77" s="2">
        <v>3</v>
      </c>
      <c r="H77" s="2">
        <v>223000</v>
      </c>
      <c r="I77" s="2">
        <v>50</v>
      </c>
      <c r="J77" s="2" t="s">
        <v>1671</v>
      </c>
      <c r="K77" s="2">
        <v>60</v>
      </c>
      <c r="L77" s="2">
        <v>20</v>
      </c>
      <c r="M77" s="2">
        <v>12</v>
      </c>
      <c r="N77" s="2">
        <v>8</v>
      </c>
      <c r="O77" s="2">
        <v>15</v>
      </c>
      <c r="P77" s="2">
        <v>5</v>
      </c>
      <c r="Q77" s="2" t="s">
        <v>1756</v>
      </c>
      <c r="R77" s="2" t="s">
        <v>1757</v>
      </c>
      <c r="S77" s="4">
        <v>44837</v>
      </c>
    </row>
    <row r="78" spans="1:19" ht="12.5" x14ac:dyDescent="0.25">
      <c r="A78" s="14" t="str">
        <f>HYPERLINK("https://gerandofalcoes.my.salesforce.com/0014X00002VKCqRQAX", "0014X00002VKCqRQAX")</f>
        <v>0014X00002VKCqRQAX</v>
      </c>
      <c r="B78" s="2" t="s">
        <v>1758</v>
      </c>
      <c r="C78" s="2" t="s">
        <v>423</v>
      </c>
      <c r="D78" s="2" t="s">
        <v>2</v>
      </c>
      <c r="E78" s="2">
        <v>61.97</v>
      </c>
      <c r="F78" s="2">
        <v>0</v>
      </c>
      <c r="G78" s="2">
        <v>6</v>
      </c>
      <c r="H78" s="2">
        <v>112190</v>
      </c>
      <c r="I78" s="2">
        <v>197</v>
      </c>
      <c r="J78" s="2" t="s">
        <v>1671</v>
      </c>
      <c r="K78" s="2">
        <v>57</v>
      </c>
      <c r="L78" s="2">
        <v>20</v>
      </c>
      <c r="M78" s="2">
        <v>0</v>
      </c>
      <c r="N78" s="2">
        <v>10</v>
      </c>
      <c r="O78" s="2">
        <v>15</v>
      </c>
      <c r="P78" s="2">
        <v>12</v>
      </c>
      <c r="Q78" s="2" t="s">
        <v>1759</v>
      </c>
      <c r="R78" s="2" t="s">
        <v>1760</v>
      </c>
      <c r="S78" s="4">
        <v>44837</v>
      </c>
    </row>
    <row r="79" spans="1:19" ht="12.5" x14ac:dyDescent="0.25">
      <c r="A79" s="14" t="str">
        <f>HYPERLINK("https://gerandofalcoes.my.salesforce.com/0014X00002YggnoQAB", "0014X00002YggnoQAB")</f>
        <v>0014X00002YggnoQAB</v>
      </c>
      <c r="B79" s="2" t="s">
        <v>3644</v>
      </c>
      <c r="C79" s="2" t="s">
        <v>423</v>
      </c>
      <c r="D79" s="2" t="s">
        <v>2</v>
      </c>
      <c r="E79" s="2">
        <v>61.94</v>
      </c>
      <c r="F79" s="2">
        <v>11</v>
      </c>
      <c r="G79" s="2">
        <v>5</v>
      </c>
      <c r="H79" s="2">
        <v>442412</v>
      </c>
      <c r="I79" s="2">
        <v>200</v>
      </c>
      <c r="J79" s="2" t="s">
        <v>1650</v>
      </c>
      <c r="K79" s="2">
        <v>74</v>
      </c>
      <c r="L79" s="2">
        <v>20</v>
      </c>
      <c r="M79" s="2">
        <v>12</v>
      </c>
      <c r="N79" s="2">
        <v>10</v>
      </c>
      <c r="O79" s="2">
        <v>20</v>
      </c>
      <c r="P79" s="2">
        <v>12</v>
      </c>
      <c r="Q79" s="2" t="s">
        <v>3645</v>
      </c>
      <c r="R79" s="2" t="s">
        <v>3646</v>
      </c>
      <c r="S79" s="4">
        <v>44964</v>
      </c>
    </row>
    <row r="80" spans="1:19" ht="12.5" x14ac:dyDescent="0.25">
      <c r="A80" s="14" t="str">
        <f>HYPERLINK("https://gerandofalcoes.my.salesforce.com/0014P00003YSp8MQAT", "0014P00003YSp8MQAT")</f>
        <v>0014P00003YSp8MQAT</v>
      </c>
      <c r="B80" s="2" t="s">
        <v>1761</v>
      </c>
      <c r="C80" s="2" t="s">
        <v>423</v>
      </c>
      <c r="D80" s="2" t="s">
        <v>2</v>
      </c>
      <c r="E80" s="2">
        <v>61.59</v>
      </c>
      <c r="F80" s="2">
        <v>15</v>
      </c>
      <c r="G80" s="2">
        <v>3</v>
      </c>
      <c r="H80" s="2">
        <v>359</v>
      </c>
      <c r="I80" s="2">
        <v>173</v>
      </c>
      <c r="J80" s="2" t="s">
        <v>1671</v>
      </c>
      <c r="K80" s="2">
        <v>57</v>
      </c>
      <c r="L80" s="2">
        <v>20</v>
      </c>
      <c r="M80" s="2">
        <v>12</v>
      </c>
      <c r="N80" s="2">
        <v>8</v>
      </c>
      <c r="O80" s="2">
        <v>5</v>
      </c>
      <c r="P80" s="2">
        <v>12</v>
      </c>
      <c r="Q80" s="2" t="s">
        <v>1762</v>
      </c>
      <c r="R80" s="2" t="s">
        <v>1763</v>
      </c>
      <c r="S80" s="4">
        <v>44837</v>
      </c>
    </row>
    <row r="81" spans="1:19" ht="12.5" x14ac:dyDescent="0.25">
      <c r="A81" s="14" t="str">
        <f>HYPERLINK("https://gerandofalcoes.my.salesforce.com/0014X00002VKCpsQAH", "0014X00002VKCpsQAH")</f>
        <v>0014X00002VKCpsQAH</v>
      </c>
      <c r="B81" s="2" t="s">
        <v>1764</v>
      </c>
      <c r="C81" s="2" t="s">
        <v>423</v>
      </c>
      <c r="D81" s="2" t="s">
        <v>2</v>
      </c>
      <c r="E81" s="2">
        <v>59.89</v>
      </c>
      <c r="F81" s="2">
        <v>36</v>
      </c>
      <c r="G81" s="2">
        <v>2</v>
      </c>
      <c r="H81" s="2">
        <v>2039327</v>
      </c>
      <c r="I81" s="2">
        <v>0</v>
      </c>
      <c r="J81" s="2" t="s">
        <v>1650</v>
      </c>
      <c r="K81" s="2">
        <v>66</v>
      </c>
      <c r="L81" s="2">
        <v>20</v>
      </c>
      <c r="M81" s="2">
        <v>15</v>
      </c>
      <c r="N81" s="2">
        <v>6</v>
      </c>
      <c r="O81" s="2">
        <v>25</v>
      </c>
      <c r="P81" s="2">
        <v>0</v>
      </c>
      <c r="Q81" s="2" t="s">
        <v>1765</v>
      </c>
      <c r="R81" s="2" t="s">
        <v>1766</v>
      </c>
      <c r="S81" s="4">
        <v>44837</v>
      </c>
    </row>
    <row r="82" spans="1:19" ht="12.5" x14ac:dyDescent="0.25">
      <c r="A82" s="14" t="str">
        <f>HYPERLINK("https://gerandofalcoes.my.salesforce.com/0014X00002PUOaDQAX", "0014X00002PUOaDQAX")</f>
        <v>0014X00002PUOaDQAX</v>
      </c>
      <c r="B82" s="2" t="s">
        <v>1767</v>
      </c>
      <c r="C82" s="2" t="s">
        <v>423</v>
      </c>
      <c r="D82" s="2" t="s">
        <v>2</v>
      </c>
      <c r="E82" s="2">
        <v>59.39</v>
      </c>
      <c r="F82" s="2">
        <v>11</v>
      </c>
      <c r="G82" s="2">
        <v>10</v>
      </c>
      <c r="H82" s="2">
        <v>30139720</v>
      </c>
      <c r="I82" s="2">
        <v>139</v>
      </c>
      <c r="J82" s="2" t="s">
        <v>1650</v>
      </c>
      <c r="K82" s="2">
        <v>77</v>
      </c>
      <c r="L82" s="2">
        <v>20</v>
      </c>
      <c r="M82" s="2">
        <v>12</v>
      </c>
      <c r="N82" s="2">
        <v>10</v>
      </c>
      <c r="O82" s="2">
        <v>25</v>
      </c>
      <c r="P82" s="2">
        <v>10</v>
      </c>
      <c r="Q82" s="2" t="s">
        <v>439</v>
      </c>
      <c r="R82" s="2" t="s">
        <v>439</v>
      </c>
      <c r="S82" s="4">
        <v>44837</v>
      </c>
    </row>
    <row r="83" spans="1:19" ht="12.5" x14ac:dyDescent="0.25">
      <c r="A83" s="14" t="str">
        <f>HYPERLINK("https://gerandofalcoes.my.salesforce.com/0014P00003YSp8cQAD", "0014P00003YSp8cQAD")</f>
        <v>0014P00003YSp8cQAD</v>
      </c>
      <c r="B83" s="2" t="s">
        <v>1768</v>
      </c>
      <c r="C83" s="2" t="s">
        <v>423</v>
      </c>
      <c r="D83" s="2" t="s">
        <v>2</v>
      </c>
      <c r="E83" s="2">
        <v>59.02</v>
      </c>
      <c r="F83" s="2">
        <v>8</v>
      </c>
      <c r="G83" s="2">
        <v>1</v>
      </c>
      <c r="H83" s="2">
        <v>2200000</v>
      </c>
      <c r="I83" s="2">
        <v>300</v>
      </c>
      <c r="J83" s="2" t="s">
        <v>1650</v>
      </c>
      <c r="K83" s="2">
        <v>74</v>
      </c>
      <c r="L83" s="2">
        <v>20</v>
      </c>
      <c r="M83" s="2">
        <v>10</v>
      </c>
      <c r="N83" s="2">
        <v>4</v>
      </c>
      <c r="O83" s="2">
        <v>25</v>
      </c>
      <c r="P83" s="2">
        <v>15</v>
      </c>
      <c r="Q83" s="2" t="s">
        <v>1769</v>
      </c>
      <c r="R83" s="2" t="s">
        <v>1769</v>
      </c>
      <c r="S83" s="4">
        <v>44837</v>
      </c>
    </row>
    <row r="84" spans="1:19" ht="12.5" x14ac:dyDescent="0.25">
      <c r="A84" s="14" t="str">
        <f>HYPERLINK("https://gerandofalcoes.my.salesforce.com/0014P00003YSp8iQAD", "0014P00003YSp8iQAD")</f>
        <v>0014P00003YSp8iQAD</v>
      </c>
      <c r="B84" s="2" t="s">
        <v>1770</v>
      </c>
      <c r="C84" s="2" t="s">
        <v>423</v>
      </c>
      <c r="D84" s="2" t="s">
        <v>2</v>
      </c>
      <c r="E84" s="2">
        <v>58.99</v>
      </c>
      <c r="F84" s="2">
        <v>5</v>
      </c>
      <c r="G84" s="2">
        <v>5</v>
      </c>
      <c r="H84" s="2">
        <v>1386827</v>
      </c>
      <c r="I84" s="2">
        <v>40</v>
      </c>
      <c r="J84" s="2" t="s">
        <v>1650</v>
      </c>
      <c r="K84" s="2">
        <v>65</v>
      </c>
      <c r="L84" s="2">
        <v>20</v>
      </c>
      <c r="M84" s="2">
        <v>5</v>
      </c>
      <c r="N84" s="2">
        <v>10</v>
      </c>
      <c r="O84" s="2">
        <v>25</v>
      </c>
      <c r="P84" s="2">
        <v>5</v>
      </c>
      <c r="Q84" s="2" t="s">
        <v>1771</v>
      </c>
      <c r="R84" s="2" t="s">
        <v>1772</v>
      </c>
      <c r="S84" s="4">
        <v>44837</v>
      </c>
    </row>
    <row r="85" spans="1:19" ht="12.5" x14ac:dyDescent="0.25">
      <c r="A85" s="14" t="str">
        <f>HYPERLINK("https://gerandofalcoes.my.salesforce.com/0014X00002YggoMQAR", "0014X00002YggoMQAR")</f>
        <v>0014X00002YggoMQAR</v>
      </c>
      <c r="B85" s="2" t="s">
        <v>3299</v>
      </c>
      <c r="C85" s="2" t="s">
        <v>423</v>
      </c>
      <c r="D85" s="2" t="s">
        <v>2</v>
      </c>
      <c r="E85" s="2">
        <v>58.5</v>
      </c>
      <c r="F85" s="2">
        <v>6</v>
      </c>
      <c r="G85" s="2">
        <v>3</v>
      </c>
      <c r="H85" s="2">
        <v>250000</v>
      </c>
      <c r="I85" s="2">
        <v>550</v>
      </c>
      <c r="J85" s="2" t="s">
        <v>1650</v>
      </c>
      <c r="K85" s="2">
        <v>73</v>
      </c>
      <c r="L85" s="2">
        <v>20</v>
      </c>
      <c r="M85" s="2">
        <v>10</v>
      </c>
      <c r="N85" s="2">
        <v>8</v>
      </c>
      <c r="O85" s="2">
        <v>15</v>
      </c>
      <c r="P85" s="2">
        <v>20</v>
      </c>
      <c r="Q85" s="2" t="s">
        <v>3300</v>
      </c>
      <c r="R85" s="2" t="s">
        <v>3301</v>
      </c>
      <c r="S85" s="4">
        <v>44953</v>
      </c>
    </row>
    <row r="86" spans="1:19" ht="12.5" x14ac:dyDescent="0.25">
      <c r="A86" s="14" t="str">
        <f>HYPERLINK("https://gerandofalcoes.my.salesforce.com/0014X00002VKCq6QAH", "0014X00002VKCq6QAH")</f>
        <v>0014X00002VKCq6QAH</v>
      </c>
      <c r="B86" s="2" t="s">
        <v>1773</v>
      </c>
      <c r="C86" s="2" t="s">
        <v>423</v>
      </c>
      <c r="D86" s="2" t="s">
        <v>2</v>
      </c>
      <c r="E86" s="2">
        <v>58.49</v>
      </c>
      <c r="F86" s="2">
        <v>0</v>
      </c>
      <c r="G86" s="2">
        <v>3</v>
      </c>
      <c r="H86" s="2">
        <v>6124615</v>
      </c>
      <c r="I86" s="2">
        <v>0</v>
      </c>
      <c r="J86" s="2" t="s">
        <v>1671</v>
      </c>
      <c r="K86" s="2">
        <v>53</v>
      </c>
      <c r="L86" s="2">
        <v>20</v>
      </c>
      <c r="M86" s="2">
        <v>0</v>
      </c>
      <c r="N86" s="2">
        <v>8</v>
      </c>
      <c r="O86" s="2">
        <v>25</v>
      </c>
      <c r="P86" s="2">
        <v>0</v>
      </c>
      <c r="Q86" s="2" t="s">
        <v>1774</v>
      </c>
      <c r="R86" s="2" t="s">
        <v>1775</v>
      </c>
      <c r="S86" s="4">
        <v>44837</v>
      </c>
    </row>
    <row r="87" spans="1:19" ht="12.5" x14ac:dyDescent="0.25">
      <c r="A87" s="14" t="str">
        <f>HYPERLINK("https://gerandofalcoes.my.salesforce.com/0014P00003SGWPRQA5", "0014P00003SGWPRQA5")</f>
        <v>0014P00003SGWPRQA5</v>
      </c>
      <c r="B87" s="2" t="s">
        <v>367</v>
      </c>
      <c r="C87" s="2" t="s">
        <v>423</v>
      </c>
      <c r="D87" s="2" t="s">
        <v>2</v>
      </c>
      <c r="E87" s="2">
        <v>57.96</v>
      </c>
      <c r="F87" s="2">
        <v>4</v>
      </c>
      <c r="G87" s="2">
        <v>6</v>
      </c>
      <c r="H87" s="2">
        <v>11100000</v>
      </c>
      <c r="I87" s="2">
        <v>200</v>
      </c>
      <c r="J87" s="2" t="s">
        <v>1650</v>
      </c>
      <c r="K87" s="2">
        <v>72</v>
      </c>
      <c r="L87" s="2">
        <v>20</v>
      </c>
      <c r="M87" s="2">
        <v>5</v>
      </c>
      <c r="N87" s="2">
        <v>10</v>
      </c>
      <c r="O87" s="2">
        <v>25</v>
      </c>
      <c r="P87" s="2">
        <v>12</v>
      </c>
      <c r="Q87" s="2" t="s">
        <v>369</v>
      </c>
      <c r="R87" s="2" t="s">
        <v>369</v>
      </c>
      <c r="S87" s="4">
        <v>44837</v>
      </c>
    </row>
    <row r="88" spans="1:19" ht="12.5" x14ac:dyDescent="0.25">
      <c r="A88" s="14" t="str">
        <f>HYPERLINK("https://gerandofalcoes.my.salesforce.com/0014P00003YSp9zQAD", "0014P00003YSp9zQAD")</f>
        <v>0014P00003YSp9zQAD</v>
      </c>
      <c r="B88" s="2" t="s">
        <v>1776</v>
      </c>
      <c r="C88" s="2" t="s">
        <v>423</v>
      </c>
      <c r="D88" s="2" t="s">
        <v>2</v>
      </c>
      <c r="E88" s="2">
        <v>57.9</v>
      </c>
      <c r="F88" s="2">
        <v>0</v>
      </c>
      <c r="G88" s="2">
        <v>12</v>
      </c>
      <c r="H88" s="2">
        <v>17000000</v>
      </c>
      <c r="I88" s="2">
        <v>750</v>
      </c>
      <c r="J88" s="2" t="s">
        <v>1650</v>
      </c>
      <c r="K88" s="2">
        <v>75</v>
      </c>
      <c r="L88" s="2">
        <v>20</v>
      </c>
      <c r="M88" s="2">
        <v>0</v>
      </c>
      <c r="N88" s="2">
        <v>10</v>
      </c>
      <c r="O88" s="2">
        <v>25</v>
      </c>
      <c r="P88" s="2">
        <v>20</v>
      </c>
      <c r="Q88" s="2" t="s">
        <v>1777</v>
      </c>
      <c r="R88" s="2" t="s">
        <v>1777</v>
      </c>
      <c r="S88" s="4">
        <v>44837</v>
      </c>
    </row>
    <row r="89" spans="1:19" ht="12.5" x14ac:dyDescent="0.25">
      <c r="A89" s="14" t="str">
        <f>HYPERLINK("https://gerandofalcoes.my.salesforce.com/0014X00002YggjEQAR", "0014X00002YggjEQAR")</f>
        <v>0014X00002YggjEQAR</v>
      </c>
      <c r="B89" s="2" t="s">
        <v>3235</v>
      </c>
      <c r="C89" s="2" t="s">
        <v>423</v>
      </c>
      <c r="D89" s="2" t="s">
        <v>2</v>
      </c>
      <c r="E89" s="2">
        <v>57.56</v>
      </c>
      <c r="F89" s="2">
        <v>5</v>
      </c>
      <c r="G89" s="2">
        <v>3</v>
      </c>
      <c r="H89" s="2">
        <v>238000</v>
      </c>
      <c r="I89" s="2">
        <v>340</v>
      </c>
      <c r="J89" s="2" t="s">
        <v>1671</v>
      </c>
      <c r="K89" s="2">
        <v>63</v>
      </c>
      <c r="L89" s="2">
        <v>20</v>
      </c>
      <c r="M89" s="2">
        <v>5</v>
      </c>
      <c r="N89" s="2">
        <v>8</v>
      </c>
      <c r="O89" s="2">
        <v>15</v>
      </c>
      <c r="P89" s="2">
        <v>15</v>
      </c>
      <c r="Q89" s="2" t="s">
        <v>3236</v>
      </c>
      <c r="R89" s="2" t="s">
        <v>3237</v>
      </c>
      <c r="S89" s="4">
        <v>44952</v>
      </c>
    </row>
    <row r="90" spans="1:19" ht="12.5" hidden="1" x14ac:dyDescent="0.25">
      <c r="A90" s="14" t="str">
        <f>HYPERLINK("https://gerandofalcoes.my.salesforce.com/0014X00002VMXzNQAX", "0014X00002VMXzNQAX")</f>
        <v>0014X00002VMXzNQAX</v>
      </c>
      <c r="B90" s="2" t="s">
        <v>1778</v>
      </c>
      <c r="C90" s="2" t="s">
        <v>1684</v>
      </c>
      <c r="D90" s="2" t="s">
        <v>2</v>
      </c>
      <c r="E90" s="2">
        <v>57</v>
      </c>
      <c r="F90" s="2">
        <v>0</v>
      </c>
      <c r="G90" s="2">
        <v>3</v>
      </c>
      <c r="H90" s="2">
        <v>65000</v>
      </c>
      <c r="I90" s="2">
        <v>0</v>
      </c>
      <c r="J90" s="2" t="s">
        <v>1779</v>
      </c>
      <c r="K90" s="2">
        <v>38</v>
      </c>
      <c r="L90" s="2">
        <v>20</v>
      </c>
      <c r="M90" s="2">
        <v>0</v>
      </c>
      <c r="N90" s="2">
        <v>8</v>
      </c>
      <c r="O90" s="2">
        <v>10</v>
      </c>
      <c r="P90" s="2">
        <v>0</v>
      </c>
      <c r="Q90" s="2" t="s">
        <v>1780</v>
      </c>
      <c r="R90" s="2" t="s">
        <v>1781</v>
      </c>
      <c r="S90" s="4">
        <v>44837</v>
      </c>
    </row>
    <row r="91" spans="1:19" ht="12.5" x14ac:dyDescent="0.25">
      <c r="A91" s="14" t="str">
        <f>HYPERLINK("https://gerandofalcoes.my.salesforce.com/0014X00002YgghrQAB", "0014X00002YgghrQAB")</f>
        <v>0014X00002YgghrQAB</v>
      </c>
      <c r="B91" s="2" t="s">
        <v>3775</v>
      </c>
      <c r="C91" s="2" t="s">
        <v>423</v>
      </c>
      <c r="D91" s="2" t="s">
        <v>2</v>
      </c>
      <c r="E91" s="2">
        <v>56.26</v>
      </c>
      <c r="F91" s="2">
        <v>12</v>
      </c>
      <c r="G91" s="2">
        <v>4</v>
      </c>
      <c r="H91" s="2">
        <v>700000</v>
      </c>
      <c r="I91" s="2">
        <v>410</v>
      </c>
      <c r="J91" s="2" t="s">
        <v>1650</v>
      </c>
      <c r="K91" s="2">
        <v>77</v>
      </c>
      <c r="L91" s="2">
        <v>20</v>
      </c>
      <c r="M91" s="2">
        <v>12</v>
      </c>
      <c r="N91" s="2">
        <v>10</v>
      </c>
      <c r="O91" s="2">
        <v>20</v>
      </c>
      <c r="P91" s="2">
        <v>15</v>
      </c>
      <c r="Q91" s="2" t="s">
        <v>3776</v>
      </c>
      <c r="R91" s="2" t="s">
        <v>3776</v>
      </c>
      <c r="S91" s="4">
        <v>44968</v>
      </c>
    </row>
    <row r="92" spans="1:19" ht="12.5" x14ac:dyDescent="0.25">
      <c r="A92" s="14" t="str">
        <f>HYPERLINK("https://gerandofalcoes.my.salesforce.com/0014P00003YSp7WQAT", "0014P00003YSp7WQAT")</f>
        <v>0014P00003YSp7WQAT</v>
      </c>
      <c r="B92" s="2" t="s">
        <v>1782</v>
      </c>
      <c r="C92" s="2" t="s">
        <v>423</v>
      </c>
      <c r="D92" s="2" t="s">
        <v>2</v>
      </c>
      <c r="E92" s="2">
        <v>56.22</v>
      </c>
      <c r="F92" s="2">
        <v>11</v>
      </c>
      <c r="G92" s="2">
        <v>5</v>
      </c>
      <c r="H92" s="2">
        <v>18433245</v>
      </c>
      <c r="I92" s="2">
        <v>150</v>
      </c>
      <c r="J92" s="2" t="s">
        <v>1650</v>
      </c>
      <c r="K92" s="2">
        <v>79</v>
      </c>
      <c r="L92" s="2">
        <v>20</v>
      </c>
      <c r="M92" s="2">
        <v>12</v>
      </c>
      <c r="N92" s="2">
        <v>10</v>
      </c>
      <c r="O92" s="2">
        <v>25</v>
      </c>
      <c r="P92" s="2">
        <v>12</v>
      </c>
      <c r="Q92" s="2" t="s">
        <v>1783</v>
      </c>
      <c r="R92" s="2" t="s">
        <v>1784</v>
      </c>
      <c r="S92" s="4">
        <v>44837</v>
      </c>
    </row>
    <row r="93" spans="1:19" ht="12.5" x14ac:dyDescent="0.25">
      <c r="A93" s="14" t="str">
        <f>HYPERLINK("https://gerandofalcoes.my.salesforce.com/0014X00002VKCsVQAX", "0014X00002VKCsVQAX")</f>
        <v>0014X00002VKCsVQAX</v>
      </c>
      <c r="B93" s="2" t="s">
        <v>1785</v>
      </c>
      <c r="C93" s="2" t="s">
        <v>423</v>
      </c>
      <c r="D93" s="2" t="s">
        <v>2</v>
      </c>
      <c r="E93" s="2">
        <v>56</v>
      </c>
      <c r="F93" s="2">
        <v>0</v>
      </c>
      <c r="G93" s="2">
        <v>3</v>
      </c>
      <c r="H93" s="2">
        <v>22800</v>
      </c>
      <c r="I93" s="2">
        <v>95</v>
      </c>
      <c r="J93" s="2" t="s">
        <v>1671</v>
      </c>
      <c r="K93" s="2">
        <v>43</v>
      </c>
      <c r="L93" s="2">
        <v>20</v>
      </c>
      <c r="M93" s="2">
        <v>0</v>
      </c>
      <c r="N93" s="2">
        <v>8</v>
      </c>
      <c r="O93" s="2">
        <v>5</v>
      </c>
      <c r="P93" s="2">
        <v>10</v>
      </c>
      <c r="Q93" s="2" t="s">
        <v>1786</v>
      </c>
      <c r="R93" s="2" t="s">
        <v>1787</v>
      </c>
      <c r="S93" s="4">
        <v>44837</v>
      </c>
    </row>
    <row r="94" spans="1:19" ht="12.5" x14ac:dyDescent="0.25">
      <c r="A94" s="14" t="str">
        <f>HYPERLINK("https://gerandofalcoes.my.salesforce.com/0014X00002VKCv4QAH", "0014X00002VKCv4QAH")</f>
        <v>0014X00002VKCv4QAH</v>
      </c>
      <c r="B94" s="2" t="s">
        <v>1788</v>
      </c>
      <c r="C94" s="2" t="s">
        <v>423</v>
      </c>
      <c r="D94" s="2" t="s">
        <v>2</v>
      </c>
      <c r="E94" s="2">
        <v>56</v>
      </c>
      <c r="F94" s="2">
        <v>1</v>
      </c>
      <c r="G94" s="2">
        <v>2</v>
      </c>
      <c r="H94" s="2">
        <v>63500</v>
      </c>
      <c r="I94" s="2">
        <v>74</v>
      </c>
      <c r="J94" s="2" t="s">
        <v>1671</v>
      </c>
      <c r="K94" s="2">
        <v>46</v>
      </c>
      <c r="L94" s="2">
        <v>20</v>
      </c>
      <c r="M94" s="2">
        <v>5</v>
      </c>
      <c r="N94" s="2">
        <v>6</v>
      </c>
      <c r="O94" s="2">
        <v>10</v>
      </c>
      <c r="P94" s="2">
        <v>5</v>
      </c>
      <c r="Q94" s="2" t="s">
        <v>1789</v>
      </c>
      <c r="R94" s="2" t="s">
        <v>1790</v>
      </c>
      <c r="S94" s="4">
        <v>44837</v>
      </c>
    </row>
    <row r="95" spans="1:19" ht="12.5" hidden="1" x14ac:dyDescent="0.25">
      <c r="A95" s="14" t="str">
        <f>HYPERLINK("https://gerandofalcoes.my.salesforce.com/0014X00002OFqnrQAD", "0014X00002OFqnrQAD")</f>
        <v>0014X00002OFqnrQAD</v>
      </c>
      <c r="B95" s="2" t="s">
        <v>1791</v>
      </c>
      <c r="C95" s="2" t="s">
        <v>1684</v>
      </c>
      <c r="D95" s="2" t="s">
        <v>27</v>
      </c>
      <c r="E95" s="2">
        <v>56</v>
      </c>
      <c r="F95" s="2">
        <v>0</v>
      </c>
      <c r="G95" s="2">
        <v>0</v>
      </c>
      <c r="H95" s="2">
        <v>0</v>
      </c>
      <c r="I95" s="2">
        <v>0</v>
      </c>
      <c r="J95" s="2" t="s">
        <v>1779</v>
      </c>
      <c r="K95" s="2">
        <v>20</v>
      </c>
      <c r="L95" s="2">
        <v>20</v>
      </c>
      <c r="M95" s="2">
        <v>0</v>
      </c>
      <c r="N95" s="2">
        <v>0</v>
      </c>
      <c r="O95" s="2">
        <v>0</v>
      </c>
      <c r="P95" s="2">
        <v>0</v>
      </c>
      <c r="Q95" s="2"/>
      <c r="R95" s="2"/>
      <c r="S95" s="4">
        <v>44837</v>
      </c>
    </row>
    <row r="96" spans="1:19" ht="12.5" x14ac:dyDescent="0.25">
      <c r="A96" s="14" t="str">
        <f>HYPERLINK("https://gerandofalcoes.my.salesforce.com/0014X00002VKCt2QAH", "0014X00002VKCt2QAH")</f>
        <v>0014X00002VKCt2QAH</v>
      </c>
      <c r="B96" s="2" t="s">
        <v>1792</v>
      </c>
      <c r="C96" s="2" t="s">
        <v>423</v>
      </c>
      <c r="D96" s="2" t="s">
        <v>2</v>
      </c>
      <c r="E96" s="2">
        <v>54.96</v>
      </c>
      <c r="F96" s="2">
        <v>4</v>
      </c>
      <c r="G96" s="2">
        <v>4</v>
      </c>
      <c r="H96" s="2">
        <v>143565</v>
      </c>
      <c r="I96" s="2">
        <v>240</v>
      </c>
      <c r="J96" s="2" t="s">
        <v>1671</v>
      </c>
      <c r="K96" s="2">
        <v>62</v>
      </c>
      <c r="L96" s="2">
        <v>20</v>
      </c>
      <c r="M96" s="2">
        <v>5</v>
      </c>
      <c r="N96" s="2">
        <v>10</v>
      </c>
      <c r="O96" s="2">
        <v>15</v>
      </c>
      <c r="P96" s="2">
        <v>12</v>
      </c>
      <c r="Q96" s="2" t="s">
        <v>1793</v>
      </c>
      <c r="R96" s="2" t="s">
        <v>1794</v>
      </c>
      <c r="S96" s="4">
        <v>44837</v>
      </c>
    </row>
    <row r="97" spans="1:19" ht="12.5" x14ac:dyDescent="0.25">
      <c r="A97" s="14" t="str">
        <f>HYPERLINK("https://gerandofalcoes.my.salesforce.com/0014X00002VKCrAQAX", "0014X00002VKCrAQAX")</f>
        <v>0014X00002VKCrAQAX</v>
      </c>
      <c r="B97" s="2" t="s">
        <v>1795</v>
      </c>
      <c r="C97" s="2" t="s">
        <v>423</v>
      </c>
      <c r="D97" s="2" t="s">
        <v>2</v>
      </c>
      <c r="E97" s="2">
        <v>53.7</v>
      </c>
      <c r="F97" s="2">
        <v>2</v>
      </c>
      <c r="G97" s="2">
        <v>4</v>
      </c>
      <c r="H97" s="2">
        <v>87500</v>
      </c>
      <c r="I97" s="2">
        <v>19</v>
      </c>
      <c r="J97" s="2" t="s">
        <v>1671</v>
      </c>
      <c r="K97" s="2">
        <v>50</v>
      </c>
      <c r="L97" s="2">
        <v>20</v>
      </c>
      <c r="M97" s="2">
        <v>5</v>
      </c>
      <c r="N97" s="2">
        <v>10</v>
      </c>
      <c r="O97" s="2">
        <v>10</v>
      </c>
      <c r="P97" s="2">
        <v>5</v>
      </c>
      <c r="Q97" s="2" t="s">
        <v>1796</v>
      </c>
      <c r="R97" s="2" t="s">
        <v>1797</v>
      </c>
      <c r="S97" s="4">
        <v>44837</v>
      </c>
    </row>
    <row r="98" spans="1:19" ht="12.5" x14ac:dyDescent="0.25">
      <c r="A98" s="14" t="str">
        <f>HYPERLINK("https://gerandofalcoes.my.salesforce.com/0014P00003AN6yVQAT", "0014P00003AN6yVQAT")</f>
        <v>0014P00003AN6yVQAT</v>
      </c>
      <c r="B98" s="2" t="s">
        <v>1798</v>
      </c>
      <c r="C98" s="2" t="s">
        <v>423</v>
      </c>
      <c r="D98" s="2" t="s">
        <v>2</v>
      </c>
      <c r="E98" s="2">
        <v>53.6</v>
      </c>
      <c r="F98" s="2">
        <v>0</v>
      </c>
      <c r="G98" s="2">
        <v>2</v>
      </c>
      <c r="H98" s="2">
        <v>9586512</v>
      </c>
      <c r="I98" s="2">
        <v>151</v>
      </c>
      <c r="J98" s="2" t="s">
        <v>1671</v>
      </c>
      <c r="K98" s="2">
        <v>63</v>
      </c>
      <c r="L98" s="2">
        <v>20</v>
      </c>
      <c r="M98" s="2">
        <v>0</v>
      </c>
      <c r="N98" s="2">
        <v>6</v>
      </c>
      <c r="O98" s="2">
        <v>25</v>
      </c>
      <c r="P98" s="2">
        <v>12</v>
      </c>
      <c r="Q98" s="2" t="s">
        <v>560</v>
      </c>
      <c r="R98" s="2" t="s">
        <v>560</v>
      </c>
      <c r="S98" s="4">
        <v>44837</v>
      </c>
    </row>
    <row r="99" spans="1:19" ht="12.5" x14ac:dyDescent="0.25">
      <c r="A99" s="14" t="str">
        <f>HYPERLINK("https://gerandofalcoes.my.salesforce.com/0014X00002YggnRQAR", "0014X00002YggnRQAR")</f>
        <v>0014X00002YggnRQAR</v>
      </c>
      <c r="B99" s="2" t="s">
        <v>3392</v>
      </c>
      <c r="C99" s="2" t="s">
        <v>423</v>
      </c>
      <c r="D99" s="2" t="s">
        <v>2</v>
      </c>
      <c r="E99" s="2">
        <v>53.54</v>
      </c>
      <c r="F99" s="2">
        <v>4</v>
      </c>
      <c r="G99" s="2">
        <v>4</v>
      </c>
      <c r="H99" s="2">
        <v>10000</v>
      </c>
      <c r="I99" s="2">
        <v>400</v>
      </c>
      <c r="J99" s="2" t="s">
        <v>1671</v>
      </c>
      <c r="K99" s="2">
        <v>55</v>
      </c>
      <c r="L99" s="2">
        <v>20</v>
      </c>
      <c r="M99" s="2">
        <v>5</v>
      </c>
      <c r="N99" s="2">
        <v>10</v>
      </c>
      <c r="O99" s="2">
        <v>5</v>
      </c>
      <c r="P99" s="2">
        <v>15</v>
      </c>
      <c r="Q99" s="2" t="s">
        <v>3393</v>
      </c>
      <c r="R99" s="2" t="s">
        <v>3394</v>
      </c>
      <c r="S99" s="4">
        <v>44958</v>
      </c>
    </row>
    <row r="100" spans="1:19" ht="12.5" x14ac:dyDescent="0.25">
      <c r="A100" s="14" t="str">
        <f>HYPERLINK("https://gerandofalcoes.my.salesforce.com/0014X00002YgbkhQAB", "0014X00002YgbkhQAB")</f>
        <v>0014X00002YgbkhQAB</v>
      </c>
      <c r="B100" s="2" t="s">
        <v>3798</v>
      </c>
      <c r="C100" s="2" t="s">
        <v>423</v>
      </c>
      <c r="D100" s="2" t="s">
        <v>2</v>
      </c>
      <c r="E100" s="2">
        <v>53.16</v>
      </c>
      <c r="F100" s="2">
        <v>0</v>
      </c>
      <c r="G100" s="2">
        <v>0</v>
      </c>
      <c r="H100" s="2">
        <v>0</v>
      </c>
      <c r="I100" s="2">
        <v>0</v>
      </c>
      <c r="J100" s="2" t="s">
        <v>1779</v>
      </c>
      <c r="K100" s="2">
        <v>20</v>
      </c>
      <c r="L100" s="2">
        <v>20</v>
      </c>
      <c r="M100" s="2">
        <v>0</v>
      </c>
      <c r="N100" s="2">
        <v>0</v>
      </c>
      <c r="O100" s="2">
        <v>0</v>
      </c>
      <c r="P100" s="2">
        <v>0</v>
      </c>
      <c r="Q100" s="2" t="s">
        <v>3799</v>
      </c>
      <c r="R100" s="2" t="s">
        <v>3799</v>
      </c>
      <c r="S100" s="4">
        <v>44970</v>
      </c>
    </row>
    <row r="101" spans="1:19" ht="12.5" x14ac:dyDescent="0.25">
      <c r="A101" s="14" t="str">
        <f>HYPERLINK("https://gerandofalcoes.my.salesforce.com/0014P00003AN2FXQA1", "0014P00003AN2FXQA1")</f>
        <v>0014P00003AN2FXQA1</v>
      </c>
      <c r="B101" s="2" t="s">
        <v>1799</v>
      </c>
      <c r="C101" s="2" t="s">
        <v>1800</v>
      </c>
      <c r="D101" s="2" t="s">
        <v>2</v>
      </c>
      <c r="E101" s="2">
        <v>53</v>
      </c>
      <c r="F101" s="2">
        <v>8</v>
      </c>
      <c r="G101" s="2">
        <v>3</v>
      </c>
      <c r="H101" s="2">
        <v>250000</v>
      </c>
      <c r="I101" s="2">
        <v>238</v>
      </c>
      <c r="J101" s="2" t="s">
        <v>1650</v>
      </c>
      <c r="K101" s="2">
        <v>65</v>
      </c>
      <c r="L101" s="2">
        <v>20</v>
      </c>
      <c r="M101" s="2">
        <v>10</v>
      </c>
      <c r="N101" s="2">
        <v>8</v>
      </c>
      <c r="O101" s="2">
        <v>15</v>
      </c>
      <c r="P101" s="2">
        <v>12</v>
      </c>
      <c r="Q101" s="2" t="s">
        <v>646</v>
      </c>
      <c r="R101" s="2" t="s">
        <v>646</v>
      </c>
      <c r="S101" s="4">
        <v>44837</v>
      </c>
    </row>
    <row r="102" spans="1:19" ht="12.5" x14ac:dyDescent="0.25">
      <c r="A102" s="14" t="str">
        <f>HYPERLINK("https://gerandofalcoes.my.salesforce.com/0014X00002VKCuTQAX", "0014X00002VKCuTQAX")</f>
        <v>0014X00002VKCuTQAX</v>
      </c>
      <c r="B102" s="2" t="s">
        <v>1801</v>
      </c>
      <c r="C102" s="2" t="s">
        <v>423</v>
      </c>
      <c r="D102" s="2" t="s">
        <v>2</v>
      </c>
      <c r="E102" s="2">
        <v>53</v>
      </c>
      <c r="F102" s="2">
        <v>14</v>
      </c>
      <c r="G102" s="2">
        <v>2</v>
      </c>
      <c r="H102" s="2">
        <v>350000</v>
      </c>
      <c r="I102" s="2">
        <v>75</v>
      </c>
      <c r="J102" s="2" t="s">
        <v>1671</v>
      </c>
      <c r="K102" s="2">
        <v>63</v>
      </c>
      <c r="L102" s="2">
        <v>20</v>
      </c>
      <c r="M102" s="2">
        <v>12</v>
      </c>
      <c r="N102" s="2">
        <v>6</v>
      </c>
      <c r="O102" s="2">
        <v>20</v>
      </c>
      <c r="P102" s="2">
        <v>5</v>
      </c>
      <c r="Q102" s="2" t="s">
        <v>1802</v>
      </c>
      <c r="R102" s="2" t="s">
        <v>1803</v>
      </c>
      <c r="S102" s="4">
        <v>44837</v>
      </c>
    </row>
    <row r="103" spans="1:19" ht="12.5" x14ac:dyDescent="0.25">
      <c r="A103" s="14" t="str">
        <f>HYPERLINK("https://gerandofalcoes.my.salesforce.com/0014P00003YSp7eQAD", "0014P00003YSp7eQAD")</f>
        <v>0014P00003YSp7eQAD</v>
      </c>
      <c r="B103" s="2" t="s">
        <v>1804</v>
      </c>
      <c r="C103" s="2" t="s">
        <v>423</v>
      </c>
      <c r="D103" s="2" t="s">
        <v>2</v>
      </c>
      <c r="E103" s="2">
        <v>52.89</v>
      </c>
      <c r="F103" s="2">
        <v>6</v>
      </c>
      <c r="G103" s="2">
        <v>3</v>
      </c>
      <c r="H103" s="2">
        <v>43600000</v>
      </c>
      <c r="I103" s="2">
        <v>131</v>
      </c>
      <c r="J103" s="2" t="s">
        <v>1650</v>
      </c>
      <c r="K103" s="2">
        <v>73</v>
      </c>
      <c r="L103" s="2">
        <v>20</v>
      </c>
      <c r="M103" s="2">
        <v>10</v>
      </c>
      <c r="N103" s="2">
        <v>8</v>
      </c>
      <c r="O103" s="2">
        <v>25</v>
      </c>
      <c r="P103" s="2">
        <v>10</v>
      </c>
      <c r="Q103" s="2" t="s">
        <v>1805</v>
      </c>
      <c r="R103" s="2" t="s">
        <v>1806</v>
      </c>
      <c r="S103" s="4">
        <v>44837</v>
      </c>
    </row>
    <row r="104" spans="1:19" ht="12.5" x14ac:dyDescent="0.25">
      <c r="A104" s="14" t="str">
        <f>HYPERLINK("https://gerandofalcoes.my.salesforce.com/0014P00003YSp7PQAT", "0014P00003YSp7PQAT")</f>
        <v>0014P00003YSp7PQAT</v>
      </c>
      <c r="B104" s="2" t="s">
        <v>1807</v>
      </c>
      <c r="C104" s="2" t="s">
        <v>423</v>
      </c>
      <c r="D104" s="2" t="s">
        <v>2</v>
      </c>
      <c r="E104" s="2">
        <v>52.75</v>
      </c>
      <c r="F104" s="2">
        <v>5</v>
      </c>
      <c r="G104" s="2">
        <v>4</v>
      </c>
      <c r="H104" s="2">
        <v>465000</v>
      </c>
      <c r="I104" s="2">
        <v>55</v>
      </c>
      <c r="J104" s="2" t="s">
        <v>1671</v>
      </c>
      <c r="K104" s="2">
        <v>60</v>
      </c>
      <c r="L104" s="2">
        <v>20</v>
      </c>
      <c r="M104" s="2">
        <v>5</v>
      </c>
      <c r="N104" s="2">
        <v>10</v>
      </c>
      <c r="O104" s="2">
        <v>20</v>
      </c>
      <c r="P104" s="2">
        <v>5</v>
      </c>
      <c r="Q104" s="2" t="s">
        <v>1808</v>
      </c>
      <c r="R104" s="2" t="s">
        <v>1809</v>
      </c>
      <c r="S104" s="4">
        <v>44837</v>
      </c>
    </row>
    <row r="105" spans="1:19" ht="12.5" x14ac:dyDescent="0.25">
      <c r="A105" s="14" t="str">
        <f>HYPERLINK("https://gerandofalcoes.my.salesforce.com/0014P00003YSpAIQA1", "0014P00003YSpAIQA1")</f>
        <v>0014P00003YSpAIQA1</v>
      </c>
      <c r="B105" s="2" t="s">
        <v>1810</v>
      </c>
      <c r="C105" s="2" t="s">
        <v>423</v>
      </c>
      <c r="D105" s="2" t="s">
        <v>2</v>
      </c>
      <c r="E105" s="2">
        <v>52.5</v>
      </c>
      <c r="F105" s="2">
        <v>0</v>
      </c>
      <c r="G105" s="2">
        <v>3</v>
      </c>
      <c r="H105" s="2">
        <v>17707602</v>
      </c>
      <c r="I105" s="2">
        <v>0</v>
      </c>
      <c r="J105" s="2" t="s">
        <v>1671</v>
      </c>
      <c r="K105" s="2">
        <v>53</v>
      </c>
      <c r="L105" s="2">
        <v>20</v>
      </c>
      <c r="M105" s="2">
        <v>0</v>
      </c>
      <c r="N105" s="2">
        <v>8</v>
      </c>
      <c r="O105" s="2">
        <v>25</v>
      </c>
      <c r="P105" s="2">
        <v>0</v>
      </c>
      <c r="Q105" s="2" t="s">
        <v>1811</v>
      </c>
      <c r="R105" s="2" t="s">
        <v>1812</v>
      </c>
      <c r="S105" s="4">
        <v>44837</v>
      </c>
    </row>
    <row r="106" spans="1:19" ht="12.5" x14ac:dyDescent="0.25">
      <c r="A106" s="14" t="str">
        <f>HYPERLINK("https://gerandofalcoes.my.salesforce.com/0014X00002VKCtxQAH", "0014X00002VKCtxQAH")</f>
        <v>0014X00002VKCtxQAH</v>
      </c>
      <c r="B106" s="2" t="s">
        <v>1813</v>
      </c>
      <c r="C106" s="2" t="s">
        <v>423</v>
      </c>
      <c r="D106" s="2" t="s">
        <v>2</v>
      </c>
      <c r="E106" s="2">
        <v>52</v>
      </c>
      <c r="F106" s="2">
        <v>10</v>
      </c>
      <c r="G106" s="2">
        <v>3</v>
      </c>
      <c r="H106" s="2">
        <v>5000</v>
      </c>
      <c r="I106" s="2">
        <v>580</v>
      </c>
      <c r="J106" s="2" t="s">
        <v>1671</v>
      </c>
      <c r="K106" s="2">
        <v>63</v>
      </c>
      <c r="L106" s="2">
        <v>20</v>
      </c>
      <c r="M106" s="2">
        <v>10</v>
      </c>
      <c r="N106" s="2">
        <v>8</v>
      </c>
      <c r="O106" s="2">
        <v>5</v>
      </c>
      <c r="P106" s="2">
        <v>20</v>
      </c>
      <c r="Q106" s="2" t="s">
        <v>1814</v>
      </c>
      <c r="R106" s="2" t="s">
        <v>1815</v>
      </c>
      <c r="S106" s="4">
        <v>44837</v>
      </c>
    </row>
    <row r="107" spans="1:19" ht="12.5" x14ac:dyDescent="0.25">
      <c r="A107" s="14" t="str">
        <f>HYPERLINK("https://gerandofalcoes.my.salesforce.com/0014X00002YggoSQAR", "0014X00002YggoSQAR")</f>
        <v>0014X00002YggoSQAR</v>
      </c>
      <c r="B107" s="2" t="s">
        <v>3238</v>
      </c>
      <c r="C107" s="2" t="s">
        <v>423</v>
      </c>
      <c r="D107" s="2" t="s">
        <v>2</v>
      </c>
      <c r="E107" s="2">
        <v>51.59</v>
      </c>
      <c r="F107" s="2">
        <v>15</v>
      </c>
      <c r="G107" s="2">
        <v>7</v>
      </c>
      <c r="H107" s="2">
        <v>3101114</v>
      </c>
      <c r="I107" s="2">
        <v>145</v>
      </c>
      <c r="J107" s="2" t="s">
        <v>1650</v>
      </c>
      <c r="K107" s="2">
        <v>77</v>
      </c>
      <c r="L107" s="2">
        <v>20</v>
      </c>
      <c r="M107" s="2">
        <v>12</v>
      </c>
      <c r="N107" s="2">
        <v>10</v>
      </c>
      <c r="O107" s="2">
        <v>25</v>
      </c>
      <c r="P107" s="2">
        <v>10</v>
      </c>
      <c r="Q107" s="2" t="s">
        <v>3239</v>
      </c>
      <c r="R107" s="2" t="s">
        <v>3240</v>
      </c>
      <c r="S107" s="4">
        <v>44952</v>
      </c>
    </row>
    <row r="108" spans="1:19" ht="12.5" x14ac:dyDescent="0.25">
      <c r="A108" s="14" t="str">
        <f>HYPERLINK("https://gerandofalcoes.my.salesforce.com/0014X00002VKCqgQAH", "0014X00002VKCqgQAH")</f>
        <v>0014X00002VKCqgQAH</v>
      </c>
      <c r="B108" s="2" t="s">
        <v>1816</v>
      </c>
      <c r="C108" s="2" t="s">
        <v>423</v>
      </c>
      <c r="D108" s="2" t="s">
        <v>2</v>
      </c>
      <c r="E108" s="2">
        <v>51.56</v>
      </c>
      <c r="F108" s="2">
        <v>12</v>
      </c>
      <c r="G108" s="2">
        <v>2</v>
      </c>
      <c r="H108" s="2">
        <v>472000</v>
      </c>
      <c r="I108" s="2">
        <v>50</v>
      </c>
      <c r="J108" s="2" t="s">
        <v>1671</v>
      </c>
      <c r="K108" s="2">
        <v>63</v>
      </c>
      <c r="L108" s="2">
        <v>20</v>
      </c>
      <c r="M108" s="2">
        <v>12</v>
      </c>
      <c r="N108" s="2">
        <v>6</v>
      </c>
      <c r="O108" s="2">
        <v>20</v>
      </c>
      <c r="P108" s="2">
        <v>5</v>
      </c>
      <c r="Q108" s="2" t="s">
        <v>1817</v>
      </c>
      <c r="R108" s="2" t="s">
        <v>1818</v>
      </c>
      <c r="S108" s="4">
        <v>44837</v>
      </c>
    </row>
    <row r="109" spans="1:19" ht="12.5" x14ac:dyDescent="0.25">
      <c r="A109" s="14" t="str">
        <f>HYPERLINK("https://gerandofalcoes.my.salesforce.com/0014X00002VKCp8QAH", "0014X00002VKCp8QAH")</f>
        <v>0014X00002VKCp8QAH</v>
      </c>
      <c r="B109" s="2" t="s">
        <v>1819</v>
      </c>
      <c r="C109" s="2" t="s">
        <v>423</v>
      </c>
      <c r="D109" s="2" t="s">
        <v>2</v>
      </c>
      <c r="E109" s="2">
        <v>51.3</v>
      </c>
      <c r="F109" s="2">
        <v>2</v>
      </c>
      <c r="G109" s="2">
        <v>2</v>
      </c>
      <c r="H109" s="2">
        <v>63000</v>
      </c>
      <c r="I109" s="2">
        <v>100</v>
      </c>
      <c r="J109" s="2" t="s">
        <v>1671</v>
      </c>
      <c r="K109" s="2">
        <v>51</v>
      </c>
      <c r="L109" s="2">
        <v>20</v>
      </c>
      <c r="M109" s="2">
        <v>5</v>
      </c>
      <c r="N109" s="2">
        <v>6</v>
      </c>
      <c r="O109" s="2">
        <v>10</v>
      </c>
      <c r="P109" s="2">
        <v>10</v>
      </c>
      <c r="Q109" s="2" t="s">
        <v>1820</v>
      </c>
      <c r="R109" s="2" t="s">
        <v>1821</v>
      </c>
      <c r="S109" s="4">
        <v>44837</v>
      </c>
    </row>
    <row r="110" spans="1:19" ht="12.5" x14ac:dyDescent="0.25">
      <c r="A110" s="14" t="str">
        <f>HYPERLINK("https://gerandofalcoes.my.salesforce.com/0014P00003YSpAJQA1", "0014P00003YSpAJQA1")</f>
        <v>0014P00003YSpAJQA1</v>
      </c>
      <c r="B110" s="2" t="s">
        <v>1822</v>
      </c>
      <c r="C110" s="2" t="s">
        <v>423</v>
      </c>
      <c r="D110" s="2" t="s">
        <v>2</v>
      </c>
      <c r="E110" s="2">
        <v>51.28</v>
      </c>
      <c r="F110" s="2">
        <v>3</v>
      </c>
      <c r="G110" s="2">
        <v>6</v>
      </c>
      <c r="H110" s="2">
        <v>1556030</v>
      </c>
      <c r="I110" s="2">
        <v>200</v>
      </c>
      <c r="J110" s="2" t="s">
        <v>1650</v>
      </c>
      <c r="K110" s="2">
        <v>72</v>
      </c>
      <c r="L110" s="2">
        <v>20</v>
      </c>
      <c r="M110" s="2">
        <v>5</v>
      </c>
      <c r="N110" s="2">
        <v>10</v>
      </c>
      <c r="O110" s="2">
        <v>25</v>
      </c>
      <c r="P110" s="2">
        <v>12</v>
      </c>
      <c r="Q110" s="2" t="s">
        <v>1823</v>
      </c>
      <c r="R110" s="2" t="s">
        <v>1823</v>
      </c>
      <c r="S110" s="4">
        <v>44837</v>
      </c>
    </row>
    <row r="111" spans="1:19" ht="12.5" x14ac:dyDescent="0.25">
      <c r="A111" s="14" t="str">
        <f>HYPERLINK("https://gerandofalcoes.my.salesforce.com/0014X00002VKCryQAH", "0014X00002VKCryQAH")</f>
        <v>0014X00002VKCryQAH</v>
      </c>
      <c r="B111" s="2" t="s">
        <v>1824</v>
      </c>
      <c r="C111" s="2" t="s">
        <v>423</v>
      </c>
      <c r="D111" s="2" t="s">
        <v>2</v>
      </c>
      <c r="E111" s="2">
        <v>51</v>
      </c>
      <c r="F111" s="2">
        <v>2</v>
      </c>
      <c r="G111" s="2">
        <v>7</v>
      </c>
      <c r="H111" s="2">
        <v>200000</v>
      </c>
      <c r="I111" s="2">
        <v>90</v>
      </c>
      <c r="J111" s="2" t="s">
        <v>1671</v>
      </c>
      <c r="K111" s="2">
        <v>60</v>
      </c>
      <c r="L111" s="2">
        <v>20</v>
      </c>
      <c r="M111" s="2">
        <v>5</v>
      </c>
      <c r="N111" s="2">
        <v>10</v>
      </c>
      <c r="O111" s="2">
        <v>15</v>
      </c>
      <c r="P111" s="2">
        <v>10</v>
      </c>
      <c r="Q111" s="2" t="s">
        <v>1825</v>
      </c>
      <c r="R111" s="2" t="s">
        <v>1826</v>
      </c>
      <c r="S111" s="4">
        <v>44837</v>
      </c>
    </row>
    <row r="112" spans="1:19" ht="12.5" x14ac:dyDescent="0.25">
      <c r="A112" s="14" t="str">
        <f>HYPERLINK("https://gerandofalcoes.my.salesforce.com/0014P00003SGWQ3QAP", "0014P00003SGWQ3QAP")</f>
        <v>0014P00003SGWQ3QAP</v>
      </c>
      <c r="B112" s="2" t="s">
        <v>210</v>
      </c>
      <c r="C112" s="2" t="s">
        <v>423</v>
      </c>
      <c r="D112" s="2" t="s">
        <v>2</v>
      </c>
      <c r="E112" s="2">
        <v>51</v>
      </c>
      <c r="F112" s="2">
        <v>34</v>
      </c>
      <c r="G112" s="2">
        <v>4</v>
      </c>
      <c r="H112" s="2">
        <v>140000</v>
      </c>
      <c r="I112" s="2">
        <v>40</v>
      </c>
      <c r="J112" s="2" t="s">
        <v>1650</v>
      </c>
      <c r="K112" s="2">
        <v>65</v>
      </c>
      <c r="L112" s="2">
        <v>20</v>
      </c>
      <c r="M112" s="2">
        <v>15</v>
      </c>
      <c r="N112" s="2">
        <v>10</v>
      </c>
      <c r="O112" s="2">
        <v>15</v>
      </c>
      <c r="P112" s="2">
        <v>5</v>
      </c>
      <c r="Q112" s="2" t="s">
        <v>211</v>
      </c>
      <c r="R112" s="2" t="s">
        <v>1459</v>
      </c>
      <c r="S112" s="4">
        <v>44837</v>
      </c>
    </row>
    <row r="113" spans="1:19" ht="12.5" x14ac:dyDescent="0.25">
      <c r="A113" s="14" t="str">
        <f>HYPERLINK("https://gerandofalcoes.my.salesforce.com/0014P00003SGWPYQA5", "0014P00003SGWPYQA5")</f>
        <v>0014P00003SGWPYQA5</v>
      </c>
      <c r="B113" s="2" t="s">
        <v>175</v>
      </c>
      <c r="C113" s="2" t="s">
        <v>423</v>
      </c>
      <c r="D113" s="2" t="s">
        <v>2</v>
      </c>
      <c r="E113" s="2">
        <v>50.15</v>
      </c>
      <c r="F113" s="2">
        <v>0</v>
      </c>
      <c r="G113" s="2">
        <v>2</v>
      </c>
      <c r="H113" s="2">
        <v>23420</v>
      </c>
      <c r="I113" s="2">
        <v>200</v>
      </c>
      <c r="J113" s="2" t="s">
        <v>1671</v>
      </c>
      <c r="K113" s="2">
        <v>43</v>
      </c>
      <c r="L113" s="2">
        <v>20</v>
      </c>
      <c r="M113" s="2">
        <v>0</v>
      </c>
      <c r="N113" s="2">
        <v>6</v>
      </c>
      <c r="O113" s="2">
        <v>5</v>
      </c>
      <c r="P113" s="2">
        <v>12</v>
      </c>
      <c r="Q113" s="2" t="s">
        <v>176</v>
      </c>
      <c r="R113" s="2" t="s">
        <v>176</v>
      </c>
      <c r="S113" s="4">
        <v>44837</v>
      </c>
    </row>
    <row r="114" spans="1:19" ht="12.5" x14ac:dyDescent="0.25">
      <c r="A114" s="14" t="str">
        <f>HYPERLINK("https://gerandofalcoes.my.salesforce.com/0014P00003SGWPZQA5", "0014P00003SGWPZQA5")</f>
        <v>0014P00003SGWPZQA5</v>
      </c>
      <c r="B114" s="2" t="s">
        <v>1827</v>
      </c>
      <c r="C114" s="2" t="s">
        <v>423</v>
      </c>
      <c r="D114" s="2" t="s">
        <v>2</v>
      </c>
      <c r="E114" s="2">
        <v>50.05</v>
      </c>
      <c r="F114" s="2">
        <v>2</v>
      </c>
      <c r="G114" s="2">
        <v>3</v>
      </c>
      <c r="H114" s="2">
        <v>140000</v>
      </c>
      <c r="I114" s="2">
        <v>78</v>
      </c>
      <c r="J114" s="2" t="s">
        <v>1671</v>
      </c>
      <c r="K114" s="2">
        <v>53</v>
      </c>
      <c r="L114" s="2">
        <v>20</v>
      </c>
      <c r="M114" s="2">
        <v>5</v>
      </c>
      <c r="N114" s="2">
        <v>8</v>
      </c>
      <c r="O114" s="2">
        <v>15</v>
      </c>
      <c r="P114" s="2">
        <v>5</v>
      </c>
      <c r="Q114" s="2" t="s">
        <v>161</v>
      </c>
      <c r="R114" s="2" t="s">
        <v>1828</v>
      </c>
      <c r="S114" s="4">
        <v>44837</v>
      </c>
    </row>
    <row r="115" spans="1:19" ht="12.5" x14ac:dyDescent="0.25">
      <c r="A115" s="14" t="str">
        <f>HYPERLINK("https://gerandofalcoes.my.salesforce.com/0014X00002VKCqHQAX", "0014X00002VKCqHQAX")</f>
        <v>0014X00002VKCqHQAX</v>
      </c>
      <c r="B115" s="2" t="s">
        <v>1829</v>
      </c>
      <c r="C115" s="2" t="s">
        <v>423</v>
      </c>
      <c r="D115" s="2" t="s">
        <v>2</v>
      </c>
      <c r="E115" s="2">
        <v>50</v>
      </c>
      <c r="F115" s="2">
        <v>0</v>
      </c>
      <c r="G115" s="2">
        <v>5</v>
      </c>
      <c r="H115" s="2">
        <v>521000</v>
      </c>
      <c r="I115" s="2">
        <v>155</v>
      </c>
      <c r="J115" s="2" t="s">
        <v>1671</v>
      </c>
      <c r="K115" s="2">
        <v>62</v>
      </c>
      <c r="L115" s="2">
        <v>20</v>
      </c>
      <c r="M115" s="2">
        <v>0</v>
      </c>
      <c r="N115" s="2">
        <v>10</v>
      </c>
      <c r="O115" s="2">
        <v>20</v>
      </c>
      <c r="P115" s="2">
        <v>12</v>
      </c>
      <c r="Q115" s="2" t="s">
        <v>1830</v>
      </c>
      <c r="R115" s="2" t="s">
        <v>1831</v>
      </c>
      <c r="S115" s="4">
        <v>44837</v>
      </c>
    </row>
    <row r="116" spans="1:19" ht="12.5" x14ac:dyDescent="0.25">
      <c r="A116" s="14" t="str">
        <f>HYPERLINK("https://gerandofalcoes.my.salesforce.com/0014X00002YggiIQAR", "0014X00002YggiIQAR")</f>
        <v>0014X00002YggiIQAR</v>
      </c>
      <c r="B116" s="2" t="s">
        <v>4049</v>
      </c>
      <c r="C116" s="2" t="s">
        <v>423</v>
      </c>
      <c r="D116" s="2" t="s">
        <v>2</v>
      </c>
      <c r="E116" s="2">
        <v>49.78</v>
      </c>
      <c r="F116" s="2">
        <v>32</v>
      </c>
      <c r="G116" s="2">
        <v>6</v>
      </c>
      <c r="H116" s="2">
        <v>165732912</v>
      </c>
      <c r="I116" s="2">
        <v>0</v>
      </c>
      <c r="J116" s="2"/>
      <c r="K116" s="2">
        <v>50</v>
      </c>
      <c r="L116" s="2">
        <v>0</v>
      </c>
      <c r="M116" s="2">
        <v>15</v>
      </c>
      <c r="N116" s="2">
        <v>10</v>
      </c>
      <c r="O116" s="2">
        <v>25</v>
      </c>
      <c r="P116" s="2">
        <v>0</v>
      </c>
      <c r="Q116" s="2" t="s">
        <v>4050</v>
      </c>
      <c r="R116" s="2" t="s">
        <v>4051</v>
      </c>
      <c r="S116" s="4">
        <v>45169</v>
      </c>
    </row>
    <row r="117" spans="1:19" ht="12.5" x14ac:dyDescent="0.25">
      <c r="A117" s="14" t="str">
        <f>HYPERLINK("https://gerandofalcoes.my.salesforce.com/0014P00003AN2GCQA1", "0014P00003AN2GCQA1")</f>
        <v>0014P00003AN2GCQA1</v>
      </c>
      <c r="B117" s="2" t="s">
        <v>1832</v>
      </c>
      <c r="C117" s="2" t="s">
        <v>423</v>
      </c>
      <c r="D117" s="2" t="s">
        <v>2</v>
      </c>
      <c r="E117" s="2">
        <v>49.69</v>
      </c>
      <c r="F117" s="2">
        <v>2</v>
      </c>
      <c r="G117" s="2">
        <v>4</v>
      </c>
      <c r="H117" s="2">
        <v>234550</v>
      </c>
      <c r="I117" s="2">
        <v>187</v>
      </c>
      <c r="J117" s="2" t="s">
        <v>1671</v>
      </c>
      <c r="K117" s="2">
        <v>42</v>
      </c>
      <c r="L117" s="2">
        <v>0</v>
      </c>
      <c r="M117" s="2">
        <v>5</v>
      </c>
      <c r="N117" s="2">
        <v>10</v>
      </c>
      <c r="O117" s="2">
        <v>15</v>
      </c>
      <c r="P117" s="2">
        <v>12</v>
      </c>
      <c r="Q117" s="2" t="s">
        <v>978</v>
      </c>
      <c r="R117" s="2" t="s">
        <v>978</v>
      </c>
      <c r="S117" s="4">
        <v>44837</v>
      </c>
    </row>
    <row r="118" spans="1:19" ht="12.5" x14ac:dyDescent="0.25">
      <c r="A118" s="14" t="str">
        <f>HYPERLINK("https://gerandofalcoes.my.salesforce.com/0014P00003YSp9XQAT", "0014P00003YSp9XQAT")</f>
        <v>0014P00003YSp9XQAT</v>
      </c>
      <c r="B118" s="2" t="s">
        <v>1833</v>
      </c>
      <c r="C118" s="2" t="s">
        <v>423</v>
      </c>
      <c r="D118" s="2" t="s">
        <v>2</v>
      </c>
      <c r="E118" s="2">
        <v>49.55</v>
      </c>
      <c r="F118" s="2">
        <v>53</v>
      </c>
      <c r="G118" s="2">
        <v>6</v>
      </c>
      <c r="H118" s="2">
        <v>526341644</v>
      </c>
      <c r="I118" s="2">
        <v>501</v>
      </c>
      <c r="J118" s="2" t="s">
        <v>1650</v>
      </c>
      <c r="K118" s="2">
        <v>70</v>
      </c>
      <c r="L118" s="2">
        <v>0</v>
      </c>
      <c r="M118" s="2">
        <v>15</v>
      </c>
      <c r="N118" s="2">
        <v>10</v>
      </c>
      <c r="O118" s="2">
        <v>25</v>
      </c>
      <c r="P118" s="2">
        <v>20</v>
      </c>
      <c r="Q118" s="2" t="s">
        <v>1834</v>
      </c>
      <c r="R118" s="2"/>
      <c r="S118" s="4">
        <v>44837</v>
      </c>
    </row>
    <row r="119" spans="1:19" ht="12.5" x14ac:dyDescent="0.25">
      <c r="A119" s="14" t="str">
        <f>HYPERLINK("https://gerandofalcoes.my.salesforce.com/0014X00002YggiEQAR", "0014X00002YggiEQAR")</f>
        <v>0014X00002YggiEQAR</v>
      </c>
      <c r="B119" s="2" t="s">
        <v>3241</v>
      </c>
      <c r="C119" s="2" t="s">
        <v>423</v>
      </c>
      <c r="D119" s="2" t="s">
        <v>2</v>
      </c>
      <c r="E119" s="2">
        <v>49.44</v>
      </c>
      <c r="F119" s="2">
        <v>23</v>
      </c>
      <c r="G119" s="2">
        <v>4</v>
      </c>
      <c r="H119" s="2">
        <v>750000</v>
      </c>
      <c r="I119" s="2">
        <v>0</v>
      </c>
      <c r="J119" s="2" t="s">
        <v>1671</v>
      </c>
      <c r="K119" s="2">
        <v>42</v>
      </c>
      <c r="L119" s="2">
        <v>0</v>
      </c>
      <c r="M119" s="2">
        <v>12</v>
      </c>
      <c r="N119" s="2">
        <v>10</v>
      </c>
      <c r="O119" s="2">
        <v>20</v>
      </c>
      <c r="P119" s="2">
        <v>0</v>
      </c>
      <c r="Q119" s="2" t="s">
        <v>3242</v>
      </c>
      <c r="R119" s="2" t="s">
        <v>3243</v>
      </c>
      <c r="S119" s="4">
        <v>44952</v>
      </c>
    </row>
    <row r="120" spans="1:19" ht="12.5" x14ac:dyDescent="0.25">
      <c r="A120" s="14" t="str">
        <f>HYPERLINK("https://gerandofalcoes.my.salesforce.com/0014X00002YggmwQAB", "0014X00002YggmwQAB")</f>
        <v>0014X00002YggmwQAB</v>
      </c>
      <c r="B120" s="2" t="s">
        <v>3532</v>
      </c>
      <c r="C120" s="2" t="s">
        <v>423</v>
      </c>
      <c r="D120" s="2" t="s">
        <v>2</v>
      </c>
      <c r="E120" s="2">
        <v>49.28</v>
      </c>
      <c r="F120" s="2">
        <v>0</v>
      </c>
      <c r="G120" s="2">
        <v>3</v>
      </c>
      <c r="H120" s="2">
        <v>320618</v>
      </c>
      <c r="I120" s="2">
        <v>200</v>
      </c>
      <c r="J120" s="2" t="s">
        <v>1671</v>
      </c>
      <c r="K120" s="2">
        <v>40</v>
      </c>
      <c r="L120" s="2">
        <v>0</v>
      </c>
      <c r="M120" s="2">
        <v>0</v>
      </c>
      <c r="N120" s="2">
        <v>8</v>
      </c>
      <c r="O120" s="2">
        <v>20</v>
      </c>
      <c r="P120" s="2">
        <v>12</v>
      </c>
      <c r="Q120" s="2" t="s">
        <v>3533</v>
      </c>
      <c r="R120" s="2" t="s">
        <v>3534</v>
      </c>
      <c r="S120" s="4">
        <v>44959</v>
      </c>
    </row>
    <row r="121" spans="1:19" ht="12.5" x14ac:dyDescent="0.25">
      <c r="A121" s="14" t="str">
        <f>HYPERLINK("https://gerandofalcoes.my.salesforce.com/0014P00003YSpA9QAL", "0014P00003YSpA9QAL")</f>
        <v>0014P00003YSpA9QAL</v>
      </c>
      <c r="B121" s="2" t="s">
        <v>1835</v>
      </c>
      <c r="C121" s="2" t="s">
        <v>423</v>
      </c>
      <c r="D121" s="2" t="s">
        <v>2</v>
      </c>
      <c r="E121" s="2">
        <v>49.27</v>
      </c>
      <c r="F121" s="2">
        <v>0</v>
      </c>
      <c r="G121" s="2">
        <v>2</v>
      </c>
      <c r="H121" s="2">
        <v>21270</v>
      </c>
      <c r="I121" s="2">
        <v>25</v>
      </c>
      <c r="J121" s="2" t="s">
        <v>1779</v>
      </c>
      <c r="K121" s="2">
        <v>16</v>
      </c>
      <c r="L121" s="2">
        <v>0</v>
      </c>
      <c r="M121" s="2">
        <v>0</v>
      </c>
      <c r="N121" s="2">
        <v>6</v>
      </c>
      <c r="O121" s="2">
        <v>5</v>
      </c>
      <c r="P121" s="2">
        <v>5</v>
      </c>
      <c r="Q121" s="2" t="s">
        <v>1836</v>
      </c>
      <c r="R121" s="2" t="s">
        <v>1837</v>
      </c>
      <c r="S121" s="4">
        <v>44837</v>
      </c>
    </row>
    <row r="122" spans="1:19" ht="12.5" x14ac:dyDescent="0.25">
      <c r="A122" s="14" t="str">
        <f>HYPERLINK("https://gerandofalcoes.my.salesforce.com/0014X00002VKCujQAH", "0014X00002VKCujQAH")</f>
        <v>0014X00002VKCujQAH</v>
      </c>
      <c r="B122" s="2" t="s">
        <v>1838</v>
      </c>
      <c r="C122" s="2" t="s">
        <v>423</v>
      </c>
      <c r="D122" s="2" t="s">
        <v>2</v>
      </c>
      <c r="E122" s="2">
        <v>49.16</v>
      </c>
      <c r="F122" s="2">
        <v>4</v>
      </c>
      <c r="G122" s="2">
        <v>1</v>
      </c>
      <c r="H122" s="2">
        <v>679520</v>
      </c>
      <c r="I122" s="2">
        <v>100</v>
      </c>
      <c r="J122" s="2" t="s">
        <v>1779</v>
      </c>
      <c r="K122" s="2">
        <v>39</v>
      </c>
      <c r="L122" s="2">
        <v>0</v>
      </c>
      <c r="M122" s="2">
        <v>5</v>
      </c>
      <c r="N122" s="2">
        <v>4</v>
      </c>
      <c r="O122" s="2">
        <v>20</v>
      </c>
      <c r="P122" s="2">
        <v>10</v>
      </c>
      <c r="Q122" s="2" t="s">
        <v>1839</v>
      </c>
      <c r="R122" s="2" t="s">
        <v>1840</v>
      </c>
      <c r="S122" s="4">
        <v>44837</v>
      </c>
    </row>
    <row r="123" spans="1:19" ht="12.5" x14ac:dyDescent="0.25">
      <c r="A123" s="14" t="str">
        <f>HYPERLINK("https://gerandofalcoes.my.salesforce.com/0014X00002VKCt4QAH", "0014X00002VKCt4QAH")</f>
        <v>0014X00002VKCt4QAH</v>
      </c>
      <c r="B123" s="2" t="s">
        <v>1841</v>
      </c>
      <c r="C123" s="2" t="s">
        <v>423</v>
      </c>
      <c r="D123" s="2" t="s">
        <v>2</v>
      </c>
      <c r="E123" s="2">
        <v>48.59</v>
      </c>
      <c r="F123" s="2">
        <v>0</v>
      </c>
      <c r="G123" s="2">
        <v>2</v>
      </c>
      <c r="H123" s="2">
        <v>272000</v>
      </c>
      <c r="I123" s="2">
        <v>105</v>
      </c>
      <c r="J123" s="2" t="s">
        <v>1671</v>
      </c>
      <c r="K123" s="2">
        <v>46</v>
      </c>
      <c r="L123" s="2">
        <v>15</v>
      </c>
      <c r="M123" s="2">
        <v>0</v>
      </c>
      <c r="N123" s="2">
        <v>6</v>
      </c>
      <c r="O123" s="2">
        <v>15</v>
      </c>
      <c r="P123" s="2">
        <v>10</v>
      </c>
      <c r="Q123" s="2" t="s">
        <v>1842</v>
      </c>
      <c r="R123" s="2" t="s">
        <v>1843</v>
      </c>
      <c r="S123" s="4">
        <v>44837</v>
      </c>
    </row>
    <row r="124" spans="1:19" ht="12.5" hidden="1" x14ac:dyDescent="0.25">
      <c r="A124" s="14" t="str">
        <f>HYPERLINK("https://gerandofalcoes.my.salesforce.com/0014P00003SGWPUQA5", "0014P00003SGWPUQA5")</f>
        <v>0014P00003SGWPUQA5</v>
      </c>
      <c r="B124" s="2" t="s">
        <v>379</v>
      </c>
      <c r="C124" s="2" t="s">
        <v>1684</v>
      </c>
      <c r="D124" s="2" t="s">
        <v>2</v>
      </c>
      <c r="E124" s="2">
        <v>48.28</v>
      </c>
      <c r="F124" s="2">
        <v>0</v>
      </c>
      <c r="G124" s="2">
        <v>3</v>
      </c>
      <c r="H124" s="2">
        <v>88255</v>
      </c>
      <c r="I124" s="2">
        <v>60</v>
      </c>
      <c r="J124" s="2" t="s">
        <v>1779</v>
      </c>
      <c r="K124" s="2">
        <v>38</v>
      </c>
      <c r="L124" s="2">
        <v>15</v>
      </c>
      <c r="M124" s="2">
        <v>0</v>
      </c>
      <c r="N124" s="2">
        <v>8</v>
      </c>
      <c r="O124" s="2">
        <v>10</v>
      </c>
      <c r="P124" s="2">
        <v>5</v>
      </c>
      <c r="Q124" s="2" t="s">
        <v>380</v>
      </c>
      <c r="R124" s="2" t="s">
        <v>1595</v>
      </c>
      <c r="S124" s="4">
        <v>44837</v>
      </c>
    </row>
    <row r="125" spans="1:19" ht="12.5" x14ac:dyDescent="0.25">
      <c r="A125" s="14" t="str">
        <f>HYPERLINK("https://gerandofalcoes.my.salesforce.com/0014X00002YgghRQAR", "0014X00002YgghRQAR")</f>
        <v>0014X00002YgghRQAR</v>
      </c>
      <c r="B125" s="2" t="s">
        <v>3689</v>
      </c>
      <c r="C125" s="2" t="s">
        <v>423</v>
      </c>
      <c r="D125" s="2" t="s">
        <v>2</v>
      </c>
      <c r="E125" s="2">
        <v>48.25</v>
      </c>
      <c r="F125" s="2">
        <v>220</v>
      </c>
      <c r="G125" s="2">
        <v>9</v>
      </c>
      <c r="H125" s="2">
        <v>9000000</v>
      </c>
      <c r="I125" s="2">
        <v>1600</v>
      </c>
      <c r="J125" s="2" t="s">
        <v>1654</v>
      </c>
      <c r="K125" s="2">
        <v>85</v>
      </c>
      <c r="L125" s="2">
        <v>15</v>
      </c>
      <c r="M125" s="2">
        <v>15</v>
      </c>
      <c r="N125" s="2">
        <v>10</v>
      </c>
      <c r="O125" s="2">
        <v>25</v>
      </c>
      <c r="P125" s="2">
        <v>20</v>
      </c>
      <c r="Q125" s="2" t="s">
        <v>3690</v>
      </c>
      <c r="R125" s="2" t="s">
        <v>3691</v>
      </c>
      <c r="S125" s="4">
        <v>44967</v>
      </c>
    </row>
    <row r="126" spans="1:19" ht="12.5" x14ac:dyDescent="0.25">
      <c r="A126" s="14" t="str">
        <f>HYPERLINK("https://gerandofalcoes.my.salesforce.com/0014P00003YSp9SQAT", "0014P00003YSp9SQAT")</f>
        <v>0014P00003YSp9SQAT</v>
      </c>
      <c r="B126" s="2" t="s">
        <v>1844</v>
      </c>
      <c r="C126" s="2" t="s">
        <v>423</v>
      </c>
      <c r="D126" s="2" t="s">
        <v>2</v>
      </c>
      <c r="E126" s="2">
        <v>48.14</v>
      </c>
      <c r="F126" s="2">
        <v>3</v>
      </c>
      <c r="G126" s="2">
        <v>4</v>
      </c>
      <c r="H126" s="2">
        <v>2855703</v>
      </c>
      <c r="I126" s="2">
        <v>150</v>
      </c>
      <c r="J126" s="2" t="s">
        <v>1650</v>
      </c>
      <c r="K126" s="2">
        <v>67</v>
      </c>
      <c r="L126" s="2">
        <v>15</v>
      </c>
      <c r="M126" s="2">
        <v>5</v>
      </c>
      <c r="N126" s="2">
        <v>10</v>
      </c>
      <c r="O126" s="2">
        <v>25</v>
      </c>
      <c r="P126" s="2">
        <v>12</v>
      </c>
      <c r="Q126" s="2" t="s">
        <v>1845</v>
      </c>
      <c r="R126" s="2" t="s">
        <v>1846</v>
      </c>
      <c r="S126" s="4">
        <v>44837</v>
      </c>
    </row>
    <row r="127" spans="1:19" ht="12.5" x14ac:dyDescent="0.25">
      <c r="A127" s="14" t="str">
        <f>HYPERLINK("https://gerandofalcoes.my.salesforce.com/0014X00002VKCuCQAX", "0014X00002VKCuCQAX")</f>
        <v>0014X00002VKCuCQAX</v>
      </c>
      <c r="B127" s="2" t="s">
        <v>1847</v>
      </c>
      <c r="C127" s="2" t="s">
        <v>423</v>
      </c>
      <c r="D127" s="2" t="s">
        <v>2</v>
      </c>
      <c r="E127" s="2">
        <v>48.13</v>
      </c>
      <c r="F127" s="2">
        <v>3</v>
      </c>
      <c r="G127" s="2">
        <v>3</v>
      </c>
      <c r="H127" s="2">
        <v>20593734</v>
      </c>
      <c r="I127" s="2">
        <v>37</v>
      </c>
      <c r="J127" s="2" t="s">
        <v>1671</v>
      </c>
      <c r="K127" s="2">
        <v>58</v>
      </c>
      <c r="L127" s="2">
        <v>15</v>
      </c>
      <c r="M127" s="2">
        <v>5</v>
      </c>
      <c r="N127" s="2">
        <v>8</v>
      </c>
      <c r="O127" s="2">
        <v>25</v>
      </c>
      <c r="P127" s="2">
        <v>5</v>
      </c>
      <c r="Q127" s="2" t="s">
        <v>1848</v>
      </c>
      <c r="R127" s="2" t="s">
        <v>1849</v>
      </c>
      <c r="S127" s="4">
        <v>44837</v>
      </c>
    </row>
    <row r="128" spans="1:19" ht="12.5" x14ac:dyDescent="0.25">
      <c r="A128" s="14" t="str">
        <f>HYPERLINK("https://gerandofalcoes.my.salesforce.com/0014X00002YggkuQAB", "0014X00002YggkuQAB")</f>
        <v>0014X00002YggkuQAB</v>
      </c>
      <c r="B128" s="2" t="s">
        <v>3302</v>
      </c>
      <c r="C128" s="2" t="s">
        <v>423</v>
      </c>
      <c r="D128" s="2" t="s">
        <v>2</v>
      </c>
      <c r="E128" s="2">
        <v>48</v>
      </c>
      <c r="F128" s="2">
        <v>9</v>
      </c>
      <c r="G128" s="2">
        <v>4</v>
      </c>
      <c r="H128" s="2">
        <v>200000</v>
      </c>
      <c r="I128" s="2">
        <v>60</v>
      </c>
      <c r="J128" s="2" t="s">
        <v>1671</v>
      </c>
      <c r="K128" s="2">
        <v>55</v>
      </c>
      <c r="L128" s="2">
        <v>15</v>
      </c>
      <c r="M128" s="2">
        <v>10</v>
      </c>
      <c r="N128" s="2">
        <v>10</v>
      </c>
      <c r="O128" s="2">
        <v>15</v>
      </c>
      <c r="P128" s="2">
        <v>5</v>
      </c>
      <c r="Q128" s="2" t="s">
        <v>3303</v>
      </c>
      <c r="R128" s="2" t="s">
        <v>3304</v>
      </c>
      <c r="S128" s="4">
        <v>44953</v>
      </c>
    </row>
    <row r="129" spans="1:19" ht="12.5" x14ac:dyDescent="0.25">
      <c r="A129" s="14" t="str">
        <f>HYPERLINK("https://gerandofalcoes.my.salesforce.com/0014X00002VKCrlQAH", "0014X00002VKCrlQAH")</f>
        <v>0014X00002VKCrlQAH</v>
      </c>
      <c r="B129" s="2" t="s">
        <v>1850</v>
      </c>
      <c r="C129" s="2" t="s">
        <v>423</v>
      </c>
      <c r="D129" s="2" t="s">
        <v>2</v>
      </c>
      <c r="E129" s="2">
        <v>48</v>
      </c>
      <c r="F129" s="2">
        <v>0</v>
      </c>
      <c r="G129" s="2">
        <v>2</v>
      </c>
      <c r="H129" s="2">
        <v>30000</v>
      </c>
      <c r="I129" s="2">
        <v>30</v>
      </c>
      <c r="J129" s="2" t="s">
        <v>1779</v>
      </c>
      <c r="K129" s="2">
        <v>36</v>
      </c>
      <c r="L129" s="2">
        <v>15</v>
      </c>
      <c r="M129" s="2">
        <v>0</v>
      </c>
      <c r="N129" s="2">
        <v>6</v>
      </c>
      <c r="O129" s="2">
        <v>10</v>
      </c>
      <c r="P129" s="2">
        <v>5</v>
      </c>
      <c r="Q129" s="2" t="s">
        <v>1851</v>
      </c>
      <c r="R129" s="2" t="s">
        <v>1851</v>
      </c>
      <c r="S129" s="4">
        <v>44837</v>
      </c>
    </row>
    <row r="130" spans="1:19" ht="12.5" x14ac:dyDescent="0.25">
      <c r="A130" s="14" t="str">
        <f>HYPERLINK("https://gerandofalcoes.my.salesforce.com/0014P00003YSp9kQAD", "0014P00003YSp9kQAD")</f>
        <v>0014P00003YSp9kQAD</v>
      </c>
      <c r="B130" s="2" t="s">
        <v>1852</v>
      </c>
      <c r="C130" s="2" t="s">
        <v>423</v>
      </c>
      <c r="D130" s="2" t="s">
        <v>2</v>
      </c>
      <c r="E130" s="2">
        <v>46.75</v>
      </c>
      <c r="F130" s="2">
        <v>8</v>
      </c>
      <c r="G130" s="2">
        <v>3</v>
      </c>
      <c r="H130" s="2">
        <v>668446</v>
      </c>
      <c r="I130" s="2">
        <v>851</v>
      </c>
      <c r="J130" s="2" t="s">
        <v>1650</v>
      </c>
      <c r="K130" s="2">
        <v>73</v>
      </c>
      <c r="L130" s="2">
        <v>15</v>
      </c>
      <c r="M130" s="2">
        <v>10</v>
      </c>
      <c r="N130" s="2">
        <v>8</v>
      </c>
      <c r="O130" s="2">
        <v>20</v>
      </c>
      <c r="P130" s="2">
        <v>20</v>
      </c>
      <c r="Q130" s="2" t="s">
        <v>1853</v>
      </c>
      <c r="R130" s="2" t="s">
        <v>1854</v>
      </c>
      <c r="S130" s="4">
        <v>44837</v>
      </c>
    </row>
    <row r="131" spans="1:19" ht="12.5" x14ac:dyDescent="0.25">
      <c r="A131" s="14" t="str">
        <f>HYPERLINK("https://gerandofalcoes.my.salesforce.com/0014P00003YSp7dQAD", "0014P00003YSp7dQAD")</f>
        <v>0014P00003YSp7dQAD</v>
      </c>
      <c r="B131" s="2" t="s">
        <v>1855</v>
      </c>
      <c r="C131" s="2" t="s">
        <v>423</v>
      </c>
      <c r="D131" s="2" t="s">
        <v>2</v>
      </c>
      <c r="E131" s="2">
        <v>46.06</v>
      </c>
      <c r="F131" s="2">
        <v>6</v>
      </c>
      <c r="G131" s="2">
        <v>5</v>
      </c>
      <c r="H131" s="2">
        <v>42178400</v>
      </c>
      <c r="I131" s="2">
        <v>243</v>
      </c>
      <c r="J131" s="2" t="s">
        <v>1650</v>
      </c>
      <c r="K131" s="2">
        <v>72</v>
      </c>
      <c r="L131" s="2">
        <v>15</v>
      </c>
      <c r="M131" s="2">
        <v>10</v>
      </c>
      <c r="N131" s="2">
        <v>10</v>
      </c>
      <c r="O131" s="2">
        <v>25</v>
      </c>
      <c r="P131" s="2">
        <v>12</v>
      </c>
      <c r="Q131" s="2" t="s">
        <v>1856</v>
      </c>
      <c r="R131" s="2" t="s">
        <v>1857</v>
      </c>
      <c r="S131" s="4">
        <v>44837</v>
      </c>
    </row>
    <row r="132" spans="1:19" ht="12.5" x14ac:dyDescent="0.25">
      <c r="A132" s="14" t="str">
        <f>HYPERLINK("https://gerandofalcoes.my.salesforce.com/0014X00002VKCsOQAX", "0014X00002VKCsOQAX")</f>
        <v>0014X00002VKCsOQAX</v>
      </c>
      <c r="B132" s="2" t="s">
        <v>1858</v>
      </c>
      <c r="C132" s="2" t="s">
        <v>423</v>
      </c>
      <c r="D132" s="2" t="s">
        <v>2</v>
      </c>
      <c r="E132" s="2">
        <v>46</v>
      </c>
      <c r="F132" s="2">
        <v>0</v>
      </c>
      <c r="G132" s="2">
        <v>3</v>
      </c>
      <c r="H132" s="2">
        <v>10000</v>
      </c>
      <c r="I132" s="2">
        <v>110</v>
      </c>
      <c r="J132" s="2" t="s">
        <v>1779</v>
      </c>
      <c r="K132" s="2">
        <v>38</v>
      </c>
      <c r="L132" s="2">
        <v>15</v>
      </c>
      <c r="M132" s="2">
        <v>0</v>
      </c>
      <c r="N132" s="2">
        <v>8</v>
      </c>
      <c r="O132" s="2">
        <v>5</v>
      </c>
      <c r="P132" s="2">
        <v>10</v>
      </c>
      <c r="Q132" s="2" t="s">
        <v>1859</v>
      </c>
      <c r="R132" s="2" t="s">
        <v>1860</v>
      </c>
      <c r="S132" s="4">
        <v>44837</v>
      </c>
    </row>
    <row r="133" spans="1:19" ht="12.5" x14ac:dyDescent="0.25">
      <c r="A133" s="14" t="str">
        <f>HYPERLINK("https://gerandofalcoes.my.salesforce.com/0014P00003SGWPfQAP", "0014P00003SGWPfQAP")</f>
        <v>0014P00003SGWPfQAP</v>
      </c>
      <c r="B133" s="2" t="s">
        <v>294</v>
      </c>
      <c r="C133" s="2" t="s">
        <v>1800</v>
      </c>
      <c r="D133" s="2" t="s">
        <v>2</v>
      </c>
      <c r="E133" s="2">
        <v>46</v>
      </c>
      <c r="F133" s="2">
        <v>0</v>
      </c>
      <c r="G133" s="2">
        <v>3</v>
      </c>
      <c r="H133" s="2">
        <v>6605</v>
      </c>
      <c r="I133" s="2">
        <v>100</v>
      </c>
      <c r="J133" s="2" t="s">
        <v>1779</v>
      </c>
      <c r="K133" s="2">
        <v>38</v>
      </c>
      <c r="L133" s="2">
        <v>15</v>
      </c>
      <c r="M133" s="2">
        <v>0</v>
      </c>
      <c r="N133" s="2">
        <v>8</v>
      </c>
      <c r="O133" s="2">
        <v>5</v>
      </c>
      <c r="P133" s="2">
        <v>10</v>
      </c>
      <c r="Q133" s="2" t="s">
        <v>295</v>
      </c>
      <c r="R133" s="2" t="s">
        <v>1298</v>
      </c>
      <c r="S133" s="4">
        <v>44837</v>
      </c>
    </row>
    <row r="134" spans="1:19" ht="12.5" x14ac:dyDescent="0.25">
      <c r="A134" s="14" t="str">
        <f>HYPERLINK("https://gerandofalcoes.my.salesforce.com/0014P00003YSp95QAD", "0014P00003YSp95QAD")</f>
        <v>0014P00003YSp95QAD</v>
      </c>
      <c r="B134" s="2" t="s">
        <v>1861</v>
      </c>
      <c r="C134" s="2" t="s">
        <v>423</v>
      </c>
      <c r="D134" s="2" t="s">
        <v>2</v>
      </c>
      <c r="E134" s="2">
        <v>45.97</v>
      </c>
      <c r="F134" s="2">
        <v>8</v>
      </c>
      <c r="G134" s="2">
        <v>3</v>
      </c>
      <c r="H134" s="2">
        <v>60127</v>
      </c>
      <c r="I134" s="2">
        <v>841</v>
      </c>
      <c r="J134" s="2" t="s">
        <v>1671</v>
      </c>
      <c r="K134" s="2">
        <v>63</v>
      </c>
      <c r="L134" s="2">
        <v>15</v>
      </c>
      <c r="M134" s="2">
        <v>10</v>
      </c>
      <c r="N134" s="2">
        <v>8</v>
      </c>
      <c r="O134" s="2">
        <v>10</v>
      </c>
      <c r="P134" s="2">
        <v>20</v>
      </c>
      <c r="Q134" s="2" t="s">
        <v>1862</v>
      </c>
      <c r="R134" s="2" t="s">
        <v>1863</v>
      </c>
      <c r="S134" s="4">
        <v>44837</v>
      </c>
    </row>
    <row r="135" spans="1:19" ht="12.5" x14ac:dyDescent="0.25">
      <c r="A135" s="14" t="str">
        <f>HYPERLINK("https://gerandofalcoes.my.salesforce.com/0014P00003SGWPSQA5", "0014P00003SGWPSQA5")</f>
        <v>0014P00003SGWPSQA5</v>
      </c>
      <c r="B135" s="2" t="s">
        <v>372</v>
      </c>
      <c r="C135" s="2" t="s">
        <v>423</v>
      </c>
      <c r="D135" s="2" t="s">
        <v>2</v>
      </c>
      <c r="E135" s="2">
        <v>45.95</v>
      </c>
      <c r="F135" s="2">
        <v>10</v>
      </c>
      <c r="G135" s="2">
        <v>2</v>
      </c>
      <c r="H135" s="2">
        <v>657000000</v>
      </c>
      <c r="I135" s="2">
        <v>110</v>
      </c>
      <c r="J135" s="2" t="s">
        <v>1650</v>
      </c>
      <c r="K135" s="2">
        <v>66</v>
      </c>
      <c r="L135" s="2">
        <v>15</v>
      </c>
      <c r="M135" s="2">
        <v>10</v>
      </c>
      <c r="N135" s="2">
        <v>6</v>
      </c>
      <c r="O135" s="2">
        <v>25</v>
      </c>
      <c r="P135" s="2">
        <v>10</v>
      </c>
      <c r="Q135" s="2" t="s">
        <v>373</v>
      </c>
      <c r="R135" s="2" t="s">
        <v>373</v>
      </c>
      <c r="S135" s="4">
        <v>44837</v>
      </c>
    </row>
    <row r="136" spans="1:19" ht="12.5" x14ac:dyDescent="0.25">
      <c r="A136" s="14" t="str">
        <f>HYPERLINK("https://gerandofalcoes.my.salesforce.com/0014P00003SGWPmQAP", "0014P00003SGWPmQAP")</f>
        <v>0014P00003SGWPmQAP</v>
      </c>
      <c r="B136" s="2" t="s">
        <v>315</v>
      </c>
      <c r="C136" s="2" t="s">
        <v>423</v>
      </c>
      <c r="D136" s="2" t="s">
        <v>2</v>
      </c>
      <c r="E136" s="2">
        <v>45.4</v>
      </c>
      <c r="F136" s="2">
        <v>2</v>
      </c>
      <c r="G136" s="2">
        <v>4</v>
      </c>
      <c r="H136" s="2">
        <v>75550</v>
      </c>
      <c r="I136" s="2">
        <v>239</v>
      </c>
      <c r="J136" s="2" t="s">
        <v>1671</v>
      </c>
      <c r="K136" s="2">
        <v>52</v>
      </c>
      <c r="L136" s="2">
        <v>15</v>
      </c>
      <c r="M136" s="2">
        <v>5</v>
      </c>
      <c r="N136" s="2">
        <v>10</v>
      </c>
      <c r="O136" s="2">
        <v>10</v>
      </c>
      <c r="P136" s="2">
        <v>12</v>
      </c>
      <c r="Q136" s="2" t="s">
        <v>316</v>
      </c>
      <c r="R136" s="2" t="s">
        <v>1370</v>
      </c>
      <c r="S136" s="4">
        <v>44837</v>
      </c>
    </row>
    <row r="137" spans="1:19" ht="12.5" x14ac:dyDescent="0.25">
      <c r="A137" s="14" t="str">
        <f>HYPERLINK("https://gerandofalcoes.my.salesforce.com/0014X00002VKCrRQAX", "0014X00002VKCrRQAX")</f>
        <v>0014X00002VKCrRQAX</v>
      </c>
      <c r="B137" s="2" t="s">
        <v>1864</v>
      </c>
      <c r="C137" s="2" t="s">
        <v>423</v>
      </c>
      <c r="D137" s="2" t="s">
        <v>2</v>
      </c>
      <c r="E137" s="2">
        <v>45.36</v>
      </c>
      <c r="F137" s="2">
        <v>0</v>
      </c>
      <c r="G137" s="2">
        <v>2</v>
      </c>
      <c r="H137" s="2">
        <v>140300</v>
      </c>
      <c r="I137" s="2">
        <v>238</v>
      </c>
      <c r="J137" s="2" t="s">
        <v>1671</v>
      </c>
      <c r="K137" s="2">
        <v>48</v>
      </c>
      <c r="L137" s="2">
        <v>15</v>
      </c>
      <c r="M137" s="2">
        <v>0</v>
      </c>
      <c r="N137" s="2">
        <v>6</v>
      </c>
      <c r="O137" s="2">
        <v>15</v>
      </c>
      <c r="P137" s="2">
        <v>12</v>
      </c>
      <c r="Q137" s="2" t="s">
        <v>1865</v>
      </c>
      <c r="R137" s="2" t="s">
        <v>1866</v>
      </c>
      <c r="S137" s="4">
        <v>44837</v>
      </c>
    </row>
    <row r="138" spans="1:19" ht="12.5" x14ac:dyDescent="0.25">
      <c r="A138" s="14" t="str">
        <f>HYPERLINK("https://gerandofalcoes.my.salesforce.com/0014P00003SGWPkQAP", "0014P00003SGWPkQAP")</f>
        <v>0014P00003SGWPkQAP</v>
      </c>
      <c r="B138" s="2" t="s">
        <v>306</v>
      </c>
      <c r="C138" s="2" t="s">
        <v>423</v>
      </c>
      <c r="D138" s="2" t="s">
        <v>2</v>
      </c>
      <c r="E138" s="2">
        <v>45.27</v>
      </c>
      <c r="F138" s="2">
        <v>7</v>
      </c>
      <c r="G138" s="2">
        <v>3</v>
      </c>
      <c r="H138" s="2">
        <v>264000</v>
      </c>
      <c r="I138" s="2">
        <v>240</v>
      </c>
      <c r="J138" s="2" t="s">
        <v>1671</v>
      </c>
      <c r="K138" s="2">
        <v>60</v>
      </c>
      <c r="L138" s="2">
        <v>15</v>
      </c>
      <c r="M138" s="2">
        <v>10</v>
      </c>
      <c r="N138" s="2">
        <v>8</v>
      </c>
      <c r="O138" s="2">
        <v>15</v>
      </c>
      <c r="P138" s="2">
        <v>12</v>
      </c>
      <c r="Q138" s="2" t="s">
        <v>307</v>
      </c>
      <c r="R138" s="2" t="s">
        <v>1867</v>
      </c>
      <c r="S138" s="4">
        <v>44837</v>
      </c>
    </row>
    <row r="139" spans="1:19" ht="12.5" x14ac:dyDescent="0.25">
      <c r="A139" s="14" t="str">
        <f>HYPERLINK("https://gerandofalcoes.my.salesforce.com/0014X00002VKCpfQAH", "0014X00002VKCpfQAH")</f>
        <v>0014X00002VKCpfQAH</v>
      </c>
      <c r="B139" s="2" t="s">
        <v>1868</v>
      </c>
      <c r="C139" s="2" t="s">
        <v>423</v>
      </c>
      <c r="D139" s="2" t="s">
        <v>2</v>
      </c>
      <c r="E139" s="2">
        <v>45.23</v>
      </c>
      <c r="F139" s="2">
        <v>0</v>
      </c>
      <c r="G139" s="2">
        <v>3</v>
      </c>
      <c r="H139" s="2">
        <v>41307</v>
      </c>
      <c r="I139" s="2">
        <v>120</v>
      </c>
      <c r="J139" s="2" t="s">
        <v>1671</v>
      </c>
      <c r="K139" s="2">
        <v>43</v>
      </c>
      <c r="L139" s="2">
        <v>15</v>
      </c>
      <c r="M139" s="2">
        <v>0</v>
      </c>
      <c r="N139" s="2">
        <v>8</v>
      </c>
      <c r="O139" s="2">
        <v>10</v>
      </c>
      <c r="P139" s="2">
        <v>10</v>
      </c>
      <c r="Q139" s="2" t="s">
        <v>1869</v>
      </c>
      <c r="R139" s="2" t="s">
        <v>1870</v>
      </c>
      <c r="S139" s="4">
        <v>44837</v>
      </c>
    </row>
    <row r="140" spans="1:19" ht="12.5" x14ac:dyDescent="0.25">
      <c r="A140" s="14" t="str">
        <f>HYPERLINK("https://gerandofalcoes.my.salesforce.com/0014X00002VKCqLQAX", "0014X00002VKCqLQAX")</f>
        <v>0014X00002VKCqLQAX</v>
      </c>
      <c r="B140" s="2" t="s">
        <v>1871</v>
      </c>
      <c r="C140" s="2" t="s">
        <v>423</v>
      </c>
      <c r="D140" s="2" t="s">
        <v>2</v>
      </c>
      <c r="E140" s="2">
        <v>45.05</v>
      </c>
      <c r="F140" s="2">
        <v>462</v>
      </c>
      <c r="G140" s="2">
        <v>2</v>
      </c>
      <c r="H140" s="2">
        <v>9114662</v>
      </c>
      <c r="I140" s="2">
        <v>365</v>
      </c>
      <c r="J140" s="2" t="s">
        <v>1650</v>
      </c>
      <c r="K140" s="2">
        <v>76</v>
      </c>
      <c r="L140" s="2">
        <v>15</v>
      </c>
      <c r="M140" s="2">
        <v>15</v>
      </c>
      <c r="N140" s="2">
        <v>6</v>
      </c>
      <c r="O140" s="2">
        <v>25</v>
      </c>
      <c r="P140" s="2">
        <v>15</v>
      </c>
      <c r="Q140" s="2" t="s">
        <v>1872</v>
      </c>
      <c r="R140" s="2" t="s">
        <v>1873</v>
      </c>
      <c r="S140" s="4">
        <v>44837</v>
      </c>
    </row>
    <row r="141" spans="1:19" ht="12.5" x14ac:dyDescent="0.25">
      <c r="A141" s="14" t="str">
        <f>HYPERLINK("https://gerandofalcoes.my.salesforce.com/0014X00002VKCrhQAH", "0014X00002VKCrhQAH")</f>
        <v>0014X00002VKCrhQAH</v>
      </c>
      <c r="B141" s="2" t="s">
        <v>3895</v>
      </c>
      <c r="C141" s="2" t="s">
        <v>423</v>
      </c>
      <c r="D141" s="2" t="s">
        <v>2</v>
      </c>
      <c r="E141" s="2">
        <v>45</v>
      </c>
      <c r="F141" s="2">
        <v>6</v>
      </c>
      <c r="G141" s="2">
        <v>5</v>
      </c>
      <c r="H141" s="2">
        <v>150000</v>
      </c>
      <c r="I141" s="2">
        <v>200</v>
      </c>
      <c r="J141" s="2" t="s">
        <v>1671</v>
      </c>
      <c r="K141" s="2">
        <v>62</v>
      </c>
      <c r="L141" s="2">
        <v>15</v>
      </c>
      <c r="M141" s="2">
        <v>10</v>
      </c>
      <c r="N141" s="2">
        <v>10</v>
      </c>
      <c r="O141" s="2">
        <v>15</v>
      </c>
      <c r="P141" s="2">
        <v>12</v>
      </c>
      <c r="Q141" s="2" t="s">
        <v>3896</v>
      </c>
      <c r="R141" s="2" t="s">
        <v>3897</v>
      </c>
      <c r="S141" s="4">
        <v>45113</v>
      </c>
    </row>
    <row r="142" spans="1:19" ht="12.5" x14ac:dyDescent="0.25">
      <c r="A142" s="14" t="str">
        <f>HYPERLINK("https://gerandofalcoes.my.salesforce.com/0014P00003AN2FYQA1", "0014P00003AN2FYQA1")</f>
        <v>0014P00003AN2FYQA1</v>
      </c>
      <c r="B142" s="2" t="s">
        <v>1874</v>
      </c>
      <c r="C142" s="2" t="s">
        <v>423</v>
      </c>
      <c r="D142" s="2" t="s">
        <v>2</v>
      </c>
      <c r="E142" s="2">
        <v>45</v>
      </c>
      <c r="F142" s="2">
        <v>4</v>
      </c>
      <c r="G142" s="2">
        <v>5</v>
      </c>
      <c r="H142" s="2">
        <v>100000</v>
      </c>
      <c r="I142" s="2">
        <v>50</v>
      </c>
      <c r="J142" s="2" t="s">
        <v>1671</v>
      </c>
      <c r="K142" s="2">
        <v>50</v>
      </c>
      <c r="L142" s="2">
        <v>15</v>
      </c>
      <c r="M142" s="2">
        <v>5</v>
      </c>
      <c r="N142" s="2">
        <v>10</v>
      </c>
      <c r="O142" s="2">
        <v>15</v>
      </c>
      <c r="P142" s="2">
        <v>5</v>
      </c>
      <c r="Q142" s="2" t="s">
        <v>7147</v>
      </c>
      <c r="R142" s="2" t="s">
        <v>7147</v>
      </c>
      <c r="S142" s="4">
        <v>44837</v>
      </c>
    </row>
    <row r="143" spans="1:19" ht="12.5" x14ac:dyDescent="0.25">
      <c r="A143" s="14" t="str">
        <f>HYPERLINK("https://gerandofalcoes.my.salesforce.com/0014X00002YgggkQAB", "0014X00002YgggkQAB")</f>
        <v>0014X00002YgggkQAB</v>
      </c>
      <c r="B143" s="2" t="s">
        <v>3692</v>
      </c>
      <c r="C143" s="2" t="s">
        <v>423</v>
      </c>
      <c r="D143" s="2" t="s">
        <v>2</v>
      </c>
      <c r="E143" s="2">
        <v>44.66</v>
      </c>
      <c r="F143" s="2">
        <v>1</v>
      </c>
      <c r="G143" s="2">
        <v>3</v>
      </c>
      <c r="H143" s="2">
        <v>51325</v>
      </c>
      <c r="I143" s="2">
        <v>600</v>
      </c>
      <c r="J143" s="2" t="s">
        <v>1671</v>
      </c>
      <c r="K143" s="2">
        <v>58</v>
      </c>
      <c r="L143" s="2">
        <v>15</v>
      </c>
      <c r="M143" s="2">
        <v>5</v>
      </c>
      <c r="N143" s="2">
        <v>8</v>
      </c>
      <c r="O143" s="2">
        <v>10</v>
      </c>
      <c r="P143" s="2">
        <v>20</v>
      </c>
      <c r="Q143" s="2" t="s">
        <v>3693</v>
      </c>
      <c r="R143" s="2" t="s">
        <v>3694</v>
      </c>
      <c r="S143" s="4">
        <v>44967</v>
      </c>
    </row>
    <row r="144" spans="1:19" ht="12.5" x14ac:dyDescent="0.25">
      <c r="A144" s="14" t="str">
        <f>HYPERLINK("https://gerandofalcoes.my.salesforce.com/0014X00002VKCsyQAH", "0014X00002VKCsyQAH")</f>
        <v>0014X00002VKCsyQAH</v>
      </c>
      <c r="B144" s="2" t="s">
        <v>1877</v>
      </c>
      <c r="C144" s="2" t="s">
        <v>423</v>
      </c>
      <c r="D144" s="2" t="s">
        <v>2</v>
      </c>
      <c r="E144" s="2">
        <v>44.41</v>
      </c>
      <c r="F144" s="2">
        <v>0</v>
      </c>
      <c r="G144" s="2">
        <v>2</v>
      </c>
      <c r="H144" s="2">
        <v>9000</v>
      </c>
      <c r="I144" s="2">
        <v>157</v>
      </c>
      <c r="J144" s="2" t="s">
        <v>1779</v>
      </c>
      <c r="K144" s="2">
        <v>38</v>
      </c>
      <c r="L144" s="2">
        <v>15</v>
      </c>
      <c r="M144" s="2">
        <v>0</v>
      </c>
      <c r="N144" s="2">
        <v>6</v>
      </c>
      <c r="O144" s="2">
        <v>5</v>
      </c>
      <c r="P144" s="2">
        <v>12</v>
      </c>
      <c r="Q144" s="2" t="s">
        <v>1878</v>
      </c>
      <c r="R144" s="2" t="s">
        <v>1878</v>
      </c>
      <c r="S144" s="4">
        <v>44837</v>
      </c>
    </row>
    <row r="145" spans="1:19" ht="12.5" x14ac:dyDescent="0.25">
      <c r="A145" s="14" t="str">
        <f>HYPERLINK("https://gerandofalcoes.my.salesforce.com/0014X00002VKCuKQAX", "0014X00002VKCuKQAX")</f>
        <v>0014X00002VKCuKQAX</v>
      </c>
      <c r="B145" s="2" t="s">
        <v>1879</v>
      </c>
      <c r="C145" s="2" t="s">
        <v>423</v>
      </c>
      <c r="D145" s="2" t="s">
        <v>2</v>
      </c>
      <c r="E145" s="2">
        <v>44.38</v>
      </c>
      <c r="F145" s="2">
        <v>2</v>
      </c>
      <c r="G145" s="2">
        <v>1</v>
      </c>
      <c r="H145" s="2">
        <v>50000</v>
      </c>
      <c r="I145" s="2">
        <v>20</v>
      </c>
      <c r="J145" s="2" t="s">
        <v>1779</v>
      </c>
      <c r="K145" s="2">
        <v>39</v>
      </c>
      <c r="L145" s="2">
        <v>15</v>
      </c>
      <c r="M145" s="2">
        <v>5</v>
      </c>
      <c r="N145" s="2">
        <v>4</v>
      </c>
      <c r="O145" s="2">
        <v>10</v>
      </c>
      <c r="P145" s="2">
        <v>5</v>
      </c>
      <c r="Q145" s="2" t="s">
        <v>1880</v>
      </c>
      <c r="R145" s="2" t="s">
        <v>1880</v>
      </c>
      <c r="S145" s="4">
        <v>44837</v>
      </c>
    </row>
    <row r="146" spans="1:19" ht="12.5" hidden="1" x14ac:dyDescent="0.25">
      <c r="A146" s="14" t="str">
        <f>HYPERLINK("https://gerandofalcoes.my.salesforce.com/0014P00003YSpAHQA1", "0014P00003YSpAHQA1")</f>
        <v>0014P00003YSpAHQA1</v>
      </c>
      <c r="B146" s="2" t="s">
        <v>1881</v>
      </c>
      <c r="C146" s="2" t="s">
        <v>1684</v>
      </c>
      <c r="D146" s="2" t="s">
        <v>2</v>
      </c>
      <c r="E146" s="2">
        <v>44.09</v>
      </c>
      <c r="F146" s="2">
        <v>34</v>
      </c>
      <c r="G146" s="2">
        <v>3</v>
      </c>
      <c r="H146" s="2">
        <v>109250786</v>
      </c>
      <c r="I146" s="2">
        <v>15</v>
      </c>
      <c r="J146" s="2" t="s">
        <v>1650</v>
      </c>
      <c r="K146" s="2">
        <v>68</v>
      </c>
      <c r="L146" s="2">
        <v>15</v>
      </c>
      <c r="M146" s="2">
        <v>15</v>
      </c>
      <c r="N146" s="2">
        <v>8</v>
      </c>
      <c r="O146" s="2">
        <v>25</v>
      </c>
      <c r="P146" s="2">
        <v>5</v>
      </c>
      <c r="Q146" s="2" t="s">
        <v>1882</v>
      </c>
      <c r="R146" s="2" t="s">
        <v>1882</v>
      </c>
      <c r="S146" s="4">
        <v>44837</v>
      </c>
    </row>
    <row r="147" spans="1:19" ht="12.5" x14ac:dyDescent="0.25">
      <c r="A147" s="14" t="str">
        <f>HYPERLINK("https://gerandofalcoes.my.salesforce.com/0014X00002Yggq5QAB", "0014X00002Yggq5QAB")</f>
        <v>0014X00002Yggq5QAB</v>
      </c>
      <c r="B147" s="2" t="s">
        <v>4052</v>
      </c>
      <c r="C147" s="2" t="s">
        <v>423</v>
      </c>
      <c r="D147" s="2" t="s">
        <v>2</v>
      </c>
      <c r="E147" s="2">
        <v>44.04</v>
      </c>
      <c r="F147" s="2">
        <v>60</v>
      </c>
      <c r="G147" s="2">
        <v>6</v>
      </c>
      <c r="H147" s="2">
        <v>100000</v>
      </c>
      <c r="I147" s="2">
        <v>300</v>
      </c>
      <c r="J147" s="2"/>
      <c r="K147" s="2">
        <v>70</v>
      </c>
      <c r="L147" s="2">
        <v>15</v>
      </c>
      <c r="M147" s="2">
        <v>15</v>
      </c>
      <c r="N147" s="2">
        <v>10</v>
      </c>
      <c r="O147" s="2">
        <v>15</v>
      </c>
      <c r="P147" s="2">
        <v>15</v>
      </c>
      <c r="Q147" s="2" t="s">
        <v>4053</v>
      </c>
      <c r="R147" s="2" t="s">
        <v>4054</v>
      </c>
      <c r="S147" s="4">
        <v>45169</v>
      </c>
    </row>
    <row r="148" spans="1:19" ht="12.5" x14ac:dyDescent="0.25">
      <c r="A148" s="14" t="str">
        <f>HYPERLINK("https://gerandofalcoes.my.salesforce.com/0014X00002PUOTvQAP", "0014X00002PUOTvQAP")</f>
        <v>0014X00002PUOTvQAP</v>
      </c>
      <c r="B148" s="2" t="s">
        <v>1883</v>
      </c>
      <c r="C148" s="2" t="s">
        <v>1800</v>
      </c>
      <c r="D148" s="2" t="s">
        <v>2</v>
      </c>
      <c r="E148" s="2">
        <v>44</v>
      </c>
      <c r="F148" s="2">
        <v>3</v>
      </c>
      <c r="G148" s="2">
        <v>1</v>
      </c>
      <c r="H148" s="2">
        <v>150000</v>
      </c>
      <c r="I148" s="2">
        <v>800</v>
      </c>
      <c r="J148" s="2" t="s">
        <v>1671</v>
      </c>
      <c r="K148" s="2">
        <v>59</v>
      </c>
      <c r="L148" s="2">
        <v>15</v>
      </c>
      <c r="M148" s="2">
        <v>5</v>
      </c>
      <c r="N148" s="2">
        <v>4</v>
      </c>
      <c r="O148" s="2">
        <v>15</v>
      </c>
      <c r="P148" s="2">
        <v>20</v>
      </c>
      <c r="Q148" s="2" t="s">
        <v>1884</v>
      </c>
      <c r="R148" s="2" t="s">
        <v>424</v>
      </c>
      <c r="S148" s="4">
        <v>44837</v>
      </c>
    </row>
    <row r="149" spans="1:19" ht="12.5" hidden="1" x14ac:dyDescent="0.25">
      <c r="A149" s="14" t="str">
        <f>HYPERLINK("https://gerandofalcoes.my.salesforce.com/0014X00002VKCsoQAH", "0014X00002VKCsoQAH")</f>
        <v>0014X00002VKCsoQAH</v>
      </c>
      <c r="B149" s="2" t="s">
        <v>1885</v>
      </c>
      <c r="C149" s="2" t="s">
        <v>1684</v>
      </c>
      <c r="D149" s="2" t="s">
        <v>2</v>
      </c>
      <c r="E149" s="2">
        <v>44</v>
      </c>
      <c r="F149" s="2">
        <v>0</v>
      </c>
      <c r="G149" s="2">
        <v>5</v>
      </c>
      <c r="H149" s="2">
        <v>35000</v>
      </c>
      <c r="I149" s="2">
        <v>240</v>
      </c>
      <c r="J149" s="2" t="s">
        <v>1671</v>
      </c>
      <c r="K149" s="2">
        <v>47</v>
      </c>
      <c r="L149" s="2">
        <v>15</v>
      </c>
      <c r="M149" s="2">
        <v>0</v>
      </c>
      <c r="N149" s="2">
        <v>10</v>
      </c>
      <c r="O149" s="2">
        <v>10</v>
      </c>
      <c r="P149" s="2">
        <v>12</v>
      </c>
      <c r="Q149" s="2" t="s">
        <v>1886</v>
      </c>
      <c r="R149" s="2" t="s">
        <v>1886</v>
      </c>
      <c r="S149" s="4">
        <v>44837</v>
      </c>
    </row>
    <row r="150" spans="1:19" ht="12.5" x14ac:dyDescent="0.25">
      <c r="A150" s="14" t="str">
        <f>HYPERLINK("https://gerandofalcoes.my.salesforce.com/0014P00003YSp9MQAT", "0014P00003YSp9MQAT")</f>
        <v>0014P00003YSp9MQAT</v>
      </c>
      <c r="B150" s="2" t="s">
        <v>1887</v>
      </c>
      <c r="C150" s="2" t="s">
        <v>1800</v>
      </c>
      <c r="D150" s="2" t="s">
        <v>2</v>
      </c>
      <c r="E150" s="2">
        <v>44</v>
      </c>
      <c r="F150" s="2">
        <v>2</v>
      </c>
      <c r="G150" s="2">
        <v>2</v>
      </c>
      <c r="H150" s="2">
        <v>9000</v>
      </c>
      <c r="I150" s="2">
        <v>30</v>
      </c>
      <c r="J150" s="2" t="s">
        <v>1779</v>
      </c>
      <c r="K150" s="2">
        <v>36</v>
      </c>
      <c r="L150" s="2">
        <v>15</v>
      </c>
      <c r="M150" s="2">
        <v>5</v>
      </c>
      <c r="N150" s="2">
        <v>6</v>
      </c>
      <c r="O150" s="2">
        <v>5</v>
      </c>
      <c r="P150" s="2">
        <v>5</v>
      </c>
      <c r="Q150" s="2" t="s">
        <v>1888</v>
      </c>
      <c r="R150" s="2" t="s">
        <v>1888</v>
      </c>
      <c r="S150" s="4">
        <v>44837</v>
      </c>
    </row>
    <row r="151" spans="1:19" ht="12.5" x14ac:dyDescent="0.25">
      <c r="A151" s="14" t="str">
        <f>HYPERLINK("https://gerandofalcoes.my.salesforce.com/0014P00003AN2FhQAL", "0014P00003AN2FhQAL")</f>
        <v>0014P00003AN2FhQAL</v>
      </c>
      <c r="B151" s="2" t="s">
        <v>1889</v>
      </c>
      <c r="C151" s="2" t="s">
        <v>423</v>
      </c>
      <c r="D151" s="2" t="s">
        <v>2</v>
      </c>
      <c r="E151" s="2">
        <v>43.96</v>
      </c>
      <c r="F151" s="2">
        <v>3</v>
      </c>
      <c r="G151" s="2">
        <v>2</v>
      </c>
      <c r="H151" s="2">
        <v>472000</v>
      </c>
      <c r="I151" s="2">
        <v>381</v>
      </c>
      <c r="J151" s="2" t="s">
        <v>1671</v>
      </c>
      <c r="K151" s="2">
        <v>61</v>
      </c>
      <c r="L151" s="2">
        <v>15</v>
      </c>
      <c r="M151" s="2">
        <v>5</v>
      </c>
      <c r="N151" s="2">
        <v>6</v>
      </c>
      <c r="O151" s="2">
        <v>20</v>
      </c>
      <c r="P151" s="2">
        <v>15</v>
      </c>
      <c r="Q151" s="2" t="s">
        <v>715</v>
      </c>
      <c r="R151" s="2" t="s">
        <v>715</v>
      </c>
      <c r="S151" s="4">
        <v>44837</v>
      </c>
    </row>
    <row r="152" spans="1:19" ht="12.5" x14ac:dyDescent="0.25">
      <c r="A152" s="14" t="str">
        <f>HYPERLINK("https://gerandofalcoes.my.salesforce.com/0014P00003YSp8QQAT", "0014P00003YSp8QQAT")</f>
        <v>0014P00003YSp8QQAT</v>
      </c>
      <c r="B152" s="2" t="s">
        <v>1890</v>
      </c>
      <c r="C152" s="2" t="s">
        <v>423</v>
      </c>
      <c r="D152" s="2" t="s">
        <v>2</v>
      </c>
      <c r="E152" s="2">
        <v>43.85</v>
      </c>
      <c r="F152" s="2">
        <v>7</v>
      </c>
      <c r="G152" s="2">
        <v>150</v>
      </c>
      <c r="H152" s="2">
        <v>337433</v>
      </c>
      <c r="I152" s="2">
        <v>80</v>
      </c>
      <c r="J152" s="2" t="s">
        <v>1650</v>
      </c>
      <c r="K152" s="2">
        <v>65</v>
      </c>
      <c r="L152" s="2">
        <v>15</v>
      </c>
      <c r="M152" s="2">
        <v>10</v>
      </c>
      <c r="N152" s="2">
        <v>10</v>
      </c>
      <c r="O152" s="2">
        <v>20</v>
      </c>
      <c r="P152" s="2">
        <v>10</v>
      </c>
      <c r="Q152" s="2" t="s">
        <v>1891</v>
      </c>
      <c r="R152" s="2" t="s">
        <v>1891</v>
      </c>
      <c r="S152" s="4">
        <v>44837</v>
      </c>
    </row>
    <row r="153" spans="1:19" ht="12.5" x14ac:dyDescent="0.25">
      <c r="A153" s="14" t="str">
        <f>HYPERLINK("https://gerandofalcoes.my.salesforce.com/0014P00003YSp92QAD", "0014P00003YSp92QAD")</f>
        <v>0014P00003YSp92QAD</v>
      </c>
      <c r="B153" s="2" t="s">
        <v>1892</v>
      </c>
      <c r="C153" s="2" t="s">
        <v>423</v>
      </c>
      <c r="D153" s="2" t="s">
        <v>2</v>
      </c>
      <c r="E153" s="2">
        <v>43.83</v>
      </c>
      <c r="F153" s="2">
        <v>2</v>
      </c>
      <c r="G153" s="2">
        <v>3</v>
      </c>
      <c r="H153" s="2">
        <v>109472</v>
      </c>
      <c r="I153" s="2">
        <v>40</v>
      </c>
      <c r="J153" s="2" t="s">
        <v>1671</v>
      </c>
      <c r="K153" s="2">
        <v>48</v>
      </c>
      <c r="L153" s="2">
        <v>15</v>
      </c>
      <c r="M153" s="2">
        <v>5</v>
      </c>
      <c r="N153" s="2">
        <v>8</v>
      </c>
      <c r="O153" s="2">
        <v>15</v>
      </c>
      <c r="P153" s="2">
        <v>5</v>
      </c>
      <c r="Q153" s="2" t="s">
        <v>1893</v>
      </c>
      <c r="R153" s="2" t="s">
        <v>1894</v>
      </c>
      <c r="S153" s="4">
        <v>44837</v>
      </c>
    </row>
    <row r="154" spans="1:19" ht="12.5" x14ac:dyDescent="0.25">
      <c r="A154" s="14" t="str">
        <f>HYPERLINK("https://gerandofalcoes.my.salesforce.com/0014X00002VKCufQAH", "0014X00002VKCufQAH")</f>
        <v>0014X00002VKCufQAH</v>
      </c>
      <c r="B154" s="2" t="s">
        <v>1895</v>
      </c>
      <c r="C154" s="2" t="s">
        <v>423</v>
      </c>
      <c r="D154" s="2" t="s">
        <v>2</v>
      </c>
      <c r="E154" s="2">
        <v>43.69</v>
      </c>
      <c r="F154" s="2">
        <v>5</v>
      </c>
      <c r="G154" s="2">
        <v>1</v>
      </c>
      <c r="H154" s="2">
        <v>14040000</v>
      </c>
      <c r="I154" s="2">
        <v>50</v>
      </c>
      <c r="J154" s="2" t="s">
        <v>1671</v>
      </c>
      <c r="K154" s="2">
        <v>54</v>
      </c>
      <c r="L154" s="2">
        <v>15</v>
      </c>
      <c r="M154" s="2">
        <v>5</v>
      </c>
      <c r="N154" s="2">
        <v>4</v>
      </c>
      <c r="O154" s="2">
        <v>25</v>
      </c>
      <c r="P154" s="2">
        <v>5</v>
      </c>
      <c r="Q154" s="2" t="s">
        <v>1896</v>
      </c>
      <c r="R154" s="2" t="s">
        <v>1896</v>
      </c>
      <c r="S154" s="4">
        <v>44837</v>
      </c>
    </row>
    <row r="155" spans="1:19" ht="12.5" x14ac:dyDescent="0.25">
      <c r="A155" s="14" t="str">
        <f>HYPERLINK("https://gerandofalcoes.my.salesforce.com/0014P00003AN2G8QAL", "0014P00003AN2G8QAL")</f>
        <v>0014P00003AN2G8QAL</v>
      </c>
      <c r="B155" s="2" t="s">
        <v>1897</v>
      </c>
      <c r="C155" s="2" t="s">
        <v>423</v>
      </c>
      <c r="D155" s="2" t="s">
        <v>2</v>
      </c>
      <c r="E155" s="2">
        <v>43.54</v>
      </c>
      <c r="F155" s="2">
        <v>2</v>
      </c>
      <c r="G155" s="2">
        <v>5</v>
      </c>
      <c r="H155" s="2">
        <v>455000</v>
      </c>
      <c r="I155" s="2">
        <v>545</v>
      </c>
      <c r="J155" s="2" t="s">
        <v>1650</v>
      </c>
      <c r="K155" s="2">
        <v>70</v>
      </c>
      <c r="L155" s="2">
        <v>15</v>
      </c>
      <c r="M155" s="2">
        <v>5</v>
      </c>
      <c r="N155" s="2">
        <v>10</v>
      </c>
      <c r="O155" s="2">
        <v>20</v>
      </c>
      <c r="P155" s="2">
        <v>20</v>
      </c>
      <c r="Q155" s="2" t="s">
        <v>1898</v>
      </c>
      <c r="R155" s="2" t="s">
        <v>1898</v>
      </c>
      <c r="S155" s="4">
        <v>44837</v>
      </c>
    </row>
    <row r="156" spans="1:19" ht="12.5" x14ac:dyDescent="0.25">
      <c r="A156" s="14" t="str">
        <f>HYPERLINK("https://gerandofalcoes.my.salesforce.com/0014X00002VKCsnQAH", "0014X00002VKCsnQAH")</f>
        <v>0014X00002VKCsnQAH</v>
      </c>
      <c r="B156" s="2" t="s">
        <v>1899</v>
      </c>
      <c r="C156" s="2" t="s">
        <v>423</v>
      </c>
      <c r="D156" s="2" t="s">
        <v>2</v>
      </c>
      <c r="E156" s="2">
        <v>43.37</v>
      </c>
      <c r="F156" s="2">
        <v>7</v>
      </c>
      <c r="G156" s="2">
        <v>6</v>
      </c>
      <c r="H156" s="2">
        <v>130175</v>
      </c>
      <c r="I156" s="2">
        <v>120</v>
      </c>
      <c r="J156" s="2" t="s">
        <v>1671</v>
      </c>
      <c r="K156" s="2">
        <v>60</v>
      </c>
      <c r="L156" s="2">
        <v>15</v>
      </c>
      <c r="M156" s="2">
        <v>10</v>
      </c>
      <c r="N156" s="2">
        <v>10</v>
      </c>
      <c r="O156" s="2">
        <v>15</v>
      </c>
      <c r="P156" s="2">
        <v>10</v>
      </c>
      <c r="Q156" s="2" t="s">
        <v>1900</v>
      </c>
      <c r="R156" s="2" t="s">
        <v>1901</v>
      </c>
      <c r="S156" s="4">
        <v>44837</v>
      </c>
    </row>
    <row r="157" spans="1:19" ht="12.5" x14ac:dyDescent="0.25">
      <c r="A157" s="14" t="str">
        <f>HYPERLINK("https://gerandofalcoes.my.salesforce.com/0014X00002VKCuiQAH", "0014X00002VKCuiQAH")</f>
        <v>0014X00002VKCuiQAH</v>
      </c>
      <c r="B157" s="2" t="s">
        <v>1902</v>
      </c>
      <c r="C157" s="2" t="s">
        <v>423</v>
      </c>
      <c r="D157" s="2" t="s">
        <v>2</v>
      </c>
      <c r="E157" s="2">
        <v>43.37</v>
      </c>
      <c r="F157" s="2">
        <v>17</v>
      </c>
      <c r="G157" s="2">
        <v>7</v>
      </c>
      <c r="H157" s="2">
        <v>359673</v>
      </c>
      <c r="I157" s="2">
        <v>32</v>
      </c>
      <c r="J157" s="2" t="s">
        <v>1671</v>
      </c>
      <c r="K157" s="2">
        <v>62</v>
      </c>
      <c r="L157" s="2">
        <v>15</v>
      </c>
      <c r="M157" s="2">
        <v>12</v>
      </c>
      <c r="N157" s="2">
        <v>10</v>
      </c>
      <c r="O157" s="2">
        <v>20</v>
      </c>
      <c r="P157" s="2">
        <v>5</v>
      </c>
      <c r="Q157" s="2" t="s">
        <v>1903</v>
      </c>
      <c r="R157" s="2" t="s">
        <v>1904</v>
      </c>
      <c r="S157" s="4">
        <v>44837</v>
      </c>
    </row>
    <row r="158" spans="1:19" ht="12.5" x14ac:dyDescent="0.25">
      <c r="A158" s="14" t="str">
        <f>HYPERLINK("https://gerandofalcoes.my.salesforce.com/0014P00003AN2FaQAL", "0014P00003AN2FaQAL")</f>
        <v>0014P00003AN2FaQAL</v>
      </c>
      <c r="B158" s="2" t="s">
        <v>81</v>
      </c>
      <c r="C158" s="2" t="s">
        <v>423</v>
      </c>
      <c r="D158" s="2" t="s">
        <v>2</v>
      </c>
      <c r="E158" s="2">
        <v>43.16</v>
      </c>
      <c r="F158" s="2">
        <v>7</v>
      </c>
      <c r="G158" s="2">
        <v>2</v>
      </c>
      <c r="H158" s="2">
        <v>150000</v>
      </c>
      <c r="I158" s="2">
        <v>102</v>
      </c>
      <c r="J158" s="2" t="s">
        <v>1671</v>
      </c>
      <c r="K158" s="2">
        <v>56</v>
      </c>
      <c r="L158" s="2">
        <v>15</v>
      </c>
      <c r="M158" s="2">
        <v>10</v>
      </c>
      <c r="N158" s="2">
        <v>6</v>
      </c>
      <c r="O158" s="2">
        <v>15</v>
      </c>
      <c r="P158" s="2">
        <v>10</v>
      </c>
      <c r="Q158" s="2" t="s">
        <v>82</v>
      </c>
      <c r="R158" s="2" t="s">
        <v>660</v>
      </c>
      <c r="S158" s="4">
        <v>44837</v>
      </c>
    </row>
    <row r="159" spans="1:19" ht="12.5" x14ac:dyDescent="0.25">
      <c r="A159" s="14" t="str">
        <f>HYPERLINK("https://gerandofalcoes.my.salesforce.com/0014X00002VKCriQAH", "0014X00002VKCriQAH")</f>
        <v>0014X00002VKCriQAH</v>
      </c>
      <c r="B159" s="2" t="s">
        <v>1905</v>
      </c>
      <c r="C159" s="2" t="s">
        <v>423</v>
      </c>
      <c r="D159" s="2" t="s">
        <v>2</v>
      </c>
      <c r="E159" s="2">
        <v>43.02</v>
      </c>
      <c r="F159" s="2">
        <v>0</v>
      </c>
      <c r="G159" s="2">
        <v>2</v>
      </c>
      <c r="H159" s="2">
        <v>2105801</v>
      </c>
      <c r="I159" s="2">
        <v>84</v>
      </c>
      <c r="J159" s="2" t="s">
        <v>1671</v>
      </c>
      <c r="K159" s="2">
        <v>56</v>
      </c>
      <c r="L159" s="2">
        <v>15</v>
      </c>
      <c r="M159" s="2">
        <v>0</v>
      </c>
      <c r="N159" s="2">
        <v>6</v>
      </c>
      <c r="O159" s="2">
        <v>25</v>
      </c>
      <c r="P159" s="2">
        <v>10</v>
      </c>
      <c r="Q159" s="2" t="s">
        <v>1906</v>
      </c>
      <c r="R159" s="2" t="s">
        <v>1907</v>
      </c>
      <c r="S159" s="4">
        <v>44837</v>
      </c>
    </row>
    <row r="160" spans="1:19" ht="12.5" x14ac:dyDescent="0.25">
      <c r="A160" s="14" t="str">
        <f>HYPERLINK("https://gerandofalcoes.my.salesforce.com/0014P00003YSp9LQAT", "0014P00003YSp9LQAT")</f>
        <v>0014P00003YSp9LQAT</v>
      </c>
      <c r="B160" s="2" t="s">
        <v>1908</v>
      </c>
      <c r="C160" s="2" t="s">
        <v>423</v>
      </c>
      <c r="D160" s="2" t="s">
        <v>2</v>
      </c>
      <c r="E160" s="2">
        <v>43</v>
      </c>
      <c r="F160" s="2">
        <v>16</v>
      </c>
      <c r="G160" s="2">
        <v>6</v>
      </c>
      <c r="H160" s="2">
        <v>153000</v>
      </c>
      <c r="I160" s="2">
        <v>593</v>
      </c>
      <c r="J160" s="2" t="s">
        <v>1650</v>
      </c>
      <c r="K160" s="2">
        <v>72</v>
      </c>
      <c r="L160" s="2">
        <v>15</v>
      </c>
      <c r="M160" s="2">
        <v>12</v>
      </c>
      <c r="N160" s="2">
        <v>10</v>
      </c>
      <c r="O160" s="2">
        <v>15</v>
      </c>
      <c r="P160" s="2">
        <v>20</v>
      </c>
      <c r="Q160" s="2" t="s">
        <v>1909</v>
      </c>
      <c r="R160" s="2" t="s">
        <v>1909</v>
      </c>
      <c r="S160" s="4">
        <v>44837</v>
      </c>
    </row>
    <row r="161" spans="1:19" ht="12.5" x14ac:dyDescent="0.25">
      <c r="A161" s="14" t="str">
        <f>HYPERLINK("https://gerandofalcoes.my.salesforce.com/0014P00003SGWFrQAP", "0014P00003SGWFrQAP")</f>
        <v>0014P00003SGWFrQAP</v>
      </c>
      <c r="B161" s="2" t="s">
        <v>350</v>
      </c>
      <c r="C161" s="2" t="s">
        <v>423</v>
      </c>
      <c r="D161" s="2" t="s">
        <v>2</v>
      </c>
      <c r="E161" s="2">
        <v>43</v>
      </c>
      <c r="F161" s="2">
        <v>7</v>
      </c>
      <c r="G161" s="2">
        <v>0</v>
      </c>
      <c r="H161" s="2">
        <v>290000</v>
      </c>
      <c r="I161" s="2">
        <v>183</v>
      </c>
      <c r="J161" s="2" t="s">
        <v>1671</v>
      </c>
      <c r="K161" s="2">
        <v>52</v>
      </c>
      <c r="L161" s="2">
        <v>15</v>
      </c>
      <c r="M161" s="2">
        <v>10</v>
      </c>
      <c r="N161" s="2">
        <v>0</v>
      </c>
      <c r="O161" s="2">
        <v>15</v>
      </c>
      <c r="P161" s="2">
        <v>12</v>
      </c>
      <c r="Q161" s="2" t="s">
        <v>351</v>
      </c>
      <c r="R161" s="2" t="s">
        <v>1499</v>
      </c>
      <c r="S161" s="4">
        <v>44837</v>
      </c>
    </row>
    <row r="162" spans="1:19" ht="12.5" x14ac:dyDescent="0.25">
      <c r="A162" s="14" t="str">
        <f>HYPERLINK("https://gerandofalcoes.my.salesforce.com/0014P00003YSpA3QAL", "0014P00003YSpA3QAL")</f>
        <v>0014P00003YSpA3QAL</v>
      </c>
      <c r="B162" s="2" t="s">
        <v>1910</v>
      </c>
      <c r="C162" s="2" t="s">
        <v>1800</v>
      </c>
      <c r="D162" s="2" t="s">
        <v>2</v>
      </c>
      <c r="E162" s="2">
        <v>43</v>
      </c>
      <c r="F162" s="2">
        <v>10</v>
      </c>
      <c r="G162" s="2">
        <v>2</v>
      </c>
      <c r="H162" s="2">
        <v>15000</v>
      </c>
      <c r="I162" s="2">
        <v>100</v>
      </c>
      <c r="J162" s="2" t="s">
        <v>1671</v>
      </c>
      <c r="K162" s="2">
        <v>46</v>
      </c>
      <c r="L162" s="2">
        <v>15</v>
      </c>
      <c r="M162" s="2">
        <v>10</v>
      </c>
      <c r="N162" s="2">
        <v>6</v>
      </c>
      <c r="O162" s="2">
        <v>5</v>
      </c>
      <c r="P162" s="2">
        <v>10</v>
      </c>
      <c r="Q162" s="2" t="s">
        <v>1911</v>
      </c>
      <c r="R162" s="2" t="s">
        <v>1912</v>
      </c>
      <c r="S162" s="4">
        <v>44837</v>
      </c>
    </row>
    <row r="163" spans="1:19" ht="12.5" x14ac:dyDescent="0.25">
      <c r="A163" s="14" t="str">
        <f>HYPERLINK("https://gerandofalcoes.my.salesforce.com/0014X00002VKCpbQAH", "0014X00002VKCpbQAH")</f>
        <v>0014X00002VKCpbQAH</v>
      </c>
      <c r="B163" s="2" t="s">
        <v>1913</v>
      </c>
      <c r="C163" s="2" t="s">
        <v>423</v>
      </c>
      <c r="D163" s="2" t="s">
        <v>2</v>
      </c>
      <c r="E163" s="2">
        <v>43</v>
      </c>
      <c r="F163" s="2">
        <v>20</v>
      </c>
      <c r="G163" s="2">
        <v>3</v>
      </c>
      <c r="H163" s="2">
        <v>2000</v>
      </c>
      <c r="I163" s="2">
        <v>25</v>
      </c>
      <c r="J163" s="2" t="s">
        <v>1671</v>
      </c>
      <c r="K163" s="2">
        <v>45</v>
      </c>
      <c r="L163" s="2">
        <v>15</v>
      </c>
      <c r="M163" s="2">
        <v>12</v>
      </c>
      <c r="N163" s="2">
        <v>8</v>
      </c>
      <c r="O163" s="2">
        <v>5</v>
      </c>
      <c r="P163" s="2">
        <v>5</v>
      </c>
      <c r="Q163" s="2" t="s">
        <v>1914</v>
      </c>
      <c r="R163" s="2" t="s">
        <v>1914</v>
      </c>
      <c r="S163" s="4">
        <v>44837</v>
      </c>
    </row>
    <row r="164" spans="1:19" ht="12.5" x14ac:dyDescent="0.25">
      <c r="A164" s="14" t="str">
        <f>HYPERLINK("https://gerandofalcoes.my.salesforce.com/0014X00002VKCr2QAH", "0014X00002VKCr2QAH")</f>
        <v>0014X00002VKCr2QAH</v>
      </c>
      <c r="B164" s="2" t="s">
        <v>1915</v>
      </c>
      <c r="C164" s="2" t="s">
        <v>423</v>
      </c>
      <c r="D164" s="2" t="s">
        <v>2</v>
      </c>
      <c r="E164" s="2">
        <v>42.99</v>
      </c>
      <c r="F164" s="2">
        <v>8</v>
      </c>
      <c r="G164" s="2">
        <v>2</v>
      </c>
      <c r="H164" s="2">
        <v>4500000</v>
      </c>
      <c r="I164" s="2">
        <v>-40</v>
      </c>
      <c r="J164" s="2" t="s">
        <v>1671</v>
      </c>
      <c r="K164" s="2">
        <v>56</v>
      </c>
      <c r="L164" s="2">
        <v>15</v>
      </c>
      <c r="M164" s="2">
        <v>10</v>
      </c>
      <c r="N164" s="2">
        <v>6</v>
      </c>
      <c r="O164" s="2">
        <v>25</v>
      </c>
      <c r="P164" s="2">
        <v>0</v>
      </c>
      <c r="Q164" s="2" t="s">
        <v>1916</v>
      </c>
      <c r="R164" s="2" t="s">
        <v>1917</v>
      </c>
      <c r="S164" s="4">
        <v>44837</v>
      </c>
    </row>
    <row r="165" spans="1:19" ht="12.5" x14ac:dyDescent="0.25">
      <c r="A165" s="14" t="str">
        <f>HYPERLINK("https://gerandofalcoes.my.salesforce.com/0014X00002VKCs0QAH", "0014X00002VKCs0QAH")</f>
        <v>0014X00002VKCs0QAH</v>
      </c>
      <c r="B165" s="2" t="s">
        <v>1918</v>
      </c>
      <c r="C165" s="2" t="s">
        <v>423</v>
      </c>
      <c r="D165" s="2" t="s">
        <v>2</v>
      </c>
      <c r="E165" s="2">
        <v>42.91</v>
      </c>
      <c r="F165" s="2">
        <v>0</v>
      </c>
      <c r="G165" s="2">
        <v>2</v>
      </c>
      <c r="H165" s="2">
        <v>500000</v>
      </c>
      <c r="I165" s="2">
        <v>130</v>
      </c>
      <c r="J165" s="2" t="s">
        <v>1671</v>
      </c>
      <c r="K165" s="2">
        <v>51</v>
      </c>
      <c r="L165" s="2">
        <v>15</v>
      </c>
      <c r="M165" s="2">
        <v>0</v>
      </c>
      <c r="N165" s="2">
        <v>6</v>
      </c>
      <c r="O165" s="2">
        <v>20</v>
      </c>
      <c r="P165" s="2">
        <v>10</v>
      </c>
      <c r="Q165" s="2" t="s">
        <v>1919</v>
      </c>
      <c r="R165" s="2" t="s">
        <v>1920</v>
      </c>
      <c r="S165" s="4">
        <v>44837</v>
      </c>
    </row>
    <row r="166" spans="1:19" ht="12.5" x14ac:dyDescent="0.25">
      <c r="A166" s="14" t="str">
        <f>HYPERLINK("https://gerandofalcoes.my.salesforce.com/0014P00003YSp8YQAT", "0014P00003YSp8YQAT")</f>
        <v>0014P00003YSp8YQAT</v>
      </c>
      <c r="B166" s="2" t="s">
        <v>1921</v>
      </c>
      <c r="C166" s="2" t="s">
        <v>423</v>
      </c>
      <c r="D166" s="2" t="s">
        <v>2</v>
      </c>
      <c r="E166" s="2">
        <v>42.23</v>
      </c>
      <c r="F166" s="2">
        <v>9</v>
      </c>
      <c r="G166" s="2">
        <v>3</v>
      </c>
      <c r="H166" s="2">
        <v>97000</v>
      </c>
      <c r="I166" s="2">
        <v>100</v>
      </c>
      <c r="J166" s="2" t="s">
        <v>1671</v>
      </c>
      <c r="K166" s="2">
        <v>53</v>
      </c>
      <c r="L166" s="2">
        <v>15</v>
      </c>
      <c r="M166" s="2">
        <v>10</v>
      </c>
      <c r="N166" s="2">
        <v>8</v>
      </c>
      <c r="O166" s="2">
        <v>10</v>
      </c>
      <c r="P166" s="2">
        <v>10</v>
      </c>
      <c r="Q166" s="2" t="s">
        <v>1922</v>
      </c>
      <c r="R166" s="2" t="s">
        <v>1923</v>
      </c>
      <c r="S166" s="4">
        <v>44837</v>
      </c>
    </row>
    <row r="167" spans="1:19" ht="12.5" x14ac:dyDescent="0.25">
      <c r="A167" s="14" t="str">
        <f>HYPERLINK("https://gerandofalcoes.my.salesforce.com/0014X00002VKCuvQAH", "0014X00002VKCuvQAH")</f>
        <v>0014X00002VKCuvQAH</v>
      </c>
      <c r="B167" s="2" t="s">
        <v>1924</v>
      </c>
      <c r="C167" s="2" t="s">
        <v>423</v>
      </c>
      <c r="D167" s="2" t="s">
        <v>2</v>
      </c>
      <c r="E167" s="2">
        <v>42</v>
      </c>
      <c r="F167" s="2">
        <v>44</v>
      </c>
      <c r="G167" s="2">
        <v>6</v>
      </c>
      <c r="H167" s="2">
        <v>900000</v>
      </c>
      <c r="I167" s="2">
        <v>380</v>
      </c>
      <c r="J167" s="2" t="s">
        <v>1654</v>
      </c>
      <c r="K167" s="2">
        <v>80</v>
      </c>
      <c r="L167" s="2">
        <v>15</v>
      </c>
      <c r="M167" s="2">
        <v>15</v>
      </c>
      <c r="N167" s="2">
        <v>10</v>
      </c>
      <c r="O167" s="2">
        <v>25</v>
      </c>
      <c r="P167" s="2">
        <v>15</v>
      </c>
      <c r="Q167" s="2" t="s">
        <v>1925</v>
      </c>
      <c r="R167" s="2" t="s">
        <v>1926</v>
      </c>
      <c r="S167" s="4">
        <v>44837</v>
      </c>
    </row>
    <row r="168" spans="1:19" ht="12.5" x14ac:dyDescent="0.25">
      <c r="A168" s="14" t="str">
        <f>HYPERLINK("https://gerandofalcoes.my.salesforce.com/0014X00002VKCtIQAX", "0014X00002VKCtIQAX")</f>
        <v>0014X00002VKCtIQAX</v>
      </c>
      <c r="B168" s="2" t="s">
        <v>1927</v>
      </c>
      <c r="C168" s="2" t="s">
        <v>423</v>
      </c>
      <c r="D168" s="2" t="s">
        <v>2</v>
      </c>
      <c r="E168" s="2">
        <v>42</v>
      </c>
      <c r="F168" s="2">
        <v>0</v>
      </c>
      <c r="G168" s="2">
        <v>6</v>
      </c>
      <c r="H168" s="2">
        <v>0</v>
      </c>
      <c r="I168" s="2">
        <v>180</v>
      </c>
      <c r="J168" s="2" t="s">
        <v>1779</v>
      </c>
      <c r="K168" s="2">
        <v>37</v>
      </c>
      <c r="L168" s="2">
        <v>15</v>
      </c>
      <c r="M168" s="2">
        <v>0</v>
      </c>
      <c r="N168" s="2">
        <v>10</v>
      </c>
      <c r="O168" s="2">
        <v>0</v>
      </c>
      <c r="P168" s="2">
        <v>12</v>
      </c>
      <c r="Q168" s="2" t="s">
        <v>1928</v>
      </c>
      <c r="R168" s="2" t="s">
        <v>1929</v>
      </c>
      <c r="S168" s="4">
        <v>44837</v>
      </c>
    </row>
    <row r="169" spans="1:19" ht="12.5" x14ac:dyDescent="0.25">
      <c r="A169" s="14" t="str">
        <f>HYPERLINK("https://gerandofalcoes.my.salesforce.com/0014X00002VKCuWQAX", "0014X00002VKCuWQAX")</f>
        <v>0014X00002VKCuWQAX</v>
      </c>
      <c r="B169" s="2" t="s">
        <v>1930</v>
      </c>
      <c r="C169" s="2" t="s">
        <v>423</v>
      </c>
      <c r="D169" s="2" t="s">
        <v>2</v>
      </c>
      <c r="E169" s="2">
        <v>42</v>
      </c>
      <c r="F169" s="2">
        <v>35</v>
      </c>
      <c r="G169" s="2">
        <v>4</v>
      </c>
      <c r="H169" s="2">
        <v>30000</v>
      </c>
      <c r="I169" s="2">
        <v>30</v>
      </c>
      <c r="J169" s="2" t="s">
        <v>1671</v>
      </c>
      <c r="K169" s="2">
        <v>55</v>
      </c>
      <c r="L169" s="2">
        <v>15</v>
      </c>
      <c r="M169" s="2">
        <v>15</v>
      </c>
      <c r="N169" s="2">
        <v>10</v>
      </c>
      <c r="O169" s="2">
        <v>10</v>
      </c>
      <c r="P169" s="2">
        <v>5</v>
      </c>
      <c r="Q169" s="2" t="s">
        <v>1931</v>
      </c>
      <c r="R169" s="2" t="s">
        <v>1931</v>
      </c>
      <c r="S169" s="4">
        <v>44837</v>
      </c>
    </row>
    <row r="170" spans="1:19" ht="12.5" x14ac:dyDescent="0.25">
      <c r="A170" s="14" t="str">
        <f>HYPERLINK("https://gerandofalcoes.my.salesforce.com/0014X00002VKCr6QAH", "0014X00002VKCr6QAH")</f>
        <v>0014X00002VKCr6QAH</v>
      </c>
      <c r="B170" s="2" t="s">
        <v>1932</v>
      </c>
      <c r="C170" s="2" t="s">
        <v>423</v>
      </c>
      <c r="D170" s="2" t="s">
        <v>2</v>
      </c>
      <c r="E170" s="2">
        <v>41.5</v>
      </c>
      <c r="F170" s="2">
        <v>7</v>
      </c>
      <c r="G170" s="2">
        <v>1</v>
      </c>
      <c r="H170" s="2">
        <v>720000</v>
      </c>
      <c r="I170" s="2">
        <v>200</v>
      </c>
      <c r="J170" s="2" t="s">
        <v>1671</v>
      </c>
      <c r="K170" s="2">
        <v>61</v>
      </c>
      <c r="L170" s="2">
        <v>15</v>
      </c>
      <c r="M170" s="2">
        <v>10</v>
      </c>
      <c r="N170" s="2">
        <v>4</v>
      </c>
      <c r="O170" s="2">
        <v>20</v>
      </c>
      <c r="P170" s="2">
        <v>12</v>
      </c>
      <c r="Q170" s="2" t="s">
        <v>1933</v>
      </c>
      <c r="R170" s="2" t="s">
        <v>1934</v>
      </c>
      <c r="S170" s="4">
        <v>44837</v>
      </c>
    </row>
    <row r="171" spans="1:19" ht="12.5" x14ac:dyDescent="0.25">
      <c r="A171" s="14" t="str">
        <f>HYPERLINK("https://gerandofalcoes.my.salesforce.com/0014X00002VKCoyQAH", "0014X00002VKCoyQAH")</f>
        <v>0014X00002VKCoyQAH</v>
      </c>
      <c r="B171" s="2" t="s">
        <v>1935</v>
      </c>
      <c r="C171" s="2" t="s">
        <v>423</v>
      </c>
      <c r="D171" s="2" t="s">
        <v>2</v>
      </c>
      <c r="E171" s="2">
        <v>41.25</v>
      </c>
      <c r="F171" s="2">
        <v>1</v>
      </c>
      <c r="G171" s="2">
        <v>3</v>
      </c>
      <c r="H171" s="2">
        <v>360000</v>
      </c>
      <c r="I171" s="2">
        <v>105</v>
      </c>
      <c r="J171" s="2" t="s">
        <v>1671</v>
      </c>
      <c r="K171" s="2">
        <v>58</v>
      </c>
      <c r="L171" s="2">
        <v>15</v>
      </c>
      <c r="M171" s="2">
        <v>5</v>
      </c>
      <c r="N171" s="2">
        <v>8</v>
      </c>
      <c r="O171" s="2">
        <v>20</v>
      </c>
      <c r="P171" s="2">
        <v>10</v>
      </c>
      <c r="Q171" s="2" t="s">
        <v>1936</v>
      </c>
      <c r="R171" s="2" t="s">
        <v>1937</v>
      </c>
      <c r="S171" s="4">
        <v>44837</v>
      </c>
    </row>
    <row r="172" spans="1:19" ht="12.5" x14ac:dyDescent="0.25">
      <c r="A172" s="14" t="str">
        <f>HYPERLINK("https://gerandofalcoes.my.salesforce.com/0014P00003AN2FoQAL", "0014P00003AN2FoQAL")</f>
        <v>0014P00003AN2FoQAL</v>
      </c>
      <c r="B172" s="2" t="s">
        <v>1938</v>
      </c>
      <c r="C172" s="2" t="s">
        <v>423</v>
      </c>
      <c r="D172" s="2" t="s">
        <v>2</v>
      </c>
      <c r="E172" s="2">
        <v>41.14</v>
      </c>
      <c r="F172" s="2">
        <v>5</v>
      </c>
      <c r="G172" s="2">
        <v>1</v>
      </c>
      <c r="H172" s="2">
        <v>25000</v>
      </c>
      <c r="I172" s="2">
        <v>300</v>
      </c>
      <c r="J172" s="2" t="s">
        <v>1671</v>
      </c>
      <c r="K172" s="2">
        <v>49</v>
      </c>
      <c r="L172" s="2">
        <v>15</v>
      </c>
      <c r="M172" s="2">
        <v>5</v>
      </c>
      <c r="N172" s="2">
        <v>4</v>
      </c>
      <c r="O172" s="2">
        <v>10</v>
      </c>
      <c r="P172" s="2">
        <v>15</v>
      </c>
      <c r="Q172" s="2" t="s">
        <v>130</v>
      </c>
      <c r="R172" s="2" t="s">
        <v>1939</v>
      </c>
      <c r="S172" s="4">
        <v>44837</v>
      </c>
    </row>
    <row r="173" spans="1:19" ht="12.5" x14ac:dyDescent="0.25">
      <c r="A173" s="14" t="str">
        <f>HYPERLINK("https://gerandofalcoes.my.salesforce.com/0014X00002VKCpwQAH", "0014X00002VKCpwQAH")</f>
        <v>0014X00002VKCpwQAH</v>
      </c>
      <c r="B173" s="2" t="s">
        <v>1940</v>
      </c>
      <c r="C173" s="2" t="s">
        <v>423</v>
      </c>
      <c r="D173" s="2" t="s">
        <v>2</v>
      </c>
      <c r="E173" s="2">
        <v>41.08</v>
      </c>
      <c r="F173" s="2">
        <v>0</v>
      </c>
      <c r="G173" s="2">
        <v>3</v>
      </c>
      <c r="H173" s="2">
        <v>4289056</v>
      </c>
      <c r="I173" s="2">
        <v>400</v>
      </c>
      <c r="J173" s="2" t="s">
        <v>1671</v>
      </c>
      <c r="K173" s="2">
        <v>63</v>
      </c>
      <c r="L173" s="2">
        <v>15</v>
      </c>
      <c r="M173" s="2">
        <v>0</v>
      </c>
      <c r="N173" s="2">
        <v>8</v>
      </c>
      <c r="O173" s="2">
        <v>25</v>
      </c>
      <c r="P173" s="2">
        <v>15</v>
      </c>
      <c r="Q173" s="2" t="s">
        <v>1941</v>
      </c>
      <c r="R173" s="2" t="s">
        <v>1942</v>
      </c>
      <c r="S173" s="4">
        <v>44837</v>
      </c>
    </row>
    <row r="174" spans="1:19" ht="12.5" x14ac:dyDescent="0.25">
      <c r="A174" s="14" t="str">
        <f>HYPERLINK("https://gerandofalcoes.my.salesforce.com/0014P00003YSp8AQAT", "0014P00003YSp8AQAT")</f>
        <v>0014P00003YSp8AQAT</v>
      </c>
      <c r="B174" s="2" t="s">
        <v>1943</v>
      </c>
      <c r="C174" s="2" t="s">
        <v>423</v>
      </c>
      <c r="D174" s="2" t="s">
        <v>2</v>
      </c>
      <c r="E174" s="2">
        <v>41.07</v>
      </c>
      <c r="F174" s="2">
        <v>15</v>
      </c>
      <c r="G174" s="2">
        <v>2</v>
      </c>
      <c r="H174" s="2">
        <v>50000</v>
      </c>
      <c r="I174" s="2">
        <v>200</v>
      </c>
      <c r="J174" s="2" t="s">
        <v>1671</v>
      </c>
      <c r="K174" s="2">
        <v>55</v>
      </c>
      <c r="L174" s="2">
        <v>15</v>
      </c>
      <c r="M174" s="2">
        <v>12</v>
      </c>
      <c r="N174" s="2">
        <v>6</v>
      </c>
      <c r="O174" s="2">
        <v>10</v>
      </c>
      <c r="P174" s="2">
        <v>12</v>
      </c>
      <c r="Q174" s="2" t="s">
        <v>1944</v>
      </c>
      <c r="R174" s="2" t="s">
        <v>1945</v>
      </c>
      <c r="S174" s="4">
        <v>44837</v>
      </c>
    </row>
    <row r="175" spans="1:19" ht="12.5" x14ac:dyDescent="0.25">
      <c r="A175" s="14" t="str">
        <f>HYPERLINK("https://gerandofalcoes.my.salesforce.com/0014X00002VKCusQAH", "0014X00002VKCusQAH")</f>
        <v>0014X00002VKCusQAH</v>
      </c>
      <c r="B175" s="2" t="s">
        <v>1946</v>
      </c>
      <c r="C175" s="2" t="s">
        <v>423</v>
      </c>
      <c r="D175" s="2" t="s">
        <v>2</v>
      </c>
      <c r="E175" s="2">
        <v>41</v>
      </c>
      <c r="F175" s="2">
        <v>0</v>
      </c>
      <c r="G175" s="2">
        <v>2</v>
      </c>
      <c r="H175" s="2">
        <v>3000</v>
      </c>
      <c r="I175" s="2">
        <v>262</v>
      </c>
      <c r="J175" s="2" t="s">
        <v>1779</v>
      </c>
      <c r="K175" s="2">
        <v>38</v>
      </c>
      <c r="L175" s="2">
        <v>15</v>
      </c>
      <c r="M175" s="2">
        <v>0</v>
      </c>
      <c r="N175" s="2">
        <v>6</v>
      </c>
      <c r="O175" s="2">
        <v>5</v>
      </c>
      <c r="P175" s="2">
        <v>12</v>
      </c>
      <c r="Q175" s="2" t="s">
        <v>1947</v>
      </c>
      <c r="R175" s="2" t="s">
        <v>1948</v>
      </c>
      <c r="S175" s="4">
        <v>44837</v>
      </c>
    </row>
    <row r="176" spans="1:19" ht="12.5" x14ac:dyDescent="0.25">
      <c r="A176" s="14" t="str">
        <f>HYPERLINK("https://gerandofalcoes.my.salesforce.com/0014X00002VKCqBQAX", "0014X00002VKCqBQAX")</f>
        <v>0014X00002VKCqBQAX</v>
      </c>
      <c r="B176" s="2" t="s">
        <v>1949</v>
      </c>
      <c r="C176" s="2" t="s">
        <v>423</v>
      </c>
      <c r="D176" s="2" t="s">
        <v>2</v>
      </c>
      <c r="E176" s="2">
        <v>41</v>
      </c>
      <c r="F176" s="2">
        <v>6</v>
      </c>
      <c r="G176" s="2">
        <v>1</v>
      </c>
      <c r="H176" s="2">
        <v>109000</v>
      </c>
      <c r="I176" s="2">
        <v>154</v>
      </c>
      <c r="J176" s="2" t="s">
        <v>1671</v>
      </c>
      <c r="K176" s="2">
        <v>56</v>
      </c>
      <c r="L176" s="2">
        <v>15</v>
      </c>
      <c r="M176" s="2">
        <v>10</v>
      </c>
      <c r="N176" s="2">
        <v>4</v>
      </c>
      <c r="O176" s="2">
        <v>15</v>
      </c>
      <c r="P176" s="2">
        <v>12</v>
      </c>
      <c r="Q176" s="2" t="s">
        <v>1950</v>
      </c>
      <c r="R176" s="2" t="s">
        <v>1951</v>
      </c>
      <c r="S176" s="4">
        <v>44837</v>
      </c>
    </row>
    <row r="177" spans="1:19" ht="12.5" x14ac:dyDescent="0.25">
      <c r="A177" s="14" t="str">
        <f>HYPERLINK("https://gerandofalcoes.my.salesforce.com/0014P00003YSp8OQAT", "0014P00003YSp8OQAT")</f>
        <v>0014P00003YSp8OQAT</v>
      </c>
      <c r="B177" s="2" t="s">
        <v>1952</v>
      </c>
      <c r="C177" s="2" t="s">
        <v>1800</v>
      </c>
      <c r="D177" s="2" t="s">
        <v>2</v>
      </c>
      <c r="E177" s="2">
        <v>41</v>
      </c>
      <c r="F177" s="2">
        <v>1</v>
      </c>
      <c r="G177" s="2">
        <v>3</v>
      </c>
      <c r="H177" s="2">
        <v>25000</v>
      </c>
      <c r="I177" s="2">
        <v>90</v>
      </c>
      <c r="J177" s="2" t="s">
        <v>1671</v>
      </c>
      <c r="K177" s="2">
        <v>48</v>
      </c>
      <c r="L177" s="2">
        <v>15</v>
      </c>
      <c r="M177" s="2">
        <v>5</v>
      </c>
      <c r="N177" s="2">
        <v>8</v>
      </c>
      <c r="O177" s="2">
        <v>10</v>
      </c>
      <c r="P177" s="2">
        <v>10</v>
      </c>
      <c r="Q177" s="2" t="s">
        <v>1953</v>
      </c>
      <c r="R177" s="2" t="s">
        <v>1953</v>
      </c>
      <c r="S177" s="4">
        <v>44837</v>
      </c>
    </row>
    <row r="178" spans="1:19" ht="12.5" hidden="1" x14ac:dyDescent="0.25">
      <c r="A178" s="14" t="str">
        <f>HYPERLINK("https://gerandofalcoes.my.salesforce.com/0014P00003YSp7jQAD", "0014P00003YSp7jQAD")</f>
        <v>0014P00003YSp7jQAD</v>
      </c>
      <c r="B178" s="2" t="s">
        <v>3000</v>
      </c>
      <c r="C178" s="2" t="s">
        <v>1684</v>
      </c>
      <c r="D178" s="2" t="s">
        <v>2</v>
      </c>
      <c r="E178" s="2">
        <v>41</v>
      </c>
      <c r="F178" s="2">
        <v>12</v>
      </c>
      <c r="G178" s="2">
        <v>3</v>
      </c>
      <c r="H178" s="2">
        <v>200000</v>
      </c>
      <c r="I178" s="2">
        <v>0</v>
      </c>
      <c r="J178" s="2" t="s">
        <v>1671</v>
      </c>
      <c r="K178" s="2">
        <v>50</v>
      </c>
      <c r="L178" s="2">
        <v>15</v>
      </c>
      <c r="M178" s="2">
        <v>12</v>
      </c>
      <c r="N178" s="2">
        <v>8</v>
      </c>
      <c r="O178" s="2">
        <v>15</v>
      </c>
      <c r="P178" s="2">
        <v>0</v>
      </c>
      <c r="Q178" s="2" t="s">
        <v>3001</v>
      </c>
      <c r="R178" s="2"/>
      <c r="S178" s="4">
        <v>44911</v>
      </c>
    </row>
    <row r="179" spans="1:19" ht="12.5" x14ac:dyDescent="0.25">
      <c r="A179" s="14" t="str">
        <f>HYPERLINK("https://gerandofalcoes.my.salesforce.com/0014X00002VKCtwQAH", "0014X00002VKCtwQAH")</f>
        <v>0014X00002VKCtwQAH</v>
      </c>
      <c r="B179" s="2" t="s">
        <v>1954</v>
      </c>
      <c r="C179" s="2" t="s">
        <v>1800</v>
      </c>
      <c r="D179" s="2" t="s">
        <v>2</v>
      </c>
      <c r="E179" s="2">
        <v>41</v>
      </c>
      <c r="F179" s="2">
        <v>4</v>
      </c>
      <c r="G179" s="2">
        <v>3</v>
      </c>
      <c r="H179" s="2">
        <v>186011</v>
      </c>
      <c r="I179" s="2">
        <v>0</v>
      </c>
      <c r="J179" s="2" t="s">
        <v>1671</v>
      </c>
      <c r="K179" s="2">
        <v>43</v>
      </c>
      <c r="L179" s="2">
        <v>15</v>
      </c>
      <c r="M179" s="2">
        <v>5</v>
      </c>
      <c r="N179" s="2">
        <v>8</v>
      </c>
      <c r="O179" s="2">
        <v>15</v>
      </c>
      <c r="P179" s="2">
        <v>0</v>
      </c>
      <c r="Q179" s="2" t="s">
        <v>1955</v>
      </c>
      <c r="R179" s="2" t="s">
        <v>1956</v>
      </c>
      <c r="S179" s="4">
        <v>44837</v>
      </c>
    </row>
    <row r="180" spans="1:19" ht="12.5" x14ac:dyDescent="0.25">
      <c r="A180" s="14" t="str">
        <f>HYPERLINK("https://gerandofalcoes.my.salesforce.com/0014P00003YSp9AQAT", "0014P00003YSp9AQAT")</f>
        <v>0014P00003YSp9AQAT</v>
      </c>
      <c r="B180" s="2" t="s">
        <v>1957</v>
      </c>
      <c r="C180" s="2" t="s">
        <v>423</v>
      </c>
      <c r="D180" s="2" t="s">
        <v>2</v>
      </c>
      <c r="E180" s="2">
        <v>40.99</v>
      </c>
      <c r="F180" s="2">
        <v>0</v>
      </c>
      <c r="G180" s="2">
        <v>4</v>
      </c>
      <c r="H180" s="2">
        <v>45453</v>
      </c>
      <c r="I180" s="2">
        <v>355</v>
      </c>
      <c r="J180" s="2" t="s">
        <v>1671</v>
      </c>
      <c r="K180" s="2">
        <v>50</v>
      </c>
      <c r="L180" s="2">
        <v>15</v>
      </c>
      <c r="M180" s="2">
        <v>0</v>
      </c>
      <c r="N180" s="2">
        <v>10</v>
      </c>
      <c r="O180" s="2">
        <v>10</v>
      </c>
      <c r="P180" s="2">
        <v>15</v>
      </c>
      <c r="Q180" s="2" t="s">
        <v>1958</v>
      </c>
      <c r="R180" s="2" t="s">
        <v>1958</v>
      </c>
      <c r="S180" s="4">
        <v>44837</v>
      </c>
    </row>
    <row r="181" spans="1:19" ht="12.5" x14ac:dyDescent="0.25">
      <c r="A181" s="14" t="str">
        <f>HYPERLINK("https://gerandofalcoes.my.salesforce.com/0014X00002YggkYQAR", "0014X00002YggkYQAR")</f>
        <v>0014X00002YggkYQAR</v>
      </c>
      <c r="B181" s="2" t="s">
        <v>4055</v>
      </c>
      <c r="C181" s="2" t="s">
        <v>423</v>
      </c>
      <c r="D181" s="2" t="s">
        <v>2</v>
      </c>
      <c r="E181" s="2">
        <v>40.81</v>
      </c>
      <c r="F181" s="2">
        <v>11</v>
      </c>
      <c r="G181" s="2">
        <v>4</v>
      </c>
      <c r="H181" s="2">
        <v>63910621</v>
      </c>
      <c r="I181" s="2">
        <v>75</v>
      </c>
      <c r="J181" s="2"/>
      <c r="K181" s="2">
        <v>67</v>
      </c>
      <c r="L181" s="2">
        <v>15</v>
      </c>
      <c r="M181" s="2">
        <v>12</v>
      </c>
      <c r="N181" s="2">
        <v>10</v>
      </c>
      <c r="O181" s="2">
        <v>25</v>
      </c>
      <c r="P181" s="2">
        <v>5</v>
      </c>
      <c r="Q181" s="2" t="s">
        <v>4056</v>
      </c>
      <c r="R181" s="2" t="s">
        <v>4057</v>
      </c>
      <c r="S181" s="4">
        <v>45169</v>
      </c>
    </row>
    <row r="182" spans="1:19" ht="12.5" x14ac:dyDescent="0.25">
      <c r="A182" s="14" t="str">
        <f>HYPERLINK("https://gerandofalcoes.my.salesforce.com/0014X00002VKCtvQAH", "0014X00002VKCtvQAH")</f>
        <v>0014X00002VKCtvQAH</v>
      </c>
      <c r="B182" s="2" t="s">
        <v>1959</v>
      </c>
      <c r="C182" s="2" t="s">
        <v>423</v>
      </c>
      <c r="D182" s="2" t="s">
        <v>2</v>
      </c>
      <c r="E182" s="2">
        <v>40.53</v>
      </c>
      <c r="F182" s="2">
        <v>0</v>
      </c>
      <c r="G182" s="2">
        <v>3</v>
      </c>
      <c r="H182" s="2">
        <v>100000</v>
      </c>
      <c r="I182" s="2">
        <v>120</v>
      </c>
      <c r="J182" s="2" t="s">
        <v>1671</v>
      </c>
      <c r="K182" s="2">
        <v>48</v>
      </c>
      <c r="L182" s="2">
        <v>15</v>
      </c>
      <c r="M182" s="2">
        <v>0</v>
      </c>
      <c r="N182" s="2">
        <v>8</v>
      </c>
      <c r="O182" s="2">
        <v>15</v>
      </c>
      <c r="P182" s="2">
        <v>10</v>
      </c>
      <c r="Q182" s="2" t="s">
        <v>1960</v>
      </c>
      <c r="R182" s="2" t="s">
        <v>1960</v>
      </c>
      <c r="S182" s="4">
        <v>44837</v>
      </c>
    </row>
    <row r="183" spans="1:19" ht="12.5" x14ac:dyDescent="0.25">
      <c r="A183" s="14" t="str">
        <f>HYPERLINK("https://gerandofalcoes.my.salesforce.com/0014X00002YggiQQAR", "0014X00002YggiQQAR")</f>
        <v>0014X00002YggiQQAR</v>
      </c>
      <c r="B183" s="2" t="s">
        <v>3149</v>
      </c>
      <c r="C183" s="2" t="s">
        <v>423</v>
      </c>
      <c r="D183" s="2" t="s">
        <v>2</v>
      </c>
      <c r="E183" s="2">
        <v>40.299999999999997</v>
      </c>
      <c r="F183" s="2">
        <v>30</v>
      </c>
      <c r="G183" s="2">
        <v>5</v>
      </c>
      <c r="H183" s="2">
        <v>190000</v>
      </c>
      <c r="I183" s="2">
        <v>178</v>
      </c>
      <c r="J183" s="2" t="s">
        <v>1671</v>
      </c>
      <c r="K183" s="2">
        <v>64</v>
      </c>
      <c r="L183" s="2">
        <v>15</v>
      </c>
      <c r="M183" s="2">
        <v>12</v>
      </c>
      <c r="N183" s="2">
        <v>10</v>
      </c>
      <c r="O183" s="2">
        <v>15</v>
      </c>
      <c r="P183" s="2">
        <v>12</v>
      </c>
      <c r="Q183" s="2" t="s">
        <v>3150</v>
      </c>
      <c r="R183" s="2" t="s">
        <v>3151</v>
      </c>
      <c r="S183" s="4">
        <v>44950</v>
      </c>
    </row>
    <row r="184" spans="1:19" ht="12.5" x14ac:dyDescent="0.25">
      <c r="A184" s="14" t="str">
        <f>HYPERLINK("https://gerandofalcoes.my.salesforce.com/0014X00002VKCsaQAH", "0014X00002VKCsaQAH")</f>
        <v>0014X00002VKCsaQAH</v>
      </c>
      <c r="B184" s="2" t="s">
        <v>1961</v>
      </c>
      <c r="C184" s="2" t="s">
        <v>423</v>
      </c>
      <c r="D184" s="2" t="s">
        <v>2</v>
      </c>
      <c r="E184" s="2">
        <v>40.25</v>
      </c>
      <c r="F184" s="2">
        <v>0</v>
      </c>
      <c r="G184" s="2">
        <v>3</v>
      </c>
      <c r="H184" s="2">
        <v>10749</v>
      </c>
      <c r="I184" s="2">
        <v>15</v>
      </c>
      <c r="J184" s="2" t="s">
        <v>1779</v>
      </c>
      <c r="K184" s="2">
        <v>33</v>
      </c>
      <c r="L184" s="2">
        <v>15</v>
      </c>
      <c r="M184" s="2">
        <v>0</v>
      </c>
      <c r="N184" s="2">
        <v>8</v>
      </c>
      <c r="O184" s="2">
        <v>5</v>
      </c>
      <c r="P184" s="2">
        <v>5</v>
      </c>
      <c r="Q184" s="2" t="s">
        <v>1962</v>
      </c>
      <c r="R184" s="2" t="s">
        <v>1962</v>
      </c>
      <c r="S184" s="4">
        <v>44837</v>
      </c>
    </row>
    <row r="185" spans="1:19" ht="12.5" x14ac:dyDescent="0.25">
      <c r="A185" s="14" t="str">
        <f>HYPERLINK("https://gerandofalcoes.my.salesforce.com/0014X00002VKCuNQAX", "0014X00002VKCuNQAX")</f>
        <v>0014X00002VKCuNQAX</v>
      </c>
      <c r="B185" s="2" t="s">
        <v>1963</v>
      </c>
      <c r="C185" s="2" t="s">
        <v>1800</v>
      </c>
      <c r="D185" s="2" t="s">
        <v>2</v>
      </c>
      <c r="E185" s="2">
        <v>40</v>
      </c>
      <c r="F185" s="2">
        <v>0</v>
      </c>
      <c r="G185" s="2">
        <v>4</v>
      </c>
      <c r="H185" s="2">
        <v>52814</v>
      </c>
      <c r="I185" s="2">
        <v>96</v>
      </c>
      <c r="J185" s="2" t="s">
        <v>1671</v>
      </c>
      <c r="K185" s="2">
        <v>45</v>
      </c>
      <c r="L185" s="2">
        <v>15</v>
      </c>
      <c r="M185" s="2">
        <v>0</v>
      </c>
      <c r="N185" s="2">
        <v>10</v>
      </c>
      <c r="O185" s="2">
        <v>10</v>
      </c>
      <c r="P185" s="2">
        <v>10</v>
      </c>
      <c r="Q185" s="2" t="s">
        <v>1964</v>
      </c>
      <c r="R185" s="2" t="s">
        <v>1965</v>
      </c>
      <c r="S185" s="4">
        <v>44837</v>
      </c>
    </row>
    <row r="186" spans="1:19" ht="12.5" hidden="1" x14ac:dyDescent="0.25">
      <c r="A186" s="14" t="str">
        <f>HYPERLINK("https://gerandofalcoes.my.salesforce.com/0014X00002VKCttQAH", "0014X00002VKCttQAH")</f>
        <v>0014X00002VKCttQAH</v>
      </c>
      <c r="B186" s="2" t="s">
        <v>1966</v>
      </c>
      <c r="C186" s="2" t="s">
        <v>1684</v>
      </c>
      <c r="D186" s="2" t="s">
        <v>2</v>
      </c>
      <c r="E186" s="2">
        <v>40</v>
      </c>
      <c r="F186" s="2">
        <v>5</v>
      </c>
      <c r="G186" s="2">
        <v>3</v>
      </c>
      <c r="H186" s="2">
        <v>20</v>
      </c>
      <c r="I186" s="2">
        <v>30</v>
      </c>
      <c r="J186" s="2" t="s">
        <v>1779</v>
      </c>
      <c r="K186" s="2">
        <v>38</v>
      </c>
      <c r="L186" s="2">
        <v>15</v>
      </c>
      <c r="M186" s="2">
        <v>5</v>
      </c>
      <c r="N186" s="2">
        <v>8</v>
      </c>
      <c r="O186" s="2">
        <v>5</v>
      </c>
      <c r="P186" s="2">
        <v>5</v>
      </c>
      <c r="Q186" s="2" t="s">
        <v>1967</v>
      </c>
      <c r="R186" s="2" t="s">
        <v>1968</v>
      </c>
      <c r="S186" s="4">
        <v>44837</v>
      </c>
    </row>
    <row r="187" spans="1:19" ht="12.5" x14ac:dyDescent="0.25">
      <c r="A187" s="14" t="str">
        <f>HYPERLINK("https://gerandofalcoes.my.salesforce.com/0014X00002VKCtrQAH", "0014X00002VKCtrQAH")</f>
        <v>0014X00002VKCtrQAH</v>
      </c>
      <c r="B187" s="2" t="s">
        <v>1969</v>
      </c>
      <c r="C187" s="2" t="s">
        <v>1800</v>
      </c>
      <c r="D187" s="2" t="s">
        <v>2</v>
      </c>
      <c r="E187" s="2">
        <v>40</v>
      </c>
      <c r="F187" s="2">
        <v>0</v>
      </c>
      <c r="G187" s="2">
        <v>2</v>
      </c>
      <c r="H187" s="2">
        <v>0</v>
      </c>
      <c r="I187" s="2">
        <v>0</v>
      </c>
      <c r="J187" s="2" t="s">
        <v>1779</v>
      </c>
      <c r="K187" s="2">
        <v>21</v>
      </c>
      <c r="L187" s="2">
        <v>15</v>
      </c>
      <c r="M187" s="2">
        <v>0</v>
      </c>
      <c r="N187" s="2">
        <v>6</v>
      </c>
      <c r="O187" s="2">
        <v>0</v>
      </c>
      <c r="P187" s="2">
        <v>0</v>
      </c>
      <c r="Q187" s="2" t="s">
        <v>1970</v>
      </c>
      <c r="R187" s="2" t="s">
        <v>1971</v>
      </c>
      <c r="S187" s="4">
        <v>44837</v>
      </c>
    </row>
    <row r="188" spans="1:19" ht="12.5" x14ac:dyDescent="0.25">
      <c r="A188" s="14" t="str">
        <f>HYPERLINK("https://gerandofalcoes.my.salesforce.com/0014P00003YSp9FQAT", "0014P00003YSp9FQAT")</f>
        <v>0014P00003YSp9FQAT</v>
      </c>
      <c r="B188" s="2" t="s">
        <v>1972</v>
      </c>
      <c r="C188" s="2" t="s">
        <v>423</v>
      </c>
      <c r="D188" s="2" t="s">
        <v>2</v>
      </c>
      <c r="E188" s="2">
        <v>39.44</v>
      </c>
      <c r="F188" s="2">
        <v>7</v>
      </c>
      <c r="G188" s="2">
        <v>1</v>
      </c>
      <c r="H188" s="2">
        <v>43800</v>
      </c>
      <c r="I188" s="2">
        <v>60</v>
      </c>
      <c r="J188" s="2" t="s">
        <v>1671</v>
      </c>
      <c r="K188" s="2">
        <v>44</v>
      </c>
      <c r="L188" s="2">
        <v>15</v>
      </c>
      <c r="M188" s="2">
        <v>10</v>
      </c>
      <c r="N188" s="2">
        <v>4</v>
      </c>
      <c r="O188" s="2">
        <v>10</v>
      </c>
      <c r="P188" s="2">
        <v>5</v>
      </c>
      <c r="Q188" s="2" t="s">
        <v>1973</v>
      </c>
      <c r="R188" s="2" t="s">
        <v>1974</v>
      </c>
      <c r="S188" s="4">
        <v>44837</v>
      </c>
    </row>
    <row r="189" spans="1:19" ht="12.5" x14ac:dyDescent="0.25">
      <c r="A189" s="14" t="str">
        <f>HYPERLINK("https://gerandofalcoes.my.salesforce.com/0014X00002YggqsQAB", "0014X00002YggqsQAB")</f>
        <v>0014X00002YggqsQAB</v>
      </c>
      <c r="B189" s="2" t="s">
        <v>3395</v>
      </c>
      <c r="C189" s="2" t="s">
        <v>423</v>
      </c>
      <c r="D189" s="2" t="s">
        <v>2</v>
      </c>
      <c r="E189" s="2">
        <v>39.369999999999997</v>
      </c>
      <c r="F189" s="2">
        <v>230</v>
      </c>
      <c r="G189" s="2">
        <v>3</v>
      </c>
      <c r="H189" s="2">
        <v>10000</v>
      </c>
      <c r="I189" s="2">
        <v>180</v>
      </c>
      <c r="J189" s="2" t="s">
        <v>1671</v>
      </c>
      <c r="K189" s="2">
        <v>55</v>
      </c>
      <c r="L189" s="2">
        <v>15</v>
      </c>
      <c r="M189" s="2">
        <v>15</v>
      </c>
      <c r="N189" s="2">
        <v>8</v>
      </c>
      <c r="O189" s="2">
        <v>5</v>
      </c>
      <c r="P189" s="2">
        <v>12</v>
      </c>
      <c r="Q189" s="2" t="s">
        <v>3396</v>
      </c>
      <c r="R189" s="2" t="s">
        <v>3396</v>
      </c>
      <c r="S189" s="4">
        <v>44958</v>
      </c>
    </row>
    <row r="190" spans="1:19" ht="12.5" x14ac:dyDescent="0.25">
      <c r="A190" s="14" t="str">
        <f>HYPERLINK("https://gerandofalcoes.my.salesforce.com/0014X00002VKCt0QAH", "0014X00002VKCt0QAH")</f>
        <v>0014X00002VKCt0QAH</v>
      </c>
      <c r="B190" s="2" t="s">
        <v>1975</v>
      </c>
      <c r="C190" s="2" t="s">
        <v>423</v>
      </c>
      <c r="D190" s="2" t="s">
        <v>2</v>
      </c>
      <c r="E190" s="2">
        <v>39.24</v>
      </c>
      <c r="F190" s="2">
        <v>0</v>
      </c>
      <c r="G190" s="2">
        <v>4</v>
      </c>
      <c r="H190" s="2">
        <v>124243</v>
      </c>
      <c r="I190" s="2">
        <v>50</v>
      </c>
      <c r="J190" s="2" t="s">
        <v>1671</v>
      </c>
      <c r="K190" s="2">
        <v>45</v>
      </c>
      <c r="L190" s="2">
        <v>15</v>
      </c>
      <c r="M190" s="2">
        <v>0</v>
      </c>
      <c r="N190" s="2">
        <v>10</v>
      </c>
      <c r="O190" s="2">
        <v>15</v>
      </c>
      <c r="P190" s="2">
        <v>5</v>
      </c>
      <c r="Q190" s="2" t="s">
        <v>1976</v>
      </c>
      <c r="R190" s="2" t="s">
        <v>1976</v>
      </c>
      <c r="S190" s="4">
        <v>44837</v>
      </c>
    </row>
    <row r="191" spans="1:19" ht="12.5" x14ac:dyDescent="0.25">
      <c r="A191" s="14" t="str">
        <f>HYPERLINK("https://gerandofalcoes.my.salesforce.com/0014X00002VKCuEQAX", "0014X00002VKCuEQAX")</f>
        <v>0014X00002VKCuEQAX</v>
      </c>
      <c r="B191" s="2" t="s">
        <v>1977</v>
      </c>
      <c r="C191" s="2" t="s">
        <v>423</v>
      </c>
      <c r="D191" s="2" t="s">
        <v>2</v>
      </c>
      <c r="E191" s="2">
        <v>39.159999999999997</v>
      </c>
      <c r="F191" s="2">
        <v>5</v>
      </c>
      <c r="G191" s="2">
        <v>4</v>
      </c>
      <c r="H191" s="2">
        <v>120000</v>
      </c>
      <c r="I191" s="2">
        <v>5</v>
      </c>
      <c r="J191" s="2" t="s">
        <v>1671</v>
      </c>
      <c r="K191" s="2">
        <v>50</v>
      </c>
      <c r="L191" s="2">
        <v>15</v>
      </c>
      <c r="M191" s="2">
        <v>5</v>
      </c>
      <c r="N191" s="2">
        <v>10</v>
      </c>
      <c r="O191" s="2">
        <v>15</v>
      </c>
      <c r="P191" s="2">
        <v>5</v>
      </c>
      <c r="Q191" s="2" t="s">
        <v>1978</v>
      </c>
      <c r="R191" s="2" t="s">
        <v>1979</v>
      </c>
      <c r="S191" s="4">
        <v>44837</v>
      </c>
    </row>
    <row r="192" spans="1:19" ht="12.5" x14ac:dyDescent="0.25">
      <c r="A192" s="14" t="str">
        <f>HYPERLINK("https://gerandofalcoes.my.salesforce.com/0014X00002VKCq4QAH", "0014X00002VKCq4QAH")</f>
        <v>0014X00002VKCq4QAH</v>
      </c>
      <c r="B192" s="2" t="s">
        <v>1980</v>
      </c>
      <c r="C192" s="2" t="s">
        <v>423</v>
      </c>
      <c r="D192" s="2" t="s">
        <v>2</v>
      </c>
      <c r="E192" s="2">
        <v>39</v>
      </c>
      <c r="F192" s="2">
        <v>0</v>
      </c>
      <c r="G192" s="2">
        <v>3</v>
      </c>
      <c r="H192" s="2">
        <v>30000</v>
      </c>
      <c r="I192" s="2">
        <v>700</v>
      </c>
      <c r="J192" s="2" t="s">
        <v>1671</v>
      </c>
      <c r="K192" s="2">
        <v>53</v>
      </c>
      <c r="L192" s="2">
        <v>15</v>
      </c>
      <c r="M192" s="2">
        <v>0</v>
      </c>
      <c r="N192" s="2">
        <v>8</v>
      </c>
      <c r="O192" s="2">
        <v>10</v>
      </c>
      <c r="P192" s="2">
        <v>20</v>
      </c>
      <c r="Q192" s="2" t="s">
        <v>1981</v>
      </c>
      <c r="R192" s="2" t="s">
        <v>1982</v>
      </c>
      <c r="S192" s="4">
        <v>44837</v>
      </c>
    </row>
    <row r="193" spans="1:19" ht="12.5" x14ac:dyDescent="0.25">
      <c r="A193" s="14" t="str">
        <f>HYPERLINK("https://gerandofalcoes.my.salesforce.com/0014P00003YSpA5QAL", "0014P00003YSpA5QAL")</f>
        <v>0014P00003YSpA5QAL</v>
      </c>
      <c r="B193" s="2" t="s">
        <v>1983</v>
      </c>
      <c r="C193" s="2" t="s">
        <v>423</v>
      </c>
      <c r="D193" s="2" t="s">
        <v>2</v>
      </c>
      <c r="E193" s="2">
        <v>39</v>
      </c>
      <c r="F193" s="2">
        <v>2</v>
      </c>
      <c r="G193" s="2">
        <v>5</v>
      </c>
      <c r="H193" s="2">
        <v>90000</v>
      </c>
      <c r="I193" s="2">
        <v>350</v>
      </c>
      <c r="J193" s="2" t="s">
        <v>1671</v>
      </c>
      <c r="K193" s="2">
        <v>55</v>
      </c>
      <c r="L193" s="2">
        <v>15</v>
      </c>
      <c r="M193" s="2">
        <v>5</v>
      </c>
      <c r="N193" s="2">
        <v>10</v>
      </c>
      <c r="O193" s="2">
        <v>10</v>
      </c>
      <c r="P193" s="2">
        <v>15</v>
      </c>
      <c r="Q193" s="2" t="s">
        <v>1984</v>
      </c>
      <c r="R193" s="2" t="s">
        <v>1985</v>
      </c>
      <c r="S193" s="4">
        <v>44837</v>
      </c>
    </row>
    <row r="194" spans="1:19" ht="12.5" x14ac:dyDescent="0.25">
      <c r="A194" s="14" t="str">
        <f>HYPERLINK("https://gerandofalcoes.my.salesforce.com/0014X00002VKCtOQAX", "0014X00002VKCtOQAX")</f>
        <v>0014X00002VKCtOQAX</v>
      </c>
      <c r="B194" s="2" t="s">
        <v>1986</v>
      </c>
      <c r="C194" s="2" t="s">
        <v>423</v>
      </c>
      <c r="D194" s="2" t="s">
        <v>2</v>
      </c>
      <c r="E194" s="2">
        <v>39</v>
      </c>
      <c r="F194" s="2">
        <v>0</v>
      </c>
      <c r="G194" s="2">
        <v>2</v>
      </c>
      <c r="H194" s="2">
        <v>4046</v>
      </c>
      <c r="I194" s="2">
        <v>240</v>
      </c>
      <c r="J194" s="2" t="s">
        <v>1779</v>
      </c>
      <c r="K194" s="2">
        <v>38</v>
      </c>
      <c r="L194" s="2">
        <v>15</v>
      </c>
      <c r="M194" s="2">
        <v>0</v>
      </c>
      <c r="N194" s="2">
        <v>6</v>
      </c>
      <c r="O194" s="2">
        <v>5</v>
      </c>
      <c r="P194" s="2">
        <v>12</v>
      </c>
      <c r="Q194" s="2" t="s">
        <v>1987</v>
      </c>
      <c r="R194" s="2" t="s">
        <v>1988</v>
      </c>
      <c r="S194" s="4">
        <v>44837</v>
      </c>
    </row>
    <row r="195" spans="1:19" ht="12.5" x14ac:dyDescent="0.25">
      <c r="A195" s="14" t="str">
        <f>HYPERLINK("https://gerandofalcoes.my.salesforce.com/0014P00003YSp8RQAT", "0014P00003YSp8RQAT")</f>
        <v>0014P00003YSp8RQAT</v>
      </c>
      <c r="B195" s="2" t="s">
        <v>1989</v>
      </c>
      <c r="C195" s="2" t="s">
        <v>1800</v>
      </c>
      <c r="D195" s="2" t="s">
        <v>2</v>
      </c>
      <c r="E195" s="2">
        <v>39</v>
      </c>
      <c r="F195" s="2">
        <v>1</v>
      </c>
      <c r="G195" s="2">
        <v>2</v>
      </c>
      <c r="H195" s="2">
        <v>11000</v>
      </c>
      <c r="I195" s="2">
        <v>200</v>
      </c>
      <c r="J195" s="2" t="s">
        <v>1671</v>
      </c>
      <c r="K195" s="2">
        <v>43</v>
      </c>
      <c r="L195" s="2">
        <v>15</v>
      </c>
      <c r="M195" s="2">
        <v>5</v>
      </c>
      <c r="N195" s="2">
        <v>6</v>
      </c>
      <c r="O195" s="2">
        <v>5</v>
      </c>
      <c r="P195" s="2">
        <v>12</v>
      </c>
      <c r="Q195" s="2" t="s">
        <v>1990</v>
      </c>
      <c r="R195" s="2" t="s">
        <v>1991</v>
      </c>
      <c r="S195" s="4">
        <v>44837</v>
      </c>
    </row>
    <row r="196" spans="1:19" ht="12.5" x14ac:dyDescent="0.25">
      <c r="A196" s="14" t="str">
        <f>HYPERLINK("https://gerandofalcoes.my.salesforce.com/0014P00003SGWQ7QAP", "0014P00003SGWQ7QAP")</f>
        <v>0014P00003SGWQ7QAP</v>
      </c>
      <c r="B196" s="2" t="s">
        <v>226</v>
      </c>
      <c r="C196" s="2" t="s">
        <v>423</v>
      </c>
      <c r="D196" s="2" t="s">
        <v>27</v>
      </c>
      <c r="E196" s="2">
        <v>39</v>
      </c>
      <c r="F196" s="2">
        <v>6</v>
      </c>
      <c r="G196" s="2">
        <v>2</v>
      </c>
      <c r="H196" s="2">
        <v>9291.52</v>
      </c>
      <c r="I196" s="2">
        <v>150</v>
      </c>
      <c r="J196" s="2" t="s">
        <v>1671</v>
      </c>
      <c r="K196" s="2">
        <v>48</v>
      </c>
      <c r="L196" s="2">
        <v>15</v>
      </c>
      <c r="M196" s="2">
        <v>10</v>
      </c>
      <c r="N196" s="2">
        <v>6</v>
      </c>
      <c r="O196" s="2">
        <v>5</v>
      </c>
      <c r="P196" s="2">
        <v>12</v>
      </c>
      <c r="Q196" s="2" t="s">
        <v>227</v>
      </c>
      <c r="R196" s="2" t="s">
        <v>1159</v>
      </c>
      <c r="S196" s="4">
        <v>44837</v>
      </c>
    </row>
    <row r="197" spans="1:19" ht="12.5" x14ac:dyDescent="0.25">
      <c r="A197" s="14" t="str">
        <f>HYPERLINK("https://gerandofalcoes.my.salesforce.com/0014P00003YSp81QAD", "0014P00003YSp81QAD")</f>
        <v>0014P00003YSp81QAD</v>
      </c>
      <c r="B197" s="2" t="s">
        <v>1992</v>
      </c>
      <c r="C197" s="2" t="s">
        <v>1800</v>
      </c>
      <c r="D197" s="2" t="s">
        <v>2</v>
      </c>
      <c r="E197" s="2">
        <v>39</v>
      </c>
      <c r="F197" s="2">
        <v>0</v>
      </c>
      <c r="G197" s="2">
        <v>2</v>
      </c>
      <c r="H197" s="2">
        <v>5000</v>
      </c>
      <c r="I197" s="2">
        <v>150</v>
      </c>
      <c r="J197" s="2" t="s">
        <v>1779</v>
      </c>
      <c r="K197" s="2">
        <v>38</v>
      </c>
      <c r="L197" s="2">
        <v>15</v>
      </c>
      <c r="M197" s="2">
        <v>0</v>
      </c>
      <c r="N197" s="2">
        <v>6</v>
      </c>
      <c r="O197" s="2">
        <v>5</v>
      </c>
      <c r="P197" s="2">
        <v>12</v>
      </c>
      <c r="Q197" s="2" t="s">
        <v>1993</v>
      </c>
      <c r="R197" s="2" t="s">
        <v>1994</v>
      </c>
      <c r="S197" s="4">
        <v>44837</v>
      </c>
    </row>
    <row r="198" spans="1:19" ht="12.5" x14ac:dyDescent="0.25">
      <c r="A198" s="14" t="str">
        <f>HYPERLINK("https://gerandofalcoes.my.salesforce.com/0014X00002OEuawQAD", "0014X00002OEuawQAD")</f>
        <v>0014X00002OEuawQAD</v>
      </c>
      <c r="B198" s="2" t="s">
        <v>1995</v>
      </c>
      <c r="C198" s="2" t="s">
        <v>1800</v>
      </c>
      <c r="D198" s="2" t="s">
        <v>2</v>
      </c>
      <c r="E198" s="2">
        <v>39</v>
      </c>
      <c r="F198" s="2">
        <v>13</v>
      </c>
      <c r="G198" s="2">
        <v>3</v>
      </c>
      <c r="H198" s="2">
        <v>120000</v>
      </c>
      <c r="I198" s="2">
        <v>130</v>
      </c>
      <c r="J198" s="2" t="s">
        <v>1671</v>
      </c>
      <c r="K198" s="2">
        <v>60</v>
      </c>
      <c r="L198" s="2">
        <v>15</v>
      </c>
      <c r="M198" s="2">
        <v>12</v>
      </c>
      <c r="N198" s="2">
        <v>8</v>
      </c>
      <c r="O198" s="2">
        <v>15</v>
      </c>
      <c r="P198" s="2">
        <v>10</v>
      </c>
      <c r="Q198" s="2" t="s">
        <v>1996</v>
      </c>
      <c r="R198" s="2" t="s">
        <v>1997</v>
      </c>
      <c r="S198" s="4">
        <v>44837</v>
      </c>
    </row>
    <row r="199" spans="1:19" ht="12.5" x14ac:dyDescent="0.25">
      <c r="A199" s="14" t="str">
        <f>HYPERLINK("https://gerandofalcoes.my.salesforce.com/0014X00002VKCqfQAH", "0014X00002VKCqfQAH")</f>
        <v>0014X00002VKCqfQAH</v>
      </c>
      <c r="B199" s="2" t="s">
        <v>1998</v>
      </c>
      <c r="C199" s="2" t="s">
        <v>1800</v>
      </c>
      <c r="D199" s="2" t="s">
        <v>2</v>
      </c>
      <c r="E199" s="2">
        <v>39</v>
      </c>
      <c r="F199" s="2">
        <v>0</v>
      </c>
      <c r="G199" s="2">
        <v>2</v>
      </c>
      <c r="H199" s="2">
        <v>14000</v>
      </c>
      <c r="I199" s="2">
        <v>0</v>
      </c>
      <c r="J199" s="2" t="s">
        <v>1779</v>
      </c>
      <c r="K199" s="2">
        <v>26</v>
      </c>
      <c r="L199" s="2">
        <v>15</v>
      </c>
      <c r="M199" s="2">
        <v>0</v>
      </c>
      <c r="N199" s="2">
        <v>6</v>
      </c>
      <c r="O199" s="2">
        <v>5</v>
      </c>
      <c r="P199" s="2">
        <v>0</v>
      </c>
      <c r="Q199" s="2" t="s">
        <v>1999</v>
      </c>
      <c r="R199" s="2" t="s">
        <v>2000</v>
      </c>
      <c r="S199" s="4">
        <v>44837</v>
      </c>
    </row>
    <row r="200" spans="1:19" ht="12.5" hidden="1" x14ac:dyDescent="0.25">
      <c r="A200" s="14" t="str">
        <f>HYPERLINK("https://gerandofalcoes.my.salesforce.com/0014P00003YSp7YQAT", "0014P00003YSp7YQAT")</f>
        <v>0014P00003YSp7YQAT</v>
      </c>
      <c r="B200" s="2" t="s">
        <v>2001</v>
      </c>
      <c r="C200" s="2" t="s">
        <v>1684</v>
      </c>
      <c r="D200" s="2" t="s">
        <v>2</v>
      </c>
      <c r="E200" s="2">
        <v>39</v>
      </c>
      <c r="F200" s="2">
        <v>1</v>
      </c>
      <c r="G200" s="2">
        <v>0</v>
      </c>
      <c r="H200" s="2">
        <v>0</v>
      </c>
      <c r="I200" s="2">
        <v>0</v>
      </c>
      <c r="J200" s="2" t="s">
        <v>1779</v>
      </c>
      <c r="K200" s="2">
        <v>20</v>
      </c>
      <c r="L200" s="2">
        <v>15</v>
      </c>
      <c r="M200" s="2">
        <v>5</v>
      </c>
      <c r="N200" s="2">
        <v>0</v>
      </c>
      <c r="O200" s="2">
        <v>0</v>
      </c>
      <c r="P200" s="2">
        <v>0</v>
      </c>
      <c r="Q200" s="2" t="s">
        <v>2002</v>
      </c>
      <c r="R200" s="2" t="s">
        <v>2003</v>
      </c>
      <c r="S200" s="4">
        <v>44837</v>
      </c>
    </row>
    <row r="201" spans="1:19" ht="12.5" x14ac:dyDescent="0.25">
      <c r="A201" s="14" t="str">
        <f>HYPERLINK("https://gerandofalcoes.my.salesforce.com/0014X00002YggjRQAR", "0014X00002YggjRQAR")</f>
        <v>0014X00002YggjRQAR</v>
      </c>
      <c r="B201" s="2" t="s">
        <v>3607</v>
      </c>
      <c r="C201" s="2" t="s">
        <v>423</v>
      </c>
      <c r="D201" s="2" t="s">
        <v>2</v>
      </c>
      <c r="E201" s="2">
        <v>38.9</v>
      </c>
      <c r="F201" s="2">
        <v>0</v>
      </c>
      <c r="G201" s="2">
        <v>4</v>
      </c>
      <c r="H201" s="2">
        <v>6000</v>
      </c>
      <c r="I201" s="2">
        <v>20</v>
      </c>
      <c r="J201" s="2" t="s">
        <v>1779</v>
      </c>
      <c r="K201" s="2">
        <v>35</v>
      </c>
      <c r="L201" s="2">
        <v>15</v>
      </c>
      <c r="M201" s="2">
        <v>0</v>
      </c>
      <c r="N201" s="2">
        <v>10</v>
      </c>
      <c r="O201" s="2">
        <v>5</v>
      </c>
      <c r="P201" s="2">
        <v>5</v>
      </c>
      <c r="Q201" s="2" t="s">
        <v>3608</v>
      </c>
      <c r="R201" s="2" t="s">
        <v>3609</v>
      </c>
      <c r="S201" s="4">
        <v>44963</v>
      </c>
    </row>
    <row r="202" spans="1:19" ht="12.5" x14ac:dyDescent="0.25">
      <c r="A202" s="14" t="str">
        <f>HYPERLINK("https://gerandofalcoes.my.salesforce.com/0014X00002VKCpQQAX", "0014X00002VKCpQQAX")</f>
        <v>0014X00002VKCpQQAX</v>
      </c>
      <c r="B202" s="2" t="s">
        <v>2004</v>
      </c>
      <c r="C202" s="2" t="s">
        <v>423</v>
      </c>
      <c r="D202" s="2" t="s">
        <v>2</v>
      </c>
      <c r="E202" s="2">
        <v>38.72</v>
      </c>
      <c r="F202" s="2">
        <v>0</v>
      </c>
      <c r="G202" s="2">
        <v>5</v>
      </c>
      <c r="H202" s="2">
        <v>90250</v>
      </c>
      <c r="I202" s="2">
        <v>125</v>
      </c>
      <c r="J202" s="2" t="s">
        <v>1671</v>
      </c>
      <c r="K202" s="2">
        <v>45</v>
      </c>
      <c r="L202" s="2">
        <v>15</v>
      </c>
      <c r="M202" s="2">
        <v>0</v>
      </c>
      <c r="N202" s="2">
        <v>10</v>
      </c>
      <c r="O202" s="2">
        <v>10</v>
      </c>
      <c r="P202" s="2">
        <v>10</v>
      </c>
      <c r="Q202" s="2" t="s">
        <v>2005</v>
      </c>
      <c r="R202" s="2" t="s">
        <v>2006</v>
      </c>
      <c r="S202" s="4">
        <v>44837</v>
      </c>
    </row>
    <row r="203" spans="1:19" ht="12.5" x14ac:dyDescent="0.25">
      <c r="A203" s="14" t="str">
        <f>HYPERLINK("https://gerandofalcoes.my.salesforce.com/0014P00003YSp9yQAD", "0014P00003YSp9yQAD")</f>
        <v>0014P00003YSp9yQAD</v>
      </c>
      <c r="B203" s="2" t="s">
        <v>2007</v>
      </c>
      <c r="C203" s="2" t="s">
        <v>1800</v>
      </c>
      <c r="D203" s="2" t="s">
        <v>2</v>
      </c>
      <c r="E203" s="2">
        <v>38</v>
      </c>
      <c r="F203" s="2">
        <v>63</v>
      </c>
      <c r="G203" s="2">
        <v>3</v>
      </c>
      <c r="H203" s="2">
        <v>750106</v>
      </c>
      <c r="I203" s="2">
        <v>900</v>
      </c>
      <c r="J203" s="2" t="s">
        <v>1650</v>
      </c>
      <c r="K203" s="2">
        <v>78</v>
      </c>
      <c r="L203" s="2">
        <v>15</v>
      </c>
      <c r="M203" s="2">
        <v>15</v>
      </c>
      <c r="N203" s="2">
        <v>8</v>
      </c>
      <c r="O203" s="2">
        <v>20</v>
      </c>
      <c r="P203" s="2">
        <v>20</v>
      </c>
      <c r="Q203" s="2" t="s">
        <v>2008</v>
      </c>
      <c r="R203" s="2" t="s">
        <v>2009</v>
      </c>
      <c r="S203" s="4">
        <v>44837</v>
      </c>
    </row>
    <row r="204" spans="1:19" ht="12.5" x14ac:dyDescent="0.25">
      <c r="A204" s="14" t="str">
        <f>HYPERLINK("https://gerandofalcoes.my.salesforce.com/0014P00003YSp98QAD", "0014P00003YSp98QAD")</f>
        <v>0014P00003YSp98QAD</v>
      </c>
      <c r="B204" s="2" t="s">
        <v>2010</v>
      </c>
      <c r="C204" s="2" t="s">
        <v>423</v>
      </c>
      <c r="D204" s="2" t="s">
        <v>2</v>
      </c>
      <c r="E204" s="2">
        <v>38</v>
      </c>
      <c r="F204" s="2">
        <v>5</v>
      </c>
      <c r="G204" s="2">
        <v>2</v>
      </c>
      <c r="H204" s="2">
        <v>15000</v>
      </c>
      <c r="I204" s="2">
        <v>500</v>
      </c>
      <c r="J204" s="2" t="s">
        <v>1671</v>
      </c>
      <c r="K204" s="2">
        <v>51</v>
      </c>
      <c r="L204" s="2">
        <v>15</v>
      </c>
      <c r="M204" s="2">
        <v>5</v>
      </c>
      <c r="N204" s="2">
        <v>6</v>
      </c>
      <c r="O204" s="2">
        <v>5</v>
      </c>
      <c r="P204" s="2">
        <v>20</v>
      </c>
      <c r="Q204" s="2" t="s">
        <v>2011</v>
      </c>
      <c r="R204" s="2" t="s">
        <v>2012</v>
      </c>
      <c r="S204" s="4">
        <v>44837</v>
      </c>
    </row>
    <row r="205" spans="1:19" ht="12.5" x14ac:dyDescent="0.25">
      <c r="A205" s="14" t="str">
        <f>HYPERLINK("https://gerandofalcoes.my.salesforce.com/0014P00003YSp97QAD", "0014P00003YSp97QAD")</f>
        <v>0014P00003YSp97QAD</v>
      </c>
      <c r="B205" s="2" t="s">
        <v>2013</v>
      </c>
      <c r="C205" s="2" t="s">
        <v>1800</v>
      </c>
      <c r="D205" s="2" t="s">
        <v>2</v>
      </c>
      <c r="E205" s="2">
        <v>38</v>
      </c>
      <c r="F205" s="2">
        <v>5</v>
      </c>
      <c r="G205" s="2">
        <v>3</v>
      </c>
      <c r="H205" s="2">
        <v>900000</v>
      </c>
      <c r="I205" s="2">
        <v>450</v>
      </c>
      <c r="J205" s="2" t="s">
        <v>1650</v>
      </c>
      <c r="K205" s="2">
        <v>73</v>
      </c>
      <c r="L205" s="2">
        <v>15</v>
      </c>
      <c r="M205" s="2">
        <v>5</v>
      </c>
      <c r="N205" s="2">
        <v>8</v>
      </c>
      <c r="O205" s="2">
        <v>25</v>
      </c>
      <c r="P205" s="2">
        <v>20</v>
      </c>
      <c r="Q205" s="2" t="s">
        <v>2014</v>
      </c>
      <c r="R205" s="2" t="s">
        <v>2015</v>
      </c>
      <c r="S205" s="4">
        <v>44837</v>
      </c>
    </row>
    <row r="206" spans="1:19" ht="12.5" x14ac:dyDescent="0.25">
      <c r="A206" s="14" t="str">
        <f>HYPERLINK("https://gerandofalcoes.my.salesforce.com/0014P00003YSp9bQAD", "0014P00003YSp9bQAD")</f>
        <v>0014P00003YSp9bQAD</v>
      </c>
      <c r="B206" s="2" t="s">
        <v>2016</v>
      </c>
      <c r="C206" s="2" t="s">
        <v>1800</v>
      </c>
      <c r="D206" s="2" t="s">
        <v>2</v>
      </c>
      <c r="E206" s="2">
        <v>38</v>
      </c>
      <c r="F206" s="2">
        <v>8</v>
      </c>
      <c r="G206" s="2">
        <v>3</v>
      </c>
      <c r="H206" s="2">
        <v>400216</v>
      </c>
      <c r="I206" s="2">
        <v>340</v>
      </c>
      <c r="J206" s="2" t="s">
        <v>1650</v>
      </c>
      <c r="K206" s="2">
        <v>68</v>
      </c>
      <c r="L206" s="2">
        <v>15</v>
      </c>
      <c r="M206" s="2">
        <v>10</v>
      </c>
      <c r="N206" s="2">
        <v>8</v>
      </c>
      <c r="O206" s="2">
        <v>20</v>
      </c>
      <c r="P206" s="2">
        <v>15</v>
      </c>
      <c r="Q206" s="2" t="s">
        <v>2017</v>
      </c>
      <c r="R206" s="2" t="s">
        <v>2018</v>
      </c>
      <c r="S206" s="4">
        <v>44837</v>
      </c>
    </row>
    <row r="207" spans="1:19" ht="12.5" x14ac:dyDescent="0.25">
      <c r="A207" s="14" t="str">
        <f>HYPERLINK("https://gerandofalcoes.my.salesforce.com/0014P00003YSp8vQAD", "0014P00003YSp8vQAD")</f>
        <v>0014P00003YSp8vQAD</v>
      </c>
      <c r="B207" s="2" t="s">
        <v>2019</v>
      </c>
      <c r="C207" s="2" t="s">
        <v>1800</v>
      </c>
      <c r="D207" s="2" t="s">
        <v>2</v>
      </c>
      <c r="E207" s="2">
        <v>38</v>
      </c>
      <c r="F207" s="2">
        <v>2</v>
      </c>
      <c r="G207" s="2">
        <v>2</v>
      </c>
      <c r="H207" s="2">
        <v>5000</v>
      </c>
      <c r="I207" s="2">
        <v>0</v>
      </c>
      <c r="J207" s="2" t="s">
        <v>1779</v>
      </c>
      <c r="K207" s="2">
        <v>31</v>
      </c>
      <c r="L207" s="2">
        <v>15</v>
      </c>
      <c r="M207" s="2">
        <v>5</v>
      </c>
      <c r="N207" s="2">
        <v>6</v>
      </c>
      <c r="O207" s="2">
        <v>5</v>
      </c>
      <c r="P207" s="2">
        <v>0</v>
      </c>
      <c r="Q207" s="2" t="s">
        <v>2020</v>
      </c>
      <c r="R207" s="2" t="s">
        <v>2021</v>
      </c>
      <c r="S207" s="4">
        <v>44837</v>
      </c>
    </row>
    <row r="208" spans="1:19" ht="12.5" hidden="1" x14ac:dyDescent="0.25">
      <c r="A208" s="14" t="str">
        <f>HYPERLINK("https://gerandofalcoes.my.salesforce.com/0014P00003YSp9tQAD", "0014P00003YSp9tQAD")</f>
        <v>0014P00003YSp9tQAD</v>
      </c>
      <c r="B208" s="2" t="s">
        <v>2022</v>
      </c>
      <c r="C208" s="2" t="s">
        <v>1684</v>
      </c>
      <c r="D208" s="2" t="s">
        <v>2</v>
      </c>
      <c r="E208" s="2">
        <v>38</v>
      </c>
      <c r="F208" s="2">
        <v>0</v>
      </c>
      <c r="G208" s="2">
        <v>0</v>
      </c>
      <c r="H208" s="2">
        <v>0</v>
      </c>
      <c r="I208" s="2">
        <v>0</v>
      </c>
      <c r="J208" s="2" t="s">
        <v>1779</v>
      </c>
      <c r="K208" s="2">
        <v>15</v>
      </c>
      <c r="L208" s="2">
        <v>15</v>
      </c>
      <c r="M208" s="2">
        <v>0</v>
      </c>
      <c r="N208" s="2">
        <v>0</v>
      </c>
      <c r="O208" s="2">
        <v>0</v>
      </c>
      <c r="P208" s="2">
        <v>0</v>
      </c>
      <c r="Q208" s="2" t="s">
        <v>2023</v>
      </c>
      <c r="R208" s="2" t="s">
        <v>2024</v>
      </c>
      <c r="S208" s="4">
        <v>44837</v>
      </c>
    </row>
    <row r="209" spans="1:19" ht="12.5" hidden="1" x14ac:dyDescent="0.25">
      <c r="A209" s="14" t="str">
        <f>HYPERLINK("https://gerandofalcoes.my.salesforce.com/0014P00003SGWQCQA5", "0014P00003SGWQCQA5")</f>
        <v>0014P00003SGWQCQA5</v>
      </c>
      <c r="B209" s="2" t="s">
        <v>248</v>
      </c>
      <c r="C209" s="2" t="s">
        <v>1684</v>
      </c>
      <c r="D209" s="2" t="s">
        <v>2</v>
      </c>
      <c r="E209" s="2">
        <v>37.9</v>
      </c>
      <c r="F209" s="2">
        <v>5</v>
      </c>
      <c r="G209" s="2">
        <v>3</v>
      </c>
      <c r="H209" s="2">
        <v>500000</v>
      </c>
      <c r="I209" s="2">
        <v>72</v>
      </c>
      <c r="J209" s="2" t="s">
        <v>1671</v>
      </c>
      <c r="K209" s="2">
        <v>53</v>
      </c>
      <c r="L209" s="2">
        <v>15</v>
      </c>
      <c r="M209" s="2">
        <v>5</v>
      </c>
      <c r="N209" s="2">
        <v>8</v>
      </c>
      <c r="O209" s="2">
        <v>20</v>
      </c>
      <c r="P209" s="2">
        <v>5</v>
      </c>
      <c r="Q209" s="2" t="s">
        <v>249</v>
      </c>
      <c r="R209" s="2" t="s">
        <v>2025</v>
      </c>
      <c r="S209" s="4">
        <v>44837</v>
      </c>
    </row>
    <row r="210" spans="1:19" ht="12.5" x14ac:dyDescent="0.25">
      <c r="A210" s="14" t="str">
        <f>HYPERLINK("https://gerandofalcoes.my.salesforce.com/0014X00002YggjJQAR", "0014X00002YggjJQAR")</f>
        <v>0014X00002YggjJQAR</v>
      </c>
      <c r="B210" s="2" t="s">
        <v>3011</v>
      </c>
      <c r="C210" s="2" t="s">
        <v>423</v>
      </c>
      <c r="D210" s="2" t="s">
        <v>2</v>
      </c>
      <c r="E210" s="2">
        <v>37.549999999999997</v>
      </c>
      <c r="F210" s="2">
        <v>24</v>
      </c>
      <c r="G210" s="2">
        <v>4</v>
      </c>
      <c r="H210" s="2">
        <v>89800000</v>
      </c>
      <c r="I210" s="2">
        <v>250</v>
      </c>
      <c r="J210" s="2" t="s">
        <v>1650</v>
      </c>
      <c r="K210" s="2">
        <v>74</v>
      </c>
      <c r="L210" s="2">
        <v>15</v>
      </c>
      <c r="M210" s="2">
        <v>12</v>
      </c>
      <c r="N210" s="2">
        <v>10</v>
      </c>
      <c r="O210" s="2">
        <v>25</v>
      </c>
      <c r="P210" s="2">
        <v>12</v>
      </c>
      <c r="Q210" s="2" t="s">
        <v>3012</v>
      </c>
      <c r="R210" s="2" t="s">
        <v>3012</v>
      </c>
      <c r="S210" s="4">
        <v>44945</v>
      </c>
    </row>
    <row r="211" spans="1:19" ht="12.5" x14ac:dyDescent="0.25">
      <c r="A211" s="14" t="str">
        <f>HYPERLINK("https://gerandofalcoes.my.salesforce.com/0014X00002YgghVQAR", "0014X00002YgghVQAR")</f>
        <v>0014X00002YgghVQAR</v>
      </c>
      <c r="B211" s="2" t="s">
        <v>4058</v>
      </c>
      <c r="C211" s="2" t="s">
        <v>423</v>
      </c>
      <c r="D211" s="2" t="s">
        <v>2</v>
      </c>
      <c r="E211" s="2">
        <v>37.450000000000003</v>
      </c>
      <c r="F211" s="2">
        <v>0</v>
      </c>
      <c r="G211" s="2">
        <v>2</v>
      </c>
      <c r="H211" s="2">
        <v>24000</v>
      </c>
      <c r="I211" s="2">
        <v>98</v>
      </c>
      <c r="J211" s="2"/>
      <c r="K211" s="2">
        <v>36</v>
      </c>
      <c r="L211" s="2">
        <v>15</v>
      </c>
      <c r="M211" s="2">
        <v>0</v>
      </c>
      <c r="N211" s="2">
        <v>6</v>
      </c>
      <c r="O211" s="2">
        <v>5</v>
      </c>
      <c r="P211" s="2">
        <v>10</v>
      </c>
      <c r="Q211" s="2" t="s">
        <v>4059</v>
      </c>
      <c r="R211" s="2" t="s">
        <v>4060</v>
      </c>
      <c r="S211" s="4">
        <v>45169</v>
      </c>
    </row>
    <row r="212" spans="1:19" ht="12.5" x14ac:dyDescent="0.25">
      <c r="A212" s="14" t="str">
        <f>HYPERLINK("https://gerandofalcoes.my.salesforce.com/0014X00002YggjeQAB", "0014X00002YggjeQAB")</f>
        <v>0014X00002YggjeQAB</v>
      </c>
      <c r="B212" s="2" t="s">
        <v>3098</v>
      </c>
      <c r="C212" s="2" t="s">
        <v>423</v>
      </c>
      <c r="D212" s="2" t="s">
        <v>2</v>
      </c>
      <c r="E212" s="2">
        <v>37.43</v>
      </c>
      <c r="F212" s="2">
        <v>5</v>
      </c>
      <c r="G212" s="2">
        <v>3</v>
      </c>
      <c r="H212" s="2">
        <v>26000</v>
      </c>
      <c r="I212" s="2">
        <v>150</v>
      </c>
      <c r="J212" s="2" t="s">
        <v>1671</v>
      </c>
      <c r="K212" s="2">
        <v>50</v>
      </c>
      <c r="L212" s="2">
        <v>15</v>
      </c>
      <c r="M212" s="2">
        <v>5</v>
      </c>
      <c r="N212" s="2">
        <v>8</v>
      </c>
      <c r="O212" s="2">
        <v>10</v>
      </c>
      <c r="P212" s="2">
        <v>12</v>
      </c>
      <c r="Q212" s="2" t="s">
        <v>3099</v>
      </c>
      <c r="R212" s="2" t="s">
        <v>3100</v>
      </c>
      <c r="S212" s="4">
        <v>44948</v>
      </c>
    </row>
    <row r="213" spans="1:19" ht="12.5" x14ac:dyDescent="0.25">
      <c r="A213" s="14" t="str">
        <f>HYPERLINK("https://gerandofalcoes.my.salesforce.com/0014X00002Yggh5QAB", "0014X00002Yggh5QAB")</f>
        <v>0014X00002Yggh5QAB</v>
      </c>
      <c r="B213" s="2" t="s">
        <v>3397</v>
      </c>
      <c r="C213" s="2" t="s">
        <v>423</v>
      </c>
      <c r="D213" s="2" t="s">
        <v>2</v>
      </c>
      <c r="E213" s="2">
        <v>37.08</v>
      </c>
      <c r="F213" s="2">
        <v>0</v>
      </c>
      <c r="G213" s="2">
        <v>2</v>
      </c>
      <c r="H213" s="2">
        <v>300000</v>
      </c>
      <c r="I213" s="2">
        <v>500</v>
      </c>
      <c r="J213" s="2" t="s">
        <v>1671</v>
      </c>
      <c r="K213" s="2">
        <v>61</v>
      </c>
      <c r="L213" s="2">
        <v>15</v>
      </c>
      <c r="M213" s="2">
        <v>0</v>
      </c>
      <c r="N213" s="2">
        <v>6</v>
      </c>
      <c r="O213" s="2">
        <v>20</v>
      </c>
      <c r="P213" s="2">
        <v>20</v>
      </c>
      <c r="Q213" s="2" t="s">
        <v>3398</v>
      </c>
      <c r="R213" s="2" t="s">
        <v>3399</v>
      </c>
      <c r="S213" s="4">
        <v>44958</v>
      </c>
    </row>
    <row r="214" spans="1:19" ht="12.5" x14ac:dyDescent="0.25">
      <c r="A214" s="14" t="str">
        <f>HYPERLINK("https://gerandofalcoes.my.salesforce.com/0014X00002VKCr4QAH", "0014X00002VKCr4QAH")</f>
        <v>0014X00002VKCr4QAH</v>
      </c>
      <c r="B214" s="2" t="s">
        <v>2026</v>
      </c>
      <c r="C214" s="2" t="s">
        <v>423</v>
      </c>
      <c r="D214" s="2" t="s">
        <v>2</v>
      </c>
      <c r="E214" s="2">
        <v>37.01</v>
      </c>
      <c r="F214" s="2">
        <v>12</v>
      </c>
      <c r="G214" s="2">
        <v>5</v>
      </c>
      <c r="H214" s="2">
        <v>414092</v>
      </c>
      <c r="I214" s="2">
        <v>327</v>
      </c>
      <c r="J214" s="2" t="s">
        <v>1650</v>
      </c>
      <c r="K214" s="2">
        <v>72</v>
      </c>
      <c r="L214" s="2">
        <v>15</v>
      </c>
      <c r="M214" s="2">
        <v>12</v>
      </c>
      <c r="N214" s="2">
        <v>10</v>
      </c>
      <c r="O214" s="2">
        <v>20</v>
      </c>
      <c r="P214" s="2">
        <v>15</v>
      </c>
      <c r="Q214" s="2" t="s">
        <v>2027</v>
      </c>
      <c r="R214" s="2" t="s">
        <v>2027</v>
      </c>
      <c r="S214" s="4">
        <v>44837</v>
      </c>
    </row>
    <row r="215" spans="1:19" ht="12.5" x14ac:dyDescent="0.25">
      <c r="A215" s="14" t="str">
        <f>HYPERLINK("https://gerandofalcoes.my.salesforce.com/0014P00003YSp8nQAD", "0014P00003YSp8nQAD")</f>
        <v>0014P00003YSp8nQAD</v>
      </c>
      <c r="B215" s="2" t="s">
        <v>2028</v>
      </c>
      <c r="C215" s="2" t="s">
        <v>423</v>
      </c>
      <c r="D215" s="2" t="s">
        <v>2</v>
      </c>
      <c r="E215" s="2">
        <v>37.01</v>
      </c>
      <c r="F215" s="2">
        <v>6</v>
      </c>
      <c r="G215" s="2">
        <v>2</v>
      </c>
      <c r="H215" s="2">
        <v>7307750</v>
      </c>
      <c r="I215" s="2">
        <v>55</v>
      </c>
      <c r="J215" s="2" t="s">
        <v>1671</v>
      </c>
      <c r="K215" s="2">
        <v>61</v>
      </c>
      <c r="L215" s="2">
        <v>15</v>
      </c>
      <c r="M215" s="2">
        <v>10</v>
      </c>
      <c r="N215" s="2">
        <v>6</v>
      </c>
      <c r="O215" s="2">
        <v>25</v>
      </c>
      <c r="P215" s="2">
        <v>5</v>
      </c>
      <c r="Q215" s="2" t="s">
        <v>2029</v>
      </c>
      <c r="R215" s="2" t="s">
        <v>2030</v>
      </c>
      <c r="S215" s="4">
        <v>44837</v>
      </c>
    </row>
    <row r="216" spans="1:19" ht="12.5" x14ac:dyDescent="0.25">
      <c r="A216" s="14" t="str">
        <f>HYPERLINK("https://gerandofalcoes.my.salesforce.com/0014P00003SGWPaQAP", "0014P00003SGWPaQAP")</f>
        <v>0014P00003SGWPaQAP</v>
      </c>
      <c r="B216" s="2" t="s">
        <v>179</v>
      </c>
      <c r="C216" s="2" t="s">
        <v>423</v>
      </c>
      <c r="D216" s="2" t="s">
        <v>2</v>
      </c>
      <c r="E216" s="2">
        <v>37</v>
      </c>
      <c r="F216" s="2">
        <v>4</v>
      </c>
      <c r="G216" s="2">
        <v>3</v>
      </c>
      <c r="H216" s="2">
        <v>50000</v>
      </c>
      <c r="I216" s="2">
        <v>511</v>
      </c>
      <c r="J216" s="2" t="s">
        <v>1671</v>
      </c>
      <c r="K216" s="2">
        <v>58</v>
      </c>
      <c r="L216" s="2">
        <v>15</v>
      </c>
      <c r="M216" s="2">
        <v>5</v>
      </c>
      <c r="N216" s="2">
        <v>8</v>
      </c>
      <c r="O216" s="2">
        <v>10</v>
      </c>
      <c r="P216" s="2">
        <v>20</v>
      </c>
      <c r="Q216" s="2" t="s">
        <v>180</v>
      </c>
      <c r="R216" s="2" t="s">
        <v>2031</v>
      </c>
      <c r="S216" s="4">
        <v>44837</v>
      </c>
    </row>
    <row r="217" spans="1:19" ht="12.5" x14ac:dyDescent="0.25">
      <c r="A217" s="14" t="str">
        <f>HYPERLINK("https://gerandofalcoes.my.salesforce.com/0014X00002VKCqmQAH", "0014X00002VKCqmQAH")</f>
        <v>0014X00002VKCqmQAH</v>
      </c>
      <c r="B217" s="2" t="s">
        <v>2032</v>
      </c>
      <c r="C217" s="2" t="s">
        <v>423</v>
      </c>
      <c r="D217" s="2" t="s">
        <v>2</v>
      </c>
      <c r="E217" s="2">
        <v>37</v>
      </c>
      <c r="F217" s="2">
        <v>5</v>
      </c>
      <c r="G217" s="2">
        <v>1</v>
      </c>
      <c r="H217" s="2">
        <v>40000</v>
      </c>
      <c r="I217" s="2">
        <v>250</v>
      </c>
      <c r="J217" s="2" t="s">
        <v>1671</v>
      </c>
      <c r="K217" s="2">
        <v>46</v>
      </c>
      <c r="L217" s="2">
        <v>15</v>
      </c>
      <c r="M217" s="2">
        <v>5</v>
      </c>
      <c r="N217" s="2">
        <v>4</v>
      </c>
      <c r="O217" s="2">
        <v>10</v>
      </c>
      <c r="P217" s="2">
        <v>12</v>
      </c>
      <c r="Q217" s="2" t="s">
        <v>2033</v>
      </c>
      <c r="R217" s="2" t="s">
        <v>2034</v>
      </c>
      <c r="S217" s="4">
        <v>44837</v>
      </c>
    </row>
    <row r="218" spans="1:19" ht="12.5" x14ac:dyDescent="0.25">
      <c r="A218" s="14" t="str">
        <f>HYPERLINK("https://gerandofalcoes.my.salesforce.com/0014X00002VKCrNQAX", "0014X00002VKCrNQAX")</f>
        <v>0014X00002VKCrNQAX</v>
      </c>
      <c r="B218" s="2" t="s">
        <v>2035</v>
      </c>
      <c r="C218" s="2" t="s">
        <v>423</v>
      </c>
      <c r="D218" s="2" t="s">
        <v>2</v>
      </c>
      <c r="E218" s="2">
        <v>37</v>
      </c>
      <c r="F218" s="2">
        <v>10</v>
      </c>
      <c r="G218" s="2">
        <v>2</v>
      </c>
      <c r="H218" s="2">
        <v>20000</v>
      </c>
      <c r="I218" s="2">
        <v>130</v>
      </c>
      <c r="J218" s="2" t="s">
        <v>1671</v>
      </c>
      <c r="K218" s="2">
        <v>46</v>
      </c>
      <c r="L218" s="2">
        <v>15</v>
      </c>
      <c r="M218" s="2">
        <v>10</v>
      </c>
      <c r="N218" s="2">
        <v>6</v>
      </c>
      <c r="O218" s="2">
        <v>5</v>
      </c>
      <c r="P218" s="2">
        <v>10</v>
      </c>
      <c r="Q218" s="2" t="s">
        <v>2036</v>
      </c>
      <c r="R218" s="2" t="s">
        <v>2037</v>
      </c>
      <c r="S218" s="4">
        <v>44837</v>
      </c>
    </row>
    <row r="219" spans="1:19" ht="12.5" x14ac:dyDescent="0.25">
      <c r="A219" s="14" t="str">
        <f>HYPERLINK("https://gerandofalcoes.my.salesforce.com/0014X00002VKCuBQAX", "0014X00002VKCuBQAX")</f>
        <v>0014X00002VKCuBQAX</v>
      </c>
      <c r="B219" s="2" t="s">
        <v>2038</v>
      </c>
      <c r="C219" s="2" t="s">
        <v>423</v>
      </c>
      <c r="D219" s="2" t="s">
        <v>2</v>
      </c>
      <c r="E219" s="2">
        <v>37</v>
      </c>
      <c r="F219" s="2">
        <v>0</v>
      </c>
      <c r="G219" s="2">
        <v>2</v>
      </c>
      <c r="H219" s="2">
        <v>10000</v>
      </c>
      <c r="I219" s="2">
        <v>102</v>
      </c>
      <c r="J219" s="2" t="s">
        <v>1779</v>
      </c>
      <c r="K219" s="2">
        <v>36</v>
      </c>
      <c r="L219" s="2">
        <v>15</v>
      </c>
      <c r="M219" s="2">
        <v>0</v>
      </c>
      <c r="N219" s="2">
        <v>6</v>
      </c>
      <c r="O219" s="2">
        <v>5</v>
      </c>
      <c r="P219" s="2">
        <v>10</v>
      </c>
      <c r="Q219" s="2" t="s">
        <v>2039</v>
      </c>
      <c r="R219" s="2" t="s">
        <v>2039</v>
      </c>
      <c r="S219" s="4">
        <v>44837</v>
      </c>
    </row>
    <row r="220" spans="1:19" ht="12.5" x14ac:dyDescent="0.25">
      <c r="A220" s="14" t="str">
        <f>HYPERLINK("https://gerandofalcoes.my.salesforce.com/0014X00002VKCqbQAH", "0014X00002VKCqbQAH")</f>
        <v>0014X00002VKCqbQAH</v>
      </c>
      <c r="B220" s="2" t="s">
        <v>2040</v>
      </c>
      <c r="C220" s="2" t="s">
        <v>423</v>
      </c>
      <c r="D220" s="2" t="s">
        <v>2</v>
      </c>
      <c r="E220" s="2">
        <v>37</v>
      </c>
      <c r="F220" s="2">
        <v>0</v>
      </c>
      <c r="G220" s="2">
        <v>3</v>
      </c>
      <c r="H220" s="2">
        <v>70000</v>
      </c>
      <c r="I220" s="2">
        <v>100</v>
      </c>
      <c r="J220" s="2" t="s">
        <v>1671</v>
      </c>
      <c r="K220" s="2">
        <v>43</v>
      </c>
      <c r="L220" s="2">
        <v>15</v>
      </c>
      <c r="M220" s="2">
        <v>0</v>
      </c>
      <c r="N220" s="2">
        <v>8</v>
      </c>
      <c r="O220" s="2">
        <v>10</v>
      </c>
      <c r="P220" s="2">
        <v>10</v>
      </c>
      <c r="Q220" s="2" t="s">
        <v>2041</v>
      </c>
      <c r="R220" s="2" t="s">
        <v>2042</v>
      </c>
      <c r="S220" s="4">
        <v>44837</v>
      </c>
    </row>
    <row r="221" spans="1:19" ht="12.5" x14ac:dyDescent="0.25">
      <c r="A221" s="14" t="str">
        <f>HYPERLINK("https://gerandofalcoes.my.salesforce.com/0014X00002VKCp7QAH", "0014X00002VKCp7QAH")</f>
        <v>0014X00002VKCp7QAH</v>
      </c>
      <c r="B221" s="2" t="s">
        <v>2043</v>
      </c>
      <c r="C221" s="2" t="s">
        <v>423</v>
      </c>
      <c r="D221" s="2" t="s">
        <v>2</v>
      </c>
      <c r="E221" s="2">
        <v>37</v>
      </c>
      <c r="F221" s="2">
        <v>4</v>
      </c>
      <c r="G221" s="2">
        <v>3</v>
      </c>
      <c r="H221" s="2">
        <v>96000</v>
      </c>
      <c r="I221" s="2">
        <v>70</v>
      </c>
      <c r="J221" s="2" t="s">
        <v>1671</v>
      </c>
      <c r="K221" s="2">
        <v>43</v>
      </c>
      <c r="L221" s="2">
        <v>15</v>
      </c>
      <c r="M221" s="2">
        <v>5</v>
      </c>
      <c r="N221" s="2">
        <v>8</v>
      </c>
      <c r="O221" s="2">
        <v>10</v>
      </c>
      <c r="P221" s="2">
        <v>5</v>
      </c>
      <c r="Q221" s="2" t="s">
        <v>2044</v>
      </c>
      <c r="R221" s="2" t="s">
        <v>2045</v>
      </c>
      <c r="S221" s="4">
        <v>44837</v>
      </c>
    </row>
    <row r="222" spans="1:19" ht="12.5" x14ac:dyDescent="0.25">
      <c r="A222" s="14" t="str">
        <f>HYPERLINK("https://gerandofalcoes.my.salesforce.com/0014P00003YSp9JQAT", "0014P00003YSp9JQAT")</f>
        <v>0014P00003YSp9JQAT</v>
      </c>
      <c r="B222" s="2" t="s">
        <v>2046</v>
      </c>
      <c r="C222" s="2" t="s">
        <v>423</v>
      </c>
      <c r="D222" s="2" t="s">
        <v>2</v>
      </c>
      <c r="E222" s="2">
        <v>37</v>
      </c>
      <c r="F222" s="2">
        <v>4</v>
      </c>
      <c r="G222" s="2">
        <v>4</v>
      </c>
      <c r="H222" s="2">
        <v>125000</v>
      </c>
      <c r="I222" s="2">
        <v>60</v>
      </c>
      <c r="J222" s="2" t="s">
        <v>1671</v>
      </c>
      <c r="K222" s="2">
        <v>50</v>
      </c>
      <c r="L222" s="2">
        <v>15</v>
      </c>
      <c r="M222" s="2">
        <v>5</v>
      </c>
      <c r="N222" s="2">
        <v>10</v>
      </c>
      <c r="O222" s="2">
        <v>15</v>
      </c>
      <c r="P222" s="2">
        <v>5</v>
      </c>
      <c r="Q222" s="2" t="s">
        <v>2047</v>
      </c>
      <c r="R222" s="2" t="s">
        <v>2048</v>
      </c>
      <c r="S222" s="4">
        <v>44837</v>
      </c>
    </row>
    <row r="223" spans="1:19" ht="12.5" x14ac:dyDescent="0.25">
      <c r="A223" s="14" t="str">
        <f>HYPERLINK("https://gerandofalcoes.my.salesforce.com/0014X00002VKCuYQAX", "0014X00002VKCuYQAX")</f>
        <v>0014X00002VKCuYQAX</v>
      </c>
      <c r="B223" s="2" t="s">
        <v>2049</v>
      </c>
      <c r="C223" s="2" t="s">
        <v>423</v>
      </c>
      <c r="D223" s="2" t="s">
        <v>2</v>
      </c>
      <c r="E223" s="2">
        <v>37</v>
      </c>
      <c r="F223" s="2">
        <v>0</v>
      </c>
      <c r="G223" s="2">
        <v>4</v>
      </c>
      <c r="H223" s="2">
        <v>2500</v>
      </c>
      <c r="I223" s="2">
        <v>55</v>
      </c>
      <c r="J223" s="2" t="s">
        <v>1779</v>
      </c>
      <c r="K223" s="2">
        <v>35</v>
      </c>
      <c r="L223" s="2">
        <v>15</v>
      </c>
      <c r="M223" s="2">
        <v>0</v>
      </c>
      <c r="N223" s="2">
        <v>10</v>
      </c>
      <c r="O223" s="2">
        <v>5</v>
      </c>
      <c r="P223" s="2">
        <v>5</v>
      </c>
      <c r="Q223" s="2" t="s">
        <v>2050</v>
      </c>
      <c r="R223" s="2" t="s">
        <v>2050</v>
      </c>
      <c r="S223" s="4">
        <v>44837</v>
      </c>
    </row>
    <row r="224" spans="1:19" ht="12.5" x14ac:dyDescent="0.25">
      <c r="A224" s="14" t="str">
        <f>HYPERLINK("https://gerandofalcoes.my.salesforce.com/0014X00002VKCtUQAX", "0014X00002VKCtUQAX")</f>
        <v>0014X00002VKCtUQAX</v>
      </c>
      <c r="B224" s="2" t="s">
        <v>3823</v>
      </c>
      <c r="C224" s="2" t="s">
        <v>423</v>
      </c>
      <c r="D224" s="2" t="s">
        <v>2</v>
      </c>
      <c r="E224" s="2">
        <v>37</v>
      </c>
      <c r="F224" s="2">
        <v>0</v>
      </c>
      <c r="G224" s="2">
        <v>0</v>
      </c>
      <c r="H224" s="2">
        <v>0</v>
      </c>
      <c r="I224" s="2">
        <v>51</v>
      </c>
      <c r="J224" s="2" t="s">
        <v>1779</v>
      </c>
      <c r="K224" s="2">
        <v>20</v>
      </c>
      <c r="L224" s="2">
        <v>15</v>
      </c>
      <c r="M224" s="2">
        <v>0</v>
      </c>
      <c r="N224" s="2">
        <v>0</v>
      </c>
      <c r="O224" s="2">
        <v>0</v>
      </c>
      <c r="P224" s="2">
        <v>5</v>
      </c>
      <c r="Q224" s="2" t="s">
        <v>3824</v>
      </c>
      <c r="R224" s="2" t="s">
        <v>3824</v>
      </c>
      <c r="S224" s="4">
        <v>45015</v>
      </c>
    </row>
    <row r="225" spans="1:19" ht="12.5" x14ac:dyDescent="0.25">
      <c r="A225" s="14" t="str">
        <f>HYPERLINK("https://gerandofalcoes.my.salesforce.com/0014X00002VKCsEQAX", "0014X00002VKCsEQAX")</f>
        <v>0014X00002VKCsEQAX</v>
      </c>
      <c r="B225" s="2" t="s">
        <v>2051</v>
      </c>
      <c r="C225" s="2" t="s">
        <v>1800</v>
      </c>
      <c r="D225" s="2" t="s">
        <v>2</v>
      </c>
      <c r="E225" s="2">
        <v>37</v>
      </c>
      <c r="F225" s="2">
        <v>2</v>
      </c>
      <c r="G225" s="2">
        <v>3</v>
      </c>
      <c r="H225" s="2">
        <v>1000</v>
      </c>
      <c r="I225" s="2">
        <v>30</v>
      </c>
      <c r="J225" s="2" t="s">
        <v>1779</v>
      </c>
      <c r="K225" s="2">
        <v>38</v>
      </c>
      <c r="L225" s="2">
        <v>15</v>
      </c>
      <c r="M225" s="2">
        <v>5</v>
      </c>
      <c r="N225" s="2">
        <v>8</v>
      </c>
      <c r="O225" s="2">
        <v>5</v>
      </c>
      <c r="P225" s="2">
        <v>5</v>
      </c>
      <c r="Q225" s="2" t="s">
        <v>2052</v>
      </c>
      <c r="R225" s="2" t="s">
        <v>2053</v>
      </c>
      <c r="S225" s="4">
        <v>44837</v>
      </c>
    </row>
    <row r="226" spans="1:19" ht="12.5" x14ac:dyDescent="0.25">
      <c r="A226" s="14" t="str">
        <f>HYPERLINK("https://gerandofalcoes.my.salesforce.com/0014X00002VKCunQAH", "0014X00002VKCunQAH")</f>
        <v>0014X00002VKCunQAH</v>
      </c>
      <c r="B226" s="2" t="s">
        <v>2054</v>
      </c>
      <c r="C226" s="2" t="s">
        <v>423</v>
      </c>
      <c r="D226" s="2" t="s">
        <v>2</v>
      </c>
      <c r="E226" s="2">
        <v>37</v>
      </c>
      <c r="F226" s="2">
        <v>4</v>
      </c>
      <c r="G226" s="2">
        <v>6</v>
      </c>
      <c r="H226" s="2">
        <v>240</v>
      </c>
      <c r="I226" s="2">
        <v>12</v>
      </c>
      <c r="J226" s="2" t="s">
        <v>1671</v>
      </c>
      <c r="K226" s="2">
        <v>40</v>
      </c>
      <c r="L226" s="2">
        <v>15</v>
      </c>
      <c r="M226" s="2">
        <v>5</v>
      </c>
      <c r="N226" s="2">
        <v>10</v>
      </c>
      <c r="O226" s="2">
        <v>5</v>
      </c>
      <c r="P226" s="2">
        <v>5</v>
      </c>
      <c r="Q226" s="2" t="s">
        <v>2055</v>
      </c>
      <c r="R226" s="2" t="s">
        <v>2056</v>
      </c>
      <c r="S226" s="4">
        <v>44837</v>
      </c>
    </row>
    <row r="227" spans="1:19" ht="12.5" x14ac:dyDescent="0.25">
      <c r="A227" s="14" t="str">
        <f>HYPERLINK("https://gerandofalcoes.my.salesforce.com/0014P00003YSp7lQAD", "0014P00003YSp7lQAD")</f>
        <v>0014P00003YSp7lQAD</v>
      </c>
      <c r="B227" s="2" t="s">
        <v>2057</v>
      </c>
      <c r="C227" s="2" t="s">
        <v>423</v>
      </c>
      <c r="D227" s="2" t="s">
        <v>2</v>
      </c>
      <c r="E227" s="2">
        <v>37</v>
      </c>
      <c r="F227" s="2">
        <v>0</v>
      </c>
      <c r="G227" s="2">
        <v>2</v>
      </c>
      <c r="H227" s="2">
        <v>50000</v>
      </c>
      <c r="I227" s="2">
        <v>0</v>
      </c>
      <c r="J227" s="2" t="s">
        <v>1779</v>
      </c>
      <c r="K227" s="2">
        <v>31</v>
      </c>
      <c r="L227" s="2">
        <v>15</v>
      </c>
      <c r="M227" s="2">
        <v>0</v>
      </c>
      <c r="N227" s="2">
        <v>6</v>
      </c>
      <c r="O227" s="2">
        <v>10</v>
      </c>
      <c r="P227" s="2">
        <v>0</v>
      </c>
      <c r="Q227" s="2" t="s">
        <v>2058</v>
      </c>
      <c r="R227" s="2" t="s">
        <v>2059</v>
      </c>
      <c r="S227" s="4">
        <v>44837</v>
      </c>
    </row>
    <row r="228" spans="1:19" ht="12.5" x14ac:dyDescent="0.25">
      <c r="A228" s="14" t="str">
        <f>HYPERLINK("https://gerandofalcoes.my.salesforce.com/0014P00003YSpA6QAL", "0014P00003YSpA6QAL")</f>
        <v>0014P00003YSpA6QAL</v>
      </c>
      <c r="B228" s="2" t="s">
        <v>2060</v>
      </c>
      <c r="C228" s="2" t="s">
        <v>1800</v>
      </c>
      <c r="D228" s="2" t="s">
        <v>2</v>
      </c>
      <c r="E228" s="2">
        <v>37</v>
      </c>
      <c r="F228" s="2">
        <v>27</v>
      </c>
      <c r="G228" s="2">
        <v>3</v>
      </c>
      <c r="H228" s="2">
        <v>132000</v>
      </c>
      <c r="I228" s="2">
        <v>0</v>
      </c>
      <c r="J228" s="2" t="s">
        <v>1671</v>
      </c>
      <c r="K228" s="2">
        <v>50</v>
      </c>
      <c r="L228" s="2">
        <v>15</v>
      </c>
      <c r="M228" s="2">
        <v>12</v>
      </c>
      <c r="N228" s="2">
        <v>8</v>
      </c>
      <c r="O228" s="2">
        <v>15</v>
      </c>
      <c r="P228" s="2">
        <v>0</v>
      </c>
      <c r="Q228" s="2" t="s">
        <v>2061</v>
      </c>
      <c r="R228" s="2" t="s">
        <v>2061</v>
      </c>
      <c r="S228" s="4">
        <v>44837</v>
      </c>
    </row>
    <row r="229" spans="1:19" ht="12.5" x14ac:dyDescent="0.25">
      <c r="A229" s="14" t="str">
        <f>HYPERLINK("https://gerandofalcoes.my.salesforce.com/0014X00002VKCubQAH", "0014X00002VKCubQAH")</f>
        <v>0014X00002VKCubQAH</v>
      </c>
      <c r="B229" s="2" t="s">
        <v>2062</v>
      </c>
      <c r="C229" s="2" t="s">
        <v>423</v>
      </c>
      <c r="D229" s="2" t="s">
        <v>2</v>
      </c>
      <c r="E229" s="2">
        <v>37</v>
      </c>
      <c r="F229" s="2">
        <v>3</v>
      </c>
      <c r="G229" s="2">
        <v>3</v>
      </c>
      <c r="H229" s="2">
        <v>3000</v>
      </c>
      <c r="I229" s="2">
        <v>0</v>
      </c>
      <c r="J229" s="2" t="s">
        <v>1779</v>
      </c>
      <c r="K229" s="2">
        <v>33</v>
      </c>
      <c r="L229" s="2">
        <v>15</v>
      </c>
      <c r="M229" s="2">
        <v>5</v>
      </c>
      <c r="N229" s="2">
        <v>8</v>
      </c>
      <c r="O229" s="2">
        <v>5</v>
      </c>
      <c r="P229" s="2">
        <v>0</v>
      </c>
      <c r="Q229" s="2" t="s">
        <v>2063</v>
      </c>
      <c r="R229" s="2" t="s">
        <v>2064</v>
      </c>
      <c r="S229" s="4">
        <v>44837</v>
      </c>
    </row>
    <row r="230" spans="1:19" ht="12.5" hidden="1" x14ac:dyDescent="0.25">
      <c r="A230" s="14" t="str">
        <f>HYPERLINK("https://gerandofalcoes.my.salesforce.com/0014X00002PUObkQAH", "0014X00002PUObkQAH")</f>
        <v>0014X00002PUObkQAH</v>
      </c>
      <c r="B230" s="2" t="s">
        <v>2065</v>
      </c>
      <c r="C230" s="2" t="s">
        <v>1684</v>
      </c>
      <c r="D230" s="2" t="s">
        <v>2</v>
      </c>
      <c r="E230" s="2">
        <v>36.840000000000003</v>
      </c>
      <c r="F230" s="2">
        <v>0</v>
      </c>
      <c r="G230" s="2">
        <v>2</v>
      </c>
      <c r="H230" s="2">
        <v>3520653</v>
      </c>
      <c r="I230" s="2">
        <v>313</v>
      </c>
      <c r="J230" s="2" t="s">
        <v>1671</v>
      </c>
      <c r="K230" s="2">
        <v>61</v>
      </c>
      <c r="L230" s="2">
        <v>15</v>
      </c>
      <c r="M230" s="2">
        <v>0</v>
      </c>
      <c r="N230" s="2">
        <v>6</v>
      </c>
      <c r="O230" s="2">
        <v>25</v>
      </c>
      <c r="P230" s="2">
        <v>15</v>
      </c>
      <c r="Q230" s="2" t="s">
        <v>2066</v>
      </c>
      <c r="R230" s="2" t="s">
        <v>477</v>
      </c>
      <c r="S230" s="4">
        <v>44837</v>
      </c>
    </row>
    <row r="231" spans="1:19" ht="12.5" x14ac:dyDescent="0.25">
      <c r="A231" s="14" t="str">
        <f>HYPERLINK("https://gerandofalcoes.my.salesforce.com/0014P00003YSm8CQAT", "0014P00003YSm8CQAT")</f>
        <v>0014P00003YSm8CQAT</v>
      </c>
      <c r="B231" s="2" t="s">
        <v>272</v>
      </c>
      <c r="C231" s="2" t="s">
        <v>423</v>
      </c>
      <c r="D231" s="2" t="s">
        <v>2</v>
      </c>
      <c r="E231" s="2">
        <v>36.67</v>
      </c>
      <c r="F231" s="2">
        <v>8</v>
      </c>
      <c r="G231" s="2">
        <v>0</v>
      </c>
      <c r="H231" s="2">
        <v>0</v>
      </c>
      <c r="I231" s="2">
        <v>98</v>
      </c>
      <c r="J231" s="2" t="s">
        <v>1779</v>
      </c>
      <c r="K231" s="2">
        <v>35</v>
      </c>
      <c r="L231" s="2">
        <v>15</v>
      </c>
      <c r="M231" s="2">
        <v>10</v>
      </c>
      <c r="N231" s="2">
        <v>0</v>
      </c>
      <c r="O231" s="2">
        <v>0</v>
      </c>
      <c r="P231" s="2">
        <v>10</v>
      </c>
      <c r="Q231" s="2" t="s">
        <v>273</v>
      </c>
      <c r="R231" s="2" t="s">
        <v>1518</v>
      </c>
      <c r="S231" s="4">
        <v>44837</v>
      </c>
    </row>
    <row r="232" spans="1:19" ht="12.5" x14ac:dyDescent="0.25">
      <c r="A232" s="14" t="str">
        <f>HYPERLINK("https://gerandofalcoes.my.salesforce.com/0014X00002YggksQAB", "0014X00002YggksQAB")</f>
        <v>0014X00002YggksQAB</v>
      </c>
      <c r="B232" s="2" t="s">
        <v>4061</v>
      </c>
      <c r="C232" s="2" t="s">
        <v>423</v>
      </c>
      <c r="D232" s="2" t="s">
        <v>2</v>
      </c>
      <c r="E232" s="2">
        <v>36.659999999999997</v>
      </c>
      <c r="F232" s="2">
        <v>11</v>
      </c>
      <c r="G232" s="2">
        <v>6</v>
      </c>
      <c r="H232" s="2">
        <v>53860038</v>
      </c>
      <c r="I232" s="2">
        <v>120</v>
      </c>
      <c r="J232" s="2"/>
      <c r="K232" s="2">
        <v>72</v>
      </c>
      <c r="L232" s="2">
        <v>15</v>
      </c>
      <c r="M232" s="2">
        <v>12</v>
      </c>
      <c r="N232" s="2">
        <v>10</v>
      </c>
      <c r="O232" s="2">
        <v>25</v>
      </c>
      <c r="P232" s="2">
        <v>10</v>
      </c>
      <c r="Q232" s="2" t="s">
        <v>4062</v>
      </c>
      <c r="R232" s="2" t="s">
        <v>4063</v>
      </c>
      <c r="S232" s="4">
        <v>45169</v>
      </c>
    </row>
    <row r="233" spans="1:19" ht="12.5" x14ac:dyDescent="0.25">
      <c r="A233" s="14" t="str">
        <f>HYPERLINK("https://gerandofalcoes.my.salesforce.com/0014P00003SGWPTQA5", "0014P00003SGWPTQA5")</f>
        <v>0014P00003SGWPTQA5</v>
      </c>
      <c r="B233" s="2" t="s">
        <v>376</v>
      </c>
      <c r="C233" s="2" t="s">
        <v>423</v>
      </c>
      <c r="D233" s="2" t="s">
        <v>2</v>
      </c>
      <c r="E233" s="2">
        <v>36.65</v>
      </c>
      <c r="F233" s="2">
        <v>0</v>
      </c>
      <c r="G233" s="2">
        <v>1</v>
      </c>
      <c r="H233" s="2">
        <v>6000</v>
      </c>
      <c r="I233" s="2">
        <v>104</v>
      </c>
      <c r="J233" s="2" t="s">
        <v>1779</v>
      </c>
      <c r="K233" s="2">
        <v>34</v>
      </c>
      <c r="L233" s="2">
        <v>15</v>
      </c>
      <c r="M233" s="2">
        <v>0</v>
      </c>
      <c r="N233" s="2">
        <v>4</v>
      </c>
      <c r="O233" s="2">
        <v>5</v>
      </c>
      <c r="P233" s="2">
        <v>10</v>
      </c>
      <c r="Q233" s="2" t="s">
        <v>377</v>
      </c>
      <c r="R233" s="2" t="s">
        <v>1586</v>
      </c>
      <c r="S233" s="4">
        <v>44837</v>
      </c>
    </row>
    <row r="234" spans="1:19" ht="12.5" x14ac:dyDescent="0.25">
      <c r="A234" s="14" t="str">
        <f>HYPERLINK("https://gerandofalcoes.my.salesforce.com/0014X00002VKCr5QAH", "0014X00002VKCr5QAH")</f>
        <v>0014X00002VKCr5QAH</v>
      </c>
      <c r="B234" s="2" t="s">
        <v>2067</v>
      </c>
      <c r="C234" s="2" t="s">
        <v>423</v>
      </c>
      <c r="D234" s="2" t="s">
        <v>2</v>
      </c>
      <c r="E234" s="2">
        <v>36.520000000000003</v>
      </c>
      <c r="F234" s="2">
        <v>6</v>
      </c>
      <c r="G234" s="2">
        <v>2</v>
      </c>
      <c r="H234" s="2">
        <v>5356022</v>
      </c>
      <c r="I234" s="2">
        <v>0</v>
      </c>
      <c r="J234" s="2" t="s">
        <v>1671</v>
      </c>
      <c r="K234" s="2">
        <v>56</v>
      </c>
      <c r="L234" s="2">
        <v>15</v>
      </c>
      <c r="M234" s="2">
        <v>10</v>
      </c>
      <c r="N234" s="2">
        <v>6</v>
      </c>
      <c r="O234" s="2">
        <v>25</v>
      </c>
      <c r="P234" s="2">
        <v>0</v>
      </c>
      <c r="Q234" s="2" t="s">
        <v>2068</v>
      </c>
      <c r="R234" s="2" t="s">
        <v>2069</v>
      </c>
      <c r="S234" s="4">
        <v>44837</v>
      </c>
    </row>
    <row r="235" spans="1:19" ht="12.5" x14ac:dyDescent="0.25">
      <c r="A235" s="14" t="str">
        <f>HYPERLINK("https://gerandofalcoes.my.salesforce.com/0014P00003YSp9rQAD", "0014P00003YSp9rQAD")</f>
        <v>0014P00003YSp9rQAD</v>
      </c>
      <c r="B235" s="2" t="s">
        <v>2070</v>
      </c>
      <c r="C235" s="2" t="s">
        <v>1800</v>
      </c>
      <c r="D235" s="2" t="s">
        <v>2</v>
      </c>
      <c r="E235" s="2">
        <v>36</v>
      </c>
      <c r="F235" s="2">
        <v>7</v>
      </c>
      <c r="G235" s="2">
        <v>3</v>
      </c>
      <c r="H235" s="2">
        <v>0</v>
      </c>
      <c r="I235" s="2">
        <v>120</v>
      </c>
      <c r="J235" s="2" t="s">
        <v>1671</v>
      </c>
      <c r="K235" s="2">
        <v>43</v>
      </c>
      <c r="L235" s="2">
        <v>15</v>
      </c>
      <c r="M235" s="2">
        <v>10</v>
      </c>
      <c r="N235" s="2">
        <v>8</v>
      </c>
      <c r="O235" s="2">
        <v>0</v>
      </c>
      <c r="P235" s="2">
        <v>10</v>
      </c>
      <c r="Q235" s="2" t="s">
        <v>2071</v>
      </c>
      <c r="R235" s="2" t="s">
        <v>2072</v>
      </c>
      <c r="S235" s="4">
        <v>44837</v>
      </c>
    </row>
    <row r="236" spans="1:19" ht="12.5" x14ac:dyDescent="0.25">
      <c r="A236" s="14" t="str">
        <f>HYPERLINK("https://gerandofalcoes.my.salesforce.com/0014X00002VKCuJQAX", "0014X00002VKCuJQAX")</f>
        <v>0014X00002VKCuJQAX</v>
      </c>
      <c r="B236" s="2" t="s">
        <v>2073</v>
      </c>
      <c r="C236" s="2" t="s">
        <v>423</v>
      </c>
      <c r="D236" s="2" t="s">
        <v>2</v>
      </c>
      <c r="E236" s="2">
        <v>36</v>
      </c>
      <c r="F236" s="2">
        <v>0</v>
      </c>
      <c r="G236" s="2">
        <v>3</v>
      </c>
      <c r="H236" s="2">
        <v>3000</v>
      </c>
      <c r="I236" s="2">
        <v>100</v>
      </c>
      <c r="J236" s="2" t="s">
        <v>1779</v>
      </c>
      <c r="K236" s="2">
        <v>38</v>
      </c>
      <c r="L236" s="2">
        <v>15</v>
      </c>
      <c r="M236" s="2">
        <v>0</v>
      </c>
      <c r="N236" s="2">
        <v>8</v>
      </c>
      <c r="O236" s="2">
        <v>5</v>
      </c>
      <c r="P236" s="2">
        <v>10</v>
      </c>
      <c r="Q236" s="2" t="s">
        <v>2074</v>
      </c>
      <c r="R236" s="2" t="s">
        <v>2075</v>
      </c>
      <c r="S236" s="4">
        <v>44837</v>
      </c>
    </row>
    <row r="237" spans="1:19" ht="12.5" x14ac:dyDescent="0.25">
      <c r="A237" s="14" t="str">
        <f>HYPERLINK("https://gerandofalcoes.my.salesforce.com/0014X00002VKCqoQAH", "0014X00002VKCqoQAH")</f>
        <v>0014X00002VKCqoQAH</v>
      </c>
      <c r="B237" s="2" t="s">
        <v>2076</v>
      </c>
      <c r="C237" s="2" t="s">
        <v>1800</v>
      </c>
      <c r="D237" s="2" t="s">
        <v>2</v>
      </c>
      <c r="E237" s="2">
        <v>36</v>
      </c>
      <c r="F237" s="2">
        <v>1</v>
      </c>
      <c r="G237" s="2">
        <v>7</v>
      </c>
      <c r="H237" s="2">
        <v>13800</v>
      </c>
      <c r="I237" s="2">
        <v>100</v>
      </c>
      <c r="J237" s="2" t="s">
        <v>1671</v>
      </c>
      <c r="K237" s="2">
        <v>45</v>
      </c>
      <c r="L237" s="2">
        <v>15</v>
      </c>
      <c r="M237" s="2">
        <v>5</v>
      </c>
      <c r="N237" s="2">
        <v>10</v>
      </c>
      <c r="O237" s="2">
        <v>5</v>
      </c>
      <c r="P237" s="2">
        <v>10</v>
      </c>
      <c r="Q237" s="2" t="s">
        <v>2077</v>
      </c>
      <c r="R237" s="2" t="s">
        <v>2077</v>
      </c>
      <c r="S237" s="4">
        <v>44837</v>
      </c>
    </row>
    <row r="238" spans="1:19" ht="12.5" x14ac:dyDescent="0.25">
      <c r="A238" s="14" t="str">
        <f>HYPERLINK("https://gerandofalcoes.my.salesforce.com/0014X00002VKCqDQAX", "0014X00002VKCqDQAX")</f>
        <v>0014X00002VKCqDQAX</v>
      </c>
      <c r="B238" s="2" t="s">
        <v>2078</v>
      </c>
      <c r="C238" s="2" t="s">
        <v>423</v>
      </c>
      <c r="D238" s="2" t="s">
        <v>2</v>
      </c>
      <c r="E238" s="2">
        <v>36</v>
      </c>
      <c r="F238" s="2">
        <v>0</v>
      </c>
      <c r="G238" s="2">
        <v>2</v>
      </c>
      <c r="H238" s="2">
        <v>12000</v>
      </c>
      <c r="I238" s="2">
        <v>70</v>
      </c>
      <c r="J238" s="2" t="s">
        <v>1779</v>
      </c>
      <c r="K238" s="2">
        <v>31</v>
      </c>
      <c r="L238" s="2">
        <v>15</v>
      </c>
      <c r="M238" s="2">
        <v>0</v>
      </c>
      <c r="N238" s="2">
        <v>6</v>
      </c>
      <c r="O238" s="2">
        <v>5</v>
      </c>
      <c r="P238" s="2">
        <v>5</v>
      </c>
      <c r="Q238" s="2" t="s">
        <v>2079</v>
      </c>
      <c r="R238" s="2" t="s">
        <v>2080</v>
      </c>
      <c r="S238" s="4">
        <v>44837</v>
      </c>
    </row>
    <row r="239" spans="1:19" ht="12.5" x14ac:dyDescent="0.25">
      <c r="A239" s="14" t="str">
        <f>HYPERLINK("https://gerandofalcoes.my.salesforce.com/0014X00002VKCplQAH", "0014X00002VKCplQAH")</f>
        <v>0014X00002VKCplQAH</v>
      </c>
      <c r="B239" s="2" t="s">
        <v>2081</v>
      </c>
      <c r="C239" s="2" t="s">
        <v>1800</v>
      </c>
      <c r="D239" s="2" t="s">
        <v>2</v>
      </c>
      <c r="E239" s="2">
        <v>36</v>
      </c>
      <c r="F239" s="2">
        <v>20</v>
      </c>
      <c r="G239" s="2">
        <v>2</v>
      </c>
      <c r="H239" s="2">
        <v>300000</v>
      </c>
      <c r="I239" s="2">
        <v>50</v>
      </c>
      <c r="J239" s="2" t="s">
        <v>1671</v>
      </c>
      <c r="K239" s="2">
        <v>58</v>
      </c>
      <c r="L239" s="2">
        <v>15</v>
      </c>
      <c r="M239" s="2">
        <v>12</v>
      </c>
      <c r="N239" s="2">
        <v>6</v>
      </c>
      <c r="O239" s="2">
        <v>20</v>
      </c>
      <c r="P239" s="2">
        <v>5</v>
      </c>
      <c r="Q239" s="2" t="s">
        <v>2082</v>
      </c>
      <c r="R239" s="2" t="s">
        <v>2083</v>
      </c>
      <c r="S239" s="4">
        <v>44837</v>
      </c>
    </row>
    <row r="240" spans="1:19" ht="12.5" x14ac:dyDescent="0.25">
      <c r="A240" s="14" t="str">
        <f>HYPERLINK("https://gerandofalcoes.my.salesforce.com/0014P00003YSp9eQAD", "0014P00003YSp9eQAD")</f>
        <v>0014P00003YSp9eQAD</v>
      </c>
      <c r="B240" s="2" t="s">
        <v>2084</v>
      </c>
      <c r="C240" s="2" t="s">
        <v>1800</v>
      </c>
      <c r="D240" s="2" t="s">
        <v>2</v>
      </c>
      <c r="E240" s="2">
        <v>36</v>
      </c>
      <c r="F240" s="2">
        <v>4</v>
      </c>
      <c r="G240" s="2">
        <v>4</v>
      </c>
      <c r="H240" s="2">
        <v>270000</v>
      </c>
      <c r="I240" s="2">
        <v>0</v>
      </c>
      <c r="J240" s="2" t="s">
        <v>1671</v>
      </c>
      <c r="K240" s="2">
        <v>45</v>
      </c>
      <c r="L240" s="2">
        <v>15</v>
      </c>
      <c r="M240" s="2">
        <v>5</v>
      </c>
      <c r="N240" s="2">
        <v>10</v>
      </c>
      <c r="O240" s="2">
        <v>15</v>
      </c>
      <c r="P240" s="2">
        <v>0</v>
      </c>
      <c r="Q240" s="2" t="s">
        <v>2085</v>
      </c>
      <c r="R240" s="2" t="s">
        <v>2086</v>
      </c>
      <c r="S240" s="4">
        <v>44837</v>
      </c>
    </row>
    <row r="241" spans="1:19" ht="12.5" hidden="1" x14ac:dyDescent="0.25">
      <c r="A241" s="14" t="str">
        <f>HYPERLINK("https://gerandofalcoes.my.salesforce.com/0014X00002YggiDQAR", "0014X00002YggiDQAR")</f>
        <v>0014X00002YggiDQAR</v>
      </c>
      <c r="B241" s="2" t="s">
        <v>3400</v>
      </c>
      <c r="C241" s="2" t="s">
        <v>1684</v>
      </c>
      <c r="D241" s="2" t="s">
        <v>2</v>
      </c>
      <c r="E241" s="2">
        <v>35.94</v>
      </c>
      <c r="F241" s="2">
        <v>3</v>
      </c>
      <c r="G241" s="2">
        <v>6</v>
      </c>
      <c r="H241" s="2">
        <v>315738</v>
      </c>
      <c r="I241" s="2">
        <v>8</v>
      </c>
      <c r="J241" s="2" t="s">
        <v>1671</v>
      </c>
      <c r="K241" s="2">
        <v>55</v>
      </c>
      <c r="L241" s="2">
        <v>15</v>
      </c>
      <c r="M241" s="2">
        <v>5</v>
      </c>
      <c r="N241" s="2">
        <v>10</v>
      </c>
      <c r="O241" s="2">
        <v>20</v>
      </c>
      <c r="P241" s="2">
        <v>5</v>
      </c>
      <c r="Q241" s="2" t="s">
        <v>3401</v>
      </c>
      <c r="R241" s="2" t="s">
        <v>3402</v>
      </c>
      <c r="S241" s="4">
        <v>44958</v>
      </c>
    </row>
    <row r="242" spans="1:19" ht="12.5" x14ac:dyDescent="0.25">
      <c r="A242" s="14" t="str">
        <f>HYPERLINK("https://gerandofalcoes.my.salesforce.com/0014X00002YggjaQAB", "0014X00002YggjaQAB")</f>
        <v>0014X00002YggjaQAB</v>
      </c>
      <c r="B242" s="2" t="s">
        <v>4064</v>
      </c>
      <c r="C242" s="2" t="s">
        <v>423</v>
      </c>
      <c r="D242" s="2" t="s">
        <v>2</v>
      </c>
      <c r="E242" s="2">
        <v>35.86</v>
      </c>
      <c r="F242" s="2">
        <v>6</v>
      </c>
      <c r="G242" s="2">
        <v>4</v>
      </c>
      <c r="H242" s="2">
        <v>62000</v>
      </c>
      <c r="I242" s="2">
        <v>100</v>
      </c>
      <c r="J242" s="2"/>
      <c r="K242" s="2">
        <v>55</v>
      </c>
      <c r="L242" s="2">
        <v>15</v>
      </c>
      <c r="M242" s="2">
        <v>10</v>
      </c>
      <c r="N242" s="2">
        <v>10</v>
      </c>
      <c r="O242" s="2">
        <v>10</v>
      </c>
      <c r="P242" s="2">
        <v>10</v>
      </c>
      <c r="Q242" s="2" t="s">
        <v>4065</v>
      </c>
      <c r="R242" s="2" t="s">
        <v>4065</v>
      </c>
      <c r="S242" s="4">
        <v>45169</v>
      </c>
    </row>
    <row r="243" spans="1:19" ht="12.5" x14ac:dyDescent="0.25">
      <c r="A243" s="14" t="str">
        <f>HYPERLINK("https://gerandofalcoes.my.salesforce.com/0014P00003YSp8zQAD", "0014P00003YSp8zQAD")</f>
        <v>0014P00003YSp8zQAD</v>
      </c>
      <c r="B243" s="2" t="s">
        <v>2087</v>
      </c>
      <c r="C243" s="2" t="s">
        <v>423</v>
      </c>
      <c r="D243" s="2" t="s">
        <v>2</v>
      </c>
      <c r="E243" s="2">
        <v>35.69</v>
      </c>
      <c r="F243" s="2">
        <v>10</v>
      </c>
      <c r="G243" s="2">
        <v>2</v>
      </c>
      <c r="H243" s="2">
        <v>600000</v>
      </c>
      <c r="I243" s="2">
        <v>115</v>
      </c>
      <c r="J243" s="2" t="s">
        <v>1671</v>
      </c>
      <c r="K243" s="2">
        <v>61</v>
      </c>
      <c r="L243" s="2">
        <v>15</v>
      </c>
      <c r="M243" s="2">
        <v>10</v>
      </c>
      <c r="N243" s="2">
        <v>6</v>
      </c>
      <c r="O243" s="2">
        <v>20</v>
      </c>
      <c r="P243" s="2">
        <v>10</v>
      </c>
      <c r="Q243" s="2" t="s">
        <v>2088</v>
      </c>
      <c r="R243" s="2" t="s">
        <v>2089</v>
      </c>
      <c r="S243" s="4">
        <v>44837</v>
      </c>
    </row>
    <row r="244" spans="1:19" ht="12.5" x14ac:dyDescent="0.25">
      <c r="A244" s="14" t="str">
        <f>HYPERLINK("https://gerandofalcoes.my.salesforce.com/0014P00003SGWQ1QAP", "0014P00003SGWQ1QAP")</f>
        <v>0014P00003SGWQ1QAP</v>
      </c>
      <c r="B244" s="2" t="s">
        <v>205</v>
      </c>
      <c r="C244" s="2" t="s">
        <v>423</v>
      </c>
      <c r="D244" s="2" t="s">
        <v>2</v>
      </c>
      <c r="E244" s="2">
        <v>35.46</v>
      </c>
      <c r="F244" s="2">
        <v>6</v>
      </c>
      <c r="G244" s="2">
        <v>2</v>
      </c>
      <c r="H244" s="2">
        <v>926170</v>
      </c>
      <c r="I244" s="2">
        <v>600</v>
      </c>
      <c r="J244" s="2" t="s">
        <v>1650</v>
      </c>
      <c r="K244" s="2">
        <v>76</v>
      </c>
      <c r="L244" s="2">
        <v>15</v>
      </c>
      <c r="M244" s="2">
        <v>10</v>
      </c>
      <c r="N244" s="2">
        <v>6</v>
      </c>
      <c r="O244" s="2">
        <v>25</v>
      </c>
      <c r="P244" s="2">
        <v>20</v>
      </c>
      <c r="Q244" s="2" t="s">
        <v>206</v>
      </c>
      <c r="R244" s="2" t="s">
        <v>2090</v>
      </c>
      <c r="S244" s="4">
        <v>44837</v>
      </c>
    </row>
    <row r="245" spans="1:19" ht="12.5" x14ac:dyDescent="0.25">
      <c r="A245" s="14" t="str">
        <f>HYPERLINK("https://gerandofalcoes.my.salesforce.com/0014X00002VKCtTQAX", "0014X00002VKCtTQAX")</f>
        <v>0014X00002VKCtTQAX</v>
      </c>
      <c r="B245" s="2" t="s">
        <v>2091</v>
      </c>
      <c r="C245" s="2" t="s">
        <v>423</v>
      </c>
      <c r="D245" s="2" t="s">
        <v>2</v>
      </c>
      <c r="E245" s="2">
        <v>35.119999999999997</v>
      </c>
      <c r="F245" s="2">
        <v>0</v>
      </c>
      <c r="G245" s="2">
        <v>2</v>
      </c>
      <c r="H245" s="2">
        <v>21451</v>
      </c>
      <c r="I245" s="2">
        <v>56</v>
      </c>
      <c r="J245" s="2" t="s">
        <v>1779</v>
      </c>
      <c r="K245" s="2">
        <v>31</v>
      </c>
      <c r="L245" s="2">
        <v>15</v>
      </c>
      <c r="M245" s="2">
        <v>0</v>
      </c>
      <c r="N245" s="2">
        <v>6</v>
      </c>
      <c r="O245" s="2">
        <v>5</v>
      </c>
      <c r="P245" s="2">
        <v>5</v>
      </c>
      <c r="Q245" s="2" t="s">
        <v>2092</v>
      </c>
      <c r="R245" s="2" t="s">
        <v>2092</v>
      </c>
      <c r="S245" s="4">
        <v>44837</v>
      </c>
    </row>
    <row r="246" spans="1:19" ht="12.5" x14ac:dyDescent="0.25">
      <c r="A246" s="14" t="str">
        <f>HYPERLINK("https://gerandofalcoes.my.salesforce.com/0014X00002VKCrkQAH", "0014X00002VKCrkQAH")</f>
        <v>0014X00002VKCrkQAH</v>
      </c>
      <c r="B246" s="2" t="s">
        <v>2093</v>
      </c>
      <c r="C246" s="2" t="s">
        <v>423</v>
      </c>
      <c r="D246" s="2" t="s">
        <v>2</v>
      </c>
      <c r="E246" s="2">
        <v>35.049999999999997</v>
      </c>
      <c r="F246" s="2">
        <v>10</v>
      </c>
      <c r="G246" s="2">
        <v>3</v>
      </c>
      <c r="H246" s="2">
        <v>7986449</v>
      </c>
      <c r="I246" s="2">
        <v>30</v>
      </c>
      <c r="J246" s="2" t="s">
        <v>1671</v>
      </c>
      <c r="K246" s="2">
        <v>63</v>
      </c>
      <c r="L246" s="2">
        <v>15</v>
      </c>
      <c r="M246" s="2">
        <v>10</v>
      </c>
      <c r="N246" s="2">
        <v>8</v>
      </c>
      <c r="O246" s="2">
        <v>25</v>
      </c>
      <c r="P246" s="2">
        <v>5</v>
      </c>
      <c r="Q246" s="2" t="s">
        <v>2094</v>
      </c>
      <c r="R246" s="2" t="s">
        <v>2095</v>
      </c>
      <c r="S246" s="4">
        <v>44837</v>
      </c>
    </row>
    <row r="247" spans="1:19" ht="12.5" x14ac:dyDescent="0.25">
      <c r="A247" s="14" t="str">
        <f>HYPERLINK("https://gerandofalcoes.my.salesforce.com/0014X00002VKCpkQAH", "0014X00002VKCpkQAH")</f>
        <v>0014X00002VKCpkQAH</v>
      </c>
      <c r="B247" s="2" t="s">
        <v>2096</v>
      </c>
      <c r="C247" s="2" t="s">
        <v>423</v>
      </c>
      <c r="D247" s="2" t="s">
        <v>2</v>
      </c>
      <c r="E247" s="2">
        <v>35</v>
      </c>
      <c r="F247" s="2">
        <v>15</v>
      </c>
      <c r="G247" s="2">
        <v>4</v>
      </c>
      <c r="H247" s="2">
        <v>78000</v>
      </c>
      <c r="I247" s="2">
        <v>240</v>
      </c>
      <c r="J247" s="2" t="s">
        <v>1671</v>
      </c>
      <c r="K247" s="2">
        <v>59</v>
      </c>
      <c r="L247" s="2">
        <v>15</v>
      </c>
      <c r="M247" s="2">
        <v>12</v>
      </c>
      <c r="N247" s="2">
        <v>10</v>
      </c>
      <c r="O247" s="2">
        <v>10</v>
      </c>
      <c r="P247" s="2">
        <v>12</v>
      </c>
      <c r="Q247" s="2" t="s">
        <v>2097</v>
      </c>
      <c r="R247" s="2" t="s">
        <v>2097</v>
      </c>
      <c r="S247" s="4">
        <v>44837</v>
      </c>
    </row>
    <row r="248" spans="1:19" ht="12.5" x14ac:dyDescent="0.25">
      <c r="A248" s="14" t="str">
        <f>HYPERLINK("https://gerandofalcoes.my.salesforce.com/0014P00003YSp7UQAT", "0014P00003YSp7UQAT")</f>
        <v>0014P00003YSp7UQAT</v>
      </c>
      <c r="B248" s="2" t="s">
        <v>2098</v>
      </c>
      <c r="C248" s="2" t="s">
        <v>1800</v>
      </c>
      <c r="D248" s="2" t="s">
        <v>2</v>
      </c>
      <c r="E248" s="2">
        <v>35</v>
      </c>
      <c r="F248" s="2">
        <v>3</v>
      </c>
      <c r="G248" s="2">
        <v>0</v>
      </c>
      <c r="H248" s="2">
        <v>11000</v>
      </c>
      <c r="I248" s="2">
        <v>200</v>
      </c>
      <c r="J248" s="2" t="s">
        <v>1779</v>
      </c>
      <c r="K248" s="2">
        <v>37</v>
      </c>
      <c r="L248" s="2">
        <v>15</v>
      </c>
      <c r="M248" s="2">
        <v>5</v>
      </c>
      <c r="N248" s="2">
        <v>0</v>
      </c>
      <c r="O248" s="2">
        <v>5</v>
      </c>
      <c r="P248" s="2">
        <v>12</v>
      </c>
      <c r="Q248" s="2" t="s">
        <v>2099</v>
      </c>
      <c r="R248" s="2" t="s">
        <v>2099</v>
      </c>
      <c r="S248" s="4">
        <v>44837</v>
      </c>
    </row>
    <row r="249" spans="1:19" ht="12.5" hidden="1" x14ac:dyDescent="0.25">
      <c r="A249" s="14" t="str">
        <f>HYPERLINK("https://gerandofalcoes.my.salesforce.com/0014X00002VKCt9QAH", "0014X00002VKCt9QAH")</f>
        <v>0014X00002VKCt9QAH</v>
      </c>
      <c r="B249" s="2" t="s">
        <v>2100</v>
      </c>
      <c r="C249" s="2" t="s">
        <v>1684</v>
      </c>
      <c r="D249" s="2" t="s">
        <v>2</v>
      </c>
      <c r="E249" s="2">
        <v>35</v>
      </c>
      <c r="F249" s="2">
        <v>0</v>
      </c>
      <c r="G249" s="2">
        <v>2</v>
      </c>
      <c r="H249" s="2">
        <v>600</v>
      </c>
      <c r="I249" s="2">
        <v>150</v>
      </c>
      <c r="J249" s="2" t="s">
        <v>1779</v>
      </c>
      <c r="K249" s="2">
        <v>38</v>
      </c>
      <c r="L249" s="2">
        <v>15</v>
      </c>
      <c r="M249" s="2">
        <v>0</v>
      </c>
      <c r="N249" s="2">
        <v>6</v>
      </c>
      <c r="O249" s="2">
        <v>5</v>
      </c>
      <c r="P249" s="2">
        <v>12</v>
      </c>
      <c r="Q249" s="2" t="s">
        <v>2101</v>
      </c>
      <c r="R249" s="2" t="s">
        <v>2102</v>
      </c>
      <c r="S249" s="4">
        <v>44837</v>
      </c>
    </row>
    <row r="250" spans="1:19" ht="12.5" x14ac:dyDescent="0.25">
      <c r="A250" s="14" t="str">
        <f>HYPERLINK("https://gerandofalcoes.my.salesforce.com/0014P00003YSp9CQAT", "0014P00003YSp9CQAT")</f>
        <v>0014P00003YSp9CQAT</v>
      </c>
      <c r="B250" s="2" t="s">
        <v>2103</v>
      </c>
      <c r="C250" s="2" t="s">
        <v>1800</v>
      </c>
      <c r="D250" s="2" t="s">
        <v>2</v>
      </c>
      <c r="E250" s="2">
        <v>35</v>
      </c>
      <c r="F250" s="2">
        <v>1</v>
      </c>
      <c r="G250" s="2">
        <v>2</v>
      </c>
      <c r="H250" s="2">
        <v>120000</v>
      </c>
      <c r="I250" s="2">
        <v>100</v>
      </c>
      <c r="J250" s="2" t="s">
        <v>1671</v>
      </c>
      <c r="K250" s="2">
        <v>51</v>
      </c>
      <c r="L250" s="2">
        <v>15</v>
      </c>
      <c r="M250" s="2">
        <v>5</v>
      </c>
      <c r="N250" s="2">
        <v>6</v>
      </c>
      <c r="O250" s="2">
        <v>15</v>
      </c>
      <c r="P250" s="2">
        <v>10</v>
      </c>
      <c r="Q250" s="2" t="s">
        <v>2104</v>
      </c>
      <c r="R250" s="2" t="s">
        <v>2105</v>
      </c>
      <c r="S250" s="4">
        <v>44837</v>
      </c>
    </row>
    <row r="251" spans="1:19" ht="12.5" hidden="1" x14ac:dyDescent="0.25">
      <c r="A251" s="14" t="str">
        <f>HYPERLINK("https://gerandofalcoes.my.salesforce.com/0014P00003YSpALQA1", "0014P00003YSpALQA1")</f>
        <v>0014P00003YSpALQA1</v>
      </c>
      <c r="B251" s="2" t="s">
        <v>2106</v>
      </c>
      <c r="C251" s="2" t="s">
        <v>1684</v>
      </c>
      <c r="D251" s="2" t="s">
        <v>2</v>
      </c>
      <c r="E251" s="2">
        <v>35</v>
      </c>
      <c r="F251" s="2">
        <v>7</v>
      </c>
      <c r="G251" s="2">
        <v>6</v>
      </c>
      <c r="H251" s="2">
        <v>83455</v>
      </c>
      <c r="I251" s="2">
        <v>81</v>
      </c>
      <c r="J251" s="2" t="s">
        <v>1671</v>
      </c>
      <c r="K251" s="2">
        <v>55</v>
      </c>
      <c r="L251" s="2">
        <v>15</v>
      </c>
      <c r="M251" s="2">
        <v>10</v>
      </c>
      <c r="N251" s="2">
        <v>10</v>
      </c>
      <c r="O251" s="2">
        <v>10</v>
      </c>
      <c r="P251" s="2">
        <v>10</v>
      </c>
      <c r="Q251" s="2" t="s">
        <v>2107</v>
      </c>
      <c r="R251" s="2" t="s">
        <v>2108</v>
      </c>
      <c r="S251" s="4">
        <v>44837</v>
      </c>
    </row>
    <row r="252" spans="1:19" ht="12.5" x14ac:dyDescent="0.25">
      <c r="A252" s="14" t="str">
        <f>HYPERLINK("https://gerandofalcoes.my.salesforce.com/0014P00003YSp7mQAD", "0014P00003YSp7mQAD")</f>
        <v>0014P00003YSp7mQAD</v>
      </c>
      <c r="B252" s="2" t="s">
        <v>2109</v>
      </c>
      <c r="C252" s="2" t="s">
        <v>1800</v>
      </c>
      <c r="D252" s="2" t="s">
        <v>2</v>
      </c>
      <c r="E252" s="2">
        <v>35</v>
      </c>
      <c r="F252" s="2">
        <v>5</v>
      </c>
      <c r="G252" s="2">
        <v>4</v>
      </c>
      <c r="H252" s="2">
        <v>0</v>
      </c>
      <c r="I252" s="2">
        <v>53</v>
      </c>
      <c r="J252" s="2" t="s">
        <v>1779</v>
      </c>
      <c r="K252" s="2">
        <v>35</v>
      </c>
      <c r="L252" s="2">
        <v>15</v>
      </c>
      <c r="M252" s="2">
        <v>5</v>
      </c>
      <c r="N252" s="2">
        <v>10</v>
      </c>
      <c r="O252" s="2">
        <v>0</v>
      </c>
      <c r="P252" s="2">
        <v>5</v>
      </c>
      <c r="Q252" s="2" t="s">
        <v>2110</v>
      </c>
      <c r="R252" s="2" t="s">
        <v>2111</v>
      </c>
      <c r="S252" s="4">
        <v>44837</v>
      </c>
    </row>
    <row r="253" spans="1:19" ht="12.5" x14ac:dyDescent="0.25">
      <c r="A253" s="14" t="str">
        <f>HYPERLINK("https://gerandofalcoes.my.salesforce.com/0014X00002VKCtFQAX", "0014X00002VKCtFQAX")</f>
        <v>0014X00002VKCtFQAX</v>
      </c>
      <c r="B253" s="2" t="s">
        <v>2112</v>
      </c>
      <c r="C253" s="2" t="s">
        <v>423</v>
      </c>
      <c r="D253" s="2" t="s">
        <v>2</v>
      </c>
      <c r="E253" s="2">
        <v>35</v>
      </c>
      <c r="F253" s="2">
        <v>12</v>
      </c>
      <c r="G253" s="2">
        <v>2</v>
      </c>
      <c r="H253" s="2">
        <v>100000</v>
      </c>
      <c r="I253" s="2">
        <v>40</v>
      </c>
      <c r="J253" s="2" t="s">
        <v>1671</v>
      </c>
      <c r="K253" s="2">
        <v>53</v>
      </c>
      <c r="L253" s="2">
        <v>15</v>
      </c>
      <c r="M253" s="2">
        <v>12</v>
      </c>
      <c r="N253" s="2">
        <v>6</v>
      </c>
      <c r="O253" s="2">
        <v>15</v>
      </c>
      <c r="P253" s="2">
        <v>5</v>
      </c>
      <c r="Q253" s="2" t="s">
        <v>2113</v>
      </c>
      <c r="R253" s="2" t="s">
        <v>2113</v>
      </c>
      <c r="S253" s="4">
        <v>44837</v>
      </c>
    </row>
    <row r="254" spans="1:19" ht="12.5" x14ac:dyDescent="0.25">
      <c r="A254" s="14" t="str">
        <f>HYPERLINK("https://gerandofalcoes.my.salesforce.com/0014X00002VKCqWQAX", "0014X00002VKCqWQAX")</f>
        <v>0014X00002VKCqWQAX</v>
      </c>
      <c r="B254" s="2" t="s">
        <v>2114</v>
      </c>
      <c r="C254" s="2" t="s">
        <v>1800</v>
      </c>
      <c r="D254" s="2" t="s">
        <v>2</v>
      </c>
      <c r="E254" s="2">
        <v>35</v>
      </c>
      <c r="F254" s="2">
        <v>2</v>
      </c>
      <c r="G254" s="2">
        <v>3</v>
      </c>
      <c r="H254" s="2">
        <v>11579</v>
      </c>
      <c r="I254" s="2">
        <v>20</v>
      </c>
      <c r="J254" s="2" t="s">
        <v>1779</v>
      </c>
      <c r="K254" s="2">
        <v>38</v>
      </c>
      <c r="L254" s="2">
        <v>15</v>
      </c>
      <c r="M254" s="2">
        <v>5</v>
      </c>
      <c r="N254" s="2">
        <v>8</v>
      </c>
      <c r="O254" s="2">
        <v>5</v>
      </c>
      <c r="P254" s="2">
        <v>5</v>
      </c>
      <c r="Q254" s="2" t="s">
        <v>2115</v>
      </c>
      <c r="R254" s="2" t="s">
        <v>2116</v>
      </c>
      <c r="S254" s="4">
        <v>44837</v>
      </c>
    </row>
    <row r="255" spans="1:19" ht="12.5" x14ac:dyDescent="0.25">
      <c r="A255" s="14" t="str">
        <f>HYPERLINK("https://gerandofalcoes.my.salesforce.com/0014X00002VKCuzQAH", "0014X00002VKCuzQAH")</f>
        <v>0014X00002VKCuzQAH</v>
      </c>
      <c r="B255" s="2" t="s">
        <v>2117</v>
      </c>
      <c r="C255" s="2" t="s">
        <v>423</v>
      </c>
      <c r="D255" s="2" t="s">
        <v>2</v>
      </c>
      <c r="E255" s="2">
        <v>35</v>
      </c>
      <c r="F255" s="2">
        <v>0</v>
      </c>
      <c r="G255" s="2">
        <v>3</v>
      </c>
      <c r="H255" s="2">
        <v>34878</v>
      </c>
      <c r="I255" s="2">
        <v>7</v>
      </c>
      <c r="J255" s="2" t="s">
        <v>1779</v>
      </c>
      <c r="K255" s="2">
        <v>38</v>
      </c>
      <c r="L255" s="2">
        <v>15</v>
      </c>
      <c r="M255" s="2">
        <v>0</v>
      </c>
      <c r="N255" s="2">
        <v>8</v>
      </c>
      <c r="O255" s="2">
        <v>10</v>
      </c>
      <c r="P255" s="2">
        <v>5</v>
      </c>
      <c r="Q255" s="2" t="s">
        <v>2118</v>
      </c>
      <c r="R255" s="2" t="s">
        <v>2119</v>
      </c>
      <c r="S255" s="4">
        <v>44837</v>
      </c>
    </row>
    <row r="256" spans="1:19" ht="12.5" x14ac:dyDescent="0.25">
      <c r="A256" s="14" t="str">
        <f>HYPERLINK("https://gerandofalcoes.my.salesforce.com/0014P00003YSp7uQAD", "0014P00003YSp7uQAD")</f>
        <v>0014P00003YSp7uQAD</v>
      </c>
      <c r="B256" s="2" t="s">
        <v>2120</v>
      </c>
      <c r="C256" s="2" t="s">
        <v>423</v>
      </c>
      <c r="D256" s="2" t="s">
        <v>2</v>
      </c>
      <c r="E256" s="2">
        <v>35</v>
      </c>
      <c r="F256" s="2">
        <v>5</v>
      </c>
      <c r="G256" s="2">
        <v>2</v>
      </c>
      <c r="H256" s="2">
        <v>100000</v>
      </c>
      <c r="I256" s="2">
        <v>0</v>
      </c>
      <c r="J256" s="2" t="s">
        <v>1671</v>
      </c>
      <c r="K256" s="2">
        <v>41</v>
      </c>
      <c r="L256" s="2">
        <v>15</v>
      </c>
      <c r="M256" s="2">
        <v>5</v>
      </c>
      <c r="N256" s="2">
        <v>6</v>
      </c>
      <c r="O256" s="2">
        <v>15</v>
      </c>
      <c r="P256" s="2">
        <v>0</v>
      </c>
      <c r="Q256" s="2" t="s">
        <v>2121</v>
      </c>
      <c r="R256" s="2" t="s">
        <v>2121</v>
      </c>
      <c r="S256" s="4">
        <v>44837</v>
      </c>
    </row>
    <row r="257" spans="1:19" ht="12.5" x14ac:dyDescent="0.25">
      <c r="A257" s="14" t="str">
        <f>HYPERLINK("https://gerandofalcoes.my.salesforce.com/0014X00002VKCqPQAX", "0014X00002VKCqPQAX")</f>
        <v>0014X00002VKCqPQAX</v>
      </c>
      <c r="B257" s="2" t="s">
        <v>2122</v>
      </c>
      <c r="C257" s="2" t="s">
        <v>423</v>
      </c>
      <c r="D257" s="2" t="s">
        <v>2</v>
      </c>
      <c r="E257" s="2">
        <v>34.450000000000003</v>
      </c>
      <c r="F257" s="2">
        <v>5</v>
      </c>
      <c r="G257" s="2">
        <v>1</v>
      </c>
      <c r="H257" s="2">
        <v>0</v>
      </c>
      <c r="I257" s="2">
        <v>186</v>
      </c>
      <c r="J257" s="2" t="s">
        <v>1779</v>
      </c>
      <c r="K257" s="2">
        <v>36</v>
      </c>
      <c r="L257" s="2">
        <v>15</v>
      </c>
      <c r="M257" s="2">
        <v>5</v>
      </c>
      <c r="N257" s="2">
        <v>4</v>
      </c>
      <c r="O257" s="2">
        <v>0</v>
      </c>
      <c r="P257" s="2">
        <v>12</v>
      </c>
      <c r="Q257" s="2" t="s">
        <v>2123</v>
      </c>
      <c r="R257" s="2" t="s">
        <v>2124</v>
      </c>
      <c r="S257" s="4">
        <v>44837</v>
      </c>
    </row>
    <row r="258" spans="1:19" ht="12.5" x14ac:dyDescent="0.25">
      <c r="A258" s="14" t="str">
        <f>HYPERLINK("https://gerandofalcoes.my.salesforce.com/0014X00002VKCtYQAX", "0014X00002VKCtYQAX")</f>
        <v>0014X00002VKCtYQAX</v>
      </c>
      <c r="B258" s="2" t="s">
        <v>2125</v>
      </c>
      <c r="C258" s="2" t="s">
        <v>423</v>
      </c>
      <c r="D258" s="2" t="s">
        <v>2</v>
      </c>
      <c r="E258" s="2">
        <v>34.43</v>
      </c>
      <c r="F258" s="2">
        <v>3</v>
      </c>
      <c r="G258" s="2">
        <v>2</v>
      </c>
      <c r="H258" s="2">
        <v>7000</v>
      </c>
      <c r="I258" s="2">
        <v>70</v>
      </c>
      <c r="J258" s="2" t="s">
        <v>1779</v>
      </c>
      <c r="K258" s="2">
        <v>36</v>
      </c>
      <c r="L258" s="2">
        <v>15</v>
      </c>
      <c r="M258" s="2">
        <v>5</v>
      </c>
      <c r="N258" s="2">
        <v>6</v>
      </c>
      <c r="O258" s="2">
        <v>5</v>
      </c>
      <c r="P258" s="2">
        <v>5</v>
      </c>
      <c r="Q258" s="2" t="s">
        <v>2126</v>
      </c>
      <c r="R258" s="2" t="s">
        <v>2126</v>
      </c>
      <c r="S258" s="4">
        <v>44837</v>
      </c>
    </row>
    <row r="259" spans="1:19" ht="12.5" hidden="1" x14ac:dyDescent="0.25">
      <c r="A259" s="14" t="str">
        <f>HYPERLINK("https://gerandofalcoes.my.salesforce.com/0014X00002YgghAQAR", "0014X00002YgghAQAR")</f>
        <v>0014X00002YgghAQAR</v>
      </c>
      <c r="B259" s="2" t="s">
        <v>3695</v>
      </c>
      <c r="C259" s="2" t="s">
        <v>1684</v>
      </c>
      <c r="D259" s="2" t="s">
        <v>2</v>
      </c>
      <c r="E259" s="2">
        <v>34.19</v>
      </c>
      <c r="F259" s="2">
        <v>36</v>
      </c>
      <c r="G259" s="2">
        <v>11</v>
      </c>
      <c r="H259" s="2">
        <v>237000</v>
      </c>
      <c r="I259" s="2">
        <v>450</v>
      </c>
      <c r="J259" s="2" t="s">
        <v>1650</v>
      </c>
      <c r="K259" s="2">
        <v>75</v>
      </c>
      <c r="L259" s="2">
        <v>15</v>
      </c>
      <c r="M259" s="2">
        <v>15</v>
      </c>
      <c r="N259" s="2">
        <v>10</v>
      </c>
      <c r="O259" s="2">
        <v>15</v>
      </c>
      <c r="P259" s="2">
        <v>20</v>
      </c>
      <c r="Q259" s="2" t="s">
        <v>3696</v>
      </c>
      <c r="R259" s="2" t="s">
        <v>3697</v>
      </c>
      <c r="S259" s="4">
        <v>44967</v>
      </c>
    </row>
    <row r="260" spans="1:19" ht="12.5" x14ac:dyDescent="0.25">
      <c r="A260" s="14" t="str">
        <f>HYPERLINK("https://gerandofalcoes.my.salesforce.com/0014P00003AN2FzQAL", "0014P00003AN2FzQAL")</f>
        <v>0014P00003AN2FzQAL</v>
      </c>
      <c r="B260" s="2" t="s">
        <v>2127</v>
      </c>
      <c r="C260" s="2" t="s">
        <v>423</v>
      </c>
      <c r="D260" s="2" t="s">
        <v>2</v>
      </c>
      <c r="E260" s="2">
        <v>34.17</v>
      </c>
      <c r="F260" s="2">
        <v>5</v>
      </c>
      <c r="G260" s="2">
        <v>5</v>
      </c>
      <c r="H260" s="2">
        <v>304000</v>
      </c>
      <c r="I260" s="2">
        <v>180</v>
      </c>
      <c r="J260" s="2" t="s">
        <v>1671</v>
      </c>
      <c r="K260" s="2">
        <v>62</v>
      </c>
      <c r="L260" s="2">
        <v>15</v>
      </c>
      <c r="M260" s="2">
        <v>5</v>
      </c>
      <c r="N260" s="2">
        <v>10</v>
      </c>
      <c r="O260" s="2">
        <v>20</v>
      </c>
      <c r="P260" s="2">
        <v>12</v>
      </c>
      <c r="Q260" s="2" t="s">
        <v>652</v>
      </c>
      <c r="R260" s="2" t="s">
        <v>652</v>
      </c>
      <c r="S260" s="4">
        <v>44837</v>
      </c>
    </row>
    <row r="261" spans="1:19" ht="12.5" x14ac:dyDescent="0.25">
      <c r="A261" s="14" t="str">
        <f>HYPERLINK("https://gerandofalcoes.my.salesforce.com/0014X00002VKCueQAH", "0014X00002VKCueQAH")</f>
        <v>0014X00002VKCueQAH</v>
      </c>
      <c r="B261" s="2" t="s">
        <v>2128</v>
      </c>
      <c r="C261" s="2" t="s">
        <v>423</v>
      </c>
      <c r="D261" s="2" t="s">
        <v>2</v>
      </c>
      <c r="E261" s="2">
        <v>34.020000000000003</v>
      </c>
      <c r="F261" s="2">
        <v>0</v>
      </c>
      <c r="G261" s="2">
        <v>3</v>
      </c>
      <c r="H261" s="2">
        <v>40000</v>
      </c>
      <c r="I261" s="2">
        <v>10</v>
      </c>
      <c r="J261" s="2" t="s">
        <v>1779</v>
      </c>
      <c r="K261" s="2">
        <v>38</v>
      </c>
      <c r="L261" s="2">
        <v>15</v>
      </c>
      <c r="M261" s="2">
        <v>0</v>
      </c>
      <c r="N261" s="2">
        <v>8</v>
      </c>
      <c r="O261" s="2">
        <v>10</v>
      </c>
      <c r="P261" s="2">
        <v>5</v>
      </c>
      <c r="Q261" s="2" t="s">
        <v>2129</v>
      </c>
      <c r="R261" s="2" t="s">
        <v>2130</v>
      </c>
      <c r="S261" s="4">
        <v>44837</v>
      </c>
    </row>
    <row r="262" spans="1:19" ht="12.5" x14ac:dyDescent="0.25">
      <c r="A262" s="14" t="str">
        <f>HYPERLINK("https://gerandofalcoes.my.salesforce.com/0014P00003YSp94QAD", "0014P00003YSp94QAD")</f>
        <v>0014P00003YSp94QAD</v>
      </c>
      <c r="B262" s="2" t="s">
        <v>2131</v>
      </c>
      <c r="C262" s="2" t="s">
        <v>1800</v>
      </c>
      <c r="D262" s="2" t="s">
        <v>2</v>
      </c>
      <c r="E262" s="2">
        <v>34</v>
      </c>
      <c r="F262" s="2">
        <v>0</v>
      </c>
      <c r="G262" s="2">
        <v>2</v>
      </c>
      <c r="H262" s="2">
        <v>25000</v>
      </c>
      <c r="I262" s="2">
        <v>600</v>
      </c>
      <c r="J262" s="2" t="s">
        <v>1671</v>
      </c>
      <c r="K262" s="2">
        <v>51</v>
      </c>
      <c r="L262" s="2">
        <v>15</v>
      </c>
      <c r="M262" s="2">
        <v>0</v>
      </c>
      <c r="N262" s="2">
        <v>6</v>
      </c>
      <c r="O262" s="2">
        <v>10</v>
      </c>
      <c r="P262" s="2">
        <v>20</v>
      </c>
      <c r="Q262" s="2" t="s">
        <v>2132</v>
      </c>
      <c r="R262" s="2" t="s">
        <v>2132</v>
      </c>
      <c r="S262" s="4">
        <v>44837</v>
      </c>
    </row>
    <row r="263" spans="1:19" ht="12.5" x14ac:dyDescent="0.25">
      <c r="A263" s="14" t="str">
        <f>HYPERLINK("https://gerandofalcoes.my.salesforce.com/0014P00003YSp9UQAT", "0014P00003YSp9UQAT")</f>
        <v>0014P00003YSp9UQAT</v>
      </c>
      <c r="B263" s="2" t="s">
        <v>2133</v>
      </c>
      <c r="C263" s="2" t="s">
        <v>1800</v>
      </c>
      <c r="D263" s="2" t="s">
        <v>2</v>
      </c>
      <c r="E263" s="2">
        <v>34</v>
      </c>
      <c r="F263" s="2">
        <v>39</v>
      </c>
      <c r="G263" s="2">
        <v>2</v>
      </c>
      <c r="H263" s="2">
        <v>2000</v>
      </c>
      <c r="I263" s="2">
        <v>280</v>
      </c>
      <c r="J263" s="2" t="s">
        <v>1671</v>
      </c>
      <c r="K263" s="2">
        <v>53</v>
      </c>
      <c r="L263" s="2">
        <v>15</v>
      </c>
      <c r="M263" s="2">
        <v>15</v>
      </c>
      <c r="N263" s="2">
        <v>6</v>
      </c>
      <c r="O263" s="2">
        <v>5</v>
      </c>
      <c r="P263" s="2">
        <v>12</v>
      </c>
      <c r="Q263" s="2" t="s">
        <v>2134</v>
      </c>
      <c r="R263" s="2" t="s">
        <v>2135</v>
      </c>
      <c r="S263" s="4">
        <v>44837</v>
      </c>
    </row>
    <row r="264" spans="1:19" ht="12.5" x14ac:dyDescent="0.25">
      <c r="A264" s="14" t="str">
        <f>HYPERLINK("https://gerandofalcoes.my.salesforce.com/0014P00003YSp7ZQAT", "0014P00003YSp7ZQAT")</f>
        <v>0014P00003YSp7ZQAT</v>
      </c>
      <c r="B264" s="2" t="s">
        <v>2136</v>
      </c>
      <c r="C264" s="2" t="s">
        <v>423</v>
      </c>
      <c r="D264" s="2" t="s">
        <v>2</v>
      </c>
      <c r="E264" s="2">
        <v>34</v>
      </c>
      <c r="F264" s="2">
        <v>0</v>
      </c>
      <c r="G264" s="2">
        <v>2</v>
      </c>
      <c r="H264" s="2">
        <v>50000</v>
      </c>
      <c r="I264" s="2">
        <v>210</v>
      </c>
      <c r="J264" s="2" t="s">
        <v>1671</v>
      </c>
      <c r="K264" s="2">
        <v>43</v>
      </c>
      <c r="L264" s="2">
        <v>15</v>
      </c>
      <c r="M264" s="2">
        <v>0</v>
      </c>
      <c r="N264" s="2">
        <v>6</v>
      </c>
      <c r="O264" s="2">
        <v>10</v>
      </c>
      <c r="P264" s="2">
        <v>12</v>
      </c>
      <c r="Q264" s="2" t="s">
        <v>2137</v>
      </c>
      <c r="R264" s="2" t="s">
        <v>2138</v>
      </c>
      <c r="S264" s="4">
        <v>44837</v>
      </c>
    </row>
    <row r="265" spans="1:19" ht="12.5" x14ac:dyDescent="0.25">
      <c r="A265" s="14" t="str">
        <f>HYPERLINK("https://gerandofalcoes.my.salesforce.com/0014P00003YSp8CQAT", "0014P00003YSp8CQAT")</f>
        <v>0014P00003YSp8CQAT</v>
      </c>
      <c r="B265" s="2" t="s">
        <v>2139</v>
      </c>
      <c r="C265" s="2" t="s">
        <v>423</v>
      </c>
      <c r="D265" s="2" t="s">
        <v>2</v>
      </c>
      <c r="E265" s="2">
        <v>34</v>
      </c>
      <c r="F265" s="2">
        <v>11</v>
      </c>
      <c r="G265" s="2">
        <v>4</v>
      </c>
      <c r="H265" s="2">
        <v>309270</v>
      </c>
      <c r="I265" s="2">
        <v>200</v>
      </c>
      <c r="J265" s="2" t="s">
        <v>1650</v>
      </c>
      <c r="K265" s="2">
        <v>69</v>
      </c>
      <c r="L265" s="2">
        <v>15</v>
      </c>
      <c r="M265" s="2">
        <v>12</v>
      </c>
      <c r="N265" s="2">
        <v>10</v>
      </c>
      <c r="O265" s="2">
        <v>20</v>
      </c>
      <c r="P265" s="2">
        <v>12</v>
      </c>
      <c r="Q265" s="2" t="s">
        <v>2140</v>
      </c>
      <c r="R265" s="2" t="s">
        <v>2140</v>
      </c>
      <c r="S265" s="4">
        <v>44837</v>
      </c>
    </row>
    <row r="266" spans="1:19" ht="12.5" x14ac:dyDescent="0.25">
      <c r="A266" s="14" t="str">
        <f>HYPERLINK("https://gerandofalcoes.my.salesforce.com/0014X00002VKCv3QAH", "0014X00002VKCv3QAH")</f>
        <v>0014X00002VKCv3QAH</v>
      </c>
      <c r="B266" s="2" t="s">
        <v>2141</v>
      </c>
      <c r="C266" s="2" t="s">
        <v>1800</v>
      </c>
      <c r="D266" s="2" t="s">
        <v>2</v>
      </c>
      <c r="E266" s="2">
        <v>34</v>
      </c>
      <c r="F266" s="2">
        <v>0</v>
      </c>
      <c r="G266" s="2">
        <v>3</v>
      </c>
      <c r="H266" s="2">
        <v>12000</v>
      </c>
      <c r="I266" s="2">
        <v>20</v>
      </c>
      <c r="J266" s="2" t="s">
        <v>1779</v>
      </c>
      <c r="K266" s="2">
        <v>33</v>
      </c>
      <c r="L266" s="2">
        <v>15</v>
      </c>
      <c r="M266" s="2">
        <v>0</v>
      </c>
      <c r="N266" s="2">
        <v>8</v>
      </c>
      <c r="O266" s="2">
        <v>5</v>
      </c>
      <c r="P266" s="2">
        <v>5</v>
      </c>
      <c r="Q266" s="2" t="s">
        <v>2142</v>
      </c>
      <c r="R266" s="2" t="s">
        <v>2143</v>
      </c>
      <c r="S266" s="4">
        <v>44837</v>
      </c>
    </row>
    <row r="267" spans="1:19" ht="12.5" x14ac:dyDescent="0.25">
      <c r="A267" s="14" t="str">
        <f>HYPERLINK("https://gerandofalcoes.my.salesforce.com/0014X00002VKCvDQAX", "0014X00002VKCvDQAX")</f>
        <v>0014X00002VKCvDQAX</v>
      </c>
      <c r="B267" s="2" t="s">
        <v>3835</v>
      </c>
      <c r="C267" s="2" t="s">
        <v>1800</v>
      </c>
      <c r="D267" s="2" t="s">
        <v>2</v>
      </c>
      <c r="E267" s="2">
        <v>34</v>
      </c>
      <c r="F267" s="2">
        <v>0</v>
      </c>
      <c r="G267" s="2">
        <v>1</v>
      </c>
      <c r="H267" s="2">
        <v>25000</v>
      </c>
      <c r="I267" s="2">
        <v>0</v>
      </c>
      <c r="J267" s="2" t="s">
        <v>1779</v>
      </c>
      <c r="K267" s="2">
        <v>29</v>
      </c>
      <c r="L267" s="2">
        <v>15</v>
      </c>
      <c r="M267" s="2">
        <v>0</v>
      </c>
      <c r="N267" s="2">
        <v>4</v>
      </c>
      <c r="O267" s="2">
        <v>10</v>
      </c>
      <c r="P267" s="2">
        <v>0</v>
      </c>
      <c r="Q267" s="2" t="s">
        <v>2463</v>
      </c>
      <c r="R267" s="2" t="s">
        <v>3836</v>
      </c>
      <c r="S267" s="4">
        <v>45112</v>
      </c>
    </row>
    <row r="268" spans="1:19" ht="12.5" x14ac:dyDescent="0.25">
      <c r="A268" s="14" t="str">
        <f>HYPERLINK("https://gerandofalcoes.my.salesforce.com/0014X00002Yggo5QAB", "0014X00002Yggo5QAB")</f>
        <v>0014X00002Yggo5QAB</v>
      </c>
      <c r="B268" s="2" t="s">
        <v>3837</v>
      </c>
      <c r="C268" s="2" t="s">
        <v>423</v>
      </c>
      <c r="D268" s="2" t="s">
        <v>2</v>
      </c>
      <c r="E268" s="2">
        <v>33.99</v>
      </c>
      <c r="F268" s="2">
        <v>0</v>
      </c>
      <c r="G268" s="2">
        <v>3</v>
      </c>
      <c r="H268" s="2">
        <v>60000</v>
      </c>
      <c r="I268" s="2">
        <v>50</v>
      </c>
      <c r="J268" s="2" t="s">
        <v>1779</v>
      </c>
      <c r="K268" s="2">
        <v>38</v>
      </c>
      <c r="L268" s="2">
        <v>15</v>
      </c>
      <c r="M268" s="2">
        <v>0</v>
      </c>
      <c r="N268" s="2">
        <v>8</v>
      </c>
      <c r="O268" s="2">
        <v>10</v>
      </c>
      <c r="P268" s="2">
        <v>5</v>
      </c>
      <c r="Q268" s="2" t="s">
        <v>3838</v>
      </c>
      <c r="R268" s="2" t="s">
        <v>3839</v>
      </c>
      <c r="S268" s="4">
        <v>45112</v>
      </c>
    </row>
    <row r="269" spans="1:19" ht="12.5" x14ac:dyDescent="0.25">
      <c r="A269" s="14" t="str">
        <f>HYPERLINK("https://gerandofalcoes.my.salesforce.com/0014X00002VKCtjQAH", "0014X00002VKCtjQAH")</f>
        <v>0014X00002VKCtjQAH</v>
      </c>
      <c r="B269" s="2" t="s">
        <v>2144</v>
      </c>
      <c r="C269" s="2" t="s">
        <v>423</v>
      </c>
      <c r="D269" s="2" t="s">
        <v>2</v>
      </c>
      <c r="E269" s="2">
        <v>33.86</v>
      </c>
      <c r="F269" s="2">
        <v>0</v>
      </c>
      <c r="G269" s="2">
        <v>5</v>
      </c>
      <c r="H269" s="2">
        <v>120000</v>
      </c>
      <c r="I269" s="2">
        <v>100</v>
      </c>
      <c r="J269" s="2" t="s">
        <v>1671</v>
      </c>
      <c r="K269" s="2">
        <v>50</v>
      </c>
      <c r="L269" s="2">
        <v>15</v>
      </c>
      <c r="M269" s="2">
        <v>0</v>
      </c>
      <c r="N269" s="2">
        <v>10</v>
      </c>
      <c r="O269" s="2">
        <v>15</v>
      </c>
      <c r="P269" s="2">
        <v>10</v>
      </c>
      <c r="Q269" s="2" t="s">
        <v>2145</v>
      </c>
      <c r="R269" s="2" t="s">
        <v>2146</v>
      </c>
      <c r="S269" s="4">
        <v>44837</v>
      </c>
    </row>
    <row r="270" spans="1:19" ht="12.5" x14ac:dyDescent="0.25">
      <c r="A270" s="14" t="str">
        <f>HYPERLINK("https://gerandofalcoes.my.salesforce.com/0014P00003YSp9HQAT", "0014P00003YSp9HQAT")</f>
        <v>0014P00003YSp9HQAT</v>
      </c>
      <c r="B270" s="2" t="s">
        <v>2147</v>
      </c>
      <c r="C270" s="2" t="s">
        <v>423</v>
      </c>
      <c r="D270" s="2" t="s">
        <v>2</v>
      </c>
      <c r="E270" s="2">
        <v>33.74</v>
      </c>
      <c r="F270" s="2">
        <v>0</v>
      </c>
      <c r="G270" s="2">
        <v>2</v>
      </c>
      <c r="H270" s="2">
        <v>6435</v>
      </c>
      <c r="I270" s="2">
        <v>0</v>
      </c>
      <c r="J270" s="2" t="s">
        <v>1779</v>
      </c>
      <c r="K270" s="2">
        <v>26</v>
      </c>
      <c r="L270" s="2">
        <v>15</v>
      </c>
      <c r="M270" s="2">
        <v>0</v>
      </c>
      <c r="N270" s="2">
        <v>6</v>
      </c>
      <c r="O270" s="2">
        <v>5</v>
      </c>
      <c r="P270" s="2">
        <v>0</v>
      </c>
      <c r="Q270" s="2" t="s">
        <v>2148</v>
      </c>
      <c r="R270" s="2" t="s">
        <v>2149</v>
      </c>
      <c r="S270" s="4">
        <v>44837</v>
      </c>
    </row>
    <row r="271" spans="1:19" ht="12.5" x14ac:dyDescent="0.25">
      <c r="A271" s="14" t="str">
        <f>HYPERLINK("https://gerandofalcoes.my.salesforce.com/0014P00003AN2G2QAL", "0014P00003AN2G2QAL")</f>
        <v>0014P00003AN2G2QAL</v>
      </c>
      <c r="B271" s="2" t="s">
        <v>2150</v>
      </c>
      <c r="C271" s="2" t="s">
        <v>423</v>
      </c>
      <c r="D271" s="2" t="s">
        <v>2</v>
      </c>
      <c r="E271" s="2">
        <v>33.44</v>
      </c>
      <c r="F271" s="2">
        <v>10</v>
      </c>
      <c r="G271" s="2">
        <v>1</v>
      </c>
      <c r="H271" s="2">
        <v>30485954</v>
      </c>
      <c r="I271" s="2">
        <v>200</v>
      </c>
      <c r="J271" s="2" t="s">
        <v>1650</v>
      </c>
      <c r="K271" s="2">
        <v>66</v>
      </c>
      <c r="L271" s="2">
        <v>15</v>
      </c>
      <c r="M271" s="2">
        <v>10</v>
      </c>
      <c r="N271" s="2">
        <v>4</v>
      </c>
      <c r="O271" s="2">
        <v>25</v>
      </c>
      <c r="P271" s="2">
        <v>12</v>
      </c>
      <c r="Q271" s="2" t="s">
        <v>911</v>
      </c>
      <c r="R271" s="2" t="s">
        <v>2151</v>
      </c>
      <c r="S271" s="4">
        <v>44837</v>
      </c>
    </row>
    <row r="272" spans="1:19" ht="12.5" x14ac:dyDescent="0.25">
      <c r="A272" s="14" t="str">
        <f>HYPERLINK("https://gerandofalcoes.my.salesforce.com/0014X00002VKCpjQAH", "0014X00002VKCpjQAH")</f>
        <v>0014X00002VKCpjQAH</v>
      </c>
      <c r="B272" s="2" t="s">
        <v>2152</v>
      </c>
      <c r="C272" s="2" t="s">
        <v>423</v>
      </c>
      <c r="D272" s="2" t="s">
        <v>2</v>
      </c>
      <c r="E272" s="2">
        <v>33.44</v>
      </c>
      <c r="F272" s="2">
        <v>0</v>
      </c>
      <c r="G272" s="2">
        <v>2</v>
      </c>
      <c r="H272" s="2">
        <v>160028</v>
      </c>
      <c r="I272" s="2">
        <v>156</v>
      </c>
      <c r="J272" s="2" t="s">
        <v>1671</v>
      </c>
      <c r="K272" s="2">
        <v>48</v>
      </c>
      <c r="L272" s="2">
        <v>15</v>
      </c>
      <c r="M272" s="2">
        <v>0</v>
      </c>
      <c r="N272" s="2">
        <v>6</v>
      </c>
      <c r="O272" s="2">
        <v>15</v>
      </c>
      <c r="P272" s="2">
        <v>12</v>
      </c>
      <c r="Q272" s="2" t="s">
        <v>2153</v>
      </c>
      <c r="R272" s="2" t="s">
        <v>2154</v>
      </c>
      <c r="S272" s="4">
        <v>44837</v>
      </c>
    </row>
    <row r="273" spans="1:19" ht="12.5" x14ac:dyDescent="0.25">
      <c r="A273" s="14" t="str">
        <f>HYPERLINK("https://gerandofalcoes.my.salesforce.com/0014X00002VKCuAQAX", "0014X00002VKCuAQAX")</f>
        <v>0014X00002VKCuAQAX</v>
      </c>
      <c r="B273" s="2" t="s">
        <v>2155</v>
      </c>
      <c r="C273" s="2" t="s">
        <v>423</v>
      </c>
      <c r="D273" s="2" t="s">
        <v>2</v>
      </c>
      <c r="E273" s="2">
        <v>33.15</v>
      </c>
      <c r="F273" s="2">
        <v>0</v>
      </c>
      <c r="G273" s="2">
        <v>2</v>
      </c>
      <c r="H273" s="2">
        <v>25000</v>
      </c>
      <c r="I273" s="2">
        <v>25</v>
      </c>
      <c r="J273" s="2" t="s">
        <v>1779</v>
      </c>
      <c r="K273" s="2">
        <v>36</v>
      </c>
      <c r="L273" s="2">
        <v>15</v>
      </c>
      <c r="M273" s="2">
        <v>0</v>
      </c>
      <c r="N273" s="2">
        <v>6</v>
      </c>
      <c r="O273" s="2">
        <v>10</v>
      </c>
      <c r="P273" s="2">
        <v>5</v>
      </c>
      <c r="Q273" s="2" t="s">
        <v>2156</v>
      </c>
      <c r="R273" s="2" t="s">
        <v>2157</v>
      </c>
      <c r="S273" s="4">
        <v>44837</v>
      </c>
    </row>
    <row r="274" spans="1:19" ht="12.5" x14ac:dyDescent="0.25">
      <c r="A274" s="14" t="str">
        <f>HYPERLINK("https://gerandofalcoes.my.salesforce.com/0014X00002VKCu1QAH", "0014X00002VKCu1QAH")</f>
        <v>0014X00002VKCu1QAH</v>
      </c>
      <c r="B274" s="2" t="s">
        <v>2158</v>
      </c>
      <c r="C274" s="2" t="s">
        <v>1800</v>
      </c>
      <c r="D274" s="2" t="s">
        <v>2</v>
      </c>
      <c r="E274" s="2">
        <v>33</v>
      </c>
      <c r="F274" s="2">
        <v>0</v>
      </c>
      <c r="G274" s="2">
        <v>3</v>
      </c>
      <c r="H274" s="2">
        <v>10000</v>
      </c>
      <c r="I274" s="2">
        <v>3500</v>
      </c>
      <c r="J274" s="2" t="s">
        <v>1671</v>
      </c>
      <c r="K274" s="2">
        <v>48</v>
      </c>
      <c r="L274" s="2">
        <v>15</v>
      </c>
      <c r="M274" s="2">
        <v>0</v>
      </c>
      <c r="N274" s="2">
        <v>8</v>
      </c>
      <c r="O274" s="2">
        <v>5</v>
      </c>
      <c r="P274" s="2">
        <v>20</v>
      </c>
      <c r="Q274" s="2" t="s">
        <v>2159</v>
      </c>
      <c r="R274" s="2" t="s">
        <v>2160</v>
      </c>
      <c r="S274" s="4">
        <v>44837</v>
      </c>
    </row>
    <row r="275" spans="1:19" ht="12.5" x14ac:dyDescent="0.25">
      <c r="A275" s="14" t="str">
        <f>HYPERLINK("https://gerandofalcoes.my.salesforce.com/0014P00003YSp8uQAD", "0014P00003YSp8uQAD")</f>
        <v>0014P00003YSp8uQAD</v>
      </c>
      <c r="B275" s="2" t="s">
        <v>2161</v>
      </c>
      <c r="C275" s="2" t="s">
        <v>1800</v>
      </c>
      <c r="D275" s="2" t="s">
        <v>2</v>
      </c>
      <c r="E275" s="2">
        <v>33</v>
      </c>
      <c r="F275" s="2">
        <v>38</v>
      </c>
      <c r="G275" s="2">
        <v>3</v>
      </c>
      <c r="H275" s="2">
        <v>1726721</v>
      </c>
      <c r="I275" s="2">
        <v>1200</v>
      </c>
      <c r="J275" s="2" t="s">
        <v>1654</v>
      </c>
      <c r="K275" s="2">
        <v>83</v>
      </c>
      <c r="L275" s="2">
        <v>15</v>
      </c>
      <c r="M275" s="2">
        <v>15</v>
      </c>
      <c r="N275" s="2">
        <v>8</v>
      </c>
      <c r="O275" s="2">
        <v>25</v>
      </c>
      <c r="P275" s="2">
        <v>20</v>
      </c>
      <c r="Q275" s="2" t="s">
        <v>2162</v>
      </c>
      <c r="R275" s="2" t="s">
        <v>2163</v>
      </c>
      <c r="S275" s="4">
        <v>44837</v>
      </c>
    </row>
    <row r="276" spans="1:19" ht="12.5" x14ac:dyDescent="0.25">
      <c r="A276" s="14" t="str">
        <f>HYPERLINK("https://gerandofalcoes.my.salesforce.com/0014X00002VKCq1QAH", "0014X00002VKCq1QAH")</f>
        <v>0014X00002VKCq1QAH</v>
      </c>
      <c r="B276" s="2" t="s">
        <v>2164</v>
      </c>
      <c r="C276" s="2" t="s">
        <v>423</v>
      </c>
      <c r="D276" s="2" t="s">
        <v>2</v>
      </c>
      <c r="E276" s="2">
        <v>33</v>
      </c>
      <c r="F276" s="2">
        <v>0</v>
      </c>
      <c r="G276" s="2">
        <v>2</v>
      </c>
      <c r="H276" s="2">
        <v>5000</v>
      </c>
      <c r="I276" s="2">
        <v>250</v>
      </c>
      <c r="J276" s="2" t="s">
        <v>1779</v>
      </c>
      <c r="K276" s="2">
        <v>38</v>
      </c>
      <c r="L276" s="2">
        <v>15</v>
      </c>
      <c r="M276" s="2">
        <v>0</v>
      </c>
      <c r="N276" s="2">
        <v>6</v>
      </c>
      <c r="O276" s="2">
        <v>5</v>
      </c>
      <c r="P276" s="2">
        <v>12</v>
      </c>
      <c r="Q276" s="2" t="s">
        <v>2165</v>
      </c>
      <c r="R276" s="2" t="s">
        <v>2166</v>
      </c>
      <c r="S276" s="4">
        <v>44837</v>
      </c>
    </row>
    <row r="277" spans="1:19" ht="12.5" x14ac:dyDescent="0.25">
      <c r="A277" s="14" t="str">
        <f>HYPERLINK("https://gerandofalcoes.my.salesforce.com/0014P00003YSp8KQAT", "0014P00003YSp8KQAT")</f>
        <v>0014P00003YSp8KQAT</v>
      </c>
      <c r="B277" s="2" t="s">
        <v>2167</v>
      </c>
      <c r="C277" s="2" t="s">
        <v>1800</v>
      </c>
      <c r="D277" s="2" t="s">
        <v>2</v>
      </c>
      <c r="E277" s="2">
        <v>33</v>
      </c>
      <c r="F277" s="2">
        <v>2</v>
      </c>
      <c r="G277" s="2">
        <v>4</v>
      </c>
      <c r="H277" s="2">
        <v>400000</v>
      </c>
      <c r="I277" s="2">
        <v>250</v>
      </c>
      <c r="J277" s="2" t="s">
        <v>1671</v>
      </c>
      <c r="K277" s="2">
        <v>62</v>
      </c>
      <c r="L277" s="2">
        <v>15</v>
      </c>
      <c r="M277" s="2">
        <v>5</v>
      </c>
      <c r="N277" s="2">
        <v>10</v>
      </c>
      <c r="O277" s="2">
        <v>20</v>
      </c>
      <c r="P277" s="2">
        <v>12</v>
      </c>
      <c r="Q277" s="2" t="s">
        <v>2168</v>
      </c>
      <c r="R277" s="2" t="s">
        <v>2168</v>
      </c>
      <c r="S277" s="4">
        <v>44837</v>
      </c>
    </row>
    <row r="278" spans="1:19" ht="12.5" hidden="1" x14ac:dyDescent="0.25">
      <c r="A278" s="14" t="str">
        <f>HYPERLINK("https://gerandofalcoes.my.salesforce.com/0014P00003YSp7bQAD", "0014P00003YSp7bQAD")</f>
        <v>0014P00003YSp7bQAD</v>
      </c>
      <c r="B278" s="2" t="s">
        <v>2169</v>
      </c>
      <c r="C278" s="2" t="s">
        <v>1684</v>
      </c>
      <c r="D278" s="2" t="s">
        <v>2</v>
      </c>
      <c r="E278" s="2">
        <v>33</v>
      </c>
      <c r="F278" s="2">
        <v>40</v>
      </c>
      <c r="G278" s="2">
        <v>2</v>
      </c>
      <c r="H278" s="2">
        <v>50000</v>
      </c>
      <c r="I278" s="2">
        <v>150</v>
      </c>
      <c r="J278" s="2" t="s">
        <v>1671</v>
      </c>
      <c r="K278" s="2">
        <v>58</v>
      </c>
      <c r="L278" s="2">
        <v>15</v>
      </c>
      <c r="M278" s="2">
        <v>15</v>
      </c>
      <c r="N278" s="2">
        <v>6</v>
      </c>
      <c r="O278" s="2">
        <v>10</v>
      </c>
      <c r="P278" s="2">
        <v>12</v>
      </c>
      <c r="Q278" s="2" t="s">
        <v>2170</v>
      </c>
      <c r="R278" s="2" t="s">
        <v>2171</v>
      </c>
      <c r="S278" s="4">
        <v>44837</v>
      </c>
    </row>
    <row r="279" spans="1:19" ht="12.5" x14ac:dyDescent="0.25">
      <c r="A279" s="14" t="str">
        <f>HYPERLINK("https://gerandofalcoes.my.salesforce.com/0014X00002VKCu5QAH", "0014X00002VKCu5QAH")</f>
        <v>0014X00002VKCu5QAH</v>
      </c>
      <c r="B279" s="2" t="s">
        <v>2172</v>
      </c>
      <c r="C279" s="2" t="s">
        <v>423</v>
      </c>
      <c r="D279" s="2" t="s">
        <v>2</v>
      </c>
      <c r="E279" s="2">
        <v>33</v>
      </c>
      <c r="F279" s="2">
        <v>17</v>
      </c>
      <c r="G279" s="2">
        <v>1</v>
      </c>
      <c r="H279" s="2">
        <v>12000</v>
      </c>
      <c r="I279" s="2">
        <v>125</v>
      </c>
      <c r="J279" s="2" t="s">
        <v>1671</v>
      </c>
      <c r="K279" s="2">
        <v>46</v>
      </c>
      <c r="L279" s="2">
        <v>15</v>
      </c>
      <c r="M279" s="2">
        <v>12</v>
      </c>
      <c r="N279" s="2">
        <v>4</v>
      </c>
      <c r="O279" s="2">
        <v>5</v>
      </c>
      <c r="P279" s="2">
        <v>10</v>
      </c>
      <c r="Q279" s="2" t="s">
        <v>2173</v>
      </c>
      <c r="R279" s="2" t="s">
        <v>2174</v>
      </c>
      <c r="S279" s="4">
        <v>44837</v>
      </c>
    </row>
    <row r="280" spans="1:19" ht="12.5" x14ac:dyDescent="0.25">
      <c r="A280" s="14" t="str">
        <f>HYPERLINK("https://gerandofalcoes.my.salesforce.com/0014P00003YSp90QAD", "0014P00003YSp90QAD")</f>
        <v>0014P00003YSp90QAD</v>
      </c>
      <c r="B280" s="2" t="s">
        <v>2175</v>
      </c>
      <c r="C280" s="2" t="s">
        <v>1800</v>
      </c>
      <c r="D280" s="2" t="s">
        <v>2</v>
      </c>
      <c r="E280" s="2">
        <v>33</v>
      </c>
      <c r="F280" s="2">
        <v>41</v>
      </c>
      <c r="G280" s="2">
        <v>4</v>
      </c>
      <c r="H280" s="2">
        <v>0</v>
      </c>
      <c r="I280" s="2">
        <v>98</v>
      </c>
      <c r="J280" s="2" t="s">
        <v>1671</v>
      </c>
      <c r="K280" s="2">
        <v>50</v>
      </c>
      <c r="L280" s="2">
        <v>15</v>
      </c>
      <c r="M280" s="2">
        <v>15</v>
      </c>
      <c r="N280" s="2">
        <v>10</v>
      </c>
      <c r="O280" s="2">
        <v>0</v>
      </c>
      <c r="P280" s="2">
        <v>10</v>
      </c>
      <c r="Q280" s="2" t="s">
        <v>2176</v>
      </c>
      <c r="R280" s="2" t="s">
        <v>2177</v>
      </c>
      <c r="S280" s="4">
        <v>44837</v>
      </c>
    </row>
    <row r="281" spans="1:19" ht="12.5" hidden="1" x14ac:dyDescent="0.25">
      <c r="A281" s="14" t="str">
        <f>HYPERLINK("https://gerandofalcoes.my.salesforce.com/0014P00003YSp8FQAT", "0014P00003YSp8FQAT")</f>
        <v>0014P00003YSp8FQAT</v>
      </c>
      <c r="B281" s="2" t="s">
        <v>2178</v>
      </c>
      <c r="C281" s="2" t="s">
        <v>1684</v>
      </c>
      <c r="D281" s="2" t="s">
        <v>2</v>
      </c>
      <c r="E281" s="2">
        <v>33</v>
      </c>
      <c r="F281" s="2">
        <v>10</v>
      </c>
      <c r="G281" s="2">
        <v>0</v>
      </c>
      <c r="H281" s="2">
        <v>0</v>
      </c>
      <c r="I281" s="2">
        <v>60</v>
      </c>
      <c r="J281" s="2" t="s">
        <v>1779</v>
      </c>
      <c r="K281" s="2">
        <v>30</v>
      </c>
      <c r="L281" s="2">
        <v>15</v>
      </c>
      <c r="M281" s="2">
        <v>10</v>
      </c>
      <c r="N281" s="2">
        <v>0</v>
      </c>
      <c r="O281" s="2">
        <v>0</v>
      </c>
      <c r="P281" s="2">
        <v>5</v>
      </c>
      <c r="Q281" s="2" t="s">
        <v>2179</v>
      </c>
      <c r="R281" s="2" t="s">
        <v>2179</v>
      </c>
      <c r="S281" s="4">
        <v>44837</v>
      </c>
    </row>
    <row r="282" spans="1:19" ht="12.5" x14ac:dyDescent="0.25">
      <c r="A282" s="14" t="str">
        <f>HYPERLINK("https://gerandofalcoes.my.salesforce.com/0014X00002VKCrTQAX", "0014X00002VKCrTQAX")</f>
        <v>0014X00002VKCrTQAX</v>
      </c>
      <c r="B282" s="2" t="s">
        <v>2180</v>
      </c>
      <c r="C282" s="2" t="s">
        <v>423</v>
      </c>
      <c r="D282" s="2" t="s">
        <v>2</v>
      </c>
      <c r="E282" s="2">
        <v>33</v>
      </c>
      <c r="F282" s="2">
        <v>0</v>
      </c>
      <c r="G282" s="2">
        <v>5</v>
      </c>
      <c r="H282" s="2">
        <v>0</v>
      </c>
      <c r="I282" s="2">
        <v>40</v>
      </c>
      <c r="J282" s="2" t="s">
        <v>1779</v>
      </c>
      <c r="K282" s="2">
        <v>30</v>
      </c>
      <c r="L282" s="2">
        <v>15</v>
      </c>
      <c r="M282" s="2">
        <v>0</v>
      </c>
      <c r="N282" s="2">
        <v>10</v>
      </c>
      <c r="O282" s="2">
        <v>0</v>
      </c>
      <c r="P282" s="2">
        <v>5</v>
      </c>
      <c r="Q282" s="2" t="s">
        <v>2181</v>
      </c>
      <c r="R282" s="2" t="s">
        <v>2181</v>
      </c>
      <c r="S282" s="4">
        <v>44837</v>
      </c>
    </row>
    <row r="283" spans="1:19" ht="12.5" x14ac:dyDescent="0.25">
      <c r="A283" s="14" t="str">
        <f>HYPERLINK("https://gerandofalcoes.my.salesforce.com/0014X00002VKCpCQAX", "0014X00002VKCpCQAX")</f>
        <v>0014X00002VKCpCQAX</v>
      </c>
      <c r="B283" s="2" t="s">
        <v>2182</v>
      </c>
      <c r="C283" s="2" t="s">
        <v>423</v>
      </c>
      <c r="D283" s="2" t="s">
        <v>2</v>
      </c>
      <c r="E283" s="2">
        <v>33</v>
      </c>
      <c r="F283" s="2">
        <v>0</v>
      </c>
      <c r="G283" s="2">
        <v>0</v>
      </c>
      <c r="H283" s="2">
        <v>0</v>
      </c>
      <c r="I283" s="2">
        <v>30</v>
      </c>
      <c r="J283" s="2" t="s">
        <v>1779</v>
      </c>
      <c r="K283" s="2">
        <v>20</v>
      </c>
      <c r="L283" s="2">
        <v>15</v>
      </c>
      <c r="M283" s="2">
        <v>0</v>
      </c>
      <c r="N283" s="2">
        <v>0</v>
      </c>
      <c r="O283" s="2">
        <v>0</v>
      </c>
      <c r="P283" s="2">
        <v>5</v>
      </c>
      <c r="Q283" s="2" t="s">
        <v>2183</v>
      </c>
      <c r="R283" s="2" t="s">
        <v>2184</v>
      </c>
      <c r="S283" s="4">
        <v>44837</v>
      </c>
    </row>
    <row r="284" spans="1:19" ht="12.5" x14ac:dyDescent="0.25">
      <c r="A284" s="14" t="str">
        <f>HYPERLINK("https://gerandofalcoes.my.salesforce.com/0014X00002VKCpNQAX", "0014X00002VKCpNQAX")</f>
        <v>0014X00002VKCpNQAX</v>
      </c>
      <c r="B284" s="2" t="s">
        <v>2185</v>
      </c>
      <c r="C284" s="2" t="s">
        <v>1800</v>
      </c>
      <c r="D284" s="2" t="s">
        <v>2</v>
      </c>
      <c r="E284" s="2">
        <v>33</v>
      </c>
      <c r="F284" s="2">
        <v>0</v>
      </c>
      <c r="G284" s="2">
        <v>4</v>
      </c>
      <c r="H284" s="2">
        <v>800</v>
      </c>
      <c r="I284" s="2">
        <v>25</v>
      </c>
      <c r="J284" s="2" t="s">
        <v>1779</v>
      </c>
      <c r="K284" s="2">
        <v>35</v>
      </c>
      <c r="L284" s="2">
        <v>15</v>
      </c>
      <c r="M284" s="2">
        <v>0</v>
      </c>
      <c r="N284" s="2">
        <v>10</v>
      </c>
      <c r="O284" s="2">
        <v>5</v>
      </c>
      <c r="P284" s="2">
        <v>5</v>
      </c>
      <c r="Q284" s="2" t="s">
        <v>2186</v>
      </c>
      <c r="R284" s="2" t="s">
        <v>2187</v>
      </c>
      <c r="S284" s="4">
        <v>44837</v>
      </c>
    </row>
    <row r="285" spans="1:19" ht="12.5" x14ac:dyDescent="0.25">
      <c r="A285" s="14" t="str">
        <f>HYPERLINK("https://gerandofalcoes.my.salesforce.com/0014X00002VKCtHQAX", "0014X00002VKCtHQAX")</f>
        <v>0014X00002VKCtHQAX</v>
      </c>
      <c r="B285" s="2" t="s">
        <v>2188</v>
      </c>
      <c r="C285" s="2" t="s">
        <v>423</v>
      </c>
      <c r="D285" s="2" t="s">
        <v>2</v>
      </c>
      <c r="E285" s="2">
        <v>33</v>
      </c>
      <c r="F285" s="2">
        <v>0</v>
      </c>
      <c r="G285" s="2">
        <v>3</v>
      </c>
      <c r="H285" s="2">
        <v>3000</v>
      </c>
      <c r="I285" s="2">
        <v>0</v>
      </c>
      <c r="J285" s="2" t="s">
        <v>1779</v>
      </c>
      <c r="K285" s="2">
        <v>28</v>
      </c>
      <c r="L285" s="2">
        <v>15</v>
      </c>
      <c r="M285" s="2">
        <v>0</v>
      </c>
      <c r="N285" s="2">
        <v>8</v>
      </c>
      <c r="O285" s="2">
        <v>5</v>
      </c>
      <c r="P285" s="2">
        <v>0</v>
      </c>
      <c r="Q285" s="2" t="s">
        <v>2189</v>
      </c>
      <c r="R285" s="2" t="s">
        <v>2190</v>
      </c>
      <c r="S285" s="4">
        <v>44837</v>
      </c>
    </row>
    <row r="286" spans="1:19" ht="12.5" hidden="1" x14ac:dyDescent="0.25">
      <c r="A286" s="14" t="str">
        <f>HYPERLINK("https://gerandofalcoes.my.salesforce.com/0014P00003YSpAFQA1", "0014P00003YSpAFQA1")</f>
        <v>0014P00003YSpAFQA1</v>
      </c>
      <c r="B286" s="2" t="s">
        <v>2191</v>
      </c>
      <c r="C286" s="2" t="s">
        <v>1684</v>
      </c>
      <c r="D286" s="2" t="s">
        <v>2</v>
      </c>
      <c r="E286" s="2">
        <v>33</v>
      </c>
      <c r="F286" s="2">
        <v>3</v>
      </c>
      <c r="G286" s="2">
        <v>0</v>
      </c>
      <c r="H286" s="2">
        <v>0</v>
      </c>
      <c r="I286" s="2">
        <v>0</v>
      </c>
      <c r="J286" s="2" t="s">
        <v>1779</v>
      </c>
      <c r="K286" s="2">
        <v>20</v>
      </c>
      <c r="L286" s="2">
        <v>15</v>
      </c>
      <c r="M286" s="2">
        <v>5</v>
      </c>
      <c r="N286" s="2">
        <v>0</v>
      </c>
      <c r="O286" s="2">
        <v>0</v>
      </c>
      <c r="P286" s="2">
        <v>0</v>
      </c>
      <c r="Q286" s="2" t="s">
        <v>2192</v>
      </c>
      <c r="R286" s="2" t="s">
        <v>2193</v>
      </c>
      <c r="S286" s="4">
        <v>44837</v>
      </c>
    </row>
    <row r="287" spans="1:19" ht="12.5" x14ac:dyDescent="0.25">
      <c r="A287" s="14" t="str">
        <f>HYPERLINK("https://gerandofalcoes.my.salesforce.com/0014P00003YSp9TQAT", "0014P00003YSp9TQAT")</f>
        <v>0014P00003YSp9TQAT</v>
      </c>
      <c r="B287" s="2" t="s">
        <v>2194</v>
      </c>
      <c r="C287" s="2" t="s">
        <v>423</v>
      </c>
      <c r="D287" s="2" t="s">
        <v>2</v>
      </c>
      <c r="E287" s="2">
        <v>33</v>
      </c>
      <c r="F287" s="2">
        <v>0</v>
      </c>
      <c r="G287" s="2">
        <v>3</v>
      </c>
      <c r="H287" s="2">
        <v>55000</v>
      </c>
      <c r="I287" s="2">
        <v>0</v>
      </c>
      <c r="J287" s="2" t="s">
        <v>1779</v>
      </c>
      <c r="K287" s="2">
        <v>33</v>
      </c>
      <c r="L287" s="2">
        <v>15</v>
      </c>
      <c r="M287" s="2">
        <v>0</v>
      </c>
      <c r="N287" s="2">
        <v>8</v>
      </c>
      <c r="O287" s="2">
        <v>10</v>
      </c>
      <c r="P287" s="2">
        <v>0</v>
      </c>
      <c r="Q287" s="2" t="s">
        <v>2195</v>
      </c>
      <c r="R287" s="2" t="s">
        <v>2196</v>
      </c>
      <c r="S287" s="4">
        <v>44837</v>
      </c>
    </row>
    <row r="288" spans="1:19" ht="12.5" x14ac:dyDescent="0.25">
      <c r="A288" s="14" t="str">
        <f>HYPERLINK("https://gerandofalcoes.my.salesforce.com/0014X00002VKCqSQAX", "0014X00002VKCqSQAX")</f>
        <v>0014X00002VKCqSQAX</v>
      </c>
      <c r="B288" s="2" t="s">
        <v>2197</v>
      </c>
      <c r="C288" s="2" t="s">
        <v>1800</v>
      </c>
      <c r="D288" s="2" t="s">
        <v>2</v>
      </c>
      <c r="E288" s="2">
        <v>33</v>
      </c>
      <c r="F288" s="2">
        <v>0</v>
      </c>
      <c r="G288" s="2">
        <v>3</v>
      </c>
      <c r="H288" s="2">
        <v>2160</v>
      </c>
      <c r="I288" s="2">
        <v>0</v>
      </c>
      <c r="J288" s="2" t="s">
        <v>1779</v>
      </c>
      <c r="K288" s="2">
        <v>28</v>
      </c>
      <c r="L288" s="2">
        <v>15</v>
      </c>
      <c r="M288" s="2">
        <v>0</v>
      </c>
      <c r="N288" s="2">
        <v>8</v>
      </c>
      <c r="O288" s="2">
        <v>5</v>
      </c>
      <c r="P288" s="2">
        <v>0</v>
      </c>
      <c r="Q288" s="2" t="s">
        <v>2198</v>
      </c>
      <c r="R288" s="2" t="s">
        <v>2199</v>
      </c>
      <c r="S288" s="4">
        <v>44837</v>
      </c>
    </row>
    <row r="289" spans="1:19" ht="12.5" x14ac:dyDescent="0.25">
      <c r="A289" s="14" t="str">
        <f>HYPERLINK("https://gerandofalcoes.my.salesforce.com/0014X00002VKCtkQAH", "0014X00002VKCtkQAH")</f>
        <v>0014X00002VKCtkQAH</v>
      </c>
      <c r="B289" s="2" t="s">
        <v>2200</v>
      </c>
      <c r="C289" s="2" t="s">
        <v>423</v>
      </c>
      <c r="D289" s="2" t="s">
        <v>2</v>
      </c>
      <c r="E289" s="2">
        <v>32.909999999999997</v>
      </c>
      <c r="F289" s="2">
        <v>14</v>
      </c>
      <c r="G289" s="2">
        <v>0</v>
      </c>
      <c r="H289" s="2">
        <v>345000</v>
      </c>
      <c r="I289" s="2">
        <v>300</v>
      </c>
      <c r="J289" s="2" t="s">
        <v>1671</v>
      </c>
      <c r="K289" s="2">
        <v>62</v>
      </c>
      <c r="L289" s="2">
        <v>15</v>
      </c>
      <c r="M289" s="2">
        <v>12</v>
      </c>
      <c r="N289" s="2">
        <v>0</v>
      </c>
      <c r="O289" s="2">
        <v>20</v>
      </c>
      <c r="P289" s="2">
        <v>15</v>
      </c>
      <c r="Q289" s="2" t="s">
        <v>2201</v>
      </c>
      <c r="R289" s="2" t="s">
        <v>2202</v>
      </c>
      <c r="S289" s="4">
        <v>44837</v>
      </c>
    </row>
    <row r="290" spans="1:19" ht="12.5" x14ac:dyDescent="0.25">
      <c r="A290" s="14" t="str">
        <f>HYPERLINK("https://gerandofalcoes.my.salesforce.com/0014X00002YgglRQAR", "0014X00002YgglRQAR")</f>
        <v>0014X00002YgglRQAR</v>
      </c>
      <c r="B290" s="2" t="s">
        <v>3305</v>
      </c>
      <c r="C290" s="2" t="s">
        <v>423</v>
      </c>
      <c r="D290" s="2" t="s">
        <v>2</v>
      </c>
      <c r="E290" s="2">
        <v>32.869999999999997</v>
      </c>
      <c r="F290" s="2">
        <v>8</v>
      </c>
      <c r="G290" s="2">
        <v>2</v>
      </c>
      <c r="H290" s="2">
        <v>20000</v>
      </c>
      <c r="I290" s="2">
        <v>120</v>
      </c>
      <c r="J290" s="2" t="s">
        <v>1671</v>
      </c>
      <c r="K290" s="2">
        <v>46</v>
      </c>
      <c r="L290" s="2">
        <v>15</v>
      </c>
      <c r="M290" s="2">
        <v>10</v>
      </c>
      <c r="N290" s="2">
        <v>6</v>
      </c>
      <c r="O290" s="2">
        <v>5</v>
      </c>
      <c r="P290" s="2">
        <v>10</v>
      </c>
      <c r="Q290" s="2" t="s">
        <v>3306</v>
      </c>
      <c r="R290" s="2" t="s">
        <v>3307</v>
      </c>
      <c r="S290" s="4">
        <v>44953</v>
      </c>
    </row>
    <row r="291" spans="1:19" ht="12.5" x14ac:dyDescent="0.25">
      <c r="A291" s="14" t="str">
        <f>HYPERLINK("https://gerandofalcoes.my.salesforce.com/0014X00002YggqVQAR", "0014X00002YggqVQAR")</f>
        <v>0014X00002YggqVQAR</v>
      </c>
      <c r="B291" s="2" t="s">
        <v>3013</v>
      </c>
      <c r="C291" s="2" t="s">
        <v>423</v>
      </c>
      <c r="D291" s="2" t="s">
        <v>2</v>
      </c>
      <c r="E291" s="2">
        <v>32.76</v>
      </c>
      <c r="F291" s="2">
        <v>1</v>
      </c>
      <c r="G291" s="2">
        <v>3</v>
      </c>
      <c r="H291" s="2">
        <v>12000</v>
      </c>
      <c r="I291" s="2">
        <v>40</v>
      </c>
      <c r="J291" s="2" t="s">
        <v>1779</v>
      </c>
      <c r="K291" s="2">
        <v>38</v>
      </c>
      <c r="L291" s="2">
        <v>15</v>
      </c>
      <c r="M291" s="2">
        <v>5</v>
      </c>
      <c r="N291" s="2">
        <v>8</v>
      </c>
      <c r="O291" s="2">
        <v>5</v>
      </c>
      <c r="P291" s="2">
        <v>5</v>
      </c>
      <c r="Q291" s="2" t="s">
        <v>3014</v>
      </c>
      <c r="R291" s="2" t="s">
        <v>3015</v>
      </c>
      <c r="S291" s="4">
        <v>44945</v>
      </c>
    </row>
    <row r="292" spans="1:19" ht="12.5" x14ac:dyDescent="0.25">
      <c r="A292" s="14" t="str">
        <f>HYPERLINK("https://gerandofalcoes.my.salesforce.com/0014P00003YSp9YQAT", "0014P00003YSp9YQAT")</f>
        <v>0014P00003YSp9YQAT</v>
      </c>
      <c r="B292" s="2" t="s">
        <v>2203</v>
      </c>
      <c r="C292" s="2" t="s">
        <v>423</v>
      </c>
      <c r="D292" s="2" t="s">
        <v>2</v>
      </c>
      <c r="E292" s="2">
        <v>32.74</v>
      </c>
      <c r="F292" s="2">
        <v>0</v>
      </c>
      <c r="G292" s="2">
        <v>2</v>
      </c>
      <c r="H292" s="2">
        <v>25822</v>
      </c>
      <c r="I292" s="2">
        <v>300</v>
      </c>
      <c r="J292" s="2" t="s">
        <v>1671</v>
      </c>
      <c r="K292" s="2">
        <v>46</v>
      </c>
      <c r="L292" s="2">
        <v>15</v>
      </c>
      <c r="M292" s="2">
        <v>0</v>
      </c>
      <c r="N292" s="2">
        <v>6</v>
      </c>
      <c r="O292" s="2">
        <v>10</v>
      </c>
      <c r="P292" s="2">
        <v>15</v>
      </c>
      <c r="Q292" s="2" t="s">
        <v>2204</v>
      </c>
      <c r="R292" s="2" t="s">
        <v>2204</v>
      </c>
      <c r="S292" s="4">
        <v>44837</v>
      </c>
    </row>
    <row r="293" spans="1:19" ht="12.5" x14ac:dyDescent="0.25">
      <c r="A293" s="14" t="str">
        <f>HYPERLINK("https://gerandofalcoes.my.salesforce.com/0014X00002VKCutQAH", "0014X00002VKCutQAH")</f>
        <v>0014X00002VKCutQAH</v>
      </c>
      <c r="B293" s="2" t="s">
        <v>2205</v>
      </c>
      <c r="C293" s="2" t="s">
        <v>423</v>
      </c>
      <c r="D293" s="2" t="s">
        <v>2</v>
      </c>
      <c r="E293" s="2">
        <v>32.54</v>
      </c>
      <c r="F293" s="2">
        <v>8</v>
      </c>
      <c r="G293" s="2">
        <v>3</v>
      </c>
      <c r="H293" s="2">
        <v>60000</v>
      </c>
      <c r="I293" s="2">
        <v>120</v>
      </c>
      <c r="J293" s="2" t="s">
        <v>1671</v>
      </c>
      <c r="K293" s="2">
        <v>53</v>
      </c>
      <c r="L293" s="2">
        <v>15</v>
      </c>
      <c r="M293" s="2">
        <v>10</v>
      </c>
      <c r="N293" s="2">
        <v>8</v>
      </c>
      <c r="O293" s="2">
        <v>10</v>
      </c>
      <c r="P293" s="2">
        <v>10</v>
      </c>
      <c r="Q293" s="2" t="s">
        <v>2206</v>
      </c>
      <c r="R293" s="2" t="s">
        <v>2207</v>
      </c>
      <c r="S293" s="4">
        <v>44837</v>
      </c>
    </row>
    <row r="294" spans="1:19" ht="12.5" x14ac:dyDescent="0.25">
      <c r="A294" s="14" t="str">
        <f>HYPERLINK("https://gerandofalcoes.my.salesforce.com/0014P00003YSp9RQAT", "0014P00003YSp9RQAT")</f>
        <v>0014P00003YSp9RQAT</v>
      </c>
      <c r="B294" s="2" t="s">
        <v>2208</v>
      </c>
      <c r="C294" s="2" t="s">
        <v>1800</v>
      </c>
      <c r="D294" s="2" t="s">
        <v>2</v>
      </c>
      <c r="E294" s="2">
        <v>32</v>
      </c>
      <c r="F294" s="2">
        <v>0</v>
      </c>
      <c r="G294" s="2">
        <v>4</v>
      </c>
      <c r="H294" s="2">
        <v>45000</v>
      </c>
      <c r="I294" s="2">
        <v>1700</v>
      </c>
      <c r="J294" s="2" t="s">
        <v>1671</v>
      </c>
      <c r="K294" s="2">
        <v>55</v>
      </c>
      <c r="L294" s="2">
        <v>15</v>
      </c>
      <c r="M294" s="2">
        <v>0</v>
      </c>
      <c r="N294" s="2">
        <v>10</v>
      </c>
      <c r="O294" s="2">
        <v>10</v>
      </c>
      <c r="P294" s="2">
        <v>20</v>
      </c>
      <c r="Q294" s="2" t="s">
        <v>2209</v>
      </c>
      <c r="R294" s="2" t="s">
        <v>2210</v>
      </c>
      <c r="S294" s="4">
        <v>44837</v>
      </c>
    </row>
    <row r="295" spans="1:19" ht="12.5" x14ac:dyDescent="0.25">
      <c r="A295" s="14" t="str">
        <f>HYPERLINK("https://gerandofalcoes.my.salesforce.com/0014X00002VKCsWQAX", "0014X00002VKCsWQAX")</f>
        <v>0014X00002VKCsWQAX</v>
      </c>
      <c r="B295" s="2" t="s">
        <v>2211</v>
      </c>
      <c r="C295" s="2" t="s">
        <v>423</v>
      </c>
      <c r="D295" s="2" t="s">
        <v>2</v>
      </c>
      <c r="E295" s="2">
        <v>32</v>
      </c>
      <c r="F295" s="2">
        <v>3</v>
      </c>
      <c r="G295" s="2">
        <v>2</v>
      </c>
      <c r="H295" s="2">
        <v>1000</v>
      </c>
      <c r="I295" s="2">
        <v>1200</v>
      </c>
      <c r="J295" s="2" t="s">
        <v>1671</v>
      </c>
      <c r="K295" s="2">
        <v>51</v>
      </c>
      <c r="L295" s="2">
        <v>15</v>
      </c>
      <c r="M295" s="2">
        <v>5</v>
      </c>
      <c r="N295" s="2">
        <v>6</v>
      </c>
      <c r="O295" s="2">
        <v>5</v>
      </c>
      <c r="P295" s="2">
        <v>20</v>
      </c>
      <c r="Q295" s="2" t="s">
        <v>2212</v>
      </c>
      <c r="R295" s="2" t="s">
        <v>2213</v>
      </c>
      <c r="S295" s="4">
        <v>44837</v>
      </c>
    </row>
    <row r="296" spans="1:19" ht="12.5" x14ac:dyDescent="0.25">
      <c r="A296" s="14" t="str">
        <f>HYPERLINK("https://gerandofalcoes.my.salesforce.com/0014P00003YSp8GQAT", "0014P00003YSp8GQAT")</f>
        <v>0014P00003YSp8GQAT</v>
      </c>
      <c r="B296" s="2" t="s">
        <v>2214</v>
      </c>
      <c r="C296" s="2" t="s">
        <v>1800</v>
      </c>
      <c r="D296" s="2" t="s">
        <v>2</v>
      </c>
      <c r="E296" s="2">
        <v>32</v>
      </c>
      <c r="F296" s="2">
        <v>1</v>
      </c>
      <c r="G296" s="2">
        <v>2</v>
      </c>
      <c r="H296" s="2">
        <v>0</v>
      </c>
      <c r="I296" s="2">
        <v>600</v>
      </c>
      <c r="J296" s="2" t="s">
        <v>1671</v>
      </c>
      <c r="K296" s="2">
        <v>46</v>
      </c>
      <c r="L296" s="2">
        <v>15</v>
      </c>
      <c r="M296" s="2">
        <v>5</v>
      </c>
      <c r="N296" s="2">
        <v>6</v>
      </c>
      <c r="O296" s="2">
        <v>0</v>
      </c>
      <c r="P296" s="2">
        <v>20</v>
      </c>
      <c r="Q296" s="2" t="s">
        <v>2215</v>
      </c>
      <c r="R296" s="2" t="s">
        <v>2216</v>
      </c>
      <c r="S296" s="4">
        <v>44837</v>
      </c>
    </row>
    <row r="297" spans="1:19" ht="12.5" x14ac:dyDescent="0.25">
      <c r="A297" s="14" t="str">
        <f>HYPERLINK("https://gerandofalcoes.my.salesforce.com/0014X00002VKCuIQAX", "0014X00002VKCuIQAX")</f>
        <v>0014X00002VKCuIQAX</v>
      </c>
      <c r="B297" s="2" t="s">
        <v>2217</v>
      </c>
      <c r="C297" s="2" t="s">
        <v>423</v>
      </c>
      <c r="D297" s="2" t="s">
        <v>2</v>
      </c>
      <c r="E297" s="2">
        <v>32</v>
      </c>
      <c r="F297" s="2">
        <v>0</v>
      </c>
      <c r="G297" s="2">
        <v>2</v>
      </c>
      <c r="H297" s="2">
        <v>10000</v>
      </c>
      <c r="I297" s="2">
        <v>300</v>
      </c>
      <c r="J297" s="2" t="s">
        <v>1671</v>
      </c>
      <c r="K297" s="2">
        <v>41</v>
      </c>
      <c r="L297" s="2">
        <v>15</v>
      </c>
      <c r="M297" s="2">
        <v>0</v>
      </c>
      <c r="N297" s="2">
        <v>6</v>
      </c>
      <c r="O297" s="2">
        <v>5</v>
      </c>
      <c r="P297" s="2">
        <v>15</v>
      </c>
      <c r="Q297" s="2" t="s">
        <v>2218</v>
      </c>
      <c r="R297" s="2" t="s">
        <v>2219</v>
      </c>
      <c r="S297" s="4">
        <v>44837</v>
      </c>
    </row>
    <row r="298" spans="1:19" ht="12.5" x14ac:dyDescent="0.25">
      <c r="A298" s="14" t="str">
        <f>HYPERLINK("https://gerandofalcoes.my.salesforce.com/0014X00002OEualQAD", "0014X00002OEualQAD")</f>
        <v>0014X00002OEualQAD</v>
      </c>
      <c r="B298" s="2" t="s">
        <v>2220</v>
      </c>
      <c r="C298" s="2" t="s">
        <v>1800</v>
      </c>
      <c r="D298" s="2" t="s">
        <v>2</v>
      </c>
      <c r="E298" s="2">
        <v>32</v>
      </c>
      <c r="F298" s="2">
        <v>2</v>
      </c>
      <c r="G298" s="2">
        <v>3</v>
      </c>
      <c r="H298" s="2">
        <v>40000</v>
      </c>
      <c r="I298" s="2">
        <v>80</v>
      </c>
      <c r="J298" s="2" t="s">
        <v>1671</v>
      </c>
      <c r="K298" s="2">
        <v>48</v>
      </c>
      <c r="L298" s="2">
        <v>15</v>
      </c>
      <c r="M298" s="2">
        <v>5</v>
      </c>
      <c r="N298" s="2">
        <v>8</v>
      </c>
      <c r="O298" s="2">
        <v>10</v>
      </c>
      <c r="P298" s="2">
        <v>10</v>
      </c>
      <c r="Q298" s="2" t="s">
        <v>2221</v>
      </c>
      <c r="R298" s="2" t="s">
        <v>2222</v>
      </c>
      <c r="S298" s="4">
        <v>44837</v>
      </c>
    </row>
    <row r="299" spans="1:19" ht="12.5" x14ac:dyDescent="0.25">
      <c r="A299" s="14" t="str">
        <f>HYPERLINK("https://gerandofalcoes.my.salesforce.com/0014X00002VKCp1QAH", "0014X00002VKCp1QAH")</f>
        <v>0014X00002VKCp1QAH</v>
      </c>
      <c r="B299" s="2" t="s">
        <v>2223</v>
      </c>
      <c r="C299" s="2" t="s">
        <v>423</v>
      </c>
      <c r="D299" s="2" t="s">
        <v>2</v>
      </c>
      <c r="E299" s="2">
        <v>32</v>
      </c>
      <c r="F299" s="2">
        <v>5</v>
      </c>
      <c r="G299" s="2">
        <v>9</v>
      </c>
      <c r="H299" s="2">
        <v>12000</v>
      </c>
      <c r="I299" s="2">
        <v>60</v>
      </c>
      <c r="J299" s="2" t="s">
        <v>1671</v>
      </c>
      <c r="K299" s="2">
        <v>40</v>
      </c>
      <c r="L299" s="2">
        <v>15</v>
      </c>
      <c r="M299" s="2">
        <v>5</v>
      </c>
      <c r="N299" s="2">
        <v>10</v>
      </c>
      <c r="O299" s="2">
        <v>5</v>
      </c>
      <c r="P299" s="2">
        <v>5</v>
      </c>
      <c r="Q299" s="2" t="s">
        <v>2224</v>
      </c>
      <c r="R299" s="2" t="s">
        <v>2224</v>
      </c>
      <c r="S299" s="4">
        <v>44837</v>
      </c>
    </row>
    <row r="300" spans="1:19" ht="12.5" x14ac:dyDescent="0.25">
      <c r="A300" s="14" t="str">
        <f>HYPERLINK("https://gerandofalcoes.my.salesforce.com/0014P00003YSp7kQAD", "0014P00003YSp7kQAD")</f>
        <v>0014P00003YSp7kQAD</v>
      </c>
      <c r="B300" s="2" t="s">
        <v>2225</v>
      </c>
      <c r="C300" s="2" t="s">
        <v>1800</v>
      </c>
      <c r="D300" s="2" t="s">
        <v>2</v>
      </c>
      <c r="E300" s="2">
        <v>32</v>
      </c>
      <c r="F300" s="2">
        <v>0</v>
      </c>
      <c r="G300" s="2">
        <v>2</v>
      </c>
      <c r="H300" s="2">
        <v>0</v>
      </c>
      <c r="I300" s="2">
        <v>17</v>
      </c>
      <c r="J300" s="2" t="s">
        <v>1779</v>
      </c>
      <c r="K300" s="2">
        <v>26</v>
      </c>
      <c r="L300" s="2">
        <v>15</v>
      </c>
      <c r="M300" s="2">
        <v>0</v>
      </c>
      <c r="N300" s="2">
        <v>6</v>
      </c>
      <c r="O300" s="2">
        <v>0</v>
      </c>
      <c r="P300" s="2">
        <v>5</v>
      </c>
      <c r="Q300" s="2" t="s">
        <v>2226</v>
      </c>
      <c r="R300" s="2" t="s">
        <v>2227</v>
      </c>
      <c r="S300" s="4">
        <v>44837</v>
      </c>
    </row>
    <row r="301" spans="1:19" ht="12.5" x14ac:dyDescent="0.25">
      <c r="A301" s="14" t="str">
        <f>HYPERLINK("https://gerandofalcoes.my.salesforce.com/0014X00002YggouQAB", "0014X00002YggouQAB")</f>
        <v>0014X00002YggouQAB</v>
      </c>
      <c r="B301" s="2" t="s">
        <v>3176</v>
      </c>
      <c r="C301" s="2" t="s">
        <v>423</v>
      </c>
      <c r="D301" s="2" t="s">
        <v>2</v>
      </c>
      <c r="E301" s="2">
        <v>31.94</v>
      </c>
      <c r="F301" s="2">
        <v>0</v>
      </c>
      <c r="G301" s="2">
        <v>2</v>
      </c>
      <c r="H301" s="2">
        <v>15000</v>
      </c>
      <c r="I301" s="2">
        <v>100</v>
      </c>
      <c r="J301" s="2" t="s">
        <v>1779</v>
      </c>
      <c r="K301" s="2">
        <v>36</v>
      </c>
      <c r="L301" s="2">
        <v>15</v>
      </c>
      <c r="M301" s="2">
        <v>0</v>
      </c>
      <c r="N301" s="2">
        <v>6</v>
      </c>
      <c r="O301" s="2">
        <v>5</v>
      </c>
      <c r="P301" s="2">
        <v>10</v>
      </c>
      <c r="Q301" s="2" t="s">
        <v>3177</v>
      </c>
      <c r="R301" s="2" t="s">
        <v>3178</v>
      </c>
      <c r="S301" s="4">
        <v>44951</v>
      </c>
    </row>
    <row r="302" spans="1:19" ht="12.5" x14ac:dyDescent="0.25">
      <c r="A302" s="14" t="str">
        <f>HYPERLINK("https://gerandofalcoes.my.salesforce.com/0014P00003AN2GBQA1", "0014P00003AN2GBQA1")</f>
        <v>0014P00003AN2GBQA1</v>
      </c>
      <c r="B302" s="2" t="s">
        <v>2228</v>
      </c>
      <c r="C302" s="2" t="s">
        <v>423</v>
      </c>
      <c r="D302" s="2" t="s">
        <v>2</v>
      </c>
      <c r="E302" s="2">
        <v>31.57</v>
      </c>
      <c r="F302" s="2">
        <v>20</v>
      </c>
      <c r="G302" s="2">
        <v>2</v>
      </c>
      <c r="H302" s="2">
        <v>80000000</v>
      </c>
      <c r="I302" s="2">
        <v>60</v>
      </c>
      <c r="J302" s="2" t="s">
        <v>1671</v>
      </c>
      <c r="K302" s="2">
        <v>63</v>
      </c>
      <c r="L302" s="2">
        <v>15</v>
      </c>
      <c r="M302" s="2">
        <v>12</v>
      </c>
      <c r="N302" s="2">
        <v>6</v>
      </c>
      <c r="O302" s="2">
        <v>25</v>
      </c>
      <c r="P302" s="2">
        <v>5</v>
      </c>
      <c r="Q302" s="2" t="s">
        <v>2229</v>
      </c>
      <c r="R302" s="2" t="s">
        <v>2229</v>
      </c>
      <c r="S302" s="4">
        <v>44837</v>
      </c>
    </row>
    <row r="303" spans="1:19" ht="12.5" x14ac:dyDescent="0.25">
      <c r="A303" s="14" t="str">
        <f>HYPERLINK("https://gerandofalcoes.my.salesforce.com/0014X00002VKCptQAH", "0014X00002VKCptQAH")</f>
        <v>0014X00002VKCptQAH</v>
      </c>
      <c r="B303" s="2" t="s">
        <v>2230</v>
      </c>
      <c r="C303" s="2" t="s">
        <v>423</v>
      </c>
      <c r="D303" s="2" t="s">
        <v>2</v>
      </c>
      <c r="E303" s="2">
        <v>31.41</v>
      </c>
      <c r="F303" s="2">
        <v>8</v>
      </c>
      <c r="G303" s="2">
        <v>0</v>
      </c>
      <c r="H303" s="2">
        <v>0</v>
      </c>
      <c r="I303" s="2">
        <v>44</v>
      </c>
      <c r="J303" s="2" t="s">
        <v>1779</v>
      </c>
      <c r="K303" s="2">
        <v>30</v>
      </c>
      <c r="L303" s="2">
        <v>15</v>
      </c>
      <c r="M303" s="2">
        <v>10</v>
      </c>
      <c r="N303" s="2">
        <v>0</v>
      </c>
      <c r="O303" s="2">
        <v>0</v>
      </c>
      <c r="P303" s="2">
        <v>5</v>
      </c>
      <c r="Q303" s="2" t="s">
        <v>2231</v>
      </c>
      <c r="R303" s="2" t="s">
        <v>2232</v>
      </c>
      <c r="S303" s="4">
        <v>44837</v>
      </c>
    </row>
    <row r="304" spans="1:19" ht="12.5" x14ac:dyDescent="0.25">
      <c r="A304" s="14" t="str">
        <f>HYPERLINK("https://gerandofalcoes.my.salesforce.com/0014X00002VKCpKQAX", "0014X00002VKCpKQAX")</f>
        <v>0014X00002VKCpKQAX</v>
      </c>
      <c r="B304" s="2" t="s">
        <v>2225</v>
      </c>
      <c r="C304" s="2" t="s">
        <v>423</v>
      </c>
      <c r="D304" s="2" t="s">
        <v>2</v>
      </c>
      <c r="E304" s="2">
        <v>31.18</v>
      </c>
      <c r="F304" s="2">
        <v>0</v>
      </c>
      <c r="G304" s="2">
        <v>0</v>
      </c>
      <c r="H304" s="2">
        <v>0</v>
      </c>
      <c r="I304" s="2">
        <v>78</v>
      </c>
      <c r="J304" s="2" t="s">
        <v>1779</v>
      </c>
      <c r="K304" s="2">
        <v>20</v>
      </c>
      <c r="L304" s="2">
        <v>15</v>
      </c>
      <c r="M304" s="2">
        <v>0</v>
      </c>
      <c r="N304" s="2">
        <v>0</v>
      </c>
      <c r="O304" s="2">
        <v>0</v>
      </c>
      <c r="P304" s="2">
        <v>5</v>
      </c>
      <c r="Q304" s="2" t="s">
        <v>2233</v>
      </c>
      <c r="R304" s="2" t="s">
        <v>2234</v>
      </c>
      <c r="S304" s="4">
        <v>44837</v>
      </c>
    </row>
    <row r="305" spans="1:19" ht="12.5" x14ac:dyDescent="0.25">
      <c r="A305" s="14" t="str">
        <f>HYPERLINK("https://gerandofalcoes.my.salesforce.com/0014X00002VKCrWQAX", "0014X00002VKCrWQAX")</f>
        <v>0014X00002VKCrWQAX</v>
      </c>
      <c r="B305" s="2" t="s">
        <v>2235</v>
      </c>
      <c r="C305" s="2" t="s">
        <v>1800</v>
      </c>
      <c r="D305" s="2" t="s">
        <v>2</v>
      </c>
      <c r="E305" s="2">
        <v>31</v>
      </c>
      <c r="F305" s="2">
        <v>700</v>
      </c>
      <c r="G305" s="2">
        <v>3</v>
      </c>
      <c r="H305" s="2">
        <v>100000</v>
      </c>
      <c r="I305" s="2">
        <v>850</v>
      </c>
      <c r="J305" s="2" t="s">
        <v>1650</v>
      </c>
      <c r="K305" s="2">
        <v>73</v>
      </c>
      <c r="L305" s="2">
        <v>15</v>
      </c>
      <c r="M305" s="2">
        <v>15</v>
      </c>
      <c r="N305" s="2">
        <v>8</v>
      </c>
      <c r="O305" s="2">
        <v>15</v>
      </c>
      <c r="P305" s="2">
        <v>20</v>
      </c>
      <c r="Q305" s="2" t="s">
        <v>2236</v>
      </c>
      <c r="R305" s="2" t="s">
        <v>2237</v>
      </c>
      <c r="S305" s="4">
        <v>44837</v>
      </c>
    </row>
    <row r="306" spans="1:19" ht="12.5" x14ac:dyDescent="0.25">
      <c r="A306" s="14" t="str">
        <f>HYPERLINK("https://gerandofalcoes.my.salesforce.com/0014P00003YSpA1QAL", "0014P00003YSpA1QAL")</f>
        <v>0014P00003YSpA1QAL</v>
      </c>
      <c r="B306" s="2" t="s">
        <v>2238</v>
      </c>
      <c r="C306" s="2" t="s">
        <v>1800</v>
      </c>
      <c r="D306" s="2" t="s">
        <v>2</v>
      </c>
      <c r="E306" s="2">
        <v>31</v>
      </c>
      <c r="F306" s="2">
        <v>0</v>
      </c>
      <c r="G306" s="2">
        <v>2</v>
      </c>
      <c r="H306" s="2">
        <v>50000</v>
      </c>
      <c r="I306" s="2">
        <v>41</v>
      </c>
      <c r="J306" s="2" t="s">
        <v>1779</v>
      </c>
      <c r="K306" s="2">
        <v>36</v>
      </c>
      <c r="L306" s="2">
        <v>15</v>
      </c>
      <c r="M306" s="2">
        <v>0</v>
      </c>
      <c r="N306" s="2">
        <v>6</v>
      </c>
      <c r="O306" s="2">
        <v>10</v>
      </c>
      <c r="P306" s="2">
        <v>5</v>
      </c>
      <c r="Q306" s="2" t="s">
        <v>2239</v>
      </c>
      <c r="R306" s="2" t="s">
        <v>2239</v>
      </c>
      <c r="S306" s="4">
        <v>44837</v>
      </c>
    </row>
    <row r="307" spans="1:19" ht="12.5" x14ac:dyDescent="0.25">
      <c r="A307" s="14" t="str">
        <f>HYPERLINK("https://gerandofalcoes.my.salesforce.com/0014P00003YSpAMQA1", "0014P00003YSpAMQA1")</f>
        <v>0014P00003YSpAMQA1</v>
      </c>
      <c r="B307" s="2" t="s">
        <v>2240</v>
      </c>
      <c r="C307" s="2" t="s">
        <v>1800</v>
      </c>
      <c r="D307" s="2" t="s">
        <v>2</v>
      </c>
      <c r="E307" s="2">
        <v>31</v>
      </c>
      <c r="F307" s="2">
        <v>0</v>
      </c>
      <c r="G307" s="2">
        <v>2</v>
      </c>
      <c r="H307" s="2">
        <v>8000</v>
      </c>
      <c r="I307" s="2">
        <v>21</v>
      </c>
      <c r="J307" s="2" t="s">
        <v>1779</v>
      </c>
      <c r="K307" s="2">
        <v>31</v>
      </c>
      <c r="L307" s="2">
        <v>15</v>
      </c>
      <c r="M307" s="2">
        <v>0</v>
      </c>
      <c r="N307" s="2">
        <v>6</v>
      </c>
      <c r="O307" s="2">
        <v>5</v>
      </c>
      <c r="P307" s="2">
        <v>5</v>
      </c>
      <c r="Q307" s="2" t="s">
        <v>2241</v>
      </c>
      <c r="R307" s="2" t="s">
        <v>2242</v>
      </c>
      <c r="S307" s="4">
        <v>44837</v>
      </c>
    </row>
    <row r="308" spans="1:19" ht="12.5" x14ac:dyDescent="0.25">
      <c r="A308" s="14" t="str">
        <f>HYPERLINK("https://gerandofalcoes.my.salesforce.com/0014X00002VKCuRQAX", "0014X00002VKCuRQAX")</f>
        <v>0014X00002VKCuRQAX</v>
      </c>
      <c r="B308" s="2" t="s">
        <v>2243</v>
      </c>
      <c r="C308" s="2" t="s">
        <v>423</v>
      </c>
      <c r="D308" s="2" t="s">
        <v>2</v>
      </c>
      <c r="E308" s="2">
        <v>31</v>
      </c>
      <c r="F308" s="2">
        <v>3</v>
      </c>
      <c r="G308" s="2">
        <v>6</v>
      </c>
      <c r="H308" s="2">
        <v>100000</v>
      </c>
      <c r="I308" s="2">
        <v>0</v>
      </c>
      <c r="J308" s="2" t="s">
        <v>1671</v>
      </c>
      <c r="K308" s="2">
        <v>45</v>
      </c>
      <c r="L308" s="2">
        <v>15</v>
      </c>
      <c r="M308" s="2">
        <v>5</v>
      </c>
      <c r="N308" s="2">
        <v>10</v>
      </c>
      <c r="O308" s="2">
        <v>15</v>
      </c>
      <c r="P308" s="2">
        <v>0</v>
      </c>
      <c r="Q308" s="2" t="s">
        <v>2244</v>
      </c>
      <c r="R308" s="2" t="s">
        <v>2244</v>
      </c>
      <c r="S308" s="4">
        <v>44837</v>
      </c>
    </row>
    <row r="309" spans="1:19" ht="12.5" hidden="1" x14ac:dyDescent="0.25">
      <c r="A309" s="14" t="str">
        <f>HYPERLINK("https://gerandofalcoes.my.salesforce.com/0014P00003YSpAKQA1", "0014P00003YSpAKQA1")</f>
        <v>0014P00003YSpAKQA1</v>
      </c>
      <c r="B309" s="2" t="s">
        <v>2245</v>
      </c>
      <c r="C309" s="2" t="s">
        <v>1684</v>
      </c>
      <c r="D309" s="2" t="s">
        <v>2</v>
      </c>
      <c r="E309" s="2">
        <v>31</v>
      </c>
      <c r="F309" s="2">
        <v>0</v>
      </c>
      <c r="G309" s="2">
        <v>2</v>
      </c>
      <c r="H309" s="2">
        <v>15000</v>
      </c>
      <c r="I309" s="2">
        <v>0</v>
      </c>
      <c r="J309" s="2" t="s">
        <v>1779</v>
      </c>
      <c r="K309" s="2">
        <v>26</v>
      </c>
      <c r="L309" s="2">
        <v>15</v>
      </c>
      <c r="M309" s="2">
        <v>0</v>
      </c>
      <c r="N309" s="2">
        <v>6</v>
      </c>
      <c r="O309" s="2">
        <v>5</v>
      </c>
      <c r="P309" s="2">
        <v>0</v>
      </c>
      <c r="Q309" s="2" t="s">
        <v>2246</v>
      </c>
      <c r="R309" s="2" t="s">
        <v>2246</v>
      </c>
      <c r="S309" s="4">
        <v>44837</v>
      </c>
    </row>
    <row r="310" spans="1:19" ht="12.5" x14ac:dyDescent="0.25">
      <c r="A310" s="14" t="str">
        <f>HYPERLINK("https://gerandofalcoes.my.salesforce.com/0014X00002VKCp3QAH", "0014X00002VKCp3QAH")</f>
        <v>0014X00002VKCp3QAH</v>
      </c>
      <c r="B310" s="2" t="s">
        <v>2247</v>
      </c>
      <c r="C310" s="2" t="s">
        <v>1800</v>
      </c>
      <c r="D310" s="2" t="s">
        <v>2</v>
      </c>
      <c r="E310" s="2">
        <v>31</v>
      </c>
      <c r="F310" s="2">
        <v>0</v>
      </c>
      <c r="G310" s="2">
        <v>3</v>
      </c>
      <c r="H310" s="2">
        <v>0</v>
      </c>
      <c r="I310" s="2">
        <v>0</v>
      </c>
      <c r="J310" s="2" t="s">
        <v>1779</v>
      </c>
      <c r="K310" s="2">
        <v>23</v>
      </c>
      <c r="L310" s="2">
        <v>15</v>
      </c>
      <c r="M310" s="2">
        <v>0</v>
      </c>
      <c r="N310" s="2">
        <v>8</v>
      </c>
      <c r="O310" s="2">
        <v>0</v>
      </c>
      <c r="P310" s="2">
        <v>0</v>
      </c>
      <c r="Q310" s="2" t="s">
        <v>2248</v>
      </c>
      <c r="R310" s="2" t="s">
        <v>2248</v>
      </c>
      <c r="S310" s="4">
        <v>44837</v>
      </c>
    </row>
    <row r="311" spans="1:19" ht="12.5" x14ac:dyDescent="0.25">
      <c r="A311" s="14" t="str">
        <f>HYPERLINK("https://gerandofalcoes.my.salesforce.com/0014P00003YSp9aQAD", "0014P00003YSp9aQAD")</f>
        <v>0014P00003YSp9aQAD</v>
      </c>
      <c r="B311" s="2" t="s">
        <v>2249</v>
      </c>
      <c r="C311" s="2" t="s">
        <v>423</v>
      </c>
      <c r="D311" s="2" t="s">
        <v>2</v>
      </c>
      <c r="E311" s="2">
        <v>30.96</v>
      </c>
      <c r="F311" s="2">
        <v>0</v>
      </c>
      <c r="G311" s="2">
        <v>1</v>
      </c>
      <c r="H311" s="2">
        <v>2500</v>
      </c>
      <c r="I311" s="2">
        <v>50</v>
      </c>
      <c r="J311" s="2" t="s">
        <v>1779</v>
      </c>
      <c r="K311" s="2">
        <v>29</v>
      </c>
      <c r="L311" s="2">
        <v>15</v>
      </c>
      <c r="M311" s="2">
        <v>0</v>
      </c>
      <c r="N311" s="2">
        <v>4</v>
      </c>
      <c r="O311" s="2">
        <v>5</v>
      </c>
      <c r="P311" s="2">
        <v>5</v>
      </c>
      <c r="Q311" s="2" t="s">
        <v>2250</v>
      </c>
      <c r="R311" s="2" t="s">
        <v>2251</v>
      </c>
      <c r="S311" s="4">
        <v>44837</v>
      </c>
    </row>
    <row r="312" spans="1:19" ht="12.5" x14ac:dyDescent="0.25">
      <c r="A312" s="14" t="str">
        <f>HYPERLINK("https://gerandofalcoes.my.salesforce.com/0014X00002YgghvQAB", "0014X00002YgghvQAB")</f>
        <v>0014X00002YgghvQAB</v>
      </c>
      <c r="B312" s="2" t="s">
        <v>3179</v>
      </c>
      <c r="C312" s="2" t="s">
        <v>423</v>
      </c>
      <c r="D312" s="2" t="s">
        <v>2</v>
      </c>
      <c r="E312" s="2">
        <v>30.93</v>
      </c>
      <c r="F312" s="2">
        <v>18</v>
      </c>
      <c r="G312" s="2">
        <v>3</v>
      </c>
      <c r="H312" s="2">
        <v>100000</v>
      </c>
      <c r="I312" s="2">
        <v>850</v>
      </c>
      <c r="J312" s="2" t="s">
        <v>1650</v>
      </c>
      <c r="K312" s="2">
        <v>70</v>
      </c>
      <c r="L312" s="2">
        <v>15</v>
      </c>
      <c r="M312" s="2">
        <v>12</v>
      </c>
      <c r="N312" s="2">
        <v>8</v>
      </c>
      <c r="O312" s="2">
        <v>15</v>
      </c>
      <c r="P312" s="2">
        <v>20</v>
      </c>
      <c r="Q312" s="2" t="s">
        <v>3180</v>
      </c>
      <c r="R312" s="2" t="s">
        <v>3181</v>
      </c>
      <c r="S312" s="4">
        <v>44951</v>
      </c>
    </row>
    <row r="313" spans="1:19" ht="12.5" x14ac:dyDescent="0.25">
      <c r="A313" s="14" t="str">
        <f>HYPERLINK("https://gerandofalcoes.my.salesforce.com/0014X00002YggggQAB", "0014X00002YggggQAB")</f>
        <v>0014X00002YggggQAB</v>
      </c>
      <c r="B313" s="2" t="s">
        <v>4066</v>
      </c>
      <c r="C313" s="2" t="s">
        <v>423</v>
      </c>
      <c r="D313" s="2" t="s">
        <v>2</v>
      </c>
      <c r="E313" s="2">
        <v>30.85</v>
      </c>
      <c r="F313" s="2">
        <v>0</v>
      </c>
      <c r="G313" s="2">
        <v>5</v>
      </c>
      <c r="H313" s="2">
        <v>166000</v>
      </c>
      <c r="I313" s="2">
        <v>40</v>
      </c>
      <c r="J313" s="2"/>
      <c r="K313" s="2">
        <v>45</v>
      </c>
      <c r="L313" s="2">
        <v>15</v>
      </c>
      <c r="M313" s="2">
        <v>0</v>
      </c>
      <c r="N313" s="2">
        <v>10</v>
      </c>
      <c r="O313" s="2">
        <v>15</v>
      </c>
      <c r="P313" s="2">
        <v>5</v>
      </c>
      <c r="Q313" s="2" t="s">
        <v>4067</v>
      </c>
      <c r="R313" s="2" t="s">
        <v>4068</v>
      </c>
      <c r="S313" s="4">
        <v>45169</v>
      </c>
    </row>
    <row r="314" spans="1:19" ht="12.5" x14ac:dyDescent="0.25">
      <c r="A314" s="14" t="str">
        <f>HYPERLINK("https://gerandofalcoes.my.salesforce.com/0014X00002PUOUaQAP", "0014X00002PUOUaQAP")</f>
        <v>0014X00002PUOUaQAP</v>
      </c>
      <c r="B314" s="2" t="s">
        <v>8</v>
      </c>
      <c r="C314" s="2" t="s">
        <v>423</v>
      </c>
      <c r="D314" s="2" t="s">
        <v>2</v>
      </c>
      <c r="E314" s="2">
        <v>30.77</v>
      </c>
      <c r="F314" s="2">
        <v>2</v>
      </c>
      <c r="G314" s="2">
        <v>1</v>
      </c>
      <c r="H314" s="2">
        <v>24000</v>
      </c>
      <c r="I314" s="2">
        <v>200</v>
      </c>
      <c r="J314" s="2" t="s">
        <v>1671</v>
      </c>
      <c r="K314" s="2">
        <v>41</v>
      </c>
      <c r="L314" s="2">
        <v>15</v>
      </c>
      <c r="M314" s="2">
        <v>5</v>
      </c>
      <c r="N314" s="2">
        <v>4</v>
      </c>
      <c r="O314" s="2">
        <v>5</v>
      </c>
      <c r="P314" s="2">
        <v>12</v>
      </c>
      <c r="Q314" s="2" t="s">
        <v>2252</v>
      </c>
      <c r="R314" s="2" t="s">
        <v>2252</v>
      </c>
      <c r="S314" s="4">
        <v>44837</v>
      </c>
    </row>
    <row r="315" spans="1:19" ht="12.5" x14ac:dyDescent="0.25">
      <c r="A315" s="14" t="str">
        <f>HYPERLINK("https://gerandofalcoes.my.salesforce.com/0014P00003YSp9iQAD", "0014P00003YSp9iQAD")</f>
        <v>0014P00003YSp9iQAD</v>
      </c>
      <c r="B315" s="2" t="s">
        <v>2253</v>
      </c>
      <c r="C315" s="2" t="s">
        <v>423</v>
      </c>
      <c r="D315" s="2" t="s">
        <v>2</v>
      </c>
      <c r="E315" s="2">
        <v>30.76</v>
      </c>
      <c r="F315" s="2">
        <v>0</v>
      </c>
      <c r="G315" s="2">
        <v>3</v>
      </c>
      <c r="H315" s="2">
        <v>27240</v>
      </c>
      <c r="I315" s="2">
        <v>0</v>
      </c>
      <c r="J315" s="2" t="s">
        <v>1779</v>
      </c>
      <c r="K315" s="2">
        <v>33</v>
      </c>
      <c r="L315" s="2">
        <v>15</v>
      </c>
      <c r="M315" s="2">
        <v>0</v>
      </c>
      <c r="N315" s="2">
        <v>8</v>
      </c>
      <c r="O315" s="2">
        <v>10</v>
      </c>
      <c r="P315" s="2">
        <v>0</v>
      </c>
      <c r="Q315" s="2" t="s">
        <v>2254</v>
      </c>
      <c r="R315" s="2" t="s">
        <v>2255</v>
      </c>
      <c r="S315" s="4">
        <v>44837</v>
      </c>
    </row>
    <row r="316" spans="1:19" ht="12.5" x14ac:dyDescent="0.25">
      <c r="A316" s="14" t="str">
        <f>HYPERLINK("https://gerandofalcoes.my.salesforce.com/0014X00002VKCp6QAH", "0014X00002VKCp6QAH")</f>
        <v>0014X00002VKCp6QAH</v>
      </c>
      <c r="B316" s="2" t="s">
        <v>2256</v>
      </c>
      <c r="C316" s="2" t="s">
        <v>423</v>
      </c>
      <c r="D316" s="2" t="s">
        <v>2</v>
      </c>
      <c r="E316" s="2">
        <v>30.75</v>
      </c>
      <c r="F316" s="2">
        <v>0</v>
      </c>
      <c r="G316" s="2">
        <v>1</v>
      </c>
      <c r="H316" s="2">
        <v>155845</v>
      </c>
      <c r="I316" s="2">
        <v>50</v>
      </c>
      <c r="J316" s="2" t="s">
        <v>1779</v>
      </c>
      <c r="K316" s="2">
        <v>39</v>
      </c>
      <c r="L316" s="2">
        <v>15</v>
      </c>
      <c r="M316" s="2">
        <v>0</v>
      </c>
      <c r="N316" s="2">
        <v>4</v>
      </c>
      <c r="O316" s="2">
        <v>15</v>
      </c>
      <c r="P316" s="2">
        <v>5</v>
      </c>
      <c r="Q316" s="2" t="s">
        <v>2257</v>
      </c>
      <c r="R316" s="2" t="s">
        <v>2258</v>
      </c>
      <c r="S316" s="4">
        <v>44837</v>
      </c>
    </row>
    <row r="317" spans="1:19" ht="12.5" x14ac:dyDescent="0.25">
      <c r="A317" s="14" t="str">
        <f>HYPERLINK("https://gerandofalcoes.my.salesforce.com/0014X00002VKCstQAH", "0014X00002VKCstQAH")</f>
        <v>0014X00002VKCstQAH</v>
      </c>
      <c r="B317" s="2" t="s">
        <v>2259</v>
      </c>
      <c r="C317" s="2" t="s">
        <v>423</v>
      </c>
      <c r="D317" s="2" t="s">
        <v>2</v>
      </c>
      <c r="E317" s="2">
        <v>30.53</v>
      </c>
      <c r="F317" s="2">
        <v>2</v>
      </c>
      <c r="G317" s="2">
        <v>1</v>
      </c>
      <c r="H317" s="2">
        <v>5000</v>
      </c>
      <c r="I317" s="2">
        <v>50</v>
      </c>
      <c r="J317" s="2" t="s">
        <v>1779</v>
      </c>
      <c r="K317" s="2">
        <v>34</v>
      </c>
      <c r="L317" s="2">
        <v>15</v>
      </c>
      <c r="M317" s="2">
        <v>5</v>
      </c>
      <c r="N317" s="2">
        <v>4</v>
      </c>
      <c r="O317" s="2">
        <v>5</v>
      </c>
      <c r="P317" s="2">
        <v>5</v>
      </c>
      <c r="Q317" s="2" t="s">
        <v>2260</v>
      </c>
      <c r="R317" s="2" t="s">
        <v>2260</v>
      </c>
      <c r="S317" s="4">
        <v>44837</v>
      </c>
    </row>
    <row r="318" spans="1:19" ht="12.5" x14ac:dyDescent="0.25">
      <c r="A318" s="14" t="str">
        <f>HYPERLINK("https://gerandofalcoes.my.salesforce.com/0014X00002VKCqvQAH", "0014X00002VKCqvQAH")</f>
        <v>0014X00002VKCqvQAH</v>
      </c>
      <c r="B318" s="2" t="s">
        <v>2261</v>
      </c>
      <c r="C318" s="2" t="s">
        <v>1800</v>
      </c>
      <c r="D318" s="2" t="s">
        <v>2</v>
      </c>
      <c r="E318" s="2">
        <v>30</v>
      </c>
      <c r="F318" s="2">
        <v>0</v>
      </c>
      <c r="G318" s="2">
        <v>3</v>
      </c>
      <c r="H318" s="2">
        <v>10000</v>
      </c>
      <c r="I318" s="2">
        <v>300</v>
      </c>
      <c r="J318" s="2" t="s">
        <v>1671</v>
      </c>
      <c r="K318" s="2">
        <v>43</v>
      </c>
      <c r="L318" s="2">
        <v>15</v>
      </c>
      <c r="M318" s="2">
        <v>0</v>
      </c>
      <c r="N318" s="2">
        <v>8</v>
      </c>
      <c r="O318" s="2">
        <v>5</v>
      </c>
      <c r="P318" s="2">
        <v>15</v>
      </c>
      <c r="Q318" s="2" t="s">
        <v>2262</v>
      </c>
      <c r="R318" s="2" t="s">
        <v>2263</v>
      </c>
      <c r="S318" s="4">
        <v>44837</v>
      </c>
    </row>
    <row r="319" spans="1:19" ht="12.5" hidden="1" x14ac:dyDescent="0.25">
      <c r="A319" s="14" t="str">
        <f>HYPERLINK("https://gerandofalcoes.my.salesforce.com/0014X00002VKD05QAH", "0014X00002VKD05QAH")</f>
        <v>0014X00002VKD05QAH</v>
      </c>
      <c r="B319" s="2" t="s">
        <v>2264</v>
      </c>
      <c r="C319" s="2" t="s">
        <v>1684</v>
      </c>
      <c r="D319" s="2" t="s">
        <v>2</v>
      </c>
      <c r="E319" s="2">
        <v>30</v>
      </c>
      <c r="F319" s="2">
        <v>0</v>
      </c>
      <c r="G319" s="2">
        <v>2</v>
      </c>
      <c r="H319" s="2">
        <v>199010</v>
      </c>
      <c r="I319" s="2">
        <v>240</v>
      </c>
      <c r="J319" s="2" t="s">
        <v>1671</v>
      </c>
      <c r="K319" s="2">
        <v>48</v>
      </c>
      <c r="L319" s="2">
        <v>15</v>
      </c>
      <c r="M319" s="2">
        <v>0</v>
      </c>
      <c r="N319" s="2">
        <v>6</v>
      </c>
      <c r="O319" s="2">
        <v>15</v>
      </c>
      <c r="P319" s="2">
        <v>12</v>
      </c>
      <c r="Q319" s="2" t="s">
        <v>2265</v>
      </c>
      <c r="R319" s="2" t="s">
        <v>2266</v>
      </c>
      <c r="S319" s="4">
        <v>44837</v>
      </c>
    </row>
    <row r="320" spans="1:19" ht="12.5" x14ac:dyDescent="0.25">
      <c r="A320" s="14" t="str">
        <f>HYPERLINK("https://gerandofalcoes.my.salesforce.com/0014X00002VKCtAQAX", "0014X00002VKCtAQAX")</f>
        <v>0014X00002VKCtAQAX</v>
      </c>
      <c r="B320" s="2" t="s">
        <v>2267</v>
      </c>
      <c r="C320" s="2" t="s">
        <v>1800</v>
      </c>
      <c r="D320" s="2" t="s">
        <v>2</v>
      </c>
      <c r="E320" s="2">
        <v>30</v>
      </c>
      <c r="F320" s="2">
        <v>0</v>
      </c>
      <c r="G320" s="2">
        <v>3</v>
      </c>
      <c r="H320" s="2">
        <v>12000</v>
      </c>
      <c r="I320" s="2">
        <v>140</v>
      </c>
      <c r="J320" s="2" t="s">
        <v>1779</v>
      </c>
      <c r="K320" s="2">
        <v>38</v>
      </c>
      <c r="L320" s="2">
        <v>15</v>
      </c>
      <c r="M320" s="2">
        <v>0</v>
      </c>
      <c r="N320" s="2">
        <v>8</v>
      </c>
      <c r="O320" s="2">
        <v>5</v>
      </c>
      <c r="P320" s="2">
        <v>10</v>
      </c>
      <c r="Q320" s="2" t="s">
        <v>2268</v>
      </c>
      <c r="R320" s="2" t="s">
        <v>2269</v>
      </c>
      <c r="S320" s="4">
        <v>44837</v>
      </c>
    </row>
    <row r="321" spans="1:19" ht="12.5" x14ac:dyDescent="0.25">
      <c r="A321" s="14" t="str">
        <f>HYPERLINK("https://gerandofalcoes.my.salesforce.com/0014P00003YSp9jQAD", "0014P00003YSp9jQAD")</f>
        <v>0014P00003YSp9jQAD</v>
      </c>
      <c r="B321" s="2" t="s">
        <v>2270</v>
      </c>
      <c r="C321" s="2" t="s">
        <v>423</v>
      </c>
      <c r="D321" s="2" t="s">
        <v>2</v>
      </c>
      <c r="E321" s="2">
        <v>30</v>
      </c>
      <c r="F321" s="2">
        <v>1</v>
      </c>
      <c r="G321" s="2">
        <v>1</v>
      </c>
      <c r="H321" s="2">
        <v>6000</v>
      </c>
      <c r="I321" s="2">
        <v>110</v>
      </c>
      <c r="J321" s="2" t="s">
        <v>1779</v>
      </c>
      <c r="K321" s="2">
        <v>39</v>
      </c>
      <c r="L321" s="2">
        <v>15</v>
      </c>
      <c r="M321" s="2">
        <v>5</v>
      </c>
      <c r="N321" s="2">
        <v>4</v>
      </c>
      <c r="O321" s="2">
        <v>5</v>
      </c>
      <c r="P321" s="2">
        <v>10</v>
      </c>
      <c r="Q321" s="2" t="s">
        <v>2271</v>
      </c>
      <c r="R321" s="2" t="s">
        <v>2271</v>
      </c>
      <c r="S321" s="4">
        <v>44837</v>
      </c>
    </row>
    <row r="322" spans="1:19" ht="12.5" x14ac:dyDescent="0.25">
      <c r="A322" s="14" t="str">
        <f>HYPERLINK("https://gerandofalcoes.my.salesforce.com/0014P00003YSp7RQAT", "0014P00003YSp7RQAT")</f>
        <v>0014P00003YSp7RQAT</v>
      </c>
      <c r="B322" s="2" t="s">
        <v>2272</v>
      </c>
      <c r="C322" s="2" t="s">
        <v>423</v>
      </c>
      <c r="D322" s="2" t="s">
        <v>2</v>
      </c>
      <c r="E322" s="2">
        <v>30</v>
      </c>
      <c r="F322" s="2">
        <v>1</v>
      </c>
      <c r="G322" s="2">
        <v>2</v>
      </c>
      <c r="H322" s="2">
        <v>25000</v>
      </c>
      <c r="I322" s="2">
        <v>60</v>
      </c>
      <c r="J322" s="2" t="s">
        <v>1671</v>
      </c>
      <c r="K322" s="2">
        <v>41</v>
      </c>
      <c r="L322" s="2">
        <v>15</v>
      </c>
      <c r="M322" s="2">
        <v>5</v>
      </c>
      <c r="N322" s="2">
        <v>6</v>
      </c>
      <c r="O322" s="2">
        <v>10</v>
      </c>
      <c r="P322" s="2">
        <v>5</v>
      </c>
      <c r="Q322" s="2" t="s">
        <v>2273</v>
      </c>
      <c r="R322" s="2" t="s">
        <v>2274</v>
      </c>
      <c r="S322" s="4">
        <v>44837</v>
      </c>
    </row>
    <row r="323" spans="1:19" ht="12.5" x14ac:dyDescent="0.25">
      <c r="A323" s="14" t="str">
        <f>HYPERLINK("https://gerandofalcoes.my.salesforce.com/0014P00003YSp9NQAT", "0014P00003YSp9NQAT")</f>
        <v>0014P00003YSp9NQAT</v>
      </c>
      <c r="B323" s="2" t="s">
        <v>2275</v>
      </c>
      <c r="C323" s="2" t="s">
        <v>423</v>
      </c>
      <c r="D323" s="2" t="s">
        <v>2</v>
      </c>
      <c r="E323" s="2">
        <v>30</v>
      </c>
      <c r="F323" s="2">
        <v>0</v>
      </c>
      <c r="G323" s="2">
        <v>2</v>
      </c>
      <c r="H323" s="2">
        <v>11000</v>
      </c>
      <c r="I323" s="2">
        <v>20</v>
      </c>
      <c r="J323" s="2" t="s">
        <v>1779</v>
      </c>
      <c r="K323" s="2">
        <v>31</v>
      </c>
      <c r="L323" s="2">
        <v>15</v>
      </c>
      <c r="M323" s="2">
        <v>0</v>
      </c>
      <c r="N323" s="2">
        <v>6</v>
      </c>
      <c r="O323" s="2">
        <v>5</v>
      </c>
      <c r="P323" s="2">
        <v>5</v>
      </c>
      <c r="Q323" s="2" t="s">
        <v>2276</v>
      </c>
      <c r="R323" s="2" t="s">
        <v>2276</v>
      </c>
      <c r="S323" s="4">
        <v>44837</v>
      </c>
    </row>
    <row r="324" spans="1:19" ht="12.5" x14ac:dyDescent="0.25">
      <c r="A324" s="14" t="str">
        <f>HYPERLINK("https://gerandofalcoes.my.salesforce.com/0014X00002VKCqaQAH", "0014X00002VKCqaQAH")</f>
        <v>0014X00002VKCqaQAH</v>
      </c>
      <c r="B324" s="2" t="s">
        <v>2277</v>
      </c>
      <c r="C324" s="2" t="s">
        <v>1800</v>
      </c>
      <c r="D324" s="2" t="s">
        <v>2</v>
      </c>
      <c r="E324" s="2">
        <v>30</v>
      </c>
      <c r="F324" s="2">
        <v>0</v>
      </c>
      <c r="G324" s="2">
        <v>2</v>
      </c>
      <c r="H324" s="2">
        <v>0</v>
      </c>
      <c r="I324" s="2">
        <v>10</v>
      </c>
      <c r="J324" s="2" t="s">
        <v>1779</v>
      </c>
      <c r="K324" s="2">
        <v>26</v>
      </c>
      <c r="L324" s="2">
        <v>15</v>
      </c>
      <c r="M324" s="2">
        <v>0</v>
      </c>
      <c r="N324" s="2">
        <v>6</v>
      </c>
      <c r="O324" s="2">
        <v>0</v>
      </c>
      <c r="P324" s="2">
        <v>5</v>
      </c>
      <c r="Q324" s="2" t="s">
        <v>2278</v>
      </c>
      <c r="R324" s="2" t="s">
        <v>2278</v>
      </c>
      <c r="S324" s="4">
        <v>44837</v>
      </c>
    </row>
    <row r="325" spans="1:19" ht="12.5" x14ac:dyDescent="0.25">
      <c r="A325" s="14" t="str">
        <f>HYPERLINK("https://gerandofalcoes.my.salesforce.com/0014P00003YSp9EQAT", "0014P00003YSp9EQAT")</f>
        <v>0014P00003YSp9EQAT</v>
      </c>
      <c r="B325" s="2" t="s">
        <v>2279</v>
      </c>
      <c r="C325" s="2" t="s">
        <v>423</v>
      </c>
      <c r="D325" s="2" t="s">
        <v>2</v>
      </c>
      <c r="E325" s="2">
        <v>29.85</v>
      </c>
      <c r="F325" s="2">
        <v>2</v>
      </c>
      <c r="G325" s="2">
        <v>0</v>
      </c>
      <c r="H325" s="2">
        <v>0</v>
      </c>
      <c r="I325" s="2">
        <v>30</v>
      </c>
      <c r="J325" s="2" t="s">
        <v>1779</v>
      </c>
      <c r="K325" s="2">
        <v>25</v>
      </c>
      <c r="L325" s="2">
        <v>15</v>
      </c>
      <c r="M325" s="2">
        <v>5</v>
      </c>
      <c r="N325" s="2">
        <v>0</v>
      </c>
      <c r="O325" s="2">
        <v>0</v>
      </c>
      <c r="P325" s="2">
        <v>5</v>
      </c>
      <c r="Q325" s="2" t="s">
        <v>2280</v>
      </c>
      <c r="R325" s="2" t="s">
        <v>2281</v>
      </c>
      <c r="S325" s="4">
        <v>44837</v>
      </c>
    </row>
    <row r="326" spans="1:19" ht="12.5" x14ac:dyDescent="0.25">
      <c r="A326" s="14" t="str">
        <f>HYPERLINK("https://gerandofalcoes.my.salesforce.com/0014X00002VKD04QAH", "0014X00002VKD04QAH")</f>
        <v>0014X00002VKD04QAH</v>
      </c>
      <c r="B326" s="2" t="s">
        <v>2282</v>
      </c>
      <c r="C326" s="2" t="s">
        <v>423</v>
      </c>
      <c r="D326" s="2" t="s">
        <v>2</v>
      </c>
      <c r="E326" s="2">
        <v>29.75</v>
      </c>
      <c r="F326" s="2">
        <v>24</v>
      </c>
      <c r="G326" s="2">
        <v>3</v>
      </c>
      <c r="H326" s="2">
        <v>1200000</v>
      </c>
      <c r="I326" s="2">
        <v>35</v>
      </c>
      <c r="J326" s="2" t="s">
        <v>1650</v>
      </c>
      <c r="K326" s="2">
        <v>65</v>
      </c>
      <c r="L326" s="2">
        <v>15</v>
      </c>
      <c r="M326" s="2">
        <v>12</v>
      </c>
      <c r="N326" s="2">
        <v>8</v>
      </c>
      <c r="O326" s="2">
        <v>25</v>
      </c>
      <c r="P326" s="2">
        <v>5</v>
      </c>
      <c r="Q326" s="2" t="s">
        <v>2283</v>
      </c>
      <c r="R326" s="2" t="s">
        <v>2284</v>
      </c>
      <c r="S326" s="4">
        <v>44837</v>
      </c>
    </row>
    <row r="327" spans="1:19" ht="12.5" x14ac:dyDescent="0.25">
      <c r="A327" s="14" t="str">
        <f>HYPERLINK("https://gerandofalcoes.my.salesforce.com/0014P00003SGWQ9QAP", "0014P00003SGWQ9QAP")</f>
        <v>0014P00003SGWQ9QAP</v>
      </c>
      <c r="B327" s="2" t="s">
        <v>232</v>
      </c>
      <c r="C327" s="2" t="s">
        <v>423</v>
      </c>
      <c r="D327" s="2" t="s">
        <v>2</v>
      </c>
      <c r="E327" s="2">
        <v>29.74</v>
      </c>
      <c r="F327" s="2">
        <v>5</v>
      </c>
      <c r="G327" s="2">
        <v>3</v>
      </c>
      <c r="H327" s="2">
        <v>191584</v>
      </c>
      <c r="I327" s="2">
        <v>245</v>
      </c>
      <c r="J327" s="2" t="s">
        <v>1671</v>
      </c>
      <c r="K327" s="2">
        <v>55</v>
      </c>
      <c r="L327" s="2">
        <v>15</v>
      </c>
      <c r="M327" s="2">
        <v>5</v>
      </c>
      <c r="N327" s="2">
        <v>8</v>
      </c>
      <c r="O327" s="2">
        <v>15</v>
      </c>
      <c r="P327" s="2">
        <v>12</v>
      </c>
      <c r="Q327" s="2" t="s">
        <v>233</v>
      </c>
      <c r="R327" s="2" t="s">
        <v>2285</v>
      </c>
      <c r="S327" s="4">
        <v>44837</v>
      </c>
    </row>
    <row r="328" spans="1:19" ht="12.5" x14ac:dyDescent="0.25">
      <c r="A328" s="14" t="str">
        <f>HYPERLINK("https://gerandofalcoes.my.salesforce.com/0014X00002YggllQAB", "0014X00002YggllQAB")</f>
        <v>0014X00002YggllQAB</v>
      </c>
      <c r="B328" s="2" t="s">
        <v>4069</v>
      </c>
      <c r="C328" s="2" t="s">
        <v>423</v>
      </c>
      <c r="D328" s="2" t="s">
        <v>2</v>
      </c>
      <c r="E328" s="2">
        <v>29.69</v>
      </c>
      <c r="F328" s="2">
        <v>0</v>
      </c>
      <c r="G328" s="2">
        <v>2</v>
      </c>
      <c r="H328" s="2">
        <v>4000</v>
      </c>
      <c r="I328" s="2">
        <v>10</v>
      </c>
      <c r="J328" s="2"/>
      <c r="K328" s="2">
        <v>31</v>
      </c>
      <c r="L328" s="2">
        <v>15</v>
      </c>
      <c r="M328" s="2">
        <v>0</v>
      </c>
      <c r="N328" s="2">
        <v>6</v>
      </c>
      <c r="O328" s="2">
        <v>5</v>
      </c>
      <c r="P328" s="2">
        <v>5</v>
      </c>
      <c r="Q328" s="2" t="s">
        <v>4070</v>
      </c>
      <c r="R328" s="2" t="s">
        <v>4070</v>
      </c>
      <c r="S328" s="4">
        <v>45169</v>
      </c>
    </row>
    <row r="329" spans="1:19" ht="12.5" x14ac:dyDescent="0.25">
      <c r="A329" s="14" t="str">
        <f>HYPERLINK("https://gerandofalcoes.my.salesforce.com/0014X00002PUOdWQAX", "0014X00002PUOdWQAX")</f>
        <v>0014X00002PUOdWQAX</v>
      </c>
      <c r="B329" s="2" t="s">
        <v>22</v>
      </c>
      <c r="C329" s="2" t="s">
        <v>423</v>
      </c>
      <c r="D329" s="2" t="s">
        <v>2</v>
      </c>
      <c r="E329" s="2">
        <v>29.59</v>
      </c>
      <c r="F329" s="2">
        <v>10</v>
      </c>
      <c r="G329" s="2">
        <v>0</v>
      </c>
      <c r="H329" s="2">
        <v>0</v>
      </c>
      <c r="I329" s="2">
        <v>100</v>
      </c>
      <c r="J329" s="2" t="s">
        <v>1779</v>
      </c>
      <c r="K329" s="2">
        <v>35</v>
      </c>
      <c r="L329" s="2">
        <v>15</v>
      </c>
      <c r="M329" s="2">
        <v>10</v>
      </c>
      <c r="N329" s="2">
        <v>0</v>
      </c>
      <c r="O329" s="2">
        <v>0</v>
      </c>
      <c r="P329" s="2">
        <v>10</v>
      </c>
      <c r="Q329" s="2" t="s">
        <v>485</v>
      </c>
      <c r="R329" s="2" t="s">
        <v>485</v>
      </c>
      <c r="S329" s="4">
        <v>44837</v>
      </c>
    </row>
    <row r="330" spans="1:19" ht="12.5" x14ac:dyDescent="0.25">
      <c r="A330" s="14" t="str">
        <f>HYPERLINK("https://gerandofalcoes.my.salesforce.com/0014X00002YgghQQAR", "0014X00002YgghQQAR")</f>
        <v>0014X00002YgghQQAR</v>
      </c>
      <c r="B330" s="2" t="s">
        <v>4071</v>
      </c>
      <c r="C330" s="2" t="s">
        <v>423</v>
      </c>
      <c r="D330" s="2" t="s">
        <v>2</v>
      </c>
      <c r="E330" s="2">
        <v>29.47</v>
      </c>
      <c r="F330" s="2">
        <v>1</v>
      </c>
      <c r="G330" s="2">
        <v>6</v>
      </c>
      <c r="H330" s="2">
        <v>23880</v>
      </c>
      <c r="I330" s="2">
        <v>60</v>
      </c>
      <c r="J330" s="2"/>
      <c r="K330" s="2">
        <v>40</v>
      </c>
      <c r="L330" s="2">
        <v>15</v>
      </c>
      <c r="M330" s="2">
        <v>5</v>
      </c>
      <c r="N330" s="2">
        <v>10</v>
      </c>
      <c r="O330" s="2">
        <v>5</v>
      </c>
      <c r="P330" s="2">
        <v>5</v>
      </c>
      <c r="Q330" s="2" t="s">
        <v>4072</v>
      </c>
      <c r="R330" s="2" t="s">
        <v>4072</v>
      </c>
      <c r="S330" s="4">
        <v>45169</v>
      </c>
    </row>
    <row r="331" spans="1:19" ht="12.5" x14ac:dyDescent="0.25">
      <c r="A331" s="14" t="str">
        <f>HYPERLINK("https://gerandofalcoes.my.salesforce.com/0014P00003YSp9WQAT", "0014P00003YSp9WQAT")</f>
        <v>0014P00003YSp9WQAT</v>
      </c>
      <c r="B331" s="2" t="s">
        <v>2286</v>
      </c>
      <c r="C331" s="2" t="s">
        <v>423</v>
      </c>
      <c r="D331" s="2" t="s">
        <v>2</v>
      </c>
      <c r="E331" s="2">
        <v>29.45</v>
      </c>
      <c r="F331" s="2">
        <v>0</v>
      </c>
      <c r="G331" s="2">
        <v>2</v>
      </c>
      <c r="H331" s="2">
        <v>0</v>
      </c>
      <c r="I331" s="2">
        <v>353</v>
      </c>
      <c r="J331" s="2" t="s">
        <v>1779</v>
      </c>
      <c r="K331" s="2">
        <v>36</v>
      </c>
      <c r="L331" s="2">
        <v>15</v>
      </c>
      <c r="M331" s="2">
        <v>0</v>
      </c>
      <c r="N331" s="2">
        <v>6</v>
      </c>
      <c r="O331" s="2">
        <v>0</v>
      </c>
      <c r="P331" s="2">
        <v>15</v>
      </c>
      <c r="Q331" s="2" t="s">
        <v>2287</v>
      </c>
      <c r="R331" s="2" t="s">
        <v>2287</v>
      </c>
      <c r="S331" s="4">
        <v>44837</v>
      </c>
    </row>
    <row r="332" spans="1:19" ht="12.5" x14ac:dyDescent="0.25">
      <c r="A332" s="14" t="str">
        <f>HYPERLINK("https://gerandofalcoes.my.salesforce.com/0014P00003SGWQ0QAP", "0014P00003SGWQ0QAP")</f>
        <v>0014P00003SGWQ0QAP</v>
      </c>
      <c r="B332" s="2" t="s">
        <v>201</v>
      </c>
      <c r="C332" s="2" t="s">
        <v>423</v>
      </c>
      <c r="D332" s="2" t="s">
        <v>2</v>
      </c>
      <c r="E332" s="2">
        <v>29.44</v>
      </c>
      <c r="F332" s="2">
        <v>6</v>
      </c>
      <c r="G332" s="2">
        <v>3</v>
      </c>
      <c r="H332" s="2">
        <v>24338140</v>
      </c>
      <c r="I332" s="2">
        <v>90</v>
      </c>
      <c r="J332" s="2" t="s">
        <v>1650</v>
      </c>
      <c r="K332" s="2">
        <v>68</v>
      </c>
      <c r="L332" s="2">
        <v>15</v>
      </c>
      <c r="M332" s="2">
        <v>10</v>
      </c>
      <c r="N332" s="2">
        <v>8</v>
      </c>
      <c r="O332" s="2">
        <v>25</v>
      </c>
      <c r="P332" s="2">
        <v>10</v>
      </c>
      <c r="Q332" s="2" t="s">
        <v>202</v>
      </c>
      <c r="R332" s="2" t="s">
        <v>1077</v>
      </c>
      <c r="S332" s="4">
        <v>44837</v>
      </c>
    </row>
    <row r="333" spans="1:19" ht="12.5" x14ac:dyDescent="0.25">
      <c r="A333" s="14" t="str">
        <f>HYPERLINK("https://gerandofalcoes.my.salesforce.com/0014X00002YggqlQAB", "0014X00002YggqlQAB")</f>
        <v>0014X00002YggqlQAB</v>
      </c>
      <c r="B333" s="2" t="s">
        <v>3308</v>
      </c>
      <c r="C333" s="2" t="s">
        <v>423</v>
      </c>
      <c r="D333" s="2" t="s">
        <v>2</v>
      </c>
      <c r="E333" s="2">
        <v>29.41</v>
      </c>
      <c r="F333" s="2">
        <v>15</v>
      </c>
      <c r="G333" s="2">
        <v>2</v>
      </c>
      <c r="H333" s="2">
        <v>20000</v>
      </c>
      <c r="I333" s="2">
        <v>120</v>
      </c>
      <c r="J333" s="2" t="s">
        <v>1671</v>
      </c>
      <c r="K333" s="2">
        <v>48</v>
      </c>
      <c r="L333" s="2">
        <v>15</v>
      </c>
      <c r="M333" s="2">
        <v>12</v>
      </c>
      <c r="N333" s="2">
        <v>6</v>
      </c>
      <c r="O333" s="2">
        <v>5</v>
      </c>
      <c r="P333" s="2">
        <v>10</v>
      </c>
      <c r="Q333" s="2" t="s">
        <v>3309</v>
      </c>
      <c r="R333" s="2" t="s">
        <v>3310</v>
      </c>
      <c r="S333" s="4">
        <v>44953</v>
      </c>
    </row>
    <row r="334" spans="1:19" ht="12.5" x14ac:dyDescent="0.25">
      <c r="A334" s="14" t="str">
        <f>HYPERLINK("https://gerandofalcoes.my.salesforce.com/0014P00003AN2etQAD", "0014P00003AN2etQAD")</f>
        <v>0014P00003AN2etQAD</v>
      </c>
      <c r="B334" s="2" t="s">
        <v>2288</v>
      </c>
      <c r="C334" s="2" t="s">
        <v>423</v>
      </c>
      <c r="D334" s="2" t="s">
        <v>2</v>
      </c>
      <c r="E334" s="2">
        <v>29.3</v>
      </c>
      <c r="F334" s="2">
        <v>10</v>
      </c>
      <c r="G334" s="2">
        <v>4</v>
      </c>
      <c r="H334" s="2">
        <v>180000</v>
      </c>
      <c r="I334" s="2">
        <v>320</v>
      </c>
      <c r="J334" s="2" t="s">
        <v>1650</v>
      </c>
      <c r="K334" s="2">
        <v>65</v>
      </c>
      <c r="L334" s="2">
        <v>15</v>
      </c>
      <c r="M334" s="2">
        <v>10</v>
      </c>
      <c r="N334" s="2">
        <v>10</v>
      </c>
      <c r="O334" s="2">
        <v>15</v>
      </c>
      <c r="P334" s="2">
        <v>15</v>
      </c>
      <c r="Q334" s="2" t="s">
        <v>572</v>
      </c>
      <c r="R334" s="2" t="s">
        <v>572</v>
      </c>
      <c r="S334" s="4">
        <v>44837</v>
      </c>
    </row>
    <row r="335" spans="1:19" ht="12.5" x14ac:dyDescent="0.25">
      <c r="A335" s="14" t="str">
        <f>HYPERLINK("https://gerandofalcoes.my.salesforce.com/0014X00002VKCp5QAH", "0014X00002VKCp5QAH")</f>
        <v>0014X00002VKCp5QAH</v>
      </c>
      <c r="B335" s="2" t="s">
        <v>2289</v>
      </c>
      <c r="C335" s="2" t="s">
        <v>423</v>
      </c>
      <c r="D335" s="2" t="s">
        <v>2</v>
      </c>
      <c r="E335" s="2">
        <v>29</v>
      </c>
      <c r="F335" s="2">
        <v>0</v>
      </c>
      <c r="G335" s="2">
        <v>8</v>
      </c>
      <c r="H335" s="2">
        <v>52000</v>
      </c>
      <c r="I335" s="2">
        <v>2500</v>
      </c>
      <c r="J335" s="2" t="s">
        <v>1671</v>
      </c>
      <c r="K335" s="2">
        <v>55</v>
      </c>
      <c r="L335" s="2">
        <v>15</v>
      </c>
      <c r="M335" s="2">
        <v>0</v>
      </c>
      <c r="N335" s="2">
        <v>10</v>
      </c>
      <c r="O335" s="2">
        <v>10</v>
      </c>
      <c r="P335" s="2">
        <v>20</v>
      </c>
      <c r="Q335" s="2" t="s">
        <v>2290</v>
      </c>
      <c r="R335" s="2" t="s">
        <v>2291</v>
      </c>
      <c r="S335" s="4">
        <v>44837</v>
      </c>
    </row>
    <row r="336" spans="1:19" ht="12.5" x14ac:dyDescent="0.25">
      <c r="A336" s="14" t="str">
        <f>HYPERLINK("https://gerandofalcoes.my.salesforce.com/0014P00003YSp8NQAT", "0014P00003YSp8NQAT")</f>
        <v>0014P00003YSp8NQAT</v>
      </c>
      <c r="B336" s="2" t="s">
        <v>2292</v>
      </c>
      <c r="C336" s="2" t="s">
        <v>1800</v>
      </c>
      <c r="D336" s="2" t="s">
        <v>2</v>
      </c>
      <c r="E336" s="2">
        <v>29</v>
      </c>
      <c r="F336" s="2">
        <v>3</v>
      </c>
      <c r="G336" s="2">
        <v>2</v>
      </c>
      <c r="H336" s="2">
        <v>13121</v>
      </c>
      <c r="I336" s="2">
        <v>800</v>
      </c>
      <c r="J336" s="2" t="s">
        <v>1671</v>
      </c>
      <c r="K336" s="2">
        <v>51</v>
      </c>
      <c r="L336" s="2">
        <v>15</v>
      </c>
      <c r="M336" s="2">
        <v>5</v>
      </c>
      <c r="N336" s="2">
        <v>6</v>
      </c>
      <c r="O336" s="2">
        <v>5</v>
      </c>
      <c r="P336" s="2">
        <v>20</v>
      </c>
      <c r="Q336" s="2" t="s">
        <v>2293</v>
      </c>
      <c r="R336" s="2" t="s">
        <v>2294</v>
      </c>
      <c r="S336" s="4">
        <v>44837</v>
      </c>
    </row>
    <row r="337" spans="1:19" ht="12.5" x14ac:dyDescent="0.25">
      <c r="A337" s="14" t="str">
        <f>HYPERLINK("https://gerandofalcoes.my.salesforce.com/0014P00003YSp8kQAD", "0014P00003YSp8kQAD")</f>
        <v>0014P00003YSp8kQAD</v>
      </c>
      <c r="B337" s="2" t="s">
        <v>2295</v>
      </c>
      <c r="C337" s="2" t="s">
        <v>1800</v>
      </c>
      <c r="D337" s="2" t="s">
        <v>2</v>
      </c>
      <c r="E337" s="2">
        <v>29</v>
      </c>
      <c r="F337" s="2">
        <v>2</v>
      </c>
      <c r="G337" s="2">
        <v>2</v>
      </c>
      <c r="H337" s="2">
        <v>12000</v>
      </c>
      <c r="I337" s="2">
        <v>300</v>
      </c>
      <c r="J337" s="2" t="s">
        <v>1671</v>
      </c>
      <c r="K337" s="2">
        <v>46</v>
      </c>
      <c r="L337" s="2">
        <v>15</v>
      </c>
      <c r="M337" s="2">
        <v>5</v>
      </c>
      <c r="N337" s="2">
        <v>6</v>
      </c>
      <c r="O337" s="2">
        <v>5</v>
      </c>
      <c r="P337" s="2">
        <v>15</v>
      </c>
      <c r="Q337" s="2" t="s">
        <v>2296</v>
      </c>
      <c r="R337" s="2" t="s">
        <v>2297</v>
      </c>
      <c r="S337" s="4">
        <v>44837</v>
      </c>
    </row>
    <row r="338" spans="1:19" ht="12.5" x14ac:dyDescent="0.25">
      <c r="A338" s="14" t="str">
        <f>HYPERLINK("https://gerandofalcoes.my.salesforce.com/0014X00002VKCphQAH", "0014X00002VKCphQAH")</f>
        <v>0014X00002VKCphQAH</v>
      </c>
      <c r="B338" s="2" t="s">
        <v>2298</v>
      </c>
      <c r="C338" s="2" t="s">
        <v>1800</v>
      </c>
      <c r="D338" s="2" t="s">
        <v>2</v>
      </c>
      <c r="E338" s="2">
        <v>29</v>
      </c>
      <c r="F338" s="2">
        <v>0</v>
      </c>
      <c r="G338" s="2">
        <v>3</v>
      </c>
      <c r="H338" s="2">
        <v>30000</v>
      </c>
      <c r="I338" s="2">
        <v>150</v>
      </c>
      <c r="J338" s="2" t="s">
        <v>1671</v>
      </c>
      <c r="K338" s="2">
        <v>45</v>
      </c>
      <c r="L338" s="2">
        <v>15</v>
      </c>
      <c r="M338" s="2">
        <v>0</v>
      </c>
      <c r="N338" s="2">
        <v>8</v>
      </c>
      <c r="O338" s="2">
        <v>10</v>
      </c>
      <c r="P338" s="2">
        <v>12</v>
      </c>
      <c r="Q338" s="2" t="s">
        <v>2299</v>
      </c>
      <c r="R338" s="2" t="s">
        <v>2300</v>
      </c>
      <c r="S338" s="4">
        <v>44837</v>
      </c>
    </row>
    <row r="339" spans="1:19" ht="12.5" hidden="1" x14ac:dyDescent="0.25">
      <c r="A339" s="14" t="str">
        <f>HYPERLINK("https://gerandofalcoes.my.salesforce.com/0014X00002VKCqXQAX", "0014X00002VKCqXQAX")</f>
        <v>0014X00002VKCqXQAX</v>
      </c>
      <c r="B339" s="2" t="s">
        <v>2301</v>
      </c>
      <c r="C339" s="2" t="s">
        <v>1684</v>
      </c>
      <c r="D339" s="2" t="s">
        <v>2</v>
      </c>
      <c r="E339" s="2">
        <v>29</v>
      </c>
      <c r="F339" s="2">
        <v>0</v>
      </c>
      <c r="G339" s="2">
        <v>5</v>
      </c>
      <c r="H339" s="2">
        <v>70000</v>
      </c>
      <c r="I339" s="2">
        <v>100</v>
      </c>
      <c r="J339" s="2" t="s">
        <v>1671</v>
      </c>
      <c r="K339" s="2">
        <v>45</v>
      </c>
      <c r="L339" s="2">
        <v>15</v>
      </c>
      <c r="M339" s="2">
        <v>0</v>
      </c>
      <c r="N339" s="2">
        <v>10</v>
      </c>
      <c r="O339" s="2">
        <v>10</v>
      </c>
      <c r="P339" s="2">
        <v>10</v>
      </c>
      <c r="Q339" s="2" t="s">
        <v>2302</v>
      </c>
      <c r="R339" s="2" t="s">
        <v>2303</v>
      </c>
      <c r="S339" s="4">
        <v>44837</v>
      </c>
    </row>
    <row r="340" spans="1:19" ht="12.5" x14ac:dyDescent="0.25">
      <c r="A340" s="14" t="str">
        <f>HYPERLINK("https://gerandofalcoes.my.salesforce.com/0014X00002VKCq5QAH", "0014X00002VKCq5QAH")</f>
        <v>0014X00002VKCq5QAH</v>
      </c>
      <c r="B340" s="2" t="s">
        <v>2304</v>
      </c>
      <c r="C340" s="2" t="s">
        <v>423</v>
      </c>
      <c r="D340" s="2" t="s">
        <v>2</v>
      </c>
      <c r="E340" s="2">
        <v>29</v>
      </c>
      <c r="F340" s="2">
        <v>3</v>
      </c>
      <c r="G340" s="2">
        <v>3</v>
      </c>
      <c r="H340" s="2">
        <v>30000</v>
      </c>
      <c r="I340" s="2">
        <v>50</v>
      </c>
      <c r="J340" s="2" t="s">
        <v>1671</v>
      </c>
      <c r="K340" s="2">
        <v>43</v>
      </c>
      <c r="L340" s="2">
        <v>15</v>
      </c>
      <c r="M340" s="2">
        <v>5</v>
      </c>
      <c r="N340" s="2">
        <v>8</v>
      </c>
      <c r="O340" s="2">
        <v>10</v>
      </c>
      <c r="P340" s="2">
        <v>5</v>
      </c>
      <c r="Q340" s="2" t="s">
        <v>2305</v>
      </c>
      <c r="R340" s="2" t="s">
        <v>2306</v>
      </c>
      <c r="S340" s="4">
        <v>44837</v>
      </c>
    </row>
    <row r="341" spans="1:19" ht="12.5" x14ac:dyDescent="0.25">
      <c r="A341" s="14" t="str">
        <f>HYPERLINK("https://gerandofalcoes.my.salesforce.com/0014X00002VKCv1QAH", "0014X00002VKCv1QAH")</f>
        <v>0014X00002VKCv1QAH</v>
      </c>
      <c r="B341" s="2" t="s">
        <v>2307</v>
      </c>
      <c r="C341" s="2" t="s">
        <v>423</v>
      </c>
      <c r="D341" s="2" t="s">
        <v>2</v>
      </c>
      <c r="E341" s="2">
        <v>29</v>
      </c>
      <c r="F341" s="2">
        <v>0</v>
      </c>
      <c r="G341" s="2">
        <v>2</v>
      </c>
      <c r="H341" s="2">
        <v>10000</v>
      </c>
      <c r="I341" s="2">
        <v>20</v>
      </c>
      <c r="J341" s="2" t="s">
        <v>1779</v>
      </c>
      <c r="K341" s="2">
        <v>31</v>
      </c>
      <c r="L341" s="2">
        <v>15</v>
      </c>
      <c r="M341" s="2">
        <v>0</v>
      </c>
      <c r="N341" s="2">
        <v>6</v>
      </c>
      <c r="O341" s="2">
        <v>5</v>
      </c>
      <c r="P341" s="2">
        <v>5</v>
      </c>
      <c r="Q341" s="2" t="s">
        <v>2308</v>
      </c>
      <c r="R341" s="2" t="s">
        <v>2308</v>
      </c>
      <c r="S341" s="4">
        <v>44837</v>
      </c>
    </row>
    <row r="342" spans="1:19" ht="12.5" x14ac:dyDescent="0.25">
      <c r="A342" s="14" t="str">
        <f>HYPERLINK("https://gerandofalcoes.my.salesforce.com/0014P00003YSp8eQAD", "0014P00003YSp8eQAD")</f>
        <v>0014P00003YSp8eQAD</v>
      </c>
      <c r="B342" s="2" t="s">
        <v>2309</v>
      </c>
      <c r="C342" s="2" t="s">
        <v>1800</v>
      </c>
      <c r="D342" s="2" t="s">
        <v>2</v>
      </c>
      <c r="E342" s="2">
        <v>29</v>
      </c>
      <c r="F342" s="2">
        <v>0</v>
      </c>
      <c r="G342" s="2">
        <v>3</v>
      </c>
      <c r="H342" s="2">
        <v>350000</v>
      </c>
      <c r="I342" s="2">
        <v>0</v>
      </c>
      <c r="J342" s="2" t="s">
        <v>1671</v>
      </c>
      <c r="K342" s="2">
        <v>43</v>
      </c>
      <c r="L342" s="2">
        <v>15</v>
      </c>
      <c r="M342" s="2">
        <v>0</v>
      </c>
      <c r="N342" s="2">
        <v>8</v>
      </c>
      <c r="O342" s="2">
        <v>20</v>
      </c>
      <c r="P342" s="2">
        <v>0</v>
      </c>
      <c r="Q342" s="2" t="s">
        <v>2310</v>
      </c>
      <c r="R342" s="2" t="s">
        <v>2311</v>
      </c>
      <c r="S342" s="4">
        <v>44837</v>
      </c>
    </row>
    <row r="343" spans="1:19" ht="12.5" x14ac:dyDescent="0.25">
      <c r="A343" s="14" t="str">
        <f>HYPERLINK("https://gerandofalcoes.my.salesforce.com/0014P00003YSp9PQAT", "0014P00003YSp9PQAT")</f>
        <v>0014P00003YSp9PQAT</v>
      </c>
      <c r="B343" s="2" t="s">
        <v>2312</v>
      </c>
      <c r="C343" s="2" t="s">
        <v>423</v>
      </c>
      <c r="D343" s="2" t="s">
        <v>2</v>
      </c>
      <c r="E343" s="2">
        <v>28.92</v>
      </c>
      <c r="F343" s="2">
        <v>1</v>
      </c>
      <c r="G343" s="2">
        <v>2</v>
      </c>
      <c r="H343" s="2">
        <v>105000</v>
      </c>
      <c r="I343" s="2">
        <v>0</v>
      </c>
      <c r="J343" s="2" t="s">
        <v>1671</v>
      </c>
      <c r="K343" s="2">
        <v>41</v>
      </c>
      <c r="L343" s="2">
        <v>15</v>
      </c>
      <c r="M343" s="2">
        <v>5</v>
      </c>
      <c r="N343" s="2">
        <v>6</v>
      </c>
      <c r="O343" s="2">
        <v>15</v>
      </c>
      <c r="P343" s="2">
        <v>0</v>
      </c>
      <c r="Q343" s="2" t="s">
        <v>2313</v>
      </c>
      <c r="R343" s="2" t="s">
        <v>2313</v>
      </c>
      <c r="S343" s="4">
        <v>44837</v>
      </c>
    </row>
    <row r="344" spans="1:19" ht="12.5" x14ac:dyDescent="0.25">
      <c r="A344" s="14" t="str">
        <f>HYPERLINK("https://gerandofalcoes.my.salesforce.com/0014P00003SGWQ2QAP", "0014P00003SGWQ2QAP")</f>
        <v>0014P00003SGWQ2QAP</v>
      </c>
      <c r="B344" s="2" t="s">
        <v>194</v>
      </c>
      <c r="C344" s="2" t="s">
        <v>423</v>
      </c>
      <c r="D344" s="2" t="s">
        <v>2</v>
      </c>
      <c r="E344" s="2">
        <v>28.78</v>
      </c>
      <c r="F344" s="2">
        <v>0</v>
      </c>
      <c r="G344" s="2">
        <v>3</v>
      </c>
      <c r="H344" s="2">
        <v>0</v>
      </c>
      <c r="I344" s="2">
        <v>150</v>
      </c>
      <c r="J344" s="2" t="s">
        <v>1779</v>
      </c>
      <c r="K344" s="2">
        <v>35</v>
      </c>
      <c r="L344" s="2">
        <v>15</v>
      </c>
      <c r="M344" s="2">
        <v>0</v>
      </c>
      <c r="N344" s="2">
        <v>8</v>
      </c>
      <c r="O344" s="2">
        <v>0</v>
      </c>
      <c r="P344" s="2">
        <v>12</v>
      </c>
      <c r="Q344" s="2" t="s">
        <v>195</v>
      </c>
      <c r="R344" s="2" t="s">
        <v>1128</v>
      </c>
      <c r="S344" s="4">
        <v>44837</v>
      </c>
    </row>
    <row r="345" spans="1:19" ht="12.5" x14ac:dyDescent="0.25">
      <c r="A345" s="14" t="str">
        <f>HYPERLINK("https://gerandofalcoes.my.salesforce.com/0014X00002YggmAQAR", "0014X00002YggmAQAR")</f>
        <v>0014X00002YggmAQAR</v>
      </c>
      <c r="B345" s="2" t="s">
        <v>3311</v>
      </c>
      <c r="C345" s="2" t="s">
        <v>423</v>
      </c>
      <c r="D345" s="2" t="s">
        <v>2</v>
      </c>
      <c r="E345" s="2">
        <v>28.56</v>
      </c>
      <c r="F345" s="2">
        <v>0</v>
      </c>
      <c r="G345" s="2">
        <v>5</v>
      </c>
      <c r="H345" s="2">
        <v>469000</v>
      </c>
      <c r="I345" s="2">
        <v>0</v>
      </c>
      <c r="J345" s="2" t="s">
        <v>1671</v>
      </c>
      <c r="K345" s="2">
        <v>45</v>
      </c>
      <c r="L345" s="2">
        <v>15</v>
      </c>
      <c r="M345" s="2">
        <v>0</v>
      </c>
      <c r="N345" s="2">
        <v>10</v>
      </c>
      <c r="O345" s="2">
        <v>20</v>
      </c>
      <c r="P345" s="2">
        <v>0</v>
      </c>
      <c r="Q345" s="2" t="s">
        <v>3312</v>
      </c>
      <c r="R345" s="2" t="s">
        <v>3313</v>
      </c>
      <c r="S345" s="4">
        <v>44953</v>
      </c>
    </row>
    <row r="346" spans="1:19" ht="12.5" x14ac:dyDescent="0.25">
      <c r="A346" s="14" t="str">
        <f>HYPERLINK("https://gerandofalcoes.my.salesforce.com/0014P00003SGWPLQA5", "0014P00003SGWPLQA5")</f>
        <v>0014P00003SGWPLQA5</v>
      </c>
      <c r="B346" s="2" t="s">
        <v>356</v>
      </c>
      <c r="C346" s="2" t="s">
        <v>423</v>
      </c>
      <c r="D346" s="2" t="s">
        <v>2</v>
      </c>
      <c r="E346" s="2">
        <v>28.48</v>
      </c>
      <c r="F346" s="2">
        <v>0</v>
      </c>
      <c r="G346" s="2">
        <v>3</v>
      </c>
      <c r="H346" s="2">
        <v>43894</v>
      </c>
      <c r="I346" s="2">
        <v>100</v>
      </c>
      <c r="J346" s="2" t="s">
        <v>1671</v>
      </c>
      <c r="K346" s="2">
        <v>43</v>
      </c>
      <c r="L346" s="2">
        <v>15</v>
      </c>
      <c r="M346" s="2">
        <v>0</v>
      </c>
      <c r="N346" s="2">
        <v>8</v>
      </c>
      <c r="O346" s="2">
        <v>10</v>
      </c>
      <c r="P346" s="2">
        <v>10</v>
      </c>
      <c r="Q346" s="2" t="s">
        <v>357</v>
      </c>
      <c r="R346" s="2" t="s">
        <v>2314</v>
      </c>
      <c r="S346" s="4">
        <v>44837</v>
      </c>
    </row>
    <row r="347" spans="1:19" ht="12.5" x14ac:dyDescent="0.25">
      <c r="A347" s="14" t="str">
        <f>HYPERLINK("https://gerandofalcoes.my.salesforce.com/0014X00002VKCqZQAX", "0014X00002VKCqZQAX")</f>
        <v>0014X00002VKCqZQAX</v>
      </c>
      <c r="B347" s="2" t="s">
        <v>2315</v>
      </c>
      <c r="C347" s="2" t="s">
        <v>423</v>
      </c>
      <c r="D347" s="2" t="s">
        <v>2</v>
      </c>
      <c r="E347" s="2">
        <v>28.46</v>
      </c>
      <c r="F347" s="2">
        <v>0</v>
      </c>
      <c r="G347" s="2">
        <v>25</v>
      </c>
      <c r="H347" s="2">
        <v>31680</v>
      </c>
      <c r="I347" s="2">
        <v>30</v>
      </c>
      <c r="J347" s="2" t="s">
        <v>1671</v>
      </c>
      <c r="K347" s="2">
        <v>40</v>
      </c>
      <c r="L347" s="2">
        <v>15</v>
      </c>
      <c r="M347" s="2">
        <v>0</v>
      </c>
      <c r="N347" s="2">
        <v>10</v>
      </c>
      <c r="O347" s="2">
        <v>10</v>
      </c>
      <c r="P347" s="2">
        <v>5</v>
      </c>
      <c r="Q347" s="2" t="s">
        <v>2316</v>
      </c>
      <c r="R347" s="2" t="s">
        <v>2316</v>
      </c>
      <c r="S347" s="4">
        <v>44837</v>
      </c>
    </row>
    <row r="348" spans="1:19" ht="12.5" x14ac:dyDescent="0.25">
      <c r="A348" s="14" t="str">
        <f>HYPERLINK("https://gerandofalcoes.my.salesforce.com/0014X00002VKCq3QAH", "0014X00002VKCq3QAH")</f>
        <v>0014X00002VKCq3QAH</v>
      </c>
      <c r="B348" s="2" t="s">
        <v>3825</v>
      </c>
      <c r="C348" s="2" t="s">
        <v>423</v>
      </c>
      <c r="D348" s="2" t="s">
        <v>2</v>
      </c>
      <c r="E348" s="2">
        <v>28.4</v>
      </c>
      <c r="F348" s="2">
        <v>0</v>
      </c>
      <c r="G348" s="2">
        <v>0</v>
      </c>
      <c r="H348" s="2">
        <v>518799</v>
      </c>
      <c r="I348" s="2">
        <v>22</v>
      </c>
      <c r="J348" s="2" t="s">
        <v>1671</v>
      </c>
      <c r="K348" s="2">
        <v>40</v>
      </c>
      <c r="L348" s="2">
        <v>15</v>
      </c>
      <c r="M348" s="2">
        <v>0</v>
      </c>
      <c r="N348" s="2">
        <v>0</v>
      </c>
      <c r="O348" s="2">
        <v>20</v>
      </c>
      <c r="P348" s="2">
        <v>5</v>
      </c>
      <c r="Q348" s="2" t="s">
        <v>3826</v>
      </c>
      <c r="R348" s="2" t="s">
        <v>3826</v>
      </c>
      <c r="S348" s="4">
        <v>45015</v>
      </c>
    </row>
    <row r="349" spans="1:19" ht="12.5" x14ac:dyDescent="0.25">
      <c r="A349" s="14" t="str">
        <f>HYPERLINK("https://gerandofalcoes.my.salesforce.com/0014X00002PUOY7QAP", "0014X00002PUOY7QAP")</f>
        <v>0014X00002PUOY7QAP</v>
      </c>
      <c r="B349" s="2" t="s">
        <v>2317</v>
      </c>
      <c r="C349" s="2" t="s">
        <v>423</v>
      </c>
      <c r="D349" s="2" t="s">
        <v>2</v>
      </c>
      <c r="E349" s="2">
        <v>28</v>
      </c>
      <c r="F349" s="2">
        <v>28</v>
      </c>
      <c r="G349" s="2">
        <v>3</v>
      </c>
      <c r="H349" s="2">
        <v>200000</v>
      </c>
      <c r="I349" s="2">
        <v>500</v>
      </c>
      <c r="J349" s="2" t="s">
        <v>1650</v>
      </c>
      <c r="K349" s="2">
        <v>70</v>
      </c>
      <c r="L349" s="2">
        <v>15</v>
      </c>
      <c r="M349" s="2">
        <v>12</v>
      </c>
      <c r="N349" s="2">
        <v>8</v>
      </c>
      <c r="O349" s="2">
        <v>15</v>
      </c>
      <c r="P349" s="2">
        <v>20</v>
      </c>
      <c r="Q349" s="2" t="s">
        <v>448</v>
      </c>
      <c r="R349" s="2" t="s">
        <v>448</v>
      </c>
      <c r="S349" s="4">
        <v>44837</v>
      </c>
    </row>
    <row r="350" spans="1:19" ht="12.5" x14ac:dyDescent="0.25">
      <c r="A350" s="14" t="str">
        <f>HYPERLINK("https://gerandofalcoes.my.salesforce.com/0014P00003AN2FbQAL", "0014P00003AN2FbQAL")</f>
        <v>0014P00003AN2FbQAL</v>
      </c>
      <c r="B350" s="2" t="s">
        <v>2318</v>
      </c>
      <c r="C350" s="2" t="s">
        <v>423</v>
      </c>
      <c r="D350" s="2" t="s">
        <v>2</v>
      </c>
      <c r="E350" s="2">
        <v>28</v>
      </c>
      <c r="F350" s="2">
        <v>0</v>
      </c>
      <c r="G350" s="2">
        <v>0</v>
      </c>
      <c r="H350" s="2">
        <v>20000</v>
      </c>
      <c r="I350" s="2">
        <v>330</v>
      </c>
      <c r="J350" s="2" t="s">
        <v>1779</v>
      </c>
      <c r="K350" s="2">
        <v>35</v>
      </c>
      <c r="L350" s="2">
        <v>15</v>
      </c>
      <c r="M350" s="2">
        <v>0</v>
      </c>
      <c r="N350" s="2">
        <v>0</v>
      </c>
      <c r="O350" s="2">
        <v>5</v>
      </c>
      <c r="P350" s="2">
        <v>15</v>
      </c>
      <c r="Q350" s="2" t="s">
        <v>88</v>
      </c>
      <c r="R350" s="2" t="s">
        <v>88</v>
      </c>
      <c r="S350" s="4">
        <v>44837</v>
      </c>
    </row>
    <row r="351" spans="1:19" ht="12.5" x14ac:dyDescent="0.25">
      <c r="A351" s="14" t="str">
        <f>HYPERLINK("https://gerandofalcoes.my.salesforce.com/0014P00003YSp8UQAT", "0014P00003YSp8UQAT")</f>
        <v>0014P00003YSp8UQAT</v>
      </c>
      <c r="B351" s="2" t="s">
        <v>2319</v>
      </c>
      <c r="C351" s="2" t="s">
        <v>423</v>
      </c>
      <c r="D351" s="2" t="s">
        <v>2</v>
      </c>
      <c r="E351" s="2">
        <v>28</v>
      </c>
      <c r="F351" s="2">
        <v>0</v>
      </c>
      <c r="G351" s="2">
        <v>3</v>
      </c>
      <c r="H351" s="2">
        <v>9994</v>
      </c>
      <c r="I351" s="2">
        <v>110</v>
      </c>
      <c r="J351" s="2" t="s">
        <v>1779</v>
      </c>
      <c r="K351" s="2">
        <v>38</v>
      </c>
      <c r="L351" s="2">
        <v>15</v>
      </c>
      <c r="M351" s="2">
        <v>0</v>
      </c>
      <c r="N351" s="2">
        <v>8</v>
      </c>
      <c r="O351" s="2">
        <v>5</v>
      </c>
      <c r="P351" s="2">
        <v>10</v>
      </c>
      <c r="Q351" s="2" t="s">
        <v>2320</v>
      </c>
      <c r="R351" s="2" t="s">
        <v>2321</v>
      </c>
      <c r="S351" s="4">
        <v>44837</v>
      </c>
    </row>
    <row r="352" spans="1:19" ht="12.5" x14ac:dyDescent="0.25">
      <c r="A352" s="14" t="str">
        <f>HYPERLINK("https://gerandofalcoes.my.salesforce.com/0014X00002VKCqYQAX", "0014X00002VKCqYQAX")</f>
        <v>0014X00002VKCqYQAX</v>
      </c>
      <c r="B352" s="2" t="s">
        <v>2322</v>
      </c>
      <c r="C352" s="2" t="s">
        <v>1800</v>
      </c>
      <c r="D352" s="2" t="s">
        <v>2</v>
      </c>
      <c r="E352" s="2">
        <v>28</v>
      </c>
      <c r="F352" s="2">
        <v>1</v>
      </c>
      <c r="G352" s="2">
        <v>6</v>
      </c>
      <c r="H352" s="2">
        <v>5000</v>
      </c>
      <c r="I352" s="2">
        <v>80</v>
      </c>
      <c r="J352" s="2" t="s">
        <v>1671</v>
      </c>
      <c r="K352" s="2">
        <v>45</v>
      </c>
      <c r="L352" s="2">
        <v>15</v>
      </c>
      <c r="M352" s="2">
        <v>5</v>
      </c>
      <c r="N352" s="2">
        <v>10</v>
      </c>
      <c r="O352" s="2">
        <v>5</v>
      </c>
      <c r="P352" s="2">
        <v>10</v>
      </c>
      <c r="Q352" s="2" t="s">
        <v>2323</v>
      </c>
      <c r="R352" s="2" t="s">
        <v>2324</v>
      </c>
      <c r="S352" s="4">
        <v>44837</v>
      </c>
    </row>
    <row r="353" spans="1:19" ht="12.5" x14ac:dyDescent="0.25">
      <c r="A353" s="14" t="str">
        <f>HYPERLINK("https://gerandofalcoes.my.salesforce.com/0014P00003YSp88QAD", "0014P00003YSp88QAD")</f>
        <v>0014P00003YSp88QAD</v>
      </c>
      <c r="B353" s="2" t="s">
        <v>2325</v>
      </c>
      <c r="C353" s="2" t="s">
        <v>1800</v>
      </c>
      <c r="D353" s="2" t="s">
        <v>2</v>
      </c>
      <c r="E353" s="2">
        <v>28</v>
      </c>
      <c r="F353" s="2">
        <v>0</v>
      </c>
      <c r="G353" s="2">
        <v>2</v>
      </c>
      <c r="H353" s="2">
        <v>0</v>
      </c>
      <c r="I353" s="2">
        <v>80</v>
      </c>
      <c r="J353" s="2" t="s">
        <v>1779</v>
      </c>
      <c r="K353" s="2">
        <v>31</v>
      </c>
      <c r="L353" s="2">
        <v>15</v>
      </c>
      <c r="M353" s="2">
        <v>0</v>
      </c>
      <c r="N353" s="2">
        <v>6</v>
      </c>
      <c r="O353" s="2">
        <v>0</v>
      </c>
      <c r="P353" s="2">
        <v>10</v>
      </c>
      <c r="Q353" s="2" t="s">
        <v>2326</v>
      </c>
      <c r="R353" s="2" t="s">
        <v>2327</v>
      </c>
      <c r="S353" s="4">
        <v>44837</v>
      </c>
    </row>
    <row r="354" spans="1:19" ht="12.5" x14ac:dyDescent="0.25">
      <c r="A354" s="14" t="str">
        <f>HYPERLINK("https://gerandofalcoes.my.salesforce.com/0014X00002VKCpYQAX", "0014X00002VKCpYQAX")</f>
        <v>0014X00002VKCpYQAX</v>
      </c>
      <c r="B354" s="2" t="s">
        <v>2328</v>
      </c>
      <c r="C354" s="2" t="s">
        <v>423</v>
      </c>
      <c r="D354" s="2" t="s">
        <v>2</v>
      </c>
      <c r="E354" s="2">
        <v>28</v>
      </c>
      <c r="F354" s="2">
        <v>0</v>
      </c>
      <c r="G354" s="2">
        <v>5</v>
      </c>
      <c r="H354" s="2">
        <v>4000</v>
      </c>
      <c r="I354" s="2">
        <v>30</v>
      </c>
      <c r="J354" s="2" t="s">
        <v>1779</v>
      </c>
      <c r="K354" s="2">
        <v>35</v>
      </c>
      <c r="L354" s="2">
        <v>15</v>
      </c>
      <c r="M354" s="2">
        <v>0</v>
      </c>
      <c r="N354" s="2">
        <v>10</v>
      </c>
      <c r="O354" s="2">
        <v>5</v>
      </c>
      <c r="P354" s="2">
        <v>5</v>
      </c>
      <c r="Q354" s="2" t="s">
        <v>2329</v>
      </c>
      <c r="R354" s="2" t="s">
        <v>2329</v>
      </c>
      <c r="S354" s="4">
        <v>44837</v>
      </c>
    </row>
    <row r="355" spans="1:19" ht="12.5" x14ac:dyDescent="0.25">
      <c r="A355" s="14" t="str">
        <f>HYPERLINK("https://gerandofalcoes.my.salesforce.com/0014P00003YSp9xQAD", "0014P00003YSp9xQAD")</f>
        <v>0014P00003YSp9xQAD</v>
      </c>
      <c r="B355" s="2" t="s">
        <v>2330</v>
      </c>
      <c r="C355" s="2" t="s">
        <v>1800</v>
      </c>
      <c r="D355" s="2" t="s">
        <v>2</v>
      </c>
      <c r="E355" s="2">
        <v>28</v>
      </c>
      <c r="F355" s="2">
        <v>0</v>
      </c>
      <c r="G355" s="2">
        <v>2</v>
      </c>
      <c r="H355" s="2">
        <v>120000</v>
      </c>
      <c r="I355" s="2">
        <v>29</v>
      </c>
      <c r="J355" s="2" t="s">
        <v>1671</v>
      </c>
      <c r="K355" s="2">
        <v>41</v>
      </c>
      <c r="L355" s="2">
        <v>15</v>
      </c>
      <c r="M355" s="2">
        <v>0</v>
      </c>
      <c r="N355" s="2">
        <v>6</v>
      </c>
      <c r="O355" s="2">
        <v>15</v>
      </c>
      <c r="P355" s="2">
        <v>5</v>
      </c>
      <c r="Q355" s="2" t="s">
        <v>2331</v>
      </c>
      <c r="R355" s="2" t="s">
        <v>2331</v>
      </c>
      <c r="S355" s="4">
        <v>44837</v>
      </c>
    </row>
    <row r="356" spans="1:19" ht="12.5" x14ac:dyDescent="0.25">
      <c r="A356" s="14" t="str">
        <f>HYPERLINK("https://gerandofalcoes.my.salesforce.com/0014X00002VKCpRQAX", "0014X00002VKCpRQAX")</f>
        <v>0014X00002VKCpRQAX</v>
      </c>
      <c r="B356" s="2" t="s">
        <v>2332</v>
      </c>
      <c r="C356" s="2" t="s">
        <v>1800</v>
      </c>
      <c r="D356" s="2" t="s">
        <v>2</v>
      </c>
      <c r="E356" s="2">
        <v>28</v>
      </c>
      <c r="F356" s="2">
        <v>0</v>
      </c>
      <c r="G356" s="2">
        <v>2</v>
      </c>
      <c r="H356" s="2">
        <v>32500000</v>
      </c>
      <c r="I356" s="2">
        <v>0</v>
      </c>
      <c r="J356" s="2" t="s">
        <v>1671</v>
      </c>
      <c r="K356" s="2">
        <v>46</v>
      </c>
      <c r="L356" s="2">
        <v>15</v>
      </c>
      <c r="M356" s="2">
        <v>0</v>
      </c>
      <c r="N356" s="2">
        <v>6</v>
      </c>
      <c r="O356" s="2">
        <v>25</v>
      </c>
      <c r="P356" s="2">
        <v>0</v>
      </c>
      <c r="Q356" s="2" t="s">
        <v>2333</v>
      </c>
      <c r="R356" s="2" t="s">
        <v>2334</v>
      </c>
      <c r="S356" s="4">
        <v>44837</v>
      </c>
    </row>
    <row r="357" spans="1:19" ht="12.5" x14ac:dyDescent="0.25">
      <c r="A357" s="14" t="str">
        <f>HYPERLINK("https://gerandofalcoes.my.salesforce.com/0014X00002VKCpDQAX", "0014X00002VKCpDQAX")</f>
        <v>0014X00002VKCpDQAX</v>
      </c>
      <c r="B357" s="2" t="s">
        <v>3898</v>
      </c>
      <c r="C357" s="2" t="s">
        <v>423</v>
      </c>
      <c r="D357" s="2" t="s">
        <v>2</v>
      </c>
      <c r="E357" s="2">
        <v>28</v>
      </c>
      <c r="F357" s="2">
        <v>15</v>
      </c>
      <c r="G357" s="2">
        <v>0</v>
      </c>
      <c r="H357" s="2">
        <v>0</v>
      </c>
      <c r="I357" s="2">
        <v>0</v>
      </c>
      <c r="J357" s="2"/>
      <c r="K357" s="2">
        <v>27</v>
      </c>
      <c r="L357" s="2">
        <v>15</v>
      </c>
      <c r="M357" s="2">
        <v>12</v>
      </c>
      <c r="N357" s="2">
        <v>0</v>
      </c>
      <c r="O357" s="2">
        <v>0</v>
      </c>
      <c r="P357" s="2">
        <v>0</v>
      </c>
      <c r="Q357" s="2" t="s">
        <v>3899</v>
      </c>
      <c r="R357" s="2" t="s">
        <v>3900</v>
      </c>
      <c r="S357" s="4">
        <v>45169</v>
      </c>
    </row>
    <row r="358" spans="1:19" ht="12.5" x14ac:dyDescent="0.25">
      <c r="A358" s="14" t="str">
        <f>HYPERLINK("https://gerandofalcoes.my.salesforce.com/0014P00003YSp8IQAT", "0014P00003YSp8IQAT")</f>
        <v>0014P00003YSp8IQAT</v>
      </c>
      <c r="B358" s="2" t="s">
        <v>2335</v>
      </c>
      <c r="C358" s="2" t="s">
        <v>423</v>
      </c>
      <c r="D358" s="2" t="s">
        <v>2</v>
      </c>
      <c r="E358" s="2">
        <v>27.89</v>
      </c>
      <c r="F358" s="2">
        <v>0</v>
      </c>
      <c r="G358" s="2">
        <v>3</v>
      </c>
      <c r="H358" s="2">
        <v>9000000</v>
      </c>
      <c r="I358" s="2">
        <v>250</v>
      </c>
      <c r="J358" s="2" t="s">
        <v>1671</v>
      </c>
      <c r="K358" s="2">
        <v>60</v>
      </c>
      <c r="L358" s="2">
        <v>15</v>
      </c>
      <c r="M358" s="2">
        <v>0</v>
      </c>
      <c r="N358" s="2">
        <v>8</v>
      </c>
      <c r="O358" s="2">
        <v>25</v>
      </c>
      <c r="P358" s="2">
        <v>12</v>
      </c>
      <c r="Q358" s="2" t="s">
        <v>2336</v>
      </c>
      <c r="R358" s="2" t="s">
        <v>2337</v>
      </c>
      <c r="S358" s="4">
        <v>44837</v>
      </c>
    </row>
    <row r="359" spans="1:19" ht="12.5" x14ac:dyDescent="0.25">
      <c r="A359" s="14" t="str">
        <f>HYPERLINK("https://gerandofalcoes.my.salesforce.com/0014X00002VKCqeQAH", "0014X00002VKCqeQAH")</f>
        <v>0014X00002VKCqeQAH</v>
      </c>
      <c r="B359" s="2" t="s">
        <v>2338</v>
      </c>
      <c r="C359" s="2" t="s">
        <v>423</v>
      </c>
      <c r="D359" s="2" t="s">
        <v>2</v>
      </c>
      <c r="E359" s="2">
        <v>27.33</v>
      </c>
      <c r="F359" s="2">
        <v>0</v>
      </c>
      <c r="G359" s="2">
        <v>0</v>
      </c>
      <c r="H359" s="2">
        <v>0</v>
      </c>
      <c r="I359" s="2">
        <v>120</v>
      </c>
      <c r="J359" s="2" t="s">
        <v>1779</v>
      </c>
      <c r="K359" s="2">
        <v>25</v>
      </c>
      <c r="L359" s="2">
        <v>15</v>
      </c>
      <c r="M359" s="2">
        <v>0</v>
      </c>
      <c r="N359" s="2">
        <v>0</v>
      </c>
      <c r="O359" s="2">
        <v>0</v>
      </c>
      <c r="P359" s="2">
        <v>10</v>
      </c>
      <c r="Q359" s="2" t="s">
        <v>2339</v>
      </c>
      <c r="R359" s="2" t="s">
        <v>2339</v>
      </c>
      <c r="S359" s="4">
        <v>44837</v>
      </c>
    </row>
    <row r="360" spans="1:19" ht="12.5" x14ac:dyDescent="0.25">
      <c r="A360" s="14" t="str">
        <f>HYPERLINK("https://gerandofalcoes.my.salesforce.com/0014X00002VKCpyQAH", "0014X00002VKCpyQAH")</f>
        <v>0014X00002VKCpyQAH</v>
      </c>
      <c r="B360" s="2" t="s">
        <v>2340</v>
      </c>
      <c r="C360" s="2" t="s">
        <v>423</v>
      </c>
      <c r="D360" s="2" t="s">
        <v>2</v>
      </c>
      <c r="E360" s="2">
        <v>27.22</v>
      </c>
      <c r="F360" s="2">
        <v>0</v>
      </c>
      <c r="G360" s="2">
        <v>3</v>
      </c>
      <c r="H360" s="2">
        <v>20030</v>
      </c>
      <c r="I360" s="2">
        <v>294</v>
      </c>
      <c r="J360" s="2" t="s">
        <v>1671</v>
      </c>
      <c r="K360" s="2">
        <v>40</v>
      </c>
      <c r="L360" s="2">
        <v>15</v>
      </c>
      <c r="M360" s="2">
        <v>0</v>
      </c>
      <c r="N360" s="2">
        <v>8</v>
      </c>
      <c r="O360" s="2">
        <v>5</v>
      </c>
      <c r="P360" s="2">
        <v>12</v>
      </c>
      <c r="Q360" s="2" t="s">
        <v>2341</v>
      </c>
      <c r="R360" s="2" t="s">
        <v>2342</v>
      </c>
      <c r="S360" s="4">
        <v>44837</v>
      </c>
    </row>
    <row r="361" spans="1:19" ht="12.5" x14ac:dyDescent="0.25">
      <c r="A361" s="14" t="str">
        <f>HYPERLINK("https://gerandofalcoes.my.salesforce.com/0014X00002VKCv8QAH", "0014X00002VKCv8QAH")</f>
        <v>0014X00002VKCv8QAH</v>
      </c>
      <c r="B361" s="2" t="s">
        <v>2343</v>
      </c>
      <c r="C361" s="2" t="s">
        <v>423</v>
      </c>
      <c r="D361" s="2" t="s">
        <v>2</v>
      </c>
      <c r="E361" s="2">
        <v>27.08</v>
      </c>
      <c r="F361" s="2">
        <v>0</v>
      </c>
      <c r="G361" s="2">
        <v>0</v>
      </c>
      <c r="H361" s="2">
        <v>0</v>
      </c>
      <c r="I361" s="2">
        <v>400</v>
      </c>
      <c r="J361" s="2" t="s">
        <v>1779</v>
      </c>
      <c r="K361" s="2">
        <v>30</v>
      </c>
      <c r="L361" s="2">
        <v>15</v>
      </c>
      <c r="M361" s="2">
        <v>0</v>
      </c>
      <c r="N361" s="2">
        <v>0</v>
      </c>
      <c r="O361" s="2">
        <v>0</v>
      </c>
      <c r="P361" s="2">
        <v>15</v>
      </c>
      <c r="Q361" s="2" t="s">
        <v>2344</v>
      </c>
      <c r="R361" s="2" t="s">
        <v>2345</v>
      </c>
      <c r="S361" s="4">
        <v>44837</v>
      </c>
    </row>
    <row r="362" spans="1:19" ht="12.5" x14ac:dyDescent="0.25">
      <c r="A362" s="14" t="str">
        <f>HYPERLINK("https://gerandofalcoes.my.salesforce.com/0014X00002VKCpzQAH", "0014X00002VKCpzQAH")</f>
        <v>0014X00002VKCpzQAH</v>
      </c>
      <c r="B362" s="2" t="s">
        <v>2346</v>
      </c>
      <c r="C362" s="2" t="s">
        <v>423</v>
      </c>
      <c r="D362" s="2" t="s">
        <v>2</v>
      </c>
      <c r="E362" s="2">
        <v>27.04</v>
      </c>
      <c r="F362" s="2">
        <v>0</v>
      </c>
      <c r="G362" s="2">
        <v>2</v>
      </c>
      <c r="H362" s="2">
        <v>38315</v>
      </c>
      <c r="I362" s="2">
        <v>120</v>
      </c>
      <c r="J362" s="2" t="s">
        <v>1671</v>
      </c>
      <c r="K362" s="2">
        <v>41</v>
      </c>
      <c r="L362" s="2">
        <v>15</v>
      </c>
      <c r="M362" s="2">
        <v>0</v>
      </c>
      <c r="N362" s="2">
        <v>6</v>
      </c>
      <c r="O362" s="2">
        <v>10</v>
      </c>
      <c r="P362" s="2">
        <v>10</v>
      </c>
      <c r="Q362" s="2" t="s">
        <v>2347</v>
      </c>
      <c r="R362" s="2" t="s">
        <v>2348</v>
      </c>
      <c r="S362" s="4">
        <v>44837</v>
      </c>
    </row>
    <row r="363" spans="1:19" ht="12.5" x14ac:dyDescent="0.25">
      <c r="A363" s="14" t="str">
        <f>HYPERLINK("https://gerandofalcoes.my.salesforce.com/0014X00002YggmHQAR", "0014X00002YggmHQAR")</f>
        <v>0014X00002YggmHQAR</v>
      </c>
      <c r="B363" s="2" t="s">
        <v>3016</v>
      </c>
      <c r="C363" s="2" t="s">
        <v>423</v>
      </c>
      <c r="D363" s="2" t="s">
        <v>2</v>
      </c>
      <c r="E363" s="2">
        <v>27.03</v>
      </c>
      <c r="F363" s="2">
        <v>0</v>
      </c>
      <c r="G363" s="2">
        <v>5</v>
      </c>
      <c r="H363" s="2">
        <v>280524</v>
      </c>
      <c r="I363" s="2">
        <v>100</v>
      </c>
      <c r="J363" s="2" t="s">
        <v>1671</v>
      </c>
      <c r="K363" s="2">
        <v>50</v>
      </c>
      <c r="L363" s="2">
        <v>15</v>
      </c>
      <c r="M363" s="2">
        <v>0</v>
      </c>
      <c r="N363" s="2">
        <v>10</v>
      </c>
      <c r="O363" s="2">
        <v>15</v>
      </c>
      <c r="P363" s="2">
        <v>10</v>
      </c>
      <c r="Q363" s="2" t="s">
        <v>3017</v>
      </c>
      <c r="R363" s="2" t="s">
        <v>3018</v>
      </c>
      <c r="S363" s="4">
        <v>44945</v>
      </c>
    </row>
    <row r="364" spans="1:19" ht="12.5" x14ac:dyDescent="0.25">
      <c r="A364" s="14" t="str">
        <f>HYPERLINK("https://gerandofalcoes.my.salesforce.com/0014X00002VKCqEQAX", "0014X00002VKCqEQAX")</f>
        <v>0014X00002VKCqEQAX</v>
      </c>
      <c r="B364" s="2" t="s">
        <v>2349</v>
      </c>
      <c r="C364" s="2" t="s">
        <v>1800</v>
      </c>
      <c r="D364" s="2" t="s">
        <v>2</v>
      </c>
      <c r="E364" s="2">
        <v>27</v>
      </c>
      <c r="F364" s="2">
        <v>0</v>
      </c>
      <c r="G364" s="2">
        <v>6</v>
      </c>
      <c r="H364" s="2">
        <v>18500</v>
      </c>
      <c r="I364" s="2">
        <v>116</v>
      </c>
      <c r="J364" s="2" t="s">
        <v>1671</v>
      </c>
      <c r="K364" s="2">
        <v>40</v>
      </c>
      <c r="L364" s="2">
        <v>15</v>
      </c>
      <c r="M364" s="2">
        <v>0</v>
      </c>
      <c r="N364" s="2">
        <v>10</v>
      </c>
      <c r="O364" s="2">
        <v>5</v>
      </c>
      <c r="P364" s="2">
        <v>10</v>
      </c>
      <c r="Q364" s="2" t="s">
        <v>2350</v>
      </c>
      <c r="R364" s="2" t="s">
        <v>2351</v>
      </c>
      <c r="S364" s="4">
        <v>44837</v>
      </c>
    </row>
    <row r="365" spans="1:19" ht="12.5" hidden="1" x14ac:dyDescent="0.25">
      <c r="A365" s="14" t="str">
        <f>HYPERLINK("https://gerandofalcoes.my.salesforce.com/0014P00003SGWPVQA5", "0014P00003SGWPVQA5")</f>
        <v>0014P00003SGWPVQA5</v>
      </c>
      <c r="B365" s="2" t="s">
        <v>2352</v>
      </c>
      <c r="C365" s="2" t="s">
        <v>1684</v>
      </c>
      <c r="D365" s="2" t="s">
        <v>2</v>
      </c>
      <c r="E365" s="2">
        <v>27</v>
      </c>
      <c r="F365" s="2">
        <v>0</v>
      </c>
      <c r="G365" s="2">
        <v>1</v>
      </c>
      <c r="H365" s="2">
        <v>2000</v>
      </c>
      <c r="I365" s="2">
        <v>70</v>
      </c>
      <c r="J365" s="2" t="s">
        <v>1779</v>
      </c>
      <c r="K365" s="2">
        <v>29</v>
      </c>
      <c r="L365" s="2">
        <v>15</v>
      </c>
      <c r="M365" s="2">
        <v>0</v>
      </c>
      <c r="N365" s="2">
        <v>4</v>
      </c>
      <c r="O365" s="2">
        <v>5</v>
      </c>
      <c r="P365" s="2">
        <v>5</v>
      </c>
      <c r="Q365" s="2" t="s">
        <v>381</v>
      </c>
      <c r="R365" s="2" t="s">
        <v>2353</v>
      </c>
      <c r="S365" s="4">
        <v>44837</v>
      </c>
    </row>
    <row r="366" spans="1:19" ht="12.5" x14ac:dyDescent="0.25">
      <c r="A366" s="14" t="str">
        <f>HYPERLINK("https://gerandofalcoes.my.salesforce.com/0014X00002VKCsSQAX", "0014X00002VKCsSQAX")</f>
        <v>0014X00002VKCsSQAX</v>
      </c>
      <c r="B366" s="2" t="s">
        <v>2354</v>
      </c>
      <c r="C366" s="2" t="s">
        <v>423</v>
      </c>
      <c r="D366" s="2" t="s">
        <v>2</v>
      </c>
      <c r="E366" s="2">
        <v>27</v>
      </c>
      <c r="F366" s="2">
        <v>0</v>
      </c>
      <c r="G366" s="2">
        <v>3</v>
      </c>
      <c r="H366" s="2">
        <v>28800</v>
      </c>
      <c r="I366" s="2">
        <v>65</v>
      </c>
      <c r="J366" s="2" t="s">
        <v>1779</v>
      </c>
      <c r="K366" s="2">
        <v>38</v>
      </c>
      <c r="L366" s="2">
        <v>15</v>
      </c>
      <c r="M366" s="2">
        <v>0</v>
      </c>
      <c r="N366" s="2">
        <v>8</v>
      </c>
      <c r="O366" s="2">
        <v>10</v>
      </c>
      <c r="P366" s="2">
        <v>5</v>
      </c>
      <c r="Q366" s="2" t="s">
        <v>2355</v>
      </c>
      <c r="R366" s="2" t="s">
        <v>2356</v>
      </c>
      <c r="S366" s="4">
        <v>44837</v>
      </c>
    </row>
    <row r="367" spans="1:19" ht="12.5" x14ac:dyDescent="0.25">
      <c r="A367" s="14" t="str">
        <f>HYPERLINK("https://gerandofalcoes.my.salesforce.com/0014X00002VKCr9QAH", "0014X00002VKCr9QAH")</f>
        <v>0014X00002VKCr9QAH</v>
      </c>
      <c r="B367" s="2" t="s">
        <v>2357</v>
      </c>
      <c r="C367" s="2" t="s">
        <v>423</v>
      </c>
      <c r="D367" s="2" t="s">
        <v>2</v>
      </c>
      <c r="E367" s="2">
        <v>27</v>
      </c>
      <c r="F367" s="2">
        <v>0</v>
      </c>
      <c r="G367" s="2">
        <v>2</v>
      </c>
      <c r="H367" s="2">
        <v>0</v>
      </c>
      <c r="I367" s="2">
        <v>30</v>
      </c>
      <c r="J367" s="2" t="s">
        <v>1779</v>
      </c>
      <c r="K367" s="2">
        <v>26</v>
      </c>
      <c r="L367" s="2">
        <v>15</v>
      </c>
      <c r="M367" s="2">
        <v>0</v>
      </c>
      <c r="N367" s="2">
        <v>6</v>
      </c>
      <c r="O367" s="2">
        <v>0</v>
      </c>
      <c r="P367" s="2">
        <v>5</v>
      </c>
      <c r="Q367" s="2" t="s">
        <v>2358</v>
      </c>
      <c r="R367" s="2" t="s">
        <v>2358</v>
      </c>
      <c r="S367" s="4">
        <v>44837</v>
      </c>
    </row>
    <row r="368" spans="1:19" ht="12.5" x14ac:dyDescent="0.25">
      <c r="A368" s="14" t="str">
        <f>HYPERLINK("https://gerandofalcoes.my.salesforce.com/0014X00002VKCuoQAH", "0014X00002VKCuoQAH")</f>
        <v>0014X00002VKCuoQAH</v>
      </c>
      <c r="B368" s="2" t="s">
        <v>3840</v>
      </c>
      <c r="C368" s="2" t="s">
        <v>1800</v>
      </c>
      <c r="D368" s="2" t="s">
        <v>2</v>
      </c>
      <c r="E368" s="2">
        <v>27</v>
      </c>
      <c r="F368" s="2">
        <v>0</v>
      </c>
      <c r="G368" s="2">
        <v>2</v>
      </c>
      <c r="H368" s="2">
        <v>0</v>
      </c>
      <c r="I368" s="2">
        <v>0</v>
      </c>
      <c r="J368" s="2" t="s">
        <v>1779</v>
      </c>
      <c r="K368" s="2">
        <v>21</v>
      </c>
      <c r="L368" s="2">
        <v>15</v>
      </c>
      <c r="M368" s="2">
        <v>0</v>
      </c>
      <c r="N368" s="2">
        <v>6</v>
      </c>
      <c r="O368" s="2">
        <v>0</v>
      </c>
      <c r="P368" s="2">
        <v>0</v>
      </c>
      <c r="Q368" s="2" t="s">
        <v>3841</v>
      </c>
      <c r="R368" s="2" t="s">
        <v>3841</v>
      </c>
      <c r="S368" s="4">
        <v>45112</v>
      </c>
    </row>
    <row r="369" spans="1:19" ht="12.5" x14ac:dyDescent="0.25">
      <c r="A369" s="14" t="str">
        <f>HYPERLINK("https://gerandofalcoes.my.salesforce.com/0014P00003YSp8HQAT", "0014P00003YSp8HQAT")</f>
        <v>0014P00003YSp8HQAT</v>
      </c>
      <c r="B369" s="2" t="s">
        <v>2359</v>
      </c>
      <c r="C369" s="2" t="s">
        <v>423</v>
      </c>
      <c r="D369" s="2" t="s">
        <v>2</v>
      </c>
      <c r="E369" s="2">
        <v>26.96</v>
      </c>
      <c r="F369" s="2">
        <v>2</v>
      </c>
      <c r="G369" s="2">
        <v>1</v>
      </c>
      <c r="H369" s="2">
        <v>35000</v>
      </c>
      <c r="I369" s="2">
        <v>729</v>
      </c>
      <c r="J369" s="2" t="s">
        <v>1671</v>
      </c>
      <c r="K369" s="2">
        <v>54</v>
      </c>
      <c r="L369" s="2">
        <v>15</v>
      </c>
      <c r="M369" s="2">
        <v>5</v>
      </c>
      <c r="N369" s="2">
        <v>4</v>
      </c>
      <c r="O369" s="2">
        <v>10</v>
      </c>
      <c r="P369" s="2">
        <v>20</v>
      </c>
      <c r="Q369" s="2" t="s">
        <v>2360</v>
      </c>
      <c r="R369" s="2" t="s">
        <v>2361</v>
      </c>
      <c r="S369" s="4">
        <v>44837</v>
      </c>
    </row>
    <row r="370" spans="1:19" ht="12.5" x14ac:dyDescent="0.25">
      <c r="A370" s="14" t="str">
        <f>HYPERLINK("https://gerandofalcoes.my.salesforce.com/0014P00003YSp82QAD", "0014P00003YSp82QAD")</f>
        <v>0014P00003YSp82QAD</v>
      </c>
      <c r="B370" s="2" t="s">
        <v>2362</v>
      </c>
      <c r="C370" s="2" t="s">
        <v>423</v>
      </c>
      <c r="D370" s="2" t="s">
        <v>2</v>
      </c>
      <c r="E370" s="2">
        <v>26.88</v>
      </c>
      <c r="F370" s="2">
        <v>9</v>
      </c>
      <c r="G370" s="2">
        <v>5</v>
      </c>
      <c r="H370" s="2">
        <v>5224158</v>
      </c>
      <c r="I370" s="2">
        <v>80</v>
      </c>
      <c r="J370" s="2" t="s">
        <v>1650</v>
      </c>
      <c r="K370" s="2">
        <v>70</v>
      </c>
      <c r="L370" s="2">
        <v>15</v>
      </c>
      <c r="M370" s="2">
        <v>10</v>
      </c>
      <c r="N370" s="2">
        <v>10</v>
      </c>
      <c r="O370" s="2">
        <v>25</v>
      </c>
      <c r="P370" s="2">
        <v>10</v>
      </c>
      <c r="Q370" s="2" t="s">
        <v>2363</v>
      </c>
      <c r="R370" s="2" t="s">
        <v>2364</v>
      </c>
      <c r="S370" s="4">
        <v>44837</v>
      </c>
    </row>
    <row r="371" spans="1:19" ht="12.5" x14ac:dyDescent="0.25">
      <c r="A371" s="14" t="str">
        <f>HYPERLINK("https://gerandofalcoes.my.salesforce.com/0014X00002Yggk4QAB", "0014X00002Yggk4QAB")</f>
        <v>0014X00002Yggk4QAB</v>
      </c>
      <c r="B371" s="2" t="s">
        <v>4073</v>
      </c>
      <c r="C371" s="2" t="s">
        <v>423</v>
      </c>
      <c r="D371" s="2" t="s">
        <v>2</v>
      </c>
      <c r="E371" s="2">
        <v>26.77</v>
      </c>
      <c r="F371" s="2">
        <v>2</v>
      </c>
      <c r="G371" s="2">
        <v>2</v>
      </c>
      <c r="H371" s="2">
        <v>250000</v>
      </c>
      <c r="I371" s="2">
        <v>50</v>
      </c>
      <c r="J371" s="2"/>
      <c r="K371" s="2">
        <v>46</v>
      </c>
      <c r="L371" s="2">
        <v>15</v>
      </c>
      <c r="M371" s="2">
        <v>5</v>
      </c>
      <c r="N371" s="2">
        <v>6</v>
      </c>
      <c r="O371" s="2">
        <v>15</v>
      </c>
      <c r="P371" s="2">
        <v>5</v>
      </c>
      <c r="Q371" s="2" t="s">
        <v>4074</v>
      </c>
      <c r="R371" s="2" t="s">
        <v>4075</v>
      </c>
      <c r="S371" s="4">
        <v>45169</v>
      </c>
    </row>
    <row r="372" spans="1:19" ht="12.5" x14ac:dyDescent="0.25">
      <c r="A372" s="14" t="str">
        <f>HYPERLINK("https://gerandofalcoes.my.salesforce.com/0014X00002YgggxQAB", "0014X00002YgggxQAB")</f>
        <v>0014X00002YgggxQAB</v>
      </c>
      <c r="B372" s="2" t="s">
        <v>3698</v>
      </c>
      <c r="C372" s="2" t="s">
        <v>423</v>
      </c>
      <c r="D372" s="2" t="s">
        <v>2</v>
      </c>
      <c r="E372" s="2">
        <v>26.65</v>
      </c>
      <c r="F372" s="2">
        <v>0</v>
      </c>
      <c r="G372" s="2">
        <v>2</v>
      </c>
      <c r="H372" s="2">
        <v>131802.91</v>
      </c>
      <c r="I372" s="2">
        <v>50</v>
      </c>
      <c r="J372" s="2" t="s">
        <v>1671</v>
      </c>
      <c r="K372" s="2">
        <v>41</v>
      </c>
      <c r="L372" s="2">
        <v>15</v>
      </c>
      <c r="M372" s="2">
        <v>0</v>
      </c>
      <c r="N372" s="2">
        <v>6</v>
      </c>
      <c r="O372" s="2">
        <v>15</v>
      </c>
      <c r="P372" s="2">
        <v>5</v>
      </c>
      <c r="Q372" s="2" t="s">
        <v>3699</v>
      </c>
      <c r="R372" s="2" t="s">
        <v>3700</v>
      </c>
      <c r="S372" s="4">
        <v>44967</v>
      </c>
    </row>
    <row r="373" spans="1:19" ht="12.5" x14ac:dyDescent="0.25">
      <c r="A373" s="14" t="str">
        <f>HYPERLINK("https://gerandofalcoes.my.salesforce.com/0014X00002YggniQAB", "0014X00002YggniQAB")</f>
        <v>0014X00002YggniQAB</v>
      </c>
      <c r="B373" s="2" t="s">
        <v>3647</v>
      </c>
      <c r="C373" s="2" t="s">
        <v>423</v>
      </c>
      <c r="D373" s="2" t="s">
        <v>2</v>
      </c>
      <c r="E373" s="2">
        <v>26.49</v>
      </c>
      <c r="F373" s="2">
        <v>30</v>
      </c>
      <c r="G373" s="2">
        <v>7</v>
      </c>
      <c r="H373" s="2">
        <v>1235895</v>
      </c>
      <c r="I373" s="2">
        <v>0</v>
      </c>
      <c r="J373" s="2" t="s">
        <v>1671</v>
      </c>
      <c r="K373" s="2">
        <v>62</v>
      </c>
      <c r="L373" s="2">
        <v>15</v>
      </c>
      <c r="M373" s="2">
        <v>12</v>
      </c>
      <c r="N373" s="2">
        <v>10</v>
      </c>
      <c r="O373" s="2">
        <v>25</v>
      </c>
      <c r="P373" s="2">
        <v>0</v>
      </c>
      <c r="Q373" s="2" t="s">
        <v>3648</v>
      </c>
      <c r="R373" s="2" t="s">
        <v>3649</v>
      </c>
      <c r="S373" s="4">
        <v>44964</v>
      </c>
    </row>
    <row r="374" spans="1:19" ht="12.5" x14ac:dyDescent="0.25">
      <c r="A374" s="14" t="str">
        <f>HYPERLINK("https://gerandofalcoes.my.salesforce.com/0014X00002Yggj7QAB", "0014X00002Yggj7QAB")</f>
        <v>0014X00002Yggj7QAB</v>
      </c>
      <c r="B374" s="2" t="s">
        <v>3650</v>
      </c>
      <c r="C374" s="2" t="s">
        <v>423</v>
      </c>
      <c r="D374" s="2" t="s">
        <v>2</v>
      </c>
      <c r="E374" s="2">
        <v>26.38</v>
      </c>
      <c r="F374" s="2">
        <v>0</v>
      </c>
      <c r="G374" s="2">
        <v>2</v>
      </c>
      <c r="H374" s="2">
        <v>90000</v>
      </c>
      <c r="I374" s="2">
        <v>40</v>
      </c>
      <c r="J374" s="2" t="s">
        <v>1779</v>
      </c>
      <c r="K374" s="2">
        <v>36</v>
      </c>
      <c r="L374" s="2">
        <v>15</v>
      </c>
      <c r="M374" s="2">
        <v>0</v>
      </c>
      <c r="N374" s="2">
        <v>6</v>
      </c>
      <c r="O374" s="2">
        <v>10</v>
      </c>
      <c r="P374" s="2">
        <v>5</v>
      </c>
      <c r="Q374" s="2" t="s">
        <v>3651</v>
      </c>
      <c r="R374" s="2" t="s">
        <v>3651</v>
      </c>
      <c r="S374" s="4">
        <v>44964</v>
      </c>
    </row>
    <row r="375" spans="1:19" ht="12.5" hidden="1" x14ac:dyDescent="0.25">
      <c r="A375" s="14" t="str">
        <f>HYPERLINK("https://gerandofalcoes.my.salesforce.com/0014X00002Yggo6QAB", "0014X00002Yggo6QAB")</f>
        <v>0014X00002Yggo6QAB</v>
      </c>
      <c r="B375" s="2" t="s">
        <v>3560</v>
      </c>
      <c r="C375" s="2" t="s">
        <v>1684</v>
      </c>
      <c r="D375" s="2" t="s">
        <v>2</v>
      </c>
      <c r="E375" s="2">
        <v>26.16</v>
      </c>
      <c r="F375" s="2">
        <v>2</v>
      </c>
      <c r="G375" s="2">
        <v>4</v>
      </c>
      <c r="H375" s="2">
        <v>38000</v>
      </c>
      <c r="I375" s="2">
        <v>30</v>
      </c>
      <c r="J375" s="2" t="s">
        <v>1671</v>
      </c>
      <c r="K375" s="2">
        <v>45</v>
      </c>
      <c r="L375" s="2">
        <v>15</v>
      </c>
      <c r="M375" s="2">
        <v>5</v>
      </c>
      <c r="N375" s="2">
        <v>10</v>
      </c>
      <c r="O375" s="2">
        <v>10</v>
      </c>
      <c r="P375" s="2">
        <v>5</v>
      </c>
      <c r="Q375" s="2" t="s">
        <v>3561</v>
      </c>
      <c r="R375" s="2" t="s">
        <v>3562</v>
      </c>
      <c r="S375" s="4">
        <v>44960</v>
      </c>
    </row>
    <row r="376" spans="1:19" ht="12.5" x14ac:dyDescent="0.25">
      <c r="A376" s="14" t="str">
        <f>HYPERLINK("https://gerandofalcoes.my.salesforce.com/0014P00003YSp8rQAD", "0014P00003YSp8rQAD")</f>
        <v>0014P00003YSp8rQAD</v>
      </c>
      <c r="B376" s="2" t="s">
        <v>2365</v>
      </c>
      <c r="C376" s="2" t="s">
        <v>423</v>
      </c>
      <c r="D376" s="2" t="s">
        <v>2</v>
      </c>
      <c r="E376" s="2">
        <v>26.07</v>
      </c>
      <c r="F376" s="2">
        <v>2</v>
      </c>
      <c r="G376" s="2">
        <v>3</v>
      </c>
      <c r="H376" s="2">
        <v>60000</v>
      </c>
      <c r="I376" s="2">
        <v>120</v>
      </c>
      <c r="J376" s="2" t="s">
        <v>1671</v>
      </c>
      <c r="K376" s="2">
        <v>48</v>
      </c>
      <c r="L376" s="2">
        <v>15</v>
      </c>
      <c r="M376" s="2">
        <v>5</v>
      </c>
      <c r="N376" s="2">
        <v>8</v>
      </c>
      <c r="O376" s="2">
        <v>10</v>
      </c>
      <c r="P376" s="2">
        <v>10</v>
      </c>
      <c r="Q376" s="2" t="s">
        <v>2366</v>
      </c>
      <c r="R376" s="2" t="s">
        <v>2367</v>
      </c>
      <c r="S376" s="4">
        <v>44837</v>
      </c>
    </row>
    <row r="377" spans="1:19" ht="12.5" x14ac:dyDescent="0.25">
      <c r="A377" s="14" t="str">
        <f>HYPERLINK("https://gerandofalcoes.my.salesforce.com/0014X00002VKCteQAH", "0014X00002VKCteQAH")</f>
        <v>0014X00002VKCteQAH</v>
      </c>
      <c r="B377" s="2" t="s">
        <v>2368</v>
      </c>
      <c r="C377" s="2" t="s">
        <v>423</v>
      </c>
      <c r="D377" s="2" t="s">
        <v>2</v>
      </c>
      <c r="E377" s="2">
        <v>26</v>
      </c>
      <c r="F377" s="2">
        <v>0</v>
      </c>
      <c r="G377" s="2">
        <v>4</v>
      </c>
      <c r="H377" s="2">
        <v>120000</v>
      </c>
      <c r="I377" s="2">
        <v>60</v>
      </c>
      <c r="J377" s="2" t="s">
        <v>1671</v>
      </c>
      <c r="K377" s="2">
        <v>45</v>
      </c>
      <c r="L377" s="2">
        <v>15</v>
      </c>
      <c r="M377" s="2">
        <v>0</v>
      </c>
      <c r="N377" s="2">
        <v>10</v>
      </c>
      <c r="O377" s="2">
        <v>15</v>
      </c>
      <c r="P377" s="2">
        <v>5</v>
      </c>
      <c r="Q377" s="2" t="s">
        <v>2369</v>
      </c>
      <c r="R377" s="2" t="s">
        <v>2369</v>
      </c>
      <c r="S377" s="4">
        <v>44837</v>
      </c>
    </row>
    <row r="378" spans="1:19" ht="12.5" x14ac:dyDescent="0.25">
      <c r="A378" s="14" t="str">
        <f>HYPERLINK("https://gerandofalcoes.my.salesforce.com/0014X00002VKCsmQAH", "0014X00002VKCsmQAH")</f>
        <v>0014X00002VKCsmQAH</v>
      </c>
      <c r="B378" s="2" t="s">
        <v>2370</v>
      </c>
      <c r="C378" s="2" t="s">
        <v>423</v>
      </c>
      <c r="D378" s="2" t="s">
        <v>2</v>
      </c>
      <c r="E378" s="2">
        <v>26</v>
      </c>
      <c r="F378" s="2">
        <v>0</v>
      </c>
      <c r="G378" s="2">
        <v>2</v>
      </c>
      <c r="H378" s="2">
        <v>8000</v>
      </c>
      <c r="I378" s="2">
        <v>20</v>
      </c>
      <c r="J378" s="2" t="s">
        <v>1779</v>
      </c>
      <c r="K378" s="2">
        <v>31</v>
      </c>
      <c r="L378" s="2">
        <v>15</v>
      </c>
      <c r="M378" s="2">
        <v>0</v>
      </c>
      <c r="N378" s="2">
        <v>6</v>
      </c>
      <c r="O378" s="2">
        <v>5</v>
      </c>
      <c r="P378" s="2">
        <v>5</v>
      </c>
      <c r="Q378" s="2" t="s">
        <v>2371</v>
      </c>
      <c r="R378" s="2" t="s">
        <v>2371</v>
      </c>
      <c r="S378" s="4">
        <v>44837</v>
      </c>
    </row>
    <row r="379" spans="1:19" ht="12.5" x14ac:dyDescent="0.25">
      <c r="A379" s="14" t="str">
        <f>HYPERLINK("https://gerandofalcoes.my.salesforce.com/0014X00002VKCqGQAX", "0014X00002VKCqGQAX")</f>
        <v>0014X00002VKCqGQAX</v>
      </c>
      <c r="B379" s="2" t="s">
        <v>2372</v>
      </c>
      <c r="C379" s="2" t="s">
        <v>423</v>
      </c>
      <c r="D379" s="2" t="s">
        <v>2</v>
      </c>
      <c r="E379" s="2">
        <v>26</v>
      </c>
      <c r="F379" s="2">
        <v>0</v>
      </c>
      <c r="G379" s="2">
        <v>2</v>
      </c>
      <c r="H379" s="2">
        <v>0</v>
      </c>
      <c r="I379" s="2">
        <v>0</v>
      </c>
      <c r="J379" s="2" t="s">
        <v>1779</v>
      </c>
      <c r="K379" s="2">
        <v>21</v>
      </c>
      <c r="L379" s="2">
        <v>15</v>
      </c>
      <c r="M379" s="2">
        <v>0</v>
      </c>
      <c r="N379" s="2">
        <v>6</v>
      </c>
      <c r="O379" s="2">
        <v>0</v>
      </c>
      <c r="P379" s="2">
        <v>0</v>
      </c>
      <c r="Q379" s="2" t="s">
        <v>2373</v>
      </c>
      <c r="R379" s="2" t="s">
        <v>2374</v>
      </c>
      <c r="S379" s="4">
        <v>44837</v>
      </c>
    </row>
    <row r="380" spans="1:19" ht="12.5" hidden="1" x14ac:dyDescent="0.25">
      <c r="A380" s="14" t="str">
        <f>HYPERLINK("https://gerandofalcoes.my.salesforce.com/0014X00002VKCrJQAX", "0014X00002VKCrJQAX")</f>
        <v>0014X00002VKCrJQAX</v>
      </c>
      <c r="B380" s="2" t="s">
        <v>2375</v>
      </c>
      <c r="C380" s="2" t="s">
        <v>1684</v>
      </c>
      <c r="D380" s="2" t="s">
        <v>2</v>
      </c>
      <c r="E380" s="2">
        <v>26</v>
      </c>
      <c r="F380" s="2">
        <v>0</v>
      </c>
      <c r="G380" s="2">
        <v>4</v>
      </c>
      <c r="H380" s="2">
        <v>1</v>
      </c>
      <c r="I380" s="2">
        <v>0</v>
      </c>
      <c r="J380" s="2" t="s">
        <v>1779</v>
      </c>
      <c r="K380" s="2">
        <v>30</v>
      </c>
      <c r="L380" s="2">
        <v>15</v>
      </c>
      <c r="M380" s="2">
        <v>0</v>
      </c>
      <c r="N380" s="2">
        <v>10</v>
      </c>
      <c r="O380" s="2">
        <v>5</v>
      </c>
      <c r="P380" s="2">
        <v>0</v>
      </c>
      <c r="Q380" s="2" t="s">
        <v>2376</v>
      </c>
      <c r="R380" s="2" t="s">
        <v>2377</v>
      </c>
      <c r="S380" s="4">
        <v>44837</v>
      </c>
    </row>
    <row r="381" spans="1:19" ht="12.5" x14ac:dyDescent="0.25">
      <c r="A381" s="14" t="str">
        <f>HYPERLINK("https://gerandofalcoes.my.salesforce.com/0014X00002VKCuwQAH", "0014X00002VKCuwQAH")</f>
        <v>0014X00002VKCuwQAH</v>
      </c>
      <c r="B381" s="2" t="s">
        <v>2378</v>
      </c>
      <c r="C381" s="2" t="s">
        <v>1800</v>
      </c>
      <c r="D381" s="2" t="s">
        <v>2</v>
      </c>
      <c r="E381" s="2">
        <v>26</v>
      </c>
      <c r="F381" s="2">
        <v>0</v>
      </c>
      <c r="G381" s="2">
        <v>2</v>
      </c>
      <c r="H381" s="2">
        <v>50000</v>
      </c>
      <c r="I381" s="2">
        <v>0</v>
      </c>
      <c r="J381" s="2" t="s">
        <v>1779</v>
      </c>
      <c r="K381" s="2">
        <v>31</v>
      </c>
      <c r="L381" s="2">
        <v>15</v>
      </c>
      <c r="M381" s="2">
        <v>0</v>
      </c>
      <c r="N381" s="2">
        <v>6</v>
      </c>
      <c r="O381" s="2">
        <v>10</v>
      </c>
      <c r="P381" s="2">
        <v>0</v>
      </c>
      <c r="Q381" s="2" t="s">
        <v>2379</v>
      </c>
      <c r="R381" s="2" t="s">
        <v>2380</v>
      </c>
      <c r="S381" s="4">
        <v>44837</v>
      </c>
    </row>
    <row r="382" spans="1:19" ht="12.5" x14ac:dyDescent="0.25">
      <c r="A382" s="14" t="str">
        <f>HYPERLINK("https://gerandofalcoes.my.salesforce.com/0014P00003YSp9ZQAT", "0014P00003YSp9ZQAT")</f>
        <v>0014P00003YSp9ZQAT</v>
      </c>
      <c r="B382" s="2" t="s">
        <v>2381</v>
      </c>
      <c r="C382" s="2" t="s">
        <v>1800</v>
      </c>
      <c r="D382" s="2" t="s">
        <v>2</v>
      </c>
      <c r="E382" s="2">
        <v>26</v>
      </c>
      <c r="F382" s="2">
        <v>2</v>
      </c>
      <c r="G382" s="2">
        <v>0</v>
      </c>
      <c r="H382" s="2">
        <v>0</v>
      </c>
      <c r="I382" s="2">
        <v>0</v>
      </c>
      <c r="J382" s="2" t="s">
        <v>1779</v>
      </c>
      <c r="K382" s="2">
        <v>20</v>
      </c>
      <c r="L382" s="2">
        <v>15</v>
      </c>
      <c r="M382" s="2">
        <v>5</v>
      </c>
      <c r="N382" s="2">
        <v>0</v>
      </c>
      <c r="O382" s="2">
        <v>0</v>
      </c>
      <c r="P382" s="2">
        <v>0</v>
      </c>
      <c r="Q382" s="2" t="s">
        <v>2382</v>
      </c>
      <c r="R382" s="2" t="s">
        <v>2383</v>
      </c>
      <c r="S382" s="4">
        <v>44837</v>
      </c>
    </row>
    <row r="383" spans="1:19" ht="12.5" x14ac:dyDescent="0.25">
      <c r="A383" s="14" t="str">
        <f>HYPERLINK("https://gerandofalcoes.my.salesforce.com/0014X00002VKCp9QAH", "0014X00002VKCp9QAH")</f>
        <v>0014X00002VKCp9QAH</v>
      </c>
      <c r="B383" s="2" t="s">
        <v>2384</v>
      </c>
      <c r="C383" s="2" t="s">
        <v>423</v>
      </c>
      <c r="D383" s="2" t="s">
        <v>2</v>
      </c>
      <c r="E383" s="2">
        <v>26</v>
      </c>
      <c r="F383" s="2">
        <v>17</v>
      </c>
      <c r="G383" s="2">
        <v>5</v>
      </c>
      <c r="H383" s="2">
        <v>0</v>
      </c>
      <c r="I383" s="2">
        <v>0</v>
      </c>
      <c r="J383" s="2" t="s">
        <v>1779</v>
      </c>
      <c r="K383" s="2">
        <v>37</v>
      </c>
      <c r="L383" s="2">
        <v>15</v>
      </c>
      <c r="M383" s="2">
        <v>12</v>
      </c>
      <c r="N383" s="2">
        <v>10</v>
      </c>
      <c r="O383" s="2">
        <v>0</v>
      </c>
      <c r="P383" s="2">
        <v>0</v>
      </c>
      <c r="Q383" s="2" t="s">
        <v>2385</v>
      </c>
      <c r="R383" s="2" t="s">
        <v>2386</v>
      </c>
      <c r="S383" s="4">
        <v>44837</v>
      </c>
    </row>
    <row r="384" spans="1:19" ht="12.5" x14ac:dyDescent="0.25">
      <c r="A384" s="14" t="str">
        <f>HYPERLINK("https://gerandofalcoes.my.salesforce.com/0014X00002VKCpuQAH", "0014X00002VKCpuQAH")</f>
        <v>0014X00002VKCpuQAH</v>
      </c>
      <c r="B384" s="2" t="s">
        <v>2387</v>
      </c>
      <c r="C384" s="2" t="s">
        <v>423</v>
      </c>
      <c r="D384" s="2" t="s">
        <v>2</v>
      </c>
      <c r="E384" s="2">
        <v>25.71</v>
      </c>
      <c r="F384" s="2">
        <v>0</v>
      </c>
      <c r="G384" s="2">
        <v>2</v>
      </c>
      <c r="H384" s="2">
        <v>40000</v>
      </c>
      <c r="I384" s="2">
        <v>50</v>
      </c>
      <c r="J384" s="2" t="s">
        <v>1779</v>
      </c>
      <c r="K384" s="2">
        <v>36</v>
      </c>
      <c r="L384" s="2">
        <v>15</v>
      </c>
      <c r="M384" s="2">
        <v>0</v>
      </c>
      <c r="N384" s="2">
        <v>6</v>
      </c>
      <c r="O384" s="2">
        <v>10</v>
      </c>
      <c r="P384" s="2">
        <v>5</v>
      </c>
      <c r="Q384" s="2" t="s">
        <v>2388</v>
      </c>
      <c r="R384" s="2" t="s">
        <v>2389</v>
      </c>
      <c r="S384" s="4">
        <v>44837</v>
      </c>
    </row>
    <row r="385" spans="1:19" ht="12.5" x14ac:dyDescent="0.25">
      <c r="A385" s="14" t="str">
        <f>HYPERLINK("https://gerandofalcoes.my.salesforce.com/0014X00002YggpmQAB", "0014X00002YggpmQAB")</f>
        <v>0014X00002YggpmQAB</v>
      </c>
      <c r="B385" s="2" t="s">
        <v>3244</v>
      </c>
      <c r="C385" s="2" t="s">
        <v>423</v>
      </c>
      <c r="D385" s="2" t="s">
        <v>2</v>
      </c>
      <c r="E385" s="2">
        <v>25.41</v>
      </c>
      <c r="F385" s="2">
        <v>0</v>
      </c>
      <c r="G385" s="2">
        <v>3</v>
      </c>
      <c r="H385" s="2">
        <v>20000</v>
      </c>
      <c r="I385" s="2">
        <v>190</v>
      </c>
      <c r="J385" s="2" t="s">
        <v>1671</v>
      </c>
      <c r="K385" s="2">
        <v>40</v>
      </c>
      <c r="L385" s="2">
        <v>15</v>
      </c>
      <c r="M385" s="2">
        <v>0</v>
      </c>
      <c r="N385" s="2">
        <v>8</v>
      </c>
      <c r="O385" s="2">
        <v>5</v>
      </c>
      <c r="P385" s="2">
        <v>12</v>
      </c>
      <c r="Q385" s="2" t="s">
        <v>3245</v>
      </c>
      <c r="R385" s="2" t="s">
        <v>3246</v>
      </c>
      <c r="S385" s="4">
        <v>44952</v>
      </c>
    </row>
    <row r="386" spans="1:19" ht="12.5" x14ac:dyDescent="0.25">
      <c r="A386" s="14" t="str">
        <f>HYPERLINK("https://gerandofalcoes.my.salesforce.com/0014X00002VKCq2QAH", "0014X00002VKCq2QAH")</f>
        <v>0014X00002VKCq2QAH</v>
      </c>
      <c r="B386" s="2" t="s">
        <v>2390</v>
      </c>
      <c r="C386" s="2" t="s">
        <v>423</v>
      </c>
      <c r="D386" s="2" t="s">
        <v>2</v>
      </c>
      <c r="E386" s="2">
        <v>25.27</v>
      </c>
      <c r="F386" s="2">
        <v>0</v>
      </c>
      <c r="G386" s="2">
        <v>0</v>
      </c>
      <c r="H386" s="2">
        <v>0</v>
      </c>
      <c r="I386" s="2">
        <v>312</v>
      </c>
      <c r="J386" s="2" t="s">
        <v>1779</v>
      </c>
      <c r="K386" s="2">
        <v>30</v>
      </c>
      <c r="L386" s="2">
        <v>15</v>
      </c>
      <c r="M386" s="2">
        <v>0</v>
      </c>
      <c r="N386" s="2">
        <v>0</v>
      </c>
      <c r="O386" s="2">
        <v>0</v>
      </c>
      <c r="P386" s="2">
        <v>15</v>
      </c>
      <c r="Q386" s="2" t="s">
        <v>2391</v>
      </c>
      <c r="R386" s="2" t="s">
        <v>2392</v>
      </c>
      <c r="S386" s="4">
        <v>44837</v>
      </c>
    </row>
    <row r="387" spans="1:19" ht="12.5" x14ac:dyDescent="0.25">
      <c r="A387" s="14" t="str">
        <f>HYPERLINK("https://gerandofalcoes.my.salesforce.com/0014P00003YSp8JQAT", "0014P00003YSp8JQAT")</f>
        <v>0014P00003YSp8JQAT</v>
      </c>
      <c r="B387" s="2" t="s">
        <v>2393</v>
      </c>
      <c r="C387" s="2" t="s">
        <v>423</v>
      </c>
      <c r="D387" s="2" t="s">
        <v>2</v>
      </c>
      <c r="E387" s="2">
        <v>25.23</v>
      </c>
      <c r="F387" s="2">
        <v>9</v>
      </c>
      <c r="G387" s="2">
        <v>2</v>
      </c>
      <c r="H387" s="2">
        <v>85000000</v>
      </c>
      <c r="I387" s="2">
        <v>309</v>
      </c>
      <c r="J387" s="2" t="s">
        <v>1650</v>
      </c>
      <c r="K387" s="2">
        <v>71</v>
      </c>
      <c r="L387" s="2">
        <v>15</v>
      </c>
      <c r="M387" s="2">
        <v>10</v>
      </c>
      <c r="N387" s="2">
        <v>6</v>
      </c>
      <c r="O387" s="2">
        <v>25</v>
      </c>
      <c r="P387" s="2">
        <v>15</v>
      </c>
      <c r="Q387" s="2" t="s">
        <v>2394</v>
      </c>
      <c r="R387" s="2" t="s">
        <v>2394</v>
      </c>
      <c r="S387" s="4">
        <v>44837</v>
      </c>
    </row>
    <row r="388" spans="1:19" ht="12.5" x14ac:dyDescent="0.25">
      <c r="A388" s="14" t="str">
        <f>HYPERLINK("https://gerandofalcoes.my.salesforce.com/0014P00003AN2FWQA1", "0014P00003AN2FWQA1")</f>
        <v>0014P00003AN2FWQA1</v>
      </c>
      <c r="B388" s="2" t="s">
        <v>2395</v>
      </c>
      <c r="C388" s="2" t="s">
        <v>423</v>
      </c>
      <c r="D388" s="2" t="s">
        <v>2</v>
      </c>
      <c r="E388" s="2">
        <v>25.16</v>
      </c>
      <c r="F388" s="2">
        <v>2</v>
      </c>
      <c r="G388" s="2">
        <v>1</v>
      </c>
      <c r="H388" s="2">
        <v>300000</v>
      </c>
      <c r="I388" s="2">
        <v>280</v>
      </c>
      <c r="J388" s="2" t="s">
        <v>1671</v>
      </c>
      <c r="K388" s="2">
        <v>56</v>
      </c>
      <c r="L388" s="2">
        <v>15</v>
      </c>
      <c r="M388" s="2">
        <v>5</v>
      </c>
      <c r="N388" s="2">
        <v>4</v>
      </c>
      <c r="O388" s="2">
        <v>20</v>
      </c>
      <c r="P388" s="2">
        <v>12</v>
      </c>
      <c r="Q388" s="2" t="s">
        <v>2396</v>
      </c>
      <c r="R388" s="2" t="s">
        <v>2396</v>
      </c>
      <c r="S388" s="4">
        <v>44837</v>
      </c>
    </row>
    <row r="389" spans="1:19" ht="12.5" x14ac:dyDescent="0.25">
      <c r="A389" s="14" t="str">
        <f>HYPERLINK("https://gerandofalcoes.my.salesforce.com/0014P00003SGWPdQAP", "0014P00003SGWPdQAP")</f>
        <v>0014P00003SGWPdQAP</v>
      </c>
      <c r="B389" s="2" t="s">
        <v>2397</v>
      </c>
      <c r="C389" s="2" t="s">
        <v>423</v>
      </c>
      <c r="D389" s="2" t="s">
        <v>2</v>
      </c>
      <c r="E389" s="2">
        <v>25</v>
      </c>
      <c r="F389" s="2">
        <v>1</v>
      </c>
      <c r="G389" s="2">
        <v>5</v>
      </c>
      <c r="H389" s="2">
        <v>22850</v>
      </c>
      <c r="I389" s="2">
        <v>1500</v>
      </c>
      <c r="J389" s="2" t="s">
        <v>1671</v>
      </c>
      <c r="K389" s="2">
        <v>55</v>
      </c>
      <c r="L389" s="2">
        <v>15</v>
      </c>
      <c r="M389" s="2">
        <v>5</v>
      </c>
      <c r="N389" s="2">
        <v>10</v>
      </c>
      <c r="O389" s="2">
        <v>5</v>
      </c>
      <c r="P389" s="2">
        <v>20</v>
      </c>
      <c r="Q389" s="2" t="s">
        <v>283</v>
      </c>
      <c r="R389" s="2" t="s">
        <v>2398</v>
      </c>
      <c r="S389" s="4">
        <v>44837</v>
      </c>
    </row>
    <row r="390" spans="1:19" ht="12.5" x14ac:dyDescent="0.25">
      <c r="A390" s="14" t="str">
        <f>HYPERLINK("https://gerandofalcoes.my.salesforce.com/0014X00002VKCr3QAH", "0014X00002VKCr3QAH")</f>
        <v>0014X00002VKCr3QAH</v>
      </c>
      <c r="B390" s="2" t="s">
        <v>2399</v>
      </c>
      <c r="C390" s="2" t="s">
        <v>423</v>
      </c>
      <c r="D390" s="2" t="s">
        <v>2</v>
      </c>
      <c r="E390" s="2">
        <v>25</v>
      </c>
      <c r="F390" s="2">
        <v>0</v>
      </c>
      <c r="G390" s="2">
        <v>0</v>
      </c>
      <c r="H390" s="2">
        <v>0</v>
      </c>
      <c r="I390" s="2">
        <v>700</v>
      </c>
      <c r="J390" s="2" t="s">
        <v>1779</v>
      </c>
      <c r="K390" s="2">
        <v>35</v>
      </c>
      <c r="L390" s="2">
        <v>15</v>
      </c>
      <c r="M390" s="2">
        <v>0</v>
      </c>
      <c r="N390" s="2">
        <v>0</v>
      </c>
      <c r="O390" s="2">
        <v>0</v>
      </c>
      <c r="P390" s="2">
        <v>20</v>
      </c>
      <c r="Q390" s="2" t="s">
        <v>2400</v>
      </c>
      <c r="R390" s="2" t="s">
        <v>2400</v>
      </c>
      <c r="S390" s="4">
        <v>44837</v>
      </c>
    </row>
    <row r="391" spans="1:19" ht="12.5" x14ac:dyDescent="0.25">
      <c r="A391" s="14" t="str">
        <f>HYPERLINK("https://gerandofalcoes.my.salesforce.com/0014P00003YSp7nQAD", "0014P00003YSp7nQAD")</f>
        <v>0014P00003YSp7nQAD</v>
      </c>
      <c r="B391" s="2" t="s">
        <v>2401</v>
      </c>
      <c r="C391" s="2" t="s">
        <v>1800</v>
      </c>
      <c r="D391" s="2" t="s">
        <v>2</v>
      </c>
      <c r="E391" s="2">
        <v>25</v>
      </c>
      <c r="F391" s="2">
        <v>7</v>
      </c>
      <c r="G391" s="2">
        <v>6</v>
      </c>
      <c r="H391" s="2">
        <v>200000</v>
      </c>
      <c r="I391" s="2">
        <v>350</v>
      </c>
      <c r="J391" s="2" t="s">
        <v>1650</v>
      </c>
      <c r="K391" s="2">
        <v>65</v>
      </c>
      <c r="L391" s="2">
        <v>15</v>
      </c>
      <c r="M391" s="2">
        <v>10</v>
      </c>
      <c r="N391" s="2">
        <v>10</v>
      </c>
      <c r="O391" s="2">
        <v>15</v>
      </c>
      <c r="P391" s="2">
        <v>15</v>
      </c>
      <c r="Q391" s="2" t="s">
        <v>2402</v>
      </c>
      <c r="R391" s="2" t="s">
        <v>2403</v>
      </c>
      <c r="S391" s="4">
        <v>44837</v>
      </c>
    </row>
    <row r="392" spans="1:19" ht="12.5" x14ac:dyDescent="0.25">
      <c r="A392" s="14" t="str">
        <f>HYPERLINK("https://gerandofalcoes.my.salesforce.com/0014X00002VKCpEQAX", "0014X00002VKCpEQAX")</f>
        <v>0014X00002VKCpEQAX</v>
      </c>
      <c r="B392" s="2" t="s">
        <v>2404</v>
      </c>
      <c r="C392" s="2" t="s">
        <v>423</v>
      </c>
      <c r="D392" s="2" t="s">
        <v>2</v>
      </c>
      <c r="E392" s="2">
        <v>25</v>
      </c>
      <c r="F392" s="2">
        <v>11</v>
      </c>
      <c r="G392" s="2">
        <v>2</v>
      </c>
      <c r="H392" s="2">
        <v>40000</v>
      </c>
      <c r="I392" s="2">
        <v>276</v>
      </c>
      <c r="J392" s="2" t="s">
        <v>1671</v>
      </c>
      <c r="K392" s="2">
        <v>55</v>
      </c>
      <c r="L392" s="2">
        <v>15</v>
      </c>
      <c r="M392" s="2">
        <v>12</v>
      </c>
      <c r="N392" s="2">
        <v>6</v>
      </c>
      <c r="O392" s="2">
        <v>10</v>
      </c>
      <c r="P392" s="2">
        <v>12</v>
      </c>
      <c r="Q392" s="2" t="s">
        <v>2405</v>
      </c>
      <c r="R392" s="2" t="s">
        <v>2406</v>
      </c>
      <c r="S392" s="4">
        <v>44837</v>
      </c>
    </row>
    <row r="393" spans="1:19" ht="12.5" x14ac:dyDescent="0.25">
      <c r="A393" s="14" t="str">
        <f>HYPERLINK("https://gerandofalcoes.my.salesforce.com/0014P00003YSp8EQAT", "0014P00003YSp8EQAT")</f>
        <v>0014P00003YSp8EQAT</v>
      </c>
      <c r="B393" s="2" t="s">
        <v>2407</v>
      </c>
      <c r="C393" s="2" t="s">
        <v>423</v>
      </c>
      <c r="D393" s="2" t="s">
        <v>2</v>
      </c>
      <c r="E393" s="2">
        <v>25</v>
      </c>
      <c r="F393" s="2">
        <v>0</v>
      </c>
      <c r="G393" s="2">
        <v>2</v>
      </c>
      <c r="H393" s="2">
        <v>6300</v>
      </c>
      <c r="I393" s="2">
        <v>250</v>
      </c>
      <c r="J393" s="2" t="s">
        <v>1779</v>
      </c>
      <c r="K393" s="2">
        <v>38</v>
      </c>
      <c r="L393" s="2">
        <v>15</v>
      </c>
      <c r="M393" s="2">
        <v>0</v>
      </c>
      <c r="N393" s="2">
        <v>6</v>
      </c>
      <c r="O393" s="2">
        <v>5</v>
      </c>
      <c r="P393" s="2">
        <v>12</v>
      </c>
      <c r="Q393" s="2" t="s">
        <v>2408</v>
      </c>
      <c r="R393" s="2" t="s">
        <v>2409</v>
      </c>
      <c r="S393" s="4">
        <v>44837</v>
      </c>
    </row>
    <row r="394" spans="1:19" ht="12.5" x14ac:dyDescent="0.25">
      <c r="A394" s="14" t="str">
        <f>HYPERLINK("https://gerandofalcoes.my.salesforce.com/0014P00003SGWPbQAP", "0014P00003SGWPbQAP")</f>
        <v>0014P00003SGWPbQAP</v>
      </c>
      <c r="B394" s="2" t="s">
        <v>276</v>
      </c>
      <c r="C394" s="2" t="s">
        <v>423</v>
      </c>
      <c r="D394" s="2" t="s">
        <v>2</v>
      </c>
      <c r="E394" s="2">
        <v>25</v>
      </c>
      <c r="F394" s="2">
        <v>21</v>
      </c>
      <c r="G394" s="2">
        <v>8</v>
      </c>
      <c r="H394" s="2">
        <v>1406000</v>
      </c>
      <c r="I394" s="2">
        <v>121</v>
      </c>
      <c r="J394" s="2" t="s">
        <v>1650</v>
      </c>
      <c r="K394" s="2">
        <v>72</v>
      </c>
      <c r="L394" s="2">
        <v>15</v>
      </c>
      <c r="M394" s="2">
        <v>12</v>
      </c>
      <c r="N394" s="2">
        <v>10</v>
      </c>
      <c r="O394" s="2">
        <v>25</v>
      </c>
      <c r="P394" s="2">
        <v>10</v>
      </c>
      <c r="Q394" s="2" t="s">
        <v>277</v>
      </c>
      <c r="R394" s="2" t="s">
        <v>1257</v>
      </c>
      <c r="S394" s="4">
        <v>44837</v>
      </c>
    </row>
    <row r="395" spans="1:19" ht="12.5" x14ac:dyDescent="0.25">
      <c r="A395" s="14" t="str">
        <f>HYPERLINK("https://gerandofalcoes.my.salesforce.com/0014X00002VKCt7QAH", "0014X00002VKCt7QAH")</f>
        <v>0014X00002VKCt7QAH</v>
      </c>
      <c r="B395" s="2" t="s">
        <v>2410</v>
      </c>
      <c r="C395" s="2" t="s">
        <v>1800</v>
      </c>
      <c r="D395" s="2" t="s">
        <v>2</v>
      </c>
      <c r="E395" s="2">
        <v>25</v>
      </c>
      <c r="F395" s="2">
        <v>0</v>
      </c>
      <c r="G395" s="2">
        <v>3</v>
      </c>
      <c r="H395" s="2">
        <v>11000</v>
      </c>
      <c r="I395" s="2">
        <v>100</v>
      </c>
      <c r="J395" s="2" t="s">
        <v>1779</v>
      </c>
      <c r="K395" s="2">
        <v>38</v>
      </c>
      <c r="L395" s="2">
        <v>15</v>
      </c>
      <c r="M395" s="2">
        <v>0</v>
      </c>
      <c r="N395" s="2">
        <v>8</v>
      </c>
      <c r="O395" s="2">
        <v>5</v>
      </c>
      <c r="P395" s="2">
        <v>10</v>
      </c>
      <c r="Q395" s="2" t="s">
        <v>2411</v>
      </c>
      <c r="R395" s="2" t="s">
        <v>2412</v>
      </c>
      <c r="S395" s="4">
        <v>44837</v>
      </c>
    </row>
    <row r="396" spans="1:19" ht="12.5" x14ac:dyDescent="0.25">
      <c r="A396" s="14" t="str">
        <f>HYPERLINK("https://gerandofalcoes.my.salesforce.com/0014X00002VKCsYQAX", "0014X00002VKCsYQAX")</f>
        <v>0014X00002VKCsYQAX</v>
      </c>
      <c r="B396" s="2" t="s">
        <v>2413</v>
      </c>
      <c r="C396" s="2" t="s">
        <v>423</v>
      </c>
      <c r="D396" s="2" t="s">
        <v>2</v>
      </c>
      <c r="E396" s="2">
        <v>25</v>
      </c>
      <c r="F396" s="2">
        <v>0</v>
      </c>
      <c r="G396" s="2">
        <v>1</v>
      </c>
      <c r="H396" s="2">
        <v>0</v>
      </c>
      <c r="I396" s="2">
        <v>64</v>
      </c>
      <c r="J396" s="2" t="s">
        <v>1779</v>
      </c>
      <c r="K396" s="2">
        <v>24</v>
      </c>
      <c r="L396" s="2">
        <v>15</v>
      </c>
      <c r="M396" s="2">
        <v>0</v>
      </c>
      <c r="N396" s="2">
        <v>4</v>
      </c>
      <c r="O396" s="2">
        <v>0</v>
      </c>
      <c r="P396" s="2">
        <v>5</v>
      </c>
      <c r="Q396" s="2" t="s">
        <v>2414</v>
      </c>
      <c r="R396" s="2" t="s">
        <v>2414</v>
      </c>
      <c r="S396" s="4">
        <v>44837</v>
      </c>
    </row>
    <row r="397" spans="1:19" ht="12.5" x14ac:dyDescent="0.25">
      <c r="A397" s="14" t="str">
        <f>HYPERLINK("https://gerandofalcoes.my.salesforce.com/0014X00002VKCvCQAX", "0014X00002VKCvCQAX")</f>
        <v>0014X00002VKCvCQAX</v>
      </c>
      <c r="B397" s="2" t="s">
        <v>2415</v>
      </c>
      <c r="C397" s="2" t="s">
        <v>423</v>
      </c>
      <c r="D397" s="2" t="s">
        <v>2</v>
      </c>
      <c r="E397" s="2">
        <v>25</v>
      </c>
      <c r="F397" s="2">
        <v>0</v>
      </c>
      <c r="G397" s="2">
        <v>4</v>
      </c>
      <c r="H397" s="2">
        <v>25000</v>
      </c>
      <c r="I397" s="2">
        <v>0</v>
      </c>
      <c r="J397" s="2" t="s">
        <v>1779</v>
      </c>
      <c r="K397" s="2">
        <v>35</v>
      </c>
      <c r="L397" s="2">
        <v>15</v>
      </c>
      <c r="M397" s="2">
        <v>0</v>
      </c>
      <c r="N397" s="2">
        <v>10</v>
      </c>
      <c r="O397" s="2">
        <v>10</v>
      </c>
      <c r="P397" s="2">
        <v>0</v>
      </c>
      <c r="Q397" s="2" t="s">
        <v>2416</v>
      </c>
      <c r="R397" s="2" t="s">
        <v>2417</v>
      </c>
      <c r="S397" s="4">
        <v>44837</v>
      </c>
    </row>
    <row r="398" spans="1:19" ht="12.5" x14ac:dyDescent="0.25">
      <c r="A398" s="14" t="str">
        <f>HYPERLINK("https://gerandofalcoes.my.salesforce.com/0014P00003YSp7tQAD", "0014P00003YSp7tQAD")</f>
        <v>0014P00003YSp7tQAD</v>
      </c>
      <c r="B398" s="2" t="s">
        <v>2418</v>
      </c>
      <c r="C398" s="2" t="s">
        <v>1800</v>
      </c>
      <c r="D398" s="2" t="s">
        <v>2</v>
      </c>
      <c r="E398" s="2">
        <v>25</v>
      </c>
      <c r="F398" s="2">
        <v>8</v>
      </c>
      <c r="G398" s="2">
        <v>2</v>
      </c>
      <c r="H398" s="2">
        <v>0</v>
      </c>
      <c r="I398" s="2">
        <v>0</v>
      </c>
      <c r="J398" s="2" t="s">
        <v>1779</v>
      </c>
      <c r="K398" s="2">
        <v>31</v>
      </c>
      <c r="L398" s="2">
        <v>15</v>
      </c>
      <c r="M398" s="2">
        <v>10</v>
      </c>
      <c r="N398" s="2">
        <v>6</v>
      </c>
      <c r="O398" s="2">
        <v>0</v>
      </c>
      <c r="P398" s="2">
        <v>0</v>
      </c>
      <c r="Q398" s="2" t="s">
        <v>2419</v>
      </c>
      <c r="R398" s="2" t="s">
        <v>2419</v>
      </c>
      <c r="S398" s="4">
        <v>44837</v>
      </c>
    </row>
    <row r="399" spans="1:19" ht="12.5" x14ac:dyDescent="0.25">
      <c r="A399" s="14" t="str">
        <f>HYPERLINK("https://gerandofalcoes.my.salesforce.com/0014X00002OEuasQAD", "0014X00002OEuasQAD")</f>
        <v>0014X00002OEuasQAD</v>
      </c>
      <c r="B399" s="2" t="s">
        <v>2420</v>
      </c>
      <c r="C399" s="2" t="s">
        <v>423</v>
      </c>
      <c r="D399" s="2" t="s">
        <v>2</v>
      </c>
      <c r="E399" s="2">
        <v>25</v>
      </c>
      <c r="F399" s="2">
        <v>0</v>
      </c>
      <c r="G399" s="2">
        <v>4</v>
      </c>
      <c r="H399" s="2">
        <v>20000</v>
      </c>
      <c r="I399" s="2">
        <v>0</v>
      </c>
      <c r="J399" s="2" t="s">
        <v>1779</v>
      </c>
      <c r="K399" s="2">
        <v>30</v>
      </c>
      <c r="L399" s="2">
        <v>15</v>
      </c>
      <c r="M399" s="2">
        <v>0</v>
      </c>
      <c r="N399" s="2">
        <v>10</v>
      </c>
      <c r="O399" s="2">
        <v>5</v>
      </c>
      <c r="P399" s="2">
        <v>0</v>
      </c>
      <c r="Q399" s="2" t="s">
        <v>2421</v>
      </c>
      <c r="R399" s="2" t="s">
        <v>2422</v>
      </c>
      <c r="S399" s="4">
        <v>44837</v>
      </c>
    </row>
    <row r="400" spans="1:19" ht="12.5" x14ac:dyDescent="0.25">
      <c r="A400" s="14" t="str">
        <f>HYPERLINK("https://gerandofalcoes.my.salesforce.com/0014X00002VKCuhQAH", "0014X00002VKCuhQAH")</f>
        <v>0014X00002VKCuhQAH</v>
      </c>
      <c r="B400" s="2" t="s">
        <v>2423</v>
      </c>
      <c r="C400" s="2" t="s">
        <v>1800</v>
      </c>
      <c r="D400" s="2" t="s">
        <v>2</v>
      </c>
      <c r="E400" s="2">
        <v>25</v>
      </c>
      <c r="F400" s="2">
        <v>0</v>
      </c>
      <c r="G400" s="2">
        <v>3</v>
      </c>
      <c r="H400" s="2">
        <v>12000</v>
      </c>
      <c r="I400" s="2">
        <v>0</v>
      </c>
      <c r="J400" s="2" t="s">
        <v>1779</v>
      </c>
      <c r="K400" s="2">
        <v>28</v>
      </c>
      <c r="L400" s="2">
        <v>15</v>
      </c>
      <c r="M400" s="2">
        <v>0</v>
      </c>
      <c r="N400" s="2">
        <v>8</v>
      </c>
      <c r="O400" s="2">
        <v>5</v>
      </c>
      <c r="P400" s="2">
        <v>0</v>
      </c>
      <c r="Q400" s="2" t="s">
        <v>2424</v>
      </c>
      <c r="R400" s="2" t="s">
        <v>2424</v>
      </c>
      <c r="S400" s="4">
        <v>44837</v>
      </c>
    </row>
    <row r="401" spans="1:19" ht="12.5" hidden="1" x14ac:dyDescent="0.25">
      <c r="A401" s="14" t="str">
        <f>HYPERLINK("https://gerandofalcoes.my.salesforce.com/0014P00003YSp9IQAT", "0014P00003YSp9IQAT")</f>
        <v>0014P00003YSp9IQAT</v>
      </c>
      <c r="B401" s="2" t="s">
        <v>2425</v>
      </c>
      <c r="C401" s="2" t="s">
        <v>1684</v>
      </c>
      <c r="D401" s="2" t="s">
        <v>2</v>
      </c>
      <c r="E401" s="2">
        <v>25</v>
      </c>
      <c r="F401" s="2">
        <v>0</v>
      </c>
      <c r="G401" s="2">
        <v>0</v>
      </c>
      <c r="H401" s="2">
        <v>0</v>
      </c>
      <c r="I401" s="2">
        <v>0</v>
      </c>
      <c r="J401" s="2" t="s">
        <v>1779</v>
      </c>
      <c r="K401" s="2">
        <v>15</v>
      </c>
      <c r="L401" s="2">
        <v>15</v>
      </c>
      <c r="M401" s="2">
        <v>0</v>
      </c>
      <c r="N401" s="2">
        <v>0</v>
      </c>
      <c r="O401" s="2">
        <v>0</v>
      </c>
      <c r="P401" s="2">
        <v>0</v>
      </c>
      <c r="Q401" s="2" t="s">
        <v>2426</v>
      </c>
      <c r="R401" s="2" t="s">
        <v>2427</v>
      </c>
      <c r="S401" s="4">
        <v>44837</v>
      </c>
    </row>
    <row r="402" spans="1:19" ht="12.5" hidden="1" x14ac:dyDescent="0.25">
      <c r="A402" s="14" t="str">
        <f>HYPERLINK("https://gerandofalcoes.my.salesforce.com/0014P00003YSpAAQA1", "0014P00003YSpAAQA1")</f>
        <v>0014P00003YSpAAQA1</v>
      </c>
      <c r="B402" s="2" t="s">
        <v>2428</v>
      </c>
      <c r="C402" s="2" t="s">
        <v>1684</v>
      </c>
      <c r="D402" s="2" t="s">
        <v>2</v>
      </c>
      <c r="E402" s="2">
        <v>25</v>
      </c>
      <c r="F402" s="2">
        <v>0</v>
      </c>
      <c r="G402" s="2">
        <v>0</v>
      </c>
      <c r="H402" s="2">
        <v>0</v>
      </c>
      <c r="I402" s="2">
        <v>0</v>
      </c>
      <c r="J402" s="2" t="s">
        <v>1779</v>
      </c>
      <c r="K402" s="2">
        <v>15</v>
      </c>
      <c r="L402" s="2">
        <v>15</v>
      </c>
      <c r="M402" s="2">
        <v>0</v>
      </c>
      <c r="N402" s="2">
        <v>0</v>
      </c>
      <c r="O402" s="2">
        <v>0</v>
      </c>
      <c r="P402" s="2">
        <v>0</v>
      </c>
      <c r="Q402" s="2" t="s">
        <v>2429</v>
      </c>
      <c r="R402" s="2" t="s">
        <v>2430</v>
      </c>
      <c r="S402" s="4">
        <v>44837</v>
      </c>
    </row>
    <row r="403" spans="1:19" ht="12.5" x14ac:dyDescent="0.25">
      <c r="A403" s="14" t="str">
        <f>HYPERLINK("https://gerandofalcoes.my.salesforce.com/0014X00002VKCvEQAX", "0014X00002VKCvEQAX")</f>
        <v>0014X00002VKCvEQAX</v>
      </c>
      <c r="B403" s="2" t="s">
        <v>3842</v>
      </c>
      <c r="C403" s="2" t="s">
        <v>1800</v>
      </c>
      <c r="D403" s="2" t="s">
        <v>2</v>
      </c>
      <c r="E403" s="2">
        <v>25</v>
      </c>
      <c r="F403" s="2">
        <v>0</v>
      </c>
      <c r="G403" s="2">
        <v>2</v>
      </c>
      <c r="H403" s="2">
        <v>10</v>
      </c>
      <c r="I403" s="2">
        <v>0</v>
      </c>
      <c r="J403" s="2" t="s">
        <v>1779</v>
      </c>
      <c r="K403" s="2">
        <v>26</v>
      </c>
      <c r="L403" s="2">
        <v>15</v>
      </c>
      <c r="M403" s="2">
        <v>0</v>
      </c>
      <c r="N403" s="2">
        <v>6</v>
      </c>
      <c r="O403" s="2">
        <v>5</v>
      </c>
      <c r="P403" s="2">
        <v>0</v>
      </c>
      <c r="Q403" s="2" t="s">
        <v>3843</v>
      </c>
      <c r="R403" s="2" t="s">
        <v>3844</v>
      </c>
      <c r="S403" s="4">
        <v>45112</v>
      </c>
    </row>
    <row r="404" spans="1:19" ht="12.5" x14ac:dyDescent="0.25">
      <c r="A404" s="14" t="str">
        <f>HYPERLINK("https://gerandofalcoes.my.salesforce.com/0014X00002VKCqTQAX", "0014X00002VKCqTQAX")</f>
        <v>0014X00002VKCqTQAX</v>
      </c>
      <c r="B404" s="2" t="s">
        <v>2431</v>
      </c>
      <c r="C404" s="2" t="s">
        <v>423</v>
      </c>
      <c r="D404" s="2" t="s">
        <v>2</v>
      </c>
      <c r="E404" s="2">
        <v>24.9</v>
      </c>
      <c r="F404" s="2">
        <v>0</v>
      </c>
      <c r="G404" s="2">
        <v>1</v>
      </c>
      <c r="H404" s="2">
        <v>7500</v>
      </c>
      <c r="I404" s="2">
        <v>250</v>
      </c>
      <c r="J404" s="2" t="s">
        <v>1779</v>
      </c>
      <c r="K404" s="2">
        <v>31</v>
      </c>
      <c r="L404" s="2">
        <v>10</v>
      </c>
      <c r="M404" s="2">
        <v>0</v>
      </c>
      <c r="N404" s="2">
        <v>4</v>
      </c>
      <c r="O404" s="2">
        <v>5</v>
      </c>
      <c r="P404" s="2">
        <v>12</v>
      </c>
      <c r="Q404" s="2" t="s">
        <v>2432</v>
      </c>
      <c r="R404" s="2" t="s">
        <v>2432</v>
      </c>
      <c r="S404" s="4">
        <v>44837</v>
      </c>
    </row>
    <row r="405" spans="1:19" ht="12.5" x14ac:dyDescent="0.25">
      <c r="A405" s="14" t="str">
        <f>HYPERLINK("https://gerandofalcoes.my.salesforce.com/0014P00003YSp9hQAD", "0014P00003YSp9hQAD")</f>
        <v>0014P00003YSp9hQAD</v>
      </c>
      <c r="B405" s="2" t="s">
        <v>2433</v>
      </c>
      <c r="C405" s="2" t="s">
        <v>423</v>
      </c>
      <c r="D405" s="2" t="s">
        <v>2</v>
      </c>
      <c r="E405" s="2">
        <v>24.36</v>
      </c>
      <c r="F405" s="2">
        <v>15</v>
      </c>
      <c r="G405" s="2">
        <v>5</v>
      </c>
      <c r="H405" s="2">
        <v>3886816</v>
      </c>
      <c r="I405" s="2">
        <v>100</v>
      </c>
      <c r="J405" s="2" t="s">
        <v>1650</v>
      </c>
      <c r="K405" s="2">
        <v>67</v>
      </c>
      <c r="L405" s="2">
        <v>10</v>
      </c>
      <c r="M405" s="2">
        <v>12</v>
      </c>
      <c r="N405" s="2">
        <v>10</v>
      </c>
      <c r="O405" s="2">
        <v>25</v>
      </c>
      <c r="P405" s="2">
        <v>10</v>
      </c>
      <c r="Q405" s="2" t="s">
        <v>2434</v>
      </c>
      <c r="R405" s="2" t="s">
        <v>2435</v>
      </c>
      <c r="S405" s="4">
        <v>44837</v>
      </c>
    </row>
    <row r="406" spans="1:19" ht="12.5" x14ac:dyDescent="0.25">
      <c r="A406" s="14" t="str">
        <f>HYPERLINK("https://gerandofalcoes.my.salesforce.com/0014X00002YggnNQAR", "0014X00002YggnNQAR")</f>
        <v>0014X00002YggnNQAR</v>
      </c>
      <c r="B406" s="2" t="s">
        <v>3403</v>
      </c>
      <c r="C406" s="2" t="s">
        <v>423</v>
      </c>
      <c r="D406" s="2" t="s">
        <v>2</v>
      </c>
      <c r="E406" s="2">
        <v>24.27</v>
      </c>
      <c r="F406" s="2">
        <v>5</v>
      </c>
      <c r="G406" s="2">
        <v>2</v>
      </c>
      <c r="H406" s="2">
        <v>5400</v>
      </c>
      <c r="I406" s="2">
        <v>0</v>
      </c>
      <c r="J406" s="2" t="s">
        <v>1779</v>
      </c>
      <c r="K406" s="2">
        <v>26</v>
      </c>
      <c r="L406" s="2">
        <v>10</v>
      </c>
      <c r="M406" s="2">
        <v>5</v>
      </c>
      <c r="N406" s="2">
        <v>6</v>
      </c>
      <c r="O406" s="2">
        <v>5</v>
      </c>
      <c r="P406" s="2">
        <v>0</v>
      </c>
      <c r="Q406" s="2" t="s">
        <v>3404</v>
      </c>
      <c r="R406" s="2" t="s">
        <v>3404</v>
      </c>
      <c r="S406" s="4">
        <v>44958</v>
      </c>
    </row>
    <row r="407" spans="1:19" ht="12.5" x14ac:dyDescent="0.25">
      <c r="A407" s="14" t="str">
        <f>HYPERLINK("https://gerandofalcoes.my.salesforce.com/0014P00003YSp9fQAD", "0014P00003YSp9fQAD")</f>
        <v>0014P00003YSp9fQAD</v>
      </c>
      <c r="B407" s="2" t="s">
        <v>2436</v>
      </c>
      <c r="C407" s="2" t="s">
        <v>1800</v>
      </c>
      <c r="D407" s="2" t="s">
        <v>2</v>
      </c>
      <c r="E407" s="2">
        <v>24.24</v>
      </c>
      <c r="F407" s="2">
        <v>0</v>
      </c>
      <c r="G407" s="2">
        <v>0</v>
      </c>
      <c r="H407" s="2">
        <v>0</v>
      </c>
      <c r="I407" s="2">
        <v>114</v>
      </c>
      <c r="J407" s="2" t="s">
        <v>1779</v>
      </c>
      <c r="K407" s="2">
        <v>20</v>
      </c>
      <c r="L407" s="2">
        <v>10</v>
      </c>
      <c r="M407" s="2">
        <v>0</v>
      </c>
      <c r="N407" s="2">
        <v>0</v>
      </c>
      <c r="O407" s="2">
        <v>0</v>
      </c>
      <c r="P407" s="2">
        <v>10</v>
      </c>
      <c r="Q407" s="2" t="s">
        <v>2437</v>
      </c>
      <c r="R407" s="2" t="s">
        <v>2437</v>
      </c>
      <c r="S407" s="4">
        <v>44837</v>
      </c>
    </row>
    <row r="408" spans="1:19" ht="12.5" x14ac:dyDescent="0.25">
      <c r="A408" s="14" t="str">
        <f>HYPERLINK("https://gerandofalcoes.my.salesforce.com/0014P00003YSp7qQAD", "0014P00003YSp7qQAD")</f>
        <v>0014P00003YSp7qQAD</v>
      </c>
      <c r="B408" s="2" t="s">
        <v>2438</v>
      </c>
      <c r="C408" s="2" t="s">
        <v>423</v>
      </c>
      <c r="D408" s="2" t="s">
        <v>2</v>
      </c>
      <c r="E408" s="2">
        <v>24</v>
      </c>
      <c r="F408" s="2">
        <v>5</v>
      </c>
      <c r="G408" s="2">
        <v>2</v>
      </c>
      <c r="H408" s="2">
        <v>7000</v>
      </c>
      <c r="I408" s="2">
        <v>1250</v>
      </c>
      <c r="J408" s="2" t="s">
        <v>1671</v>
      </c>
      <c r="K408" s="2">
        <v>46</v>
      </c>
      <c r="L408" s="2">
        <v>10</v>
      </c>
      <c r="M408" s="2">
        <v>5</v>
      </c>
      <c r="N408" s="2">
        <v>6</v>
      </c>
      <c r="O408" s="2">
        <v>5</v>
      </c>
      <c r="P408" s="2">
        <v>20</v>
      </c>
      <c r="Q408" s="2" t="s">
        <v>2439</v>
      </c>
      <c r="R408" s="2" t="s">
        <v>2440</v>
      </c>
      <c r="S408" s="4">
        <v>44837</v>
      </c>
    </row>
    <row r="409" spans="1:19" ht="12.5" x14ac:dyDescent="0.25">
      <c r="A409" s="14" t="str">
        <f>HYPERLINK("https://gerandofalcoes.my.salesforce.com/0014P00003YSp7zQAD", "0014P00003YSp7zQAD")</f>
        <v>0014P00003YSp7zQAD</v>
      </c>
      <c r="B409" s="2" t="s">
        <v>2441</v>
      </c>
      <c r="C409" s="2" t="s">
        <v>423</v>
      </c>
      <c r="D409" s="2" t="s">
        <v>2</v>
      </c>
      <c r="E409" s="2">
        <v>24</v>
      </c>
      <c r="F409" s="2">
        <v>1</v>
      </c>
      <c r="G409" s="2">
        <v>0</v>
      </c>
      <c r="H409" s="2">
        <v>380000</v>
      </c>
      <c r="I409" s="2">
        <v>780</v>
      </c>
      <c r="J409" s="2" t="s">
        <v>1671</v>
      </c>
      <c r="K409" s="2">
        <v>55</v>
      </c>
      <c r="L409" s="2">
        <v>10</v>
      </c>
      <c r="M409" s="2">
        <v>5</v>
      </c>
      <c r="N409" s="2">
        <v>0</v>
      </c>
      <c r="O409" s="2">
        <v>20</v>
      </c>
      <c r="P409" s="2">
        <v>20</v>
      </c>
      <c r="Q409" s="2" t="s">
        <v>2442</v>
      </c>
      <c r="R409" s="2" t="s">
        <v>2443</v>
      </c>
      <c r="S409" s="4">
        <v>44837</v>
      </c>
    </row>
    <row r="410" spans="1:19" ht="12.5" x14ac:dyDescent="0.25">
      <c r="A410" s="14" t="str">
        <f>HYPERLINK("https://gerandofalcoes.my.salesforce.com/0014X00002VKCuSQAX", "0014X00002VKCuSQAX")</f>
        <v>0014X00002VKCuSQAX</v>
      </c>
      <c r="B410" s="2" t="s">
        <v>2444</v>
      </c>
      <c r="C410" s="2" t="s">
        <v>1800</v>
      </c>
      <c r="D410" s="2" t="s">
        <v>2</v>
      </c>
      <c r="E410" s="2">
        <v>24</v>
      </c>
      <c r="F410" s="2">
        <v>6</v>
      </c>
      <c r="G410" s="2">
        <v>2</v>
      </c>
      <c r="H410" s="2">
        <v>15000</v>
      </c>
      <c r="I410" s="2">
        <v>336</v>
      </c>
      <c r="J410" s="2" t="s">
        <v>1671</v>
      </c>
      <c r="K410" s="2">
        <v>46</v>
      </c>
      <c r="L410" s="2">
        <v>10</v>
      </c>
      <c r="M410" s="2">
        <v>10</v>
      </c>
      <c r="N410" s="2">
        <v>6</v>
      </c>
      <c r="O410" s="2">
        <v>5</v>
      </c>
      <c r="P410" s="2">
        <v>15</v>
      </c>
      <c r="Q410" s="2" t="s">
        <v>2445</v>
      </c>
      <c r="R410" s="2" t="s">
        <v>2446</v>
      </c>
      <c r="S410" s="4">
        <v>44837</v>
      </c>
    </row>
    <row r="411" spans="1:19" ht="12.5" x14ac:dyDescent="0.25">
      <c r="A411" s="14" t="str">
        <f>HYPERLINK("https://gerandofalcoes.my.salesforce.com/0014P00003YSp8aQAD", "0014P00003YSp8aQAD")</f>
        <v>0014P00003YSp8aQAD</v>
      </c>
      <c r="B411" s="2" t="s">
        <v>2447</v>
      </c>
      <c r="C411" s="2" t="s">
        <v>423</v>
      </c>
      <c r="D411" s="2" t="s">
        <v>2</v>
      </c>
      <c r="E411" s="2">
        <v>24</v>
      </c>
      <c r="F411" s="2">
        <v>0</v>
      </c>
      <c r="G411" s="2">
        <v>2</v>
      </c>
      <c r="H411" s="2">
        <v>40000</v>
      </c>
      <c r="I411" s="2">
        <v>200</v>
      </c>
      <c r="J411" s="2" t="s">
        <v>1779</v>
      </c>
      <c r="K411" s="2">
        <v>38</v>
      </c>
      <c r="L411" s="2">
        <v>10</v>
      </c>
      <c r="M411" s="2">
        <v>0</v>
      </c>
      <c r="N411" s="2">
        <v>6</v>
      </c>
      <c r="O411" s="2">
        <v>10</v>
      </c>
      <c r="P411" s="2">
        <v>12</v>
      </c>
      <c r="Q411" s="2" t="s">
        <v>2448</v>
      </c>
      <c r="R411" s="2" t="s">
        <v>2449</v>
      </c>
      <c r="S411" s="4">
        <v>44837</v>
      </c>
    </row>
    <row r="412" spans="1:19" ht="12.5" x14ac:dyDescent="0.25">
      <c r="A412" s="14" t="str">
        <f>HYPERLINK("https://gerandofalcoes.my.salesforce.com/0014X00002VKCv2QAH", "0014X00002VKCv2QAH")</f>
        <v>0014X00002VKCv2QAH</v>
      </c>
      <c r="B412" s="2" t="s">
        <v>2450</v>
      </c>
      <c r="C412" s="2" t="s">
        <v>423</v>
      </c>
      <c r="D412" s="2" t="s">
        <v>2</v>
      </c>
      <c r="E412" s="2">
        <v>24</v>
      </c>
      <c r="F412" s="2">
        <v>5</v>
      </c>
      <c r="G412" s="2">
        <v>3</v>
      </c>
      <c r="H412" s="2">
        <v>500</v>
      </c>
      <c r="I412" s="2">
        <v>0</v>
      </c>
      <c r="J412" s="2" t="s">
        <v>1779</v>
      </c>
      <c r="K412" s="2">
        <v>28</v>
      </c>
      <c r="L412" s="2">
        <v>10</v>
      </c>
      <c r="M412" s="2">
        <v>5</v>
      </c>
      <c r="N412" s="2">
        <v>8</v>
      </c>
      <c r="O412" s="2">
        <v>5</v>
      </c>
      <c r="P412" s="2">
        <v>0</v>
      </c>
      <c r="Q412" s="2" t="s">
        <v>2451</v>
      </c>
      <c r="R412" s="2" t="s">
        <v>2451</v>
      </c>
      <c r="S412" s="4">
        <v>44837</v>
      </c>
    </row>
    <row r="413" spans="1:19" ht="12.5" x14ac:dyDescent="0.25">
      <c r="A413" s="14" t="str">
        <f>HYPERLINK("https://gerandofalcoes.my.salesforce.com/0014X00002VKCt1QAH", "0014X00002VKCt1QAH")</f>
        <v>0014X00002VKCt1QAH</v>
      </c>
      <c r="B413" s="2" t="s">
        <v>2452</v>
      </c>
      <c r="C413" s="2" t="s">
        <v>423</v>
      </c>
      <c r="D413" s="2" t="s">
        <v>2</v>
      </c>
      <c r="E413" s="2">
        <v>23.64</v>
      </c>
      <c r="F413" s="2">
        <v>0</v>
      </c>
      <c r="G413" s="2">
        <v>1</v>
      </c>
      <c r="H413" s="2">
        <v>48000</v>
      </c>
      <c r="I413" s="2">
        <v>125</v>
      </c>
      <c r="J413" s="2" t="s">
        <v>1779</v>
      </c>
      <c r="K413" s="2">
        <v>34</v>
      </c>
      <c r="L413" s="2">
        <v>10</v>
      </c>
      <c r="M413" s="2">
        <v>0</v>
      </c>
      <c r="N413" s="2">
        <v>4</v>
      </c>
      <c r="O413" s="2">
        <v>10</v>
      </c>
      <c r="P413" s="2">
        <v>10</v>
      </c>
      <c r="Q413" s="2" t="s">
        <v>2453</v>
      </c>
      <c r="R413" s="2" t="s">
        <v>2453</v>
      </c>
      <c r="S413" s="4">
        <v>44837</v>
      </c>
    </row>
    <row r="414" spans="1:19" ht="12.5" x14ac:dyDescent="0.25">
      <c r="A414" s="14" t="str">
        <f>HYPERLINK("https://gerandofalcoes.my.salesforce.com/0014P00003YSp84QAD", "0014P00003YSp84QAD")</f>
        <v>0014P00003YSp84QAD</v>
      </c>
      <c r="B414" s="2" t="s">
        <v>2454</v>
      </c>
      <c r="C414" s="2" t="s">
        <v>423</v>
      </c>
      <c r="D414" s="2" t="s">
        <v>2</v>
      </c>
      <c r="E414" s="2">
        <v>23.19</v>
      </c>
      <c r="F414" s="2">
        <v>0</v>
      </c>
      <c r="G414" s="2">
        <v>0</v>
      </c>
      <c r="H414" s="2">
        <v>0</v>
      </c>
      <c r="I414" s="2">
        <v>203</v>
      </c>
      <c r="J414" s="2" t="s">
        <v>1779</v>
      </c>
      <c r="K414" s="2">
        <v>22</v>
      </c>
      <c r="L414" s="2">
        <v>10</v>
      </c>
      <c r="M414" s="2">
        <v>0</v>
      </c>
      <c r="N414" s="2">
        <v>0</v>
      </c>
      <c r="O414" s="2">
        <v>0</v>
      </c>
      <c r="P414" s="2">
        <v>12</v>
      </c>
      <c r="Q414" s="2" t="s">
        <v>2455</v>
      </c>
      <c r="R414" s="2" t="s">
        <v>2456</v>
      </c>
      <c r="S414" s="4">
        <v>44837</v>
      </c>
    </row>
    <row r="415" spans="1:19" ht="12.5" x14ac:dyDescent="0.25">
      <c r="A415" s="14" t="str">
        <f>HYPERLINK("https://gerandofalcoes.my.salesforce.com/0014X00002VKCu0QAH", "0014X00002VKCu0QAH")</f>
        <v>0014X00002VKCu0QAH</v>
      </c>
      <c r="B415" s="2" t="s">
        <v>2457</v>
      </c>
      <c r="C415" s="2" t="s">
        <v>423</v>
      </c>
      <c r="D415" s="2" t="s">
        <v>2</v>
      </c>
      <c r="E415" s="2">
        <v>23</v>
      </c>
      <c r="F415" s="2">
        <v>0</v>
      </c>
      <c r="G415" s="2">
        <v>2</v>
      </c>
      <c r="H415" s="2">
        <v>2500</v>
      </c>
      <c r="I415" s="2">
        <v>120</v>
      </c>
      <c r="J415" s="2" t="s">
        <v>1779</v>
      </c>
      <c r="K415" s="2">
        <v>31</v>
      </c>
      <c r="L415" s="2">
        <v>10</v>
      </c>
      <c r="M415" s="2">
        <v>0</v>
      </c>
      <c r="N415" s="2">
        <v>6</v>
      </c>
      <c r="O415" s="2">
        <v>5</v>
      </c>
      <c r="P415" s="2">
        <v>10</v>
      </c>
      <c r="Q415" s="2" t="s">
        <v>2458</v>
      </c>
      <c r="R415" s="2" t="s">
        <v>2458</v>
      </c>
      <c r="S415" s="4">
        <v>44837</v>
      </c>
    </row>
    <row r="416" spans="1:19" ht="12.5" x14ac:dyDescent="0.25">
      <c r="A416" s="14" t="str">
        <f>HYPERLINK("https://gerandofalcoes.my.salesforce.com/0014X00002VKCtGQAX", "0014X00002VKCtGQAX")</f>
        <v>0014X00002VKCtGQAX</v>
      </c>
      <c r="B416" s="2" t="s">
        <v>2459</v>
      </c>
      <c r="C416" s="2" t="s">
        <v>423</v>
      </c>
      <c r="D416" s="2" t="s">
        <v>2</v>
      </c>
      <c r="E416" s="2">
        <v>23</v>
      </c>
      <c r="F416" s="2">
        <v>0</v>
      </c>
      <c r="G416" s="2">
        <v>4</v>
      </c>
      <c r="H416" s="2">
        <v>2000</v>
      </c>
      <c r="I416" s="2">
        <v>90</v>
      </c>
      <c r="J416" s="2" t="s">
        <v>1779</v>
      </c>
      <c r="K416" s="2">
        <v>35</v>
      </c>
      <c r="L416" s="2">
        <v>10</v>
      </c>
      <c r="M416" s="2">
        <v>0</v>
      </c>
      <c r="N416" s="2">
        <v>10</v>
      </c>
      <c r="O416" s="2">
        <v>5</v>
      </c>
      <c r="P416" s="2">
        <v>10</v>
      </c>
      <c r="Q416" s="2" t="s">
        <v>2460</v>
      </c>
      <c r="R416" s="2" t="s">
        <v>2461</v>
      </c>
      <c r="S416" s="4">
        <v>44837</v>
      </c>
    </row>
    <row r="417" spans="1:19" ht="12.5" x14ac:dyDescent="0.25">
      <c r="A417" s="14" t="str">
        <f>HYPERLINK("https://gerandofalcoes.my.salesforce.com/0014X00002VKCtXQAX", "0014X00002VKCtXQAX")</f>
        <v>0014X00002VKCtXQAX</v>
      </c>
      <c r="B417" s="2" t="s">
        <v>2462</v>
      </c>
      <c r="C417" s="2" t="s">
        <v>423</v>
      </c>
      <c r="D417" s="2" t="s">
        <v>2</v>
      </c>
      <c r="E417" s="2">
        <v>23</v>
      </c>
      <c r="F417" s="2">
        <v>0</v>
      </c>
      <c r="G417" s="2">
        <v>2</v>
      </c>
      <c r="H417" s="2">
        <v>25000</v>
      </c>
      <c r="I417" s="2">
        <v>60</v>
      </c>
      <c r="J417" s="2" t="s">
        <v>1779</v>
      </c>
      <c r="K417" s="2">
        <v>31</v>
      </c>
      <c r="L417" s="2">
        <v>10</v>
      </c>
      <c r="M417" s="2">
        <v>0</v>
      </c>
      <c r="N417" s="2">
        <v>6</v>
      </c>
      <c r="O417" s="2">
        <v>10</v>
      </c>
      <c r="P417" s="2">
        <v>5</v>
      </c>
      <c r="Q417" s="2" t="s">
        <v>2463</v>
      </c>
      <c r="R417" s="2" t="s">
        <v>2464</v>
      </c>
      <c r="S417" s="4">
        <v>44837</v>
      </c>
    </row>
    <row r="418" spans="1:19" ht="12.5" x14ac:dyDescent="0.25">
      <c r="A418" s="14" t="str">
        <f>HYPERLINK("https://gerandofalcoes.my.salesforce.com/0014P00003YSp7fQAD", "0014P00003YSp7fQAD")</f>
        <v>0014P00003YSp7fQAD</v>
      </c>
      <c r="B418" s="2" t="s">
        <v>2465</v>
      </c>
      <c r="C418" s="2" t="s">
        <v>423</v>
      </c>
      <c r="D418" s="2" t="s">
        <v>2</v>
      </c>
      <c r="E418" s="2">
        <v>23</v>
      </c>
      <c r="F418" s="2">
        <v>0</v>
      </c>
      <c r="G418" s="2">
        <v>2</v>
      </c>
      <c r="H418" s="2">
        <v>5000</v>
      </c>
      <c r="I418" s="2">
        <v>50</v>
      </c>
      <c r="J418" s="2" t="s">
        <v>1779</v>
      </c>
      <c r="K418" s="2">
        <v>26</v>
      </c>
      <c r="L418" s="2">
        <v>10</v>
      </c>
      <c r="M418" s="2">
        <v>0</v>
      </c>
      <c r="N418" s="2">
        <v>6</v>
      </c>
      <c r="O418" s="2">
        <v>5</v>
      </c>
      <c r="P418" s="2">
        <v>5</v>
      </c>
      <c r="Q418" s="2" t="s">
        <v>6552</v>
      </c>
      <c r="R418" s="2" t="s">
        <v>6552</v>
      </c>
      <c r="S418" s="4">
        <v>44837</v>
      </c>
    </row>
    <row r="419" spans="1:19" ht="12.5" x14ac:dyDescent="0.25">
      <c r="A419" s="14" t="str">
        <f>HYPERLINK("https://gerandofalcoes.my.salesforce.com/0014X00002VKCsvQAH", "0014X00002VKCsvQAH")</f>
        <v>0014X00002VKCsvQAH</v>
      </c>
      <c r="B419" s="2" t="s">
        <v>2467</v>
      </c>
      <c r="C419" s="2" t="s">
        <v>423</v>
      </c>
      <c r="D419" s="2" t="s">
        <v>2</v>
      </c>
      <c r="E419" s="2">
        <v>23</v>
      </c>
      <c r="F419" s="2">
        <v>4</v>
      </c>
      <c r="G419" s="2">
        <v>0</v>
      </c>
      <c r="H419" s="2">
        <v>15000</v>
      </c>
      <c r="I419" s="2">
        <v>0</v>
      </c>
      <c r="J419" s="2" t="s">
        <v>1779</v>
      </c>
      <c r="K419" s="2">
        <v>20</v>
      </c>
      <c r="L419" s="2">
        <v>10</v>
      </c>
      <c r="M419" s="2">
        <v>5</v>
      </c>
      <c r="N419" s="2">
        <v>0</v>
      </c>
      <c r="O419" s="2">
        <v>5</v>
      </c>
      <c r="P419" s="2">
        <v>0</v>
      </c>
      <c r="Q419" s="2" t="s">
        <v>2468</v>
      </c>
      <c r="R419" s="2" t="s">
        <v>2468</v>
      </c>
      <c r="S419" s="4">
        <v>44837</v>
      </c>
    </row>
    <row r="420" spans="1:19" ht="12.5" x14ac:dyDescent="0.25">
      <c r="A420" s="14" t="str">
        <f>HYPERLINK("https://gerandofalcoes.my.salesforce.com/0014P00003YSpA2QAL", "0014P00003YSpA2QAL")</f>
        <v>0014P00003YSpA2QAL</v>
      </c>
      <c r="B420" s="2" t="s">
        <v>2469</v>
      </c>
      <c r="C420" s="2" t="s">
        <v>423</v>
      </c>
      <c r="D420" s="2" t="s">
        <v>2</v>
      </c>
      <c r="E420" s="2">
        <v>23</v>
      </c>
      <c r="F420" s="2">
        <v>0</v>
      </c>
      <c r="G420" s="2">
        <v>2</v>
      </c>
      <c r="H420" s="2">
        <v>12000</v>
      </c>
      <c r="I420" s="2">
        <v>0</v>
      </c>
      <c r="J420" s="2" t="s">
        <v>1779</v>
      </c>
      <c r="K420" s="2">
        <v>21</v>
      </c>
      <c r="L420" s="2">
        <v>10</v>
      </c>
      <c r="M420" s="2">
        <v>0</v>
      </c>
      <c r="N420" s="2">
        <v>6</v>
      </c>
      <c r="O420" s="2">
        <v>5</v>
      </c>
      <c r="P420" s="2">
        <v>0</v>
      </c>
      <c r="Q420" s="2" t="s">
        <v>2470</v>
      </c>
      <c r="R420" s="2" t="s">
        <v>2471</v>
      </c>
      <c r="S420" s="4">
        <v>44837</v>
      </c>
    </row>
    <row r="421" spans="1:19" ht="12.5" x14ac:dyDescent="0.25">
      <c r="A421" s="14" t="str">
        <f>HYPERLINK("https://gerandofalcoes.my.salesforce.com/0014P00003AN2FeQAL", "0014P00003AN2FeQAL")</f>
        <v>0014P00003AN2FeQAL</v>
      </c>
      <c r="B421" s="2" t="s">
        <v>100</v>
      </c>
      <c r="C421" s="2" t="s">
        <v>423</v>
      </c>
      <c r="D421" s="2" t="s">
        <v>2</v>
      </c>
      <c r="E421" s="2">
        <v>22.95</v>
      </c>
      <c r="F421" s="2">
        <v>10</v>
      </c>
      <c r="G421" s="2">
        <v>3</v>
      </c>
      <c r="H421" s="2">
        <v>105000</v>
      </c>
      <c r="I421" s="2">
        <v>64</v>
      </c>
      <c r="J421" s="2" t="s">
        <v>1671</v>
      </c>
      <c r="K421" s="2">
        <v>48</v>
      </c>
      <c r="L421" s="2">
        <v>10</v>
      </c>
      <c r="M421" s="2">
        <v>10</v>
      </c>
      <c r="N421" s="2">
        <v>8</v>
      </c>
      <c r="O421" s="2">
        <v>15</v>
      </c>
      <c r="P421" s="2">
        <v>5</v>
      </c>
      <c r="Q421" s="2" t="s">
        <v>101</v>
      </c>
      <c r="R421" s="2" t="s">
        <v>2472</v>
      </c>
      <c r="S421" s="4">
        <v>44837</v>
      </c>
    </row>
    <row r="422" spans="1:19" ht="12.5" x14ac:dyDescent="0.25">
      <c r="A422" s="14" t="str">
        <f>HYPERLINK("https://gerandofalcoes.my.salesforce.com/0014X00002YggnnQAB", "0014X00002YggnnQAB")</f>
        <v>0014X00002YggnnQAB</v>
      </c>
      <c r="B422" s="2" t="s">
        <v>3405</v>
      </c>
      <c r="C422" s="2" t="s">
        <v>423</v>
      </c>
      <c r="D422" s="2" t="s">
        <v>2</v>
      </c>
      <c r="E422" s="2">
        <v>22.7</v>
      </c>
      <c r="F422" s="2">
        <v>0</v>
      </c>
      <c r="G422" s="2">
        <v>3</v>
      </c>
      <c r="H422" s="2">
        <v>135000</v>
      </c>
      <c r="I422" s="2">
        <v>50</v>
      </c>
      <c r="J422" s="2" t="s">
        <v>1779</v>
      </c>
      <c r="K422" s="2">
        <v>38</v>
      </c>
      <c r="L422" s="2">
        <v>10</v>
      </c>
      <c r="M422" s="2">
        <v>0</v>
      </c>
      <c r="N422" s="2">
        <v>8</v>
      </c>
      <c r="O422" s="2">
        <v>15</v>
      </c>
      <c r="P422" s="2">
        <v>5</v>
      </c>
      <c r="Q422" s="2" t="s">
        <v>3406</v>
      </c>
      <c r="R422" s="2" t="s">
        <v>3407</v>
      </c>
      <c r="S422" s="4">
        <v>44958</v>
      </c>
    </row>
    <row r="423" spans="1:19" ht="12.5" x14ac:dyDescent="0.25">
      <c r="A423" s="14" t="str">
        <f>HYPERLINK("https://gerandofalcoes.my.salesforce.com/0014X00002YggoQQAR", "0014X00002YggoQQAR")</f>
        <v>0014X00002YggoQQAR</v>
      </c>
      <c r="B423" s="2" t="s">
        <v>4079</v>
      </c>
      <c r="C423" s="2" t="s">
        <v>423</v>
      </c>
      <c r="D423" s="2" t="s">
        <v>2</v>
      </c>
      <c r="E423" s="2">
        <v>22.56</v>
      </c>
      <c r="F423" s="2">
        <v>0</v>
      </c>
      <c r="G423" s="2">
        <v>4</v>
      </c>
      <c r="H423" s="2">
        <v>100000</v>
      </c>
      <c r="I423" s="2">
        <v>150</v>
      </c>
      <c r="J423" s="2"/>
      <c r="K423" s="2">
        <v>47</v>
      </c>
      <c r="L423" s="2">
        <v>10</v>
      </c>
      <c r="M423" s="2">
        <v>0</v>
      </c>
      <c r="N423" s="2">
        <v>10</v>
      </c>
      <c r="O423" s="2">
        <v>15</v>
      </c>
      <c r="P423" s="2">
        <v>12</v>
      </c>
      <c r="Q423" s="2" t="s">
        <v>4080</v>
      </c>
      <c r="R423" s="2" t="s">
        <v>4081</v>
      </c>
      <c r="S423" s="4">
        <v>45169</v>
      </c>
    </row>
    <row r="424" spans="1:19" ht="12.5" x14ac:dyDescent="0.25">
      <c r="A424" s="14" t="str">
        <f>HYPERLINK("https://gerandofalcoes.my.salesforce.com/0014X00002VKCszQAH", "0014X00002VKCszQAH")</f>
        <v>0014X00002VKCszQAH</v>
      </c>
      <c r="B424" s="2" t="s">
        <v>2473</v>
      </c>
      <c r="C424" s="2" t="s">
        <v>423</v>
      </c>
      <c r="D424" s="2" t="s">
        <v>2</v>
      </c>
      <c r="E424" s="2">
        <v>22.35</v>
      </c>
      <c r="F424" s="2">
        <v>0</v>
      </c>
      <c r="G424" s="2">
        <v>3</v>
      </c>
      <c r="H424" s="2">
        <v>116114</v>
      </c>
      <c r="I424" s="2">
        <v>35</v>
      </c>
      <c r="J424" s="2" t="s">
        <v>1779</v>
      </c>
      <c r="K424" s="2">
        <v>38</v>
      </c>
      <c r="L424" s="2">
        <v>10</v>
      </c>
      <c r="M424" s="2">
        <v>0</v>
      </c>
      <c r="N424" s="2">
        <v>8</v>
      </c>
      <c r="O424" s="2">
        <v>15</v>
      </c>
      <c r="P424" s="2">
        <v>5</v>
      </c>
      <c r="Q424" s="2" t="s">
        <v>2474</v>
      </c>
      <c r="R424" s="2" t="s">
        <v>2475</v>
      </c>
      <c r="S424" s="4">
        <v>44837</v>
      </c>
    </row>
    <row r="425" spans="1:19" ht="12.5" x14ac:dyDescent="0.25">
      <c r="A425" s="14" t="str">
        <f>HYPERLINK("https://gerandofalcoes.my.salesforce.com/0014X00002Yggi2QAB", "0014X00002Yggi2QAB")</f>
        <v>0014X00002Yggi2QAB</v>
      </c>
      <c r="B425" s="2" t="s">
        <v>3152</v>
      </c>
      <c r="C425" s="2" t="s">
        <v>423</v>
      </c>
      <c r="D425" s="2" t="s">
        <v>2</v>
      </c>
      <c r="E425" s="2">
        <v>22.16</v>
      </c>
      <c r="F425" s="2">
        <v>0</v>
      </c>
      <c r="G425" s="2">
        <v>2</v>
      </c>
      <c r="H425" s="2">
        <v>1200</v>
      </c>
      <c r="I425" s="2">
        <v>320</v>
      </c>
      <c r="J425" s="2" t="s">
        <v>1779</v>
      </c>
      <c r="K425" s="2">
        <v>36</v>
      </c>
      <c r="L425" s="2">
        <v>10</v>
      </c>
      <c r="M425" s="2">
        <v>0</v>
      </c>
      <c r="N425" s="2">
        <v>6</v>
      </c>
      <c r="O425" s="2">
        <v>5</v>
      </c>
      <c r="P425" s="2">
        <v>15</v>
      </c>
      <c r="Q425" s="2" t="s">
        <v>3153</v>
      </c>
      <c r="R425" s="2" t="s">
        <v>3153</v>
      </c>
      <c r="S425" s="4">
        <v>44950</v>
      </c>
    </row>
    <row r="426" spans="1:19" ht="12.5" x14ac:dyDescent="0.25">
      <c r="A426" s="14" t="str">
        <f>HYPERLINK("https://gerandofalcoes.my.salesforce.com/0014P00003YSp8SQAT", "0014P00003YSp8SQAT")</f>
        <v>0014P00003YSp8SQAT</v>
      </c>
      <c r="B426" s="2" t="s">
        <v>2476</v>
      </c>
      <c r="C426" s="2" t="s">
        <v>423</v>
      </c>
      <c r="D426" s="2" t="s">
        <v>2</v>
      </c>
      <c r="E426" s="2">
        <v>22</v>
      </c>
      <c r="F426" s="2">
        <v>0</v>
      </c>
      <c r="G426" s="2">
        <v>2</v>
      </c>
      <c r="H426" s="2">
        <v>150000</v>
      </c>
      <c r="I426" s="2">
        <v>382</v>
      </c>
      <c r="J426" s="2" t="s">
        <v>1671</v>
      </c>
      <c r="K426" s="2">
        <v>46</v>
      </c>
      <c r="L426" s="2">
        <v>10</v>
      </c>
      <c r="M426" s="2">
        <v>0</v>
      </c>
      <c r="N426" s="2">
        <v>6</v>
      </c>
      <c r="O426" s="2">
        <v>15</v>
      </c>
      <c r="P426" s="2">
        <v>15</v>
      </c>
      <c r="Q426" s="2" t="s">
        <v>2477</v>
      </c>
      <c r="R426" s="2" t="s">
        <v>2477</v>
      </c>
      <c r="S426" s="4">
        <v>44837</v>
      </c>
    </row>
    <row r="427" spans="1:19" ht="12.5" x14ac:dyDescent="0.25">
      <c r="A427" s="14" t="str">
        <f>HYPERLINK("https://gerandofalcoes.my.salesforce.com/0014X00002VKCrHQAX", "0014X00002VKCrHQAX")</f>
        <v>0014X00002VKCrHQAX</v>
      </c>
      <c r="B427" s="2" t="s">
        <v>2478</v>
      </c>
      <c r="C427" s="2" t="s">
        <v>423</v>
      </c>
      <c r="D427" s="2" t="s">
        <v>2</v>
      </c>
      <c r="E427" s="2">
        <v>22</v>
      </c>
      <c r="F427" s="2">
        <v>0</v>
      </c>
      <c r="G427" s="2">
        <v>3</v>
      </c>
      <c r="H427" s="2">
        <v>500</v>
      </c>
      <c r="I427" s="2">
        <v>114</v>
      </c>
      <c r="J427" s="2" t="s">
        <v>1779</v>
      </c>
      <c r="K427" s="2">
        <v>33</v>
      </c>
      <c r="L427" s="2">
        <v>10</v>
      </c>
      <c r="M427" s="2">
        <v>0</v>
      </c>
      <c r="N427" s="2">
        <v>8</v>
      </c>
      <c r="O427" s="2">
        <v>5</v>
      </c>
      <c r="P427" s="2">
        <v>10</v>
      </c>
      <c r="Q427" s="2" t="s">
        <v>2479</v>
      </c>
      <c r="R427" s="2" t="s">
        <v>2479</v>
      </c>
      <c r="S427" s="4">
        <v>44837</v>
      </c>
    </row>
    <row r="428" spans="1:19" ht="12.5" x14ac:dyDescent="0.25">
      <c r="A428" s="14" t="str">
        <f>HYPERLINK("https://gerandofalcoes.my.salesforce.com/0014P00003SGWQJQA5", "0014P00003SGWQJQA5")</f>
        <v>0014P00003SGWQJQA5</v>
      </c>
      <c r="B428" s="2" t="s">
        <v>2480</v>
      </c>
      <c r="C428" s="2" t="s">
        <v>423</v>
      </c>
      <c r="D428" s="2" t="s">
        <v>2</v>
      </c>
      <c r="E428" s="2">
        <v>22</v>
      </c>
      <c r="F428" s="2">
        <v>2</v>
      </c>
      <c r="G428" s="2">
        <v>2</v>
      </c>
      <c r="H428" s="2">
        <v>11000</v>
      </c>
      <c r="I428" s="2">
        <v>103</v>
      </c>
      <c r="J428" s="2" t="s">
        <v>1779</v>
      </c>
      <c r="K428" s="2">
        <v>36</v>
      </c>
      <c r="L428" s="2">
        <v>10</v>
      </c>
      <c r="M428" s="2">
        <v>5</v>
      </c>
      <c r="N428" s="2">
        <v>6</v>
      </c>
      <c r="O428" s="2">
        <v>5</v>
      </c>
      <c r="P428" s="2">
        <v>10</v>
      </c>
      <c r="Q428" s="2" t="s">
        <v>269</v>
      </c>
      <c r="R428" s="2" t="s">
        <v>1248</v>
      </c>
      <c r="S428" s="4">
        <v>44837</v>
      </c>
    </row>
    <row r="429" spans="1:19" ht="12.5" x14ac:dyDescent="0.25">
      <c r="A429" s="14" t="str">
        <f>HYPERLINK("https://gerandofalcoes.my.salesforce.com/0014P00003YSp8bQAD", "0014P00003YSp8bQAD")</f>
        <v>0014P00003YSp8bQAD</v>
      </c>
      <c r="B429" s="2" t="s">
        <v>2481</v>
      </c>
      <c r="C429" s="2" t="s">
        <v>423</v>
      </c>
      <c r="D429" s="2" t="s">
        <v>2</v>
      </c>
      <c r="E429" s="2">
        <v>22</v>
      </c>
      <c r="F429" s="2">
        <v>4</v>
      </c>
      <c r="G429" s="2">
        <v>2</v>
      </c>
      <c r="H429" s="2">
        <v>80000</v>
      </c>
      <c r="I429" s="2">
        <v>100</v>
      </c>
      <c r="J429" s="2" t="s">
        <v>1671</v>
      </c>
      <c r="K429" s="2">
        <v>41</v>
      </c>
      <c r="L429" s="2">
        <v>10</v>
      </c>
      <c r="M429" s="2">
        <v>5</v>
      </c>
      <c r="N429" s="2">
        <v>6</v>
      </c>
      <c r="O429" s="2">
        <v>10</v>
      </c>
      <c r="P429" s="2">
        <v>10</v>
      </c>
      <c r="Q429" s="2" t="s">
        <v>2482</v>
      </c>
      <c r="R429" s="2" t="s">
        <v>2483</v>
      </c>
      <c r="S429" s="4">
        <v>44837</v>
      </c>
    </row>
    <row r="430" spans="1:19" ht="12.5" x14ac:dyDescent="0.25">
      <c r="A430" s="14" t="str">
        <f>HYPERLINK("https://gerandofalcoes.my.salesforce.com/0014X00002VKCurQAH", "0014X00002VKCurQAH")</f>
        <v>0014X00002VKCurQAH</v>
      </c>
      <c r="B430" s="2" t="s">
        <v>2484</v>
      </c>
      <c r="C430" s="2" t="s">
        <v>423</v>
      </c>
      <c r="D430" s="2" t="s">
        <v>2</v>
      </c>
      <c r="E430" s="2">
        <v>22</v>
      </c>
      <c r="F430" s="2">
        <v>0</v>
      </c>
      <c r="G430" s="2">
        <v>2</v>
      </c>
      <c r="H430" s="2">
        <v>30000</v>
      </c>
      <c r="I430" s="2">
        <v>90</v>
      </c>
      <c r="J430" s="2" t="s">
        <v>1779</v>
      </c>
      <c r="K430" s="2">
        <v>36</v>
      </c>
      <c r="L430" s="2">
        <v>10</v>
      </c>
      <c r="M430" s="2">
        <v>0</v>
      </c>
      <c r="N430" s="2">
        <v>6</v>
      </c>
      <c r="O430" s="2">
        <v>10</v>
      </c>
      <c r="P430" s="2">
        <v>10</v>
      </c>
      <c r="Q430" s="2" t="s">
        <v>2485</v>
      </c>
      <c r="R430" s="2" t="s">
        <v>2486</v>
      </c>
      <c r="S430" s="4">
        <v>44837</v>
      </c>
    </row>
    <row r="431" spans="1:19" ht="12.5" x14ac:dyDescent="0.25">
      <c r="A431" s="14" t="str">
        <f>HYPERLINK("https://gerandofalcoes.my.salesforce.com/0014X00002VKCs4QAH", "0014X00002VKCs4QAH")</f>
        <v>0014X00002VKCs4QAH</v>
      </c>
      <c r="B431" s="2" t="s">
        <v>2487</v>
      </c>
      <c r="C431" s="2" t="s">
        <v>1800</v>
      </c>
      <c r="D431" s="2" t="s">
        <v>2</v>
      </c>
      <c r="E431" s="2">
        <v>22</v>
      </c>
      <c r="F431" s="2">
        <v>0</v>
      </c>
      <c r="G431" s="2">
        <v>2</v>
      </c>
      <c r="H431" s="2">
        <v>0</v>
      </c>
      <c r="I431" s="2">
        <v>10</v>
      </c>
      <c r="J431" s="2" t="s">
        <v>1779</v>
      </c>
      <c r="K431" s="2">
        <v>21</v>
      </c>
      <c r="L431" s="2">
        <v>10</v>
      </c>
      <c r="M431" s="2">
        <v>0</v>
      </c>
      <c r="N431" s="2">
        <v>6</v>
      </c>
      <c r="O431" s="2">
        <v>0</v>
      </c>
      <c r="P431" s="2">
        <v>5</v>
      </c>
      <c r="Q431" s="2" t="s">
        <v>2488</v>
      </c>
      <c r="R431" s="2" t="s">
        <v>2489</v>
      </c>
      <c r="S431" s="4">
        <v>44837</v>
      </c>
    </row>
    <row r="432" spans="1:19" ht="12.5" x14ac:dyDescent="0.25">
      <c r="A432" s="14" t="str">
        <f>HYPERLINK("https://gerandofalcoes.my.salesforce.com/0014X00002VKCqzQAH", "0014X00002VKCqzQAH")</f>
        <v>0014X00002VKCqzQAH</v>
      </c>
      <c r="B432" s="2" t="s">
        <v>2490</v>
      </c>
      <c r="C432" s="2" t="s">
        <v>1800</v>
      </c>
      <c r="D432" s="2" t="s">
        <v>2</v>
      </c>
      <c r="E432" s="2">
        <v>22</v>
      </c>
      <c r="F432" s="2">
        <v>0</v>
      </c>
      <c r="G432" s="2">
        <v>3</v>
      </c>
      <c r="H432" s="2">
        <v>3000</v>
      </c>
      <c r="I432" s="2">
        <v>0</v>
      </c>
      <c r="J432" s="2" t="s">
        <v>1779</v>
      </c>
      <c r="K432" s="2">
        <v>23</v>
      </c>
      <c r="L432" s="2">
        <v>10</v>
      </c>
      <c r="M432" s="2">
        <v>0</v>
      </c>
      <c r="N432" s="2">
        <v>8</v>
      </c>
      <c r="O432" s="2">
        <v>5</v>
      </c>
      <c r="P432" s="2">
        <v>0</v>
      </c>
      <c r="Q432" s="2" t="s">
        <v>2491</v>
      </c>
      <c r="R432" s="2" t="s">
        <v>2491</v>
      </c>
      <c r="S432" s="4">
        <v>44837</v>
      </c>
    </row>
    <row r="433" spans="1:19" ht="12.5" x14ac:dyDescent="0.25">
      <c r="A433" s="14" t="str">
        <f>HYPERLINK("https://gerandofalcoes.my.salesforce.com/0014P00003YSp7vQAD", "0014P00003YSp7vQAD")</f>
        <v>0014P00003YSp7vQAD</v>
      </c>
      <c r="B433" s="2" t="s">
        <v>2492</v>
      </c>
      <c r="C433" s="2" t="s">
        <v>423</v>
      </c>
      <c r="D433" s="2" t="s">
        <v>2</v>
      </c>
      <c r="E433" s="2">
        <v>21.77</v>
      </c>
      <c r="F433" s="2">
        <v>2</v>
      </c>
      <c r="G433" s="2">
        <v>1</v>
      </c>
      <c r="H433" s="2">
        <v>42000</v>
      </c>
      <c r="I433" s="2">
        <v>71</v>
      </c>
      <c r="J433" s="2" t="s">
        <v>1779</v>
      </c>
      <c r="K433" s="2">
        <v>34</v>
      </c>
      <c r="L433" s="2">
        <v>10</v>
      </c>
      <c r="M433" s="2">
        <v>5</v>
      </c>
      <c r="N433" s="2">
        <v>4</v>
      </c>
      <c r="O433" s="2">
        <v>10</v>
      </c>
      <c r="P433" s="2">
        <v>5</v>
      </c>
      <c r="Q433" s="2" t="s">
        <v>2493</v>
      </c>
      <c r="R433" s="2" t="s">
        <v>2493</v>
      </c>
      <c r="S433" s="4">
        <v>44837</v>
      </c>
    </row>
    <row r="434" spans="1:19" ht="12.5" x14ac:dyDescent="0.25">
      <c r="A434" s="14" t="str">
        <f>HYPERLINK("https://gerandofalcoes.my.salesforce.com/0014X00002VKCr1QAH", "0014X00002VKCr1QAH")</f>
        <v>0014X00002VKCr1QAH</v>
      </c>
      <c r="B434" s="2" t="s">
        <v>2494</v>
      </c>
      <c r="C434" s="2" t="s">
        <v>423</v>
      </c>
      <c r="D434" s="2" t="s">
        <v>2</v>
      </c>
      <c r="E434" s="2">
        <v>21.76</v>
      </c>
      <c r="F434" s="2">
        <v>5</v>
      </c>
      <c r="G434" s="2">
        <v>3</v>
      </c>
      <c r="H434" s="2">
        <v>92000</v>
      </c>
      <c r="I434" s="2">
        <v>0</v>
      </c>
      <c r="J434" s="2" t="s">
        <v>1779</v>
      </c>
      <c r="K434" s="2">
        <v>33</v>
      </c>
      <c r="L434" s="2">
        <v>10</v>
      </c>
      <c r="M434" s="2">
        <v>5</v>
      </c>
      <c r="N434" s="2">
        <v>8</v>
      </c>
      <c r="O434" s="2">
        <v>10</v>
      </c>
      <c r="P434" s="2">
        <v>0</v>
      </c>
      <c r="Q434" s="2" t="s">
        <v>2495</v>
      </c>
      <c r="R434" s="2" t="s">
        <v>2496</v>
      </c>
      <c r="S434" s="4">
        <v>44837</v>
      </c>
    </row>
    <row r="435" spans="1:19" ht="12.5" x14ac:dyDescent="0.25">
      <c r="A435" s="14" t="str">
        <f>HYPERLINK("https://gerandofalcoes.my.salesforce.com/0014P00003YSp9wQAD", "0014P00003YSp9wQAD")</f>
        <v>0014P00003YSp9wQAD</v>
      </c>
      <c r="B435" s="2" t="s">
        <v>2497</v>
      </c>
      <c r="C435" s="2" t="s">
        <v>423</v>
      </c>
      <c r="D435" s="2" t="s">
        <v>2</v>
      </c>
      <c r="E435" s="2">
        <v>21.74</v>
      </c>
      <c r="F435" s="2">
        <v>6</v>
      </c>
      <c r="G435" s="2">
        <v>2</v>
      </c>
      <c r="H435" s="2">
        <v>2600000</v>
      </c>
      <c r="I435" s="2">
        <v>200</v>
      </c>
      <c r="J435" s="2" t="s">
        <v>1671</v>
      </c>
      <c r="K435" s="2">
        <v>63</v>
      </c>
      <c r="L435" s="2">
        <v>10</v>
      </c>
      <c r="M435" s="2">
        <v>10</v>
      </c>
      <c r="N435" s="2">
        <v>6</v>
      </c>
      <c r="O435" s="2">
        <v>25</v>
      </c>
      <c r="P435" s="2">
        <v>12</v>
      </c>
      <c r="Q435" s="2" t="s">
        <v>2498</v>
      </c>
      <c r="R435" s="2" t="s">
        <v>2498</v>
      </c>
      <c r="S435" s="4">
        <v>44837</v>
      </c>
    </row>
    <row r="436" spans="1:19" ht="12.5" x14ac:dyDescent="0.25">
      <c r="A436" s="14" t="str">
        <f>HYPERLINK("https://gerandofalcoes.my.salesforce.com/0014X00002YggkRQAR", "0014X00002YggkRQAR")</f>
        <v>0014X00002YggkRQAR</v>
      </c>
      <c r="B436" s="2" t="s">
        <v>3652</v>
      </c>
      <c r="C436" s="2" t="s">
        <v>423</v>
      </c>
      <c r="D436" s="2" t="s">
        <v>2</v>
      </c>
      <c r="E436" s="2">
        <v>21.68</v>
      </c>
      <c r="F436" s="2">
        <v>0</v>
      </c>
      <c r="G436" s="2">
        <v>3</v>
      </c>
      <c r="H436" s="2">
        <v>20000</v>
      </c>
      <c r="I436" s="2">
        <v>80</v>
      </c>
      <c r="J436" s="2" t="s">
        <v>1779</v>
      </c>
      <c r="K436" s="2">
        <v>33</v>
      </c>
      <c r="L436" s="2">
        <v>10</v>
      </c>
      <c r="M436" s="2">
        <v>0</v>
      </c>
      <c r="N436" s="2">
        <v>8</v>
      </c>
      <c r="O436" s="2">
        <v>5</v>
      </c>
      <c r="P436" s="2">
        <v>10</v>
      </c>
      <c r="Q436" s="2" t="s">
        <v>3653</v>
      </c>
      <c r="R436" s="2" t="s">
        <v>3653</v>
      </c>
      <c r="S436" s="4">
        <v>44964</v>
      </c>
    </row>
    <row r="437" spans="1:19" ht="12.5" x14ac:dyDescent="0.25">
      <c r="A437" s="14" t="str">
        <f>HYPERLINK("https://gerandofalcoes.my.salesforce.com/0014P00003SGWPvQAP", "0014P00003SGWPvQAP")</f>
        <v>0014P00003SGWPvQAP</v>
      </c>
      <c r="B437" s="2" t="s">
        <v>2499</v>
      </c>
      <c r="C437" s="2" t="s">
        <v>423</v>
      </c>
      <c r="D437" s="2" t="s">
        <v>2</v>
      </c>
      <c r="E437" s="2">
        <v>21.55</v>
      </c>
      <c r="F437" s="2">
        <v>0</v>
      </c>
      <c r="G437" s="2">
        <v>1</v>
      </c>
      <c r="H437" s="2">
        <v>33000</v>
      </c>
      <c r="I437" s="2">
        <v>100</v>
      </c>
      <c r="J437" s="2" t="s">
        <v>1779</v>
      </c>
      <c r="K437" s="2">
        <v>34</v>
      </c>
      <c r="L437" s="2">
        <v>10</v>
      </c>
      <c r="M437" s="2">
        <v>0</v>
      </c>
      <c r="N437" s="2">
        <v>4</v>
      </c>
      <c r="O437" s="2">
        <v>10</v>
      </c>
      <c r="P437" s="2">
        <v>10</v>
      </c>
      <c r="Q437" s="2" t="s">
        <v>189</v>
      </c>
      <c r="R437" s="2" t="s">
        <v>189</v>
      </c>
      <c r="S437" s="4">
        <v>44837</v>
      </c>
    </row>
    <row r="438" spans="1:19" ht="12.5" x14ac:dyDescent="0.25">
      <c r="A438" s="14" t="str">
        <f>HYPERLINK("https://gerandofalcoes.my.salesforce.com/0014X00002VKCsxQAH", "0014X00002VKCsxQAH")</f>
        <v>0014X00002VKCsxQAH</v>
      </c>
      <c r="B438" s="2" t="s">
        <v>2500</v>
      </c>
      <c r="C438" s="2" t="s">
        <v>423</v>
      </c>
      <c r="D438" s="2" t="s">
        <v>2</v>
      </c>
      <c r="E438" s="2">
        <v>21.32</v>
      </c>
      <c r="F438" s="2">
        <v>0</v>
      </c>
      <c r="G438" s="2">
        <v>1</v>
      </c>
      <c r="H438" s="2">
        <v>3500000</v>
      </c>
      <c r="I438" s="2">
        <v>150</v>
      </c>
      <c r="J438" s="2" t="s">
        <v>1671</v>
      </c>
      <c r="K438" s="2">
        <v>51</v>
      </c>
      <c r="L438" s="2">
        <v>10</v>
      </c>
      <c r="M438" s="2">
        <v>0</v>
      </c>
      <c r="N438" s="2">
        <v>4</v>
      </c>
      <c r="O438" s="2">
        <v>25</v>
      </c>
      <c r="P438" s="2">
        <v>12</v>
      </c>
      <c r="Q438" s="2" t="s">
        <v>2501</v>
      </c>
      <c r="R438" s="2" t="s">
        <v>2502</v>
      </c>
      <c r="S438" s="4">
        <v>44837</v>
      </c>
    </row>
    <row r="439" spans="1:19" ht="12.5" x14ac:dyDescent="0.25">
      <c r="A439" s="14" t="str">
        <f>HYPERLINK("https://gerandofalcoes.my.salesforce.com/0014P00003AN2GHQA1", "0014P00003AN2GHQA1")</f>
        <v>0014P00003AN2GHQA1</v>
      </c>
      <c r="B439" s="2" t="s">
        <v>2503</v>
      </c>
      <c r="C439" s="2" t="s">
        <v>423</v>
      </c>
      <c r="D439" s="2" t="s">
        <v>2</v>
      </c>
      <c r="E439" s="2">
        <v>21.22</v>
      </c>
      <c r="F439" s="2">
        <v>2</v>
      </c>
      <c r="G439" s="2">
        <v>3</v>
      </c>
      <c r="H439" s="2">
        <v>165000</v>
      </c>
      <c r="I439" s="2">
        <v>90</v>
      </c>
      <c r="J439" s="2" t="s">
        <v>1671</v>
      </c>
      <c r="K439" s="2">
        <v>48</v>
      </c>
      <c r="L439" s="2">
        <v>10</v>
      </c>
      <c r="M439" s="2">
        <v>5</v>
      </c>
      <c r="N439" s="2">
        <v>8</v>
      </c>
      <c r="O439" s="2">
        <v>15</v>
      </c>
      <c r="P439" s="2">
        <v>10</v>
      </c>
      <c r="Q439" s="2" t="s">
        <v>1010</v>
      </c>
      <c r="R439" s="2" t="s">
        <v>1010</v>
      </c>
      <c r="S439" s="4">
        <v>44837</v>
      </c>
    </row>
    <row r="440" spans="1:19" ht="12.5" x14ac:dyDescent="0.25">
      <c r="A440" s="14" t="str">
        <f>HYPERLINK("https://gerandofalcoes.my.salesforce.com/0014X00002VKCpBQAX", "0014X00002VKCpBQAX")</f>
        <v>0014X00002VKCpBQAX</v>
      </c>
      <c r="B440" s="2" t="s">
        <v>2504</v>
      </c>
      <c r="C440" s="2" t="s">
        <v>423</v>
      </c>
      <c r="D440" s="2" t="s">
        <v>2</v>
      </c>
      <c r="E440" s="2">
        <v>21.13</v>
      </c>
      <c r="F440" s="2">
        <v>0</v>
      </c>
      <c r="G440" s="2">
        <v>3</v>
      </c>
      <c r="H440" s="2">
        <v>128350</v>
      </c>
      <c r="I440" s="2">
        <v>160</v>
      </c>
      <c r="J440" s="2" t="s">
        <v>1671</v>
      </c>
      <c r="K440" s="2">
        <v>45</v>
      </c>
      <c r="L440" s="2">
        <v>10</v>
      </c>
      <c r="M440" s="2">
        <v>0</v>
      </c>
      <c r="N440" s="2">
        <v>8</v>
      </c>
      <c r="O440" s="2">
        <v>15</v>
      </c>
      <c r="P440" s="2">
        <v>12</v>
      </c>
      <c r="Q440" s="2" t="s">
        <v>2505</v>
      </c>
      <c r="R440" s="2" t="s">
        <v>2505</v>
      </c>
      <c r="S440" s="4">
        <v>44837</v>
      </c>
    </row>
    <row r="441" spans="1:19" ht="12.5" x14ac:dyDescent="0.25">
      <c r="A441" s="14" t="str">
        <f>HYPERLINK("https://gerandofalcoes.my.salesforce.com/0014X00002VKCspQAH", "0014X00002VKCspQAH")</f>
        <v>0014X00002VKCspQAH</v>
      </c>
      <c r="B441" s="2" t="s">
        <v>2506</v>
      </c>
      <c r="C441" s="2" t="s">
        <v>423</v>
      </c>
      <c r="D441" s="2" t="s">
        <v>2</v>
      </c>
      <c r="E441" s="2">
        <v>21.12</v>
      </c>
      <c r="F441" s="2">
        <v>0</v>
      </c>
      <c r="G441" s="2">
        <v>0</v>
      </c>
      <c r="H441" s="2">
        <v>0</v>
      </c>
      <c r="I441" s="2">
        <v>100</v>
      </c>
      <c r="J441" s="2" t="s">
        <v>1779</v>
      </c>
      <c r="K441" s="2">
        <v>20</v>
      </c>
      <c r="L441" s="2">
        <v>10</v>
      </c>
      <c r="M441" s="2">
        <v>0</v>
      </c>
      <c r="N441" s="2">
        <v>0</v>
      </c>
      <c r="O441" s="2">
        <v>0</v>
      </c>
      <c r="P441" s="2">
        <v>10</v>
      </c>
      <c r="Q441" s="2" t="s">
        <v>2507</v>
      </c>
      <c r="R441" s="2" t="s">
        <v>2508</v>
      </c>
      <c r="S441" s="4">
        <v>44837</v>
      </c>
    </row>
    <row r="442" spans="1:19" ht="12.5" x14ac:dyDescent="0.25">
      <c r="A442" s="14" t="str">
        <f>HYPERLINK("https://gerandofalcoes.my.salesforce.com/0014P00003YSp7rQAD", "0014P00003YSp7rQAD")</f>
        <v>0014P00003YSp7rQAD</v>
      </c>
      <c r="B442" s="2" t="s">
        <v>2509</v>
      </c>
      <c r="C442" s="2" t="s">
        <v>1800</v>
      </c>
      <c r="D442" s="2" t="s">
        <v>2</v>
      </c>
      <c r="E442" s="2">
        <v>21</v>
      </c>
      <c r="F442" s="2">
        <v>1</v>
      </c>
      <c r="G442" s="2">
        <v>2</v>
      </c>
      <c r="H442" s="2">
        <v>11000</v>
      </c>
      <c r="I442" s="2">
        <v>320</v>
      </c>
      <c r="J442" s="2" t="s">
        <v>1671</v>
      </c>
      <c r="K442" s="2">
        <v>41</v>
      </c>
      <c r="L442" s="2">
        <v>10</v>
      </c>
      <c r="M442" s="2">
        <v>5</v>
      </c>
      <c r="N442" s="2">
        <v>6</v>
      </c>
      <c r="O442" s="2">
        <v>5</v>
      </c>
      <c r="P442" s="2">
        <v>15</v>
      </c>
      <c r="Q442" s="2" t="s">
        <v>2510</v>
      </c>
      <c r="R442" s="2" t="s">
        <v>2510</v>
      </c>
      <c r="S442" s="4">
        <v>44837</v>
      </c>
    </row>
    <row r="443" spans="1:19" ht="12.5" x14ac:dyDescent="0.25">
      <c r="A443" s="14" t="str">
        <f>HYPERLINK("https://gerandofalcoes.my.salesforce.com/0014P00003YSp7XQAT", "0014P00003YSp7XQAT")</f>
        <v>0014P00003YSp7XQAT</v>
      </c>
      <c r="B443" s="2" t="s">
        <v>2511</v>
      </c>
      <c r="C443" s="2" t="s">
        <v>423</v>
      </c>
      <c r="D443" s="2" t="s">
        <v>2</v>
      </c>
      <c r="E443" s="2">
        <v>21</v>
      </c>
      <c r="F443" s="2">
        <v>0</v>
      </c>
      <c r="G443" s="2">
        <v>3</v>
      </c>
      <c r="H443" s="2">
        <v>8200</v>
      </c>
      <c r="I443" s="2">
        <v>109</v>
      </c>
      <c r="J443" s="2" t="s">
        <v>1779</v>
      </c>
      <c r="K443" s="2">
        <v>33</v>
      </c>
      <c r="L443" s="2">
        <v>10</v>
      </c>
      <c r="M443" s="2">
        <v>0</v>
      </c>
      <c r="N443" s="2">
        <v>8</v>
      </c>
      <c r="O443" s="2">
        <v>5</v>
      </c>
      <c r="P443" s="2">
        <v>10</v>
      </c>
      <c r="Q443" s="2" t="s">
        <v>2512</v>
      </c>
      <c r="R443" s="2" t="s">
        <v>2513</v>
      </c>
      <c r="S443" s="4">
        <v>44837</v>
      </c>
    </row>
    <row r="444" spans="1:19" ht="12.5" x14ac:dyDescent="0.25">
      <c r="A444" s="14" t="str">
        <f>HYPERLINK("https://gerandofalcoes.my.salesforce.com/0014P00003YSp86QAD", "0014P00003YSp86QAD")</f>
        <v>0014P00003YSp86QAD</v>
      </c>
      <c r="B444" s="2" t="s">
        <v>2514</v>
      </c>
      <c r="C444" s="2" t="s">
        <v>423</v>
      </c>
      <c r="D444" s="2" t="s">
        <v>2</v>
      </c>
      <c r="E444" s="2">
        <v>21</v>
      </c>
      <c r="F444" s="2">
        <v>0</v>
      </c>
      <c r="G444" s="2">
        <v>2</v>
      </c>
      <c r="H444" s="2">
        <v>10000</v>
      </c>
      <c r="I444" s="2">
        <v>100</v>
      </c>
      <c r="J444" s="2" t="s">
        <v>1779</v>
      </c>
      <c r="K444" s="2">
        <v>31</v>
      </c>
      <c r="L444" s="2">
        <v>10</v>
      </c>
      <c r="M444" s="2">
        <v>0</v>
      </c>
      <c r="N444" s="2">
        <v>6</v>
      </c>
      <c r="O444" s="2">
        <v>5</v>
      </c>
      <c r="P444" s="2">
        <v>10</v>
      </c>
      <c r="Q444" s="2" t="s">
        <v>2515</v>
      </c>
      <c r="R444" s="2" t="s">
        <v>2515</v>
      </c>
      <c r="S444" s="4">
        <v>44837</v>
      </c>
    </row>
    <row r="445" spans="1:19" ht="12.5" x14ac:dyDescent="0.25">
      <c r="A445" s="14" t="str">
        <f>HYPERLINK("https://gerandofalcoes.my.salesforce.com/0014X00002VKCseQAH", "0014X00002VKCseQAH")</f>
        <v>0014X00002VKCseQAH</v>
      </c>
      <c r="B445" s="2" t="s">
        <v>2516</v>
      </c>
      <c r="C445" s="2" t="s">
        <v>423</v>
      </c>
      <c r="D445" s="2" t="s">
        <v>2</v>
      </c>
      <c r="E445" s="2">
        <v>21</v>
      </c>
      <c r="F445" s="2">
        <v>0</v>
      </c>
      <c r="G445" s="2">
        <v>4</v>
      </c>
      <c r="H445" s="2">
        <v>6000</v>
      </c>
      <c r="I445" s="2">
        <v>100</v>
      </c>
      <c r="J445" s="2" t="s">
        <v>1779</v>
      </c>
      <c r="K445" s="2">
        <v>35</v>
      </c>
      <c r="L445" s="2">
        <v>10</v>
      </c>
      <c r="M445" s="2">
        <v>0</v>
      </c>
      <c r="N445" s="2">
        <v>10</v>
      </c>
      <c r="O445" s="2">
        <v>5</v>
      </c>
      <c r="P445" s="2">
        <v>10</v>
      </c>
      <c r="Q445" s="2" t="s">
        <v>2517</v>
      </c>
      <c r="R445" s="2" t="s">
        <v>2517</v>
      </c>
      <c r="S445" s="4">
        <v>44837</v>
      </c>
    </row>
    <row r="446" spans="1:19" ht="12.5" x14ac:dyDescent="0.25">
      <c r="A446" s="14" t="str">
        <f>HYPERLINK("https://gerandofalcoes.my.salesforce.com/0014X00002VKCp4QAH", "0014X00002VKCp4QAH")</f>
        <v>0014X00002VKCp4QAH</v>
      </c>
      <c r="B446" s="2" t="s">
        <v>2518</v>
      </c>
      <c r="C446" s="2" t="s">
        <v>1800</v>
      </c>
      <c r="D446" s="2" t="s">
        <v>2</v>
      </c>
      <c r="E446" s="2">
        <v>21</v>
      </c>
      <c r="F446" s="2">
        <v>0</v>
      </c>
      <c r="G446" s="2">
        <v>2</v>
      </c>
      <c r="H446" s="2">
        <v>0</v>
      </c>
      <c r="I446" s="2">
        <v>70</v>
      </c>
      <c r="J446" s="2" t="s">
        <v>1779</v>
      </c>
      <c r="K446" s="2">
        <v>21</v>
      </c>
      <c r="L446" s="2">
        <v>10</v>
      </c>
      <c r="M446" s="2">
        <v>0</v>
      </c>
      <c r="N446" s="2">
        <v>6</v>
      </c>
      <c r="O446" s="2">
        <v>0</v>
      </c>
      <c r="P446" s="2">
        <v>5</v>
      </c>
      <c r="Q446" s="2" t="s">
        <v>2519</v>
      </c>
      <c r="R446" s="2" t="s">
        <v>2520</v>
      </c>
      <c r="S446" s="4">
        <v>44837</v>
      </c>
    </row>
    <row r="447" spans="1:19" ht="12.5" x14ac:dyDescent="0.25">
      <c r="A447" s="14" t="str">
        <f>HYPERLINK("https://gerandofalcoes.my.salesforce.com/0014X00002VKCqOQAX", "0014X00002VKCqOQAX")</f>
        <v>0014X00002VKCqOQAX</v>
      </c>
      <c r="B447" s="2" t="s">
        <v>2521</v>
      </c>
      <c r="C447" s="2" t="s">
        <v>423</v>
      </c>
      <c r="D447" s="2" t="s">
        <v>2</v>
      </c>
      <c r="E447" s="2">
        <v>21</v>
      </c>
      <c r="F447" s="2">
        <v>2</v>
      </c>
      <c r="G447" s="2">
        <v>2</v>
      </c>
      <c r="H447" s="2">
        <v>0</v>
      </c>
      <c r="I447" s="2">
        <v>70</v>
      </c>
      <c r="J447" s="2" t="s">
        <v>1779</v>
      </c>
      <c r="K447" s="2">
        <v>26</v>
      </c>
      <c r="L447" s="2">
        <v>10</v>
      </c>
      <c r="M447" s="2">
        <v>5</v>
      </c>
      <c r="N447" s="2">
        <v>6</v>
      </c>
      <c r="O447" s="2">
        <v>0</v>
      </c>
      <c r="P447" s="2">
        <v>5</v>
      </c>
      <c r="Q447" s="2" t="s">
        <v>2522</v>
      </c>
      <c r="R447" s="2" t="s">
        <v>2522</v>
      </c>
      <c r="S447" s="4">
        <v>44837</v>
      </c>
    </row>
    <row r="448" spans="1:19" ht="12.5" x14ac:dyDescent="0.25">
      <c r="A448" s="14" t="str">
        <f>HYPERLINK("https://gerandofalcoes.my.salesforce.com/0014X00002VKCpIQAX", "0014X00002VKCpIQAX")</f>
        <v>0014X00002VKCpIQAX</v>
      </c>
      <c r="B448" s="2" t="s">
        <v>2523</v>
      </c>
      <c r="C448" s="2" t="s">
        <v>423</v>
      </c>
      <c r="D448" s="2" t="s">
        <v>2</v>
      </c>
      <c r="E448" s="2">
        <v>21</v>
      </c>
      <c r="F448" s="2">
        <v>0</v>
      </c>
      <c r="G448" s="2">
        <v>4</v>
      </c>
      <c r="H448" s="2">
        <v>300</v>
      </c>
      <c r="I448" s="2">
        <v>50</v>
      </c>
      <c r="J448" s="2" t="s">
        <v>1779</v>
      </c>
      <c r="K448" s="2">
        <v>30</v>
      </c>
      <c r="L448" s="2">
        <v>10</v>
      </c>
      <c r="M448" s="2">
        <v>0</v>
      </c>
      <c r="N448" s="2">
        <v>10</v>
      </c>
      <c r="O448" s="2">
        <v>5</v>
      </c>
      <c r="P448" s="2">
        <v>5</v>
      </c>
      <c r="Q448" s="2" t="s">
        <v>2524</v>
      </c>
      <c r="R448" s="2" t="s">
        <v>2525</v>
      </c>
      <c r="S448" s="4">
        <v>44837</v>
      </c>
    </row>
    <row r="449" spans="1:19" ht="12.5" x14ac:dyDescent="0.25">
      <c r="A449" s="14" t="str">
        <f>HYPERLINK("https://gerandofalcoes.my.salesforce.com/0014P00003YSp8XQAT", "0014P00003YSp8XQAT")</f>
        <v>0014P00003YSp8XQAT</v>
      </c>
      <c r="B449" s="2" t="s">
        <v>2526</v>
      </c>
      <c r="C449" s="2" t="s">
        <v>423</v>
      </c>
      <c r="D449" s="2" t="s">
        <v>2</v>
      </c>
      <c r="E449" s="2">
        <v>21</v>
      </c>
      <c r="F449" s="2">
        <v>0</v>
      </c>
      <c r="G449" s="2">
        <v>1</v>
      </c>
      <c r="H449" s="2">
        <v>250</v>
      </c>
      <c r="I449" s="2">
        <v>50</v>
      </c>
      <c r="J449" s="2" t="s">
        <v>1779</v>
      </c>
      <c r="K449" s="2">
        <v>24</v>
      </c>
      <c r="L449" s="2">
        <v>10</v>
      </c>
      <c r="M449" s="2">
        <v>0</v>
      </c>
      <c r="N449" s="2">
        <v>4</v>
      </c>
      <c r="O449" s="2">
        <v>5</v>
      </c>
      <c r="P449" s="2">
        <v>5</v>
      </c>
      <c r="Q449" s="2" t="s">
        <v>2527</v>
      </c>
      <c r="R449" s="2" t="s">
        <v>2528</v>
      </c>
      <c r="S449" s="4">
        <v>44837</v>
      </c>
    </row>
    <row r="450" spans="1:19" ht="12.5" x14ac:dyDescent="0.25">
      <c r="A450" s="14" t="str">
        <f>HYPERLINK("https://gerandofalcoes.my.salesforce.com/0014X00002VKCtRQAX", "0014X00002VKCtRQAX")</f>
        <v>0014X00002VKCtRQAX</v>
      </c>
      <c r="B450" s="2" t="s">
        <v>2529</v>
      </c>
      <c r="C450" s="2" t="s">
        <v>1800</v>
      </c>
      <c r="D450" s="2" t="s">
        <v>2</v>
      </c>
      <c r="E450" s="2">
        <v>21</v>
      </c>
      <c r="F450" s="2">
        <v>1</v>
      </c>
      <c r="G450" s="2">
        <v>6</v>
      </c>
      <c r="H450" s="2">
        <v>300</v>
      </c>
      <c r="I450" s="2">
        <v>30</v>
      </c>
      <c r="J450" s="2" t="s">
        <v>1779</v>
      </c>
      <c r="K450" s="2">
        <v>35</v>
      </c>
      <c r="L450" s="2">
        <v>10</v>
      </c>
      <c r="M450" s="2">
        <v>5</v>
      </c>
      <c r="N450" s="2">
        <v>10</v>
      </c>
      <c r="O450" s="2">
        <v>5</v>
      </c>
      <c r="P450" s="2">
        <v>5</v>
      </c>
      <c r="Q450" s="2" t="s">
        <v>2530</v>
      </c>
      <c r="R450" s="2" t="s">
        <v>2530</v>
      </c>
      <c r="S450" s="4">
        <v>44837</v>
      </c>
    </row>
    <row r="451" spans="1:19" ht="12.5" x14ac:dyDescent="0.25">
      <c r="A451" s="14" t="str">
        <f>HYPERLINK("https://gerandofalcoes.my.salesforce.com/0014X00002VKCt6QAH", "0014X00002VKCt6QAH")</f>
        <v>0014X00002VKCt6QAH</v>
      </c>
      <c r="B451" s="2" t="s">
        <v>2531</v>
      </c>
      <c r="C451" s="2" t="s">
        <v>1800</v>
      </c>
      <c r="D451" s="2" t="s">
        <v>2</v>
      </c>
      <c r="E451" s="2">
        <v>21</v>
      </c>
      <c r="F451" s="2">
        <v>15</v>
      </c>
      <c r="G451" s="2">
        <v>3</v>
      </c>
      <c r="H451" s="2">
        <v>4500</v>
      </c>
      <c r="I451" s="2">
        <v>10</v>
      </c>
      <c r="J451" s="2" t="s">
        <v>1671</v>
      </c>
      <c r="K451" s="2">
        <v>40</v>
      </c>
      <c r="L451" s="2">
        <v>10</v>
      </c>
      <c r="M451" s="2">
        <v>12</v>
      </c>
      <c r="N451" s="2">
        <v>8</v>
      </c>
      <c r="O451" s="2">
        <v>5</v>
      </c>
      <c r="P451" s="2">
        <v>5</v>
      </c>
      <c r="Q451" s="2" t="s">
        <v>2532</v>
      </c>
      <c r="R451" s="2" t="s">
        <v>2533</v>
      </c>
      <c r="S451" s="4">
        <v>44837</v>
      </c>
    </row>
    <row r="452" spans="1:19" ht="12.5" x14ac:dyDescent="0.25">
      <c r="A452" s="14" t="str">
        <f>HYPERLINK("https://gerandofalcoes.my.salesforce.com/0014X00002VKCqFQAX", "0014X00002VKCqFQAX")</f>
        <v>0014X00002VKCqFQAX</v>
      </c>
      <c r="B452" s="2" t="s">
        <v>3827</v>
      </c>
      <c r="C452" s="2" t="s">
        <v>423</v>
      </c>
      <c r="D452" s="2" t="s">
        <v>2</v>
      </c>
      <c r="E452" s="2">
        <v>21</v>
      </c>
      <c r="F452" s="2">
        <v>0</v>
      </c>
      <c r="G452" s="2">
        <v>0</v>
      </c>
      <c r="H452" s="2">
        <v>0</v>
      </c>
      <c r="I452" s="2">
        <v>0</v>
      </c>
      <c r="J452" s="2" t="s">
        <v>1779</v>
      </c>
      <c r="K452" s="2">
        <v>10</v>
      </c>
      <c r="L452" s="2">
        <v>10</v>
      </c>
      <c r="M452" s="2">
        <v>0</v>
      </c>
      <c r="N452" s="2">
        <v>0</v>
      </c>
      <c r="O452" s="2">
        <v>0</v>
      </c>
      <c r="P452" s="2">
        <v>0</v>
      </c>
      <c r="Q452" s="2" t="s">
        <v>2968</v>
      </c>
      <c r="R452" s="2" t="s">
        <v>2968</v>
      </c>
      <c r="S452" s="4">
        <v>45015</v>
      </c>
    </row>
    <row r="453" spans="1:19" ht="12.5" hidden="1" x14ac:dyDescent="0.25">
      <c r="A453" s="14" t="str">
        <f>HYPERLINK("https://gerandofalcoes.my.salesforce.com/0014X00002VKCrCQAX", "0014X00002VKCrCQAX")</f>
        <v>0014X00002VKCrCQAX</v>
      </c>
      <c r="B453" s="2" t="s">
        <v>2534</v>
      </c>
      <c r="C453" s="2" t="s">
        <v>1684</v>
      </c>
      <c r="D453" s="2" t="s">
        <v>2</v>
      </c>
      <c r="E453" s="2">
        <v>21</v>
      </c>
      <c r="F453" s="2">
        <v>0</v>
      </c>
      <c r="G453" s="2">
        <v>2</v>
      </c>
      <c r="H453" s="2">
        <v>12000</v>
      </c>
      <c r="I453" s="2">
        <v>0</v>
      </c>
      <c r="J453" s="2" t="s">
        <v>1779</v>
      </c>
      <c r="K453" s="2">
        <v>21</v>
      </c>
      <c r="L453" s="2">
        <v>10</v>
      </c>
      <c r="M453" s="2">
        <v>0</v>
      </c>
      <c r="N453" s="2">
        <v>6</v>
      </c>
      <c r="O453" s="2">
        <v>5</v>
      </c>
      <c r="P453" s="2">
        <v>0</v>
      </c>
      <c r="Q453" s="2" t="s">
        <v>2535</v>
      </c>
      <c r="R453" s="2" t="s">
        <v>2535</v>
      </c>
      <c r="S453" s="4">
        <v>44837</v>
      </c>
    </row>
    <row r="454" spans="1:19" ht="12.5" x14ac:dyDescent="0.25">
      <c r="A454" s="14" t="str">
        <f>HYPERLINK("https://gerandofalcoes.my.salesforce.com/0014P00003YSp8yQAD", "0014P00003YSp8yQAD")</f>
        <v>0014P00003YSp8yQAD</v>
      </c>
      <c r="B454" s="2" t="s">
        <v>2536</v>
      </c>
      <c r="C454" s="2" t="s">
        <v>1800</v>
      </c>
      <c r="D454" s="2" t="s">
        <v>2</v>
      </c>
      <c r="E454" s="2">
        <v>21</v>
      </c>
      <c r="F454" s="2">
        <v>2</v>
      </c>
      <c r="G454" s="2">
        <v>2</v>
      </c>
      <c r="H454" s="2">
        <v>0</v>
      </c>
      <c r="I454" s="2">
        <v>0</v>
      </c>
      <c r="J454" s="2" t="s">
        <v>1779</v>
      </c>
      <c r="K454" s="2">
        <v>21</v>
      </c>
      <c r="L454" s="2">
        <v>10</v>
      </c>
      <c r="M454" s="2">
        <v>5</v>
      </c>
      <c r="N454" s="2">
        <v>6</v>
      </c>
      <c r="O454" s="2">
        <v>0</v>
      </c>
      <c r="P454" s="2">
        <v>0</v>
      </c>
      <c r="Q454" s="2" t="s">
        <v>2537</v>
      </c>
      <c r="R454" s="2" t="s">
        <v>2538</v>
      </c>
      <c r="S454" s="4">
        <v>44837</v>
      </c>
    </row>
    <row r="455" spans="1:19" ht="12.5" hidden="1" x14ac:dyDescent="0.25">
      <c r="A455" s="14" t="str">
        <f>HYPERLINK("https://gerandofalcoes.my.salesforce.com/0014P00003YSp9DQAT", "0014P00003YSp9DQAT")</f>
        <v>0014P00003YSp9DQAT</v>
      </c>
      <c r="B455" s="2" t="s">
        <v>2539</v>
      </c>
      <c r="C455" s="2" t="s">
        <v>1684</v>
      </c>
      <c r="D455" s="2" t="s">
        <v>2</v>
      </c>
      <c r="E455" s="2">
        <v>21</v>
      </c>
      <c r="F455" s="2">
        <v>1</v>
      </c>
      <c r="G455" s="2">
        <v>0</v>
      </c>
      <c r="H455" s="2">
        <v>0</v>
      </c>
      <c r="I455" s="2">
        <v>0</v>
      </c>
      <c r="J455" s="2" t="s">
        <v>1779</v>
      </c>
      <c r="K455" s="2">
        <v>15</v>
      </c>
      <c r="L455" s="2">
        <v>10</v>
      </c>
      <c r="M455" s="2">
        <v>5</v>
      </c>
      <c r="N455" s="2">
        <v>0</v>
      </c>
      <c r="O455" s="2">
        <v>0</v>
      </c>
      <c r="P455" s="2">
        <v>0</v>
      </c>
      <c r="Q455" s="2" t="s">
        <v>2540</v>
      </c>
      <c r="R455" s="2" t="s">
        <v>2540</v>
      </c>
      <c r="S455" s="4">
        <v>44837</v>
      </c>
    </row>
    <row r="456" spans="1:19" ht="12.5" x14ac:dyDescent="0.25">
      <c r="A456" s="14" t="str">
        <f>HYPERLINK("https://gerandofalcoes.my.salesforce.com/0014P00003AN2FiQAL", "0014P00003AN2FiQAL")</f>
        <v>0014P00003AN2FiQAL</v>
      </c>
      <c r="B456" s="2" t="s">
        <v>2541</v>
      </c>
      <c r="C456" s="2" t="s">
        <v>423</v>
      </c>
      <c r="D456" s="2" t="s">
        <v>2</v>
      </c>
      <c r="E456" s="2">
        <v>20.92</v>
      </c>
      <c r="F456" s="2">
        <v>2</v>
      </c>
      <c r="G456" s="2">
        <v>3</v>
      </c>
      <c r="H456" s="2">
        <v>230600</v>
      </c>
      <c r="I456" s="2">
        <v>170</v>
      </c>
      <c r="J456" s="2" t="s">
        <v>1671</v>
      </c>
      <c r="K456" s="2">
        <v>50</v>
      </c>
      <c r="L456" s="2">
        <v>10</v>
      </c>
      <c r="M456" s="2">
        <v>5</v>
      </c>
      <c r="N456" s="2">
        <v>8</v>
      </c>
      <c r="O456" s="2">
        <v>15</v>
      </c>
      <c r="P456" s="2">
        <v>12</v>
      </c>
      <c r="Q456" s="2" t="s">
        <v>2542</v>
      </c>
      <c r="R456" s="2" t="s">
        <v>2542</v>
      </c>
      <c r="S456" s="4">
        <v>44837</v>
      </c>
    </row>
    <row r="457" spans="1:19" ht="12.5" x14ac:dyDescent="0.25">
      <c r="A457" s="14" t="str">
        <f>HYPERLINK("https://gerandofalcoes.my.salesforce.com/0014X00002YgghEQAR", "0014X00002YgghEQAR")</f>
        <v>0014X00002YgghEQAR</v>
      </c>
      <c r="B457" s="2" t="s">
        <v>3314</v>
      </c>
      <c r="C457" s="2" t="s">
        <v>423</v>
      </c>
      <c r="D457" s="2" t="s">
        <v>2</v>
      </c>
      <c r="E457" s="2">
        <v>20.88</v>
      </c>
      <c r="F457" s="2">
        <v>22</v>
      </c>
      <c r="G457" s="2">
        <v>5</v>
      </c>
      <c r="H457" s="2">
        <v>100000</v>
      </c>
      <c r="I457" s="2">
        <v>150</v>
      </c>
      <c r="J457" s="2" t="s">
        <v>1671</v>
      </c>
      <c r="K457" s="2">
        <v>59</v>
      </c>
      <c r="L457" s="2">
        <v>10</v>
      </c>
      <c r="M457" s="2">
        <v>12</v>
      </c>
      <c r="N457" s="2">
        <v>10</v>
      </c>
      <c r="O457" s="2">
        <v>15</v>
      </c>
      <c r="P457" s="2">
        <v>12</v>
      </c>
      <c r="Q457" s="2" t="s">
        <v>3315</v>
      </c>
      <c r="R457" s="2" t="s">
        <v>3315</v>
      </c>
      <c r="S457" s="4">
        <v>44953</v>
      </c>
    </row>
    <row r="458" spans="1:19" ht="12.5" x14ac:dyDescent="0.25">
      <c r="A458" s="14" t="str">
        <f>HYPERLINK("https://gerandofalcoes.my.salesforce.com/0014X00002YggmkQAB", "0014X00002YggmkQAB")</f>
        <v>0014X00002YggmkQAB</v>
      </c>
      <c r="B458" s="2" t="s">
        <v>3408</v>
      </c>
      <c r="C458" s="2" t="s">
        <v>423</v>
      </c>
      <c r="D458" s="2" t="s">
        <v>2</v>
      </c>
      <c r="E458" s="2">
        <v>20.69</v>
      </c>
      <c r="F458" s="2">
        <v>8</v>
      </c>
      <c r="G458" s="2">
        <v>6</v>
      </c>
      <c r="H458" s="2">
        <v>30000</v>
      </c>
      <c r="I458" s="2">
        <v>80</v>
      </c>
      <c r="J458" s="2" t="s">
        <v>1671</v>
      </c>
      <c r="K458" s="2">
        <v>50</v>
      </c>
      <c r="L458" s="2">
        <v>10</v>
      </c>
      <c r="M458" s="2">
        <v>10</v>
      </c>
      <c r="N458" s="2">
        <v>10</v>
      </c>
      <c r="O458" s="2">
        <v>10</v>
      </c>
      <c r="P458" s="2">
        <v>10</v>
      </c>
      <c r="Q458" s="2" t="s">
        <v>3409</v>
      </c>
      <c r="R458" s="2" t="s">
        <v>3409</v>
      </c>
      <c r="S458" s="4">
        <v>44958</v>
      </c>
    </row>
    <row r="459" spans="1:19" ht="12.5" x14ac:dyDescent="0.25">
      <c r="A459" s="14" t="str">
        <f>HYPERLINK("https://gerandofalcoes.my.salesforce.com/0014X00002YggiHQAR", "0014X00002YggiHQAR")</f>
        <v>0014X00002YggiHQAR</v>
      </c>
      <c r="B459" s="2" t="s">
        <v>3410</v>
      </c>
      <c r="C459" s="2" t="s">
        <v>423</v>
      </c>
      <c r="D459" s="2" t="s">
        <v>2</v>
      </c>
      <c r="E459" s="2">
        <v>20.63</v>
      </c>
      <c r="F459" s="2">
        <v>3</v>
      </c>
      <c r="G459" s="2">
        <v>2</v>
      </c>
      <c r="H459" s="2">
        <v>198540</v>
      </c>
      <c r="I459" s="2">
        <v>30</v>
      </c>
      <c r="J459" s="2" t="s">
        <v>1671</v>
      </c>
      <c r="K459" s="2">
        <v>41</v>
      </c>
      <c r="L459" s="2">
        <v>10</v>
      </c>
      <c r="M459" s="2">
        <v>5</v>
      </c>
      <c r="N459" s="2">
        <v>6</v>
      </c>
      <c r="O459" s="2">
        <v>15</v>
      </c>
      <c r="P459" s="2">
        <v>5</v>
      </c>
      <c r="Q459" s="2" t="s">
        <v>3411</v>
      </c>
      <c r="R459" s="2" t="s">
        <v>3412</v>
      </c>
      <c r="S459" s="4">
        <v>44958</v>
      </c>
    </row>
    <row r="460" spans="1:19" ht="12.5" x14ac:dyDescent="0.25">
      <c r="A460" s="14" t="str">
        <f>HYPERLINK("https://gerandofalcoes.my.salesforce.com/0014X00002YggmvQAB", "0014X00002YggmvQAB")</f>
        <v>0014X00002YggmvQAB</v>
      </c>
      <c r="B460" s="2" t="s">
        <v>3654</v>
      </c>
      <c r="C460" s="2" t="s">
        <v>423</v>
      </c>
      <c r="D460" s="2" t="s">
        <v>2</v>
      </c>
      <c r="E460" s="2">
        <v>20.39</v>
      </c>
      <c r="F460" s="2">
        <v>0</v>
      </c>
      <c r="G460" s="2">
        <v>2</v>
      </c>
      <c r="H460" s="2">
        <v>17500000</v>
      </c>
      <c r="I460" s="2">
        <v>84</v>
      </c>
      <c r="J460" s="2" t="s">
        <v>1671</v>
      </c>
      <c r="K460" s="2">
        <v>51</v>
      </c>
      <c r="L460" s="2">
        <v>10</v>
      </c>
      <c r="M460" s="2">
        <v>0</v>
      </c>
      <c r="N460" s="2">
        <v>6</v>
      </c>
      <c r="O460" s="2">
        <v>25</v>
      </c>
      <c r="P460" s="2">
        <v>10</v>
      </c>
      <c r="Q460" s="2" t="s">
        <v>3655</v>
      </c>
      <c r="R460" s="2" t="s">
        <v>3656</v>
      </c>
      <c r="S460" s="4">
        <v>44964</v>
      </c>
    </row>
    <row r="461" spans="1:19" ht="12.5" x14ac:dyDescent="0.25">
      <c r="A461" s="14" t="str">
        <f>HYPERLINK("https://gerandofalcoes.my.salesforce.com/0014X00002VKCqtQAH", "0014X00002VKCqtQAH")</f>
        <v>0014X00002VKCqtQAH</v>
      </c>
      <c r="B461" s="2" t="s">
        <v>2543</v>
      </c>
      <c r="C461" s="2" t="s">
        <v>423</v>
      </c>
      <c r="D461" s="2" t="s">
        <v>2</v>
      </c>
      <c r="E461" s="2">
        <v>20.38</v>
      </c>
      <c r="F461" s="2">
        <v>0</v>
      </c>
      <c r="G461" s="2">
        <v>1</v>
      </c>
      <c r="H461" s="2">
        <v>5</v>
      </c>
      <c r="I461" s="2">
        <v>105</v>
      </c>
      <c r="J461" s="2" t="s">
        <v>1779</v>
      </c>
      <c r="K461" s="2">
        <v>29</v>
      </c>
      <c r="L461" s="2">
        <v>10</v>
      </c>
      <c r="M461" s="2">
        <v>0</v>
      </c>
      <c r="N461" s="2">
        <v>4</v>
      </c>
      <c r="O461" s="2">
        <v>5</v>
      </c>
      <c r="P461" s="2">
        <v>10</v>
      </c>
      <c r="Q461" s="2" t="s">
        <v>2544</v>
      </c>
      <c r="R461" s="2" t="s">
        <v>2545</v>
      </c>
      <c r="S461" s="4">
        <v>44837</v>
      </c>
    </row>
    <row r="462" spans="1:19" ht="12.5" x14ac:dyDescent="0.25">
      <c r="A462" s="14" t="str">
        <f>HYPERLINK("https://gerandofalcoes.my.salesforce.com/0014X00002YgghFQAR", "0014X00002YgghFQAR")</f>
        <v>0014X00002YgghFQAR</v>
      </c>
      <c r="B462" s="2" t="s">
        <v>3247</v>
      </c>
      <c r="C462" s="2" t="s">
        <v>423</v>
      </c>
      <c r="D462" s="2" t="s">
        <v>2</v>
      </c>
      <c r="E462" s="2">
        <v>20.23</v>
      </c>
      <c r="F462" s="2">
        <v>0</v>
      </c>
      <c r="G462" s="2">
        <v>2</v>
      </c>
      <c r="H462" s="2">
        <v>5000</v>
      </c>
      <c r="I462" s="2">
        <v>27</v>
      </c>
      <c r="J462" s="2" t="s">
        <v>1779</v>
      </c>
      <c r="K462" s="2">
        <v>26</v>
      </c>
      <c r="L462" s="2">
        <v>10</v>
      </c>
      <c r="M462" s="2">
        <v>0</v>
      </c>
      <c r="N462" s="2">
        <v>6</v>
      </c>
      <c r="O462" s="2">
        <v>5</v>
      </c>
      <c r="P462" s="2">
        <v>5</v>
      </c>
      <c r="Q462" s="2" t="s">
        <v>3248</v>
      </c>
      <c r="R462" s="2" t="s">
        <v>3249</v>
      </c>
      <c r="S462" s="4">
        <v>44952</v>
      </c>
    </row>
    <row r="463" spans="1:19" ht="12.5" x14ac:dyDescent="0.25">
      <c r="A463" s="14" t="str">
        <f>HYPERLINK("https://gerandofalcoes.my.salesforce.com/0014P00003YSp7VQAT", "0014P00003YSp7VQAT")</f>
        <v>0014P00003YSp7VQAT</v>
      </c>
      <c r="B463" s="2" t="s">
        <v>2546</v>
      </c>
      <c r="C463" s="2" t="s">
        <v>423</v>
      </c>
      <c r="D463" s="2" t="s">
        <v>2</v>
      </c>
      <c r="E463" s="2">
        <v>20.14</v>
      </c>
      <c r="F463" s="2">
        <v>0</v>
      </c>
      <c r="G463" s="2">
        <v>2</v>
      </c>
      <c r="H463" s="2">
        <v>12700</v>
      </c>
      <c r="I463" s="2">
        <v>50</v>
      </c>
      <c r="J463" s="2" t="s">
        <v>1779</v>
      </c>
      <c r="K463" s="2">
        <v>26</v>
      </c>
      <c r="L463" s="2">
        <v>10</v>
      </c>
      <c r="M463" s="2">
        <v>0</v>
      </c>
      <c r="N463" s="2">
        <v>6</v>
      </c>
      <c r="O463" s="2">
        <v>5</v>
      </c>
      <c r="P463" s="2">
        <v>5</v>
      </c>
      <c r="Q463" s="2" t="s">
        <v>2547</v>
      </c>
      <c r="R463" s="2" t="s">
        <v>2548</v>
      </c>
      <c r="S463" s="4">
        <v>44837</v>
      </c>
    </row>
    <row r="464" spans="1:19" ht="12.5" x14ac:dyDescent="0.25">
      <c r="A464" s="14" t="str">
        <f>HYPERLINK("https://gerandofalcoes.my.salesforce.com/0014X00002VKCowQAH", "0014X00002VKCowQAH")</f>
        <v>0014X00002VKCowQAH</v>
      </c>
      <c r="B464" s="2" t="s">
        <v>2549</v>
      </c>
      <c r="C464" s="2" t="s">
        <v>423</v>
      </c>
      <c r="D464" s="2" t="s">
        <v>2</v>
      </c>
      <c r="E464" s="2">
        <v>20.059999999999999</v>
      </c>
      <c r="F464" s="2">
        <v>0</v>
      </c>
      <c r="G464" s="2">
        <v>0</v>
      </c>
      <c r="H464" s="2">
        <v>0</v>
      </c>
      <c r="I464" s="2">
        <v>100</v>
      </c>
      <c r="J464" s="2" t="s">
        <v>1779</v>
      </c>
      <c r="K464" s="2">
        <v>20</v>
      </c>
      <c r="L464" s="2">
        <v>10</v>
      </c>
      <c r="M464" s="2">
        <v>0</v>
      </c>
      <c r="N464" s="2">
        <v>0</v>
      </c>
      <c r="O464" s="2">
        <v>0</v>
      </c>
      <c r="P464" s="2">
        <v>10</v>
      </c>
      <c r="Q464" s="2" t="s">
        <v>2550</v>
      </c>
      <c r="R464" s="2" t="s">
        <v>2550</v>
      </c>
      <c r="S464" s="4">
        <v>44837</v>
      </c>
    </row>
    <row r="465" spans="1:19" ht="12.5" x14ac:dyDescent="0.25">
      <c r="A465" s="14" t="str">
        <f>HYPERLINK("https://gerandofalcoes.my.salesforce.com/0014X00002VKCpxQAH", "0014X00002VKCpxQAH")</f>
        <v>0014X00002VKCpxQAH</v>
      </c>
      <c r="B465" s="2" t="s">
        <v>2551</v>
      </c>
      <c r="C465" s="2" t="s">
        <v>1800</v>
      </c>
      <c r="D465" s="2" t="s">
        <v>2</v>
      </c>
      <c r="E465" s="2">
        <v>20</v>
      </c>
      <c r="F465" s="2">
        <v>5</v>
      </c>
      <c r="G465" s="2">
        <v>7</v>
      </c>
      <c r="H465" s="2">
        <v>21530</v>
      </c>
      <c r="I465" s="2">
        <v>387</v>
      </c>
      <c r="J465" s="2" t="s">
        <v>1671</v>
      </c>
      <c r="K465" s="2">
        <v>45</v>
      </c>
      <c r="L465" s="2">
        <v>10</v>
      </c>
      <c r="M465" s="2">
        <v>5</v>
      </c>
      <c r="N465" s="2">
        <v>10</v>
      </c>
      <c r="O465" s="2">
        <v>5</v>
      </c>
      <c r="P465" s="2">
        <v>15</v>
      </c>
      <c r="Q465" s="2" t="s">
        <v>2552</v>
      </c>
      <c r="R465" s="2" t="s">
        <v>2553</v>
      </c>
      <c r="S465" s="4">
        <v>44837</v>
      </c>
    </row>
    <row r="466" spans="1:19" ht="12.5" x14ac:dyDescent="0.25">
      <c r="A466" s="14" t="str">
        <f>HYPERLINK("https://gerandofalcoes.my.salesforce.com/0014P00003AN2FfQAL", "0014P00003AN2FfQAL")</f>
        <v>0014P00003AN2FfQAL</v>
      </c>
      <c r="B466" s="2" t="s">
        <v>105</v>
      </c>
      <c r="C466" s="2" t="s">
        <v>423</v>
      </c>
      <c r="D466" s="2" t="s">
        <v>2</v>
      </c>
      <c r="E466" s="2">
        <v>20</v>
      </c>
      <c r="F466" s="2">
        <v>0</v>
      </c>
      <c r="G466" s="2">
        <v>1</v>
      </c>
      <c r="H466" s="2">
        <v>10000</v>
      </c>
      <c r="I466" s="2">
        <v>120</v>
      </c>
      <c r="J466" s="2" t="s">
        <v>1779</v>
      </c>
      <c r="K466" s="2">
        <v>29</v>
      </c>
      <c r="L466" s="2">
        <v>10</v>
      </c>
      <c r="M466" s="2">
        <v>0</v>
      </c>
      <c r="N466" s="2">
        <v>4</v>
      </c>
      <c r="O466" s="2">
        <v>5</v>
      </c>
      <c r="P466" s="2">
        <v>10</v>
      </c>
      <c r="Q466" s="2" t="s">
        <v>2554</v>
      </c>
      <c r="R466" s="2" t="s">
        <v>2554</v>
      </c>
      <c r="S466" s="4">
        <v>44837</v>
      </c>
    </row>
    <row r="467" spans="1:19" ht="12.5" x14ac:dyDescent="0.25">
      <c r="A467" s="14" t="str">
        <f>HYPERLINK("https://gerandofalcoes.my.salesforce.com/0014X00002VKCpmQAH", "0014X00002VKCpmQAH")</f>
        <v>0014X00002VKCpmQAH</v>
      </c>
      <c r="B467" s="2" t="s">
        <v>2555</v>
      </c>
      <c r="C467" s="2" t="s">
        <v>1800</v>
      </c>
      <c r="D467" s="2" t="s">
        <v>2</v>
      </c>
      <c r="E467" s="2">
        <v>20</v>
      </c>
      <c r="F467" s="2">
        <v>0</v>
      </c>
      <c r="G467" s="2">
        <v>3</v>
      </c>
      <c r="H467" s="2">
        <v>7000</v>
      </c>
      <c r="I467" s="2">
        <v>80</v>
      </c>
      <c r="J467" s="2" t="s">
        <v>1779</v>
      </c>
      <c r="K467" s="2">
        <v>33</v>
      </c>
      <c r="L467" s="2">
        <v>10</v>
      </c>
      <c r="M467" s="2">
        <v>0</v>
      </c>
      <c r="N467" s="2">
        <v>8</v>
      </c>
      <c r="O467" s="2">
        <v>5</v>
      </c>
      <c r="P467" s="2">
        <v>10</v>
      </c>
      <c r="Q467" s="2" t="s">
        <v>2556</v>
      </c>
      <c r="R467" s="2" t="s">
        <v>2556</v>
      </c>
      <c r="S467" s="4">
        <v>44837</v>
      </c>
    </row>
    <row r="468" spans="1:19" ht="12.5" x14ac:dyDescent="0.25">
      <c r="A468" s="14" t="str">
        <f>HYPERLINK("https://gerandofalcoes.my.salesforce.com/0014X00002VKCtzQAH", "0014X00002VKCtzQAH")</f>
        <v>0014X00002VKCtzQAH</v>
      </c>
      <c r="B468" s="2" t="s">
        <v>2557</v>
      </c>
      <c r="C468" s="2" t="s">
        <v>423</v>
      </c>
      <c r="D468" s="2" t="s">
        <v>2</v>
      </c>
      <c r="E468" s="2">
        <v>20</v>
      </c>
      <c r="F468" s="2">
        <v>0</v>
      </c>
      <c r="G468" s="2">
        <v>2</v>
      </c>
      <c r="H468" s="2">
        <v>55000</v>
      </c>
      <c r="I468" s="2">
        <v>50</v>
      </c>
      <c r="J468" s="2" t="s">
        <v>1779</v>
      </c>
      <c r="K468" s="2">
        <v>31</v>
      </c>
      <c r="L468" s="2">
        <v>10</v>
      </c>
      <c r="M468" s="2">
        <v>0</v>
      </c>
      <c r="N468" s="2">
        <v>6</v>
      </c>
      <c r="O468" s="2">
        <v>10</v>
      </c>
      <c r="P468" s="2">
        <v>5</v>
      </c>
      <c r="Q468" s="2" t="s">
        <v>2558</v>
      </c>
      <c r="R468" s="2" t="s">
        <v>2558</v>
      </c>
      <c r="S468" s="4">
        <v>44837</v>
      </c>
    </row>
    <row r="469" spans="1:19" ht="12.5" x14ac:dyDescent="0.25">
      <c r="A469" s="14" t="str">
        <f>HYPERLINK("https://gerandofalcoes.my.salesforce.com/0014P00003YSp9gQAD", "0014P00003YSp9gQAD")</f>
        <v>0014P00003YSp9gQAD</v>
      </c>
      <c r="B469" s="2" t="s">
        <v>2559</v>
      </c>
      <c r="C469" s="2" t="s">
        <v>1800</v>
      </c>
      <c r="D469" s="2" t="s">
        <v>2</v>
      </c>
      <c r="E469" s="2">
        <v>20</v>
      </c>
      <c r="F469" s="2">
        <v>5</v>
      </c>
      <c r="G469" s="2">
        <v>2</v>
      </c>
      <c r="H469" s="2">
        <v>2000</v>
      </c>
      <c r="I469" s="2">
        <v>50</v>
      </c>
      <c r="J469" s="2" t="s">
        <v>1779</v>
      </c>
      <c r="K469" s="2">
        <v>31</v>
      </c>
      <c r="L469" s="2">
        <v>10</v>
      </c>
      <c r="M469" s="2">
        <v>5</v>
      </c>
      <c r="N469" s="2">
        <v>6</v>
      </c>
      <c r="O469" s="2">
        <v>5</v>
      </c>
      <c r="P469" s="2">
        <v>5</v>
      </c>
      <c r="Q469" s="2" t="s">
        <v>2560</v>
      </c>
      <c r="R469" s="2" t="s">
        <v>2561</v>
      </c>
      <c r="S469" s="4">
        <v>44837</v>
      </c>
    </row>
    <row r="470" spans="1:19" ht="12.5" x14ac:dyDescent="0.25">
      <c r="A470" s="14" t="str">
        <f>HYPERLINK("https://gerandofalcoes.my.salesforce.com/0014X00002Yggk5QAB", "0014X00002Yggk5QAB")</f>
        <v>0014X00002Yggk5QAB</v>
      </c>
      <c r="B470" s="2" t="s">
        <v>3413</v>
      </c>
      <c r="C470" s="2" t="s">
        <v>423</v>
      </c>
      <c r="D470" s="2" t="s">
        <v>2</v>
      </c>
      <c r="E470" s="2">
        <v>20</v>
      </c>
      <c r="F470" s="2">
        <v>27</v>
      </c>
      <c r="G470" s="2">
        <v>4</v>
      </c>
      <c r="H470" s="2">
        <v>30000</v>
      </c>
      <c r="I470" s="2">
        <v>25</v>
      </c>
      <c r="J470" s="2" t="s">
        <v>1671</v>
      </c>
      <c r="K470" s="2">
        <v>47</v>
      </c>
      <c r="L470" s="2">
        <v>10</v>
      </c>
      <c r="M470" s="2">
        <v>12</v>
      </c>
      <c r="N470" s="2">
        <v>10</v>
      </c>
      <c r="O470" s="2">
        <v>10</v>
      </c>
      <c r="P470" s="2">
        <v>5</v>
      </c>
      <c r="Q470" s="2" t="s">
        <v>3414</v>
      </c>
      <c r="R470" s="2" t="s">
        <v>3415</v>
      </c>
      <c r="S470" s="4">
        <v>44958</v>
      </c>
    </row>
    <row r="471" spans="1:19" ht="12.5" hidden="1" x14ac:dyDescent="0.25">
      <c r="A471" s="14" t="str">
        <f>HYPERLINK("https://gerandofalcoes.my.salesforce.com/0014P00003SGWPgQAP", "0014P00003SGWPgQAP")</f>
        <v>0014P00003SGWPgQAP</v>
      </c>
      <c r="B471" s="2" t="s">
        <v>298</v>
      </c>
      <c r="C471" s="2" t="s">
        <v>1684</v>
      </c>
      <c r="D471" s="2" t="s">
        <v>2</v>
      </c>
      <c r="E471" s="2">
        <v>20</v>
      </c>
      <c r="F471" s="2">
        <v>4</v>
      </c>
      <c r="G471" s="2">
        <v>0</v>
      </c>
      <c r="H471" s="2">
        <v>11000</v>
      </c>
      <c r="I471" s="2">
        <v>20</v>
      </c>
      <c r="J471" s="2" t="s">
        <v>1779</v>
      </c>
      <c r="K471" s="2">
        <v>25</v>
      </c>
      <c r="L471" s="2">
        <v>10</v>
      </c>
      <c r="M471" s="2">
        <v>5</v>
      </c>
      <c r="N471" s="2">
        <v>0</v>
      </c>
      <c r="O471" s="2">
        <v>5</v>
      </c>
      <c r="P471" s="2">
        <v>5</v>
      </c>
      <c r="Q471" s="2" t="s">
        <v>299</v>
      </c>
      <c r="R471" s="2" t="s">
        <v>1310</v>
      </c>
      <c r="S471" s="4">
        <v>44837</v>
      </c>
    </row>
    <row r="472" spans="1:19" ht="12.5" x14ac:dyDescent="0.25">
      <c r="A472" s="14" t="str">
        <f>HYPERLINK("https://gerandofalcoes.my.salesforce.com/0014X00002VKCrKQAX", "0014X00002VKCrKQAX")</f>
        <v>0014X00002VKCrKQAX</v>
      </c>
      <c r="B472" s="2" t="s">
        <v>2562</v>
      </c>
      <c r="C472" s="2" t="s">
        <v>1800</v>
      </c>
      <c r="D472" s="2" t="s">
        <v>2</v>
      </c>
      <c r="E472" s="2">
        <v>20</v>
      </c>
      <c r="F472" s="2">
        <v>7</v>
      </c>
      <c r="G472" s="2">
        <v>5</v>
      </c>
      <c r="H472" s="2">
        <v>2000</v>
      </c>
      <c r="I472" s="2">
        <v>20</v>
      </c>
      <c r="J472" s="2" t="s">
        <v>1671</v>
      </c>
      <c r="K472" s="2">
        <v>40</v>
      </c>
      <c r="L472" s="2">
        <v>10</v>
      </c>
      <c r="M472" s="2">
        <v>10</v>
      </c>
      <c r="N472" s="2">
        <v>10</v>
      </c>
      <c r="O472" s="2">
        <v>5</v>
      </c>
      <c r="P472" s="2">
        <v>5</v>
      </c>
      <c r="Q472" s="2" t="s">
        <v>2563</v>
      </c>
      <c r="R472" s="2" t="s">
        <v>2564</v>
      </c>
      <c r="S472" s="4">
        <v>44837</v>
      </c>
    </row>
    <row r="473" spans="1:19" ht="12.5" x14ac:dyDescent="0.25">
      <c r="A473" s="14" t="str">
        <f>HYPERLINK("https://gerandofalcoes.my.salesforce.com/0014X00002VKCpXQAX", "0014X00002VKCpXQAX")</f>
        <v>0014X00002VKCpXQAX</v>
      </c>
      <c r="B473" s="2" t="s">
        <v>2565</v>
      </c>
      <c r="C473" s="2" t="s">
        <v>1800</v>
      </c>
      <c r="D473" s="2" t="s">
        <v>2</v>
      </c>
      <c r="E473" s="2">
        <v>20</v>
      </c>
      <c r="F473" s="2">
        <v>6</v>
      </c>
      <c r="G473" s="2">
        <v>4</v>
      </c>
      <c r="H473" s="2">
        <v>0</v>
      </c>
      <c r="I473" s="2">
        <v>0</v>
      </c>
      <c r="J473" s="2" t="s">
        <v>1779</v>
      </c>
      <c r="K473" s="2">
        <v>30</v>
      </c>
      <c r="L473" s="2">
        <v>10</v>
      </c>
      <c r="M473" s="2">
        <v>10</v>
      </c>
      <c r="N473" s="2">
        <v>10</v>
      </c>
      <c r="O473" s="2">
        <v>0</v>
      </c>
      <c r="P473" s="2">
        <v>0</v>
      </c>
      <c r="Q473" s="2" t="s">
        <v>2566</v>
      </c>
      <c r="R473" s="2" t="s">
        <v>2567</v>
      </c>
      <c r="S473" s="4">
        <v>44837</v>
      </c>
    </row>
    <row r="474" spans="1:19" ht="12.5" x14ac:dyDescent="0.25">
      <c r="A474" s="14" t="str">
        <f>HYPERLINK("https://gerandofalcoes.my.salesforce.com/0014X00002VKCv7QAH", "0014X00002VKCv7QAH")</f>
        <v>0014X00002VKCv7QAH</v>
      </c>
      <c r="B474" s="2" t="s">
        <v>2568</v>
      </c>
      <c r="C474" s="2" t="s">
        <v>1800</v>
      </c>
      <c r="D474" s="2" t="s">
        <v>2</v>
      </c>
      <c r="E474" s="2">
        <v>20</v>
      </c>
      <c r="F474" s="2">
        <v>0</v>
      </c>
      <c r="G474" s="2">
        <v>3</v>
      </c>
      <c r="H474" s="2">
        <v>2000</v>
      </c>
      <c r="I474" s="2">
        <v>0</v>
      </c>
      <c r="J474" s="2" t="s">
        <v>1779</v>
      </c>
      <c r="K474" s="2">
        <v>23</v>
      </c>
      <c r="L474" s="2">
        <v>10</v>
      </c>
      <c r="M474" s="2">
        <v>0</v>
      </c>
      <c r="N474" s="2">
        <v>8</v>
      </c>
      <c r="O474" s="2">
        <v>5</v>
      </c>
      <c r="P474" s="2">
        <v>0</v>
      </c>
      <c r="Q474" s="2" t="s">
        <v>2569</v>
      </c>
      <c r="R474" s="2" t="s">
        <v>2570</v>
      </c>
      <c r="S474" s="4">
        <v>44837</v>
      </c>
    </row>
    <row r="475" spans="1:19" ht="12.5" x14ac:dyDescent="0.25">
      <c r="A475" s="14" t="str">
        <f>HYPERLINK("https://gerandofalcoes.my.salesforce.com/0014X00002VKCtmQAH", "0014X00002VKCtmQAH")</f>
        <v>0014X00002VKCtmQAH</v>
      </c>
      <c r="B475" s="2" t="s">
        <v>2571</v>
      </c>
      <c r="C475" s="2" t="s">
        <v>1800</v>
      </c>
      <c r="D475" s="2" t="s">
        <v>2</v>
      </c>
      <c r="E475" s="2">
        <v>20</v>
      </c>
      <c r="F475" s="2">
        <v>0</v>
      </c>
      <c r="G475" s="2">
        <v>2</v>
      </c>
      <c r="H475" s="2">
        <v>30000</v>
      </c>
      <c r="I475" s="2">
        <v>0</v>
      </c>
      <c r="J475" s="2" t="s">
        <v>1779</v>
      </c>
      <c r="K475" s="2">
        <v>26</v>
      </c>
      <c r="L475" s="2">
        <v>10</v>
      </c>
      <c r="M475" s="2">
        <v>0</v>
      </c>
      <c r="N475" s="2">
        <v>6</v>
      </c>
      <c r="O475" s="2">
        <v>10</v>
      </c>
      <c r="P475" s="2">
        <v>0</v>
      </c>
      <c r="Q475" s="2" t="s">
        <v>2572</v>
      </c>
      <c r="R475" s="2" t="s">
        <v>2572</v>
      </c>
      <c r="S475" s="4">
        <v>44837</v>
      </c>
    </row>
    <row r="476" spans="1:19" ht="12.5" x14ac:dyDescent="0.25">
      <c r="A476" s="14" t="str">
        <f>HYPERLINK("https://gerandofalcoes.my.salesforce.com/0014P00003YSp9lQAD", "0014P00003YSp9lQAD")</f>
        <v>0014P00003YSp9lQAD</v>
      </c>
      <c r="B476" s="2" t="s">
        <v>2573</v>
      </c>
      <c r="C476" s="2" t="s">
        <v>423</v>
      </c>
      <c r="D476" s="2" t="s">
        <v>2</v>
      </c>
      <c r="E476" s="2">
        <v>20</v>
      </c>
      <c r="F476" s="2">
        <v>8</v>
      </c>
      <c r="G476" s="2">
        <v>2</v>
      </c>
      <c r="H476" s="2">
        <v>12000</v>
      </c>
      <c r="I476" s="2">
        <v>0</v>
      </c>
      <c r="J476" s="2" t="s">
        <v>1779</v>
      </c>
      <c r="K476" s="2">
        <v>31</v>
      </c>
      <c r="L476" s="2">
        <v>10</v>
      </c>
      <c r="M476" s="2">
        <v>10</v>
      </c>
      <c r="N476" s="2">
        <v>6</v>
      </c>
      <c r="O476" s="2">
        <v>5</v>
      </c>
      <c r="P476" s="2">
        <v>0</v>
      </c>
      <c r="Q476" s="2" t="s">
        <v>2574</v>
      </c>
      <c r="R476" s="2" t="s">
        <v>2575</v>
      </c>
      <c r="S476" s="4">
        <v>44837</v>
      </c>
    </row>
    <row r="477" spans="1:19" ht="12.5" x14ac:dyDescent="0.25">
      <c r="A477" s="14" t="str">
        <f>HYPERLINK("https://gerandofalcoes.my.salesforce.com/0014X00002VKCumQAH", "0014X00002VKCumQAH")</f>
        <v>0014X00002VKCumQAH</v>
      </c>
      <c r="B477" s="2" t="s">
        <v>3845</v>
      </c>
      <c r="C477" s="2" t="s">
        <v>1800</v>
      </c>
      <c r="D477" s="2" t="s">
        <v>2</v>
      </c>
      <c r="E477" s="2">
        <v>20</v>
      </c>
      <c r="F477" s="2">
        <v>0</v>
      </c>
      <c r="G477" s="2">
        <v>1</v>
      </c>
      <c r="H477" s="2">
        <v>1000000</v>
      </c>
      <c r="I477" s="2">
        <v>0</v>
      </c>
      <c r="J477" s="2" t="s">
        <v>1779</v>
      </c>
      <c r="K477" s="2">
        <v>39</v>
      </c>
      <c r="L477" s="2">
        <v>10</v>
      </c>
      <c r="M477" s="2">
        <v>0</v>
      </c>
      <c r="N477" s="2">
        <v>4</v>
      </c>
      <c r="O477" s="2">
        <v>25</v>
      </c>
      <c r="P477" s="2">
        <v>0</v>
      </c>
      <c r="Q477" s="2" t="s">
        <v>3846</v>
      </c>
      <c r="R477" s="2" t="s">
        <v>3846</v>
      </c>
      <c r="S477" s="4">
        <v>45112</v>
      </c>
    </row>
    <row r="478" spans="1:19" ht="12.5" x14ac:dyDescent="0.25">
      <c r="A478" s="14" t="str">
        <f>HYPERLINK("https://gerandofalcoes.my.salesforce.com/0014X00002VKCsjQAH", "0014X00002VKCsjQAH")</f>
        <v>0014X00002VKCsjQAH</v>
      </c>
      <c r="B478" s="2" t="s">
        <v>2576</v>
      </c>
      <c r="C478" s="2" t="s">
        <v>423</v>
      </c>
      <c r="D478" s="2" t="s">
        <v>2</v>
      </c>
      <c r="E478" s="2">
        <v>19.98</v>
      </c>
      <c r="F478" s="2">
        <v>0</v>
      </c>
      <c r="G478" s="2">
        <v>1</v>
      </c>
      <c r="H478" s="2">
        <v>1251382</v>
      </c>
      <c r="I478" s="2">
        <v>0</v>
      </c>
      <c r="J478" s="2" t="s">
        <v>1779</v>
      </c>
      <c r="K478" s="2">
        <v>39</v>
      </c>
      <c r="L478" s="2">
        <v>10</v>
      </c>
      <c r="M478" s="2">
        <v>0</v>
      </c>
      <c r="N478" s="2">
        <v>4</v>
      </c>
      <c r="O478" s="2">
        <v>25</v>
      </c>
      <c r="P478" s="2">
        <v>0</v>
      </c>
      <c r="Q478" s="2" t="s">
        <v>2577</v>
      </c>
      <c r="R478" s="2" t="s">
        <v>2578</v>
      </c>
      <c r="S478" s="4">
        <v>44837</v>
      </c>
    </row>
    <row r="479" spans="1:19" ht="12.5" x14ac:dyDescent="0.25">
      <c r="A479" s="14" t="str">
        <f>HYPERLINK("https://gerandofalcoes.my.salesforce.com/0014X00002VKCrtQAH", "0014X00002VKCrtQAH")</f>
        <v>0014X00002VKCrtQAH</v>
      </c>
      <c r="B479" s="2" t="s">
        <v>2579</v>
      </c>
      <c r="C479" s="2" t="s">
        <v>423</v>
      </c>
      <c r="D479" s="2" t="s">
        <v>2</v>
      </c>
      <c r="E479" s="2">
        <v>19.850000000000001</v>
      </c>
      <c r="F479" s="2">
        <v>0</v>
      </c>
      <c r="G479" s="2">
        <v>2</v>
      </c>
      <c r="H479" s="2">
        <v>6000</v>
      </c>
      <c r="I479" s="2">
        <v>33</v>
      </c>
      <c r="J479" s="2" t="s">
        <v>1779</v>
      </c>
      <c r="K479" s="2">
        <v>26</v>
      </c>
      <c r="L479" s="2">
        <v>10</v>
      </c>
      <c r="M479" s="2">
        <v>0</v>
      </c>
      <c r="N479" s="2">
        <v>6</v>
      </c>
      <c r="O479" s="2">
        <v>5</v>
      </c>
      <c r="P479" s="2">
        <v>5</v>
      </c>
      <c r="Q479" s="2" t="s">
        <v>2580</v>
      </c>
      <c r="R479" s="2" t="s">
        <v>2581</v>
      </c>
      <c r="S479" s="4">
        <v>44837</v>
      </c>
    </row>
    <row r="480" spans="1:19" ht="12.5" x14ac:dyDescent="0.25">
      <c r="A480" s="14" t="str">
        <f>HYPERLINK("https://gerandofalcoes.my.salesforce.com/0014X00002VKCoxQAH", "0014X00002VKCoxQAH")</f>
        <v>0014X00002VKCoxQAH</v>
      </c>
      <c r="B480" s="2" t="s">
        <v>2582</v>
      </c>
      <c r="C480" s="2" t="s">
        <v>423</v>
      </c>
      <c r="D480" s="2" t="s">
        <v>2</v>
      </c>
      <c r="E480" s="2">
        <v>19.68</v>
      </c>
      <c r="F480" s="2">
        <v>6</v>
      </c>
      <c r="G480" s="2">
        <v>1</v>
      </c>
      <c r="H480" s="2">
        <v>550</v>
      </c>
      <c r="I480" s="2">
        <v>0</v>
      </c>
      <c r="J480" s="2" t="s">
        <v>1779</v>
      </c>
      <c r="K480" s="2">
        <v>29</v>
      </c>
      <c r="L480" s="2">
        <v>10</v>
      </c>
      <c r="M480" s="2">
        <v>10</v>
      </c>
      <c r="N480" s="2">
        <v>4</v>
      </c>
      <c r="O480" s="2">
        <v>5</v>
      </c>
      <c r="P480" s="2">
        <v>0</v>
      </c>
      <c r="Q480" s="2" t="s">
        <v>2583</v>
      </c>
      <c r="R480" s="2" t="s">
        <v>2584</v>
      </c>
      <c r="S480" s="4">
        <v>44837</v>
      </c>
    </row>
    <row r="481" spans="1:19" ht="12.5" x14ac:dyDescent="0.25">
      <c r="A481" s="14" t="str">
        <f>HYPERLINK("https://gerandofalcoes.my.salesforce.com/0014X00002VKCsIQAX", "0014X00002VKCsIQAX")</f>
        <v>0014X00002VKCsIQAX</v>
      </c>
      <c r="B481" s="2" t="s">
        <v>2585</v>
      </c>
      <c r="C481" s="2" t="s">
        <v>423</v>
      </c>
      <c r="D481" s="2" t="s">
        <v>2</v>
      </c>
      <c r="E481" s="2">
        <v>19.5</v>
      </c>
      <c r="F481" s="2">
        <v>0</v>
      </c>
      <c r="G481" s="2">
        <v>890</v>
      </c>
      <c r="H481" s="2">
        <v>14400</v>
      </c>
      <c r="I481" s="2">
        <v>80</v>
      </c>
      <c r="J481" s="2" t="s">
        <v>1779</v>
      </c>
      <c r="K481" s="2">
        <v>35</v>
      </c>
      <c r="L481" s="2">
        <v>10</v>
      </c>
      <c r="M481" s="2">
        <v>0</v>
      </c>
      <c r="N481" s="2">
        <v>10</v>
      </c>
      <c r="O481" s="2">
        <v>5</v>
      </c>
      <c r="P481" s="2">
        <v>10</v>
      </c>
      <c r="Q481" s="2" t="s">
        <v>2586</v>
      </c>
      <c r="R481" s="2" t="s">
        <v>2587</v>
      </c>
      <c r="S481" s="4">
        <v>44837</v>
      </c>
    </row>
    <row r="482" spans="1:19" ht="12.5" x14ac:dyDescent="0.25">
      <c r="A482" s="14" t="str">
        <f>HYPERLINK("https://gerandofalcoes.my.salesforce.com/0014X00002YggoEQAR", "0014X00002YggoEQAR")</f>
        <v>0014X00002YggoEQAR</v>
      </c>
      <c r="B482" s="2" t="s">
        <v>3701</v>
      </c>
      <c r="C482" s="2" t="s">
        <v>423</v>
      </c>
      <c r="D482" s="2" t="s">
        <v>2</v>
      </c>
      <c r="E482" s="2">
        <v>19.47</v>
      </c>
      <c r="F482" s="2">
        <v>0</v>
      </c>
      <c r="G482" s="2">
        <v>2</v>
      </c>
      <c r="H482" s="2">
        <v>1000</v>
      </c>
      <c r="I482" s="2">
        <v>30</v>
      </c>
      <c r="J482" s="2" t="s">
        <v>1779</v>
      </c>
      <c r="K482" s="2">
        <v>26</v>
      </c>
      <c r="L482" s="2">
        <v>10</v>
      </c>
      <c r="M482" s="2">
        <v>0</v>
      </c>
      <c r="N482" s="2">
        <v>6</v>
      </c>
      <c r="O482" s="2">
        <v>5</v>
      </c>
      <c r="P482" s="2">
        <v>5</v>
      </c>
      <c r="Q482" s="2" t="s">
        <v>3702</v>
      </c>
      <c r="R482" s="2" t="s">
        <v>3702</v>
      </c>
      <c r="S482" s="4">
        <v>44967</v>
      </c>
    </row>
    <row r="483" spans="1:19" ht="12.5" x14ac:dyDescent="0.25">
      <c r="A483" s="14" t="str">
        <f>HYPERLINK("https://gerandofalcoes.my.salesforce.com/0014X00002VKCs5QAH", "0014X00002VKCs5QAH")</f>
        <v>0014X00002VKCs5QAH</v>
      </c>
      <c r="B483" s="2" t="s">
        <v>2588</v>
      </c>
      <c r="C483" s="2" t="s">
        <v>423</v>
      </c>
      <c r="D483" s="2" t="s">
        <v>2</v>
      </c>
      <c r="E483" s="2">
        <v>19.38</v>
      </c>
      <c r="F483" s="2">
        <v>0</v>
      </c>
      <c r="G483" s="2">
        <v>3</v>
      </c>
      <c r="H483" s="2">
        <v>140000</v>
      </c>
      <c r="I483" s="2">
        <v>0</v>
      </c>
      <c r="J483" s="2" t="s">
        <v>1779</v>
      </c>
      <c r="K483" s="2">
        <v>33</v>
      </c>
      <c r="L483" s="2">
        <v>10</v>
      </c>
      <c r="M483" s="2">
        <v>0</v>
      </c>
      <c r="N483" s="2">
        <v>8</v>
      </c>
      <c r="O483" s="2">
        <v>15</v>
      </c>
      <c r="P483" s="2">
        <v>0</v>
      </c>
      <c r="Q483" s="2" t="s">
        <v>2589</v>
      </c>
      <c r="R483" s="2" t="s">
        <v>2590</v>
      </c>
      <c r="S483" s="4">
        <v>44837</v>
      </c>
    </row>
    <row r="484" spans="1:19" ht="12.5" x14ac:dyDescent="0.25">
      <c r="A484" s="14" t="str">
        <f>HYPERLINK("https://gerandofalcoes.my.salesforce.com/0014X00002VKCpPQAX", "0014X00002VKCpPQAX")</f>
        <v>0014X00002VKCpPQAX</v>
      </c>
      <c r="B484" s="2" t="s">
        <v>2591</v>
      </c>
      <c r="C484" s="2" t="s">
        <v>423</v>
      </c>
      <c r="D484" s="2" t="s">
        <v>2</v>
      </c>
      <c r="E484" s="2">
        <v>19.07</v>
      </c>
      <c r="F484" s="2">
        <v>0</v>
      </c>
      <c r="G484" s="2">
        <v>3</v>
      </c>
      <c r="H484" s="2">
        <v>75000</v>
      </c>
      <c r="I484" s="2">
        <v>0</v>
      </c>
      <c r="J484" s="2" t="s">
        <v>1779</v>
      </c>
      <c r="K484" s="2">
        <v>28</v>
      </c>
      <c r="L484" s="2">
        <v>10</v>
      </c>
      <c r="M484" s="2">
        <v>0</v>
      </c>
      <c r="N484" s="2">
        <v>8</v>
      </c>
      <c r="O484" s="2">
        <v>10</v>
      </c>
      <c r="P484" s="2">
        <v>0</v>
      </c>
      <c r="Q484" s="2" t="s">
        <v>2592</v>
      </c>
      <c r="R484" s="2" t="s">
        <v>2592</v>
      </c>
      <c r="S484" s="4">
        <v>44837</v>
      </c>
    </row>
    <row r="485" spans="1:19" ht="12.5" x14ac:dyDescent="0.25">
      <c r="A485" s="14" t="str">
        <f>HYPERLINK("https://gerandofalcoes.my.salesforce.com/0014P00003YSp9OQAT", "0014P00003YSp9OQAT")</f>
        <v>0014P00003YSp9OQAT</v>
      </c>
      <c r="B485" s="2" t="s">
        <v>2593</v>
      </c>
      <c r="C485" s="2" t="s">
        <v>1800</v>
      </c>
      <c r="D485" s="2" t="s">
        <v>2</v>
      </c>
      <c r="E485" s="2">
        <v>19</v>
      </c>
      <c r="F485" s="2">
        <v>0</v>
      </c>
      <c r="G485" s="2">
        <v>8</v>
      </c>
      <c r="H485" s="2">
        <v>15000</v>
      </c>
      <c r="I485" s="2">
        <v>958</v>
      </c>
      <c r="J485" s="2" t="s">
        <v>1671</v>
      </c>
      <c r="K485" s="2">
        <v>45</v>
      </c>
      <c r="L485" s="2">
        <v>10</v>
      </c>
      <c r="M485" s="2">
        <v>0</v>
      </c>
      <c r="N485" s="2">
        <v>10</v>
      </c>
      <c r="O485" s="2">
        <v>5</v>
      </c>
      <c r="P485" s="2">
        <v>20</v>
      </c>
      <c r="Q485" s="2" t="s">
        <v>2594</v>
      </c>
      <c r="R485" s="2" t="s">
        <v>2595</v>
      </c>
      <c r="S485" s="4">
        <v>44837</v>
      </c>
    </row>
    <row r="486" spans="1:19" ht="12.5" x14ac:dyDescent="0.25">
      <c r="A486" s="14" t="str">
        <f>HYPERLINK("https://gerandofalcoes.my.salesforce.com/0014P00003YSp7pQAD", "0014P00003YSp7pQAD")</f>
        <v>0014P00003YSp7pQAD</v>
      </c>
      <c r="B486" s="2" t="s">
        <v>2596</v>
      </c>
      <c r="C486" s="2" t="s">
        <v>1800</v>
      </c>
      <c r="D486" s="2" t="s">
        <v>2</v>
      </c>
      <c r="E486" s="2">
        <v>19</v>
      </c>
      <c r="F486" s="2">
        <v>0</v>
      </c>
      <c r="G486" s="2">
        <v>3</v>
      </c>
      <c r="H486" s="2">
        <v>150000</v>
      </c>
      <c r="I486" s="2">
        <v>190</v>
      </c>
      <c r="J486" s="2" t="s">
        <v>1671</v>
      </c>
      <c r="K486" s="2">
        <v>45</v>
      </c>
      <c r="L486" s="2">
        <v>10</v>
      </c>
      <c r="M486" s="2">
        <v>0</v>
      </c>
      <c r="N486" s="2">
        <v>8</v>
      </c>
      <c r="O486" s="2">
        <v>15</v>
      </c>
      <c r="P486" s="2">
        <v>12</v>
      </c>
      <c r="Q486" s="2" t="s">
        <v>2597</v>
      </c>
      <c r="R486" s="2" t="s">
        <v>2598</v>
      </c>
      <c r="S486" s="4">
        <v>44837</v>
      </c>
    </row>
    <row r="487" spans="1:19" ht="12.5" x14ac:dyDescent="0.25">
      <c r="A487" s="14" t="str">
        <f>HYPERLINK("https://gerandofalcoes.my.salesforce.com/0014P00003YSp8mQAD", "0014P00003YSp8mQAD")</f>
        <v>0014P00003YSp8mQAD</v>
      </c>
      <c r="B487" s="2" t="s">
        <v>2599</v>
      </c>
      <c r="C487" s="2" t="s">
        <v>1800</v>
      </c>
      <c r="D487" s="2" t="s">
        <v>2</v>
      </c>
      <c r="E487" s="2">
        <v>19</v>
      </c>
      <c r="F487" s="2">
        <v>11</v>
      </c>
      <c r="G487" s="2">
        <v>4</v>
      </c>
      <c r="H487" s="2">
        <v>700</v>
      </c>
      <c r="I487" s="2">
        <v>160</v>
      </c>
      <c r="J487" s="2" t="s">
        <v>1671</v>
      </c>
      <c r="K487" s="2">
        <v>49</v>
      </c>
      <c r="L487" s="2">
        <v>10</v>
      </c>
      <c r="M487" s="2">
        <v>12</v>
      </c>
      <c r="N487" s="2">
        <v>10</v>
      </c>
      <c r="O487" s="2">
        <v>5</v>
      </c>
      <c r="P487" s="2">
        <v>12</v>
      </c>
      <c r="Q487" s="2" t="s">
        <v>2600</v>
      </c>
      <c r="R487" s="2" t="s">
        <v>2600</v>
      </c>
      <c r="S487" s="4">
        <v>44837</v>
      </c>
    </row>
    <row r="488" spans="1:19" ht="12.5" x14ac:dyDescent="0.25">
      <c r="A488" s="14" t="str">
        <f>HYPERLINK("https://gerandofalcoes.my.salesforce.com/0014P00003YSpACQA1", "0014P00003YSpACQA1")</f>
        <v>0014P00003YSpACQA1</v>
      </c>
      <c r="B488" s="2" t="s">
        <v>2601</v>
      </c>
      <c r="C488" s="2" t="s">
        <v>1800</v>
      </c>
      <c r="D488" s="2" t="s">
        <v>2</v>
      </c>
      <c r="E488" s="2">
        <v>19</v>
      </c>
      <c r="F488" s="2">
        <v>2</v>
      </c>
      <c r="G488" s="2">
        <v>2</v>
      </c>
      <c r="H488" s="2">
        <v>0</v>
      </c>
      <c r="I488" s="2">
        <v>120</v>
      </c>
      <c r="J488" s="2" t="s">
        <v>1779</v>
      </c>
      <c r="K488" s="2">
        <v>31</v>
      </c>
      <c r="L488" s="2">
        <v>10</v>
      </c>
      <c r="M488" s="2">
        <v>5</v>
      </c>
      <c r="N488" s="2">
        <v>6</v>
      </c>
      <c r="O488" s="2">
        <v>0</v>
      </c>
      <c r="P488" s="2">
        <v>10</v>
      </c>
      <c r="Q488" s="2" t="s">
        <v>2602</v>
      </c>
      <c r="R488" s="2" t="s">
        <v>2602</v>
      </c>
      <c r="S488" s="4">
        <v>44837</v>
      </c>
    </row>
    <row r="489" spans="1:19" ht="12.5" x14ac:dyDescent="0.25">
      <c r="A489" s="14" t="str">
        <f>HYPERLINK("https://gerandofalcoes.my.salesforce.com/0014P00003YSp9cQAD", "0014P00003YSp9cQAD")</f>
        <v>0014P00003YSp9cQAD</v>
      </c>
      <c r="B489" s="2" t="s">
        <v>2603</v>
      </c>
      <c r="C489" s="2" t="s">
        <v>1800</v>
      </c>
      <c r="D489" s="2" t="s">
        <v>2</v>
      </c>
      <c r="E489" s="2">
        <v>19</v>
      </c>
      <c r="F489" s="2">
        <v>2</v>
      </c>
      <c r="G489" s="2">
        <v>4</v>
      </c>
      <c r="H489" s="2">
        <v>2000</v>
      </c>
      <c r="I489" s="2">
        <v>60</v>
      </c>
      <c r="J489" s="2" t="s">
        <v>1779</v>
      </c>
      <c r="K489" s="2">
        <v>35</v>
      </c>
      <c r="L489" s="2">
        <v>10</v>
      </c>
      <c r="M489" s="2">
        <v>5</v>
      </c>
      <c r="N489" s="2">
        <v>10</v>
      </c>
      <c r="O489" s="2">
        <v>5</v>
      </c>
      <c r="P489" s="2">
        <v>5</v>
      </c>
      <c r="Q489" s="2" t="s">
        <v>2604</v>
      </c>
      <c r="R489" s="2" t="s">
        <v>2605</v>
      </c>
      <c r="S489" s="4">
        <v>44837</v>
      </c>
    </row>
    <row r="490" spans="1:19" ht="12.5" x14ac:dyDescent="0.25">
      <c r="A490" s="14" t="str">
        <f>HYPERLINK("https://gerandofalcoes.my.salesforce.com/0014X00002VKCuHQAX", "0014X00002VKCuHQAX")</f>
        <v>0014X00002VKCuHQAX</v>
      </c>
      <c r="B490" s="2" t="s">
        <v>2606</v>
      </c>
      <c r="C490" s="2" t="s">
        <v>423</v>
      </c>
      <c r="D490" s="2" t="s">
        <v>2</v>
      </c>
      <c r="E490" s="2">
        <v>19</v>
      </c>
      <c r="F490" s="2">
        <v>0</v>
      </c>
      <c r="G490" s="2">
        <v>2</v>
      </c>
      <c r="H490" s="2">
        <v>25500</v>
      </c>
      <c r="I490" s="2">
        <v>30</v>
      </c>
      <c r="J490" s="2" t="s">
        <v>1779</v>
      </c>
      <c r="K490" s="2">
        <v>31</v>
      </c>
      <c r="L490" s="2">
        <v>10</v>
      </c>
      <c r="M490" s="2">
        <v>0</v>
      </c>
      <c r="N490" s="2">
        <v>6</v>
      </c>
      <c r="O490" s="2">
        <v>10</v>
      </c>
      <c r="P490" s="2">
        <v>5</v>
      </c>
      <c r="Q490" s="2" t="s">
        <v>2607</v>
      </c>
      <c r="R490" s="2" t="s">
        <v>2608</v>
      </c>
      <c r="S490" s="4">
        <v>44837</v>
      </c>
    </row>
    <row r="491" spans="1:19" ht="12.5" x14ac:dyDescent="0.25">
      <c r="A491" s="14" t="str">
        <f>HYPERLINK("https://gerandofalcoes.my.salesforce.com/0014X00002VKCrcQAH", "0014X00002VKCrcQAH")</f>
        <v>0014X00002VKCrcQAH</v>
      </c>
      <c r="B491" s="2" t="s">
        <v>2609</v>
      </c>
      <c r="C491" s="2" t="s">
        <v>423</v>
      </c>
      <c r="D491" s="2" t="s">
        <v>2</v>
      </c>
      <c r="E491" s="2">
        <v>19</v>
      </c>
      <c r="F491" s="2">
        <v>0</v>
      </c>
      <c r="G491" s="2">
        <v>3</v>
      </c>
      <c r="H491" s="2">
        <v>2000</v>
      </c>
      <c r="I491" s="2">
        <v>0</v>
      </c>
      <c r="J491" s="2" t="s">
        <v>1779</v>
      </c>
      <c r="K491" s="2">
        <v>23</v>
      </c>
      <c r="L491" s="2">
        <v>10</v>
      </c>
      <c r="M491" s="2">
        <v>0</v>
      </c>
      <c r="N491" s="2">
        <v>8</v>
      </c>
      <c r="O491" s="2">
        <v>5</v>
      </c>
      <c r="P491" s="2">
        <v>0</v>
      </c>
      <c r="Q491" s="2" t="s">
        <v>2610</v>
      </c>
      <c r="R491" s="2" t="s">
        <v>2611</v>
      </c>
      <c r="S491" s="4">
        <v>44837</v>
      </c>
    </row>
    <row r="492" spans="1:19" ht="12.5" x14ac:dyDescent="0.25">
      <c r="A492" s="14" t="str">
        <f>HYPERLINK("https://gerandofalcoes.my.salesforce.com/0014X00002OEuamQAD", "0014X00002OEuamQAD")</f>
        <v>0014X00002OEuamQAD</v>
      </c>
      <c r="B492" s="2" t="s">
        <v>2612</v>
      </c>
      <c r="C492" s="2" t="s">
        <v>1800</v>
      </c>
      <c r="D492" s="2" t="s">
        <v>2</v>
      </c>
      <c r="E492" s="2">
        <v>19</v>
      </c>
      <c r="F492" s="2">
        <v>0</v>
      </c>
      <c r="G492" s="2">
        <v>4</v>
      </c>
      <c r="H492" s="2">
        <v>7000</v>
      </c>
      <c r="I492" s="2">
        <v>0</v>
      </c>
      <c r="J492" s="2" t="s">
        <v>1779</v>
      </c>
      <c r="K492" s="2">
        <v>25</v>
      </c>
      <c r="L492" s="2">
        <v>10</v>
      </c>
      <c r="M492" s="2">
        <v>0</v>
      </c>
      <c r="N492" s="2">
        <v>10</v>
      </c>
      <c r="O492" s="2">
        <v>5</v>
      </c>
      <c r="P492" s="2">
        <v>0</v>
      </c>
      <c r="Q492" s="2" t="s">
        <v>2613</v>
      </c>
      <c r="R492" s="2" t="s">
        <v>2613</v>
      </c>
      <c r="S492" s="4">
        <v>44837</v>
      </c>
    </row>
    <row r="493" spans="1:19" ht="12.5" x14ac:dyDescent="0.25">
      <c r="A493" s="14" t="str">
        <f>HYPERLINK("https://gerandofalcoes.my.salesforce.com/0014P00003YSp7TQAT", "0014P00003YSp7TQAT")</f>
        <v>0014P00003YSp7TQAT</v>
      </c>
      <c r="B493" s="2" t="s">
        <v>2614</v>
      </c>
      <c r="C493" s="2" t="s">
        <v>1800</v>
      </c>
      <c r="D493" s="2" t="s">
        <v>2</v>
      </c>
      <c r="E493" s="2">
        <v>19</v>
      </c>
      <c r="F493" s="2">
        <v>0</v>
      </c>
      <c r="G493" s="2">
        <v>0</v>
      </c>
      <c r="H493" s="2">
        <v>0</v>
      </c>
      <c r="I493" s="2">
        <v>0</v>
      </c>
      <c r="J493" s="2" t="s">
        <v>1779</v>
      </c>
      <c r="K493" s="2">
        <v>10</v>
      </c>
      <c r="L493" s="2">
        <v>10</v>
      </c>
      <c r="M493" s="2">
        <v>0</v>
      </c>
      <c r="N493" s="2">
        <v>0</v>
      </c>
      <c r="O493" s="2">
        <v>0</v>
      </c>
      <c r="P493" s="2">
        <v>0</v>
      </c>
      <c r="Q493" s="2" t="s">
        <v>2615</v>
      </c>
      <c r="R493" s="2" t="s">
        <v>2615</v>
      </c>
      <c r="S493" s="4">
        <v>44837</v>
      </c>
    </row>
    <row r="494" spans="1:19" ht="12.5" x14ac:dyDescent="0.25">
      <c r="A494" s="14" t="str">
        <f>HYPERLINK("https://gerandofalcoes.my.salesforce.com/0014X00002VKCtpQAH", "0014X00002VKCtpQAH")</f>
        <v>0014X00002VKCtpQAH</v>
      </c>
      <c r="B494" s="2" t="s">
        <v>2616</v>
      </c>
      <c r="C494" s="2" t="s">
        <v>423</v>
      </c>
      <c r="D494" s="2" t="s">
        <v>2</v>
      </c>
      <c r="E494" s="2">
        <v>19</v>
      </c>
      <c r="F494" s="2">
        <v>0</v>
      </c>
      <c r="G494" s="2">
        <v>2</v>
      </c>
      <c r="H494" s="2">
        <v>0</v>
      </c>
      <c r="I494" s="2">
        <v>0</v>
      </c>
      <c r="J494" s="2" t="s">
        <v>1779</v>
      </c>
      <c r="K494" s="2">
        <v>16</v>
      </c>
      <c r="L494" s="2">
        <v>10</v>
      </c>
      <c r="M494" s="2">
        <v>0</v>
      </c>
      <c r="N494" s="2">
        <v>6</v>
      </c>
      <c r="O494" s="2">
        <v>0</v>
      </c>
      <c r="P494" s="2">
        <v>0</v>
      </c>
      <c r="Q494" s="2" t="s">
        <v>2617</v>
      </c>
      <c r="R494" s="2" t="s">
        <v>2618</v>
      </c>
      <c r="S494" s="4">
        <v>44837</v>
      </c>
    </row>
    <row r="495" spans="1:19" ht="12.5" x14ac:dyDescent="0.25">
      <c r="A495" s="14" t="str">
        <f>HYPERLINK("https://gerandofalcoes.my.salesforce.com/0014X00002VKCuZQAX", "0014X00002VKCuZQAX")</f>
        <v>0014X00002VKCuZQAX</v>
      </c>
      <c r="B495" s="2" t="s">
        <v>3847</v>
      </c>
      <c r="C495" s="2" t="s">
        <v>1800</v>
      </c>
      <c r="D495" s="2" t="s">
        <v>2</v>
      </c>
      <c r="E495" s="2">
        <v>19</v>
      </c>
      <c r="F495" s="2">
        <v>0</v>
      </c>
      <c r="G495" s="2">
        <v>0</v>
      </c>
      <c r="H495" s="2">
        <v>0</v>
      </c>
      <c r="I495" s="2">
        <v>0</v>
      </c>
      <c r="J495" s="2" t="s">
        <v>1779</v>
      </c>
      <c r="K495" s="2">
        <v>10</v>
      </c>
      <c r="L495" s="2">
        <v>10</v>
      </c>
      <c r="M495" s="2">
        <v>0</v>
      </c>
      <c r="N495" s="2">
        <v>0</v>
      </c>
      <c r="O495" s="2">
        <v>0</v>
      </c>
      <c r="P495" s="2">
        <v>0</v>
      </c>
      <c r="Q495" s="2" t="s">
        <v>3848</v>
      </c>
      <c r="R495" s="2" t="s">
        <v>3848</v>
      </c>
      <c r="S495" s="4">
        <v>45112</v>
      </c>
    </row>
    <row r="496" spans="1:19" ht="12.5" x14ac:dyDescent="0.25">
      <c r="A496" s="14" t="str">
        <f>HYPERLINK("https://gerandofalcoes.my.salesforce.com/0014X00002VKCp2QAH", "0014X00002VKCp2QAH")</f>
        <v>0014X00002VKCp2QAH</v>
      </c>
      <c r="B496" s="2" t="s">
        <v>3828</v>
      </c>
      <c r="C496" s="2" t="s">
        <v>423</v>
      </c>
      <c r="D496" s="2" t="s">
        <v>2</v>
      </c>
      <c r="E496" s="2">
        <v>19</v>
      </c>
      <c r="F496" s="2">
        <v>10</v>
      </c>
      <c r="G496" s="2">
        <v>1</v>
      </c>
      <c r="H496" s="2">
        <v>3300000</v>
      </c>
      <c r="I496" s="2">
        <v>0</v>
      </c>
      <c r="J496" s="2" t="s">
        <v>1671</v>
      </c>
      <c r="K496" s="2">
        <v>49</v>
      </c>
      <c r="L496" s="2">
        <v>10</v>
      </c>
      <c r="M496" s="2">
        <v>10</v>
      </c>
      <c r="N496" s="2">
        <v>4</v>
      </c>
      <c r="O496" s="2">
        <v>25</v>
      </c>
      <c r="P496" s="2">
        <v>0</v>
      </c>
      <c r="Q496" s="2" t="s">
        <v>2917</v>
      </c>
      <c r="R496" s="2" t="s">
        <v>2917</v>
      </c>
      <c r="S496" s="4">
        <v>45015</v>
      </c>
    </row>
    <row r="497" spans="1:19" ht="12.5" x14ac:dyDescent="0.25">
      <c r="A497" s="14" t="str">
        <f>HYPERLINK("https://gerandofalcoes.my.salesforce.com/0014X00002Yggj6QAB", "0014X00002Yggj6QAB")</f>
        <v>0014X00002Yggj6QAB</v>
      </c>
      <c r="B497" s="2" t="s">
        <v>3535</v>
      </c>
      <c r="C497" s="2" t="s">
        <v>423</v>
      </c>
      <c r="D497" s="2" t="s">
        <v>2</v>
      </c>
      <c r="E497" s="2">
        <v>18.829999999999998</v>
      </c>
      <c r="F497" s="2">
        <v>1</v>
      </c>
      <c r="G497" s="2">
        <v>2</v>
      </c>
      <c r="H497" s="2">
        <v>4000</v>
      </c>
      <c r="I497" s="2">
        <v>50</v>
      </c>
      <c r="J497" s="2" t="s">
        <v>1779</v>
      </c>
      <c r="K497" s="2">
        <v>31</v>
      </c>
      <c r="L497" s="2">
        <v>10</v>
      </c>
      <c r="M497" s="2">
        <v>5</v>
      </c>
      <c r="N497" s="2">
        <v>6</v>
      </c>
      <c r="O497" s="2">
        <v>5</v>
      </c>
      <c r="P497" s="2">
        <v>5</v>
      </c>
      <c r="Q497" s="2" t="s">
        <v>3536</v>
      </c>
      <c r="R497" s="2" t="s">
        <v>3536</v>
      </c>
      <c r="S497" s="4">
        <v>44959</v>
      </c>
    </row>
    <row r="498" spans="1:19" ht="12.5" x14ac:dyDescent="0.25">
      <c r="A498" s="14" t="str">
        <f>HYPERLINK("https://gerandofalcoes.my.salesforce.com/0014X00002YggpjQAB", "0014X00002YggpjQAB")</f>
        <v>0014X00002YggpjQAB</v>
      </c>
      <c r="B498" s="2" t="s">
        <v>3703</v>
      </c>
      <c r="C498" s="2" t="s">
        <v>423</v>
      </c>
      <c r="D498" s="2" t="s">
        <v>2</v>
      </c>
      <c r="E498" s="2">
        <v>18.75</v>
      </c>
      <c r="F498" s="2">
        <v>0</v>
      </c>
      <c r="G498" s="2">
        <v>3</v>
      </c>
      <c r="H498" s="2">
        <v>2000</v>
      </c>
      <c r="I498" s="2">
        <v>0</v>
      </c>
      <c r="J498" s="2" t="s">
        <v>1779</v>
      </c>
      <c r="K498" s="2">
        <v>23</v>
      </c>
      <c r="L498" s="2">
        <v>10</v>
      </c>
      <c r="M498" s="2">
        <v>0</v>
      </c>
      <c r="N498" s="2">
        <v>8</v>
      </c>
      <c r="O498" s="2">
        <v>5</v>
      </c>
      <c r="P498" s="2">
        <v>0</v>
      </c>
      <c r="Q498" s="2" t="s">
        <v>3704</v>
      </c>
      <c r="R498" s="2" t="s">
        <v>3704</v>
      </c>
      <c r="S498" s="4">
        <v>44967</v>
      </c>
    </row>
    <row r="499" spans="1:19" ht="12.5" x14ac:dyDescent="0.25">
      <c r="A499" s="14" t="str">
        <f>HYPERLINK("https://gerandofalcoes.my.salesforce.com/0014P00003SGWQ4QAP", "0014P00003SGWQ4QAP")</f>
        <v>0014P00003SGWQ4QAP</v>
      </c>
      <c r="B499" s="2" t="s">
        <v>217</v>
      </c>
      <c r="C499" s="2" t="s">
        <v>423</v>
      </c>
      <c r="D499" s="2" t="s">
        <v>2</v>
      </c>
      <c r="E499" s="2">
        <v>18.579999999999998</v>
      </c>
      <c r="F499" s="2">
        <v>0</v>
      </c>
      <c r="G499" s="2">
        <v>2</v>
      </c>
      <c r="H499" s="2">
        <v>8324</v>
      </c>
      <c r="I499" s="2">
        <v>117</v>
      </c>
      <c r="J499" s="2" t="s">
        <v>1779</v>
      </c>
      <c r="K499" s="2">
        <v>31</v>
      </c>
      <c r="L499" s="2">
        <v>10</v>
      </c>
      <c r="M499" s="2">
        <v>0</v>
      </c>
      <c r="N499" s="2">
        <v>6</v>
      </c>
      <c r="O499" s="2">
        <v>5</v>
      </c>
      <c r="P499" s="2">
        <v>10</v>
      </c>
      <c r="Q499" s="2" t="s">
        <v>218</v>
      </c>
      <c r="R499" s="2" t="s">
        <v>1140</v>
      </c>
      <c r="S499" s="4">
        <v>44837</v>
      </c>
    </row>
    <row r="500" spans="1:19" ht="12.5" x14ac:dyDescent="0.25">
      <c r="A500" s="14" t="str">
        <f>HYPERLINK("https://gerandofalcoes.my.salesforce.com/0014P00003YSp7SQAT", "0014P00003YSp7SQAT")</f>
        <v>0014P00003YSp7SQAT</v>
      </c>
      <c r="B500" s="2" t="s">
        <v>2619</v>
      </c>
      <c r="C500" s="2" t="s">
        <v>423</v>
      </c>
      <c r="D500" s="2" t="s">
        <v>2</v>
      </c>
      <c r="E500" s="2">
        <v>18.54</v>
      </c>
      <c r="F500" s="2">
        <v>0</v>
      </c>
      <c r="G500" s="2">
        <v>4</v>
      </c>
      <c r="H500" s="2">
        <v>39200</v>
      </c>
      <c r="I500" s="2">
        <v>1</v>
      </c>
      <c r="J500" s="2" t="s">
        <v>1779</v>
      </c>
      <c r="K500" s="2">
        <v>35</v>
      </c>
      <c r="L500" s="2">
        <v>10</v>
      </c>
      <c r="M500" s="2">
        <v>0</v>
      </c>
      <c r="N500" s="2">
        <v>10</v>
      </c>
      <c r="O500" s="2">
        <v>10</v>
      </c>
      <c r="P500" s="2">
        <v>5</v>
      </c>
      <c r="Q500" s="2" t="s">
        <v>2620</v>
      </c>
      <c r="R500" s="2" t="s">
        <v>2621</v>
      </c>
      <c r="S500" s="4">
        <v>44837</v>
      </c>
    </row>
    <row r="501" spans="1:19" ht="12.5" x14ac:dyDescent="0.25">
      <c r="A501" s="14" t="str">
        <f>HYPERLINK("https://gerandofalcoes.my.salesforce.com/0014X00002YggkTQAR", "0014X00002YggkTQAR")</f>
        <v>0014X00002YggkTQAR</v>
      </c>
      <c r="B501" s="2" t="s">
        <v>3777</v>
      </c>
      <c r="C501" s="2" t="s">
        <v>423</v>
      </c>
      <c r="D501" s="2" t="s">
        <v>2</v>
      </c>
      <c r="E501" s="2">
        <v>18.39</v>
      </c>
      <c r="F501" s="2">
        <v>1</v>
      </c>
      <c r="G501" s="2">
        <v>4</v>
      </c>
      <c r="H501" s="2">
        <v>7134525</v>
      </c>
      <c r="I501" s="2">
        <v>20</v>
      </c>
      <c r="J501" s="2" t="s">
        <v>1671</v>
      </c>
      <c r="K501" s="2">
        <v>55</v>
      </c>
      <c r="L501" s="2">
        <v>10</v>
      </c>
      <c r="M501" s="2">
        <v>5</v>
      </c>
      <c r="N501" s="2">
        <v>10</v>
      </c>
      <c r="O501" s="2">
        <v>25</v>
      </c>
      <c r="P501" s="2">
        <v>5</v>
      </c>
      <c r="Q501" s="2" t="s">
        <v>3778</v>
      </c>
      <c r="R501" s="2" t="s">
        <v>3778</v>
      </c>
      <c r="S501" s="4">
        <v>44968</v>
      </c>
    </row>
    <row r="502" spans="1:19" ht="12.5" x14ac:dyDescent="0.25">
      <c r="A502" s="14" t="str">
        <f>HYPERLINK("https://gerandofalcoes.my.salesforce.com/0014X00002YgggQQAR", "0014X00002YgggQQAR")</f>
        <v>0014X00002YgggQQAR</v>
      </c>
      <c r="B502" s="2" t="s">
        <v>3111</v>
      </c>
      <c r="C502" s="2" t="s">
        <v>423</v>
      </c>
      <c r="D502" s="2" t="s">
        <v>2</v>
      </c>
      <c r="E502" s="2">
        <v>18.39</v>
      </c>
      <c r="F502" s="2">
        <v>2</v>
      </c>
      <c r="G502" s="2">
        <v>2</v>
      </c>
      <c r="H502" s="2">
        <v>55000</v>
      </c>
      <c r="I502" s="2">
        <v>20</v>
      </c>
      <c r="J502" s="2" t="s">
        <v>1779</v>
      </c>
      <c r="K502" s="2">
        <v>36</v>
      </c>
      <c r="L502" s="2">
        <v>10</v>
      </c>
      <c r="M502" s="2">
        <v>5</v>
      </c>
      <c r="N502" s="2">
        <v>6</v>
      </c>
      <c r="O502" s="2">
        <v>10</v>
      </c>
      <c r="P502" s="2">
        <v>5</v>
      </c>
      <c r="Q502" s="2" t="s">
        <v>3112</v>
      </c>
      <c r="R502" s="2" t="s">
        <v>3113</v>
      </c>
      <c r="S502" s="4">
        <v>44949</v>
      </c>
    </row>
    <row r="503" spans="1:19" ht="12.5" x14ac:dyDescent="0.25">
      <c r="A503" s="14" t="str">
        <f>HYPERLINK("https://gerandofalcoes.my.salesforce.com/0014P00003YSp8tQAD", "0014P00003YSp8tQAD")</f>
        <v>0014P00003YSp8tQAD</v>
      </c>
      <c r="B503" s="2" t="s">
        <v>2622</v>
      </c>
      <c r="C503" s="2" t="s">
        <v>423</v>
      </c>
      <c r="D503" s="2" t="s">
        <v>2</v>
      </c>
      <c r="E503" s="2">
        <v>18.18</v>
      </c>
      <c r="F503" s="2">
        <v>0</v>
      </c>
      <c r="G503" s="2">
        <v>1</v>
      </c>
      <c r="H503" s="2">
        <v>420000</v>
      </c>
      <c r="I503" s="2">
        <v>0</v>
      </c>
      <c r="J503" s="2" t="s">
        <v>1779</v>
      </c>
      <c r="K503" s="2">
        <v>34</v>
      </c>
      <c r="L503" s="2">
        <v>10</v>
      </c>
      <c r="M503" s="2">
        <v>0</v>
      </c>
      <c r="N503" s="2">
        <v>4</v>
      </c>
      <c r="O503" s="2">
        <v>20</v>
      </c>
      <c r="P503" s="2">
        <v>0</v>
      </c>
      <c r="Q503" s="2" t="s">
        <v>2623</v>
      </c>
      <c r="R503" s="2" t="s">
        <v>2624</v>
      </c>
      <c r="S503" s="4">
        <v>44837</v>
      </c>
    </row>
    <row r="504" spans="1:19" ht="12.5" x14ac:dyDescent="0.25">
      <c r="A504" s="14" t="str">
        <f>HYPERLINK("https://gerandofalcoes.my.salesforce.com/0014X00002VKCsFQAX", "0014X00002VKCsFQAX")</f>
        <v>0014X00002VKCsFQAX</v>
      </c>
      <c r="B504" s="2" t="s">
        <v>2625</v>
      </c>
      <c r="C504" s="2" t="s">
        <v>423</v>
      </c>
      <c r="D504" s="2" t="s">
        <v>2</v>
      </c>
      <c r="E504" s="2">
        <v>18.13</v>
      </c>
      <c r="F504" s="2">
        <v>0</v>
      </c>
      <c r="G504" s="2">
        <v>1</v>
      </c>
      <c r="H504" s="2">
        <v>998</v>
      </c>
      <c r="I504" s="2">
        <v>70</v>
      </c>
      <c r="J504" s="2" t="s">
        <v>1779</v>
      </c>
      <c r="K504" s="2">
        <v>24</v>
      </c>
      <c r="L504" s="2">
        <v>10</v>
      </c>
      <c r="M504" s="2">
        <v>0</v>
      </c>
      <c r="N504" s="2">
        <v>4</v>
      </c>
      <c r="O504" s="2">
        <v>5</v>
      </c>
      <c r="P504" s="2">
        <v>5</v>
      </c>
      <c r="Q504" s="2" t="s">
        <v>2626</v>
      </c>
      <c r="R504" s="2" t="s">
        <v>2627</v>
      </c>
      <c r="S504" s="4">
        <v>44837</v>
      </c>
    </row>
    <row r="505" spans="1:19" ht="12.5" x14ac:dyDescent="0.25">
      <c r="A505" s="14" t="str">
        <f>HYPERLINK("https://gerandofalcoes.my.salesforce.com/0014X00002YggqEQAR", "0014X00002YggqEQAR")</f>
        <v>0014X00002YggqEQAR</v>
      </c>
      <c r="B505" s="2" t="s">
        <v>3577</v>
      </c>
      <c r="C505" s="2" t="s">
        <v>423</v>
      </c>
      <c r="D505" s="2" t="s">
        <v>2</v>
      </c>
      <c r="E505" s="2">
        <v>18.04</v>
      </c>
      <c r="F505" s="2">
        <v>16</v>
      </c>
      <c r="G505" s="2">
        <v>2</v>
      </c>
      <c r="H505" s="2">
        <v>450000</v>
      </c>
      <c r="I505" s="2">
        <v>300</v>
      </c>
      <c r="J505" s="2" t="s">
        <v>1671</v>
      </c>
      <c r="K505" s="2">
        <v>63</v>
      </c>
      <c r="L505" s="2">
        <v>10</v>
      </c>
      <c r="M505" s="2">
        <v>12</v>
      </c>
      <c r="N505" s="2">
        <v>6</v>
      </c>
      <c r="O505" s="2">
        <v>20</v>
      </c>
      <c r="P505" s="2">
        <v>15</v>
      </c>
      <c r="Q505" s="2" t="s">
        <v>3578</v>
      </c>
      <c r="R505" s="2" t="s">
        <v>3579</v>
      </c>
      <c r="S505" s="4">
        <v>44961</v>
      </c>
    </row>
    <row r="506" spans="1:19" ht="12.5" x14ac:dyDescent="0.25">
      <c r="A506" s="14" t="str">
        <f>HYPERLINK("https://gerandofalcoes.my.salesforce.com/0014P00003SGWPtQAP", "0014P00003SGWPtQAP")</f>
        <v>0014P00003SGWPtQAP</v>
      </c>
      <c r="B506" s="2" t="s">
        <v>2628</v>
      </c>
      <c r="C506" s="2" t="s">
        <v>423</v>
      </c>
      <c r="D506" s="2" t="s">
        <v>2</v>
      </c>
      <c r="E506" s="2">
        <v>18.04</v>
      </c>
      <c r="F506" s="2">
        <v>3</v>
      </c>
      <c r="G506" s="2">
        <v>0</v>
      </c>
      <c r="H506" s="2">
        <v>400000</v>
      </c>
      <c r="I506" s="2">
        <v>134</v>
      </c>
      <c r="J506" s="2" t="s">
        <v>1671</v>
      </c>
      <c r="K506" s="2">
        <v>45</v>
      </c>
      <c r="L506" s="2">
        <v>10</v>
      </c>
      <c r="M506" s="2">
        <v>5</v>
      </c>
      <c r="N506" s="2">
        <v>0</v>
      </c>
      <c r="O506" s="2">
        <v>20</v>
      </c>
      <c r="P506" s="2">
        <v>10</v>
      </c>
      <c r="Q506" s="2" t="s">
        <v>336</v>
      </c>
      <c r="R506" s="2" t="s">
        <v>336</v>
      </c>
      <c r="S506" s="4">
        <v>44837</v>
      </c>
    </row>
    <row r="507" spans="1:19" ht="12.5" x14ac:dyDescent="0.25">
      <c r="A507" s="14" t="str">
        <f>HYPERLINK("https://gerandofalcoes.my.salesforce.com/0014X00002OEuaqQAD", "0014X00002OEuaqQAD")</f>
        <v>0014X00002OEuaqQAD</v>
      </c>
      <c r="B507" s="2" t="s">
        <v>2629</v>
      </c>
      <c r="C507" s="2" t="s">
        <v>423</v>
      </c>
      <c r="D507" s="2" t="s">
        <v>2</v>
      </c>
      <c r="E507" s="2">
        <v>18</v>
      </c>
      <c r="F507" s="2">
        <v>20</v>
      </c>
      <c r="G507" s="2">
        <v>2</v>
      </c>
      <c r="H507" s="2">
        <v>3000</v>
      </c>
      <c r="I507" s="2">
        <v>300</v>
      </c>
      <c r="J507" s="2" t="s">
        <v>1671</v>
      </c>
      <c r="K507" s="2">
        <v>48</v>
      </c>
      <c r="L507" s="2">
        <v>10</v>
      </c>
      <c r="M507" s="2">
        <v>12</v>
      </c>
      <c r="N507" s="2">
        <v>6</v>
      </c>
      <c r="O507" s="2">
        <v>5</v>
      </c>
      <c r="P507" s="2">
        <v>15</v>
      </c>
      <c r="Q507" s="2" t="s">
        <v>2630</v>
      </c>
      <c r="R507" s="2" t="s">
        <v>2631</v>
      </c>
      <c r="S507" s="4">
        <v>44837</v>
      </c>
    </row>
    <row r="508" spans="1:19" ht="12.5" x14ac:dyDescent="0.25">
      <c r="A508" s="14" t="str">
        <f>HYPERLINK("https://gerandofalcoes.my.salesforce.com/0014X00002VKCroQAH", "0014X00002VKCroQAH")</f>
        <v>0014X00002VKCroQAH</v>
      </c>
      <c r="B508" s="2" t="s">
        <v>2632</v>
      </c>
      <c r="C508" s="2" t="s">
        <v>1800</v>
      </c>
      <c r="D508" s="2" t="s">
        <v>2</v>
      </c>
      <c r="E508" s="2">
        <v>18</v>
      </c>
      <c r="F508" s="2">
        <v>0</v>
      </c>
      <c r="G508" s="2">
        <v>3</v>
      </c>
      <c r="H508" s="2">
        <v>8400</v>
      </c>
      <c r="I508" s="2">
        <v>100</v>
      </c>
      <c r="J508" s="2" t="s">
        <v>1779</v>
      </c>
      <c r="K508" s="2">
        <v>33</v>
      </c>
      <c r="L508" s="2">
        <v>10</v>
      </c>
      <c r="M508" s="2">
        <v>0</v>
      </c>
      <c r="N508" s="2">
        <v>8</v>
      </c>
      <c r="O508" s="2">
        <v>5</v>
      </c>
      <c r="P508" s="2">
        <v>10</v>
      </c>
      <c r="Q508" s="2" t="s">
        <v>2633</v>
      </c>
      <c r="R508" s="2" t="s">
        <v>2634</v>
      </c>
      <c r="S508" s="4">
        <v>44837</v>
      </c>
    </row>
    <row r="509" spans="1:19" ht="12.5" hidden="1" x14ac:dyDescent="0.25">
      <c r="A509" s="14" t="str">
        <f>HYPERLINK("https://gerandofalcoes.my.salesforce.com/0014P00003YSp8gQAD", "0014P00003YSp8gQAD")</f>
        <v>0014P00003YSp8gQAD</v>
      </c>
      <c r="B509" s="2" t="s">
        <v>2635</v>
      </c>
      <c r="C509" s="2" t="s">
        <v>1684</v>
      </c>
      <c r="D509" s="2" t="s">
        <v>2</v>
      </c>
      <c r="E509" s="2">
        <v>18</v>
      </c>
      <c r="F509" s="2">
        <v>4</v>
      </c>
      <c r="G509" s="2">
        <v>2</v>
      </c>
      <c r="H509" s="2">
        <v>2000</v>
      </c>
      <c r="I509" s="2">
        <v>70</v>
      </c>
      <c r="J509" s="2" t="s">
        <v>1779</v>
      </c>
      <c r="K509" s="2">
        <v>31</v>
      </c>
      <c r="L509" s="2">
        <v>10</v>
      </c>
      <c r="M509" s="2">
        <v>5</v>
      </c>
      <c r="N509" s="2">
        <v>6</v>
      </c>
      <c r="O509" s="2">
        <v>5</v>
      </c>
      <c r="P509" s="2">
        <v>5</v>
      </c>
      <c r="Q509" s="2" t="s">
        <v>2636</v>
      </c>
      <c r="R509" s="2" t="s">
        <v>2636</v>
      </c>
      <c r="S509" s="4">
        <v>44837</v>
      </c>
    </row>
    <row r="510" spans="1:19" ht="12.5" x14ac:dyDescent="0.25">
      <c r="A510" s="14" t="str">
        <f>HYPERLINK("https://gerandofalcoes.my.salesforce.com/0014X00002VKCrLQAX", "0014X00002VKCrLQAX")</f>
        <v>0014X00002VKCrLQAX</v>
      </c>
      <c r="B510" s="2" t="s">
        <v>2637</v>
      </c>
      <c r="C510" s="2" t="s">
        <v>1800</v>
      </c>
      <c r="D510" s="2" t="s">
        <v>2</v>
      </c>
      <c r="E510" s="2">
        <v>18</v>
      </c>
      <c r="F510" s="2">
        <v>0</v>
      </c>
      <c r="G510" s="2">
        <v>4</v>
      </c>
      <c r="H510" s="2">
        <v>6.5</v>
      </c>
      <c r="I510" s="2">
        <v>45</v>
      </c>
      <c r="J510" s="2" t="s">
        <v>1779</v>
      </c>
      <c r="K510" s="2">
        <v>30</v>
      </c>
      <c r="L510" s="2">
        <v>10</v>
      </c>
      <c r="M510" s="2">
        <v>0</v>
      </c>
      <c r="N510" s="2">
        <v>10</v>
      </c>
      <c r="O510" s="2">
        <v>5</v>
      </c>
      <c r="P510" s="2">
        <v>5</v>
      </c>
      <c r="Q510" s="2" t="s">
        <v>2638</v>
      </c>
      <c r="R510" s="2" t="s">
        <v>2638</v>
      </c>
      <c r="S510" s="4">
        <v>44837</v>
      </c>
    </row>
    <row r="511" spans="1:19" ht="12.5" x14ac:dyDescent="0.25">
      <c r="A511" s="14" t="str">
        <f>HYPERLINK("https://gerandofalcoes.my.salesforce.com/0014X00002OEuauQAD", "0014X00002OEuauQAD")</f>
        <v>0014X00002OEuauQAD</v>
      </c>
      <c r="B511" s="2" t="s">
        <v>2639</v>
      </c>
      <c r="C511" s="2" t="s">
        <v>423</v>
      </c>
      <c r="D511" s="2" t="s">
        <v>2</v>
      </c>
      <c r="E511" s="2">
        <v>18</v>
      </c>
      <c r="F511" s="2">
        <v>2</v>
      </c>
      <c r="G511" s="2">
        <v>2</v>
      </c>
      <c r="H511" s="2">
        <v>5000</v>
      </c>
      <c r="I511" s="2">
        <v>14</v>
      </c>
      <c r="J511" s="2" t="s">
        <v>1779</v>
      </c>
      <c r="K511" s="2">
        <v>31</v>
      </c>
      <c r="L511" s="2">
        <v>10</v>
      </c>
      <c r="M511" s="2">
        <v>5</v>
      </c>
      <c r="N511" s="2">
        <v>6</v>
      </c>
      <c r="O511" s="2">
        <v>5</v>
      </c>
      <c r="P511" s="2">
        <v>5</v>
      </c>
      <c r="Q511" s="2" t="s">
        <v>2640</v>
      </c>
      <c r="R511" s="2" t="s">
        <v>2641</v>
      </c>
      <c r="S511" s="4">
        <v>44837</v>
      </c>
    </row>
    <row r="512" spans="1:19" ht="12.5" x14ac:dyDescent="0.25">
      <c r="A512" s="14" t="str">
        <f>HYPERLINK("https://gerandofalcoes.my.salesforce.com/0014X00002VKCouQAH", "0014X00002VKCouQAH")</f>
        <v>0014X00002VKCouQAH</v>
      </c>
      <c r="B512" s="2" t="s">
        <v>2642</v>
      </c>
      <c r="C512" s="2" t="s">
        <v>1800</v>
      </c>
      <c r="D512" s="2" t="s">
        <v>2</v>
      </c>
      <c r="E512" s="2">
        <v>18</v>
      </c>
      <c r="F512" s="2">
        <v>0</v>
      </c>
      <c r="G512" s="2">
        <v>2</v>
      </c>
      <c r="H512" s="2">
        <v>11000</v>
      </c>
      <c r="I512" s="2">
        <v>0</v>
      </c>
      <c r="J512" s="2" t="s">
        <v>1779</v>
      </c>
      <c r="K512" s="2">
        <v>21</v>
      </c>
      <c r="L512" s="2">
        <v>10</v>
      </c>
      <c r="M512" s="2">
        <v>0</v>
      </c>
      <c r="N512" s="2">
        <v>6</v>
      </c>
      <c r="O512" s="2">
        <v>5</v>
      </c>
      <c r="P512" s="2">
        <v>0</v>
      </c>
      <c r="Q512" s="2" t="s">
        <v>2643</v>
      </c>
      <c r="R512" s="2" t="s">
        <v>2643</v>
      </c>
      <c r="S512" s="4">
        <v>44837</v>
      </c>
    </row>
    <row r="513" spans="1:19" ht="12.5" x14ac:dyDescent="0.25">
      <c r="A513" s="14" t="str">
        <f>HYPERLINK("https://gerandofalcoes.my.salesforce.com/0014P00003YSp8pQAD", "0014P00003YSp8pQAD")</f>
        <v>0014P00003YSp8pQAD</v>
      </c>
      <c r="B513" s="2" t="s">
        <v>2644</v>
      </c>
      <c r="C513" s="2" t="s">
        <v>423</v>
      </c>
      <c r="D513" s="2" t="s">
        <v>2</v>
      </c>
      <c r="E513" s="2">
        <v>18</v>
      </c>
      <c r="F513" s="2">
        <v>0</v>
      </c>
      <c r="G513" s="2">
        <v>2</v>
      </c>
      <c r="H513" s="2">
        <v>3000</v>
      </c>
      <c r="I513" s="2">
        <v>0</v>
      </c>
      <c r="J513" s="2" t="s">
        <v>1779</v>
      </c>
      <c r="K513" s="2">
        <v>21</v>
      </c>
      <c r="L513" s="2">
        <v>10</v>
      </c>
      <c r="M513" s="2">
        <v>0</v>
      </c>
      <c r="N513" s="2">
        <v>6</v>
      </c>
      <c r="O513" s="2">
        <v>5</v>
      </c>
      <c r="P513" s="2">
        <v>0</v>
      </c>
      <c r="Q513" s="2" t="s">
        <v>2645</v>
      </c>
      <c r="R513" s="2" t="s">
        <v>2646</v>
      </c>
      <c r="S513" s="4">
        <v>44837</v>
      </c>
    </row>
    <row r="514" spans="1:19" ht="12.5" x14ac:dyDescent="0.25">
      <c r="A514" s="14" t="str">
        <f>HYPERLINK("https://gerandofalcoes.my.salesforce.com/0014P00003YSpA8QAL", "0014P00003YSpA8QAL")</f>
        <v>0014P00003YSpA8QAL</v>
      </c>
      <c r="B514" s="2" t="s">
        <v>2647</v>
      </c>
      <c r="C514" s="2" t="s">
        <v>1800</v>
      </c>
      <c r="D514" s="2" t="s">
        <v>2</v>
      </c>
      <c r="E514" s="2">
        <v>18</v>
      </c>
      <c r="F514" s="2">
        <v>0</v>
      </c>
      <c r="G514" s="2">
        <v>2</v>
      </c>
      <c r="H514" s="2">
        <v>0</v>
      </c>
      <c r="I514" s="2">
        <v>0</v>
      </c>
      <c r="J514" s="2" t="s">
        <v>1779</v>
      </c>
      <c r="K514" s="2">
        <v>16</v>
      </c>
      <c r="L514" s="2">
        <v>10</v>
      </c>
      <c r="M514" s="2">
        <v>0</v>
      </c>
      <c r="N514" s="2">
        <v>6</v>
      </c>
      <c r="O514" s="2">
        <v>0</v>
      </c>
      <c r="P514" s="2">
        <v>0</v>
      </c>
      <c r="Q514" s="2" t="s">
        <v>2648</v>
      </c>
      <c r="R514" s="2" t="s">
        <v>2648</v>
      </c>
      <c r="S514" s="4">
        <v>44837</v>
      </c>
    </row>
    <row r="515" spans="1:19" ht="12.5" x14ac:dyDescent="0.25">
      <c r="A515" s="14" t="str">
        <f>HYPERLINK("https://gerandofalcoes.my.salesforce.com/0014X00002YkLeFQAV", "0014X00002YkLeFQAV")</f>
        <v>0014X00002YkLeFQAV</v>
      </c>
      <c r="B515" s="2" t="s">
        <v>3829</v>
      </c>
      <c r="C515" s="2" t="s">
        <v>423</v>
      </c>
      <c r="D515" s="2" t="s">
        <v>2</v>
      </c>
      <c r="E515" s="2">
        <v>17.97</v>
      </c>
      <c r="F515" s="2">
        <v>1</v>
      </c>
      <c r="G515" s="2">
        <v>0</v>
      </c>
      <c r="H515" s="2">
        <v>0</v>
      </c>
      <c r="I515" s="2">
        <v>1</v>
      </c>
      <c r="J515" s="2" t="s">
        <v>1779</v>
      </c>
      <c r="K515" s="2">
        <v>20</v>
      </c>
      <c r="L515" s="2">
        <v>10</v>
      </c>
      <c r="M515" s="2">
        <v>5</v>
      </c>
      <c r="N515" s="2">
        <v>0</v>
      </c>
      <c r="O515" s="2">
        <v>0</v>
      </c>
      <c r="P515" s="2">
        <v>5</v>
      </c>
      <c r="Q515" s="2" t="s">
        <v>3830</v>
      </c>
      <c r="R515" s="2" t="s">
        <v>3830</v>
      </c>
      <c r="S515" s="4">
        <v>45015</v>
      </c>
    </row>
    <row r="516" spans="1:19" ht="12.5" x14ac:dyDescent="0.25">
      <c r="A516" s="14" t="str">
        <f>HYPERLINK("https://gerandofalcoes.my.salesforce.com/0014X00002YggiVQAR", "0014X00002YggiVQAR")</f>
        <v>0014X00002YggiVQAR</v>
      </c>
      <c r="B516" s="2" t="s">
        <v>3182</v>
      </c>
      <c r="C516" s="2" t="s">
        <v>423</v>
      </c>
      <c r="D516" s="2" t="s">
        <v>2</v>
      </c>
      <c r="E516" s="2">
        <v>17.91</v>
      </c>
      <c r="F516" s="2">
        <v>10</v>
      </c>
      <c r="G516" s="2">
        <v>2</v>
      </c>
      <c r="H516" s="2">
        <v>8000</v>
      </c>
      <c r="I516" s="2">
        <v>40</v>
      </c>
      <c r="J516" s="2" t="s">
        <v>1779</v>
      </c>
      <c r="K516" s="2">
        <v>36</v>
      </c>
      <c r="L516" s="2">
        <v>10</v>
      </c>
      <c r="M516" s="2">
        <v>10</v>
      </c>
      <c r="N516" s="2">
        <v>6</v>
      </c>
      <c r="O516" s="2">
        <v>5</v>
      </c>
      <c r="P516" s="2">
        <v>5</v>
      </c>
      <c r="Q516" s="2" t="s">
        <v>3183</v>
      </c>
      <c r="R516" s="2" t="s">
        <v>3184</v>
      </c>
      <c r="S516" s="4">
        <v>44951</v>
      </c>
    </row>
    <row r="517" spans="1:19" ht="12.5" x14ac:dyDescent="0.25">
      <c r="A517" s="14" t="str">
        <f>HYPERLINK("https://gerandofalcoes.my.salesforce.com/0014X00002YggjsQAB", "0014X00002YggjsQAB")</f>
        <v>0014X00002YggjsQAB</v>
      </c>
      <c r="B517" s="2" t="s">
        <v>3610</v>
      </c>
      <c r="C517" s="2" t="s">
        <v>423</v>
      </c>
      <c r="D517" s="2" t="s">
        <v>2</v>
      </c>
      <c r="E517" s="2">
        <v>17.89</v>
      </c>
      <c r="F517" s="2">
        <v>10</v>
      </c>
      <c r="G517" s="2">
        <v>2</v>
      </c>
      <c r="H517" s="2">
        <v>40000</v>
      </c>
      <c r="I517" s="2">
        <v>65</v>
      </c>
      <c r="J517" s="2" t="s">
        <v>1671</v>
      </c>
      <c r="K517" s="2">
        <v>41</v>
      </c>
      <c r="L517" s="2">
        <v>10</v>
      </c>
      <c r="M517" s="2">
        <v>10</v>
      </c>
      <c r="N517" s="2">
        <v>6</v>
      </c>
      <c r="O517" s="2">
        <v>10</v>
      </c>
      <c r="P517" s="2">
        <v>5</v>
      </c>
      <c r="Q517" s="2" t="s">
        <v>3611</v>
      </c>
      <c r="R517" s="2" t="s">
        <v>3611</v>
      </c>
      <c r="S517" s="4">
        <v>44963</v>
      </c>
    </row>
    <row r="518" spans="1:19" ht="12.5" x14ac:dyDescent="0.25">
      <c r="A518" s="14" t="str">
        <f>HYPERLINK("https://gerandofalcoes.my.salesforce.com/0014X00002YggpAQAR", "0014X00002YggpAQAR")</f>
        <v>0014X00002YggpAQAR</v>
      </c>
      <c r="B518" s="2" t="s">
        <v>3591</v>
      </c>
      <c r="C518" s="2" t="s">
        <v>423</v>
      </c>
      <c r="D518" s="2" t="s">
        <v>2</v>
      </c>
      <c r="E518" s="2">
        <v>17.55</v>
      </c>
      <c r="F518" s="2">
        <v>17</v>
      </c>
      <c r="G518" s="2">
        <v>5</v>
      </c>
      <c r="H518" s="2">
        <v>586443</v>
      </c>
      <c r="I518" s="2">
        <v>0</v>
      </c>
      <c r="J518" s="2" t="s">
        <v>1671</v>
      </c>
      <c r="K518" s="2">
        <v>52</v>
      </c>
      <c r="L518" s="2">
        <v>10</v>
      </c>
      <c r="M518" s="2">
        <v>12</v>
      </c>
      <c r="N518" s="2">
        <v>10</v>
      </c>
      <c r="O518" s="2">
        <v>20</v>
      </c>
      <c r="P518" s="2">
        <v>0</v>
      </c>
      <c r="Q518" s="2" t="s">
        <v>3592</v>
      </c>
      <c r="R518" s="2" t="s">
        <v>3593</v>
      </c>
      <c r="S518" s="4">
        <v>44962</v>
      </c>
    </row>
    <row r="519" spans="1:19" ht="12.5" x14ac:dyDescent="0.25">
      <c r="A519" s="14" t="str">
        <f>HYPERLINK("https://gerandofalcoes.my.salesforce.com/0014X00002VKCuqQAH", "0014X00002VKCuqQAH")</f>
        <v>0014X00002VKCuqQAH</v>
      </c>
      <c r="B519" s="2" t="s">
        <v>2649</v>
      </c>
      <c r="C519" s="2" t="s">
        <v>423</v>
      </c>
      <c r="D519" s="2" t="s">
        <v>2</v>
      </c>
      <c r="E519" s="2">
        <v>17.440000000000001</v>
      </c>
      <c r="F519" s="2">
        <v>0</v>
      </c>
      <c r="G519" s="2">
        <v>3</v>
      </c>
      <c r="H519" s="2">
        <v>7019</v>
      </c>
      <c r="I519" s="2">
        <v>100</v>
      </c>
      <c r="J519" s="2" t="s">
        <v>1779</v>
      </c>
      <c r="K519" s="2">
        <v>33</v>
      </c>
      <c r="L519" s="2">
        <v>10</v>
      </c>
      <c r="M519" s="2">
        <v>0</v>
      </c>
      <c r="N519" s="2">
        <v>8</v>
      </c>
      <c r="O519" s="2">
        <v>5</v>
      </c>
      <c r="P519" s="2">
        <v>10</v>
      </c>
      <c r="Q519" s="2" t="s">
        <v>2650</v>
      </c>
      <c r="R519" s="2" t="s">
        <v>2650</v>
      </c>
      <c r="S519" s="4">
        <v>44837</v>
      </c>
    </row>
    <row r="520" spans="1:19" ht="12.5" x14ac:dyDescent="0.25">
      <c r="A520" s="14" t="str">
        <f>HYPERLINK("https://gerandofalcoes.my.salesforce.com/0014X00002VKCtWQAX", "0014X00002VKCtWQAX")</f>
        <v>0014X00002VKCtWQAX</v>
      </c>
      <c r="B520" s="2" t="s">
        <v>2651</v>
      </c>
      <c r="C520" s="2" t="s">
        <v>423</v>
      </c>
      <c r="D520" s="2" t="s">
        <v>2</v>
      </c>
      <c r="E520" s="2">
        <v>17.36</v>
      </c>
      <c r="F520" s="2">
        <v>0</v>
      </c>
      <c r="G520" s="2">
        <v>0</v>
      </c>
      <c r="H520" s="2">
        <v>1000</v>
      </c>
      <c r="I520" s="2">
        <v>150</v>
      </c>
      <c r="J520" s="2" t="s">
        <v>1779</v>
      </c>
      <c r="K520" s="2">
        <v>27</v>
      </c>
      <c r="L520" s="2">
        <v>10</v>
      </c>
      <c r="M520" s="2">
        <v>0</v>
      </c>
      <c r="N520" s="2">
        <v>0</v>
      </c>
      <c r="O520" s="2">
        <v>5</v>
      </c>
      <c r="P520" s="2">
        <v>12</v>
      </c>
      <c r="Q520" s="2" t="s">
        <v>2652</v>
      </c>
      <c r="R520" s="2" t="s">
        <v>2653</v>
      </c>
      <c r="S520" s="4">
        <v>44837</v>
      </c>
    </row>
    <row r="521" spans="1:19" ht="12.5" x14ac:dyDescent="0.25">
      <c r="A521" s="14" t="str">
        <f>HYPERLINK("https://gerandofalcoes.my.salesforce.com/0014X00002YgglwQAB", "0014X00002YgglwQAB")</f>
        <v>0014X00002YgglwQAB</v>
      </c>
      <c r="B521" s="2" t="s">
        <v>3416</v>
      </c>
      <c r="C521" s="2" t="s">
        <v>423</v>
      </c>
      <c r="D521" s="2" t="s">
        <v>2</v>
      </c>
      <c r="E521" s="2">
        <v>17.32</v>
      </c>
      <c r="F521" s="2">
        <v>6</v>
      </c>
      <c r="G521" s="2">
        <v>6</v>
      </c>
      <c r="H521" s="2">
        <v>60000</v>
      </c>
      <c r="I521" s="2">
        <v>30</v>
      </c>
      <c r="J521" s="2" t="s">
        <v>1671</v>
      </c>
      <c r="K521" s="2">
        <v>45</v>
      </c>
      <c r="L521" s="2">
        <v>10</v>
      </c>
      <c r="M521" s="2">
        <v>10</v>
      </c>
      <c r="N521" s="2">
        <v>10</v>
      </c>
      <c r="O521" s="2">
        <v>10</v>
      </c>
      <c r="P521" s="2">
        <v>5</v>
      </c>
      <c r="Q521" s="2" t="s">
        <v>3417</v>
      </c>
      <c r="R521" s="2" t="s">
        <v>3418</v>
      </c>
      <c r="S521" s="4">
        <v>44958</v>
      </c>
    </row>
    <row r="522" spans="1:19" ht="12.5" x14ac:dyDescent="0.25">
      <c r="A522" s="14" t="str">
        <f>HYPERLINK("https://gerandofalcoes.my.salesforce.com/0014X00002YggjDQAR", "0014X00002YggjDQAR")</f>
        <v>0014X00002YggjDQAR</v>
      </c>
      <c r="B522" s="2" t="s">
        <v>3419</v>
      </c>
      <c r="C522" s="2" t="s">
        <v>423</v>
      </c>
      <c r="D522" s="2" t="s">
        <v>2</v>
      </c>
      <c r="E522" s="2">
        <v>17.29</v>
      </c>
      <c r="F522" s="2">
        <v>6</v>
      </c>
      <c r="G522" s="2">
        <v>4</v>
      </c>
      <c r="H522" s="2">
        <v>2000</v>
      </c>
      <c r="I522" s="2">
        <v>60</v>
      </c>
      <c r="J522" s="2" t="s">
        <v>1671</v>
      </c>
      <c r="K522" s="2">
        <v>40</v>
      </c>
      <c r="L522" s="2">
        <v>10</v>
      </c>
      <c r="M522" s="2">
        <v>10</v>
      </c>
      <c r="N522" s="2">
        <v>10</v>
      </c>
      <c r="O522" s="2">
        <v>5</v>
      </c>
      <c r="P522" s="2">
        <v>5</v>
      </c>
      <c r="Q522" s="2" t="s">
        <v>3420</v>
      </c>
      <c r="R522" s="2" t="s">
        <v>3420</v>
      </c>
      <c r="S522" s="4">
        <v>44958</v>
      </c>
    </row>
    <row r="523" spans="1:19" ht="12.5" x14ac:dyDescent="0.25">
      <c r="A523" s="14" t="str">
        <f>HYPERLINK("https://gerandofalcoes.my.salesforce.com/0014X00002YggonQAB", "0014X00002YggonQAB")</f>
        <v>0014X00002YggonQAB</v>
      </c>
      <c r="B523" s="2" t="s">
        <v>3705</v>
      </c>
      <c r="C523" s="2" t="s">
        <v>423</v>
      </c>
      <c r="D523" s="2" t="s">
        <v>2</v>
      </c>
      <c r="E523" s="2">
        <v>17.29</v>
      </c>
      <c r="F523" s="2">
        <v>0</v>
      </c>
      <c r="G523" s="2">
        <v>2</v>
      </c>
      <c r="H523" s="2">
        <v>0</v>
      </c>
      <c r="I523" s="2">
        <v>10</v>
      </c>
      <c r="J523" s="2" t="s">
        <v>1779</v>
      </c>
      <c r="K523" s="2">
        <v>21</v>
      </c>
      <c r="L523" s="2">
        <v>10</v>
      </c>
      <c r="M523" s="2">
        <v>0</v>
      </c>
      <c r="N523" s="2">
        <v>6</v>
      </c>
      <c r="O523" s="2">
        <v>0</v>
      </c>
      <c r="P523" s="2">
        <v>5</v>
      </c>
      <c r="Q523" s="2" t="s">
        <v>3706</v>
      </c>
      <c r="R523" s="2" t="s">
        <v>3706</v>
      </c>
      <c r="S523" s="4">
        <v>44967</v>
      </c>
    </row>
    <row r="524" spans="1:19" ht="12.5" x14ac:dyDescent="0.25">
      <c r="A524" s="14" t="str">
        <f>HYPERLINK("https://gerandofalcoes.my.salesforce.com/0014X00002Yggp7QAB", "0014X00002Yggp7QAB")</f>
        <v>0014X00002Yggp7QAB</v>
      </c>
      <c r="B524" s="2" t="s">
        <v>3250</v>
      </c>
      <c r="C524" s="2" t="s">
        <v>423</v>
      </c>
      <c r="D524" s="2" t="s">
        <v>2</v>
      </c>
      <c r="E524" s="2">
        <v>17.11</v>
      </c>
      <c r="F524" s="2">
        <v>0</v>
      </c>
      <c r="G524" s="2">
        <v>3</v>
      </c>
      <c r="H524" s="2">
        <v>45500</v>
      </c>
      <c r="I524" s="2">
        <v>500</v>
      </c>
      <c r="J524" s="2" t="s">
        <v>1671</v>
      </c>
      <c r="K524" s="2">
        <v>48</v>
      </c>
      <c r="L524" s="2">
        <v>10</v>
      </c>
      <c r="M524" s="2">
        <v>0</v>
      </c>
      <c r="N524" s="2">
        <v>8</v>
      </c>
      <c r="O524" s="2">
        <v>10</v>
      </c>
      <c r="P524" s="2">
        <v>20</v>
      </c>
      <c r="Q524" s="2" t="s">
        <v>3251</v>
      </c>
      <c r="R524" s="2" t="s">
        <v>3252</v>
      </c>
      <c r="S524" s="4">
        <v>44952</v>
      </c>
    </row>
    <row r="525" spans="1:19" ht="12.5" x14ac:dyDescent="0.25">
      <c r="A525" s="14" t="str">
        <f>HYPERLINK("https://gerandofalcoes.my.salesforce.com/0014X00002UGqWjQAL", "0014X00002UGqWjQAL")</f>
        <v>0014X00002UGqWjQAL</v>
      </c>
      <c r="B525" s="2" t="s">
        <v>2654</v>
      </c>
      <c r="C525" s="2" t="s">
        <v>423</v>
      </c>
      <c r="D525" s="2" t="s">
        <v>2</v>
      </c>
      <c r="E525" s="2">
        <v>17</v>
      </c>
      <c r="F525" s="2">
        <v>0</v>
      </c>
      <c r="G525" s="2">
        <v>2</v>
      </c>
      <c r="H525" s="2">
        <v>2000</v>
      </c>
      <c r="I525" s="2">
        <v>150</v>
      </c>
      <c r="J525" s="2" t="s">
        <v>1779</v>
      </c>
      <c r="K525" s="2">
        <v>33</v>
      </c>
      <c r="L525" s="2">
        <v>10</v>
      </c>
      <c r="M525" s="2">
        <v>0</v>
      </c>
      <c r="N525" s="2">
        <v>6</v>
      </c>
      <c r="O525" s="2">
        <v>5</v>
      </c>
      <c r="P525" s="2">
        <v>12</v>
      </c>
      <c r="Q525" s="2" t="s">
        <v>2655</v>
      </c>
      <c r="R525" s="2" t="s">
        <v>2656</v>
      </c>
      <c r="S525" s="4">
        <v>44837</v>
      </c>
    </row>
    <row r="526" spans="1:19" ht="12.5" x14ac:dyDescent="0.25">
      <c r="A526" s="14" t="str">
        <f>HYPERLINK("https://gerandofalcoes.my.salesforce.com/0014X00002VKCsGQAX", "0014X00002VKCsGQAX")</f>
        <v>0014X00002VKCsGQAX</v>
      </c>
      <c r="B526" s="2" t="s">
        <v>2657</v>
      </c>
      <c r="C526" s="2" t="s">
        <v>423</v>
      </c>
      <c r="D526" s="2" t="s">
        <v>2</v>
      </c>
      <c r="E526" s="2">
        <v>17</v>
      </c>
      <c r="F526" s="2">
        <v>0</v>
      </c>
      <c r="G526" s="2">
        <v>2</v>
      </c>
      <c r="H526" s="2">
        <v>50</v>
      </c>
      <c r="I526" s="2">
        <v>100</v>
      </c>
      <c r="J526" s="2" t="s">
        <v>1779</v>
      </c>
      <c r="K526" s="2">
        <v>31</v>
      </c>
      <c r="L526" s="2">
        <v>10</v>
      </c>
      <c r="M526" s="2">
        <v>0</v>
      </c>
      <c r="N526" s="2">
        <v>6</v>
      </c>
      <c r="O526" s="2">
        <v>5</v>
      </c>
      <c r="P526" s="2">
        <v>10</v>
      </c>
      <c r="Q526" s="2" t="s">
        <v>2658</v>
      </c>
      <c r="R526" s="2" t="s">
        <v>2659</v>
      </c>
      <c r="S526" s="4">
        <v>44837</v>
      </c>
    </row>
    <row r="527" spans="1:19" ht="12.5" x14ac:dyDescent="0.25">
      <c r="A527" s="14" t="str">
        <f>HYPERLINK("https://gerandofalcoes.my.salesforce.com/0014X00002VKCpMQAX", "0014X00002VKCpMQAX")</f>
        <v>0014X00002VKCpMQAX</v>
      </c>
      <c r="B527" s="2" t="s">
        <v>2660</v>
      </c>
      <c r="C527" s="2" t="s">
        <v>1800</v>
      </c>
      <c r="D527" s="2" t="s">
        <v>2</v>
      </c>
      <c r="E527" s="2">
        <v>17</v>
      </c>
      <c r="F527" s="2">
        <v>0</v>
      </c>
      <c r="G527" s="2">
        <v>2</v>
      </c>
      <c r="H527" s="2">
        <v>6000</v>
      </c>
      <c r="I527" s="2">
        <v>90</v>
      </c>
      <c r="J527" s="2" t="s">
        <v>1779</v>
      </c>
      <c r="K527" s="2">
        <v>31</v>
      </c>
      <c r="L527" s="2">
        <v>10</v>
      </c>
      <c r="M527" s="2">
        <v>0</v>
      </c>
      <c r="N527" s="2">
        <v>6</v>
      </c>
      <c r="O527" s="2">
        <v>5</v>
      </c>
      <c r="P527" s="2">
        <v>10</v>
      </c>
      <c r="Q527" s="2" t="s">
        <v>2661</v>
      </c>
      <c r="R527" s="2" t="s">
        <v>2661</v>
      </c>
      <c r="S527" s="4">
        <v>44837</v>
      </c>
    </row>
    <row r="528" spans="1:19" ht="12.5" x14ac:dyDescent="0.25">
      <c r="A528" s="14" t="str">
        <f>HYPERLINK("https://gerandofalcoes.my.salesforce.com/0014X00002QTWZVQA5", "0014X00002QTWZVQA5")</f>
        <v>0014X00002QTWZVQA5</v>
      </c>
      <c r="B528" s="2" t="s">
        <v>2662</v>
      </c>
      <c r="C528" s="2" t="s">
        <v>1800</v>
      </c>
      <c r="D528" s="2" t="s">
        <v>2</v>
      </c>
      <c r="E528" s="2">
        <v>17</v>
      </c>
      <c r="F528" s="2">
        <v>4</v>
      </c>
      <c r="G528" s="2">
        <v>3</v>
      </c>
      <c r="H528" s="2">
        <v>69000</v>
      </c>
      <c r="I528" s="2">
        <v>35</v>
      </c>
      <c r="J528" s="2" t="s">
        <v>1779</v>
      </c>
      <c r="K528" s="2">
        <v>38</v>
      </c>
      <c r="L528" s="2">
        <v>10</v>
      </c>
      <c r="M528" s="2">
        <v>5</v>
      </c>
      <c r="N528" s="2">
        <v>8</v>
      </c>
      <c r="O528" s="2">
        <v>10</v>
      </c>
      <c r="P528" s="2">
        <v>5</v>
      </c>
      <c r="Q528" s="2" t="s">
        <v>2663</v>
      </c>
      <c r="R528" s="2" t="s">
        <v>2664</v>
      </c>
      <c r="S528" s="4">
        <v>44837</v>
      </c>
    </row>
    <row r="529" spans="1:19" ht="12.5" x14ac:dyDescent="0.25">
      <c r="A529" s="14" t="str">
        <f>HYPERLINK("https://gerandofalcoes.my.salesforce.com/0014X00002VKCrgQAH", "0014X00002VKCrgQAH")</f>
        <v>0014X00002VKCrgQAH</v>
      </c>
      <c r="B529" s="2" t="s">
        <v>3831</v>
      </c>
      <c r="C529" s="2" t="s">
        <v>423</v>
      </c>
      <c r="D529" s="2" t="s">
        <v>2</v>
      </c>
      <c r="E529" s="2">
        <v>17</v>
      </c>
      <c r="F529" s="2">
        <v>0</v>
      </c>
      <c r="G529" s="2">
        <v>1</v>
      </c>
      <c r="H529" s="2">
        <v>0</v>
      </c>
      <c r="I529" s="2">
        <v>22</v>
      </c>
      <c r="J529" s="2" t="s">
        <v>1779</v>
      </c>
      <c r="K529" s="2">
        <v>19</v>
      </c>
      <c r="L529" s="2">
        <v>10</v>
      </c>
      <c r="M529" s="2">
        <v>0</v>
      </c>
      <c r="N529" s="2">
        <v>4</v>
      </c>
      <c r="O529" s="2">
        <v>0</v>
      </c>
      <c r="P529" s="2">
        <v>5</v>
      </c>
      <c r="Q529" s="2" t="s">
        <v>3832</v>
      </c>
      <c r="R529" s="2" t="s">
        <v>3832</v>
      </c>
      <c r="S529" s="4">
        <v>45015</v>
      </c>
    </row>
    <row r="530" spans="1:19" ht="12.5" x14ac:dyDescent="0.25">
      <c r="A530" s="14" t="str">
        <f>HYPERLINK("https://gerandofalcoes.my.salesforce.com/0014X00002VKCtVQAX", "0014X00002VKCtVQAX")</f>
        <v>0014X00002VKCtVQAX</v>
      </c>
      <c r="B530" s="2" t="s">
        <v>2665</v>
      </c>
      <c r="C530" s="2" t="s">
        <v>1800</v>
      </c>
      <c r="D530" s="2" t="s">
        <v>2</v>
      </c>
      <c r="E530" s="2">
        <v>17</v>
      </c>
      <c r="F530" s="2">
        <v>8</v>
      </c>
      <c r="G530" s="2">
        <v>2</v>
      </c>
      <c r="H530" s="2">
        <v>8000</v>
      </c>
      <c r="I530" s="2">
        <v>16</v>
      </c>
      <c r="J530" s="2" t="s">
        <v>1779</v>
      </c>
      <c r="K530" s="2">
        <v>36</v>
      </c>
      <c r="L530" s="2">
        <v>10</v>
      </c>
      <c r="M530" s="2">
        <v>10</v>
      </c>
      <c r="N530" s="2">
        <v>6</v>
      </c>
      <c r="O530" s="2">
        <v>5</v>
      </c>
      <c r="P530" s="2">
        <v>5</v>
      </c>
      <c r="Q530" s="2" t="s">
        <v>2666</v>
      </c>
      <c r="R530" s="2" t="s">
        <v>2666</v>
      </c>
      <c r="S530" s="4">
        <v>44837</v>
      </c>
    </row>
    <row r="531" spans="1:19" ht="12.5" x14ac:dyDescent="0.25">
      <c r="A531" s="14" t="str">
        <f>HYPERLINK("https://gerandofalcoes.my.salesforce.com/0014X00002VKCslQAH", "0014X00002VKCslQAH")</f>
        <v>0014X00002VKCslQAH</v>
      </c>
      <c r="B531" s="2" t="s">
        <v>2667</v>
      </c>
      <c r="C531" s="2" t="s">
        <v>423</v>
      </c>
      <c r="D531" s="2" t="s">
        <v>2</v>
      </c>
      <c r="E531" s="2">
        <v>17</v>
      </c>
      <c r="F531" s="2">
        <v>0</v>
      </c>
      <c r="G531" s="2">
        <v>2</v>
      </c>
      <c r="H531" s="2">
        <v>18000</v>
      </c>
      <c r="I531" s="2">
        <v>10</v>
      </c>
      <c r="J531" s="2" t="s">
        <v>1779</v>
      </c>
      <c r="K531" s="2">
        <v>26</v>
      </c>
      <c r="L531" s="2">
        <v>10</v>
      </c>
      <c r="M531" s="2">
        <v>0</v>
      </c>
      <c r="N531" s="2">
        <v>6</v>
      </c>
      <c r="O531" s="2">
        <v>5</v>
      </c>
      <c r="P531" s="2">
        <v>5</v>
      </c>
      <c r="Q531" s="2" t="s">
        <v>2668</v>
      </c>
      <c r="R531" s="2" t="s">
        <v>2669</v>
      </c>
      <c r="S531" s="4">
        <v>44837</v>
      </c>
    </row>
    <row r="532" spans="1:19" ht="12.5" x14ac:dyDescent="0.25">
      <c r="A532" s="14" t="str">
        <f>HYPERLINK("https://gerandofalcoes.my.salesforce.com/0014X00002VKCsNQAX", "0014X00002VKCsNQAX")</f>
        <v>0014X00002VKCsNQAX</v>
      </c>
      <c r="B532" s="2" t="s">
        <v>3901</v>
      </c>
      <c r="C532" s="2" t="s">
        <v>1800</v>
      </c>
      <c r="D532" s="2" t="s">
        <v>2</v>
      </c>
      <c r="E532" s="2">
        <v>17</v>
      </c>
      <c r="F532" s="2">
        <v>0</v>
      </c>
      <c r="G532" s="2">
        <v>0</v>
      </c>
      <c r="H532" s="2">
        <v>0</v>
      </c>
      <c r="I532" s="2">
        <v>0</v>
      </c>
      <c r="J532" s="2"/>
      <c r="K532" s="2">
        <v>10</v>
      </c>
      <c r="L532" s="2">
        <v>10</v>
      </c>
      <c r="M532" s="2">
        <v>0</v>
      </c>
      <c r="N532" s="2">
        <v>0</v>
      </c>
      <c r="O532" s="2">
        <v>0</v>
      </c>
      <c r="P532" s="2">
        <v>0</v>
      </c>
      <c r="Q532" s="2" t="s">
        <v>3902</v>
      </c>
      <c r="R532" s="2" t="s">
        <v>3903</v>
      </c>
      <c r="S532" s="4">
        <v>45169</v>
      </c>
    </row>
    <row r="533" spans="1:19" ht="12.5" hidden="1" x14ac:dyDescent="0.25">
      <c r="A533" s="14" t="str">
        <f>HYPERLINK("https://gerandofalcoes.my.salesforce.com/0014X00002VKCrIQAX", "0014X00002VKCrIQAX")</f>
        <v>0014X00002VKCrIQAX</v>
      </c>
      <c r="B533" s="2" t="s">
        <v>2670</v>
      </c>
      <c r="C533" s="2" t="s">
        <v>1684</v>
      </c>
      <c r="D533" s="2" t="s">
        <v>2</v>
      </c>
      <c r="E533" s="2">
        <v>17</v>
      </c>
      <c r="F533" s="2">
        <v>0</v>
      </c>
      <c r="G533" s="2">
        <v>2</v>
      </c>
      <c r="H533" s="2">
        <v>1</v>
      </c>
      <c r="I533" s="2">
        <v>0</v>
      </c>
      <c r="J533" s="2" t="s">
        <v>1779</v>
      </c>
      <c r="K533" s="2">
        <v>21</v>
      </c>
      <c r="L533" s="2">
        <v>10</v>
      </c>
      <c r="M533" s="2">
        <v>0</v>
      </c>
      <c r="N533" s="2">
        <v>6</v>
      </c>
      <c r="O533" s="2">
        <v>5</v>
      </c>
      <c r="P533" s="2">
        <v>0</v>
      </c>
      <c r="Q533" s="2" t="s">
        <v>2671</v>
      </c>
      <c r="R533" s="2" t="s">
        <v>2671</v>
      </c>
      <c r="S533" s="4">
        <v>44837</v>
      </c>
    </row>
    <row r="534" spans="1:19" ht="12.5" x14ac:dyDescent="0.25">
      <c r="A534" s="14" t="str">
        <f>HYPERLINK("https://gerandofalcoes.my.salesforce.com/0014X00002VKCtJQAX", "0014X00002VKCtJQAX")</f>
        <v>0014X00002VKCtJQAX</v>
      </c>
      <c r="B534" s="2" t="s">
        <v>2672</v>
      </c>
      <c r="C534" s="2" t="s">
        <v>423</v>
      </c>
      <c r="D534" s="2" t="s">
        <v>2</v>
      </c>
      <c r="E534" s="2">
        <v>17</v>
      </c>
      <c r="F534" s="2">
        <v>0</v>
      </c>
      <c r="G534" s="2">
        <v>3</v>
      </c>
      <c r="H534" s="2">
        <v>0</v>
      </c>
      <c r="I534" s="2">
        <v>0</v>
      </c>
      <c r="J534" s="2" t="s">
        <v>1779</v>
      </c>
      <c r="K534" s="2">
        <v>18</v>
      </c>
      <c r="L534" s="2">
        <v>10</v>
      </c>
      <c r="M534" s="2">
        <v>0</v>
      </c>
      <c r="N534" s="2">
        <v>8</v>
      </c>
      <c r="O534" s="2">
        <v>0</v>
      </c>
      <c r="P534" s="2">
        <v>0</v>
      </c>
      <c r="Q534" s="2" t="s">
        <v>2673</v>
      </c>
      <c r="R534" s="2" t="s">
        <v>2674</v>
      </c>
      <c r="S534" s="4">
        <v>44837</v>
      </c>
    </row>
    <row r="535" spans="1:19" ht="12.5" x14ac:dyDescent="0.25">
      <c r="A535" s="14" t="str">
        <f>HYPERLINK("https://gerandofalcoes.my.salesforce.com/0014X00002VKCuVQAX", "0014X00002VKCuVQAX")</f>
        <v>0014X00002VKCuVQAX</v>
      </c>
      <c r="B535" s="2" t="s">
        <v>2675</v>
      </c>
      <c r="C535" s="2" t="s">
        <v>1800</v>
      </c>
      <c r="D535" s="2" t="s">
        <v>2</v>
      </c>
      <c r="E535" s="2">
        <v>17</v>
      </c>
      <c r="F535" s="2">
        <v>0</v>
      </c>
      <c r="G535" s="2">
        <v>2</v>
      </c>
      <c r="H535" s="2">
        <v>12000</v>
      </c>
      <c r="I535" s="2">
        <v>0</v>
      </c>
      <c r="J535" s="2" t="s">
        <v>1779</v>
      </c>
      <c r="K535" s="2">
        <v>21</v>
      </c>
      <c r="L535" s="2">
        <v>10</v>
      </c>
      <c r="M535" s="2">
        <v>0</v>
      </c>
      <c r="N535" s="2">
        <v>6</v>
      </c>
      <c r="O535" s="2">
        <v>5</v>
      </c>
      <c r="P535" s="2">
        <v>0</v>
      </c>
      <c r="Q535" s="2" t="s">
        <v>2676</v>
      </c>
      <c r="R535" s="2" t="s">
        <v>2676</v>
      </c>
      <c r="S535" s="4">
        <v>44837</v>
      </c>
    </row>
    <row r="536" spans="1:19" ht="12.5" x14ac:dyDescent="0.25">
      <c r="A536" s="14" t="str">
        <f>HYPERLINK("https://gerandofalcoes.my.salesforce.com/0014X00002VKD06QAH", "0014X00002VKD06QAH")</f>
        <v>0014X00002VKD06QAH</v>
      </c>
      <c r="B536" s="2" t="s">
        <v>2677</v>
      </c>
      <c r="C536" s="2" t="s">
        <v>423</v>
      </c>
      <c r="D536" s="2" t="s">
        <v>2</v>
      </c>
      <c r="E536" s="2">
        <v>16.739999999999998</v>
      </c>
      <c r="F536" s="2">
        <v>17</v>
      </c>
      <c r="G536" s="2">
        <v>4</v>
      </c>
      <c r="H536" s="2">
        <v>56138481</v>
      </c>
      <c r="I536" s="2">
        <v>74</v>
      </c>
      <c r="J536" s="2" t="s">
        <v>1671</v>
      </c>
      <c r="K536" s="2">
        <v>62</v>
      </c>
      <c r="L536" s="2">
        <v>10</v>
      </c>
      <c r="M536" s="2">
        <v>12</v>
      </c>
      <c r="N536" s="2">
        <v>10</v>
      </c>
      <c r="O536" s="2">
        <v>25</v>
      </c>
      <c r="P536" s="2">
        <v>5</v>
      </c>
      <c r="Q536" s="2" t="s">
        <v>2678</v>
      </c>
      <c r="R536" s="2" t="s">
        <v>2679</v>
      </c>
      <c r="S536" s="4">
        <v>44837</v>
      </c>
    </row>
    <row r="537" spans="1:19" ht="12.5" hidden="1" x14ac:dyDescent="0.25">
      <c r="A537" s="14" t="str">
        <f>HYPERLINK("https://gerandofalcoes.my.salesforce.com/0014X00002YggkaQAB", "0014X00002YggkaQAB")</f>
        <v>0014X00002YggkaQAB</v>
      </c>
      <c r="B537" s="2" t="s">
        <v>3253</v>
      </c>
      <c r="C537" s="2" t="s">
        <v>1684</v>
      </c>
      <c r="D537" s="2" t="s">
        <v>2</v>
      </c>
      <c r="E537" s="2">
        <v>16.440000000000001</v>
      </c>
      <c r="F537" s="2">
        <v>0</v>
      </c>
      <c r="G537" s="2">
        <v>2</v>
      </c>
      <c r="H537" s="2">
        <v>0</v>
      </c>
      <c r="I537" s="2">
        <v>40</v>
      </c>
      <c r="J537" s="2" t="s">
        <v>1779</v>
      </c>
      <c r="K537" s="2">
        <v>21</v>
      </c>
      <c r="L537" s="2">
        <v>10</v>
      </c>
      <c r="M537" s="2">
        <v>0</v>
      </c>
      <c r="N537" s="2">
        <v>6</v>
      </c>
      <c r="O537" s="2">
        <v>0</v>
      </c>
      <c r="P537" s="2">
        <v>5</v>
      </c>
      <c r="Q537" s="2" t="s">
        <v>3254</v>
      </c>
      <c r="R537" s="2" t="s">
        <v>3254</v>
      </c>
      <c r="S537" s="4">
        <v>44952</v>
      </c>
    </row>
    <row r="538" spans="1:19" ht="12.5" x14ac:dyDescent="0.25">
      <c r="A538" s="14" t="str">
        <f>HYPERLINK("https://gerandofalcoes.my.salesforce.com/0014P00003YSp7iQAD", "0014P00003YSp7iQAD")</f>
        <v>0014P00003YSp7iQAD</v>
      </c>
      <c r="B538" s="2" t="s">
        <v>2680</v>
      </c>
      <c r="C538" s="2" t="s">
        <v>423</v>
      </c>
      <c r="D538" s="2" t="s">
        <v>2</v>
      </c>
      <c r="E538" s="2">
        <v>16.309999999999999</v>
      </c>
      <c r="F538" s="2">
        <v>0</v>
      </c>
      <c r="G538" s="2">
        <v>1</v>
      </c>
      <c r="H538" s="2">
        <v>2000</v>
      </c>
      <c r="I538" s="2">
        <v>300</v>
      </c>
      <c r="J538" s="2" t="s">
        <v>1779</v>
      </c>
      <c r="K538" s="2">
        <v>34</v>
      </c>
      <c r="L538" s="2">
        <v>10</v>
      </c>
      <c r="M538" s="2">
        <v>0</v>
      </c>
      <c r="N538" s="2">
        <v>4</v>
      </c>
      <c r="O538" s="2">
        <v>5</v>
      </c>
      <c r="P538" s="2">
        <v>15</v>
      </c>
      <c r="Q538" s="2" t="s">
        <v>2681</v>
      </c>
      <c r="R538" s="2" t="s">
        <v>2682</v>
      </c>
      <c r="S538" s="4">
        <v>44837</v>
      </c>
    </row>
    <row r="539" spans="1:19" ht="12.5" x14ac:dyDescent="0.25">
      <c r="A539" s="14" t="str">
        <f>HYPERLINK("https://gerandofalcoes.my.salesforce.com/0014X00002VKCqjQAH", "0014X00002VKCqjQAH")</f>
        <v>0014X00002VKCqjQAH</v>
      </c>
      <c r="B539" s="2" t="s">
        <v>2683</v>
      </c>
      <c r="C539" s="2" t="s">
        <v>423</v>
      </c>
      <c r="D539" s="2" t="s">
        <v>2</v>
      </c>
      <c r="E539" s="2">
        <v>16.13</v>
      </c>
      <c r="F539" s="2">
        <v>0</v>
      </c>
      <c r="G539" s="2">
        <v>3</v>
      </c>
      <c r="H539" s="2">
        <v>8000</v>
      </c>
      <c r="I539" s="2">
        <v>200</v>
      </c>
      <c r="J539" s="2" t="s">
        <v>1779</v>
      </c>
      <c r="K539" s="2">
        <v>35</v>
      </c>
      <c r="L539" s="2">
        <v>10</v>
      </c>
      <c r="M539" s="2">
        <v>0</v>
      </c>
      <c r="N539" s="2">
        <v>8</v>
      </c>
      <c r="O539" s="2">
        <v>5</v>
      </c>
      <c r="P539" s="2">
        <v>12</v>
      </c>
      <c r="Q539" s="2" t="s">
        <v>2684</v>
      </c>
      <c r="R539" s="2" t="s">
        <v>2685</v>
      </c>
      <c r="S539" s="4">
        <v>44837</v>
      </c>
    </row>
    <row r="540" spans="1:19" ht="12.5" x14ac:dyDescent="0.25">
      <c r="A540" s="14" t="str">
        <f>HYPERLINK("https://gerandofalcoes.my.salesforce.com/0014X00002Yggr1QAB", "0014X00002Yggr1QAB")</f>
        <v>0014X00002Yggr1QAB</v>
      </c>
      <c r="B540" s="2" t="s">
        <v>3002</v>
      </c>
      <c r="C540" s="2" t="s">
        <v>423</v>
      </c>
      <c r="D540" s="2" t="s">
        <v>2</v>
      </c>
      <c r="E540" s="2">
        <v>16.079999999999998</v>
      </c>
      <c r="F540" s="2">
        <v>24</v>
      </c>
      <c r="G540" s="2">
        <v>5</v>
      </c>
      <c r="H540" s="2">
        <v>35000</v>
      </c>
      <c r="I540" s="2">
        <v>85</v>
      </c>
      <c r="J540" s="2" t="s">
        <v>1671</v>
      </c>
      <c r="K540" s="2">
        <v>52</v>
      </c>
      <c r="L540" s="2">
        <v>10</v>
      </c>
      <c r="M540" s="2">
        <v>12</v>
      </c>
      <c r="N540" s="2">
        <v>10</v>
      </c>
      <c r="O540" s="2">
        <v>10</v>
      </c>
      <c r="P540" s="2">
        <v>10</v>
      </c>
      <c r="Q540" s="2" t="s">
        <v>3003</v>
      </c>
      <c r="R540" s="2" t="s">
        <v>3004</v>
      </c>
      <c r="S540" s="4">
        <v>44944</v>
      </c>
    </row>
    <row r="541" spans="1:19" ht="12.5" x14ac:dyDescent="0.25">
      <c r="A541" s="14" t="str">
        <f>HYPERLINK("https://gerandofalcoes.my.salesforce.com/0014P00003YSp8wQAD", "0014P00003YSp8wQAD")</f>
        <v>0014P00003YSp8wQAD</v>
      </c>
      <c r="B541" s="2" t="s">
        <v>2686</v>
      </c>
      <c r="C541" s="2" t="s">
        <v>423</v>
      </c>
      <c r="D541" s="2" t="s">
        <v>2</v>
      </c>
      <c r="E541" s="2">
        <v>16</v>
      </c>
      <c r="F541" s="2">
        <v>8</v>
      </c>
      <c r="G541" s="2">
        <v>2</v>
      </c>
      <c r="H541" s="2">
        <v>55000</v>
      </c>
      <c r="I541" s="2">
        <v>3000</v>
      </c>
      <c r="J541" s="2" t="s">
        <v>1671</v>
      </c>
      <c r="K541" s="2">
        <v>56</v>
      </c>
      <c r="L541" s="2">
        <v>10</v>
      </c>
      <c r="M541" s="2">
        <v>10</v>
      </c>
      <c r="N541" s="2">
        <v>6</v>
      </c>
      <c r="O541" s="2">
        <v>10</v>
      </c>
      <c r="P541" s="2">
        <v>20</v>
      </c>
      <c r="Q541" s="2" t="s">
        <v>2687</v>
      </c>
      <c r="R541" s="2" t="s">
        <v>2688</v>
      </c>
      <c r="S541" s="4">
        <v>44837</v>
      </c>
    </row>
    <row r="542" spans="1:19" ht="12.5" x14ac:dyDescent="0.25">
      <c r="A542" s="14" t="str">
        <f>HYPERLINK("https://gerandofalcoes.my.salesforce.com/0014X00002VKCpcQAH", "0014X00002VKCpcQAH")</f>
        <v>0014X00002VKCpcQAH</v>
      </c>
      <c r="B542" s="2" t="s">
        <v>2689</v>
      </c>
      <c r="C542" s="2" t="s">
        <v>1800</v>
      </c>
      <c r="D542" s="2" t="s">
        <v>2</v>
      </c>
      <c r="E542" s="2">
        <v>16</v>
      </c>
      <c r="F542" s="2">
        <v>0</v>
      </c>
      <c r="G542" s="2">
        <v>2</v>
      </c>
      <c r="H542" s="2">
        <v>98000</v>
      </c>
      <c r="I542" s="2">
        <v>20</v>
      </c>
      <c r="J542" s="2" t="s">
        <v>1779</v>
      </c>
      <c r="K542" s="2">
        <v>31</v>
      </c>
      <c r="L542" s="2">
        <v>10</v>
      </c>
      <c r="M542" s="2">
        <v>0</v>
      </c>
      <c r="N542" s="2">
        <v>6</v>
      </c>
      <c r="O542" s="2">
        <v>10</v>
      </c>
      <c r="P542" s="2">
        <v>5</v>
      </c>
      <c r="Q542" s="2" t="s">
        <v>2690</v>
      </c>
      <c r="R542" s="2" t="s">
        <v>2690</v>
      </c>
      <c r="S542" s="4">
        <v>44837</v>
      </c>
    </row>
    <row r="543" spans="1:19" ht="12.5" hidden="1" x14ac:dyDescent="0.25">
      <c r="A543" s="14" t="str">
        <f>HYPERLINK("https://gerandofalcoes.my.salesforce.com/0014P00003YSp9dQAD", "0014P00003YSp9dQAD")</f>
        <v>0014P00003YSp9dQAD</v>
      </c>
      <c r="B543" s="2" t="s">
        <v>2691</v>
      </c>
      <c r="C543" s="2" t="s">
        <v>1684</v>
      </c>
      <c r="D543" s="2" t="s">
        <v>2</v>
      </c>
      <c r="E543" s="2">
        <v>16</v>
      </c>
      <c r="F543" s="2">
        <v>0</v>
      </c>
      <c r="G543" s="2">
        <v>2</v>
      </c>
      <c r="H543" s="2">
        <v>10000</v>
      </c>
      <c r="I543" s="2">
        <v>0</v>
      </c>
      <c r="J543" s="2" t="s">
        <v>1779</v>
      </c>
      <c r="K543" s="2">
        <v>21</v>
      </c>
      <c r="L543" s="2">
        <v>10</v>
      </c>
      <c r="M543" s="2">
        <v>0</v>
      </c>
      <c r="N543" s="2">
        <v>6</v>
      </c>
      <c r="O543" s="2">
        <v>5</v>
      </c>
      <c r="P543" s="2">
        <v>0</v>
      </c>
      <c r="Q543" s="2" t="s">
        <v>2692</v>
      </c>
      <c r="R543" s="2" t="s">
        <v>2693</v>
      </c>
      <c r="S543" s="4">
        <v>44837</v>
      </c>
    </row>
    <row r="544" spans="1:19" ht="12.5" x14ac:dyDescent="0.25">
      <c r="A544" s="14" t="str">
        <f>HYPERLINK("https://gerandofalcoes.my.salesforce.com/0014P00003YSp7OQAT", "0014P00003YSp7OQAT")</f>
        <v>0014P00003YSp7OQAT</v>
      </c>
      <c r="B544" s="2" t="s">
        <v>2694</v>
      </c>
      <c r="C544" s="2" t="s">
        <v>423</v>
      </c>
      <c r="D544" s="2" t="s">
        <v>2</v>
      </c>
      <c r="E544" s="2">
        <v>15.95</v>
      </c>
      <c r="F544" s="2">
        <v>5</v>
      </c>
      <c r="G544" s="2">
        <v>1</v>
      </c>
      <c r="H544" s="2">
        <v>20785</v>
      </c>
      <c r="I544" s="2">
        <v>20</v>
      </c>
      <c r="J544" s="2" t="s">
        <v>1779</v>
      </c>
      <c r="K544" s="2">
        <v>29</v>
      </c>
      <c r="L544" s="2">
        <v>10</v>
      </c>
      <c r="M544" s="2">
        <v>5</v>
      </c>
      <c r="N544" s="2">
        <v>4</v>
      </c>
      <c r="O544" s="2">
        <v>5</v>
      </c>
      <c r="P544" s="2">
        <v>5</v>
      </c>
      <c r="Q544" s="2" t="s">
        <v>2695</v>
      </c>
      <c r="R544" s="2" t="s">
        <v>2696</v>
      </c>
      <c r="S544" s="4">
        <v>44837</v>
      </c>
    </row>
    <row r="545" spans="1:19" ht="12.5" x14ac:dyDescent="0.25">
      <c r="A545" s="14" t="str">
        <f>HYPERLINK("https://gerandofalcoes.my.salesforce.com/0014X00002YggoVQAR", "0014X00002YggoVQAR")</f>
        <v>0014X00002YggoVQAR</v>
      </c>
      <c r="B545" s="2" t="s">
        <v>3101</v>
      </c>
      <c r="C545" s="2" t="s">
        <v>423</v>
      </c>
      <c r="D545" s="2" t="s">
        <v>2</v>
      </c>
      <c r="E545" s="2">
        <v>15.74</v>
      </c>
      <c r="F545" s="2">
        <v>0</v>
      </c>
      <c r="G545" s="2">
        <v>4</v>
      </c>
      <c r="H545" s="2">
        <v>300</v>
      </c>
      <c r="I545" s="2">
        <v>30</v>
      </c>
      <c r="J545" s="2" t="s">
        <v>1779</v>
      </c>
      <c r="K545" s="2">
        <v>30</v>
      </c>
      <c r="L545" s="2">
        <v>10</v>
      </c>
      <c r="M545" s="2">
        <v>0</v>
      </c>
      <c r="N545" s="2">
        <v>10</v>
      </c>
      <c r="O545" s="2">
        <v>5</v>
      </c>
      <c r="P545" s="2">
        <v>5</v>
      </c>
      <c r="Q545" s="2" t="s">
        <v>3102</v>
      </c>
      <c r="R545" s="2" t="s">
        <v>3102</v>
      </c>
      <c r="S545" s="4">
        <v>44948</v>
      </c>
    </row>
    <row r="546" spans="1:19" ht="12.5" x14ac:dyDescent="0.25">
      <c r="A546" s="14" t="str">
        <f>HYPERLINK("https://gerandofalcoes.my.salesforce.com/0014X00002YgghyQAB", "0014X00002YgghyQAB")</f>
        <v>0014X00002YgghyQAB</v>
      </c>
      <c r="B546" s="2" t="s">
        <v>3421</v>
      </c>
      <c r="C546" s="2" t="s">
        <v>423</v>
      </c>
      <c r="D546" s="2" t="s">
        <v>2</v>
      </c>
      <c r="E546" s="2">
        <v>15.72</v>
      </c>
      <c r="F546" s="2">
        <v>3</v>
      </c>
      <c r="G546" s="2">
        <v>4</v>
      </c>
      <c r="H546" s="2">
        <v>50000</v>
      </c>
      <c r="I546" s="2">
        <v>100</v>
      </c>
      <c r="J546" s="2" t="s">
        <v>1671</v>
      </c>
      <c r="K546" s="2">
        <v>45</v>
      </c>
      <c r="L546" s="2">
        <v>10</v>
      </c>
      <c r="M546" s="2">
        <v>5</v>
      </c>
      <c r="N546" s="2">
        <v>10</v>
      </c>
      <c r="O546" s="2">
        <v>10</v>
      </c>
      <c r="P546" s="2">
        <v>10</v>
      </c>
      <c r="Q546" s="2" t="s">
        <v>3422</v>
      </c>
      <c r="R546" s="2" t="s">
        <v>3423</v>
      </c>
      <c r="S546" s="4">
        <v>44958</v>
      </c>
    </row>
    <row r="547" spans="1:19" ht="12.5" x14ac:dyDescent="0.25">
      <c r="A547" s="14" t="str">
        <f>HYPERLINK("https://gerandofalcoes.my.salesforce.com/0014P00003YSp91QAD", "0014P00003YSp91QAD")</f>
        <v>0014P00003YSp91QAD</v>
      </c>
      <c r="B547" s="2" t="s">
        <v>2697</v>
      </c>
      <c r="C547" s="2" t="s">
        <v>423</v>
      </c>
      <c r="D547" s="2" t="s">
        <v>2</v>
      </c>
      <c r="E547" s="2">
        <v>15.63</v>
      </c>
      <c r="F547" s="2">
        <v>8</v>
      </c>
      <c r="G547" s="2">
        <v>1</v>
      </c>
      <c r="H547" s="2">
        <v>24000</v>
      </c>
      <c r="I547" s="2">
        <v>200</v>
      </c>
      <c r="J547" s="2" t="s">
        <v>1671</v>
      </c>
      <c r="K547" s="2">
        <v>41</v>
      </c>
      <c r="L547" s="2">
        <v>10</v>
      </c>
      <c r="M547" s="2">
        <v>10</v>
      </c>
      <c r="N547" s="2">
        <v>4</v>
      </c>
      <c r="O547" s="2">
        <v>5</v>
      </c>
      <c r="P547" s="2">
        <v>12</v>
      </c>
      <c r="Q547" s="2" t="s">
        <v>2698</v>
      </c>
      <c r="R547" s="2" t="s">
        <v>2699</v>
      </c>
      <c r="S547" s="4">
        <v>44837</v>
      </c>
    </row>
    <row r="548" spans="1:19" ht="12.5" x14ac:dyDescent="0.25">
      <c r="A548" s="14" t="str">
        <f>HYPERLINK("https://gerandofalcoes.my.salesforce.com/0014X00002YggqaQAB", "0014X00002YggqaQAB")</f>
        <v>0014X00002YggqaQAB</v>
      </c>
      <c r="B548" s="2" t="s">
        <v>3424</v>
      </c>
      <c r="C548" s="2" t="s">
        <v>423</v>
      </c>
      <c r="D548" s="2" t="s">
        <v>2</v>
      </c>
      <c r="E548" s="2">
        <v>15.51</v>
      </c>
      <c r="F548" s="2">
        <v>0</v>
      </c>
      <c r="G548" s="2">
        <v>2</v>
      </c>
      <c r="H548" s="2">
        <v>2000</v>
      </c>
      <c r="I548" s="2">
        <v>400</v>
      </c>
      <c r="J548" s="2" t="s">
        <v>1779</v>
      </c>
      <c r="K548" s="2">
        <v>36</v>
      </c>
      <c r="L548" s="2">
        <v>10</v>
      </c>
      <c r="M548" s="2">
        <v>0</v>
      </c>
      <c r="N548" s="2">
        <v>6</v>
      </c>
      <c r="O548" s="2">
        <v>5</v>
      </c>
      <c r="P548" s="2">
        <v>15</v>
      </c>
      <c r="Q548" s="2" t="s">
        <v>3425</v>
      </c>
      <c r="R548" s="2" t="s">
        <v>3426</v>
      </c>
      <c r="S548" s="4">
        <v>44958</v>
      </c>
    </row>
    <row r="549" spans="1:19" ht="12.5" x14ac:dyDescent="0.25">
      <c r="A549" s="14" t="str">
        <f>HYPERLINK("https://gerandofalcoes.my.salesforce.com/0014X00002VKCqsQAH", "0014X00002VKCqsQAH")</f>
        <v>0014X00002VKCqsQAH</v>
      </c>
      <c r="B549" s="2" t="s">
        <v>2700</v>
      </c>
      <c r="C549" s="2" t="s">
        <v>423</v>
      </c>
      <c r="D549" s="2" t="s">
        <v>2</v>
      </c>
      <c r="E549" s="2">
        <v>15.37</v>
      </c>
      <c r="F549" s="2">
        <v>8</v>
      </c>
      <c r="G549" s="2">
        <v>2</v>
      </c>
      <c r="H549" s="2">
        <v>47000</v>
      </c>
      <c r="I549" s="2">
        <v>100</v>
      </c>
      <c r="J549" s="2" t="s">
        <v>1671</v>
      </c>
      <c r="K549" s="2">
        <v>46</v>
      </c>
      <c r="L549" s="2">
        <v>10</v>
      </c>
      <c r="M549" s="2">
        <v>10</v>
      </c>
      <c r="N549" s="2">
        <v>6</v>
      </c>
      <c r="O549" s="2">
        <v>10</v>
      </c>
      <c r="P549" s="2">
        <v>10</v>
      </c>
      <c r="Q549" s="2" t="s">
        <v>2701</v>
      </c>
      <c r="R549" s="2" t="s">
        <v>2702</v>
      </c>
      <c r="S549" s="4">
        <v>44837</v>
      </c>
    </row>
    <row r="550" spans="1:19" ht="12.5" x14ac:dyDescent="0.25">
      <c r="A550" s="14" t="str">
        <f>HYPERLINK("https://gerandofalcoes.my.salesforce.com/0014X00002VKCtNQAX", "0014X00002VKCtNQAX")</f>
        <v>0014X00002VKCtNQAX</v>
      </c>
      <c r="B550" s="2" t="s">
        <v>2703</v>
      </c>
      <c r="C550" s="2" t="s">
        <v>423</v>
      </c>
      <c r="D550" s="2" t="s">
        <v>2</v>
      </c>
      <c r="E550" s="2">
        <v>15.28</v>
      </c>
      <c r="F550" s="2">
        <v>0</v>
      </c>
      <c r="G550" s="2">
        <v>2</v>
      </c>
      <c r="H550" s="2">
        <v>2014715</v>
      </c>
      <c r="I550" s="2">
        <v>50</v>
      </c>
      <c r="J550" s="2" t="s">
        <v>1671</v>
      </c>
      <c r="K550" s="2">
        <v>46</v>
      </c>
      <c r="L550" s="2">
        <v>10</v>
      </c>
      <c r="M550" s="2">
        <v>0</v>
      </c>
      <c r="N550" s="2">
        <v>6</v>
      </c>
      <c r="O550" s="2">
        <v>25</v>
      </c>
      <c r="P550" s="2">
        <v>5</v>
      </c>
      <c r="Q550" s="2" t="s">
        <v>2704</v>
      </c>
      <c r="R550" s="2" t="s">
        <v>2705</v>
      </c>
      <c r="S550" s="4">
        <v>44837</v>
      </c>
    </row>
    <row r="551" spans="1:19" ht="12.5" x14ac:dyDescent="0.25">
      <c r="A551" s="14" t="str">
        <f>HYPERLINK("https://gerandofalcoes.my.salesforce.com/0014X00002Yggr5QAB", "0014X00002Yggr5QAB")</f>
        <v>0014X00002Yggr5QAB</v>
      </c>
      <c r="B551" s="2" t="s">
        <v>3779</v>
      </c>
      <c r="C551" s="2" t="s">
        <v>423</v>
      </c>
      <c r="D551" s="2" t="s">
        <v>2</v>
      </c>
      <c r="E551" s="2">
        <v>15.28</v>
      </c>
      <c r="F551" s="2">
        <v>3</v>
      </c>
      <c r="G551" s="2">
        <v>2</v>
      </c>
      <c r="H551" s="2">
        <v>24000</v>
      </c>
      <c r="I551" s="2">
        <v>0</v>
      </c>
      <c r="J551" s="2" t="s">
        <v>1779</v>
      </c>
      <c r="K551" s="2">
        <v>26</v>
      </c>
      <c r="L551" s="2">
        <v>10</v>
      </c>
      <c r="M551" s="2">
        <v>5</v>
      </c>
      <c r="N551" s="2">
        <v>6</v>
      </c>
      <c r="O551" s="2">
        <v>5</v>
      </c>
      <c r="P551" s="2">
        <v>0</v>
      </c>
      <c r="Q551" s="2" t="s">
        <v>3780</v>
      </c>
      <c r="R551" s="2" t="s">
        <v>3780</v>
      </c>
      <c r="S551" s="4">
        <v>44968</v>
      </c>
    </row>
    <row r="552" spans="1:19" ht="12.5" x14ac:dyDescent="0.25">
      <c r="A552" s="14" t="str">
        <f>HYPERLINK("https://gerandofalcoes.my.salesforce.com/0014X00002VKCt3QAH", "0014X00002VKCt3QAH")</f>
        <v>0014X00002VKCt3QAH</v>
      </c>
      <c r="B552" s="2" t="s">
        <v>2706</v>
      </c>
      <c r="C552" s="2" t="s">
        <v>423</v>
      </c>
      <c r="D552" s="2" t="s">
        <v>2</v>
      </c>
      <c r="E552" s="2">
        <v>15.21</v>
      </c>
      <c r="F552" s="2">
        <v>0</v>
      </c>
      <c r="G552" s="2">
        <v>0</v>
      </c>
      <c r="H552" s="2">
        <v>0</v>
      </c>
      <c r="I552" s="2">
        <v>100</v>
      </c>
      <c r="J552" s="2" t="s">
        <v>1779</v>
      </c>
      <c r="K552" s="2">
        <v>20</v>
      </c>
      <c r="L552" s="2">
        <v>10</v>
      </c>
      <c r="M552" s="2">
        <v>0</v>
      </c>
      <c r="N552" s="2">
        <v>0</v>
      </c>
      <c r="O552" s="2">
        <v>0</v>
      </c>
      <c r="P552" s="2">
        <v>10</v>
      </c>
      <c r="Q552" s="2" t="s">
        <v>2707</v>
      </c>
      <c r="R552" s="2" t="s">
        <v>2708</v>
      </c>
      <c r="S552" s="4">
        <v>44837</v>
      </c>
    </row>
    <row r="553" spans="1:19" ht="12.5" x14ac:dyDescent="0.25">
      <c r="A553" s="14" t="str">
        <f>HYPERLINK("https://gerandofalcoes.my.salesforce.com/0014P00003YSp80QAD", "0014P00003YSp80QAD")</f>
        <v>0014P00003YSp80QAD</v>
      </c>
      <c r="B553" s="2" t="s">
        <v>2709</v>
      </c>
      <c r="C553" s="2" t="s">
        <v>423</v>
      </c>
      <c r="D553" s="2" t="s">
        <v>2</v>
      </c>
      <c r="E553" s="2">
        <v>15.15</v>
      </c>
      <c r="F553" s="2">
        <v>1</v>
      </c>
      <c r="G553" s="2">
        <v>4</v>
      </c>
      <c r="H553" s="2">
        <v>17400</v>
      </c>
      <c r="I553" s="2">
        <v>87</v>
      </c>
      <c r="J553" s="2" t="s">
        <v>1671</v>
      </c>
      <c r="K553" s="2">
        <v>40</v>
      </c>
      <c r="L553" s="2">
        <v>10</v>
      </c>
      <c r="M553" s="2">
        <v>5</v>
      </c>
      <c r="N553" s="2">
        <v>10</v>
      </c>
      <c r="O553" s="2">
        <v>5</v>
      </c>
      <c r="P553" s="2">
        <v>10</v>
      </c>
      <c r="Q553" s="2" t="s">
        <v>2710</v>
      </c>
      <c r="R553" s="2" t="s">
        <v>2710</v>
      </c>
      <c r="S553" s="4">
        <v>44837</v>
      </c>
    </row>
    <row r="554" spans="1:19" ht="12.5" x14ac:dyDescent="0.25">
      <c r="A554" s="14" t="str">
        <f>HYPERLINK("https://gerandofalcoes.my.salesforce.com/0014P00003AN2GGQA1", "0014P00003AN2GGQA1")</f>
        <v>0014P00003AN2GGQA1</v>
      </c>
      <c r="B554" s="2" t="s">
        <v>2711</v>
      </c>
      <c r="C554" s="2" t="s">
        <v>423</v>
      </c>
      <c r="D554" s="2" t="s">
        <v>2</v>
      </c>
      <c r="E554" s="2">
        <v>15.14</v>
      </c>
      <c r="F554" s="2">
        <v>5</v>
      </c>
      <c r="G554" s="2">
        <v>1</v>
      </c>
      <c r="H554" s="2">
        <v>0</v>
      </c>
      <c r="I554" s="2">
        <v>25</v>
      </c>
      <c r="J554" s="2" t="s">
        <v>1779</v>
      </c>
      <c r="K554" s="2">
        <v>24</v>
      </c>
      <c r="L554" s="2">
        <v>10</v>
      </c>
      <c r="M554" s="2">
        <v>5</v>
      </c>
      <c r="N554" s="2">
        <v>4</v>
      </c>
      <c r="O554" s="2">
        <v>0</v>
      </c>
      <c r="P554" s="2">
        <v>5</v>
      </c>
      <c r="Q554" s="2" t="s">
        <v>2712</v>
      </c>
      <c r="R554" s="2" t="s">
        <v>2712</v>
      </c>
      <c r="S554" s="4">
        <v>44837</v>
      </c>
    </row>
    <row r="555" spans="1:19" ht="12.5" x14ac:dyDescent="0.25">
      <c r="A555" s="14" t="str">
        <f>HYPERLINK("https://gerandofalcoes.my.salesforce.com/0014P00003YSp7hQAD", "0014P00003YSp7hQAD")</f>
        <v>0014P00003YSp7hQAD</v>
      </c>
      <c r="B555" s="2" t="s">
        <v>2713</v>
      </c>
      <c r="C555" s="2" t="s">
        <v>423</v>
      </c>
      <c r="D555" s="2" t="s">
        <v>2</v>
      </c>
      <c r="E555" s="2">
        <v>15</v>
      </c>
      <c r="F555" s="2">
        <v>4</v>
      </c>
      <c r="G555" s="2">
        <v>3</v>
      </c>
      <c r="H555" s="2">
        <v>89000</v>
      </c>
      <c r="I555" s="2">
        <v>820</v>
      </c>
      <c r="J555" s="2" t="s">
        <v>1671</v>
      </c>
      <c r="K555" s="2">
        <v>53</v>
      </c>
      <c r="L555" s="2">
        <v>10</v>
      </c>
      <c r="M555" s="2">
        <v>5</v>
      </c>
      <c r="N555" s="2">
        <v>8</v>
      </c>
      <c r="O555" s="2">
        <v>10</v>
      </c>
      <c r="P555" s="2">
        <v>20</v>
      </c>
      <c r="Q555" s="2" t="s">
        <v>2714</v>
      </c>
      <c r="R555" s="2" t="s">
        <v>2714</v>
      </c>
      <c r="S555" s="4">
        <v>44837</v>
      </c>
    </row>
    <row r="556" spans="1:19" ht="12.5" x14ac:dyDescent="0.25">
      <c r="A556" s="14" t="str">
        <f>HYPERLINK("https://gerandofalcoes.my.salesforce.com/0014X00002VKCrOQAX", "0014X00002VKCrOQAX")</f>
        <v>0014X00002VKCrOQAX</v>
      </c>
      <c r="B556" s="2" t="s">
        <v>2715</v>
      </c>
      <c r="C556" s="2" t="s">
        <v>1800</v>
      </c>
      <c r="D556" s="2" t="s">
        <v>2</v>
      </c>
      <c r="E556" s="2">
        <v>15</v>
      </c>
      <c r="F556" s="2">
        <v>0</v>
      </c>
      <c r="G556" s="2">
        <v>3</v>
      </c>
      <c r="H556" s="2">
        <v>15000</v>
      </c>
      <c r="I556" s="2">
        <v>255</v>
      </c>
      <c r="J556" s="2" t="s">
        <v>1779</v>
      </c>
      <c r="K556" s="2">
        <v>35</v>
      </c>
      <c r="L556" s="2">
        <v>10</v>
      </c>
      <c r="M556" s="2">
        <v>0</v>
      </c>
      <c r="N556" s="2">
        <v>8</v>
      </c>
      <c r="O556" s="2">
        <v>5</v>
      </c>
      <c r="P556" s="2">
        <v>12</v>
      </c>
      <c r="Q556" s="2" t="s">
        <v>2716</v>
      </c>
      <c r="R556" s="2" t="s">
        <v>2716</v>
      </c>
      <c r="S556" s="4">
        <v>44837</v>
      </c>
    </row>
    <row r="557" spans="1:19" ht="12.5" x14ac:dyDescent="0.25">
      <c r="A557" s="14" t="str">
        <f>HYPERLINK("https://gerandofalcoes.my.salesforce.com/0014X00002VKCtEQAX", "0014X00002VKCtEQAX")</f>
        <v>0014X00002VKCtEQAX</v>
      </c>
      <c r="B557" s="2" t="s">
        <v>2717</v>
      </c>
      <c r="C557" s="2" t="s">
        <v>423</v>
      </c>
      <c r="D557" s="2" t="s">
        <v>2</v>
      </c>
      <c r="E557" s="2">
        <v>15</v>
      </c>
      <c r="F557" s="2">
        <v>0</v>
      </c>
      <c r="G557" s="2">
        <v>3</v>
      </c>
      <c r="H557" s="2">
        <v>0</v>
      </c>
      <c r="I557" s="2">
        <v>187</v>
      </c>
      <c r="J557" s="2" t="s">
        <v>1779</v>
      </c>
      <c r="K557" s="2">
        <v>30</v>
      </c>
      <c r="L557" s="2">
        <v>10</v>
      </c>
      <c r="M557" s="2">
        <v>0</v>
      </c>
      <c r="N557" s="2">
        <v>8</v>
      </c>
      <c r="O557" s="2">
        <v>0</v>
      </c>
      <c r="P557" s="2">
        <v>12</v>
      </c>
      <c r="Q557" s="2" t="s">
        <v>2718</v>
      </c>
      <c r="R557" s="2" t="s">
        <v>2719</v>
      </c>
      <c r="S557" s="4">
        <v>44837</v>
      </c>
    </row>
    <row r="558" spans="1:19" ht="12.5" x14ac:dyDescent="0.25">
      <c r="A558" s="14" t="str">
        <f>HYPERLINK("https://gerandofalcoes.my.salesforce.com/0014P00003SGWPeQAP", "0014P00003SGWPeQAP")</f>
        <v>0014P00003SGWPeQAP</v>
      </c>
      <c r="B558" s="2" t="s">
        <v>2720</v>
      </c>
      <c r="C558" s="2" t="s">
        <v>423</v>
      </c>
      <c r="D558" s="2" t="s">
        <v>2</v>
      </c>
      <c r="E558" s="2">
        <v>15</v>
      </c>
      <c r="F558" s="2">
        <v>0</v>
      </c>
      <c r="G558" s="2">
        <v>1</v>
      </c>
      <c r="H558" s="2">
        <v>12000</v>
      </c>
      <c r="I558" s="2">
        <v>70</v>
      </c>
      <c r="J558" s="2" t="s">
        <v>1779</v>
      </c>
      <c r="K558" s="2">
        <v>24</v>
      </c>
      <c r="L558" s="2">
        <v>10</v>
      </c>
      <c r="M558" s="2">
        <v>0</v>
      </c>
      <c r="N558" s="2">
        <v>4</v>
      </c>
      <c r="O558" s="2">
        <v>5</v>
      </c>
      <c r="P558" s="2">
        <v>5</v>
      </c>
      <c r="Q558" s="2" t="s">
        <v>291</v>
      </c>
      <c r="R558" s="2" t="s">
        <v>1288</v>
      </c>
      <c r="S558" s="4">
        <v>44837</v>
      </c>
    </row>
    <row r="559" spans="1:19" ht="12.5" x14ac:dyDescent="0.25">
      <c r="A559" s="14" t="str">
        <f>HYPERLINK("https://gerandofalcoes.my.salesforce.com/0014X00002VKCq8QAH", "0014X00002VKCq8QAH")</f>
        <v>0014X00002VKCq8QAH</v>
      </c>
      <c r="B559" s="2" t="s">
        <v>2721</v>
      </c>
      <c r="C559" s="2" t="s">
        <v>1800</v>
      </c>
      <c r="D559" s="2" t="s">
        <v>2</v>
      </c>
      <c r="E559" s="2">
        <v>15</v>
      </c>
      <c r="F559" s="2">
        <v>0</v>
      </c>
      <c r="G559" s="2">
        <v>3</v>
      </c>
      <c r="H559" s="2">
        <v>7000</v>
      </c>
      <c r="I559" s="2">
        <v>70</v>
      </c>
      <c r="J559" s="2" t="s">
        <v>1779</v>
      </c>
      <c r="K559" s="2">
        <v>28</v>
      </c>
      <c r="L559" s="2">
        <v>10</v>
      </c>
      <c r="M559" s="2">
        <v>0</v>
      </c>
      <c r="N559" s="2">
        <v>8</v>
      </c>
      <c r="O559" s="2">
        <v>5</v>
      </c>
      <c r="P559" s="2">
        <v>5</v>
      </c>
      <c r="Q559" s="2" t="s">
        <v>2722</v>
      </c>
      <c r="R559" s="2" t="s">
        <v>2723</v>
      </c>
      <c r="S559" s="4">
        <v>44837</v>
      </c>
    </row>
    <row r="560" spans="1:19" ht="12.5" x14ac:dyDescent="0.25">
      <c r="A560" s="14" t="str">
        <f>HYPERLINK("https://gerandofalcoes.my.salesforce.com/0014X00002VKCtCQAX", "0014X00002VKCtCQAX")</f>
        <v>0014X00002VKCtCQAX</v>
      </c>
      <c r="B560" s="2" t="s">
        <v>2724</v>
      </c>
      <c r="C560" s="2" t="s">
        <v>423</v>
      </c>
      <c r="D560" s="2" t="s">
        <v>2</v>
      </c>
      <c r="E560" s="2">
        <v>15</v>
      </c>
      <c r="F560" s="2">
        <v>0</v>
      </c>
      <c r="G560" s="2">
        <v>1</v>
      </c>
      <c r="H560" s="2">
        <v>6000</v>
      </c>
      <c r="I560" s="2">
        <v>40</v>
      </c>
      <c r="J560" s="2" t="s">
        <v>1779</v>
      </c>
      <c r="K560" s="2">
        <v>24</v>
      </c>
      <c r="L560" s="2">
        <v>10</v>
      </c>
      <c r="M560" s="2">
        <v>0</v>
      </c>
      <c r="N560" s="2">
        <v>4</v>
      </c>
      <c r="O560" s="2">
        <v>5</v>
      </c>
      <c r="P560" s="2">
        <v>5</v>
      </c>
      <c r="Q560" s="2" t="s">
        <v>2725</v>
      </c>
      <c r="R560" s="2" t="s">
        <v>2726</v>
      </c>
      <c r="S560" s="4">
        <v>44837</v>
      </c>
    </row>
    <row r="561" spans="1:19" ht="12.5" x14ac:dyDescent="0.25">
      <c r="A561" s="14" t="str">
        <f>HYPERLINK("https://gerandofalcoes.my.salesforce.com/0014X00002Yggo4QAB", "0014X00002Yggo4QAB")</f>
        <v>0014X00002Yggo4QAB</v>
      </c>
      <c r="B561" s="2" t="s">
        <v>3707</v>
      </c>
      <c r="C561" s="2" t="s">
        <v>423</v>
      </c>
      <c r="D561" s="2" t="s">
        <v>2</v>
      </c>
      <c r="E561" s="2">
        <v>15</v>
      </c>
      <c r="F561" s="2">
        <v>0</v>
      </c>
      <c r="G561" s="2">
        <v>3</v>
      </c>
      <c r="H561" s="2">
        <v>3000</v>
      </c>
      <c r="I561" s="2">
        <v>0</v>
      </c>
      <c r="J561" s="2" t="s">
        <v>1779</v>
      </c>
      <c r="K561" s="2">
        <v>23</v>
      </c>
      <c r="L561" s="2">
        <v>10</v>
      </c>
      <c r="M561" s="2">
        <v>0</v>
      </c>
      <c r="N561" s="2">
        <v>8</v>
      </c>
      <c r="O561" s="2">
        <v>5</v>
      </c>
      <c r="P561" s="2">
        <v>0</v>
      </c>
      <c r="Q561" s="2" t="s">
        <v>3708</v>
      </c>
      <c r="R561" s="2" t="s">
        <v>3708</v>
      </c>
      <c r="S561" s="4">
        <v>44967</v>
      </c>
    </row>
    <row r="562" spans="1:19" ht="12.5" x14ac:dyDescent="0.25">
      <c r="A562" s="14" t="str">
        <f>HYPERLINK("https://gerandofalcoes.my.salesforce.com/0014X00002VKCs2QAH", "0014X00002VKCs2QAH")</f>
        <v>0014X00002VKCs2QAH</v>
      </c>
      <c r="B562" s="2" t="s">
        <v>2727</v>
      </c>
      <c r="C562" s="2" t="s">
        <v>1800</v>
      </c>
      <c r="D562" s="2" t="s">
        <v>2</v>
      </c>
      <c r="E562" s="2">
        <v>15</v>
      </c>
      <c r="F562" s="2">
        <v>0</v>
      </c>
      <c r="G562" s="2">
        <v>2</v>
      </c>
      <c r="H562" s="2">
        <v>2500</v>
      </c>
      <c r="I562" s="2">
        <v>0</v>
      </c>
      <c r="J562" s="2" t="s">
        <v>1779</v>
      </c>
      <c r="K562" s="2">
        <v>21</v>
      </c>
      <c r="L562" s="2">
        <v>10</v>
      </c>
      <c r="M562" s="2">
        <v>0</v>
      </c>
      <c r="N562" s="2">
        <v>6</v>
      </c>
      <c r="O562" s="2">
        <v>5</v>
      </c>
      <c r="P562" s="2">
        <v>0</v>
      </c>
      <c r="Q562" s="2" t="s">
        <v>2728</v>
      </c>
      <c r="R562" s="2" t="s">
        <v>2729</v>
      </c>
      <c r="S562" s="4">
        <v>44837</v>
      </c>
    </row>
    <row r="563" spans="1:19" ht="12.5" x14ac:dyDescent="0.25">
      <c r="A563" s="14" t="str">
        <f>HYPERLINK("https://gerandofalcoes.my.salesforce.com/0014X00002VKCr7QAH", "0014X00002VKCr7QAH")</f>
        <v>0014X00002VKCr7QAH</v>
      </c>
      <c r="B563" s="2" t="s">
        <v>2730</v>
      </c>
      <c r="C563" s="2" t="s">
        <v>423</v>
      </c>
      <c r="D563" s="2" t="s">
        <v>2</v>
      </c>
      <c r="E563" s="2">
        <v>15</v>
      </c>
      <c r="F563" s="2">
        <v>0</v>
      </c>
      <c r="G563" s="2">
        <v>2</v>
      </c>
      <c r="H563" s="2">
        <v>0</v>
      </c>
      <c r="I563" s="2">
        <v>0</v>
      </c>
      <c r="J563" s="2" t="s">
        <v>1779</v>
      </c>
      <c r="K563" s="2">
        <v>16</v>
      </c>
      <c r="L563" s="2">
        <v>10</v>
      </c>
      <c r="M563" s="2">
        <v>0</v>
      </c>
      <c r="N563" s="2">
        <v>6</v>
      </c>
      <c r="O563" s="2">
        <v>0</v>
      </c>
      <c r="P563" s="2">
        <v>0</v>
      </c>
      <c r="Q563" s="2" t="s">
        <v>2731</v>
      </c>
      <c r="R563" s="2" t="s">
        <v>2731</v>
      </c>
      <c r="S563" s="4">
        <v>44837</v>
      </c>
    </row>
    <row r="564" spans="1:19" ht="12.5" x14ac:dyDescent="0.25">
      <c r="A564" s="14" t="str">
        <f>HYPERLINK("https://gerandofalcoes.my.salesforce.com/0014X00002OEuapQAD", "0014X00002OEuapQAD")</f>
        <v>0014X00002OEuapQAD</v>
      </c>
      <c r="B564" s="2" t="s">
        <v>2732</v>
      </c>
      <c r="C564" s="2" t="s">
        <v>1800</v>
      </c>
      <c r="D564" s="2" t="s">
        <v>2</v>
      </c>
      <c r="E564" s="2">
        <v>15</v>
      </c>
      <c r="F564" s="2">
        <v>0</v>
      </c>
      <c r="G564" s="2">
        <v>0</v>
      </c>
      <c r="H564" s="2">
        <v>0</v>
      </c>
      <c r="I564" s="2">
        <v>0</v>
      </c>
      <c r="J564" s="2" t="s">
        <v>1779</v>
      </c>
      <c r="K564" s="2">
        <v>10</v>
      </c>
      <c r="L564" s="2">
        <v>10</v>
      </c>
      <c r="M564" s="2">
        <v>0</v>
      </c>
      <c r="N564" s="2">
        <v>0</v>
      </c>
      <c r="O564" s="2">
        <v>0</v>
      </c>
      <c r="P564" s="2">
        <v>0</v>
      </c>
      <c r="Q564" s="2" t="s">
        <v>2733</v>
      </c>
      <c r="R564" s="2" t="s">
        <v>2733</v>
      </c>
      <c r="S564" s="4">
        <v>44837</v>
      </c>
    </row>
    <row r="565" spans="1:19" ht="12.5" x14ac:dyDescent="0.25">
      <c r="A565" s="14" t="str">
        <f>HYPERLINK("https://gerandofalcoes.my.salesforce.com/0014X00002YggnCQAR", "0014X00002YggnCQAR")</f>
        <v>0014X00002YggnCQAR</v>
      </c>
      <c r="B565" s="2" t="s">
        <v>3427</v>
      </c>
      <c r="C565" s="2" t="s">
        <v>423</v>
      </c>
      <c r="D565" s="2" t="s">
        <v>2</v>
      </c>
      <c r="E565" s="2">
        <v>14.93</v>
      </c>
      <c r="F565" s="2">
        <v>10</v>
      </c>
      <c r="G565" s="2">
        <v>6</v>
      </c>
      <c r="H565" s="2">
        <v>11000</v>
      </c>
      <c r="I565" s="2">
        <v>30</v>
      </c>
      <c r="J565" s="2" t="s">
        <v>1671</v>
      </c>
      <c r="K565" s="2">
        <v>40</v>
      </c>
      <c r="L565" s="2">
        <v>10</v>
      </c>
      <c r="M565" s="2">
        <v>10</v>
      </c>
      <c r="N565" s="2">
        <v>10</v>
      </c>
      <c r="O565" s="2">
        <v>5</v>
      </c>
      <c r="P565" s="2">
        <v>5</v>
      </c>
      <c r="Q565" s="2" t="s">
        <v>3428</v>
      </c>
      <c r="R565" s="2" t="s">
        <v>3428</v>
      </c>
      <c r="S565" s="4">
        <v>44958</v>
      </c>
    </row>
    <row r="566" spans="1:19" ht="12.5" x14ac:dyDescent="0.25">
      <c r="A566" s="14" t="str">
        <f>HYPERLINK("https://gerandofalcoes.my.salesforce.com/0014P00003SGWFsQAP", "0014P00003SGWFsQAP")</f>
        <v>0014P00003SGWFsQAP</v>
      </c>
      <c r="B566" s="2" t="s">
        <v>339</v>
      </c>
      <c r="C566" s="2" t="s">
        <v>423</v>
      </c>
      <c r="D566" s="2" t="s">
        <v>2</v>
      </c>
      <c r="E566" s="2">
        <v>14.9</v>
      </c>
      <c r="F566" s="2">
        <v>0</v>
      </c>
      <c r="G566" s="2">
        <v>0</v>
      </c>
      <c r="H566" s="2">
        <v>0</v>
      </c>
      <c r="I566" s="2">
        <v>106</v>
      </c>
      <c r="J566" s="2" t="s">
        <v>1779</v>
      </c>
      <c r="K566" s="2">
        <v>20</v>
      </c>
      <c r="L566" s="2">
        <v>10</v>
      </c>
      <c r="M566" s="2">
        <v>0</v>
      </c>
      <c r="N566" s="2">
        <v>0</v>
      </c>
      <c r="O566" s="2">
        <v>0</v>
      </c>
      <c r="P566" s="2">
        <v>10</v>
      </c>
      <c r="Q566" s="2" t="s">
        <v>340</v>
      </c>
      <c r="R566" s="2" t="s">
        <v>340</v>
      </c>
      <c r="S566" s="4">
        <v>44837</v>
      </c>
    </row>
    <row r="567" spans="1:19" ht="12.5" x14ac:dyDescent="0.25">
      <c r="A567" s="14" t="str">
        <f>HYPERLINK("https://gerandofalcoes.my.salesforce.com/0014P00003YSpA0QAL", "0014P00003YSpA0QAL")</f>
        <v>0014P00003YSpA0QAL</v>
      </c>
      <c r="B567" s="2" t="s">
        <v>2734</v>
      </c>
      <c r="C567" s="2" t="s">
        <v>423</v>
      </c>
      <c r="D567" s="2" t="s">
        <v>2</v>
      </c>
      <c r="E567" s="2">
        <v>14.83</v>
      </c>
      <c r="F567" s="2">
        <v>10</v>
      </c>
      <c r="G567" s="2">
        <v>0</v>
      </c>
      <c r="H567" s="2">
        <v>0</v>
      </c>
      <c r="I567" s="2">
        <v>52</v>
      </c>
      <c r="J567" s="2" t="s">
        <v>1779</v>
      </c>
      <c r="K567" s="2">
        <v>25</v>
      </c>
      <c r="L567" s="2">
        <v>10</v>
      </c>
      <c r="M567" s="2">
        <v>10</v>
      </c>
      <c r="N567" s="2">
        <v>0</v>
      </c>
      <c r="O567" s="2">
        <v>0</v>
      </c>
      <c r="P567" s="2">
        <v>5</v>
      </c>
      <c r="Q567" s="2" t="s">
        <v>2735</v>
      </c>
      <c r="R567" s="2" t="s">
        <v>2736</v>
      </c>
      <c r="S567" s="4">
        <v>44837</v>
      </c>
    </row>
    <row r="568" spans="1:19" ht="12.5" x14ac:dyDescent="0.25">
      <c r="A568" s="14" t="str">
        <f>HYPERLINK("https://gerandofalcoes.my.salesforce.com/0014X00002YggmxQAB", "0014X00002YggmxQAB")</f>
        <v>0014X00002YggmxQAB</v>
      </c>
      <c r="B568" s="2" t="s">
        <v>3429</v>
      </c>
      <c r="C568" s="2" t="s">
        <v>423</v>
      </c>
      <c r="D568" s="2" t="s">
        <v>2</v>
      </c>
      <c r="E568" s="2">
        <v>14.79</v>
      </c>
      <c r="F568" s="2">
        <v>0</v>
      </c>
      <c r="G568" s="2">
        <v>2</v>
      </c>
      <c r="H568" s="2">
        <v>30000</v>
      </c>
      <c r="I568" s="2">
        <v>120</v>
      </c>
      <c r="J568" s="2" t="s">
        <v>1779</v>
      </c>
      <c r="K568" s="2">
        <v>36</v>
      </c>
      <c r="L568" s="2">
        <v>10</v>
      </c>
      <c r="M568" s="2">
        <v>0</v>
      </c>
      <c r="N568" s="2">
        <v>6</v>
      </c>
      <c r="O568" s="2">
        <v>10</v>
      </c>
      <c r="P568" s="2">
        <v>10</v>
      </c>
      <c r="Q568" s="2" t="s">
        <v>3430</v>
      </c>
      <c r="R568" s="2" t="s">
        <v>3431</v>
      </c>
      <c r="S568" s="4">
        <v>44958</v>
      </c>
    </row>
    <row r="569" spans="1:19" ht="12.5" x14ac:dyDescent="0.25">
      <c r="A569" s="14" t="str">
        <f>HYPERLINK("https://gerandofalcoes.my.salesforce.com/0014X00002YggpiQAB", "0014X00002YggpiQAB")</f>
        <v>0014X00002YggpiQAB</v>
      </c>
      <c r="B569" s="2" t="s">
        <v>4082</v>
      </c>
      <c r="C569" s="2" t="s">
        <v>423</v>
      </c>
      <c r="D569" s="2" t="s">
        <v>2</v>
      </c>
      <c r="E569" s="2">
        <v>14.74</v>
      </c>
      <c r="F569" s="2">
        <v>0</v>
      </c>
      <c r="G569" s="2">
        <v>3</v>
      </c>
      <c r="H569" s="2">
        <v>3000</v>
      </c>
      <c r="I569" s="2">
        <v>15</v>
      </c>
      <c r="J569" s="2"/>
      <c r="K569" s="2">
        <v>28</v>
      </c>
      <c r="L569" s="2">
        <v>10</v>
      </c>
      <c r="M569" s="2">
        <v>0</v>
      </c>
      <c r="N569" s="2">
        <v>8</v>
      </c>
      <c r="O569" s="2">
        <v>5</v>
      </c>
      <c r="P569" s="2">
        <v>5</v>
      </c>
      <c r="Q569" s="2" t="s">
        <v>4083</v>
      </c>
      <c r="R569" s="2" t="s">
        <v>4084</v>
      </c>
      <c r="S569" s="4">
        <v>45169</v>
      </c>
    </row>
    <row r="570" spans="1:19" ht="12.5" x14ac:dyDescent="0.25">
      <c r="A570" s="14" t="str">
        <f>HYPERLINK("https://gerandofalcoes.my.salesforce.com/0014X00002VKCqMQAX", "0014X00002VKCqMQAX")</f>
        <v>0014X00002VKCqMQAX</v>
      </c>
      <c r="B570" s="2" t="s">
        <v>2737</v>
      </c>
      <c r="C570" s="2" t="s">
        <v>423</v>
      </c>
      <c r="D570" s="2" t="s">
        <v>2</v>
      </c>
      <c r="E570" s="2">
        <v>14.66</v>
      </c>
      <c r="F570" s="2">
        <v>2</v>
      </c>
      <c r="G570" s="2">
        <v>3</v>
      </c>
      <c r="H570" s="2">
        <v>5010380</v>
      </c>
      <c r="I570" s="2">
        <v>86</v>
      </c>
      <c r="J570" s="2" t="s">
        <v>1671</v>
      </c>
      <c r="K570" s="2">
        <v>58</v>
      </c>
      <c r="L570" s="2">
        <v>10</v>
      </c>
      <c r="M570" s="2">
        <v>5</v>
      </c>
      <c r="N570" s="2">
        <v>8</v>
      </c>
      <c r="O570" s="2">
        <v>25</v>
      </c>
      <c r="P570" s="2">
        <v>10</v>
      </c>
      <c r="Q570" s="2" t="s">
        <v>2738</v>
      </c>
      <c r="R570" s="2" t="s">
        <v>2739</v>
      </c>
      <c r="S570" s="4">
        <v>44837</v>
      </c>
    </row>
    <row r="571" spans="1:19" ht="12.5" x14ac:dyDescent="0.25">
      <c r="A571" s="14" t="str">
        <f>HYPERLINK("https://gerandofalcoes.my.salesforce.com/0014X00002VKCsBQAX", "0014X00002VKCsBQAX")</f>
        <v>0014X00002VKCsBQAX</v>
      </c>
      <c r="B571" s="2" t="s">
        <v>2740</v>
      </c>
      <c r="C571" s="2" t="s">
        <v>423</v>
      </c>
      <c r="D571" s="2" t="s">
        <v>2</v>
      </c>
      <c r="E571" s="2">
        <v>14.54</v>
      </c>
      <c r="F571" s="2">
        <v>1</v>
      </c>
      <c r="G571" s="2">
        <v>1</v>
      </c>
      <c r="H571" s="2">
        <v>68583</v>
      </c>
      <c r="I571" s="2">
        <v>120</v>
      </c>
      <c r="J571" s="2" t="s">
        <v>1779</v>
      </c>
      <c r="K571" s="2">
        <v>39</v>
      </c>
      <c r="L571" s="2">
        <v>10</v>
      </c>
      <c r="M571" s="2">
        <v>5</v>
      </c>
      <c r="N571" s="2">
        <v>4</v>
      </c>
      <c r="O571" s="2">
        <v>10</v>
      </c>
      <c r="P571" s="2">
        <v>10</v>
      </c>
      <c r="Q571" s="2" t="s">
        <v>2741</v>
      </c>
      <c r="R571" s="2" t="s">
        <v>2742</v>
      </c>
      <c r="S571" s="4">
        <v>44837</v>
      </c>
    </row>
    <row r="572" spans="1:19" ht="12.5" x14ac:dyDescent="0.25">
      <c r="A572" s="14" t="str">
        <f>HYPERLINK("https://gerandofalcoes.my.salesforce.com/0014X00002YggnOQAR", "0014X00002YggnOQAR")</f>
        <v>0014X00002YggnOQAR</v>
      </c>
      <c r="B572" s="2" t="s">
        <v>3316</v>
      </c>
      <c r="C572" s="2" t="s">
        <v>423</v>
      </c>
      <c r="D572" s="2" t="s">
        <v>2</v>
      </c>
      <c r="E572" s="2">
        <v>14.5</v>
      </c>
      <c r="F572" s="2">
        <v>0</v>
      </c>
      <c r="G572" s="2">
        <v>2</v>
      </c>
      <c r="H572" s="2">
        <v>0</v>
      </c>
      <c r="I572" s="2">
        <v>128</v>
      </c>
      <c r="J572" s="2" t="s">
        <v>1779</v>
      </c>
      <c r="K572" s="2">
        <v>26</v>
      </c>
      <c r="L572" s="2">
        <v>10</v>
      </c>
      <c r="M572" s="2">
        <v>0</v>
      </c>
      <c r="N572" s="2">
        <v>6</v>
      </c>
      <c r="O572" s="2">
        <v>0</v>
      </c>
      <c r="P572" s="2">
        <v>10</v>
      </c>
      <c r="Q572" s="2" t="s">
        <v>3317</v>
      </c>
      <c r="R572" s="2" t="s">
        <v>3318</v>
      </c>
      <c r="S572" s="4">
        <v>44953</v>
      </c>
    </row>
    <row r="573" spans="1:19" ht="12.5" x14ac:dyDescent="0.25">
      <c r="A573" s="14" t="str">
        <f>HYPERLINK("https://gerandofalcoes.my.salesforce.com/0014X00002YggnHQAR", "0014X00002YggnHQAR")</f>
        <v>0014X00002YggnHQAR</v>
      </c>
      <c r="B573" s="2" t="s">
        <v>3612</v>
      </c>
      <c r="C573" s="2" t="s">
        <v>423</v>
      </c>
      <c r="D573" s="2" t="s">
        <v>2</v>
      </c>
      <c r="E573" s="2">
        <v>14.33</v>
      </c>
      <c r="F573" s="2">
        <v>0</v>
      </c>
      <c r="G573" s="2">
        <v>2</v>
      </c>
      <c r="H573" s="2">
        <v>10</v>
      </c>
      <c r="I573" s="2">
        <v>0</v>
      </c>
      <c r="J573" s="2" t="s">
        <v>1779</v>
      </c>
      <c r="K573" s="2">
        <v>21</v>
      </c>
      <c r="L573" s="2">
        <v>10</v>
      </c>
      <c r="M573" s="2">
        <v>0</v>
      </c>
      <c r="N573" s="2">
        <v>6</v>
      </c>
      <c r="O573" s="2">
        <v>5</v>
      </c>
      <c r="P573" s="2">
        <v>0</v>
      </c>
      <c r="Q573" s="2" t="s">
        <v>3613</v>
      </c>
      <c r="R573" s="2" t="s">
        <v>3613</v>
      </c>
      <c r="S573" s="4">
        <v>44963</v>
      </c>
    </row>
    <row r="574" spans="1:19" ht="12.5" x14ac:dyDescent="0.25">
      <c r="A574" s="14" t="str">
        <f>HYPERLINK("https://gerandofalcoes.my.salesforce.com/0014X00002Yggq4QAB", "0014X00002Yggq4QAB")</f>
        <v>0014X00002Yggq4QAB</v>
      </c>
      <c r="B574" s="2" t="s">
        <v>3594</v>
      </c>
      <c r="C574" s="2" t="s">
        <v>423</v>
      </c>
      <c r="D574" s="2" t="s">
        <v>2</v>
      </c>
      <c r="E574" s="2">
        <v>14.31</v>
      </c>
      <c r="F574" s="2">
        <v>4</v>
      </c>
      <c r="G574" s="2">
        <v>5</v>
      </c>
      <c r="H574" s="2">
        <v>57800</v>
      </c>
      <c r="I574" s="2">
        <v>60</v>
      </c>
      <c r="J574" s="2" t="s">
        <v>1671</v>
      </c>
      <c r="K574" s="2">
        <v>40</v>
      </c>
      <c r="L574" s="2">
        <v>10</v>
      </c>
      <c r="M574" s="2">
        <v>5</v>
      </c>
      <c r="N574" s="2">
        <v>10</v>
      </c>
      <c r="O574" s="2">
        <v>10</v>
      </c>
      <c r="P574" s="2">
        <v>5</v>
      </c>
      <c r="Q574" s="2" t="s">
        <v>3595</v>
      </c>
      <c r="R574" s="2" t="s">
        <v>3596</v>
      </c>
      <c r="S574" s="4">
        <v>44962</v>
      </c>
    </row>
    <row r="575" spans="1:19" ht="12.5" x14ac:dyDescent="0.25">
      <c r="A575" s="14" t="str">
        <f>HYPERLINK("https://gerandofalcoes.my.salesforce.com/0014X00002bCkLgQAK", "0014X00002bCkLgQAK")</f>
        <v>0014X00002bCkLgQAK</v>
      </c>
      <c r="B575" s="2" t="s">
        <v>3657</v>
      </c>
      <c r="C575" s="2" t="s">
        <v>423</v>
      </c>
      <c r="D575" s="2" t="s">
        <v>2</v>
      </c>
      <c r="E575" s="2">
        <v>14.24</v>
      </c>
      <c r="F575" s="2">
        <v>6</v>
      </c>
      <c r="G575" s="2">
        <v>7</v>
      </c>
      <c r="H575" s="2">
        <v>20000</v>
      </c>
      <c r="I575" s="2">
        <v>0</v>
      </c>
      <c r="J575" s="2" t="s">
        <v>1779</v>
      </c>
      <c r="K575" s="2">
        <v>35</v>
      </c>
      <c r="L575" s="2">
        <v>10</v>
      </c>
      <c r="M575" s="2">
        <v>10</v>
      </c>
      <c r="N575" s="2">
        <v>10</v>
      </c>
      <c r="O575" s="2">
        <v>5</v>
      </c>
      <c r="P575" s="2">
        <v>0</v>
      </c>
      <c r="Q575" s="2" t="s">
        <v>3658</v>
      </c>
      <c r="R575" s="2" t="s">
        <v>3659</v>
      </c>
      <c r="S575" s="4">
        <v>44964</v>
      </c>
    </row>
    <row r="576" spans="1:19" ht="12.5" x14ac:dyDescent="0.25">
      <c r="A576" s="14" t="str">
        <f>HYPERLINK("https://gerandofalcoes.my.salesforce.com/0014X00002YggopQAB", "0014X00002YggopQAB")</f>
        <v>0014X00002YggopQAB</v>
      </c>
      <c r="B576" s="2" t="s">
        <v>3614</v>
      </c>
      <c r="C576" s="2" t="s">
        <v>423</v>
      </c>
      <c r="D576" s="2" t="s">
        <v>2</v>
      </c>
      <c r="E576" s="2">
        <v>14.19</v>
      </c>
      <c r="F576" s="2">
        <v>10</v>
      </c>
      <c r="G576" s="2">
        <v>2</v>
      </c>
      <c r="H576" s="2">
        <v>900</v>
      </c>
      <c r="I576" s="2">
        <v>20</v>
      </c>
      <c r="J576" s="2" t="s">
        <v>1779</v>
      </c>
      <c r="K576" s="2">
        <v>36</v>
      </c>
      <c r="L576" s="2">
        <v>10</v>
      </c>
      <c r="M576" s="2">
        <v>10</v>
      </c>
      <c r="N576" s="2">
        <v>6</v>
      </c>
      <c r="O576" s="2">
        <v>5</v>
      </c>
      <c r="P576" s="2">
        <v>5</v>
      </c>
      <c r="Q576" s="2" t="s">
        <v>3615</v>
      </c>
      <c r="R576" s="2" t="s">
        <v>3616</v>
      </c>
      <c r="S576" s="4">
        <v>44963</v>
      </c>
    </row>
    <row r="577" spans="1:19" ht="12.5" x14ac:dyDescent="0.25">
      <c r="A577" s="14" t="str">
        <f>HYPERLINK("https://gerandofalcoes.my.salesforce.com/0014X00002VKCqnQAH", "0014X00002VKCqnQAH")</f>
        <v>0014X00002VKCqnQAH</v>
      </c>
      <c r="B577" s="2" t="s">
        <v>2743</v>
      </c>
      <c r="C577" s="2" t="s">
        <v>423</v>
      </c>
      <c r="D577" s="2" t="s">
        <v>2</v>
      </c>
      <c r="E577" s="2">
        <v>14.17</v>
      </c>
      <c r="F577" s="2">
        <v>0</v>
      </c>
      <c r="G577" s="2">
        <v>4</v>
      </c>
      <c r="H577" s="2">
        <v>99683</v>
      </c>
      <c r="I577" s="2">
        <v>180</v>
      </c>
      <c r="J577" s="2" t="s">
        <v>1671</v>
      </c>
      <c r="K577" s="2">
        <v>42</v>
      </c>
      <c r="L577" s="2">
        <v>10</v>
      </c>
      <c r="M577" s="2">
        <v>0</v>
      </c>
      <c r="N577" s="2">
        <v>10</v>
      </c>
      <c r="O577" s="2">
        <v>10</v>
      </c>
      <c r="P577" s="2">
        <v>12</v>
      </c>
      <c r="Q577" s="2" t="s">
        <v>2744</v>
      </c>
      <c r="R577" s="2" t="s">
        <v>2745</v>
      </c>
      <c r="S577" s="4">
        <v>44837</v>
      </c>
    </row>
    <row r="578" spans="1:19" ht="12.5" x14ac:dyDescent="0.25">
      <c r="A578" s="14" t="str">
        <f>HYPERLINK("https://gerandofalcoes.my.salesforce.com/0014P00003YSp7oQAD", "0014P00003YSp7oQAD")</f>
        <v>0014P00003YSp7oQAD</v>
      </c>
      <c r="B578" s="2" t="s">
        <v>2746</v>
      </c>
      <c r="C578" s="2" t="s">
        <v>1800</v>
      </c>
      <c r="D578" s="2" t="s">
        <v>2</v>
      </c>
      <c r="E578" s="2">
        <v>14</v>
      </c>
      <c r="F578" s="2">
        <v>30</v>
      </c>
      <c r="G578" s="2">
        <v>2</v>
      </c>
      <c r="H578" s="2">
        <v>10000</v>
      </c>
      <c r="I578" s="2">
        <v>350</v>
      </c>
      <c r="J578" s="2" t="s">
        <v>1671</v>
      </c>
      <c r="K578" s="2">
        <v>48</v>
      </c>
      <c r="L578" s="2">
        <v>10</v>
      </c>
      <c r="M578" s="2">
        <v>12</v>
      </c>
      <c r="N578" s="2">
        <v>6</v>
      </c>
      <c r="O578" s="2">
        <v>5</v>
      </c>
      <c r="P578" s="2">
        <v>15</v>
      </c>
      <c r="Q578" s="2" t="s">
        <v>2747</v>
      </c>
      <c r="R578" s="2" t="s">
        <v>2748</v>
      </c>
      <c r="S578" s="4">
        <v>44837</v>
      </c>
    </row>
    <row r="579" spans="1:19" ht="12.5" x14ac:dyDescent="0.25">
      <c r="A579" s="14" t="str">
        <f>HYPERLINK("https://gerandofalcoes.my.salesforce.com/0014X00002OEuaoQAD", "0014X00002OEuaoQAD")</f>
        <v>0014X00002OEuaoQAD</v>
      </c>
      <c r="B579" s="2" t="s">
        <v>2749</v>
      </c>
      <c r="C579" s="2" t="s">
        <v>1800</v>
      </c>
      <c r="D579" s="2" t="s">
        <v>2</v>
      </c>
      <c r="E579" s="2">
        <v>14</v>
      </c>
      <c r="F579" s="2">
        <v>0</v>
      </c>
      <c r="G579" s="2">
        <v>2</v>
      </c>
      <c r="H579" s="2">
        <v>0</v>
      </c>
      <c r="I579" s="2">
        <v>230</v>
      </c>
      <c r="J579" s="2" t="s">
        <v>1779</v>
      </c>
      <c r="K579" s="2">
        <v>28</v>
      </c>
      <c r="L579" s="2">
        <v>10</v>
      </c>
      <c r="M579" s="2">
        <v>0</v>
      </c>
      <c r="N579" s="2">
        <v>6</v>
      </c>
      <c r="O579" s="2">
        <v>0</v>
      </c>
      <c r="P579" s="2">
        <v>12</v>
      </c>
      <c r="Q579" s="2" t="s">
        <v>2750</v>
      </c>
      <c r="R579" s="2" t="s">
        <v>2751</v>
      </c>
      <c r="S579" s="4">
        <v>44837</v>
      </c>
    </row>
    <row r="580" spans="1:19" ht="12.5" x14ac:dyDescent="0.25">
      <c r="A580" s="14" t="str">
        <f>HYPERLINK("https://gerandofalcoes.my.salesforce.com/0014P00003YSpP9QAL", "0014P00003YSpP9QAL")</f>
        <v>0014P00003YSpP9QAL</v>
      </c>
      <c r="B580" s="2" t="s">
        <v>2752</v>
      </c>
      <c r="C580" s="2" t="s">
        <v>423</v>
      </c>
      <c r="D580" s="2" t="s">
        <v>2</v>
      </c>
      <c r="E580" s="2">
        <v>14</v>
      </c>
      <c r="F580" s="2">
        <v>0</v>
      </c>
      <c r="G580" s="2">
        <v>12</v>
      </c>
      <c r="H580" s="2">
        <v>13000</v>
      </c>
      <c r="I580" s="2">
        <v>208</v>
      </c>
      <c r="J580" s="2" t="s">
        <v>1779</v>
      </c>
      <c r="K580" s="2">
        <v>37</v>
      </c>
      <c r="L580" s="2">
        <v>10</v>
      </c>
      <c r="M580" s="2">
        <v>0</v>
      </c>
      <c r="N580" s="2">
        <v>10</v>
      </c>
      <c r="O580" s="2">
        <v>5</v>
      </c>
      <c r="P580" s="2">
        <v>12</v>
      </c>
      <c r="Q580" s="2" t="s">
        <v>2753</v>
      </c>
      <c r="R580" s="2" t="s">
        <v>2754</v>
      </c>
      <c r="S580" s="4">
        <v>44837</v>
      </c>
    </row>
    <row r="581" spans="1:19" ht="12.5" hidden="1" x14ac:dyDescent="0.25">
      <c r="A581" s="14" t="str">
        <f>HYPERLINK("https://gerandofalcoes.my.salesforce.com/0014X00002VKCrDQAX", "0014X00002VKCrDQAX")</f>
        <v>0014X00002VKCrDQAX</v>
      </c>
      <c r="B581" s="2" t="s">
        <v>2755</v>
      </c>
      <c r="C581" s="2" t="s">
        <v>1684</v>
      </c>
      <c r="D581" s="2" t="s">
        <v>2</v>
      </c>
      <c r="E581" s="2">
        <v>14</v>
      </c>
      <c r="F581" s="2">
        <v>2</v>
      </c>
      <c r="G581" s="2">
        <v>0</v>
      </c>
      <c r="H581" s="2">
        <v>0</v>
      </c>
      <c r="I581" s="2">
        <v>60</v>
      </c>
      <c r="J581" s="2" t="s">
        <v>1779</v>
      </c>
      <c r="K581" s="2">
        <v>20</v>
      </c>
      <c r="L581" s="2">
        <v>10</v>
      </c>
      <c r="M581" s="2">
        <v>5</v>
      </c>
      <c r="N581" s="2">
        <v>0</v>
      </c>
      <c r="O581" s="2">
        <v>0</v>
      </c>
      <c r="P581" s="2">
        <v>5</v>
      </c>
      <c r="Q581" s="2" t="s">
        <v>2756</v>
      </c>
      <c r="R581" s="2" t="s">
        <v>2756</v>
      </c>
      <c r="S581" s="4">
        <v>44837</v>
      </c>
    </row>
    <row r="582" spans="1:19" ht="12.5" x14ac:dyDescent="0.25">
      <c r="A582" s="14" t="str">
        <f>HYPERLINK("https://gerandofalcoes.my.salesforce.com/0014X00002VKCpFQAX", "0014X00002VKCpFQAX")</f>
        <v>0014X00002VKCpFQAX</v>
      </c>
      <c r="B582" s="2" t="s">
        <v>2757</v>
      </c>
      <c r="C582" s="2" t="s">
        <v>423</v>
      </c>
      <c r="D582" s="2" t="s">
        <v>2</v>
      </c>
      <c r="E582" s="2">
        <v>14</v>
      </c>
      <c r="F582" s="2">
        <v>0</v>
      </c>
      <c r="G582" s="2">
        <v>2</v>
      </c>
      <c r="H582" s="2">
        <v>5000</v>
      </c>
      <c r="I582" s="2">
        <v>30</v>
      </c>
      <c r="J582" s="2" t="s">
        <v>1779</v>
      </c>
      <c r="K582" s="2">
        <v>26</v>
      </c>
      <c r="L582" s="2">
        <v>10</v>
      </c>
      <c r="M582" s="2">
        <v>0</v>
      </c>
      <c r="N582" s="2">
        <v>6</v>
      </c>
      <c r="O582" s="2">
        <v>5</v>
      </c>
      <c r="P582" s="2">
        <v>5</v>
      </c>
      <c r="Q582" s="2" t="s">
        <v>2758</v>
      </c>
      <c r="R582" s="2" t="s">
        <v>2758</v>
      </c>
      <c r="S582" s="4">
        <v>44837</v>
      </c>
    </row>
    <row r="583" spans="1:19" ht="12.5" x14ac:dyDescent="0.25">
      <c r="A583" s="14" t="str">
        <f>HYPERLINK("https://gerandofalcoes.my.salesforce.com/0014X00002VKCqVQAX", "0014X00002VKCqVQAX")</f>
        <v>0014X00002VKCqVQAX</v>
      </c>
      <c r="B583" s="2" t="s">
        <v>2759</v>
      </c>
      <c r="C583" s="2" t="s">
        <v>423</v>
      </c>
      <c r="D583" s="2" t="s">
        <v>2</v>
      </c>
      <c r="E583" s="2">
        <v>14</v>
      </c>
      <c r="F583" s="2">
        <v>0</v>
      </c>
      <c r="G583" s="2">
        <v>15</v>
      </c>
      <c r="H583" s="2">
        <v>1850078</v>
      </c>
      <c r="I583" s="2">
        <v>20</v>
      </c>
      <c r="J583" s="2" t="s">
        <v>1671</v>
      </c>
      <c r="K583" s="2">
        <v>50</v>
      </c>
      <c r="L583" s="2">
        <v>10</v>
      </c>
      <c r="M583" s="2">
        <v>0</v>
      </c>
      <c r="N583" s="2">
        <v>10</v>
      </c>
      <c r="O583" s="2">
        <v>25</v>
      </c>
      <c r="P583" s="2">
        <v>5</v>
      </c>
      <c r="Q583" s="2" t="s">
        <v>2760</v>
      </c>
      <c r="R583" s="2" t="s">
        <v>2761</v>
      </c>
      <c r="S583" s="4">
        <v>44837</v>
      </c>
    </row>
    <row r="584" spans="1:19" ht="12.5" x14ac:dyDescent="0.25">
      <c r="A584" s="14" t="str">
        <f>HYPERLINK("https://gerandofalcoes.my.salesforce.com/0014X00002VKCtMQAX", "0014X00002VKCtMQAX")</f>
        <v>0014X00002VKCtMQAX</v>
      </c>
      <c r="B584" s="2" t="s">
        <v>2762</v>
      </c>
      <c r="C584" s="2" t="s">
        <v>1800</v>
      </c>
      <c r="D584" s="2" t="s">
        <v>2</v>
      </c>
      <c r="E584" s="2">
        <v>14</v>
      </c>
      <c r="F584" s="2">
        <v>5</v>
      </c>
      <c r="G584" s="2">
        <v>2</v>
      </c>
      <c r="H584" s="2">
        <v>500</v>
      </c>
      <c r="I584" s="2">
        <v>0</v>
      </c>
      <c r="J584" s="2" t="s">
        <v>1779</v>
      </c>
      <c r="K584" s="2">
        <v>26</v>
      </c>
      <c r="L584" s="2">
        <v>10</v>
      </c>
      <c r="M584" s="2">
        <v>5</v>
      </c>
      <c r="N584" s="2">
        <v>6</v>
      </c>
      <c r="O584" s="2">
        <v>5</v>
      </c>
      <c r="P584" s="2">
        <v>0</v>
      </c>
      <c r="Q584" s="2" t="s">
        <v>2763</v>
      </c>
      <c r="R584" s="2" t="s">
        <v>2764</v>
      </c>
      <c r="S584" s="4">
        <v>44837</v>
      </c>
    </row>
    <row r="585" spans="1:19" ht="12.5" x14ac:dyDescent="0.25">
      <c r="A585" s="14" t="str">
        <f>HYPERLINK("https://gerandofalcoes.my.salesforce.com/0014X00002VKCrQQAX", "0014X00002VKCrQQAX")</f>
        <v>0014X00002VKCrQQAX</v>
      </c>
      <c r="B585" s="2" t="s">
        <v>2765</v>
      </c>
      <c r="C585" s="2" t="s">
        <v>1800</v>
      </c>
      <c r="D585" s="2" t="s">
        <v>2</v>
      </c>
      <c r="E585" s="2">
        <v>14</v>
      </c>
      <c r="F585" s="2">
        <v>0</v>
      </c>
      <c r="G585" s="2">
        <v>2</v>
      </c>
      <c r="H585" s="2">
        <v>40000</v>
      </c>
      <c r="I585" s="2">
        <v>0</v>
      </c>
      <c r="J585" s="2" t="s">
        <v>1779</v>
      </c>
      <c r="K585" s="2">
        <v>26</v>
      </c>
      <c r="L585" s="2">
        <v>10</v>
      </c>
      <c r="M585" s="2">
        <v>0</v>
      </c>
      <c r="N585" s="2">
        <v>6</v>
      </c>
      <c r="O585" s="2">
        <v>10</v>
      </c>
      <c r="P585" s="2">
        <v>0</v>
      </c>
      <c r="Q585" s="2" t="s">
        <v>2766</v>
      </c>
      <c r="R585" s="2" t="s">
        <v>2767</v>
      </c>
      <c r="S585" s="4">
        <v>44837</v>
      </c>
    </row>
    <row r="586" spans="1:19" ht="12.5" x14ac:dyDescent="0.25">
      <c r="A586" s="14" t="str">
        <f>HYPERLINK("https://gerandofalcoes.my.salesforce.com/0014X00002VKCtuQAH", "0014X00002VKCtuQAH")</f>
        <v>0014X00002VKCtuQAH</v>
      </c>
      <c r="B586" s="2" t="s">
        <v>2768</v>
      </c>
      <c r="C586" s="2" t="s">
        <v>423</v>
      </c>
      <c r="D586" s="2" t="s">
        <v>2</v>
      </c>
      <c r="E586" s="2">
        <v>13.78</v>
      </c>
      <c r="F586" s="2">
        <v>0</v>
      </c>
      <c r="G586" s="2">
        <v>2</v>
      </c>
      <c r="H586" s="2">
        <v>254344</v>
      </c>
      <c r="I586" s="2">
        <v>0</v>
      </c>
      <c r="J586" s="2" t="s">
        <v>1779</v>
      </c>
      <c r="K586" s="2">
        <v>31</v>
      </c>
      <c r="L586" s="2">
        <v>10</v>
      </c>
      <c r="M586" s="2">
        <v>0</v>
      </c>
      <c r="N586" s="2">
        <v>6</v>
      </c>
      <c r="O586" s="2">
        <v>15</v>
      </c>
      <c r="P586" s="2">
        <v>0</v>
      </c>
      <c r="Q586" s="2" t="s">
        <v>2769</v>
      </c>
      <c r="R586" s="2" t="s">
        <v>2770</v>
      </c>
      <c r="S586" s="4">
        <v>44837</v>
      </c>
    </row>
    <row r="587" spans="1:19" ht="12.5" x14ac:dyDescent="0.25">
      <c r="A587" s="14" t="str">
        <f>HYPERLINK("https://gerandofalcoes.my.salesforce.com/0014X00002VKCscQAH", "0014X00002VKCscQAH")</f>
        <v>0014X00002VKCscQAH</v>
      </c>
      <c r="B587" s="2" t="s">
        <v>2771</v>
      </c>
      <c r="C587" s="2" t="s">
        <v>423</v>
      </c>
      <c r="D587" s="2" t="s">
        <v>2</v>
      </c>
      <c r="E587" s="2">
        <v>13.67</v>
      </c>
      <c r="F587" s="2">
        <v>6</v>
      </c>
      <c r="G587" s="2">
        <v>0</v>
      </c>
      <c r="H587" s="2">
        <v>0</v>
      </c>
      <c r="I587" s="2">
        <v>150</v>
      </c>
      <c r="J587" s="2" t="s">
        <v>1779</v>
      </c>
      <c r="K587" s="2">
        <v>32</v>
      </c>
      <c r="L587" s="2">
        <v>10</v>
      </c>
      <c r="M587" s="2">
        <v>10</v>
      </c>
      <c r="N587" s="2">
        <v>0</v>
      </c>
      <c r="O587" s="2">
        <v>0</v>
      </c>
      <c r="P587" s="2">
        <v>12</v>
      </c>
      <c r="Q587" s="2" t="s">
        <v>2772</v>
      </c>
      <c r="R587" s="2" t="s">
        <v>2773</v>
      </c>
      <c r="S587" s="4">
        <v>44837</v>
      </c>
    </row>
    <row r="588" spans="1:19" ht="12.5" x14ac:dyDescent="0.25">
      <c r="A588" s="14" t="str">
        <f>HYPERLINK("https://gerandofalcoes.my.salesforce.com/0014P00003SGWPrQAP", "0014P00003SGWPrQAP")</f>
        <v>0014P00003SGWPrQAP</v>
      </c>
      <c r="B588" s="2" t="s">
        <v>2774</v>
      </c>
      <c r="C588" s="2" t="s">
        <v>423</v>
      </c>
      <c r="D588" s="2" t="s">
        <v>2</v>
      </c>
      <c r="E588" s="2">
        <v>13.4</v>
      </c>
      <c r="F588" s="2">
        <v>0</v>
      </c>
      <c r="G588" s="2">
        <v>2</v>
      </c>
      <c r="H588" s="2">
        <v>50000</v>
      </c>
      <c r="I588" s="2">
        <v>52</v>
      </c>
      <c r="J588" s="2" t="s">
        <v>1779</v>
      </c>
      <c r="K588" s="2">
        <v>31</v>
      </c>
      <c r="L588" s="2">
        <v>10</v>
      </c>
      <c r="M588" s="2">
        <v>0</v>
      </c>
      <c r="N588" s="2">
        <v>6</v>
      </c>
      <c r="O588" s="2">
        <v>10</v>
      </c>
      <c r="P588" s="2">
        <v>5</v>
      </c>
      <c r="Q588" s="2" t="s">
        <v>329</v>
      </c>
      <c r="R588" s="2" t="s">
        <v>1419</v>
      </c>
      <c r="S588" s="4">
        <v>44837</v>
      </c>
    </row>
    <row r="589" spans="1:19" ht="12.5" x14ac:dyDescent="0.25">
      <c r="A589" s="14" t="str">
        <f>HYPERLINK("https://gerandofalcoes.my.salesforce.com/0014P00003YSp8lQAD", "0014P00003YSp8lQAD")</f>
        <v>0014P00003YSp8lQAD</v>
      </c>
      <c r="B589" s="2" t="s">
        <v>2775</v>
      </c>
      <c r="C589" s="2" t="s">
        <v>423</v>
      </c>
      <c r="D589" s="2" t="s">
        <v>2</v>
      </c>
      <c r="E589" s="2">
        <v>13.27</v>
      </c>
      <c r="F589" s="2">
        <v>0</v>
      </c>
      <c r="G589" s="2">
        <v>5</v>
      </c>
      <c r="H589" s="2">
        <v>111840</v>
      </c>
      <c r="I589" s="2">
        <v>30</v>
      </c>
      <c r="J589" s="2" t="s">
        <v>1671</v>
      </c>
      <c r="K589" s="2">
        <v>40</v>
      </c>
      <c r="L589" s="2">
        <v>10</v>
      </c>
      <c r="M589" s="2">
        <v>0</v>
      </c>
      <c r="N589" s="2">
        <v>10</v>
      </c>
      <c r="O589" s="2">
        <v>15</v>
      </c>
      <c r="P589" s="2">
        <v>5</v>
      </c>
      <c r="Q589" s="2" t="s">
        <v>2776</v>
      </c>
      <c r="R589" s="2" t="s">
        <v>2776</v>
      </c>
      <c r="S589" s="4">
        <v>44837</v>
      </c>
    </row>
    <row r="590" spans="1:19" ht="12.5" x14ac:dyDescent="0.25">
      <c r="A590" s="14" t="str">
        <f>HYPERLINK("https://gerandofalcoes.my.salesforce.com/0014X00002YgglYQAR", "0014X00002YgglYQAR")</f>
        <v>0014X00002YgglYQAR</v>
      </c>
      <c r="B590" s="2" t="s">
        <v>3154</v>
      </c>
      <c r="C590" s="2" t="s">
        <v>423</v>
      </c>
      <c r="D590" s="2" t="s">
        <v>2</v>
      </c>
      <c r="E590" s="2">
        <v>13.07</v>
      </c>
      <c r="F590" s="2">
        <v>0</v>
      </c>
      <c r="G590" s="2">
        <v>2</v>
      </c>
      <c r="H590" s="2">
        <v>5000</v>
      </c>
      <c r="I590" s="2">
        <v>30</v>
      </c>
      <c r="J590" s="2" t="s">
        <v>1779</v>
      </c>
      <c r="K590" s="2">
        <v>26</v>
      </c>
      <c r="L590" s="2">
        <v>10</v>
      </c>
      <c r="M590" s="2">
        <v>0</v>
      </c>
      <c r="N590" s="2">
        <v>6</v>
      </c>
      <c r="O590" s="2">
        <v>5</v>
      </c>
      <c r="P590" s="2">
        <v>5</v>
      </c>
      <c r="Q590" s="2" t="s">
        <v>3155</v>
      </c>
      <c r="R590" s="2" t="s">
        <v>3156</v>
      </c>
      <c r="S590" s="4">
        <v>44950</v>
      </c>
    </row>
    <row r="591" spans="1:19" ht="12.5" x14ac:dyDescent="0.25">
      <c r="A591" s="14" t="str">
        <f>HYPERLINK("https://gerandofalcoes.my.salesforce.com/0014X00002VKCu7QAH", "0014X00002VKCu7QAH")</f>
        <v>0014X00002VKCu7QAH</v>
      </c>
      <c r="B591" s="2" t="s">
        <v>2777</v>
      </c>
      <c r="C591" s="2" t="s">
        <v>423</v>
      </c>
      <c r="D591" s="2" t="s">
        <v>2</v>
      </c>
      <c r="E591" s="2">
        <v>13.06</v>
      </c>
      <c r="F591" s="2">
        <v>4</v>
      </c>
      <c r="G591" s="2">
        <v>2</v>
      </c>
      <c r="H591" s="2">
        <v>64700000</v>
      </c>
      <c r="I591" s="2">
        <v>210</v>
      </c>
      <c r="J591" s="2" t="s">
        <v>1671</v>
      </c>
      <c r="K591" s="2">
        <v>58</v>
      </c>
      <c r="L591" s="2">
        <v>10</v>
      </c>
      <c r="M591" s="2">
        <v>5</v>
      </c>
      <c r="N591" s="2">
        <v>6</v>
      </c>
      <c r="O591" s="2">
        <v>25</v>
      </c>
      <c r="P591" s="2">
        <v>12</v>
      </c>
      <c r="Q591" s="2" t="s">
        <v>2778</v>
      </c>
      <c r="R591" s="2" t="s">
        <v>2779</v>
      </c>
      <c r="S591" s="4">
        <v>44837</v>
      </c>
    </row>
    <row r="592" spans="1:19" ht="12.5" x14ac:dyDescent="0.25">
      <c r="A592" s="14" t="str">
        <f>HYPERLINK("https://gerandofalcoes.my.salesforce.com/0014X00002YggqwQAB", "0014X00002YggqwQAB")</f>
        <v>0014X00002YggqwQAB</v>
      </c>
      <c r="B592" s="2" t="s">
        <v>3319</v>
      </c>
      <c r="C592" s="2" t="s">
        <v>423</v>
      </c>
      <c r="D592" s="2" t="s">
        <v>2</v>
      </c>
      <c r="E592" s="2">
        <v>13.02</v>
      </c>
      <c r="F592" s="2">
        <v>4</v>
      </c>
      <c r="G592" s="2">
        <v>2</v>
      </c>
      <c r="H592" s="2">
        <v>6082</v>
      </c>
      <c r="I592" s="2">
        <v>50</v>
      </c>
      <c r="J592" s="2" t="s">
        <v>1779</v>
      </c>
      <c r="K592" s="2">
        <v>31</v>
      </c>
      <c r="L592" s="2">
        <v>10</v>
      </c>
      <c r="M592" s="2">
        <v>5</v>
      </c>
      <c r="N592" s="2">
        <v>6</v>
      </c>
      <c r="O592" s="2">
        <v>5</v>
      </c>
      <c r="P592" s="2">
        <v>5</v>
      </c>
      <c r="Q592" s="2" t="s">
        <v>3320</v>
      </c>
      <c r="R592" s="2" t="s">
        <v>3321</v>
      </c>
      <c r="S592" s="4">
        <v>44953</v>
      </c>
    </row>
    <row r="593" spans="1:19" ht="12.5" x14ac:dyDescent="0.25">
      <c r="A593" s="14" t="str">
        <f>HYPERLINK("https://gerandofalcoes.my.salesforce.com/0014X00002VKCsQQAX", "0014X00002VKCsQQAX")</f>
        <v>0014X00002VKCsQQAX</v>
      </c>
      <c r="B593" s="2" t="s">
        <v>2780</v>
      </c>
      <c r="C593" s="2" t="s">
        <v>423</v>
      </c>
      <c r="D593" s="2" t="s">
        <v>2</v>
      </c>
      <c r="E593" s="2">
        <v>13</v>
      </c>
      <c r="F593" s="2">
        <v>0</v>
      </c>
      <c r="G593" s="2">
        <v>2</v>
      </c>
      <c r="H593" s="2">
        <v>0</v>
      </c>
      <c r="I593" s="2">
        <v>585</v>
      </c>
      <c r="J593" s="2" t="s">
        <v>1779</v>
      </c>
      <c r="K593" s="2">
        <v>36</v>
      </c>
      <c r="L593" s="2">
        <v>10</v>
      </c>
      <c r="M593" s="2">
        <v>0</v>
      </c>
      <c r="N593" s="2">
        <v>6</v>
      </c>
      <c r="O593" s="2">
        <v>0</v>
      </c>
      <c r="P593" s="2">
        <v>20</v>
      </c>
      <c r="Q593" s="2" t="s">
        <v>2781</v>
      </c>
      <c r="R593" s="2" t="s">
        <v>2782</v>
      </c>
      <c r="S593" s="4">
        <v>44837</v>
      </c>
    </row>
    <row r="594" spans="1:19" ht="12.5" x14ac:dyDescent="0.25">
      <c r="A594" s="14" t="str">
        <f>HYPERLINK("https://gerandofalcoes.my.salesforce.com/0014X00002VKCqNQAX", "0014X00002VKCqNQAX")</f>
        <v>0014X00002VKCqNQAX</v>
      </c>
      <c r="B594" s="2" t="s">
        <v>2783</v>
      </c>
      <c r="C594" s="2" t="s">
        <v>423</v>
      </c>
      <c r="D594" s="2" t="s">
        <v>2</v>
      </c>
      <c r="E594" s="2">
        <v>13</v>
      </c>
      <c r="F594" s="2">
        <v>10</v>
      </c>
      <c r="G594" s="2">
        <v>10</v>
      </c>
      <c r="H594" s="2">
        <v>275000</v>
      </c>
      <c r="I594" s="2">
        <v>348</v>
      </c>
      <c r="J594" s="2" t="s">
        <v>1671</v>
      </c>
      <c r="K594" s="2">
        <v>60</v>
      </c>
      <c r="L594" s="2">
        <v>10</v>
      </c>
      <c r="M594" s="2">
        <v>10</v>
      </c>
      <c r="N594" s="2">
        <v>10</v>
      </c>
      <c r="O594" s="2">
        <v>15</v>
      </c>
      <c r="P594" s="2">
        <v>15</v>
      </c>
      <c r="Q594" s="2" t="s">
        <v>2784</v>
      </c>
      <c r="R594" s="2" t="s">
        <v>2785</v>
      </c>
      <c r="S594" s="4">
        <v>44837</v>
      </c>
    </row>
    <row r="595" spans="1:19" ht="12.5" x14ac:dyDescent="0.25">
      <c r="A595" s="14" t="str">
        <f>HYPERLINK("https://gerandofalcoes.my.salesforce.com/0014X00002VKCqhQAH", "0014X00002VKCqhQAH")</f>
        <v>0014X00002VKCqhQAH</v>
      </c>
      <c r="B595" s="2" t="s">
        <v>2786</v>
      </c>
      <c r="C595" s="2" t="s">
        <v>423</v>
      </c>
      <c r="D595" s="2" t="s">
        <v>2</v>
      </c>
      <c r="E595" s="2">
        <v>13</v>
      </c>
      <c r="F595" s="2">
        <v>0</v>
      </c>
      <c r="G595" s="2">
        <v>0</v>
      </c>
      <c r="H595" s="2">
        <v>0</v>
      </c>
      <c r="I595" s="2">
        <v>300</v>
      </c>
      <c r="J595" s="2" t="s">
        <v>1779</v>
      </c>
      <c r="K595" s="2">
        <v>25</v>
      </c>
      <c r="L595" s="2">
        <v>10</v>
      </c>
      <c r="M595" s="2">
        <v>0</v>
      </c>
      <c r="N595" s="2">
        <v>0</v>
      </c>
      <c r="O595" s="2">
        <v>0</v>
      </c>
      <c r="P595" s="2">
        <v>15</v>
      </c>
      <c r="Q595" s="2" t="s">
        <v>2787</v>
      </c>
      <c r="R595" s="2" t="s">
        <v>2788</v>
      </c>
      <c r="S595" s="4">
        <v>44837</v>
      </c>
    </row>
    <row r="596" spans="1:19" ht="12.5" x14ac:dyDescent="0.25">
      <c r="A596" s="14" t="str">
        <f>HYPERLINK("https://gerandofalcoes.my.salesforce.com/0014X00002VKCsDQAX", "0014X00002VKCsDQAX")</f>
        <v>0014X00002VKCsDQAX</v>
      </c>
      <c r="B596" s="2" t="s">
        <v>2789</v>
      </c>
      <c r="C596" s="2" t="s">
        <v>423</v>
      </c>
      <c r="D596" s="2" t="s">
        <v>2</v>
      </c>
      <c r="E596" s="2">
        <v>13</v>
      </c>
      <c r="F596" s="2">
        <v>0</v>
      </c>
      <c r="G596" s="2">
        <v>2</v>
      </c>
      <c r="H596" s="2">
        <v>14000</v>
      </c>
      <c r="I596" s="2">
        <v>60</v>
      </c>
      <c r="J596" s="2" t="s">
        <v>1779</v>
      </c>
      <c r="K596" s="2">
        <v>26</v>
      </c>
      <c r="L596" s="2">
        <v>10</v>
      </c>
      <c r="M596" s="2">
        <v>0</v>
      </c>
      <c r="N596" s="2">
        <v>6</v>
      </c>
      <c r="O596" s="2">
        <v>5</v>
      </c>
      <c r="P596" s="2">
        <v>5</v>
      </c>
      <c r="Q596" s="2" t="s">
        <v>2790</v>
      </c>
      <c r="R596" s="2" t="s">
        <v>2791</v>
      </c>
      <c r="S596" s="4">
        <v>44837</v>
      </c>
    </row>
    <row r="597" spans="1:19" ht="12.5" x14ac:dyDescent="0.25">
      <c r="A597" s="14" t="str">
        <f>HYPERLINK("https://gerandofalcoes.my.salesforce.com/0014P00003YSp9qQAD", "0014P00003YSp9qQAD")</f>
        <v>0014P00003YSp9qQAD</v>
      </c>
      <c r="B597" s="2" t="s">
        <v>2792</v>
      </c>
      <c r="C597" s="2" t="s">
        <v>1800</v>
      </c>
      <c r="D597" s="2" t="s">
        <v>2</v>
      </c>
      <c r="E597" s="2">
        <v>13</v>
      </c>
      <c r="F597" s="2">
        <v>0</v>
      </c>
      <c r="G597" s="2">
        <v>4</v>
      </c>
      <c r="H597" s="2">
        <v>3000</v>
      </c>
      <c r="I597" s="2">
        <v>60</v>
      </c>
      <c r="J597" s="2" t="s">
        <v>1779</v>
      </c>
      <c r="K597" s="2">
        <v>30</v>
      </c>
      <c r="L597" s="2">
        <v>10</v>
      </c>
      <c r="M597" s="2">
        <v>0</v>
      </c>
      <c r="N597" s="2">
        <v>10</v>
      </c>
      <c r="O597" s="2">
        <v>5</v>
      </c>
      <c r="P597" s="2">
        <v>5</v>
      </c>
      <c r="Q597" s="2" t="s">
        <v>2793</v>
      </c>
      <c r="R597" s="2" t="s">
        <v>2794</v>
      </c>
      <c r="S597" s="4">
        <v>44837</v>
      </c>
    </row>
    <row r="598" spans="1:19" ht="12.5" x14ac:dyDescent="0.25">
      <c r="A598" s="14" t="str">
        <f>HYPERLINK("https://gerandofalcoes.my.salesforce.com/0014X00002VKCpUQAX", "0014X00002VKCpUQAX")</f>
        <v>0014X00002VKCpUQAX</v>
      </c>
      <c r="B598" s="2" t="s">
        <v>2795</v>
      </c>
      <c r="C598" s="2" t="s">
        <v>423</v>
      </c>
      <c r="D598" s="2" t="s">
        <v>2</v>
      </c>
      <c r="E598" s="2">
        <v>13</v>
      </c>
      <c r="F598" s="2">
        <v>3</v>
      </c>
      <c r="G598" s="2">
        <v>1</v>
      </c>
      <c r="H598" s="2">
        <v>1200</v>
      </c>
      <c r="I598" s="2">
        <v>50</v>
      </c>
      <c r="J598" s="2" t="s">
        <v>1779</v>
      </c>
      <c r="K598" s="2">
        <v>29</v>
      </c>
      <c r="L598" s="2">
        <v>10</v>
      </c>
      <c r="M598" s="2">
        <v>5</v>
      </c>
      <c r="N598" s="2">
        <v>4</v>
      </c>
      <c r="O598" s="2">
        <v>5</v>
      </c>
      <c r="P598" s="2">
        <v>5</v>
      </c>
      <c r="Q598" s="2" t="s">
        <v>2796</v>
      </c>
      <c r="R598" s="2" t="s">
        <v>2797</v>
      </c>
      <c r="S598" s="4">
        <v>44837</v>
      </c>
    </row>
    <row r="599" spans="1:19" ht="12.5" x14ac:dyDescent="0.25">
      <c r="A599" s="14" t="str">
        <f>HYPERLINK("https://gerandofalcoes.my.salesforce.com/0014X00002VKCsLQAX", "0014X00002VKCsLQAX")</f>
        <v>0014X00002VKCsLQAX</v>
      </c>
      <c r="B599" s="2" t="s">
        <v>2798</v>
      </c>
      <c r="C599" s="2" t="s">
        <v>1800</v>
      </c>
      <c r="D599" s="2" t="s">
        <v>2</v>
      </c>
      <c r="E599" s="2">
        <v>13</v>
      </c>
      <c r="F599" s="2">
        <v>0</v>
      </c>
      <c r="G599" s="2">
        <v>3</v>
      </c>
      <c r="H599" s="2">
        <v>500</v>
      </c>
      <c r="I599" s="2">
        <v>30</v>
      </c>
      <c r="J599" s="2" t="s">
        <v>1779</v>
      </c>
      <c r="K599" s="2">
        <v>28</v>
      </c>
      <c r="L599" s="2">
        <v>10</v>
      </c>
      <c r="M599" s="2">
        <v>0</v>
      </c>
      <c r="N599" s="2">
        <v>8</v>
      </c>
      <c r="O599" s="2">
        <v>5</v>
      </c>
      <c r="P599" s="2">
        <v>5</v>
      </c>
      <c r="Q599" s="2" t="s">
        <v>2799</v>
      </c>
      <c r="R599" s="2" t="s">
        <v>2800</v>
      </c>
      <c r="S599" s="4">
        <v>44837</v>
      </c>
    </row>
    <row r="600" spans="1:19" ht="12.5" x14ac:dyDescent="0.25">
      <c r="A600" s="14" t="str">
        <f>HYPERLINK("https://gerandofalcoes.my.salesforce.com/0014P00003YSp7xQAD", "0014P00003YSp7xQAD")</f>
        <v>0014P00003YSp7xQAD</v>
      </c>
      <c r="B600" s="2" t="s">
        <v>2801</v>
      </c>
      <c r="C600" s="2" t="s">
        <v>1800</v>
      </c>
      <c r="D600" s="2" t="s">
        <v>2</v>
      </c>
      <c r="E600" s="2">
        <v>13</v>
      </c>
      <c r="F600" s="2">
        <v>7</v>
      </c>
      <c r="G600" s="2">
        <v>3</v>
      </c>
      <c r="H600" s="2">
        <v>1000</v>
      </c>
      <c r="I600" s="2">
        <v>30</v>
      </c>
      <c r="J600" s="2" t="s">
        <v>1779</v>
      </c>
      <c r="K600" s="2">
        <v>38</v>
      </c>
      <c r="L600" s="2">
        <v>10</v>
      </c>
      <c r="M600" s="2">
        <v>10</v>
      </c>
      <c r="N600" s="2">
        <v>8</v>
      </c>
      <c r="O600" s="2">
        <v>5</v>
      </c>
      <c r="P600" s="2">
        <v>5</v>
      </c>
      <c r="Q600" s="2" t="s">
        <v>2802</v>
      </c>
      <c r="R600" s="2" t="s">
        <v>2803</v>
      </c>
      <c r="S600" s="4">
        <v>44837</v>
      </c>
    </row>
    <row r="601" spans="1:19" ht="12.5" x14ac:dyDescent="0.25">
      <c r="A601" s="14" t="str">
        <f>HYPERLINK("https://gerandofalcoes.my.salesforce.com/0014X00002VKCrfQAH", "0014X00002VKCrfQAH")</f>
        <v>0014X00002VKCrfQAH</v>
      </c>
      <c r="B601" s="2" t="s">
        <v>2804</v>
      </c>
      <c r="C601" s="2" t="s">
        <v>1800</v>
      </c>
      <c r="D601" s="2" t="s">
        <v>2</v>
      </c>
      <c r="E601" s="2">
        <v>13</v>
      </c>
      <c r="F601" s="2">
        <v>0</v>
      </c>
      <c r="G601" s="2">
        <v>4</v>
      </c>
      <c r="H601" s="2">
        <v>10000</v>
      </c>
      <c r="I601" s="2">
        <v>2</v>
      </c>
      <c r="J601" s="2" t="s">
        <v>1779</v>
      </c>
      <c r="K601" s="2">
        <v>30</v>
      </c>
      <c r="L601" s="2">
        <v>10</v>
      </c>
      <c r="M601" s="2">
        <v>0</v>
      </c>
      <c r="N601" s="2">
        <v>10</v>
      </c>
      <c r="O601" s="2">
        <v>5</v>
      </c>
      <c r="P601" s="2">
        <v>5</v>
      </c>
      <c r="Q601" s="2" t="s">
        <v>2805</v>
      </c>
      <c r="R601" s="2" t="s">
        <v>2806</v>
      </c>
      <c r="S601" s="4">
        <v>44837</v>
      </c>
    </row>
    <row r="602" spans="1:19" ht="12.5" x14ac:dyDescent="0.25">
      <c r="A602" s="14" t="str">
        <f>HYPERLINK("https://gerandofalcoes.my.salesforce.com/0014X00002VKCqUQAX", "0014X00002VKCqUQAX")</f>
        <v>0014X00002VKCqUQAX</v>
      </c>
      <c r="B602" s="2" t="s">
        <v>2807</v>
      </c>
      <c r="C602" s="2" t="s">
        <v>1800</v>
      </c>
      <c r="D602" s="2" t="s">
        <v>2</v>
      </c>
      <c r="E602" s="2">
        <v>13</v>
      </c>
      <c r="F602" s="2">
        <v>0</v>
      </c>
      <c r="G602" s="2">
        <v>3</v>
      </c>
      <c r="H602" s="2">
        <v>10000</v>
      </c>
      <c r="I602" s="2">
        <v>0</v>
      </c>
      <c r="J602" s="2" t="s">
        <v>1779</v>
      </c>
      <c r="K602" s="2">
        <v>23</v>
      </c>
      <c r="L602" s="2">
        <v>10</v>
      </c>
      <c r="M602" s="2">
        <v>0</v>
      </c>
      <c r="N602" s="2">
        <v>8</v>
      </c>
      <c r="O602" s="2">
        <v>5</v>
      </c>
      <c r="P602" s="2">
        <v>0</v>
      </c>
      <c r="Q602" s="2" t="s">
        <v>2808</v>
      </c>
      <c r="R602" s="2" t="s">
        <v>2808</v>
      </c>
      <c r="S602" s="4">
        <v>44837</v>
      </c>
    </row>
    <row r="603" spans="1:19" ht="12.5" x14ac:dyDescent="0.25">
      <c r="A603" s="14" t="str">
        <f>HYPERLINK("https://gerandofalcoes.my.salesforce.com/0014X00002YggiyQAB", "0014X00002YggiyQAB")</f>
        <v>0014X00002YggiyQAB</v>
      </c>
      <c r="B603" s="2" t="s">
        <v>3815</v>
      </c>
      <c r="C603" s="2" t="s">
        <v>423</v>
      </c>
      <c r="D603" s="2" t="s">
        <v>2</v>
      </c>
      <c r="E603" s="2">
        <v>12.99</v>
      </c>
      <c r="F603" s="2">
        <v>1</v>
      </c>
      <c r="G603" s="2">
        <v>3</v>
      </c>
      <c r="H603" s="2">
        <v>29000</v>
      </c>
      <c r="I603" s="2">
        <v>120</v>
      </c>
      <c r="J603" s="2" t="s">
        <v>1671</v>
      </c>
      <c r="K603" s="2">
        <v>43</v>
      </c>
      <c r="L603" s="2">
        <v>10</v>
      </c>
      <c r="M603" s="2">
        <v>5</v>
      </c>
      <c r="N603" s="2">
        <v>8</v>
      </c>
      <c r="O603" s="2">
        <v>10</v>
      </c>
      <c r="P603" s="2">
        <v>10</v>
      </c>
      <c r="Q603" s="2" t="s">
        <v>3816</v>
      </c>
      <c r="R603" s="2" t="s">
        <v>3817</v>
      </c>
      <c r="S603" s="4">
        <v>44992</v>
      </c>
    </row>
    <row r="604" spans="1:19" ht="12.5" x14ac:dyDescent="0.25">
      <c r="A604" s="14" t="str">
        <f>HYPERLINK("https://gerandofalcoes.my.salesforce.com/0014P00003Ck7X8QAJ", "0014P00003Ck7X8QAJ")</f>
        <v>0014P00003Ck7X8QAJ</v>
      </c>
      <c r="B604" s="2" t="s">
        <v>2809</v>
      </c>
      <c r="C604" s="2" t="s">
        <v>423</v>
      </c>
      <c r="D604" s="2" t="s">
        <v>2</v>
      </c>
      <c r="E604" s="2">
        <v>12.87</v>
      </c>
      <c r="F604" s="2">
        <v>0</v>
      </c>
      <c r="G604" s="2">
        <v>0</v>
      </c>
      <c r="H604" s="2">
        <v>12550</v>
      </c>
      <c r="I604" s="2">
        <v>50</v>
      </c>
      <c r="J604" s="2" t="s">
        <v>1779</v>
      </c>
      <c r="K604" s="2">
        <v>20</v>
      </c>
      <c r="L604" s="2">
        <v>10</v>
      </c>
      <c r="M604" s="2">
        <v>0</v>
      </c>
      <c r="N604" s="2">
        <v>0</v>
      </c>
      <c r="O604" s="2">
        <v>5</v>
      </c>
      <c r="P604" s="2">
        <v>5</v>
      </c>
      <c r="Q604" s="2" t="s">
        <v>891</v>
      </c>
      <c r="R604" s="2" t="s">
        <v>891</v>
      </c>
      <c r="S604" s="4">
        <v>44837</v>
      </c>
    </row>
    <row r="605" spans="1:19" ht="12.5" x14ac:dyDescent="0.25">
      <c r="A605" s="14" t="str">
        <f>HYPERLINK("https://gerandofalcoes.my.salesforce.com/0014X00002VKCu2QAH", "0014X00002VKCu2QAH")</f>
        <v>0014X00002VKCu2QAH</v>
      </c>
      <c r="B605" s="2" t="s">
        <v>2810</v>
      </c>
      <c r="C605" s="2" t="s">
        <v>423</v>
      </c>
      <c r="D605" s="2" t="s">
        <v>2</v>
      </c>
      <c r="E605" s="2">
        <v>12.84</v>
      </c>
      <c r="F605" s="2">
        <v>0</v>
      </c>
      <c r="G605" s="2">
        <v>2</v>
      </c>
      <c r="H605" s="2">
        <v>3</v>
      </c>
      <c r="I605" s="2">
        <v>300</v>
      </c>
      <c r="J605" s="2" t="s">
        <v>1779</v>
      </c>
      <c r="K605" s="2">
        <v>36</v>
      </c>
      <c r="L605" s="2">
        <v>10</v>
      </c>
      <c r="M605" s="2">
        <v>0</v>
      </c>
      <c r="N605" s="2">
        <v>6</v>
      </c>
      <c r="O605" s="2">
        <v>5</v>
      </c>
      <c r="P605" s="2">
        <v>15</v>
      </c>
      <c r="Q605" s="2" t="s">
        <v>2811</v>
      </c>
      <c r="R605" s="2" t="s">
        <v>2812</v>
      </c>
      <c r="S605" s="4">
        <v>44837</v>
      </c>
    </row>
    <row r="606" spans="1:19" ht="12.5" x14ac:dyDescent="0.25">
      <c r="A606" s="14" t="str">
        <f>HYPERLINK("https://gerandofalcoes.my.salesforce.com/0014X00002YggoiQAB", "0014X00002YggoiQAB")</f>
        <v>0014X00002YggoiQAB</v>
      </c>
      <c r="B606" s="2" t="s">
        <v>4085</v>
      </c>
      <c r="C606" s="2" t="s">
        <v>423</v>
      </c>
      <c r="D606" s="2" t="s">
        <v>2</v>
      </c>
      <c r="E606" s="2">
        <v>12.8</v>
      </c>
      <c r="F606" s="2">
        <v>30</v>
      </c>
      <c r="G606" s="2">
        <v>4</v>
      </c>
      <c r="H606" s="2">
        <v>5000</v>
      </c>
      <c r="I606" s="2">
        <v>100</v>
      </c>
      <c r="J606" s="2"/>
      <c r="K606" s="2">
        <v>47</v>
      </c>
      <c r="L606" s="2">
        <v>10</v>
      </c>
      <c r="M606" s="2">
        <v>12</v>
      </c>
      <c r="N606" s="2">
        <v>10</v>
      </c>
      <c r="O606" s="2">
        <v>5</v>
      </c>
      <c r="P606" s="2">
        <v>10</v>
      </c>
      <c r="Q606" s="2" t="s">
        <v>4086</v>
      </c>
      <c r="R606" s="2" t="s">
        <v>4086</v>
      </c>
      <c r="S606" s="4">
        <v>45169</v>
      </c>
    </row>
    <row r="607" spans="1:19" ht="12.5" x14ac:dyDescent="0.25">
      <c r="A607" s="14" t="str">
        <f>HYPERLINK("https://gerandofalcoes.my.salesforce.com/0014P00003SGWQ8QAP", "0014P00003SGWQ8QAP")</f>
        <v>0014P00003SGWQ8QAP</v>
      </c>
      <c r="B607" s="2" t="s">
        <v>213</v>
      </c>
      <c r="C607" s="2" t="s">
        <v>423</v>
      </c>
      <c r="D607" s="2" t="s">
        <v>2</v>
      </c>
      <c r="E607" s="2">
        <v>12.73</v>
      </c>
      <c r="F607" s="2">
        <v>0</v>
      </c>
      <c r="G607" s="2">
        <v>2</v>
      </c>
      <c r="H607" s="2">
        <v>300000</v>
      </c>
      <c r="I607" s="2">
        <v>0</v>
      </c>
      <c r="J607" s="2" t="s">
        <v>1779</v>
      </c>
      <c r="K607" s="2">
        <v>36</v>
      </c>
      <c r="L607" s="2">
        <v>10</v>
      </c>
      <c r="M607" s="2">
        <v>0</v>
      </c>
      <c r="N607" s="2">
        <v>6</v>
      </c>
      <c r="O607" s="2">
        <v>20</v>
      </c>
      <c r="P607" s="2">
        <v>0</v>
      </c>
      <c r="Q607" s="2" t="s">
        <v>214</v>
      </c>
      <c r="R607" s="2" t="s">
        <v>1170</v>
      </c>
      <c r="S607" s="4">
        <v>44837</v>
      </c>
    </row>
    <row r="608" spans="1:19" ht="12.5" x14ac:dyDescent="0.25">
      <c r="A608" s="14" t="str">
        <f>HYPERLINK("https://gerandofalcoes.my.salesforce.com/0014X00002YggmnQAB", "0014X00002YggmnQAB")</f>
        <v>0014X00002YggmnQAB</v>
      </c>
      <c r="B608" s="2" t="s">
        <v>4087</v>
      </c>
      <c r="C608" s="2" t="s">
        <v>423</v>
      </c>
      <c r="D608" s="2" t="s">
        <v>2</v>
      </c>
      <c r="E608" s="2">
        <v>12.57</v>
      </c>
      <c r="F608" s="2">
        <v>2</v>
      </c>
      <c r="G608" s="2">
        <v>11</v>
      </c>
      <c r="H608" s="2">
        <v>0</v>
      </c>
      <c r="I608" s="2">
        <v>20</v>
      </c>
      <c r="J608" s="2"/>
      <c r="K608" s="2">
        <v>30</v>
      </c>
      <c r="L608" s="2">
        <v>10</v>
      </c>
      <c r="M608" s="2">
        <v>5</v>
      </c>
      <c r="N608" s="2">
        <v>10</v>
      </c>
      <c r="O608" s="2">
        <v>0</v>
      </c>
      <c r="P608" s="2">
        <v>5</v>
      </c>
      <c r="Q608" s="2" t="s">
        <v>4088</v>
      </c>
      <c r="R608" s="2" t="s">
        <v>4088</v>
      </c>
      <c r="S608" s="4">
        <v>45169</v>
      </c>
    </row>
    <row r="609" spans="1:19" ht="12.5" x14ac:dyDescent="0.25">
      <c r="A609" s="14" t="str">
        <f>HYPERLINK("https://gerandofalcoes.my.salesforce.com/0014P00003YSp8BQAT", "0014P00003YSp8BQAT")</f>
        <v>0014P00003YSp8BQAT</v>
      </c>
      <c r="B609" s="2" t="s">
        <v>2813</v>
      </c>
      <c r="C609" s="2" t="s">
        <v>423</v>
      </c>
      <c r="D609" s="2" t="s">
        <v>2</v>
      </c>
      <c r="E609" s="2">
        <v>12.55</v>
      </c>
      <c r="F609" s="2">
        <v>0</v>
      </c>
      <c r="G609" s="2">
        <v>0</v>
      </c>
      <c r="H609" s="2">
        <v>0</v>
      </c>
      <c r="I609" s="2">
        <v>239</v>
      </c>
      <c r="J609" s="2" t="s">
        <v>1779</v>
      </c>
      <c r="K609" s="2">
        <v>22</v>
      </c>
      <c r="L609" s="2">
        <v>10</v>
      </c>
      <c r="M609" s="2">
        <v>0</v>
      </c>
      <c r="N609" s="2">
        <v>0</v>
      </c>
      <c r="O609" s="2">
        <v>0</v>
      </c>
      <c r="P609" s="2">
        <v>12</v>
      </c>
      <c r="Q609" s="2" t="s">
        <v>2814</v>
      </c>
      <c r="R609" s="2" t="s">
        <v>2815</v>
      </c>
      <c r="S609" s="4">
        <v>44837</v>
      </c>
    </row>
    <row r="610" spans="1:19" ht="12.5" x14ac:dyDescent="0.25">
      <c r="A610" s="14" t="str">
        <f>HYPERLINK("https://gerandofalcoes.my.salesforce.com/0014X00002VKCrvQAH", "0014X00002VKCrvQAH")</f>
        <v>0014X00002VKCrvQAH</v>
      </c>
      <c r="B610" s="2" t="s">
        <v>2816</v>
      </c>
      <c r="C610" s="2" t="s">
        <v>423</v>
      </c>
      <c r="D610" s="2" t="s">
        <v>2</v>
      </c>
      <c r="E610" s="2">
        <v>12.54</v>
      </c>
      <c r="F610" s="2">
        <v>4</v>
      </c>
      <c r="G610" s="2">
        <v>1</v>
      </c>
      <c r="H610" s="2">
        <v>1200</v>
      </c>
      <c r="I610" s="2">
        <v>150</v>
      </c>
      <c r="J610" s="2" t="s">
        <v>1779</v>
      </c>
      <c r="K610" s="2">
        <v>36</v>
      </c>
      <c r="L610" s="2">
        <v>10</v>
      </c>
      <c r="M610" s="2">
        <v>5</v>
      </c>
      <c r="N610" s="2">
        <v>4</v>
      </c>
      <c r="O610" s="2">
        <v>5</v>
      </c>
      <c r="P610" s="2">
        <v>12</v>
      </c>
      <c r="Q610" s="2" t="s">
        <v>2817</v>
      </c>
      <c r="R610" s="2" t="s">
        <v>2817</v>
      </c>
      <c r="S610" s="4">
        <v>44837</v>
      </c>
    </row>
    <row r="611" spans="1:19" ht="12.5" x14ac:dyDescent="0.25">
      <c r="A611" s="14" t="str">
        <f>HYPERLINK("https://gerandofalcoes.my.salesforce.com/0014X00002YggjgQAB", "0014X00002YggjgQAB")</f>
        <v>0014X00002YggjgQAB</v>
      </c>
      <c r="B611" s="2" t="s">
        <v>4089</v>
      </c>
      <c r="C611" s="2" t="s">
        <v>423</v>
      </c>
      <c r="D611" s="2" t="s">
        <v>2</v>
      </c>
      <c r="E611" s="2">
        <v>12.35</v>
      </c>
      <c r="F611" s="2">
        <v>4</v>
      </c>
      <c r="G611" s="2">
        <v>2</v>
      </c>
      <c r="H611" s="2">
        <v>36000</v>
      </c>
      <c r="I611" s="2">
        <v>250</v>
      </c>
      <c r="J611" s="2"/>
      <c r="K611" s="2">
        <v>43</v>
      </c>
      <c r="L611" s="2">
        <v>10</v>
      </c>
      <c r="M611" s="2">
        <v>5</v>
      </c>
      <c r="N611" s="2">
        <v>6</v>
      </c>
      <c r="O611" s="2">
        <v>10</v>
      </c>
      <c r="P611" s="2">
        <v>12</v>
      </c>
      <c r="Q611" s="2" t="s">
        <v>4090</v>
      </c>
      <c r="R611" s="2" t="s">
        <v>4091</v>
      </c>
      <c r="S611" s="4">
        <v>45169</v>
      </c>
    </row>
    <row r="612" spans="1:19" ht="12.5" x14ac:dyDescent="0.25">
      <c r="A612" s="14" t="str">
        <f>HYPERLINK("https://gerandofalcoes.my.salesforce.com/0014X00002Yggm9QAB", "0014X00002Yggm9QAB")</f>
        <v>0014X00002Yggm9QAB</v>
      </c>
      <c r="B612" s="2" t="s">
        <v>4092</v>
      </c>
      <c r="C612" s="2" t="s">
        <v>423</v>
      </c>
      <c r="D612" s="2" t="s">
        <v>2</v>
      </c>
      <c r="E612" s="2">
        <v>12.2</v>
      </c>
      <c r="F612" s="2">
        <v>0</v>
      </c>
      <c r="G612" s="2">
        <v>5</v>
      </c>
      <c r="H612" s="2">
        <v>2000</v>
      </c>
      <c r="I612" s="2">
        <v>100</v>
      </c>
      <c r="J612" s="2"/>
      <c r="K612" s="2">
        <v>35</v>
      </c>
      <c r="L612" s="2">
        <v>10</v>
      </c>
      <c r="M612" s="2">
        <v>0</v>
      </c>
      <c r="N612" s="2">
        <v>10</v>
      </c>
      <c r="O612" s="2">
        <v>5</v>
      </c>
      <c r="P612" s="2">
        <v>10</v>
      </c>
      <c r="Q612" s="2" t="s">
        <v>4093</v>
      </c>
      <c r="R612" s="2" t="s">
        <v>4094</v>
      </c>
      <c r="S612" s="4">
        <v>45169</v>
      </c>
    </row>
    <row r="613" spans="1:19" ht="12.5" x14ac:dyDescent="0.25">
      <c r="A613" s="14" t="str">
        <f>HYPERLINK("https://gerandofalcoes.my.salesforce.com/0014X00002YgglcQAB", "0014X00002YgglcQAB")</f>
        <v>0014X00002YgglcQAB</v>
      </c>
      <c r="B613" s="2" t="s">
        <v>3709</v>
      </c>
      <c r="C613" s="2" t="s">
        <v>423</v>
      </c>
      <c r="D613" s="2" t="s">
        <v>2</v>
      </c>
      <c r="E613" s="2">
        <v>12.12</v>
      </c>
      <c r="F613" s="2">
        <v>0</v>
      </c>
      <c r="G613" s="2">
        <v>2</v>
      </c>
      <c r="H613" s="2">
        <v>60000</v>
      </c>
      <c r="I613" s="2">
        <v>0</v>
      </c>
      <c r="J613" s="2" t="s">
        <v>1779</v>
      </c>
      <c r="K613" s="2">
        <v>26</v>
      </c>
      <c r="L613" s="2">
        <v>10</v>
      </c>
      <c r="M613" s="2">
        <v>0</v>
      </c>
      <c r="N613" s="2">
        <v>6</v>
      </c>
      <c r="O613" s="2">
        <v>10</v>
      </c>
      <c r="P613" s="2">
        <v>0</v>
      </c>
      <c r="Q613" s="2" t="s">
        <v>3710</v>
      </c>
      <c r="R613" s="2" t="s">
        <v>3710</v>
      </c>
      <c r="S613" s="4">
        <v>44967</v>
      </c>
    </row>
    <row r="614" spans="1:19" ht="12.5" x14ac:dyDescent="0.25">
      <c r="A614" s="14" t="str">
        <f>HYPERLINK("https://gerandofalcoes.my.salesforce.com/0014P00003YSpA7QAL", "0014P00003YSpA7QAL")</f>
        <v>0014P00003YSpA7QAL</v>
      </c>
      <c r="B614" s="2" t="s">
        <v>2818</v>
      </c>
      <c r="C614" s="2" t="s">
        <v>423</v>
      </c>
      <c r="D614" s="2" t="s">
        <v>2</v>
      </c>
      <c r="E614" s="2">
        <v>12.03</v>
      </c>
      <c r="F614" s="2">
        <v>1</v>
      </c>
      <c r="G614" s="2">
        <v>1</v>
      </c>
      <c r="H614" s="2">
        <v>200000</v>
      </c>
      <c r="I614" s="2">
        <v>120</v>
      </c>
      <c r="J614" s="2" t="s">
        <v>1671</v>
      </c>
      <c r="K614" s="2">
        <v>44</v>
      </c>
      <c r="L614" s="2">
        <v>10</v>
      </c>
      <c r="M614" s="2">
        <v>5</v>
      </c>
      <c r="N614" s="2">
        <v>4</v>
      </c>
      <c r="O614" s="2">
        <v>15</v>
      </c>
      <c r="P614" s="2">
        <v>10</v>
      </c>
      <c r="Q614" s="2" t="s">
        <v>2819</v>
      </c>
      <c r="R614" s="2" t="s">
        <v>2819</v>
      </c>
      <c r="S614" s="4">
        <v>44837</v>
      </c>
    </row>
    <row r="615" spans="1:19" ht="12.5" x14ac:dyDescent="0.25">
      <c r="A615" s="14" t="str">
        <f>HYPERLINK("https://gerandofalcoes.my.salesforce.com/0014X00002VKCrbQAH", "0014X00002VKCrbQAH")</f>
        <v>0014X00002VKCrbQAH</v>
      </c>
      <c r="B615" s="2" t="s">
        <v>2820</v>
      </c>
      <c r="C615" s="2" t="s">
        <v>423</v>
      </c>
      <c r="D615" s="2" t="s">
        <v>2</v>
      </c>
      <c r="E615" s="2">
        <v>12</v>
      </c>
      <c r="F615" s="2">
        <v>0</v>
      </c>
      <c r="G615" s="2">
        <v>0</v>
      </c>
      <c r="H615" s="2">
        <v>0</v>
      </c>
      <c r="I615" s="2">
        <v>300</v>
      </c>
      <c r="J615" s="2" t="s">
        <v>1779</v>
      </c>
      <c r="K615" s="2">
        <v>25</v>
      </c>
      <c r="L615" s="2">
        <v>10</v>
      </c>
      <c r="M615" s="2">
        <v>0</v>
      </c>
      <c r="N615" s="2">
        <v>0</v>
      </c>
      <c r="O615" s="2">
        <v>0</v>
      </c>
      <c r="P615" s="2">
        <v>15</v>
      </c>
      <c r="Q615" s="2" t="s">
        <v>2821</v>
      </c>
      <c r="R615" s="2" t="s">
        <v>2822</v>
      </c>
      <c r="S615" s="4">
        <v>44837</v>
      </c>
    </row>
    <row r="616" spans="1:19" ht="12.5" x14ac:dyDescent="0.25">
      <c r="A616" s="14" t="str">
        <f>HYPERLINK("https://gerandofalcoes.my.salesforce.com/0014P00003YSp7yQAD", "0014P00003YSp7yQAD")</f>
        <v>0014P00003YSp7yQAD</v>
      </c>
      <c r="B616" s="2" t="s">
        <v>2823</v>
      </c>
      <c r="C616" s="2" t="s">
        <v>423</v>
      </c>
      <c r="D616" s="2" t="s">
        <v>2</v>
      </c>
      <c r="E616" s="2">
        <v>12</v>
      </c>
      <c r="F616" s="2">
        <v>0</v>
      </c>
      <c r="G616" s="2">
        <v>3</v>
      </c>
      <c r="H616" s="2">
        <v>10000</v>
      </c>
      <c r="I616" s="2">
        <v>200</v>
      </c>
      <c r="J616" s="2" t="s">
        <v>1779</v>
      </c>
      <c r="K616" s="2">
        <v>35</v>
      </c>
      <c r="L616" s="2">
        <v>10</v>
      </c>
      <c r="M616" s="2">
        <v>0</v>
      </c>
      <c r="N616" s="2">
        <v>8</v>
      </c>
      <c r="O616" s="2">
        <v>5</v>
      </c>
      <c r="P616" s="2">
        <v>12</v>
      </c>
      <c r="Q616" s="2" t="s">
        <v>2824</v>
      </c>
      <c r="R616" s="2" t="s">
        <v>2825</v>
      </c>
      <c r="S616" s="4">
        <v>44837</v>
      </c>
    </row>
    <row r="617" spans="1:19" ht="12.5" x14ac:dyDescent="0.25">
      <c r="A617" s="14" t="str">
        <f>HYPERLINK("https://gerandofalcoes.my.salesforce.com/0014X00002YgglkQAB", "0014X00002YgglkQAB")</f>
        <v>0014X00002YgglkQAB</v>
      </c>
      <c r="B617" s="2" t="s">
        <v>3711</v>
      </c>
      <c r="C617" s="2" t="s">
        <v>423</v>
      </c>
      <c r="D617" s="2" t="s">
        <v>2</v>
      </c>
      <c r="E617" s="2">
        <v>11.84</v>
      </c>
      <c r="F617" s="2">
        <v>2</v>
      </c>
      <c r="G617" s="2">
        <v>4</v>
      </c>
      <c r="H617" s="2">
        <v>95000</v>
      </c>
      <c r="I617" s="2">
        <v>15</v>
      </c>
      <c r="J617" s="2" t="s">
        <v>1671</v>
      </c>
      <c r="K617" s="2">
        <v>40</v>
      </c>
      <c r="L617" s="2">
        <v>10</v>
      </c>
      <c r="M617" s="2">
        <v>5</v>
      </c>
      <c r="N617" s="2">
        <v>10</v>
      </c>
      <c r="O617" s="2">
        <v>10</v>
      </c>
      <c r="P617" s="2">
        <v>5</v>
      </c>
      <c r="Q617" s="2" t="s">
        <v>3712</v>
      </c>
      <c r="R617" s="2" t="s">
        <v>3713</v>
      </c>
      <c r="S617" s="4">
        <v>44967</v>
      </c>
    </row>
    <row r="618" spans="1:19" ht="12.5" x14ac:dyDescent="0.25">
      <c r="A618" s="14" t="str">
        <f>HYPERLINK("https://gerandofalcoes.my.salesforce.com/0014X00002YggmgQAB", "0014X00002YggmgQAB")</f>
        <v>0014X00002YggmgQAB</v>
      </c>
      <c r="B618" s="2" t="s">
        <v>3005</v>
      </c>
      <c r="C618" s="2" t="s">
        <v>423</v>
      </c>
      <c r="D618" s="2" t="s">
        <v>2</v>
      </c>
      <c r="E618" s="2">
        <v>11.72</v>
      </c>
      <c r="F618" s="2">
        <v>0</v>
      </c>
      <c r="G618" s="2">
        <v>4</v>
      </c>
      <c r="H618" s="2">
        <v>600</v>
      </c>
      <c r="I618" s="2">
        <v>150</v>
      </c>
      <c r="J618" s="2" t="s">
        <v>1779</v>
      </c>
      <c r="K618" s="2">
        <v>37</v>
      </c>
      <c r="L618" s="2">
        <v>10</v>
      </c>
      <c r="M618" s="2">
        <v>0</v>
      </c>
      <c r="N618" s="2">
        <v>10</v>
      </c>
      <c r="O618" s="2">
        <v>5</v>
      </c>
      <c r="P618" s="2">
        <v>12</v>
      </c>
      <c r="Q618" s="2" t="s">
        <v>2987</v>
      </c>
      <c r="R618" s="2" t="s">
        <v>2987</v>
      </c>
      <c r="S618" s="4">
        <v>44944</v>
      </c>
    </row>
    <row r="619" spans="1:19" ht="12.5" x14ac:dyDescent="0.25">
      <c r="A619" s="14" t="str">
        <f>HYPERLINK("https://gerandofalcoes.my.salesforce.com/0014X00002VKCsCQAX", "0014X00002VKCsCQAX")</f>
        <v>0014X00002VKCsCQAX</v>
      </c>
      <c r="B619" s="2" t="s">
        <v>2826</v>
      </c>
      <c r="C619" s="2" t="s">
        <v>423</v>
      </c>
      <c r="D619" s="2" t="s">
        <v>2</v>
      </c>
      <c r="E619" s="2">
        <v>11.65</v>
      </c>
      <c r="F619" s="2">
        <v>0</v>
      </c>
      <c r="G619" s="2">
        <v>2</v>
      </c>
      <c r="H619" s="2">
        <v>30000</v>
      </c>
      <c r="I619" s="2">
        <v>70</v>
      </c>
      <c r="J619" s="2" t="s">
        <v>1779</v>
      </c>
      <c r="K619" s="2">
        <v>31</v>
      </c>
      <c r="L619" s="2">
        <v>10</v>
      </c>
      <c r="M619" s="2">
        <v>0</v>
      </c>
      <c r="N619" s="2">
        <v>6</v>
      </c>
      <c r="O619" s="2">
        <v>10</v>
      </c>
      <c r="P619" s="2">
        <v>5</v>
      </c>
      <c r="Q619" s="2" t="s">
        <v>2827</v>
      </c>
      <c r="R619" s="2" t="s">
        <v>2827</v>
      </c>
      <c r="S619" s="4">
        <v>44837</v>
      </c>
    </row>
    <row r="620" spans="1:19" ht="12.5" x14ac:dyDescent="0.25">
      <c r="A620" s="14" t="str">
        <f>HYPERLINK("https://gerandofalcoes.my.salesforce.com/0014X00002YggjqQAB", "0014X00002YggjqQAB")</f>
        <v>0014X00002YggjqQAB</v>
      </c>
      <c r="B620" s="2" t="s">
        <v>3617</v>
      </c>
      <c r="C620" s="2" t="s">
        <v>423</v>
      </c>
      <c r="D620" s="2" t="s">
        <v>2</v>
      </c>
      <c r="E620" s="2">
        <v>11.59</v>
      </c>
      <c r="F620" s="2">
        <v>2</v>
      </c>
      <c r="G620" s="2">
        <v>7</v>
      </c>
      <c r="H620" s="2">
        <v>100000</v>
      </c>
      <c r="I620" s="2">
        <v>120</v>
      </c>
      <c r="J620" s="2" t="s">
        <v>1671</v>
      </c>
      <c r="K620" s="2">
        <v>50</v>
      </c>
      <c r="L620" s="2">
        <v>10</v>
      </c>
      <c r="M620" s="2">
        <v>5</v>
      </c>
      <c r="N620" s="2">
        <v>10</v>
      </c>
      <c r="O620" s="2">
        <v>15</v>
      </c>
      <c r="P620" s="2">
        <v>10</v>
      </c>
      <c r="Q620" s="2" t="s">
        <v>3618</v>
      </c>
      <c r="R620" s="2" t="s">
        <v>3619</v>
      </c>
      <c r="S620" s="4">
        <v>44963</v>
      </c>
    </row>
    <row r="621" spans="1:19" ht="12.5" x14ac:dyDescent="0.25">
      <c r="A621" s="14" t="str">
        <f>HYPERLINK("https://gerandofalcoes.my.salesforce.com/0014X00002VKCtKQAX", "0014X00002VKCtKQAX")</f>
        <v>0014X00002VKCtKQAX</v>
      </c>
      <c r="B621" s="2" t="s">
        <v>2828</v>
      </c>
      <c r="C621" s="2" t="s">
        <v>423</v>
      </c>
      <c r="D621" s="2" t="s">
        <v>2</v>
      </c>
      <c r="E621" s="2">
        <v>11.48</v>
      </c>
      <c r="F621" s="2">
        <v>8</v>
      </c>
      <c r="G621" s="2">
        <v>12</v>
      </c>
      <c r="H621" s="2">
        <v>5479</v>
      </c>
      <c r="I621" s="2">
        <v>80</v>
      </c>
      <c r="J621" s="2" t="s">
        <v>1671</v>
      </c>
      <c r="K621" s="2">
        <v>45</v>
      </c>
      <c r="L621" s="2">
        <v>10</v>
      </c>
      <c r="M621" s="2">
        <v>10</v>
      </c>
      <c r="N621" s="2">
        <v>10</v>
      </c>
      <c r="O621" s="2">
        <v>5</v>
      </c>
      <c r="P621" s="2">
        <v>10</v>
      </c>
      <c r="Q621" s="2" t="s">
        <v>2829</v>
      </c>
      <c r="R621" s="2" t="s">
        <v>2829</v>
      </c>
      <c r="S621" s="4">
        <v>44837</v>
      </c>
    </row>
    <row r="622" spans="1:19" ht="12.5" hidden="1" x14ac:dyDescent="0.25">
      <c r="A622" s="14" t="str">
        <f>HYPERLINK("https://gerandofalcoes.my.salesforce.com/0014X00002VKCr8QAH", "0014X00002VKCr8QAH")</f>
        <v>0014X00002VKCr8QAH</v>
      </c>
      <c r="B622" s="2" t="s">
        <v>2830</v>
      </c>
      <c r="C622" s="2" t="s">
        <v>1684</v>
      </c>
      <c r="D622" s="2" t="s">
        <v>2</v>
      </c>
      <c r="E622" s="2">
        <v>11.33</v>
      </c>
      <c r="F622" s="2">
        <v>9</v>
      </c>
      <c r="G622" s="2">
        <v>3</v>
      </c>
      <c r="H622" s="2">
        <v>56000000</v>
      </c>
      <c r="I622" s="2">
        <v>0</v>
      </c>
      <c r="J622" s="2" t="s">
        <v>1671</v>
      </c>
      <c r="K622" s="2">
        <v>53</v>
      </c>
      <c r="L622" s="2">
        <v>10</v>
      </c>
      <c r="M622" s="2">
        <v>10</v>
      </c>
      <c r="N622" s="2">
        <v>8</v>
      </c>
      <c r="O622" s="2">
        <v>25</v>
      </c>
      <c r="P622" s="2">
        <v>0</v>
      </c>
      <c r="Q622" s="2" t="s">
        <v>2831</v>
      </c>
      <c r="R622" s="2" t="s">
        <v>2831</v>
      </c>
      <c r="S622" s="4">
        <v>44837</v>
      </c>
    </row>
    <row r="623" spans="1:19" ht="12.5" hidden="1" x14ac:dyDescent="0.25">
      <c r="A623" s="14" t="str">
        <f>HYPERLINK("https://gerandofalcoes.my.salesforce.com/0014P00003YSp8PQAT", "0014P00003YSp8PQAT")</f>
        <v>0014P00003YSp8PQAT</v>
      </c>
      <c r="B623" s="2" t="s">
        <v>2832</v>
      </c>
      <c r="C623" s="2" t="s">
        <v>1684</v>
      </c>
      <c r="D623" s="2" t="s">
        <v>2</v>
      </c>
      <c r="E623" s="2">
        <v>11.28</v>
      </c>
      <c r="F623" s="2">
        <v>0</v>
      </c>
      <c r="G623" s="2">
        <v>1</v>
      </c>
      <c r="H623" s="2">
        <v>4546832</v>
      </c>
      <c r="I623" s="2">
        <v>0</v>
      </c>
      <c r="J623" s="2" t="s">
        <v>1779</v>
      </c>
      <c r="K623" s="2">
        <v>39</v>
      </c>
      <c r="L623" s="2">
        <v>10</v>
      </c>
      <c r="M623" s="2">
        <v>0</v>
      </c>
      <c r="N623" s="2">
        <v>4</v>
      </c>
      <c r="O623" s="2">
        <v>25</v>
      </c>
      <c r="P623" s="2">
        <v>0</v>
      </c>
      <c r="Q623" s="2" t="s">
        <v>2833</v>
      </c>
      <c r="R623" s="2" t="s">
        <v>2834</v>
      </c>
      <c r="S623" s="4">
        <v>44837</v>
      </c>
    </row>
    <row r="624" spans="1:19" ht="12.5" x14ac:dyDescent="0.25">
      <c r="A624" s="14" t="str">
        <f>HYPERLINK("https://gerandofalcoes.my.salesforce.com/0014X00002YggkVQAR", "0014X00002YggkVQAR")</f>
        <v>0014X00002YggkVQAR</v>
      </c>
      <c r="B624" s="2" t="s">
        <v>4095</v>
      </c>
      <c r="C624" s="2" t="s">
        <v>423</v>
      </c>
      <c r="D624" s="2" t="s">
        <v>2</v>
      </c>
      <c r="E624" s="2">
        <v>11.18</v>
      </c>
      <c r="F624" s="2">
        <v>0</v>
      </c>
      <c r="G624" s="2">
        <v>3</v>
      </c>
      <c r="H624" s="2">
        <v>5000</v>
      </c>
      <c r="I624" s="2">
        <v>120</v>
      </c>
      <c r="J624" s="2"/>
      <c r="K624" s="2">
        <v>33</v>
      </c>
      <c r="L624" s="2">
        <v>10</v>
      </c>
      <c r="M624" s="2">
        <v>0</v>
      </c>
      <c r="N624" s="2">
        <v>8</v>
      </c>
      <c r="O624" s="2">
        <v>5</v>
      </c>
      <c r="P624" s="2">
        <v>10</v>
      </c>
      <c r="Q624" s="2" t="s">
        <v>4096</v>
      </c>
      <c r="R624" s="2" t="s">
        <v>4097</v>
      </c>
      <c r="S624" s="4">
        <v>45169</v>
      </c>
    </row>
    <row r="625" spans="1:19" ht="12.5" x14ac:dyDescent="0.25">
      <c r="A625" s="14" t="str">
        <f>HYPERLINK("https://gerandofalcoes.my.salesforce.com/0014X00002YggooQAB", "0014X00002YggooQAB")</f>
        <v>0014X00002YggooQAB</v>
      </c>
      <c r="B625" s="2" t="s">
        <v>3047</v>
      </c>
      <c r="C625" s="2" t="s">
        <v>423</v>
      </c>
      <c r="D625" s="2" t="s">
        <v>2</v>
      </c>
      <c r="E625" s="2">
        <v>11.06</v>
      </c>
      <c r="F625" s="2">
        <v>1</v>
      </c>
      <c r="G625" s="2">
        <v>3</v>
      </c>
      <c r="H625" s="2">
        <v>19000</v>
      </c>
      <c r="I625" s="2">
        <v>30</v>
      </c>
      <c r="J625" s="2" t="s">
        <v>1779</v>
      </c>
      <c r="K625" s="2">
        <v>33</v>
      </c>
      <c r="L625" s="2">
        <v>10</v>
      </c>
      <c r="M625" s="2">
        <v>5</v>
      </c>
      <c r="N625" s="2">
        <v>8</v>
      </c>
      <c r="O625" s="2">
        <v>5</v>
      </c>
      <c r="P625" s="2">
        <v>5</v>
      </c>
      <c r="Q625" s="2" t="s">
        <v>3048</v>
      </c>
      <c r="R625" s="2" t="s">
        <v>3049</v>
      </c>
      <c r="S625" s="4">
        <v>44946</v>
      </c>
    </row>
    <row r="626" spans="1:19" ht="12.5" x14ac:dyDescent="0.25">
      <c r="A626" s="14" t="str">
        <f>HYPERLINK("https://gerandofalcoes.my.salesforce.com/0014P00003SGWPqQAP", "0014P00003SGWPqQAP")</f>
        <v>0014P00003SGWPqQAP</v>
      </c>
      <c r="B626" s="2" t="s">
        <v>2835</v>
      </c>
      <c r="C626" s="2" t="s">
        <v>1800</v>
      </c>
      <c r="D626" s="2" t="s">
        <v>2</v>
      </c>
      <c r="E626" s="2">
        <v>11</v>
      </c>
      <c r="F626" s="2">
        <v>2</v>
      </c>
      <c r="G626" s="2">
        <v>0</v>
      </c>
      <c r="H626" s="2">
        <v>140000</v>
      </c>
      <c r="I626" s="2">
        <v>200</v>
      </c>
      <c r="J626" s="2" t="s">
        <v>1671</v>
      </c>
      <c r="K626" s="2">
        <v>42</v>
      </c>
      <c r="L626" s="2">
        <v>10</v>
      </c>
      <c r="M626" s="2">
        <v>5</v>
      </c>
      <c r="N626" s="2">
        <v>0</v>
      </c>
      <c r="O626" s="2">
        <v>15</v>
      </c>
      <c r="P626" s="2">
        <v>12</v>
      </c>
      <c r="Q626" s="2" t="s">
        <v>327</v>
      </c>
      <c r="R626" s="2" t="s">
        <v>1409</v>
      </c>
      <c r="S626" s="4">
        <v>44837</v>
      </c>
    </row>
    <row r="627" spans="1:19" ht="12.5" x14ac:dyDescent="0.25">
      <c r="A627" s="14" t="str">
        <f>HYPERLINK("https://gerandofalcoes.my.salesforce.com/0014X00002VKCraQAH", "0014X00002VKCraQAH")</f>
        <v>0014X00002VKCraQAH</v>
      </c>
      <c r="B627" s="2" t="s">
        <v>2836</v>
      </c>
      <c r="C627" s="2" t="s">
        <v>423</v>
      </c>
      <c r="D627" s="2" t="s">
        <v>2</v>
      </c>
      <c r="E627" s="2">
        <v>11</v>
      </c>
      <c r="F627" s="2">
        <v>0</v>
      </c>
      <c r="G627" s="2">
        <v>1</v>
      </c>
      <c r="H627" s="2">
        <v>970224</v>
      </c>
      <c r="I627" s="2">
        <v>150</v>
      </c>
      <c r="J627" s="2" t="s">
        <v>1671</v>
      </c>
      <c r="K627" s="2">
        <v>51</v>
      </c>
      <c r="L627" s="2">
        <v>10</v>
      </c>
      <c r="M627" s="2">
        <v>0</v>
      </c>
      <c r="N627" s="2">
        <v>4</v>
      </c>
      <c r="O627" s="2">
        <v>25</v>
      </c>
      <c r="P627" s="2">
        <v>12</v>
      </c>
      <c r="Q627" s="2" t="s">
        <v>2837</v>
      </c>
      <c r="R627" s="2" t="s">
        <v>2838</v>
      </c>
      <c r="S627" s="4">
        <v>44837</v>
      </c>
    </row>
    <row r="628" spans="1:19" ht="12.5" x14ac:dyDescent="0.25">
      <c r="A628" s="14" t="str">
        <f>HYPERLINK("https://gerandofalcoes.my.salesforce.com/0014P00003YSp9BQAT", "0014P00003YSp9BQAT")</f>
        <v>0014P00003YSp9BQAT</v>
      </c>
      <c r="B628" s="2" t="s">
        <v>2839</v>
      </c>
      <c r="C628" s="2" t="s">
        <v>1800</v>
      </c>
      <c r="D628" s="2" t="s">
        <v>2</v>
      </c>
      <c r="E628" s="2">
        <v>11</v>
      </c>
      <c r="F628" s="2">
        <v>24</v>
      </c>
      <c r="G628" s="2">
        <v>4</v>
      </c>
      <c r="H628" s="2">
        <v>200</v>
      </c>
      <c r="I628" s="2">
        <v>112</v>
      </c>
      <c r="J628" s="2" t="s">
        <v>1671</v>
      </c>
      <c r="K628" s="2">
        <v>47</v>
      </c>
      <c r="L628" s="2">
        <v>10</v>
      </c>
      <c r="M628" s="2">
        <v>12</v>
      </c>
      <c r="N628" s="2">
        <v>10</v>
      </c>
      <c r="O628" s="2">
        <v>5</v>
      </c>
      <c r="P628" s="2">
        <v>10</v>
      </c>
      <c r="Q628" s="2" t="s">
        <v>2840</v>
      </c>
      <c r="R628" s="2" t="s">
        <v>2841</v>
      </c>
      <c r="S628" s="4">
        <v>44837</v>
      </c>
    </row>
    <row r="629" spans="1:19" ht="12.5" x14ac:dyDescent="0.25">
      <c r="A629" s="14" t="str">
        <f>HYPERLINK("https://gerandofalcoes.my.salesforce.com/0014P00003YSp8hQAD", "0014P00003YSp8hQAD")</f>
        <v>0014P00003YSp8hQAD</v>
      </c>
      <c r="B629" s="2" t="s">
        <v>2842</v>
      </c>
      <c r="C629" s="2" t="s">
        <v>423</v>
      </c>
      <c r="D629" s="2" t="s">
        <v>2</v>
      </c>
      <c r="E629" s="2">
        <v>11</v>
      </c>
      <c r="F629" s="2">
        <v>10</v>
      </c>
      <c r="G629" s="2">
        <v>2</v>
      </c>
      <c r="H629" s="2">
        <v>90000</v>
      </c>
      <c r="I629" s="2">
        <v>0</v>
      </c>
      <c r="J629" s="2" t="s">
        <v>1779</v>
      </c>
      <c r="K629" s="2">
        <v>36</v>
      </c>
      <c r="L629" s="2">
        <v>10</v>
      </c>
      <c r="M629" s="2">
        <v>10</v>
      </c>
      <c r="N629" s="2">
        <v>6</v>
      </c>
      <c r="O629" s="2">
        <v>10</v>
      </c>
      <c r="P629" s="2">
        <v>0</v>
      </c>
      <c r="Q629" s="2" t="s">
        <v>2843</v>
      </c>
      <c r="R629" s="2" t="s">
        <v>2843</v>
      </c>
      <c r="S629" s="4">
        <v>44837</v>
      </c>
    </row>
    <row r="630" spans="1:19" ht="12.5" x14ac:dyDescent="0.25">
      <c r="A630" s="14" t="str">
        <f>HYPERLINK("https://gerandofalcoes.my.salesforce.com/0014X00002YggoKQAR", "0014X00002YggoKQAR")</f>
        <v>0014X00002YggoKQAR</v>
      </c>
      <c r="B630" s="2" t="s">
        <v>3019</v>
      </c>
      <c r="C630" s="2" t="s">
        <v>423</v>
      </c>
      <c r="D630" s="2" t="s">
        <v>2</v>
      </c>
      <c r="E630" s="2">
        <v>10.95</v>
      </c>
      <c r="F630" s="2">
        <v>1</v>
      </c>
      <c r="G630" s="2">
        <v>2</v>
      </c>
      <c r="H630" s="2">
        <v>7000</v>
      </c>
      <c r="I630" s="2">
        <v>0</v>
      </c>
      <c r="J630" s="2" t="s">
        <v>1779</v>
      </c>
      <c r="K630" s="2">
        <v>26</v>
      </c>
      <c r="L630" s="2">
        <v>10</v>
      </c>
      <c r="M630" s="2">
        <v>5</v>
      </c>
      <c r="N630" s="2">
        <v>6</v>
      </c>
      <c r="O630" s="2">
        <v>5</v>
      </c>
      <c r="P630" s="2">
        <v>0</v>
      </c>
      <c r="Q630" s="2" t="s">
        <v>3020</v>
      </c>
      <c r="R630" s="2" t="s">
        <v>3020</v>
      </c>
      <c r="S630" s="4">
        <v>44945</v>
      </c>
    </row>
    <row r="631" spans="1:19" ht="12.5" x14ac:dyDescent="0.25">
      <c r="A631" s="14" t="str">
        <f>HYPERLINK("https://gerandofalcoes.my.salesforce.com/0014X00002YgbkdQAB", "0014X00002YgbkdQAB")</f>
        <v>0014X00002YgbkdQAB</v>
      </c>
      <c r="B631" s="2" t="s">
        <v>3157</v>
      </c>
      <c r="C631" s="2" t="s">
        <v>423</v>
      </c>
      <c r="D631" s="2" t="s">
        <v>2</v>
      </c>
      <c r="E631" s="2">
        <v>10.9</v>
      </c>
      <c r="F631" s="2">
        <v>0</v>
      </c>
      <c r="G631" s="2">
        <v>0</v>
      </c>
      <c r="H631" s="2">
        <v>0</v>
      </c>
      <c r="I631" s="2">
        <v>0</v>
      </c>
      <c r="J631" s="2" t="s">
        <v>1779</v>
      </c>
      <c r="K631" s="2">
        <v>10</v>
      </c>
      <c r="L631" s="2">
        <v>10</v>
      </c>
      <c r="M631" s="2">
        <v>0</v>
      </c>
      <c r="N631" s="2">
        <v>0</v>
      </c>
      <c r="O631" s="2">
        <v>0</v>
      </c>
      <c r="P631" s="2">
        <v>0</v>
      </c>
      <c r="Q631" s="2" t="s">
        <v>3158</v>
      </c>
      <c r="R631" s="2" t="s">
        <v>3159</v>
      </c>
      <c r="S631" s="4">
        <v>44950</v>
      </c>
    </row>
    <row r="632" spans="1:19" ht="12.5" x14ac:dyDescent="0.25">
      <c r="A632" s="14" t="str">
        <f>HYPERLINK("https://gerandofalcoes.my.salesforce.com/0014X00002Yggp5QAB", "0014X00002Yggp5QAB")</f>
        <v>0014X00002Yggp5QAB</v>
      </c>
      <c r="B632" s="2" t="s">
        <v>3050</v>
      </c>
      <c r="C632" s="2" t="s">
        <v>423</v>
      </c>
      <c r="D632" s="2" t="s">
        <v>2</v>
      </c>
      <c r="E632" s="2">
        <v>10.88</v>
      </c>
      <c r="F632" s="2">
        <v>0</v>
      </c>
      <c r="G632" s="2">
        <v>2</v>
      </c>
      <c r="H632" s="2">
        <v>0</v>
      </c>
      <c r="I632" s="2">
        <v>0</v>
      </c>
      <c r="J632" s="2" t="s">
        <v>1779</v>
      </c>
      <c r="K632" s="2">
        <v>16</v>
      </c>
      <c r="L632" s="2">
        <v>10</v>
      </c>
      <c r="M632" s="2">
        <v>0</v>
      </c>
      <c r="N632" s="2">
        <v>6</v>
      </c>
      <c r="O632" s="2">
        <v>0</v>
      </c>
      <c r="P632" s="2">
        <v>0</v>
      </c>
      <c r="Q632" s="2" t="s">
        <v>3051</v>
      </c>
      <c r="R632" s="2" t="s">
        <v>3052</v>
      </c>
      <c r="S632" s="4">
        <v>44946</v>
      </c>
    </row>
    <row r="633" spans="1:19" ht="12.5" x14ac:dyDescent="0.25">
      <c r="A633" s="14" t="str">
        <f>HYPERLINK("https://gerandofalcoes.my.salesforce.com/0014X00002YggiBQAR", "0014X00002YggiBQAR")</f>
        <v>0014X00002YggiBQAR</v>
      </c>
      <c r="B633" s="2" t="s">
        <v>3322</v>
      </c>
      <c r="C633" s="2" t="s">
        <v>423</v>
      </c>
      <c r="D633" s="2" t="s">
        <v>2</v>
      </c>
      <c r="E633" s="2">
        <v>10.75</v>
      </c>
      <c r="F633" s="2">
        <v>123</v>
      </c>
      <c r="G633" s="2">
        <v>5</v>
      </c>
      <c r="H633" s="2">
        <v>20000</v>
      </c>
      <c r="I633" s="2">
        <v>100</v>
      </c>
      <c r="J633" s="2" t="s">
        <v>1671</v>
      </c>
      <c r="K633" s="2">
        <v>50</v>
      </c>
      <c r="L633" s="2">
        <v>10</v>
      </c>
      <c r="M633" s="2">
        <v>15</v>
      </c>
      <c r="N633" s="2">
        <v>10</v>
      </c>
      <c r="O633" s="2">
        <v>5</v>
      </c>
      <c r="P633" s="2">
        <v>10</v>
      </c>
      <c r="Q633" s="2" t="s">
        <v>3323</v>
      </c>
      <c r="R633" s="2" t="s">
        <v>3324</v>
      </c>
      <c r="S633" s="4">
        <v>44953</v>
      </c>
    </row>
    <row r="634" spans="1:19" ht="12.5" x14ac:dyDescent="0.25">
      <c r="A634" s="14" t="str">
        <f>HYPERLINK("https://gerandofalcoes.my.salesforce.com/0014X00002YggqSQAR", "0014X00002YggqSQAR")</f>
        <v>0014X00002YggqSQAR</v>
      </c>
      <c r="B634" s="2" t="s">
        <v>3021</v>
      </c>
      <c r="C634" s="2" t="s">
        <v>423</v>
      </c>
      <c r="D634" s="2" t="s">
        <v>2</v>
      </c>
      <c r="E634" s="2">
        <v>10.71</v>
      </c>
      <c r="F634" s="2">
        <v>0</v>
      </c>
      <c r="G634" s="2">
        <v>3</v>
      </c>
      <c r="H634" s="2">
        <v>7000</v>
      </c>
      <c r="I634" s="2">
        <v>100</v>
      </c>
      <c r="J634" s="2" t="s">
        <v>1779</v>
      </c>
      <c r="K634" s="2">
        <v>33</v>
      </c>
      <c r="L634" s="2">
        <v>10</v>
      </c>
      <c r="M634" s="2">
        <v>0</v>
      </c>
      <c r="N634" s="2">
        <v>8</v>
      </c>
      <c r="O634" s="2">
        <v>5</v>
      </c>
      <c r="P634" s="2">
        <v>10</v>
      </c>
      <c r="Q634" s="2" t="s">
        <v>3022</v>
      </c>
      <c r="R634" s="2" t="s">
        <v>3022</v>
      </c>
      <c r="S634" s="4">
        <v>44945</v>
      </c>
    </row>
    <row r="635" spans="1:19" ht="12.5" x14ac:dyDescent="0.25">
      <c r="A635" s="14" t="str">
        <f>HYPERLINK("https://gerandofalcoes.my.salesforce.com/0014X00002VKCpWQAX", "0014X00002VKCpWQAX")</f>
        <v>0014X00002VKCpWQAX</v>
      </c>
      <c r="B635" s="2" t="s">
        <v>2844</v>
      </c>
      <c r="C635" s="2" t="s">
        <v>423</v>
      </c>
      <c r="D635" s="2" t="s">
        <v>2</v>
      </c>
      <c r="E635" s="2">
        <v>10.64</v>
      </c>
      <c r="F635" s="2">
        <v>5</v>
      </c>
      <c r="G635" s="2">
        <v>1</v>
      </c>
      <c r="H635" s="2">
        <v>35619</v>
      </c>
      <c r="I635" s="2">
        <v>500</v>
      </c>
      <c r="J635" s="2" t="s">
        <v>1671</v>
      </c>
      <c r="K635" s="2">
        <v>49</v>
      </c>
      <c r="L635" s="2">
        <v>10</v>
      </c>
      <c r="M635" s="2">
        <v>5</v>
      </c>
      <c r="N635" s="2">
        <v>4</v>
      </c>
      <c r="O635" s="2">
        <v>10</v>
      </c>
      <c r="P635" s="2">
        <v>20</v>
      </c>
      <c r="Q635" s="2" t="s">
        <v>2845</v>
      </c>
      <c r="R635" s="2" t="s">
        <v>2846</v>
      </c>
      <c r="S635" s="4">
        <v>44837</v>
      </c>
    </row>
    <row r="636" spans="1:19" ht="12.5" x14ac:dyDescent="0.25">
      <c r="A636" s="14" t="str">
        <f>HYPERLINK("https://gerandofalcoes.my.salesforce.com/0014X00002VKCqkQAH", "0014X00002VKCqkQAH")</f>
        <v>0014X00002VKCqkQAH</v>
      </c>
      <c r="B636" s="2" t="s">
        <v>2847</v>
      </c>
      <c r="C636" s="2" t="s">
        <v>1800</v>
      </c>
      <c r="D636" s="2" t="s">
        <v>2</v>
      </c>
      <c r="E636" s="2">
        <v>10.39</v>
      </c>
      <c r="F636" s="2">
        <v>0</v>
      </c>
      <c r="G636" s="2">
        <v>2</v>
      </c>
      <c r="H636" s="2">
        <v>12000</v>
      </c>
      <c r="I636" s="2">
        <v>500</v>
      </c>
      <c r="J636" s="2" t="s">
        <v>1671</v>
      </c>
      <c r="K636" s="2">
        <v>41</v>
      </c>
      <c r="L636" s="2">
        <v>10</v>
      </c>
      <c r="M636" s="2">
        <v>0</v>
      </c>
      <c r="N636" s="2">
        <v>6</v>
      </c>
      <c r="O636" s="2">
        <v>5</v>
      </c>
      <c r="P636" s="2">
        <v>20</v>
      </c>
      <c r="Q636" s="2" t="s">
        <v>2848</v>
      </c>
      <c r="R636" s="2" t="s">
        <v>2849</v>
      </c>
      <c r="S636" s="4">
        <v>44837</v>
      </c>
    </row>
    <row r="637" spans="1:19" ht="12.5" x14ac:dyDescent="0.25">
      <c r="A637" s="14" t="str">
        <f>HYPERLINK("https://gerandofalcoes.my.salesforce.com/0014X00002YggisQAB", "0014X00002YggisQAB")</f>
        <v>0014X00002YggisQAB</v>
      </c>
      <c r="B637" s="2" t="s">
        <v>3537</v>
      </c>
      <c r="C637" s="2" t="s">
        <v>423</v>
      </c>
      <c r="D637" s="2" t="s">
        <v>2</v>
      </c>
      <c r="E637" s="2">
        <v>10.34</v>
      </c>
      <c r="F637" s="2">
        <v>0</v>
      </c>
      <c r="G637" s="2">
        <v>2</v>
      </c>
      <c r="H637" s="2">
        <v>25000</v>
      </c>
      <c r="I637" s="2">
        <v>0</v>
      </c>
      <c r="J637" s="2" t="s">
        <v>1779</v>
      </c>
      <c r="K637" s="2">
        <v>26</v>
      </c>
      <c r="L637" s="2">
        <v>10</v>
      </c>
      <c r="M637" s="2">
        <v>0</v>
      </c>
      <c r="N637" s="2">
        <v>6</v>
      </c>
      <c r="O637" s="2">
        <v>10</v>
      </c>
      <c r="P637" s="2">
        <v>0</v>
      </c>
      <c r="Q637" s="2" t="s">
        <v>3538</v>
      </c>
      <c r="R637" s="2" t="s">
        <v>3539</v>
      </c>
      <c r="S637" s="4">
        <v>44959</v>
      </c>
    </row>
    <row r="638" spans="1:19" ht="12.5" x14ac:dyDescent="0.25">
      <c r="A638" s="14" t="str">
        <f>HYPERLINK("https://gerandofalcoes.my.salesforce.com/0014X00002YggocQAB", "0014X00002YggocQAB")</f>
        <v>0014X00002YggocQAB</v>
      </c>
      <c r="B638" s="2" t="s">
        <v>3432</v>
      </c>
      <c r="C638" s="2" t="s">
        <v>423</v>
      </c>
      <c r="D638" s="2" t="s">
        <v>2</v>
      </c>
      <c r="E638" s="2">
        <v>10.29</v>
      </c>
      <c r="F638" s="2">
        <v>0</v>
      </c>
      <c r="G638" s="2">
        <v>3</v>
      </c>
      <c r="H638" s="2">
        <v>5000</v>
      </c>
      <c r="I638" s="2">
        <v>150</v>
      </c>
      <c r="J638" s="2" t="s">
        <v>1779</v>
      </c>
      <c r="K638" s="2">
        <v>35</v>
      </c>
      <c r="L638" s="2">
        <v>10</v>
      </c>
      <c r="M638" s="2">
        <v>0</v>
      </c>
      <c r="N638" s="2">
        <v>8</v>
      </c>
      <c r="O638" s="2">
        <v>5</v>
      </c>
      <c r="P638" s="2">
        <v>12</v>
      </c>
      <c r="Q638" s="2" t="s">
        <v>3433</v>
      </c>
      <c r="R638" s="2" t="s">
        <v>3434</v>
      </c>
      <c r="S638" s="4">
        <v>44958</v>
      </c>
    </row>
    <row r="639" spans="1:19" ht="12.5" x14ac:dyDescent="0.25">
      <c r="A639" s="14" t="str">
        <f>HYPERLINK("https://gerandofalcoes.my.salesforce.com/0014X00002YggmUQAR", "0014X00002YggmUQAR")</f>
        <v>0014X00002YggmUQAR</v>
      </c>
      <c r="B639" s="2" t="s">
        <v>3160</v>
      </c>
      <c r="C639" s="2" t="s">
        <v>423</v>
      </c>
      <c r="D639" s="2" t="s">
        <v>2</v>
      </c>
      <c r="E639" s="2">
        <v>10.23</v>
      </c>
      <c r="F639" s="2">
        <v>2</v>
      </c>
      <c r="G639" s="2">
        <v>2</v>
      </c>
      <c r="H639" s="2">
        <v>24750</v>
      </c>
      <c r="I639" s="2">
        <v>190</v>
      </c>
      <c r="J639" s="2" t="s">
        <v>1779</v>
      </c>
      <c r="K639" s="2">
        <v>38</v>
      </c>
      <c r="L639" s="2">
        <v>10</v>
      </c>
      <c r="M639" s="2">
        <v>5</v>
      </c>
      <c r="N639" s="2">
        <v>6</v>
      </c>
      <c r="O639" s="2">
        <v>5</v>
      </c>
      <c r="P639" s="2">
        <v>12</v>
      </c>
      <c r="Q639" s="2" t="s">
        <v>3161</v>
      </c>
      <c r="R639" s="2" t="s">
        <v>3162</v>
      </c>
      <c r="S639" s="4">
        <v>44950</v>
      </c>
    </row>
    <row r="640" spans="1:19" ht="12.5" x14ac:dyDescent="0.25">
      <c r="A640" s="14" t="str">
        <f>HYPERLINK("https://gerandofalcoes.my.salesforce.com/0014P00003YSpAGQA1", "0014P00003YSpAGQA1")</f>
        <v>0014P00003YSpAGQA1</v>
      </c>
      <c r="B640" s="2" t="s">
        <v>2850</v>
      </c>
      <c r="C640" s="2" t="s">
        <v>423</v>
      </c>
      <c r="D640" s="2" t="s">
        <v>2</v>
      </c>
      <c r="E640" s="2">
        <v>10.220000000000001</v>
      </c>
      <c r="F640" s="2">
        <v>0</v>
      </c>
      <c r="G640" s="2">
        <v>2</v>
      </c>
      <c r="H640" s="2">
        <v>3156570</v>
      </c>
      <c r="I640" s="2">
        <v>120</v>
      </c>
      <c r="J640" s="2" t="s">
        <v>1671</v>
      </c>
      <c r="K640" s="2">
        <v>51</v>
      </c>
      <c r="L640" s="2">
        <v>10</v>
      </c>
      <c r="M640" s="2">
        <v>0</v>
      </c>
      <c r="N640" s="2">
        <v>6</v>
      </c>
      <c r="O640" s="2">
        <v>25</v>
      </c>
      <c r="P640" s="2">
        <v>10</v>
      </c>
      <c r="Q640" s="2" t="s">
        <v>2851</v>
      </c>
      <c r="R640" s="2" t="s">
        <v>2852</v>
      </c>
      <c r="S640" s="4">
        <v>44837</v>
      </c>
    </row>
    <row r="641" spans="1:19" ht="12.5" x14ac:dyDescent="0.25">
      <c r="A641" s="14" t="str">
        <f>HYPERLINK("https://gerandofalcoes.my.salesforce.com/0014X00002VKCqCQAX", "0014X00002VKCqCQAX")</f>
        <v>0014X00002VKCqCQAX</v>
      </c>
      <c r="B641" s="2" t="s">
        <v>2853</v>
      </c>
      <c r="C641" s="2" t="s">
        <v>423</v>
      </c>
      <c r="D641" s="2" t="s">
        <v>2</v>
      </c>
      <c r="E641" s="2">
        <v>10.18</v>
      </c>
      <c r="F641" s="2">
        <v>0</v>
      </c>
      <c r="G641" s="2">
        <v>0</v>
      </c>
      <c r="H641" s="2">
        <v>63000</v>
      </c>
      <c r="I641" s="2">
        <v>49</v>
      </c>
      <c r="J641" s="2" t="s">
        <v>1779</v>
      </c>
      <c r="K641" s="2">
        <v>25</v>
      </c>
      <c r="L641" s="2">
        <v>10</v>
      </c>
      <c r="M641" s="2">
        <v>0</v>
      </c>
      <c r="N641" s="2">
        <v>0</v>
      </c>
      <c r="O641" s="2">
        <v>10</v>
      </c>
      <c r="P641" s="2">
        <v>5</v>
      </c>
      <c r="Q641" s="2" t="s">
        <v>2854</v>
      </c>
      <c r="R641" s="2" t="s">
        <v>2855</v>
      </c>
      <c r="S641" s="4">
        <v>44837</v>
      </c>
    </row>
    <row r="642" spans="1:19" ht="12.5" x14ac:dyDescent="0.25">
      <c r="A642" s="14" t="str">
        <f>HYPERLINK("https://gerandofalcoes.my.salesforce.com/0014P00003SGWQFQA5", "0014P00003SGWQFQA5")</f>
        <v>0014P00003SGWQFQA5</v>
      </c>
      <c r="B642" s="2" t="s">
        <v>2856</v>
      </c>
      <c r="C642" s="2" t="s">
        <v>423</v>
      </c>
      <c r="D642" s="2" t="s">
        <v>2</v>
      </c>
      <c r="E642" s="2">
        <v>10</v>
      </c>
      <c r="F642" s="2">
        <v>2</v>
      </c>
      <c r="G642" s="2">
        <v>1</v>
      </c>
      <c r="H642" s="2">
        <v>8000</v>
      </c>
      <c r="I642" s="2">
        <v>210</v>
      </c>
      <c r="J642" s="2" t="s">
        <v>1779</v>
      </c>
      <c r="K642" s="2">
        <v>36</v>
      </c>
      <c r="L642" s="2">
        <v>10</v>
      </c>
      <c r="M642" s="2">
        <v>5</v>
      </c>
      <c r="N642" s="2">
        <v>4</v>
      </c>
      <c r="O642" s="2">
        <v>5</v>
      </c>
      <c r="P642" s="2">
        <v>12</v>
      </c>
      <c r="Q642" s="2" t="s">
        <v>256</v>
      </c>
      <c r="R642" s="2" t="s">
        <v>1221</v>
      </c>
      <c r="S642" s="4">
        <v>44837</v>
      </c>
    </row>
    <row r="643" spans="1:19" ht="12.5" x14ac:dyDescent="0.25">
      <c r="A643" s="14" t="str">
        <f>HYPERLINK("https://gerandofalcoes.my.salesforce.com/0014X00002VKCtZQAX", "0014X00002VKCtZQAX")</f>
        <v>0014X00002VKCtZQAX</v>
      </c>
      <c r="B643" s="2" t="s">
        <v>3833</v>
      </c>
      <c r="C643" s="2" t="s">
        <v>423</v>
      </c>
      <c r="D643" s="2" t="s">
        <v>2</v>
      </c>
      <c r="E643" s="2">
        <v>10</v>
      </c>
      <c r="F643" s="2">
        <v>0</v>
      </c>
      <c r="G643" s="2">
        <v>0</v>
      </c>
      <c r="H643" s="2">
        <v>200000000</v>
      </c>
      <c r="I643" s="2">
        <v>150</v>
      </c>
      <c r="J643" s="2" t="s">
        <v>1671</v>
      </c>
      <c r="K643" s="2">
        <v>47</v>
      </c>
      <c r="L643" s="2">
        <v>10</v>
      </c>
      <c r="M643" s="2">
        <v>0</v>
      </c>
      <c r="N643" s="2">
        <v>0</v>
      </c>
      <c r="O643" s="2">
        <v>25</v>
      </c>
      <c r="P643" s="2">
        <v>12</v>
      </c>
      <c r="Q643" s="2" t="s">
        <v>3834</v>
      </c>
      <c r="R643" s="2" t="s">
        <v>3834</v>
      </c>
      <c r="S643" s="4">
        <v>45015</v>
      </c>
    </row>
    <row r="644" spans="1:19" ht="12.5" x14ac:dyDescent="0.25">
      <c r="A644" s="14" t="str">
        <f>HYPERLINK("https://gerandofalcoes.my.salesforce.com/0014X00002VKCsdQAH", "0014X00002VKCsdQAH")</f>
        <v>0014X00002VKCsdQAH</v>
      </c>
      <c r="B644" s="2" t="s">
        <v>2857</v>
      </c>
      <c r="C644" s="2" t="s">
        <v>1800</v>
      </c>
      <c r="D644" s="2" t="s">
        <v>2</v>
      </c>
      <c r="E644" s="2">
        <v>10</v>
      </c>
      <c r="F644" s="2">
        <v>0</v>
      </c>
      <c r="G644" s="2">
        <v>2</v>
      </c>
      <c r="H644" s="2">
        <v>24000</v>
      </c>
      <c r="I644" s="2">
        <v>95</v>
      </c>
      <c r="J644" s="2" t="s">
        <v>1779</v>
      </c>
      <c r="K644" s="2">
        <v>31</v>
      </c>
      <c r="L644" s="2">
        <v>10</v>
      </c>
      <c r="M644" s="2">
        <v>0</v>
      </c>
      <c r="N644" s="2">
        <v>6</v>
      </c>
      <c r="O644" s="2">
        <v>5</v>
      </c>
      <c r="P644" s="2">
        <v>10</v>
      </c>
      <c r="Q644" s="2" t="s">
        <v>2858</v>
      </c>
      <c r="R644" s="2" t="s">
        <v>2859</v>
      </c>
      <c r="S644" s="4">
        <v>44837</v>
      </c>
    </row>
    <row r="645" spans="1:19" ht="12.5" x14ac:dyDescent="0.25">
      <c r="A645" s="14" t="str">
        <f>HYPERLINK("https://gerandofalcoes.my.salesforce.com/0014X00002cUXt4QAG", "0014X00002cUXt4QAG")</f>
        <v>0014X00002cUXt4QAG</v>
      </c>
      <c r="B645" s="2" t="s">
        <v>3812</v>
      </c>
      <c r="C645" s="2" t="s">
        <v>423</v>
      </c>
      <c r="D645" s="2" t="s">
        <v>2</v>
      </c>
      <c r="E645" s="2">
        <v>10</v>
      </c>
      <c r="F645" s="2">
        <v>0</v>
      </c>
      <c r="G645" s="2">
        <v>0</v>
      </c>
      <c r="H645" s="2">
        <v>0</v>
      </c>
      <c r="I645" s="2">
        <v>10</v>
      </c>
      <c r="J645" s="2" t="s">
        <v>1779</v>
      </c>
      <c r="K645" s="2">
        <v>15</v>
      </c>
      <c r="L645" s="2">
        <v>10</v>
      </c>
      <c r="M645" s="2">
        <v>0</v>
      </c>
      <c r="N645" s="2">
        <v>0</v>
      </c>
      <c r="O645" s="2">
        <v>0</v>
      </c>
      <c r="P645" s="2">
        <v>5</v>
      </c>
      <c r="Q645" s="2" t="s">
        <v>3813</v>
      </c>
      <c r="R645" s="2" t="s">
        <v>3814</v>
      </c>
      <c r="S645" s="4">
        <v>44991</v>
      </c>
    </row>
    <row r="646" spans="1:19" ht="12.5" x14ac:dyDescent="0.25">
      <c r="A646" s="14" t="str">
        <f>HYPERLINK("https://gerandofalcoes.my.salesforce.com/0014X00002VKCuUQAX", "0014X00002VKCuUQAX")</f>
        <v>0014X00002VKCuUQAX</v>
      </c>
      <c r="B646" s="2" t="s">
        <v>2860</v>
      </c>
      <c r="C646" s="2" t="s">
        <v>1800</v>
      </c>
      <c r="D646" s="2" t="s">
        <v>2</v>
      </c>
      <c r="E646" s="2">
        <v>10</v>
      </c>
      <c r="F646" s="2">
        <v>83</v>
      </c>
      <c r="G646" s="2">
        <v>8</v>
      </c>
      <c r="H646" s="2">
        <v>0</v>
      </c>
      <c r="I646" s="2">
        <v>5</v>
      </c>
      <c r="J646" s="2" t="s">
        <v>1671</v>
      </c>
      <c r="K646" s="2">
        <v>40</v>
      </c>
      <c r="L646" s="2">
        <v>10</v>
      </c>
      <c r="M646" s="2">
        <v>15</v>
      </c>
      <c r="N646" s="2">
        <v>10</v>
      </c>
      <c r="O646" s="2">
        <v>0</v>
      </c>
      <c r="P646" s="2">
        <v>5</v>
      </c>
      <c r="Q646" s="2" t="s">
        <v>2861</v>
      </c>
      <c r="R646" s="2" t="s">
        <v>2862</v>
      </c>
      <c r="S646" s="4">
        <v>44837</v>
      </c>
    </row>
    <row r="647" spans="1:19" ht="12.5" x14ac:dyDescent="0.25">
      <c r="A647" s="14" t="str">
        <f>HYPERLINK("https://gerandofalcoes.my.salesforce.com/0014X00002YggkAQAR", "0014X00002YggkAQAR")</f>
        <v>0014X00002YggkAQAR</v>
      </c>
      <c r="B647" s="2" t="s">
        <v>3255</v>
      </c>
      <c r="C647" s="2" t="s">
        <v>423</v>
      </c>
      <c r="D647" s="2" t="s">
        <v>2</v>
      </c>
      <c r="E647" s="2">
        <v>10</v>
      </c>
      <c r="F647" s="2">
        <v>12</v>
      </c>
      <c r="G647" s="2">
        <v>2</v>
      </c>
      <c r="H647" s="2">
        <v>4000</v>
      </c>
      <c r="I647" s="2">
        <v>0</v>
      </c>
      <c r="J647" s="2" t="s">
        <v>1779</v>
      </c>
      <c r="K647" s="2">
        <v>33</v>
      </c>
      <c r="L647" s="2">
        <v>10</v>
      </c>
      <c r="M647" s="2">
        <v>12</v>
      </c>
      <c r="N647" s="2">
        <v>6</v>
      </c>
      <c r="O647" s="2">
        <v>5</v>
      </c>
      <c r="P647" s="2">
        <v>0</v>
      </c>
      <c r="Q647" s="2" t="s">
        <v>3256</v>
      </c>
      <c r="R647" s="2" t="s">
        <v>3257</v>
      </c>
      <c r="S647" s="4">
        <v>44952</v>
      </c>
    </row>
    <row r="648" spans="1:19" ht="12.5" x14ac:dyDescent="0.25">
      <c r="A648" s="14" t="str">
        <f>HYPERLINK("https://gerandofalcoes.my.salesforce.com/0014X00002VKCpLQAX", "0014X00002VKCpLQAX")</f>
        <v>0014X00002VKCpLQAX</v>
      </c>
      <c r="B648" s="2" t="s">
        <v>2335</v>
      </c>
      <c r="C648" s="2" t="s">
        <v>1800</v>
      </c>
      <c r="D648" s="2" t="s">
        <v>2</v>
      </c>
      <c r="E648" s="2">
        <v>10</v>
      </c>
      <c r="F648" s="2">
        <v>0</v>
      </c>
      <c r="G648" s="2">
        <v>3</v>
      </c>
      <c r="H648" s="2">
        <v>5000</v>
      </c>
      <c r="I648" s="2">
        <v>0</v>
      </c>
      <c r="J648" s="2" t="s">
        <v>1779</v>
      </c>
      <c r="K648" s="2">
        <v>23</v>
      </c>
      <c r="L648" s="2">
        <v>10</v>
      </c>
      <c r="M648" s="2">
        <v>0</v>
      </c>
      <c r="N648" s="2">
        <v>8</v>
      </c>
      <c r="O648" s="2">
        <v>5</v>
      </c>
      <c r="P648" s="2">
        <v>0</v>
      </c>
      <c r="Q648" s="2" t="s">
        <v>2863</v>
      </c>
      <c r="R648" s="2" t="s">
        <v>2864</v>
      </c>
      <c r="S648" s="4">
        <v>44837</v>
      </c>
    </row>
    <row r="649" spans="1:19" ht="12.5" x14ac:dyDescent="0.25">
      <c r="A649" s="14" t="str">
        <f>HYPERLINK("https://gerandofalcoes.my.salesforce.com/0014P00003YSp8VQAT", "0014P00003YSp8VQAT")</f>
        <v>0014P00003YSp8VQAT</v>
      </c>
      <c r="B649" s="2" t="s">
        <v>2865</v>
      </c>
      <c r="C649" s="2" t="s">
        <v>1800</v>
      </c>
      <c r="D649" s="2" t="s">
        <v>2</v>
      </c>
      <c r="E649" s="2">
        <v>10</v>
      </c>
      <c r="F649" s="2">
        <v>0</v>
      </c>
      <c r="G649" s="2">
        <v>0</v>
      </c>
      <c r="H649" s="2">
        <v>0</v>
      </c>
      <c r="I649" s="2">
        <v>0</v>
      </c>
      <c r="J649" s="2" t="s">
        <v>1779</v>
      </c>
      <c r="K649" s="2">
        <v>10</v>
      </c>
      <c r="L649" s="2">
        <v>10</v>
      </c>
      <c r="M649" s="2">
        <v>0</v>
      </c>
      <c r="N649" s="2">
        <v>0</v>
      </c>
      <c r="O649" s="2">
        <v>0</v>
      </c>
      <c r="P649" s="2">
        <v>0</v>
      </c>
      <c r="Q649" s="2" t="s">
        <v>2866</v>
      </c>
      <c r="R649" s="2" t="s">
        <v>2867</v>
      </c>
      <c r="S649" s="4">
        <v>44837</v>
      </c>
    </row>
    <row r="650" spans="1:19" ht="12.5" x14ac:dyDescent="0.25">
      <c r="A650" s="14" t="str">
        <f>HYPERLINK("https://gerandofalcoes.my.salesforce.com/0014X00002VKCulQAH", "0014X00002VKCulQAH")</f>
        <v>0014X00002VKCulQAH</v>
      </c>
      <c r="B650" s="2" t="s">
        <v>3849</v>
      </c>
      <c r="C650" s="2" t="s">
        <v>1800</v>
      </c>
      <c r="D650" s="2" t="s">
        <v>2</v>
      </c>
      <c r="E650" s="2">
        <v>10</v>
      </c>
      <c r="F650" s="2">
        <v>0</v>
      </c>
      <c r="G650" s="2">
        <v>1</v>
      </c>
      <c r="H650" s="2">
        <v>0</v>
      </c>
      <c r="I650" s="2">
        <v>0</v>
      </c>
      <c r="J650" s="2" t="s">
        <v>1779</v>
      </c>
      <c r="K650" s="2">
        <v>14</v>
      </c>
      <c r="L650" s="2">
        <v>10</v>
      </c>
      <c r="M650" s="2">
        <v>0</v>
      </c>
      <c r="N650" s="2">
        <v>4</v>
      </c>
      <c r="O650" s="2">
        <v>0</v>
      </c>
      <c r="P650" s="2">
        <v>0</v>
      </c>
      <c r="Q650" s="2" t="s">
        <v>3850</v>
      </c>
      <c r="R650" s="2" t="s">
        <v>3851</v>
      </c>
      <c r="S650" s="4">
        <v>45112</v>
      </c>
    </row>
    <row r="651" spans="1:19" ht="12.5" x14ac:dyDescent="0.25">
      <c r="A651" s="14" t="str">
        <f>HYPERLINK("https://gerandofalcoes.my.salesforce.com/0014X00002VKCqJQAX", "0014X00002VKCqJQAX")</f>
        <v>0014X00002VKCqJQAX</v>
      </c>
      <c r="B651" s="2" t="s">
        <v>2868</v>
      </c>
      <c r="C651" s="2" t="s">
        <v>423</v>
      </c>
      <c r="D651" s="2" t="s">
        <v>2</v>
      </c>
      <c r="E651" s="2">
        <v>9.99</v>
      </c>
      <c r="F651" s="2">
        <v>0</v>
      </c>
      <c r="G651" s="2">
        <v>1</v>
      </c>
      <c r="H651" s="2">
        <v>16278</v>
      </c>
      <c r="I651" s="2">
        <v>100</v>
      </c>
      <c r="J651" s="2" t="s">
        <v>1779</v>
      </c>
      <c r="K651" s="2">
        <v>29</v>
      </c>
      <c r="L651" s="2">
        <v>10</v>
      </c>
      <c r="M651" s="2">
        <v>0</v>
      </c>
      <c r="N651" s="2">
        <v>4</v>
      </c>
      <c r="O651" s="2">
        <v>5</v>
      </c>
      <c r="P651" s="2">
        <v>10</v>
      </c>
      <c r="Q651" s="2" t="s">
        <v>2869</v>
      </c>
      <c r="R651" s="2" t="s">
        <v>2870</v>
      </c>
      <c r="S651" s="4">
        <v>44837</v>
      </c>
    </row>
    <row r="652" spans="1:19" ht="12.5" x14ac:dyDescent="0.25">
      <c r="A652" s="14" t="str">
        <f>HYPERLINK("https://gerandofalcoes.my.salesforce.com/0014X00002VKCtbQAH", "0014X00002VKCtbQAH")</f>
        <v>0014X00002VKCtbQAH</v>
      </c>
      <c r="B652" s="2" t="s">
        <v>2871</v>
      </c>
      <c r="C652" s="2" t="s">
        <v>423</v>
      </c>
      <c r="D652" s="2" t="s">
        <v>2</v>
      </c>
      <c r="E652" s="2">
        <v>9.98</v>
      </c>
      <c r="F652" s="2">
        <v>11</v>
      </c>
      <c r="G652" s="2">
        <v>0</v>
      </c>
      <c r="H652" s="2">
        <v>0</v>
      </c>
      <c r="I652" s="2">
        <v>80</v>
      </c>
      <c r="J652" s="2" t="s">
        <v>1779</v>
      </c>
      <c r="K652" s="2">
        <v>32</v>
      </c>
      <c r="L652" s="2">
        <v>10</v>
      </c>
      <c r="M652" s="2">
        <v>12</v>
      </c>
      <c r="N652" s="2">
        <v>0</v>
      </c>
      <c r="O652" s="2">
        <v>0</v>
      </c>
      <c r="P652" s="2">
        <v>10</v>
      </c>
      <c r="Q652" s="2" t="s">
        <v>2872</v>
      </c>
      <c r="R652" s="2" t="s">
        <v>2873</v>
      </c>
      <c r="S652" s="4">
        <v>44837</v>
      </c>
    </row>
    <row r="653" spans="1:19" ht="12.5" x14ac:dyDescent="0.25">
      <c r="A653" s="14" t="str">
        <f>HYPERLINK("https://gerandofalcoes.my.salesforce.com/0014X00002VKCv9QAH", "0014X00002VKCv9QAH")</f>
        <v>0014X00002VKCv9QAH</v>
      </c>
      <c r="B653" s="2" t="s">
        <v>2874</v>
      </c>
      <c r="C653" s="2" t="s">
        <v>423</v>
      </c>
      <c r="D653" s="2" t="s">
        <v>2</v>
      </c>
      <c r="E653" s="2">
        <v>9.92</v>
      </c>
      <c r="F653" s="2">
        <v>0</v>
      </c>
      <c r="G653" s="2">
        <v>0</v>
      </c>
      <c r="H653" s="2">
        <v>0</v>
      </c>
      <c r="I653" s="2">
        <v>200</v>
      </c>
      <c r="J653" s="2" t="s">
        <v>1779</v>
      </c>
      <c r="K653" s="2">
        <v>22</v>
      </c>
      <c r="L653" s="2">
        <v>10</v>
      </c>
      <c r="M653" s="2">
        <v>0</v>
      </c>
      <c r="N653" s="2">
        <v>0</v>
      </c>
      <c r="O653" s="2">
        <v>0</v>
      </c>
      <c r="P653" s="2">
        <v>12</v>
      </c>
      <c r="Q653" s="2" t="s">
        <v>2875</v>
      </c>
      <c r="R653" s="2" t="s">
        <v>2875</v>
      </c>
      <c r="S653" s="4">
        <v>44837</v>
      </c>
    </row>
    <row r="654" spans="1:19" ht="12.5" x14ac:dyDescent="0.25">
      <c r="A654" s="14" t="str">
        <f>HYPERLINK("https://gerandofalcoes.my.salesforce.com/0014X00002YggipQAB", "0014X00002YggipQAB")</f>
        <v>0014X00002YggipQAB</v>
      </c>
      <c r="B654" s="2" t="s">
        <v>4098</v>
      </c>
      <c r="C654" s="2" t="s">
        <v>423</v>
      </c>
      <c r="D654" s="2" t="s">
        <v>2</v>
      </c>
      <c r="E654" s="2">
        <v>9.84</v>
      </c>
      <c r="F654" s="2">
        <v>10</v>
      </c>
      <c r="G654" s="2">
        <v>3</v>
      </c>
      <c r="H654" s="2">
        <v>130000</v>
      </c>
      <c r="I654" s="2">
        <v>150</v>
      </c>
      <c r="J654" s="2"/>
      <c r="K654" s="2">
        <v>55</v>
      </c>
      <c r="L654" s="2">
        <v>10</v>
      </c>
      <c r="M654" s="2">
        <v>10</v>
      </c>
      <c r="N654" s="2">
        <v>8</v>
      </c>
      <c r="O654" s="2">
        <v>15</v>
      </c>
      <c r="P654" s="2">
        <v>12</v>
      </c>
      <c r="Q654" s="2" t="s">
        <v>4099</v>
      </c>
      <c r="R654" s="2" t="s">
        <v>4100</v>
      </c>
      <c r="S654" s="4">
        <v>45169</v>
      </c>
    </row>
    <row r="655" spans="1:19" ht="12.5" x14ac:dyDescent="0.25">
      <c r="A655" s="14" t="str">
        <f>HYPERLINK("https://gerandofalcoes.my.salesforce.com/0014P00003SGWPlQAP", "0014P00003SGWPlQAP")</f>
        <v>0014P00003SGWPlQAP</v>
      </c>
      <c r="B655" s="2" t="s">
        <v>311</v>
      </c>
      <c r="C655" s="2" t="s">
        <v>423</v>
      </c>
      <c r="D655" s="2" t="s">
        <v>2</v>
      </c>
      <c r="E655" s="2">
        <v>9.83</v>
      </c>
      <c r="F655" s="2">
        <v>0</v>
      </c>
      <c r="G655" s="2">
        <v>2</v>
      </c>
      <c r="H655" s="2">
        <v>30000</v>
      </c>
      <c r="I655" s="2">
        <v>120</v>
      </c>
      <c r="J655" s="2" t="s">
        <v>1779</v>
      </c>
      <c r="K655" s="2">
        <v>36</v>
      </c>
      <c r="L655" s="2">
        <v>10</v>
      </c>
      <c r="M655" s="2">
        <v>0</v>
      </c>
      <c r="N655" s="2">
        <v>6</v>
      </c>
      <c r="O655" s="2">
        <v>10</v>
      </c>
      <c r="P655" s="2">
        <v>10</v>
      </c>
      <c r="Q655" s="2" t="s">
        <v>312</v>
      </c>
      <c r="R655" s="2" t="s">
        <v>312</v>
      </c>
      <c r="S655" s="4">
        <v>44837</v>
      </c>
    </row>
    <row r="656" spans="1:19" ht="12.5" x14ac:dyDescent="0.25">
      <c r="A656" s="14" t="str">
        <f>HYPERLINK("https://gerandofalcoes.my.salesforce.com/0014X00002Yggk3QAB", "0014X00002Yggk3QAB")</f>
        <v>0014X00002Yggk3QAB</v>
      </c>
      <c r="B656" s="2" t="s">
        <v>3325</v>
      </c>
      <c r="C656" s="2" t="s">
        <v>423</v>
      </c>
      <c r="D656" s="2" t="s">
        <v>2</v>
      </c>
      <c r="E656" s="2">
        <v>9.67</v>
      </c>
      <c r="F656" s="2">
        <v>0</v>
      </c>
      <c r="G656" s="2">
        <v>3</v>
      </c>
      <c r="H656" s="2">
        <v>8386</v>
      </c>
      <c r="I656" s="2">
        <v>0</v>
      </c>
      <c r="J656" s="2" t="s">
        <v>1779</v>
      </c>
      <c r="K656" s="2">
        <v>23</v>
      </c>
      <c r="L656" s="2">
        <v>10</v>
      </c>
      <c r="M656" s="2">
        <v>0</v>
      </c>
      <c r="N656" s="2">
        <v>8</v>
      </c>
      <c r="O656" s="2">
        <v>5</v>
      </c>
      <c r="P656" s="2">
        <v>0</v>
      </c>
      <c r="Q656" s="2" t="s">
        <v>3326</v>
      </c>
      <c r="R656" s="2" t="s">
        <v>3327</v>
      </c>
      <c r="S656" s="4">
        <v>44953</v>
      </c>
    </row>
    <row r="657" spans="1:19" ht="12.5" x14ac:dyDescent="0.25">
      <c r="A657" s="14" t="str">
        <f>HYPERLINK("https://gerandofalcoes.my.salesforce.com/0014P00003AN2FyQAL", "0014P00003AN2FyQAL")</f>
        <v>0014P00003AN2FyQAL</v>
      </c>
      <c r="B657" s="2" t="s">
        <v>2876</v>
      </c>
      <c r="C657" s="2" t="s">
        <v>423</v>
      </c>
      <c r="D657" s="2" t="s">
        <v>2</v>
      </c>
      <c r="E657" s="2">
        <v>9.58</v>
      </c>
      <c r="F657" s="2">
        <v>0</v>
      </c>
      <c r="G657" s="2">
        <v>3</v>
      </c>
      <c r="H657" s="2">
        <v>90000</v>
      </c>
      <c r="I657" s="2">
        <v>200</v>
      </c>
      <c r="J657" s="2" t="s">
        <v>1671</v>
      </c>
      <c r="K657" s="2">
        <v>40</v>
      </c>
      <c r="L657" s="2">
        <v>10</v>
      </c>
      <c r="M657" s="2">
        <v>0</v>
      </c>
      <c r="N657" s="2">
        <v>8</v>
      </c>
      <c r="O657" s="2">
        <v>10</v>
      </c>
      <c r="P657" s="2">
        <v>12</v>
      </c>
      <c r="Q657" s="2" t="s">
        <v>2877</v>
      </c>
      <c r="R657" s="2" t="s">
        <v>2877</v>
      </c>
      <c r="S657" s="4">
        <v>44837</v>
      </c>
    </row>
    <row r="658" spans="1:19" ht="12.5" x14ac:dyDescent="0.25">
      <c r="A658" s="14" t="str">
        <f>HYPERLINK("https://gerandofalcoes.my.salesforce.com/0014X00002Yggl2QAB", "0014X00002Yggl2QAB")</f>
        <v>0014X00002Yggl2QAB</v>
      </c>
      <c r="B658" s="2" t="s">
        <v>3540</v>
      </c>
      <c r="C658" s="2" t="s">
        <v>423</v>
      </c>
      <c r="D658" s="2" t="s">
        <v>2</v>
      </c>
      <c r="E658" s="2">
        <v>9.41</v>
      </c>
      <c r="F658" s="2">
        <v>0</v>
      </c>
      <c r="G658" s="2">
        <v>2</v>
      </c>
      <c r="H658" s="2">
        <v>0</v>
      </c>
      <c r="I658" s="2">
        <v>0</v>
      </c>
      <c r="J658" s="2" t="s">
        <v>1779</v>
      </c>
      <c r="K658" s="2">
        <v>16</v>
      </c>
      <c r="L658" s="2">
        <v>10</v>
      </c>
      <c r="M658" s="2">
        <v>0</v>
      </c>
      <c r="N658" s="2">
        <v>6</v>
      </c>
      <c r="O658" s="2">
        <v>0</v>
      </c>
      <c r="P658" s="2">
        <v>0</v>
      </c>
      <c r="Q658" s="2" t="s">
        <v>3541</v>
      </c>
      <c r="R658" s="2" t="s">
        <v>3541</v>
      </c>
      <c r="S658" s="4">
        <v>44959</v>
      </c>
    </row>
    <row r="659" spans="1:19" ht="12.5" x14ac:dyDescent="0.25">
      <c r="A659" s="14" t="str">
        <f>HYPERLINK("https://gerandofalcoes.my.salesforce.com/0014X00002YggkDQAR", "0014X00002YggkDQAR")</f>
        <v>0014X00002YggkDQAR</v>
      </c>
      <c r="B659" s="2" t="s">
        <v>3023</v>
      </c>
      <c r="C659" s="2" t="s">
        <v>423</v>
      </c>
      <c r="D659" s="2" t="s">
        <v>2</v>
      </c>
      <c r="E659" s="2">
        <v>9.2100000000000009</v>
      </c>
      <c r="F659" s="2">
        <v>0</v>
      </c>
      <c r="G659" s="2">
        <v>4</v>
      </c>
      <c r="H659" s="2">
        <v>78654</v>
      </c>
      <c r="I659" s="2">
        <v>0</v>
      </c>
      <c r="J659" s="2" t="s">
        <v>1779</v>
      </c>
      <c r="K659" s="2">
        <v>30</v>
      </c>
      <c r="L659" s="2">
        <v>10</v>
      </c>
      <c r="M659" s="2">
        <v>0</v>
      </c>
      <c r="N659" s="2">
        <v>10</v>
      </c>
      <c r="O659" s="2">
        <v>10</v>
      </c>
      <c r="P659" s="2">
        <v>0</v>
      </c>
      <c r="Q659" s="2" t="s">
        <v>3024</v>
      </c>
      <c r="R659" s="2" t="s">
        <v>3025</v>
      </c>
      <c r="S659" s="4">
        <v>44945</v>
      </c>
    </row>
    <row r="660" spans="1:19" ht="12.5" x14ac:dyDescent="0.25">
      <c r="A660" s="14" t="str">
        <f>HYPERLINK("https://gerandofalcoes.my.salesforce.com/0014X00002YggqvQAB", "0014X00002YggqvQAB")</f>
        <v>0014X00002YggqvQAB</v>
      </c>
      <c r="B660" s="2" t="s">
        <v>3435</v>
      </c>
      <c r="C660" s="2" t="s">
        <v>423</v>
      </c>
      <c r="D660" s="2" t="s">
        <v>2</v>
      </c>
      <c r="E660" s="2">
        <v>9.1300000000000008</v>
      </c>
      <c r="F660" s="2">
        <v>0</v>
      </c>
      <c r="G660" s="2">
        <v>3</v>
      </c>
      <c r="H660" s="2">
        <v>24000</v>
      </c>
      <c r="I660" s="2">
        <v>0</v>
      </c>
      <c r="J660" s="2" t="s">
        <v>1779</v>
      </c>
      <c r="K660" s="2">
        <v>23</v>
      </c>
      <c r="L660" s="2">
        <v>10</v>
      </c>
      <c r="M660" s="2">
        <v>0</v>
      </c>
      <c r="N660" s="2">
        <v>8</v>
      </c>
      <c r="O660" s="2">
        <v>5</v>
      </c>
      <c r="P660" s="2">
        <v>0</v>
      </c>
      <c r="Q660" s="2" t="s">
        <v>3436</v>
      </c>
      <c r="R660" s="2" t="s">
        <v>3437</v>
      </c>
      <c r="S660" s="4">
        <v>44958</v>
      </c>
    </row>
    <row r="661" spans="1:19" ht="12.5" x14ac:dyDescent="0.25">
      <c r="A661" s="14" t="str">
        <f>HYPERLINK("https://gerandofalcoes.my.salesforce.com/0014X00002YggkeQAB", "0014X00002YggkeQAB")</f>
        <v>0014X00002YggkeQAB</v>
      </c>
      <c r="B661" s="2" t="s">
        <v>3660</v>
      </c>
      <c r="C661" s="2" t="s">
        <v>423</v>
      </c>
      <c r="D661" s="2" t="s">
        <v>2</v>
      </c>
      <c r="E661" s="2">
        <v>9.09</v>
      </c>
      <c r="F661" s="2">
        <v>1</v>
      </c>
      <c r="G661" s="2">
        <v>2</v>
      </c>
      <c r="H661" s="2">
        <v>0</v>
      </c>
      <c r="I661" s="2">
        <v>80</v>
      </c>
      <c r="J661" s="2" t="s">
        <v>1779</v>
      </c>
      <c r="K661" s="2">
        <v>31</v>
      </c>
      <c r="L661" s="2">
        <v>10</v>
      </c>
      <c r="M661" s="2">
        <v>5</v>
      </c>
      <c r="N661" s="2">
        <v>6</v>
      </c>
      <c r="O661" s="2">
        <v>0</v>
      </c>
      <c r="P661" s="2">
        <v>10</v>
      </c>
      <c r="Q661" s="2" t="s">
        <v>3661</v>
      </c>
      <c r="R661" s="2" t="s">
        <v>3661</v>
      </c>
      <c r="S661" s="4">
        <v>44964</v>
      </c>
    </row>
    <row r="662" spans="1:19" ht="12.5" x14ac:dyDescent="0.25">
      <c r="A662" s="14" t="str">
        <f>HYPERLINK("https://gerandofalcoes.my.salesforce.com/0014X00002VKCsRQAX", "0014X00002VKCsRQAX")</f>
        <v>0014X00002VKCsRQAX</v>
      </c>
      <c r="B662" s="2" t="s">
        <v>2878</v>
      </c>
      <c r="C662" s="2" t="s">
        <v>423</v>
      </c>
      <c r="D662" s="2" t="s">
        <v>2</v>
      </c>
      <c r="E662" s="2">
        <v>9.08</v>
      </c>
      <c r="F662" s="2">
        <v>0</v>
      </c>
      <c r="G662" s="2">
        <v>1</v>
      </c>
      <c r="H662" s="2">
        <v>15000</v>
      </c>
      <c r="I662" s="2">
        <v>250</v>
      </c>
      <c r="J662" s="2" t="s">
        <v>1779</v>
      </c>
      <c r="K662" s="2">
        <v>31</v>
      </c>
      <c r="L662" s="2">
        <v>10</v>
      </c>
      <c r="M662" s="2">
        <v>0</v>
      </c>
      <c r="N662" s="2">
        <v>4</v>
      </c>
      <c r="O662" s="2">
        <v>5</v>
      </c>
      <c r="P662" s="2">
        <v>12</v>
      </c>
      <c r="Q662" s="2" t="s">
        <v>2879</v>
      </c>
      <c r="R662" s="2" t="s">
        <v>2880</v>
      </c>
      <c r="S662" s="4">
        <v>44837</v>
      </c>
    </row>
    <row r="663" spans="1:19" ht="12.5" hidden="1" x14ac:dyDescent="0.25">
      <c r="A663" s="14" t="str">
        <f>HYPERLINK("https://gerandofalcoes.my.salesforce.com/0014X00002YggitQAB", "0014X00002YggitQAB")</f>
        <v>0014X00002YggitQAB</v>
      </c>
      <c r="B663" s="2" t="s">
        <v>3781</v>
      </c>
      <c r="C663" s="2" t="s">
        <v>1684</v>
      </c>
      <c r="D663" s="2" t="s">
        <v>2</v>
      </c>
      <c r="E663" s="2">
        <v>9.0500000000000007</v>
      </c>
      <c r="F663" s="2">
        <v>0</v>
      </c>
      <c r="G663" s="2">
        <v>2</v>
      </c>
      <c r="H663" s="2">
        <v>0</v>
      </c>
      <c r="I663" s="2">
        <v>40</v>
      </c>
      <c r="J663" s="2" t="s">
        <v>1779</v>
      </c>
      <c r="K663" s="2">
        <v>21</v>
      </c>
      <c r="L663" s="2">
        <v>10</v>
      </c>
      <c r="M663" s="2">
        <v>0</v>
      </c>
      <c r="N663" s="2">
        <v>6</v>
      </c>
      <c r="O663" s="2">
        <v>0</v>
      </c>
      <c r="P663" s="2">
        <v>5</v>
      </c>
      <c r="Q663" s="2" t="s">
        <v>3782</v>
      </c>
      <c r="R663" s="2" t="s">
        <v>3783</v>
      </c>
      <c r="S663" s="4">
        <v>44968</v>
      </c>
    </row>
    <row r="664" spans="1:19" ht="12.5" x14ac:dyDescent="0.25">
      <c r="A664" s="14" t="str">
        <f>HYPERLINK("https://gerandofalcoes.my.salesforce.com/0014X00002VKCrMQAX", "0014X00002VKCrMQAX")</f>
        <v>0014X00002VKCrMQAX</v>
      </c>
      <c r="B664" s="2" t="s">
        <v>2881</v>
      </c>
      <c r="C664" s="2" t="s">
        <v>423</v>
      </c>
      <c r="D664" s="2" t="s">
        <v>2</v>
      </c>
      <c r="E664" s="2">
        <v>9.0299999999999994</v>
      </c>
      <c r="F664" s="2">
        <v>0</v>
      </c>
      <c r="G664" s="2">
        <v>6</v>
      </c>
      <c r="H664" s="2">
        <v>3057</v>
      </c>
      <c r="I664" s="2">
        <v>3</v>
      </c>
      <c r="J664" s="2" t="s">
        <v>1779</v>
      </c>
      <c r="K664" s="2">
        <v>30</v>
      </c>
      <c r="L664" s="2">
        <v>10</v>
      </c>
      <c r="M664" s="2">
        <v>0</v>
      </c>
      <c r="N664" s="2">
        <v>10</v>
      </c>
      <c r="O664" s="2">
        <v>5</v>
      </c>
      <c r="P664" s="2">
        <v>5</v>
      </c>
      <c r="Q664" s="2" t="s">
        <v>2882</v>
      </c>
      <c r="R664" s="2" t="s">
        <v>2883</v>
      </c>
      <c r="S664" s="4">
        <v>44837</v>
      </c>
    </row>
    <row r="665" spans="1:19" ht="12.5" x14ac:dyDescent="0.25">
      <c r="A665" s="14" t="str">
        <f>HYPERLINK("https://gerandofalcoes.my.salesforce.com/0014P00003YSp9vQAD", "0014P00003YSp9vQAD")</f>
        <v>0014P00003YSp9vQAD</v>
      </c>
      <c r="B665" s="2" t="s">
        <v>2884</v>
      </c>
      <c r="C665" s="2" t="s">
        <v>423</v>
      </c>
      <c r="D665" s="2" t="s">
        <v>2</v>
      </c>
      <c r="E665" s="2">
        <v>9</v>
      </c>
      <c r="F665" s="2">
        <v>0</v>
      </c>
      <c r="G665" s="2">
        <v>2</v>
      </c>
      <c r="H665" s="2">
        <v>11000</v>
      </c>
      <c r="I665" s="2">
        <v>759</v>
      </c>
      <c r="J665" s="2" t="s">
        <v>1671</v>
      </c>
      <c r="K665" s="2">
        <v>41</v>
      </c>
      <c r="L665" s="2">
        <v>10</v>
      </c>
      <c r="M665" s="2">
        <v>0</v>
      </c>
      <c r="N665" s="2">
        <v>6</v>
      </c>
      <c r="O665" s="2">
        <v>5</v>
      </c>
      <c r="P665" s="2">
        <v>20</v>
      </c>
      <c r="Q665" s="2" t="s">
        <v>2885</v>
      </c>
      <c r="R665" s="2" t="s">
        <v>2886</v>
      </c>
      <c r="S665" s="4">
        <v>44837</v>
      </c>
    </row>
    <row r="666" spans="1:19" ht="12.5" x14ac:dyDescent="0.25">
      <c r="A666" s="14" t="str">
        <f>HYPERLINK("https://gerandofalcoes.my.salesforce.com/0014X00002VKCrpQAH", "0014X00002VKCrpQAH")</f>
        <v>0014X00002VKCrpQAH</v>
      </c>
      <c r="B666" s="2" t="s">
        <v>2887</v>
      </c>
      <c r="C666" s="2" t="s">
        <v>1800</v>
      </c>
      <c r="D666" s="2" t="s">
        <v>2</v>
      </c>
      <c r="E666" s="2">
        <v>9</v>
      </c>
      <c r="F666" s="2">
        <v>0</v>
      </c>
      <c r="G666" s="2">
        <v>4</v>
      </c>
      <c r="H666" s="2">
        <v>2700</v>
      </c>
      <c r="I666" s="2">
        <v>80</v>
      </c>
      <c r="J666" s="2" t="s">
        <v>1779</v>
      </c>
      <c r="K666" s="2">
        <v>35</v>
      </c>
      <c r="L666" s="2">
        <v>10</v>
      </c>
      <c r="M666" s="2">
        <v>0</v>
      </c>
      <c r="N666" s="2">
        <v>10</v>
      </c>
      <c r="O666" s="2">
        <v>5</v>
      </c>
      <c r="P666" s="2">
        <v>10</v>
      </c>
      <c r="Q666" s="2" t="s">
        <v>2888</v>
      </c>
      <c r="R666" s="2" t="s">
        <v>2889</v>
      </c>
      <c r="S666" s="4">
        <v>44837</v>
      </c>
    </row>
    <row r="667" spans="1:19" ht="12.5" x14ac:dyDescent="0.25">
      <c r="A667" s="14" t="str">
        <f>HYPERLINK("https://gerandofalcoes.my.salesforce.com/0014P00003YSp8qQAD", "0014P00003YSp8qQAD")</f>
        <v>0014P00003YSp8qQAD</v>
      </c>
      <c r="B667" s="2" t="s">
        <v>2890</v>
      </c>
      <c r="C667" s="2" t="s">
        <v>423</v>
      </c>
      <c r="D667" s="2" t="s">
        <v>2</v>
      </c>
      <c r="E667" s="2">
        <v>8.92</v>
      </c>
      <c r="F667" s="2">
        <v>0</v>
      </c>
      <c r="G667" s="2">
        <v>1</v>
      </c>
      <c r="H667" s="2">
        <v>1500</v>
      </c>
      <c r="I667" s="2">
        <v>80</v>
      </c>
      <c r="J667" s="2" t="s">
        <v>1779</v>
      </c>
      <c r="K667" s="2">
        <v>29</v>
      </c>
      <c r="L667" s="2">
        <v>10</v>
      </c>
      <c r="M667" s="2">
        <v>0</v>
      </c>
      <c r="N667" s="2">
        <v>4</v>
      </c>
      <c r="O667" s="2">
        <v>5</v>
      </c>
      <c r="P667" s="2">
        <v>10</v>
      </c>
      <c r="Q667" s="2" t="s">
        <v>2891</v>
      </c>
      <c r="R667" s="2" t="s">
        <v>2892</v>
      </c>
      <c r="S667" s="4">
        <v>44837</v>
      </c>
    </row>
    <row r="668" spans="1:19" ht="12.5" x14ac:dyDescent="0.25">
      <c r="A668" s="14" t="str">
        <f>HYPERLINK("https://gerandofalcoes.my.salesforce.com/0014X00002VKCshQAH", "0014X00002VKCshQAH")</f>
        <v>0014X00002VKCshQAH</v>
      </c>
      <c r="B668" s="2" t="s">
        <v>2893</v>
      </c>
      <c r="C668" s="2" t="s">
        <v>423</v>
      </c>
      <c r="D668" s="2" t="s">
        <v>2</v>
      </c>
      <c r="E668" s="2">
        <v>8.9</v>
      </c>
      <c r="F668" s="2">
        <v>0</v>
      </c>
      <c r="G668" s="2">
        <v>2</v>
      </c>
      <c r="H668" s="2">
        <v>25000</v>
      </c>
      <c r="I668" s="2">
        <v>83</v>
      </c>
      <c r="J668" s="2" t="s">
        <v>1779</v>
      </c>
      <c r="K668" s="2">
        <v>36</v>
      </c>
      <c r="L668" s="2">
        <v>10</v>
      </c>
      <c r="M668" s="2">
        <v>0</v>
      </c>
      <c r="N668" s="2">
        <v>6</v>
      </c>
      <c r="O668" s="2">
        <v>10</v>
      </c>
      <c r="P668" s="2">
        <v>10</v>
      </c>
      <c r="Q668" s="2" t="s">
        <v>2894</v>
      </c>
      <c r="R668" s="2" t="s">
        <v>2895</v>
      </c>
      <c r="S668" s="4">
        <v>44837</v>
      </c>
    </row>
    <row r="669" spans="1:19" ht="12.5" hidden="1" x14ac:dyDescent="0.25">
      <c r="A669" s="14" t="str">
        <f>HYPERLINK("https://gerandofalcoes.my.salesforce.com/0014P00003SGWPcQAP", "0014P00003SGWPcQAP")</f>
        <v>0014P00003SGWPcQAP</v>
      </c>
      <c r="B669" s="2" t="s">
        <v>2896</v>
      </c>
      <c r="C669" s="2" t="s">
        <v>1684</v>
      </c>
      <c r="D669" s="2" t="s">
        <v>2</v>
      </c>
      <c r="E669" s="2">
        <v>8.81</v>
      </c>
      <c r="F669" s="2">
        <v>0</v>
      </c>
      <c r="G669" s="2">
        <v>0</v>
      </c>
      <c r="H669" s="2">
        <v>0</v>
      </c>
      <c r="I669" s="2">
        <v>-25</v>
      </c>
      <c r="J669" s="2" t="s">
        <v>1779</v>
      </c>
      <c r="K669" s="2">
        <v>10</v>
      </c>
      <c r="L669" s="2">
        <v>10</v>
      </c>
      <c r="M669" s="2">
        <v>0</v>
      </c>
      <c r="N669" s="2">
        <v>0</v>
      </c>
      <c r="O669" s="2">
        <v>0</v>
      </c>
      <c r="P669" s="2">
        <v>0</v>
      </c>
      <c r="Q669" s="2" t="s">
        <v>282</v>
      </c>
      <c r="R669" s="2" t="s">
        <v>2897</v>
      </c>
      <c r="S669" s="4">
        <v>44837</v>
      </c>
    </row>
    <row r="670" spans="1:19" ht="12.5" x14ac:dyDescent="0.25">
      <c r="A670" s="14" t="str">
        <f>HYPERLINK("https://gerandofalcoes.my.salesforce.com/0014X00002Yggj5QAB", "0014X00002Yggj5QAB")</f>
        <v>0014X00002Yggj5QAB</v>
      </c>
      <c r="B670" s="2" t="s">
        <v>3714</v>
      </c>
      <c r="C670" s="2" t="s">
        <v>423</v>
      </c>
      <c r="D670" s="2" t="s">
        <v>2</v>
      </c>
      <c r="E670" s="2">
        <v>8.77</v>
      </c>
      <c r="F670" s="2">
        <v>0</v>
      </c>
      <c r="G670" s="2">
        <v>2</v>
      </c>
      <c r="H670" s="2">
        <v>3000</v>
      </c>
      <c r="I670" s="2">
        <v>0</v>
      </c>
      <c r="J670" s="2" t="s">
        <v>1779</v>
      </c>
      <c r="K670" s="2">
        <v>21</v>
      </c>
      <c r="L670" s="2">
        <v>10</v>
      </c>
      <c r="M670" s="2">
        <v>0</v>
      </c>
      <c r="N670" s="2">
        <v>6</v>
      </c>
      <c r="O670" s="2">
        <v>5</v>
      </c>
      <c r="P670" s="2">
        <v>0</v>
      </c>
      <c r="Q670" s="2" t="s">
        <v>3715</v>
      </c>
      <c r="R670" s="2" t="s">
        <v>3715</v>
      </c>
      <c r="S670" s="4">
        <v>44967</v>
      </c>
    </row>
    <row r="671" spans="1:19" ht="12.5" x14ac:dyDescent="0.25">
      <c r="A671" s="14" t="str">
        <f>HYPERLINK("https://gerandofalcoes.my.salesforce.com/0014X00002YgghXQAR", "0014X00002YgghXQAR")</f>
        <v>0014X00002YgghXQAR</v>
      </c>
      <c r="B671" s="2" t="s">
        <v>3258</v>
      </c>
      <c r="C671" s="2" t="s">
        <v>423</v>
      </c>
      <c r="D671" s="2" t="s">
        <v>2</v>
      </c>
      <c r="E671" s="2">
        <v>8.65</v>
      </c>
      <c r="F671" s="2">
        <v>20</v>
      </c>
      <c r="G671" s="2">
        <v>4</v>
      </c>
      <c r="H671" s="2">
        <v>5000</v>
      </c>
      <c r="I671" s="2">
        <v>75</v>
      </c>
      <c r="J671" s="2" t="s">
        <v>1671</v>
      </c>
      <c r="K671" s="2">
        <v>42</v>
      </c>
      <c r="L671" s="2">
        <v>10</v>
      </c>
      <c r="M671" s="2">
        <v>12</v>
      </c>
      <c r="N671" s="2">
        <v>10</v>
      </c>
      <c r="O671" s="2">
        <v>5</v>
      </c>
      <c r="P671" s="2">
        <v>5</v>
      </c>
      <c r="Q671" s="2" t="s">
        <v>3259</v>
      </c>
      <c r="R671" s="2" t="s">
        <v>3260</v>
      </c>
      <c r="S671" s="4">
        <v>44952</v>
      </c>
    </row>
    <row r="672" spans="1:19" ht="12.5" x14ac:dyDescent="0.25">
      <c r="A672" s="14" t="str">
        <f>HYPERLINK("https://gerandofalcoes.my.salesforce.com/0014X00002VKCpgQAH", "0014X00002VKCpgQAH")</f>
        <v>0014X00002VKCpgQAH</v>
      </c>
      <c r="B672" s="2" t="s">
        <v>2898</v>
      </c>
      <c r="C672" s="2" t="s">
        <v>423</v>
      </c>
      <c r="D672" s="2" t="s">
        <v>2</v>
      </c>
      <c r="E672" s="2">
        <v>8.61</v>
      </c>
      <c r="F672" s="2">
        <v>1</v>
      </c>
      <c r="G672" s="2">
        <v>1</v>
      </c>
      <c r="H672" s="2">
        <v>1224</v>
      </c>
      <c r="I672" s="2">
        <v>25</v>
      </c>
      <c r="J672" s="2" t="s">
        <v>1779</v>
      </c>
      <c r="K672" s="2">
        <v>29</v>
      </c>
      <c r="L672" s="2">
        <v>10</v>
      </c>
      <c r="M672" s="2">
        <v>5</v>
      </c>
      <c r="N672" s="2">
        <v>4</v>
      </c>
      <c r="O672" s="2">
        <v>5</v>
      </c>
      <c r="P672" s="2">
        <v>5</v>
      </c>
      <c r="Q672" s="2" t="s">
        <v>2899</v>
      </c>
      <c r="R672" s="2" t="s">
        <v>2899</v>
      </c>
      <c r="S672" s="4">
        <v>44837</v>
      </c>
    </row>
    <row r="673" spans="1:19" ht="12.5" x14ac:dyDescent="0.25">
      <c r="A673" s="14" t="str">
        <f>HYPERLINK("https://gerandofalcoes.my.salesforce.com/0014X00002Yggq6QAB", "0014X00002Yggq6QAB")</f>
        <v>0014X00002Yggq6QAB</v>
      </c>
      <c r="B673" s="2" t="s">
        <v>3328</v>
      </c>
      <c r="C673" s="2" t="s">
        <v>423</v>
      </c>
      <c r="D673" s="2" t="s">
        <v>2</v>
      </c>
      <c r="E673" s="2">
        <v>8.6</v>
      </c>
      <c r="F673" s="2">
        <v>0</v>
      </c>
      <c r="G673" s="2">
        <v>3</v>
      </c>
      <c r="H673" s="2">
        <v>3500</v>
      </c>
      <c r="I673" s="2">
        <v>30</v>
      </c>
      <c r="J673" s="2" t="s">
        <v>1779</v>
      </c>
      <c r="K673" s="2">
        <v>28</v>
      </c>
      <c r="L673" s="2">
        <v>10</v>
      </c>
      <c r="M673" s="2">
        <v>0</v>
      </c>
      <c r="N673" s="2">
        <v>8</v>
      </c>
      <c r="O673" s="2">
        <v>5</v>
      </c>
      <c r="P673" s="2">
        <v>5</v>
      </c>
      <c r="Q673" s="2" t="s">
        <v>3329</v>
      </c>
      <c r="R673" s="2" t="s">
        <v>3330</v>
      </c>
      <c r="S673" s="4">
        <v>44953</v>
      </c>
    </row>
    <row r="674" spans="1:19" ht="12.5" x14ac:dyDescent="0.25">
      <c r="A674" s="14" t="str">
        <f>HYPERLINK("https://gerandofalcoes.my.salesforce.com/0014X00002YgghMQAR", "0014X00002YgghMQAR")</f>
        <v>0014X00002YgghMQAR</v>
      </c>
      <c r="B674" s="2" t="s">
        <v>4101</v>
      </c>
      <c r="C674" s="2" t="s">
        <v>423</v>
      </c>
      <c r="D674" s="2" t="s">
        <v>2</v>
      </c>
      <c r="E674" s="2">
        <v>8.59</v>
      </c>
      <c r="F674" s="2">
        <v>10</v>
      </c>
      <c r="G674" s="2">
        <v>4</v>
      </c>
      <c r="H674" s="2">
        <v>21000</v>
      </c>
      <c r="I674" s="2">
        <v>80</v>
      </c>
      <c r="J674" s="2"/>
      <c r="K674" s="2">
        <v>45</v>
      </c>
      <c r="L674" s="2">
        <v>10</v>
      </c>
      <c r="M674" s="2">
        <v>10</v>
      </c>
      <c r="N674" s="2">
        <v>10</v>
      </c>
      <c r="O674" s="2">
        <v>5</v>
      </c>
      <c r="P674" s="2">
        <v>10</v>
      </c>
      <c r="Q674" s="2" t="s">
        <v>4102</v>
      </c>
      <c r="R674" s="2" t="s">
        <v>4102</v>
      </c>
      <c r="S674" s="4">
        <v>45169</v>
      </c>
    </row>
    <row r="675" spans="1:19" ht="12.5" x14ac:dyDescent="0.25">
      <c r="A675" s="14" t="str">
        <f>HYPERLINK("https://gerandofalcoes.my.salesforce.com/0014X00002YgghWQAR", "0014X00002YgghWQAR")</f>
        <v>0014X00002YgghWQAR</v>
      </c>
      <c r="B675" s="2" t="s">
        <v>3331</v>
      </c>
      <c r="C675" s="2" t="s">
        <v>423</v>
      </c>
      <c r="D675" s="2" t="s">
        <v>2</v>
      </c>
      <c r="E675" s="2">
        <v>8.49</v>
      </c>
      <c r="F675" s="2">
        <v>0</v>
      </c>
      <c r="G675" s="2">
        <v>2</v>
      </c>
      <c r="H675" s="2">
        <v>8000</v>
      </c>
      <c r="I675" s="2">
        <v>0</v>
      </c>
      <c r="J675" s="2" t="s">
        <v>1779</v>
      </c>
      <c r="K675" s="2">
        <v>21</v>
      </c>
      <c r="L675" s="2">
        <v>10</v>
      </c>
      <c r="M675" s="2">
        <v>0</v>
      </c>
      <c r="N675" s="2">
        <v>6</v>
      </c>
      <c r="O675" s="2">
        <v>5</v>
      </c>
      <c r="P675" s="2">
        <v>0</v>
      </c>
      <c r="Q675" s="2" t="s">
        <v>3332</v>
      </c>
      <c r="R675" s="2" t="s">
        <v>3333</v>
      </c>
      <c r="S675" s="4">
        <v>44953</v>
      </c>
    </row>
    <row r="676" spans="1:19" ht="12.5" x14ac:dyDescent="0.25">
      <c r="A676" s="14" t="str">
        <f>HYPERLINK("https://gerandofalcoes.my.salesforce.com/0014X00002YggqzQAB", "0014X00002YggqzQAB")</f>
        <v>0014X00002YggqzQAB</v>
      </c>
      <c r="B676" s="2" t="s">
        <v>4103</v>
      </c>
      <c r="C676" s="2" t="s">
        <v>423</v>
      </c>
      <c r="D676" s="2" t="s">
        <v>2</v>
      </c>
      <c r="E676" s="2">
        <v>8.2899999999999991</v>
      </c>
      <c r="F676" s="2">
        <v>0</v>
      </c>
      <c r="G676" s="2">
        <v>2</v>
      </c>
      <c r="H676" s="2">
        <v>1500</v>
      </c>
      <c r="I676" s="2">
        <v>50</v>
      </c>
      <c r="J676" s="2"/>
      <c r="K676" s="2">
        <v>26</v>
      </c>
      <c r="L676" s="2">
        <v>10</v>
      </c>
      <c r="M676" s="2">
        <v>0</v>
      </c>
      <c r="N676" s="2">
        <v>6</v>
      </c>
      <c r="O676" s="2">
        <v>5</v>
      </c>
      <c r="P676" s="2">
        <v>5</v>
      </c>
      <c r="Q676" s="2" t="s">
        <v>4104</v>
      </c>
      <c r="R676" s="2" t="s">
        <v>4104</v>
      </c>
      <c r="S676" s="4">
        <v>45169</v>
      </c>
    </row>
    <row r="677" spans="1:19" ht="12.5" x14ac:dyDescent="0.25">
      <c r="A677" s="14" t="str">
        <f>HYPERLINK("https://gerandofalcoes.my.salesforce.com/0014P00003SGWQGQA5", "0014P00003SGWQGQA5")</f>
        <v>0014P00003SGWQGQA5</v>
      </c>
      <c r="B677" s="2" t="s">
        <v>259</v>
      </c>
      <c r="C677" s="2" t="s">
        <v>423</v>
      </c>
      <c r="D677" s="2" t="s">
        <v>2</v>
      </c>
      <c r="E677" s="2">
        <v>8.2899999999999991</v>
      </c>
      <c r="F677" s="2">
        <v>7</v>
      </c>
      <c r="G677" s="2">
        <v>1</v>
      </c>
      <c r="H677" s="2">
        <v>32000</v>
      </c>
      <c r="I677" s="2">
        <v>30</v>
      </c>
      <c r="J677" s="2" t="s">
        <v>1779</v>
      </c>
      <c r="K677" s="2">
        <v>39</v>
      </c>
      <c r="L677" s="2">
        <v>10</v>
      </c>
      <c r="M677" s="2">
        <v>10</v>
      </c>
      <c r="N677" s="2">
        <v>4</v>
      </c>
      <c r="O677" s="2">
        <v>10</v>
      </c>
      <c r="P677" s="2">
        <v>5</v>
      </c>
      <c r="Q677" s="2" t="s">
        <v>260</v>
      </c>
      <c r="R677" s="2" t="s">
        <v>1232</v>
      </c>
      <c r="S677" s="4">
        <v>44837</v>
      </c>
    </row>
    <row r="678" spans="1:19" ht="12.5" hidden="1" x14ac:dyDescent="0.25">
      <c r="A678" s="14" t="str">
        <f>HYPERLINK("https://gerandofalcoes.my.salesforce.com/0014X00002VKCuDQAX", "0014X00002VKCuDQAX")</f>
        <v>0014X00002VKCuDQAX</v>
      </c>
      <c r="B678" s="2" t="s">
        <v>2900</v>
      </c>
      <c r="C678" s="2" t="s">
        <v>1684</v>
      </c>
      <c r="D678" s="2" t="s">
        <v>2</v>
      </c>
      <c r="E678" s="2">
        <v>8.27</v>
      </c>
      <c r="F678" s="2">
        <v>0</v>
      </c>
      <c r="G678" s="2">
        <v>1</v>
      </c>
      <c r="H678" s="2">
        <v>20000</v>
      </c>
      <c r="I678" s="2">
        <v>30</v>
      </c>
      <c r="J678" s="2" t="s">
        <v>1779</v>
      </c>
      <c r="K678" s="2">
        <v>24</v>
      </c>
      <c r="L678" s="2">
        <v>10</v>
      </c>
      <c r="M678" s="2">
        <v>0</v>
      </c>
      <c r="N678" s="2">
        <v>4</v>
      </c>
      <c r="O678" s="2">
        <v>5</v>
      </c>
      <c r="P678" s="2">
        <v>5</v>
      </c>
      <c r="Q678" s="2" t="s">
        <v>2901</v>
      </c>
      <c r="R678" s="2" t="s">
        <v>2901</v>
      </c>
      <c r="S678" s="4">
        <v>44837</v>
      </c>
    </row>
    <row r="679" spans="1:19" ht="12.5" x14ac:dyDescent="0.25">
      <c r="A679" s="14" t="str">
        <f>HYPERLINK("https://gerandofalcoes.my.salesforce.com/0014X00002YggpOQAR", "0014X00002YggpOQAR")</f>
        <v>0014X00002YggpOQAR</v>
      </c>
      <c r="B679" s="2" t="s">
        <v>3053</v>
      </c>
      <c r="C679" s="2" t="s">
        <v>423</v>
      </c>
      <c r="D679" s="2" t="s">
        <v>2</v>
      </c>
      <c r="E679" s="2">
        <v>8.25</v>
      </c>
      <c r="F679" s="2">
        <v>34</v>
      </c>
      <c r="G679" s="2">
        <v>2</v>
      </c>
      <c r="H679" s="2">
        <v>343</v>
      </c>
      <c r="I679" s="2">
        <v>64</v>
      </c>
      <c r="J679" s="2" t="s">
        <v>1671</v>
      </c>
      <c r="K679" s="2">
        <v>41</v>
      </c>
      <c r="L679" s="2">
        <v>10</v>
      </c>
      <c r="M679" s="2">
        <v>15</v>
      </c>
      <c r="N679" s="2">
        <v>6</v>
      </c>
      <c r="O679" s="2">
        <v>5</v>
      </c>
      <c r="P679" s="2">
        <v>5</v>
      </c>
      <c r="Q679" s="2" t="s">
        <v>3054</v>
      </c>
      <c r="R679" s="2" t="s">
        <v>3055</v>
      </c>
      <c r="S679" s="4">
        <v>44946</v>
      </c>
    </row>
    <row r="680" spans="1:19" ht="12.5" x14ac:dyDescent="0.25">
      <c r="A680" s="14" t="str">
        <f>HYPERLINK("https://gerandofalcoes.my.salesforce.com/0014X00002YgglvQAB", "0014X00002YgglvQAB")</f>
        <v>0014X00002YgglvQAB</v>
      </c>
      <c r="B680" s="2" t="s">
        <v>4105</v>
      </c>
      <c r="C680" s="2" t="s">
        <v>423</v>
      </c>
      <c r="D680" s="2" t="s">
        <v>2</v>
      </c>
      <c r="E680" s="2">
        <v>8.0299999999999994</v>
      </c>
      <c r="F680" s="2">
        <v>1</v>
      </c>
      <c r="G680" s="2">
        <v>3</v>
      </c>
      <c r="H680" s="2">
        <v>1400000</v>
      </c>
      <c r="I680" s="2">
        <v>20</v>
      </c>
      <c r="J680" s="2"/>
      <c r="K680" s="2">
        <v>53</v>
      </c>
      <c r="L680" s="2">
        <v>10</v>
      </c>
      <c r="M680" s="2">
        <v>5</v>
      </c>
      <c r="N680" s="2">
        <v>8</v>
      </c>
      <c r="O680" s="2">
        <v>25</v>
      </c>
      <c r="P680" s="2">
        <v>5</v>
      </c>
      <c r="Q680" s="2" t="s">
        <v>4106</v>
      </c>
      <c r="R680" s="2" t="s">
        <v>4106</v>
      </c>
      <c r="S680" s="4">
        <v>45169</v>
      </c>
    </row>
    <row r="681" spans="1:19" ht="12.5" x14ac:dyDescent="0.25">
      <c r="A681" s="14" t="str">
        <f>HYPERLINK("https://gerandofalcoes.my.salesforce.com/0014X00002VKCsMQAX", "0014X00002VKCsMQAX")</f>
        <v>0014X00002VKCsMQAX</v>
      </c>
      <c r="B681" s="2" t="s">
        <v>2902</v>
      </c>
      <c r="C681" s="2" t="s">
        <v>423</v>
      </c>
      <c r="D681" s="2" t="s">
        <v>2</v>
      </c>
      <c r="E681" s="2">
        <v>8</v>
      </c>
      <c r="F681" s="2">
        <v>10</v>
      </c>
      <c r="G681" s="2">
        <v>2</v>
      </c>
      <c r="H681" s="2">
        <v>5000</v>
      </c>
      <c r="I681" s="2">
        <v>106</v>
      </c>
      <c r="J681" s="2" t="s">
        <v>1671</v>
      </c>
      <c r="K681" s="2">
        <v>41</v>
      </c>
      <c r="L681" s="2">
        <v>10</v>
      </c>
      <c r="M681" s="2">
        <v>10</v>
      </c>
      <c r="N681" s="2">
        <v>6</v>
      </c>
      <c r="O681" s="2">
        <v>5</v>
      </c>
      <c r="P681" s="2">
        <v>10</v>
      </c>
      <c r="Q681" s="2" t="s">
        <v>2903</v>
      </c>
      <c r="R681" s="2" t="s">
        <v>2904</v>
      </c>
      <c r="S681" s="4">
        <v>44837</v>
      </c>
    </row>
    <row r="682" spans="1:19" ht="12.5" x14ac:dyDescent="0.25">
      <c r="A682" s="14" t="str">
        <f>HYPERLINK("https://gerandofalcoes.my.salesforce.com/0014X00002VKCpOQAX", "0014X00002VKCpOQAX")</f>
        <v>0014X00002VKCpOQAX</v>
      </c>
      <c r="B682" s="2" t="s">
        <v>2905</v>
      </c>
      <c r="C682" s="2" t="s">
        <v>423</v>
      </c>
      <c r="D682" s="2" t="s">
        <v>2</v>
      </c>
      <c r="E682" s="2">
        <v>8</v>
      </c>
      <c r="F682" s="2">
        <v>4</v>
      </c>
      <c r="G682" s="2">
        <v>10</v>
      </c>
      <c r="H682" s="2">
        <v>0</v>
      </c>
      <c r="I682" s="2">
        <v>100</v>
      </c>
      <c r="J682" s="2" t="s">
        <v>1779</v>
      </c>
      <c r="K682" s="2">
        <v>35</v>
      </c>
      <c r="L682" s="2">
        <v>10</v>
      </c>
      <c r="M682" s="2">
        <v>5</v>
      </c>
      <c r="N682" s="2">
        <v>10</v>
      </c>
      <c r="O682" s="2">
        <v>0</v>
      </c>
      <c r="P682" s="2">
        <v>10</v>
      </c>
      <c r="Q682" s="2" t="s">
        <v>2906</v>
      </c>
      <c r="R682" s="2" t="s">
        <v>2906</v>
      </c>
      <c r="S682" s="4">
        <v>44837</v>
      </c>
    </row>
    <row r="683" spans="1:19" ht="12.5" x14ac:dyDescent="0.25">
      <c r="A683" s="14" t="str">
        <f>HYPERLINK("https://gerandofalcoes.my.salesforce.com/0014P00003YSp8LQAT", "0014P00003YSp8LQAT")</f>
        <v>0014P00003YSp8LQAT</v>
      </c>
      <c r="B683" s="2" t="s">
        <v>2907</v>
      </c>
      <c r="C683" s="2" t="s">
        <v>423</v>
      </c>
      <c r="D683" s="2" t="s">
        <v>2</v>
      </c>
      <c r="E683" s="2">
        <v>7.95</v>
      </c>
      <c r="F683" s="2">
        <v>0</v>
      </c>
      <c r="G683" s="2">
        <v>0</v>
      </c>
      <c r="H683" s="2">
        <v>0</v>
      </c>
      <c r="I683" s="2">
        <v>200</v>
      </c>
      <c r="J683" s="2" t="s">
        <v>1779</v>
      </c>
      <c r="K683" s="2">
        <v>22</v>
      </c>
      <c r="L683" s="2">
        <v>10</v>
      </c>
      <c r="M683" s="2">
        <v>0</v>
      </c>
      <c r="N683" s="2">
        <v>0</v>
      </c>
      <c r="O683" s="2">
        <v>0</v>
      </c>
      <c r="P683" s="2">
        <v>12</v>
      </c>
      <c r="Q683" s="2" t="s">
        <v>2908</v>
      </c>
      <c r="R683" s="2" t="s">
        <v>2908</v>
      </c>
      <c r="S683" s="4">
        <v>44837</v>
      </c>
    </row>
    <row r="684" spans="1:19" ht="12.5" x14ac:dyDescent="0.25">
      <c r="A684" s="14" t="str">
        <f>HYPERLINK("https://gerandofalcoes.my.salesforce.com/0014X00002VKCuPQAX", "0014X00002VKCuPQAX")</f>
        <v>0014X00002VKCuPQAX</v>
      </c>
      <c r="B684" s="2" t="s">
        <v>2909</v>
      </c>
      <c r="C684" s="2" t="s">
        <v>423</v>
      </c>
      <c r="D684" s="2" t="s">
        <v>2</v>
      </c>
      <c r="E684" s="2">
        <v>7.84</v>
      </c>
      <c r="F684" s="2">
        <v>0</v>
      </c>
      <c r="G684" s="2">
        <v>0</v>
      </c>
      <c r="H684" s="2">
        <v>0</v>
      </c>
      <c r="I684" s="2">
        <v>0</v>
      </c>
      <c r="J684" s="2" t="s">
        <v>1779</v>
      </c>
      <c r="K684" s="2">
        <v>10</v>
      </c>
      <c r="L684" s="2">
        <v>10</v>
      </c>
      <c r="M684" s="2">
        <v>0</v>
      </c>
      <c r="N684" s="2">
        <v>0</v>
      </c>
      <c r="O684" s="2">
        <v>0</v>
      </c>
      <c r="P684" s="2">
        <v>0</v>
      </c>
      <c r="Q684" s="2" t="s">
        <v>2910</v>
      </c>
      <c r="R684" s="2" t="s">
        <v>2911</v>
      </c>
      <c r="S684" s="4">
        <v>44837</v>
      </c>
    </row>
    <row r="685" spans="1:19" ht="12.5" x14ac:dyDescent="0.25">
      <c r="A685" s="14" t="str">
        <f>HYPERLINK("https://gerandofalcoes.my.salesforce.com/0014X00002Yggi6QAB", "0014X00002Yggi6QAB")</f>
        <v>0014X00002Yggi6QAB</v>
      </c>
      <c r="B685" s="2" t="s">
        <v>3185</v>
      </c>
      <c r="C685" s="2" t="s">
        <v>423</v>
      </c>
      <c r="D685" s="2" t="s">
        <v>2</v>
      </c>
      <c r="E685" s="2">
        <v>7.78</v>
      </c>
      <c r="F685" s="2">
        <v>0</v>
      </c>
      <c r="G685" s="2">
        <v>2</v>
      </c>
      <c r="H685" s="2">
        <v>5000</v>
      </c>
      <c r="I685" s="2">
        <v>10</v>
      </c>
      <c r="J685" s="2" t="s">
        <v>1779</v>
      </c>
      <c r="K685" s="2">
        <v>26</v>
      </c>
      <c r="L685" s="2">
        <v>10</v>
      </c>
      <c r="M685" s="2">
        <v>0</v>
      </c>
      <c r="N685" s="2">
        <v>6</v>
      </c>
      <c r="O685" s="2">
        <v>5</v>
      </c>
      <c r="P685" s="2">
        <v>5</v>
      </c>
      <c r="Q685" s="2" t="s">
        <v>3186</v>
      </c>
      <c r="R685" s="2" t="s">
        <v>3187</v>
      </c>
      <c r="S685" s="4">
        <v>44951</v>
      </c>
    </row>
    <row r="686" spans="1:19" ht="12.5" x14ac:dyDescent="0.25">
      <c r="A686" s="14" t="str">
        <f>HYPERLINK("https://gerandofalcoes.my.salesforce.com/0014X00002VKCqAQAX", "0014X00002VKCqAQAX")</f>
        <v>0014X00002VKCqAQAX</v>
      </c>
      <c r="B686" s="2" t="s">
        <v>2912</v>
      </c>
      <c r="C686" s="2" t="s">
        <v>423</v>
      </c>
      <c r="D686" s="2" t="s">
        <v>2</v>
      </c>
      <c r="E686" s="2">
        <v>7.72</v>
      </c>
      <c r="F686" s="2">
        <v>7</v>
      </c>
      <c r="G686" s="2">
        <v>1</v>
      </c>
      <c r="H686" s="2">
        <v>78000</v>
      </c>
      <c r="I686" s="2">
        <v>250</v>
      </c>
      <c r="J686" s="2" t="s">
        <v>1671</v>
      </c>
      <c r="K686" s="2">
        <v>46</v>
      </c>
      <c r="L686" s="2">
        <v>10</v>
      </c>
      <c r="M686" s="2">
        <v>10</v>
      </c>
      <c r="N686" s="2">
        <v>4</v>
      </c>
      <c r="O686" s="2">
        <v>10</v>
      </c>
      <c r="P686" s="2">
        <v>12</v>
      </c>
      <c r="Q686" s="2" t="s">
        <v>2913</v>
      </c>
      <c r="R686" s="2" t="s">
        <v>2913</v>
      </c>
      <c r="S686" s="4">
        <v>44837</v>
      </c>
    </row>
    <row r="687" spans="1:19" ht="12.5" x14ac:dyDescent="0.25">
      <c r="A687" s="14" t="str">
        <f>HYPERLINK("https://gerandofalcoes.my.salesforce.com/0014X00002VKCreQAH", "0014X00002VKCreQAH")</f>
        <v>0014X00002VKCreQAH</v>
      </c>
      <c r="B687" s="2" t="s">
        <v>2914</v>
      </c>
      <c r="C687" s="2" t="s">
        <v>423</v>
      </c>
      <c r="D687" s="2" t="s">
        <v>2</v>
      </c>
      <c r="E687" s="2">
        <v>7.56</v>
      </c>
      <c r="F687" s="2">
        <v>0</v>
      </c>
      <c r="G687" s="2">
        <v>1</v>
      </c>
      <c r="H687" s="2">
        <v>3245</v>
      </c>
      <c r="I687" s="2">
        <v>0</v>
      </c>
      <c r="J687" s="2" t="s">
        <v>1779</v>
      </c>
      <c r="K687" s="2">
        <v>19</v>
      </c>
      <c r="L687" s="2">
        <v>10</v>
      </c>
      <c r="M687" s="2">
        <v>0</v>
      </c>
      <c r="N687" s="2">
        <v>4</v>
      </c>
      <c r="O687" s="2">
        <v>5</v>
      </c>
      <c r="P687" s="2">
        <v>0</v>
      </c>
      <c r="Q687" s="2" t="s">
        <v>2915</v>
      </c>
      <c r="R687" s="2" t="s">
        <v>2915</v>
      </c>
      <c r="S687" s="4">
        <v>44837</v>
      </c>
    </row>
    <row r="688" spans="1:19" ht="12.5" x14ac:dyDescent="0.25">
      <c r="A688" s="14" t="str">
        <f>HYPERLINK("https://gerandofalcoes.my.salesforce.com/0014X00002VMXzMQAX", "0014X00002VMXzMQAX")</f>
        <v>0014X00002VMXzMQAX</v>
      </c>
      <c r="B688" s="2" t="s">
        <v>2916</v>
      </c>
      <c r="C688" s="2" t="s">
        <v>423</v>
      </c>
      <c r="D688" s="2" t="s">
        <v>2</v>
      </c>
      <c r="E688" s="2">
        <v>7.48</v>
      </c>
      <c r="F688" s="2">
        <v>1</v>
      </c>
      <c r="G688" s="2">
        <v>2</v>
      </c>
      <c r="H688" s="2">
        <v>18000</v>
      </c>
      <c r="I688" s="2">
        <v>10</v>
      </c>
      <c r="J688" s="2" t="s">
        <v>1779</v>
      </c>
      <c r="K688" s="2">
        <v>31</v>
      </c>
      <c r="L688" s="2">
        <v>10</v>
      </c>
      <c r="M688" s="2">
        <v>5</v>
      </c>
      <c r="N688" s="2">
        <v>6</v>
      </c>
      <c r="O688" s="2">
        <v>5</v>
      </c>
      <c r="P688" s="2">
        <v>5</v>
      </c>
      <c r="Q688" s="2" t="s">
        <v>2917</v>
      </c>
      <c r="R688" s="2" t="s">
        <v>2918</v>
      </c>
      <c r="S688" s="4">
        <v>44837</v>
      </c>
    </row>
    <row r="689" spans="1:19" ht="12.5" x14ac:dyDescent="0.25">
      <c r="A689" s="14" t="str">
        <f>HYPERLINK("https://gerandofalcoes.my.salesforce.com/0014X00002YgghbQAB", "0014X00002YgghbQAB")</f>
        <v>0014X00002YgghbQAB</v>
      </c>
      <c r="B689" s="2" t="s">
        <v>3784</v>
      </c>
      <c r="C689" s="2" t="s">
        <v>423</v>
      </c>
      <c r="D689" s="2" t="s">
        <v>2</v>
      </c>
      <c r="E689" s="2">
        <v>7.42</v>
      </c>
      <c r="F689" s="2">
        <v>4</v>
      </c>
      <c r="G689" s="2">
        <v>6</v>
      </c>
      <c r="H689" s="2">
        <v>8000</v>
      </c>
      <c r="I689" s="2">
        <v>280</v>
      </c>
      <c r="J689" s="2" t="s">
        <v>1671</v>
      </c>
      <c r="K689" s="2">
        <v>42</v>
      </c>
      <c r="L689" s="2">
        <v>10</v>
      </c>
      <c r="M689" s="2">
        <v>5</v>
      </c>
      <c r="N689" s="2">
        <v>10</v>
      </c>
      <c r="O689" s="2">
        <v>5</v>
      </c>
      <c r="P689" s="2">
        <v>12</v>
      </c>
      <c r="Q689" s="2" t="s">
        <v>3785</v>
      </c>
      <c r="R689" s="2" t="s">
        <v>3786</v>
      </c>
      <c r="S689" s="4">
        <v>44968</v>
      </c>
    </row>
    <row r="690" spans="1:19" ht="12.5" x14ac:dyDescent="0.25">
      <c r="A690" s="14" t="str">
        <f>HYPERLINK("https://gerandofalcoes.my.salesforce.com/0014X00002YggjpQAB", "0014X00002YggjpQAB")</f>
        <v>0014X00002YggjpQAB</v>
      </c>
      <c r="B690" s="2" t="s">
        <v>3800</v>
      </c>
      <c r="C690" s="2" t="s">
        <v>423</v>
      </c>
      <c r="D690" s="2" t="s">
        <v>2</v>
      </c>
      <c r="E690" s="2">
        <v>7.38</v>
      </c>
      <c r="F690" s="2">
        <v>4</v>
      </c>
      <c r="G690" s="2">
        <v>5</v>
      </c>
      <c r="H690" s="2">
        <v>8500</v>
      </c>
      <c r="I690" s="2">
        <v>7</v>
      </c>
      <c r="J690" s="2" t="s">
        <v>1779</v>
      </c>
      <c r="K690" s="2">
        <v>35</v>
      </c>
      <c r="L690" s="2">
        <v>10</v>
      </c>
      <c r="M690" s="2">
        <v>5</v>
      </c>
      <c r="N690" s="2">
        <v>10</v>
      </c>
      <c r="O690" s="2">
        <v>5</v>
      </c>
      <c r="P690" s="2">
        <v>5</v>
      </c>
      <c r="Q690" s="2" t="s">
        <v>3801</v>
      </c>
      <c r="R690" s="2" t="s">
        <v>3801</v>
      </c>
      <c r="S690" s="4">
        <v>44970</v>
      </c>
    </row>
    <row r="691" spans="1:19" ht="12.5" x14ac:dyDescent="0.25">
      <c r="A691" s="14" t="str">
        <f>HYPERLINK("https://gerandofalcoes.my.salesforce.com/0014X00002YggpTQAR", "0014X00002YggpTQAR")</f>
        <v>0014X00002YggpTQAR</v>
      </c>
      <c r="B691" s="2" t="s">
        <v>3438</v>
      </c>
      <c r="C691" s="2" t="s">
        <v>423</v>
      </c>
      <c r="D691" s="2" t="s">
        <v>2</v>
      </c>
      <c r="E691" s="2">
        <v>7.38</v>
      </c>
      <c r="F691" s="2">
        <v>0</v>
      </c>
      <c r="G691" s="2">
        <v>2</v>
      </c>
      <c r="H691" s="2">
        <v>0</v>
      </c>
      <c r="I691" s="2">
        <v>0</v>
      </c>
      <c r="J691" s="2" t="s">
        <v>1779</v>
      </c>
      <c r="K691" s="2">
        <v>16</v>
      </c>
      <c r="L691" s="2">
        <v>10</v>
      </c>
      <c r="M691" s="2">
        <v>0</v>
      </c>
      <c r="N691" s="2">
        <v>6</v>
      </c>
      <c r="O691" s="2">
        <v>0</v>
      </c>
      <c r="P691" s="2">
        <v>0</v>
      </c>
      <c r="Q691" s="2" t="s">
        <v>3439</v>
      </c>
      <c r="R691" s="2" t="s">
        <v>3439</v>
      </c>
      <c r="S691" s="4">
        <v>44958</v>
      </c>
    </row>
    <row r="692" spans="1:19" ht="12.5" x14ac:dyDescent="0.25">
      <c r="A692" s="14" t="str">
        <f>HYPERLINK("https://gerandofalcoes.my.salesforce.com/0014X00002VKCqKQAX", "0014X00002VKCqKQAX")</f>
        <v>0014X00002VKCqKQAX</v>
      </c>
      <c r="B692" s="2" t="s">
        <v>2919</v>
      </c>
      <c r="C692" s="2" t="s">
        <v>423</v>
      </c>
      <c r="D692" s="2" t="s">
        <v>2</v>
      </c>
      <c r="E692" s="2">
        <v>7.34</v>
      </c>
      <c r="F692" s="2">
        <v>0</v>
      </c>
      <c r="G692" s="2">
        <v>1</v>
      </c>
      <c r="H692" s="2">
        <v>7500</v>
      </c>
      <c r="I692" s="2">
        <v>26</v>
      </c>
      <c r="J692" s="2" t="s">
        <v>1779</v>
      </c>
      <c r="K692" s="2">
        <v>24</v>
      </c>
      <c r="L692" s="2">
        <v>10</v>
      </c>
      <c r="M692" s="2">
        <v>0</v>
      </c>
      <c r="N692" s="2">
        <v>4</v>
      </c>
      <c r="O692" s="2">
        <v>5</v>
      </c>
      <c r="P692" s="2">
        <v>5</v>
      </c>
      <c r="Q692" s="2" t="s">
        <v>2920</v>
      </c>
      <c r="R692" s="2" t="s">
        <v>2921</v>
      </c>
      <c r="S692" s="4">
        <v>44837</v>
      </c>
    </row>
    <row r="693" spans="1:19" ht="12.5" x14ac:dyDescent="0.25">
      <c r="A693" s="14" t="str">
        <f>HYPERLINK("https://gerandofalcoes.my.salesforce.com/0014P00003YSp7aQAD", "0014P00003YSp7aQAD")</f>
        <v>0014P00003YSp7aQAD</v>
      </c>
      <c r="B693" s="2" t="s">
        <v>2922</v>
      </c>
      <c r="C693" s="2" t="s">
        <v>423</v>
      </c>
      <c r="D693" s="2" t="s">
        <v>2</v>
      </c>
      <c r="E693" s="2">
        <v>7.27</v>
      </c>
      <c r="F693" s="2">
        <v>8</v>
      </c>
      <c r="G693" s="2">
        <v>0</v>
      </c>
      <c r="H693" s="2">
        <v>5000</v>
      </c>
      <c r="I693" s="2">
        <v>30</v>
      </c>
      <c r="J693" s="2" t="s">
        <v>1779</v>
      </c>
      <c r="K693" s="2">
        <v>30</v>
      </c>
      <c r="L693" s="2">
        <v>10</v>
      </c>
      <c r="M693" s="2">
        <v>10</v>
      </c>
      <c r="N693" s="2">
        <v>0</v>
      </c>
      <c r="O693" s="2">
        <v>5</v>
      </c>
      <c r="P693" s="2">
        <v>5</v>
      </c>
      <c r="Q693" s="2" t="s">
        <v>2923</v>
      </c>
      <c r="R693" s="2" t="s">
        <v>2924</v>
      </c>
      <c r="S693" s="4">
        <v>44837</v>
      </c>
    </row>
    <row r="694" spans="1:19" ht="12.5" hidden="1" x14ac:dyDescent="0.25">
      <c r="A694" s="14" t="str">
        <f>HYPERLINK("https://gerandofalcoes.my.salesforce.com/0014X00002YggmXQAR", "0014X00002YggmXQAR")</f>
        <v>0014X00002YggmXQAR</v>
      </c>
      <c r="B694" s="2" t="s">
        <v>3056</v>
      </c>
      <c r="C694" s="2" t="s">
        <v>1684</v>
      </c>
      <c r="D694" s="2" t="s">
        <v>2</v>
      </c>
      <c r="E694" s="2">
        <v>7.22</v>
      </c>
      <c r="F694" s="2">
        <v>0</v>
      </c>
      <c r="G694" s="2">
        <v>2</v>
      </c>
      <c r="H694" s="2">
        <v>1000</v>
      </c>
      <c r="I694" s="2">
        <v>73</v>
      </c>
      <c r="J694" s="2" t="s">
        <v>1779</v>
      </c>
      <c r="K694" s="2">
        <v>26</v>
      </c>
      <c r="L694" s="2">
        <v>10</v>
      </c>
      <c r="M694" s="2">
        <v>0</v>
      </c>
      <c r="N694" s="2">
        <v>6</v>
      </c>
      <c r="O694" s="2">
        <v>5</v>
      </c>
      <c r="P694" s="2">
        <v>5</v>
      </c>
      <c r="Q694" s="2" t="s">
        <v>3057</v>
      </c>
      <c r="R694" s="2" t="s">
        <v>3058</v>
      </c>
      <c r="S694" s="4">
        <v>44946</v>
      </c>
    </row>
    <row r="695" spans="1:19" ht="12.5" x14ac:dyDescent="0.25">
      <c r="A695" s="14" t="str">
        <f>HYPERLINK("https://gerandofalcoes.my.salesforce.com/0014X00002YgbktQAB", "0014X00002YgbktQAB")</f>
        <v>0014X00002YgbktQAB</v>
      </c>
      <c r="B695" s="2" t="s">
        <v>3787</v>
      </c>
      <c r="C695" s="2" t="s">
        <v>423</v>
      </c>
      <c r="D695" s="2" t="s">
        <v>2</v>
      </c>
      <c r="E695" s="2">
        <v>7.22</v>
      </c>
      <c r="F695" s="2">
        <v>0</v>
      </c>
      <c r="G695" s="2">
        <v>0</v>
      </c>
      <c r="H695" s="2">
        <v>0</v>
      </c>
      <c r="I695" s="2">
        <v>0</v>
      </c>
      <c r="J695" s="2" t="s">
        <v>1779</v>
      </c>
      <c r="K695" s="2">
        <v>10</v>
      </c>
      <c r="L695" s="2">
        <v>10</v>
      </c>
      <c r="M695" s="2">
        <v>0</v>
      </c>
      <c r="N695" s="2">
        <v>0</v>
      </c>
      <c r="O695" s="2">
        <v>0</v>
      </c>
      <c r="P695" s="2">
        <v>0</v>
      </c>
      <c r="Q695" s="2" t="s">
        <v>3788</v>
      </c>
      <c r="R695" s="2" t="s">
        <v>3788</v>
      </c>
      <c r="S695" s="4">
        <v>44968</v>
      </c>
    </row>
    <row r="696" spans="1:19" ht="12.5" x14ac:dyDescent="0.25">
      <c r="A696" s="14" t="str">
        <f>HYPERLINK("https://gerandofalcoes.my.salesforce.com/0014X00002YggoeQAB", "0014X00002YggoeQAB")</f>
        <v>0014X00002YggoeQAB</v>
      </c>
      <c r="B696" s="2" t="s">
        <v>4107</v>
      </c>
      <c r="C696" s="2" t="s">
        <v>423</v>
      </c>
      <c r="D696" s="2" t="s">
        <v>2</v>
      </c>
      <c r="E696" s="2">
        <v>7.05</v>
      </c>
      <c r="F696" s="2">
        <v>0</v>
      </c>
      <c r="G696" s="2">
        <v>2</v>
      </c>
      <c r="H696" s="2">
        <v>236</v>
      </c>
      <c r="I696" s="2">
        <v>44</v>
      </c>
      <c r="J696" s="2"/>
      <c r="K696" s="2">
        <v>26</v>
      </c>
      <c r="L696" s="2">
        <v>10</v>
      </c>
      <c r="M696" s="2">
        <v>0</v>
      </c>
      <c r="N696" s="2">
        <v>6</v>
      </c>
      <c r="O696" s="2">
        <v>5</v>
      </c>
      <c r="P696" s="2">
        <v>5</v>
      </c>
      <c r="Q696" s="2" t="s">
        <v>4108</v>
      </c>
      <c r="R696" s="2" t="s">
        <v>4109</v>
      </c>
      <c r="S696" s="4">
        <v>45169</v>
      </c>
    </row>
    <row r="697" spans="1:19" ht="12.5" x14ac:dyDescent="0.25">
      <c r="A697" s="14" t="str">
        <f>HYPERLINK("https://gerandofalcoes.my.salesforce.com/0014P00003AN2FdQAL", "0014P00003AN2FdQAL")</f>
        <v>0014P00003AN2FdQAL</v>
      </c>
      <c r="B697" s="2" t="s">
        <v>95</v>
      </c>
      <c r="C697" s="2" t="s">
        <v>423</v>
      </c>
      <c r="D697" s="2" t="s">
        <v>2</v>
      </c>
      <c r="E697" s="2">
        <v>7</v>
      </c>
      <c r="F697" s="2">
        <v>0</v>
      </c>
      <c r="G697" s="2">
        <v>0</v>
      </c>
      <c r="H697" s="2">
        <v>0</v>
      </c>
      <c r="I697" s="2">
        <v>300</v>
      </c>
      <c r="J697" s="2" t="s">
        <v>1779</v>
      </c>
      <c r="K697" s="2">
        <v>25</v>
      </c>
      <c r="L697" s="2">
        <v>10</v>
      </c>
      <c r="M697" s="2">
        <v>0</v>
      </c>
      <c r="N697" s="2">
        <v>0</v>
      </c>
      <c r="O697" s="2">
        <v>0</v>
      </c>
      <c r="P697" s="2">
        <v>15</v>
      </c>
      <c r="Q697" s="2" t="s">
        <v>96</v>
      </c>
      <c r="R697" s="2" t="s">
        <v>685</v>
      </c>
      <c r="S697" s="4">
        <v>44837</v>
      </c>
    </row>
    <row r="698" spans="1:19" ht="12.5" x14ac:dyDescent="0.25">
      <c r="A698" s="14" t="str">
        <f>HYPERLINK("https://gerandofalcoes.my.salesforce.com/0014P00003YSp8dQAD", "0014P00003YSp8dQAD")</f>
        <v>0014P00003YSp8dQAD</v>
      </c>
      <c r="B698" s="2" t="s">
        <v>2925</v>
      </c>
      <c r="C698" s="2" t="s">
        <v>423</v>
      </c>
      <c r="D698" s="2" t="s">
        <v>2</v>
      </c>
      <c r="E698" s="2">
        <v>7</v>
      </c>
      <c r="F698" s="2">
        <v>3</v>
      </c>
      <c r="G698" s="2">
        <v>2</v>
      </c>
      <c r="H698" s="2">
        <v>0</v>
      </c>
      <c r="I698" s="2">
        <v>150</v>
      </c>
      <c r="J698" s="2" t="s">
        <v>1779</v>
      </c>
      <c r="K698" s="2">
        <v>33</v>
      </c>
      <c r="L698" s="2">
        <v>10</v>
      </c>
      <c r="M698" s="2">
        <v>5</v>
      </c>
      <c r="N698" s="2">
        <v>6</v>
      </c>
      <c r="O698" s="2">
        <v>0</v>
      </c>
      <c r="P698" s="2">
        <v>12</v>
      </c>
      <c r="Q698" s="2" t="s">
        <v>2926</v>
      </c>
      <c r="R698" s="2" t="s">
        <v>2926</v>
      </c>
      <c r="S698" s="4">
        <v>44837</v>
      </c>
    </row>
    <row r="699" spans="1:19" ht="12.5" x14ac:dyDescent="0.25">
      <c r="A699" s="14" t="str">
        <f>HYPERLINK("https://gerandofalcoes.my.salesforce.com/0014X00002YggmSQAR", "0014X00002YggmSQAR")</f>
        <v>0014X00002YggmSQAR</v>
      </c>
      <c r="B699" s="2" t="s">
        <v>3059</v>
      </c>
      <c r="C699" s="2" t="s">
        <v>423</v>
      </c>
      <c r="D699" s="2" t="s">
        <v>2</v>
      </c>
      <c r="E699" s="2">
        <v>6.98</v>
      </c>
      <c r="F699" s="2">
        <v>4</v>
      </c>
      <c r="G699" s="2">
        <v>5</v>
      </c>
      <c r="H699" s="2">
        <v>12000</v>
      </c>
      <c r="I699" s="2">
        <v>0</v>
      </c>
      <c r="J699" s="2" t="s">
        <v>1779</v>
      </c>
      <c r="K699" s="2">
        <v>30</v>
      </c>
      <c r="L699" s="2">
        <v>10</v>
      </c>
      <c r="M699" s="2">
        <v>5</v>
      </c>
      <c r="N699" s="2">
        <v>10</v>
      </c>
      <c r="O699" s="2">
        <v>5</v>
      </c>
      <c r="P699" s="2">
        <v>0</v>
      </c>
      <c r="Q699" s="2" t="s">
        <v>3060</v>
      </c>
      <c r="R699" s="2" t="s">
        <v>3061</v>
      </c>
      <c r="S699" s="4">
        <v>44946</v>
      </c>
    </row>
    <row r="700" spans="1:19" ht="12.5" x14ac:dyDescent="0.25">
      <c r="A700" s="14" t="str">
        <f>HYPERLINK("https://gerandofalcoes.my.salesforce.com/0014X00002YggjbQAB", "0014X00002YggjbQAB")</f>
        <v>0014X00002YggjbQAB</v>
      </c>
      <c r="B700" s="2" t="s">
        <v>4110</v>
      </c>
      <c r="C700" s="2" t="s">
        <v>423</v>
      </c>
      <c r="D700" s="2" t="s">
        <v>2</v>
      </c>
      <c r="E700" s="2">
        <v>6.82</v>
      </c>
      <c r="F700" s="2">
        <v>2</v>
      </c>
      <c r="G700" s="2">
        <v>3</v>
      </c>
      <c r="H700" s="2">
        <v>1500</v>
      </c>
      <c r="I700" s="2">
        <v>300</v>
      </c>
      <c r="J700" s="2"/>
      <c r="K700" s="2">
        <v>43</v>
      </c>
      <c r="L700" s="2">
        <v>10</v>
      </c>
      <c r="M700" s="2">
        <v>5</v>
      </c>
      <c r="N700" s="2">
        <v>8</v>
      </c>
      <c r="O700" s="2">
        <v>5</v>
      </c>
      <c r="P700" s="2">
        <v>15</v>
      </c>
      <c r="Q700" s="2" t="s">
        <v>4111</v>
      </c>
      <c r="R700" s="2" t="s">
        <v>4112</v>
      </c>
      <c r="S700" s="4">
        <v>45169</v>
      </c>
    </row>
    <row r="701" spans="1:19" ht="12.5" x14ac:dyDescent="0.25">
      <c r="A701" s="14" t="str">
        <f>HYPERLINK("https://gerandofalcoes.my.salesforce.com/0014X00002VKCqyQAH", "0014X00002VKCqyQAH")</f>
        <v>0014X00002VKCqyQAH</v>
      </c>
      <c r="B701" s="2" t="s">
        <v>3807</v>
      </c>
      <c r="C701" s="2" t="s">
        <v>423</v>
      </c>
      <c r="D701" s="2" t="s">
        <v>2</v>
      </c>
      <c r="E701" s="2">
        <v>6.71</v>
      </c>
      <c r="F701" s="2">
        <v>20</v>
      </c>
      <c r="G701" s="2">
        <v>3</v>
      </c>
      <c r="H701" s="2">
        <v>5000</v>
      </c>
      <c r="I701" s="2">
        <v>200</v>
      </c>
      <c r="J701" s="2" t="s">
        <v>1671</v>
      </c>
      <c r="K701" s="2">
        <v>47</v>
      </c>
      <c r="L701" s="2">
        <v>10</v>
      </c>
      <c r="M701" s="2">
        <v>12</v>
      </c>
      <c r="N701" s="2">
        <v>8</v>
      </c>
      <c r="O701" s="2">
        <v>5</v>
      </c>
      <c r="P701" s="2">
        <v>12</v>
      </c>
      <c r="Q701" s="2" t="s">
        <v>3808</v>
      </c>
      <c r="R701" s="2" t="s">
        <v>3809</v>
      </c>
      <c r="S701" s="4">
        <v>44986</v>
      </c>
    </row>
    <row r="702" spans="1:19" ht="12.5" x14ac:dyDescent="0.25">
      <c r="A702" s="14" t="str">
        <f>HYPERLINK("https://gerandofalcoes.my.salesforce.com/0014X00002VKCvAQAX", "0014X00002VKCvAQAX")</f>
        <v>0014X00002VKCvAQAX</v>
      </c>
      <c r="B702" s="2" t="s">
        <v>2927</v>
      </c>
      <c r="C702" s="2" t="s">
        <v>423</v>
      </c>
      <c r="D702" s="2" t="s">
        <v>2</v>
      </c>
      <c r="E702" s="2">
        <v>6.68</v>
      </c>
      <c r="F702" s="2">
        <v>0</v>
      </c>
      <c r="G702" s="2">
        <v>1</v>
      </c>
      <c r="H702" s="2">
        <v>35000</v>
      </c>
      <c r="I702" s="2">
        <v>0</v>
      </c>
      <c r="J702" s="2" t="s">
        <v>1779</v>
      </c>
      <c r="K702" s="2">
        <v>24</v>
      </c>
      <c r="L702" s="2">
        <v>10</v>
      </c>
      <c r="M702" s="2">
        <v>0</v>
      </c>
      <c r="N702" s="2">
        <v>4</v>
      </c>
      <c r="O702" s="2">
        <v>10</v>
      </c>
      <c r="P702" s="2">
        <v>0</v>
      </c>
      <c r="Q702" s="2" t="s">
        <v>2928</v>
      </c>
      <c r="R702" s="2" t="s">
        <v>2929</v>
      </c>
      <c r="S702" s="4">
        <v>44837</v>
      </c>
    </row>
    <row r="703" spans="1:19" ht="12.5" x14ac:dyDescent="0.25">
      <c r="A703" s="14" t="str">
        <f>HYPERLINK("https://gerandofalcoes.my.salesforce.com/0014X00002YgbkQQAR", "0014X00002YgbkQQAR")</f>
        <v>0014X00002YgbkQQAR</v>
      </c>
      <c r="B703" s="2" t="s">
        <v>3542</v>
      </c>
      <c r="C703" s="2" t="s">
        <v>423</v>
      </c>
      <c r="D703" s="2" t="s">
        <v>2</v>
      </c>
      <c r="E703" s="2">
        <v>6.62</v>
      </c>
      <c r="F703" s="2">
        <v>0</v>
      </c>
      <c r="G703" s="2">
        <v>0</v>
      </c>
      <c r="H703" s="2">
        <v>0</v>
      </c>
      <c r="I703" s="2">
        <v>0</v>
      </c>
      <c r="J703" s="2" t="s">
        <v>1779</v>
      </c>
      <c r="K703" s="2">
        <v>10</v>
      </c>
      <c r="L703" s="2">
        <v>10</v>
      </c>
      <c r="M703" s="2">
        <v>0</v>
      </c>
      <c r="N703" s="2">
        <v>0</v>
      </c>
      <c r="O703" s="2">
        <v>0</v>
      </c>
      <c r="P703" s="2">
        <v>0</v>
      </c>
      <c r="Q703" s="2" t="s">
        <v>3543</v>
      </c>
      <c r="R703" s="2" t="s">
        <v>3544</v>
      </c>
      <c r="S703" s="4">
        <v>44959</v>
      </c>
    </row>
    <row r="704" spans="1:19" ht="12.5" x14ac:dyDescent="0.25">
      <c r="A704" s="14" t="str">
        <f>HYPERLINK("https://gerandofalcoes.my.salesforce.com/0014X00002YggoDQAR", "0014X00002YggoDQAR")</f>
        <v>0014X00002YggoDQAR</v>
      </c>
      <c r="B704" s="2" t="s">
        <v>3662</v>
      </c>
      <c r="C704" s="2" t="s">
        <v>423</v>
      </c>
      <c r="D704" s="2" t="s">
        <v>2</v>
      </c>
      <c r="E704" s="2">
        <v>6.27</v>
      </c>
      <c r="F704" s="2">
        <v>0</v>
      </c>
      <c r="G704" s="2">
        <v>2</v>
      </c>
      <c r="H704" s="2">
        <v>0</v>
      </c>
      <c r="I704" s="2">
        <v>20</v>
      </c>
      <c r="J704" s="2" t="s">
        <v>1779</v>
      </c>
      <c r="K704" s="2">
        <v>21</v>
      </c>
      <c r="L704" s="2">
        <v>10</v>
      </c>
      <c r="M704" s="2">
        <v>0</v>
      </c>
      <c r="N704" s="2">
        <v>6</v>
      </c>
      <c r="O704" s="2">
        <v>0</v>
      </c>
      <c r="P704" s="2">
        <v>5</v>
      </c>
      <c r="Q704" s="2" t="s">
        <v>3663</v>
      </c>
      <c r="R704" s="2" t="s">
        <v>3664</v>
      </c>
      <c r="S704" s="4">
        <v>44964</v>
      </c>
    </row>
    <row r="705" spans="1:19" ht="12.5" x14ac:dyDescent="0.25">
      <c r="A705" s="14" t="str">
        <f>HYPERLINK("https://gerandofalcoes.my.salesforce.com/0014X00002YgglhQAB", "0014X00002YgglhQAB")</f>
        <v>0014X00002YgglhQAB</v>
      </c>
      <c r="B705" s="2" t="s">
        <v>4113</v>
      </c>
      <c r="C705" s="2" t="s">
        <v>423</v>
      </c>
      <c r="D705" s="2" t="s">
        <v>2</v>
      </c>
      <c r="E705" s="2">
        <v>6.18</v>
      </c>
      <c r="F705" s="2">
        <v>2</v>
      </c>
      <c r="G705" s="2">
        <v>3</v>
      </c>
      <c r="H705" s="2">
        <v>0</v>
      </c>
      <c r="I705" s="2">
        <v>200</v>
      </c>
      <c r="J705" s="2"/>
      <c r="K705" s="2">
        <v>35</v>
      </c>
      <c r="L705" s="2">
        <v>10</v>
      </c>
      <c r="M705" s="2">
        <v>5</v>
      </c>
      <c r="N705" s="2">
        <v>8</v>
      </c>
      <c r="O705" s="2">
        <v>0</v>
      </c>
      <c r="P705" s="2">
        <v>12</v>
      </c>
      <c r="Q705" s="2" t="s">
        <v>4114</v>
      </c>
      <c r="R705" s="2" t="s">
        <v>7148</v>
      </c>
      <c r="S705" s="4">
        <v>45169</v>
      </c>
    </row>
    <row r="706" spans="1:19" ht="12.5" x14ac:dyDescent="0.25">
      <c r="A706" s="14" t="str">
        <f>HYPERLINK("https://gerandofalcoes.my.salesforce.com/0014X00002VKCq0QAH", "0014X00002VKCq0QAH")</f>
        <v>0014X00002VKCq0QAH</v>
      </c>
      <c r="B706" s="2" t="s">
        <v>2930</v>
      </c>
      <c r="C706" s="2" t="s">
        <v>1800</v>
      </c>
      <c r="D706" s="2" t="s">
        <v>2</v>
      </c>
      <c r="E706" s="2">
        <v>6</v>
      </c>
      <c r="F706" s="2">
        <v>2</v>
      </c>
      <c r="G706" s="2">
        <v>3</v>
      </c>
      <c r="H706" s="2">
        <v>929000</v>
      </c>
      <c r="I706" s="2">
        <v>300</v>
      </c>
      <c r="J706" s="2" t="s">
        <v>1671</v>
      </c>
      <c r="K706" s="2">
        <v>63</v>
      </c>
      <c r="L706" s="2">
        <v>10</v>
      </c>
      <c r="M706" s="2">
        <v>5</v>
      </c>
      <c r="N706" s="2">
        <v>8</v>
      </c>
      <c r="O706" s="2">
        <v>25</v>
      </c>
      <c r="P706" s="2">
        <v>15</v>
      </c>
      <c r="Q706" s="2" t="s">
        <v>2931</v>
      </c>
      <c r="R706" s="2" t="s">
        <v>2932</v>
      </c>
      <c r="S706" s="4">
        <v>44837</v>
      </c>
    </row>
    <row r="707" spans="1:19" ht="12.5" x14ac:dyDescent="0.25">
      <c r="A707" s="14" t="str">
        <f>HYPERLINK("https://gerandofalcoes.my.salesforce.com/0014X00002VKCuuQAH", "0014X00002VKCuuQAH")</f>
        <v>0014X00002VKCuuQAH</v>
      </c>
      <c r="B707" s="2" t="s">
        <v>2933</v>
      </c>
      <c r="C707" s="2" t="s">
        <v>423</v>
      </c>
      <c r="D707" s="2" t="s">
        <v>2</v>
      </c>
      <c r="E707" s="2">
        <v>6</v>
      </c>
      <c r="F707" s="2">
        <v>5</v>
      </c>
      <c r="G707" s="2">
        <v>5</v>
      </c>
      <c r="H707" s="2">
        <v>0</v>
      </c>
      <c r="I707" s="2">
        <v>220</v>
      </c>
      <c r="J707" s="2" t="s">
        <v>1779</v>
      </c>
      <c r="K707" s="2">
        <v>37</v>
      </c>
      <c r="L707" s="2">
        <v>10</v>
      </c>
      <c r="M707" s="2">
        <v>5</v>
      </c>
      <c r="N707" s="2">
        <v>10</v>
      </c>
      <c r="O707" s="2">
        <v>0</v>
      </c>
      <c r="P707" s="2">
        <v>12</v>
      </c>
      <c r="Q707" s="2" t="s">
        <v>2934</v>
      </c>
      <c r="R707" s="2" t="s">
        <v>2934</v>
      </c>
      <c r="S707" s="4">
        <v>44837</v>
      </c>
    </row>
    <row r="708" spans="1:19" ht="12.5" x14ac:dyDescent="0.25">
      <c r="A708" s="14" t="str">
        <f>HYPERLINK("https://gerandofalcoes.my.salesforce.com/0014X00002VKCugQAH", "0014X00002VKCugQAH")</f>
        <v>0014X00002VKCugQAH</v>
      </c>
      <c r="B708" s="2" t="s">
        <v>2935</v>
      </c>
      <c r="C708" s="2" t="s">
        <v>1800</v>
      </c>
      <c r="D708" s="2" t="s">
        <v>2</v>
      </c>
      <c r="E708" s="2">
        <v>6</v>
      </c>
      <c r="F708" s="2">
        <v>0</v>
      </c>
      <c r="G708" s="2">
        <v>2</v>
      </c>
      <c r="H708" s="2">
        <v>3000</v>
      </c>
      <c r="I708" s="2">
        <v>0</v>
      </c>
      <c r="J708" s="2" t="s">
        <v>1779</v>
      </c>
      <c r="K708" s="2">
        <v>21</v>
      </c>
      <c r="L708" s="2">
        <v>10</v>
      </c>
      <c r="M708" s="2">
        <v>0</v>
      </c>
      <c r="N708" s="2">
        <v>6</v>
      </c>
      <c r="O708" s="2">
        <v>5</v>
      </c>
      <c r="P708" s="2">
        <v>0</v>
      </c>
      <c r="Q708" s="2" t="s">
        <v>2936</v>
      </c>
      <c r="R708" s="2" t="s">
        <v>2937</v>
      </c>
      <c r="S708" s="4">
        <v>44837</v>
      </c>
    </row>
    <row r="709" spans="1:19" ht="12.5" x14ac:dyDescent="0.25">
      <c r="A709" s="14" t="str">
        <f>HYPERLINK("https://gerandofalcoes.my.salesforce.com/0014X00002YggphQAB", "0014X00002YggphQAB")</f>
        <v>0014X00002YggphQAB</v>
      </c>
      <c r="B709" s="2" t="s">
        <v>3620</v>
      </c>
      <c r="C709" s="2" t="s">
        <v>423</v>
      </c>
      <c r="D709" s="2" t="s">
        <v>2</v>
      </c>
      <c r="E709" s="2">
        <v>5.91</v>
      </c>
      <c r="F709" s="2">
        <v>9</v>
      </c>
      <c r="G709" s="2">
        <v>27</v>
      </c>
      <c r="H709" s="2">
        <v>15000</v>
      </c>
      <c r="I709" s="2">
        <v>20</v>
      </c>
      <c r="J709" s="2" t="s">
        <v>1671</v>
      </c>
      <c r="K709" s="2">
        <v>40</v>
      </c>
      <c r="L709" s="2">
        <v>10</v>
      </c>
      <c r="M709" s="2">
        <v>10</v>
      </c>
      <c r="N709" s="2">
        <v>10</v>
      </c>
      <c r="O709" s="2">
        <v>5</v>
      </c>
      <c r="P709" s="2">
        <v>5</v>
      </c>
      <c r="Q709" s="2" t="s">
        <v>3621</v>
      </c>
      <c r="R709" s="2" t="s">
        <v>3622</v>
      </c>
      <c r="S709" s="4">
        <v>44963</v>
      </c>
    </row>
    <row r="710" spans="1:19" ht="12.5" hidden="1" x14ac:dyDescent="0.25">
      <c r="A710" s="14" t="str">
        <f>HYPERLINK("https://gerandofalcoes.my.salesforce.com/0014X00002VKCt8QAH", "0014X00002VKCt8QAH")</f>
        <v>0014X00002VKCt8QAH</v>
      </c>
      <c r="B710" s="2" t="s">
        <v>2938</v>
      </c>
      <c r="C710" s="2" t="s">
        <v>1684</v>
      </c>
      <c r="D710" s="2" t="s">
        <v>2</v>
      </c>
      <c r="E710" s="2">
        <v>5.84</v>
      </c>
      <c r="F710" s="2">
        <v>0</v>
      </c>
      <c r="G710" s="2">
        <v>0</v>
      </c>
      <c r="H710" s="2">
        <v>0</v>
      </c>
      <c r="I710" s="2">
        <v>0</v>
      </c>
      <c r="J710" s="2" t="s">
        <v>1779</v>
      </c>
      <c r="K710" s="2">
        <v>10</v>
      </c>
      <c r="L710" s="2">
        <v>10</v>
      </c>
      <c r="M710" s="2">
        <v>0</v>
      </c>
      <c r="N710" s="2">
        <v>0</v>
      </c>
      <c r="O710" s="2">
        <v>0</v>
      </c>
      <c r="P710" s="2">
        <v>0</v>
      </c>
      <c r="Q710" s="2" t="s">
        <v>2939</v>
      </c>
      <c r="R710" s="2" t="s">
        <v>2940</v>
      </c>
      <c r="S710" s="4">
        <v>44837</v>
      </c>
    </row>
    <row r="711" spans="1:19" ht="12.5" x14ac:dyDescent="0.25">
      <c r="A711" s="14" t="str">
        <f>HYPERLINK("https://gerandofalcoes.my.salesforce.com/0014X00002VKCv6QAH", "0014X00002VKCv6QAH")</f>
        <v>0014X00002VKCv6QAH</v>
      </c>
      <c r="B711" s="2" t="s">
        <v>2941</v>
      </c>
      <c r="C711" s="2" t="s">
        <v>423</v>
      </c>
      <c r="D711" s="2" t="s">
        <v>2</v>
      </c>
      <c r="E711" s="2">
        <v>5.6</v>
      </c>
      <c r="F711" s="2">
        <v>0</v>
      </c>
      <c r="G711" s="2">
        <v>0</v>
      </c>
      <c r="H711" s="2">
        <v>0</v>
      </c>
      <c r="I711" s="2">
        <v>44</v>
      </c>
      <c r="J711" s="2" t="s">
        <v>1779</v>
      </c>
      <c r="K711" s="2">
        <v>15</v>
      </c>
      <c r="L711" s="2">
        <v>10</v>
      </c>
      <c r="M711" s="2">
        <v>0</v>
      </c>
      <c r="N711" s="2">
        <v>0</v>
      </c>
      <c r="O711" s="2">
        <v>0</v>
      </c>
      <c r="P711" s="2">
        <v>5</v>
      </c>
      <c r="Q711" s="2" t="s">
        <v>2942</v>
      </c>
      <c r="R711" s="2" t="s">
        <v>2943</v>
      </c>
      <c r="S711" s="4">
        <v>44837</v>
      </c>
    </row>
    <row r="712" spans="1:19" ht="12.5" x14ac:dyDescent="0.25">
      <c r="A712" s="14" t="str">
        <f>HYPERLINK("https://gerandofalcoes.my.salesforce.com/0014X00002YggnDQAR", "0014X00002YggnDQAR")</f>
        <v>0014X00002YggnDQAR</v>
      </c>
      <c r="B712" s="2" t="s">
        <v>3334</v>
      </c>
      <c r="C712" s="2" t="s">
        <v>423</v>
      </c>
      <c r="D712" s="2" t="s">
        <v>2</v>
      </c>
      <c r="E712" s="2">
        <v>5.59</v>
      </c>
      <c r="F712" s="2">
        <v>0</v>
      </c>
      <c r="G712" s="2">
        <v>3</v>
      </c>
      <c r="H712" s="2">
        <v>5000</v>
      </c>
      <c r="I712" s="2">
        <v>2000</v>
      </c>
      <c r="J712" s="2" t="s">
        <v>1671</v>
      </c>
      <c r="K712" s="2">
        <v>43</v>
      </c>
      <c r="L712" s="2">
        <v>10</v>
      </c>
      <c r="M712" s="2">
        <v>0</v>
      </c>
      <c r="N712" s="2">
        <v>8</v>
      </c>
      <c r="O712" s="2">
        <v>5</v>
      </c>
      <c r="P712" s="2">
        <v>20</v>
      </c>
      <c r="Q712" s="2" t="s">
        <v>3335</v>
      </c>
      <c r="R712" s="2" t="s">
        <v>3336</v>
      </c>
      <c r="S712" s="4">
        <v>44953</v>
      </c>
    </row>
    <row r="713" spans="1:19" ht="12.5" x14ac:dyDescent="0.25">
      <c r="A713" s="14" t="str">
        <f>HYPERLINK("https://gerandofalcoes.my.salesforce.com/0014X00002YggkwQAB", "0014X00002YggkwQAB")</f>
        <v>0014X00002YggkwQAB</v>
      </c>
      <c r="B713" s="2" t="s">
        <v>3440</v>
      </c>
      <c r="C713" s="2" t="s">
        <v>423</v>
      </c>
      <c r="D713" s="2" t="s">
        <v>2</v>
      </c>
      <c r="E713" s="2">
        <v>5.56</v>
      </c>
      <c r="F713" s="2">
        <v>0</v>
      </c>
      <c r="G713" s="2">
        <v>2</v>
      </c>
      <c r="H713" s="2">
        <v>100</v>
      </c>
      <c r="I713" s="2">
        <v>30</v>
      </c>
      <c r="J713" s="2" t="s">
        <v>1779</v>
      </c>
      <c r="K713" s="2">
        <v>26</v>
      </c>
      <c r="L713" s="2">
        <v>10</v>
      </c>
      <c r="M713" s="2">
        <v>0</v>
      </c>
      <c r="N713" s="2">
        <v>6</v>
      </c>
      <c r="O713" s="2">
        <v>5</v>
      </c>
      <c r="P713" s="2">
        <v>5</v>
      </c>
      <c r="Q713" s="2" t="s">
        <v>3441</v>
      </c>
      <c r="R713" s="2" t="s">
        <v>3441</v>
      </c>
      <c r="S713" s="4">
        <v>44958</v>
      </c>
    </row>
    <row r="714" spans="1:19" ht="12.5" x14ac:dyDescent="0.25">
      <c r="A714" s="14" t="str">
        <f>HYPERLINK("https://gerandofalcoes.my.salesforce.com/0014X00002YgghYQAR", "0014X00002YgghYQAR")</f>
        <v>0014X00002YgghYQAR</v>
      </c>
      <c r="B714" s="2" t="s">
        <v>3545</v>
      </c>
      <c r="C714" s="2" t="s">
        <v>423</v>
      </c>
      <c r="D714" s="2" t="s">
        <v>2</v>
      </c>
      <c r="E714" s="2">
        <v>5.56</v>
      </c>
      <c r="F714" s="2">
        <v>10</v>
      </c>
      <c r="G714" s="2">
        <v>3</v>
      </c>
      <c r="H714" s="2">
        <v>5000</v>
      </c>
      <c r="I714" s="2">
        <v>0</v>
      </c>
      <c r="J714" s="2" t="s">
        <v>1779</v>
      </c>
      <c r="K714" s="2">
        <v>33</v>
      </c>
      <c r="L714" s="2">
        <v>10</v>
      </c>
      <c r="M714" s="2">
        <v>10</v>
      </c>
      <c r="N714" s="2">
        <v>8</v>
      </c>
      <c r="O714" s="2">
        <v>5</v>
      </c>
      <c r="P714" s="2">
        <v>0</v>
      </c>
      <c r="Q714" s="2" t="s">
        <v>3546</v>
      </c>
      <c r="R714" s="2" t="s">
        <v>3546</v>
      </c>
      <c r="S714" s="4">
        <v>44959</v>
      </c>
    </row>
    <row r="715" spans="1:19" ht="12.5" x14ac:dyDescent="0.25">
      <c r="A715" s="14" t="str">
        <f>HYPERLINK("https://gerandofalcoes.my.salesforce.com/0014X00002VKCucQAH", "0014X00002VKCucQAH")</f>
        <v>0014X00002VKCucQAH</v>
      </c>
      <c r="B715" s="2" t="s">
        <v>2944</v>
      </c>
      <c r="C715" s="2" t="s">
        <v>423</v>
      </c>
      <c r="D715" s="2" t="s">
        <v>2</v>
      </c>
      <c r="E715" s="2">
        <v>5.56</v>
      </c>
      <c r="F715" s="2">
        <v>0</v>
      </c>
      <c r="G715" s="2">
        <v>1</v>
      </c>
      <c r="H715" s="2">
        <v>300</v>
      </c>
      <c r="I715" s="2">
        <v>0</v>
      </c>
      <c r="J715" s="2" t="s">
        <v>1779</v>
      </c>
      <c r="K715" s="2">
        <v>19</v>
      </c>
      <c r="L715" s="2">
        <v>10</v>
      </c>
      <c r="M715" s="2">
        <v>0</v>
      </c>
      <c r="N715" s="2">
        <v>4</v>
      </c>
      <c r="O715" s="2">
        <v>5</v>
      </c>
      <c r="P715" s="2">
        <v>0</v>
      </c>
      <c r="Q715" s="2" t="s">
        <v>2945</v>
      </c>
      <c r="R715" s="2" t="s">
        <v>2946</v>
      </c>
      <c r="S715" s="4">
        <v>44837</v>
      </c>
    </row>
    <row r="716" spans="1:19" ht="12.5" x14ac:dyDescent="0.25">
      <c r="A716" s="14" t="str">
        <f>HYPERLINK("https://gerandofalcoes.my.salesforce.com/0014X00002VKCuMQAX", "0014X00002VKCuMQAX")</f>
        <v>0014X00002VKCuMQAX</v>
      </c>
      <c r="B716" s="2" t="s">
        <v>2947</v>
      </c>
      <c r="C716" s="2" t="s">
        <v>423</v>
      </c>
      <c r="D716" s="2" t="s">
        <v>2</v>
      </c>
      <c r="E716" s="2">
        <v>5.54</v>
      </c>
      <c r="F716" s="2">
        <v>0</v>
      </c>
      <c r="G716" s="2">
        <v>1</v>
      </c>
      <c r="H716" s="2">
        <v>0</v>
      </c>
      <c r="I716" s="2">
        <v>420</v>
      </c>
      <c r="J716" s="2" t="s">
        <v>1779</v>
      </c>
      <c r="K716" s="2">
        <v>29</v>
      </c>
      <c r="L716" s="2">
        <v>10</v>
      </c>
      <c r="M716" s="2">
        <v>0</v>
      </c>
      <c r="N716" s="2">
        <v>4</v>
      </c>
      <c r="O716" s="2">
        <v>0</v>
      </c>
      <c r="P716" s="2">
        <v>15</v>
      </c>
      <c r="Q716" s="2" t="s">
        <v>2948</v>
      </c>
      <c r="R716" s="2" t="s">
        <v>2949</v>
      </c>
      <c r="S716" s="4">
        <v>44837</v>
      </c>
    </row>
    <row r="717" spans="1:19" ht="12.5" x14ac:dyDescent="0.25">
      <c r="A717" s="14" t="str">
        <f>HYPERLINK("https://gerandofalcoes.my.salesforce.com/0014X00002YggpMQAR", "0014X00002YggpMQAR")</f>
        <v>0014X00002YggpMQAR</v>
      </c>
      <c r="B717" s="2" t="s">
        <v>3261</v>
      </c>
      <c r="C717" s="2" t="s">
        <v>423</v>
      </c>
      <c r="D717" s="2" t="s">
        <v>2</v>
      </c>
      <c r="E717" s="2">
        <v>5.44</v>
      </c>
      <c r="F717" s="2">
        <v>0</v>
      </c>
      <c r="G717" s="2">
        <v>5</v>
      </c>
      <c r="H717" s="2">
        <v>2000</v>
      </c>
      <c r="I717" s="2">
        <v>15</v>
      </c>
      <c r="J717" s="2" t="s">
        <v>1779</v>
      </c>
      <c r="K717" s="2">
        <v>30</v>
      </c>
      <c r="L717" s="2">
        <v>10</v>
      </c>
      <c r="M717" s="2">
        <v>0</v>
      </c>
      <c r="N717" s="2">
        <v>10</v>
      </c>
      <c r="O717" s="2">
        <v>5</v>
      </c>
      <c r="P717" s="2">
        <v>5</v>
      </c>
      <c r="Q717" s="2" t="s">
        <v>3262</v>
      </c>
      <c r="R717" s="2" t="s">
        <v>3262</v>
      </c>
      <c r="S717" s="4">
        <v>44952</v>
      </c>
    </row>
    <row r="718" spans="1:19" ht="12.5" x14ac:dyDescent="0.25">
      <c r="A718" s="14" t="str">
        <f>HYPERLINK("https://gerandofalcoes.my.salesforce.com/0014X00002YgglqQAB", "0014X00002YgglqQAB")</f>
        <v>0014X00002YgglqQAB</v>
      </c>
      <c r="B718" s="2" t="s">
        <v>3062</v>
      </c>
      <c r="C718" s="2" t="s">
        <v>423</v>
      </c>
      <c r="D718" s="2" t="s">
        <v>2</v>
      </c>
      <c r="E718" s="2">
        <v>5.37</v>
      </c>
      <c r="F718" s="2">
        <v>0</v>
      </c>
      <c r="G718" s="2">
        <v>3</v>
      </c>
      <c r="H718" s="2">
        <v>200</v>
      </c>
      <c r="I718" s="2">
        <v>0</v>
      </c>
      <c r="J718" s="2" t="s">
        <v>1779</v>
      </c>
      <c r="K718" s="2">
        <v>23</v>
      </c>
      <c r="L718" s="2">
        <v>10</v>
      </c>
      <c r="M718" s="2">
        <v>0</v>
      </c>
      <c r="N718" s="2">
        <v>8</v>
      </c>
      <c r="O718" s="2">
        <v>5</v>
      </c>
      <c r="P718" s="2">
        <v>0</v>
      </c>
      <c r="Q718" s="2" t="s">
        <v>3063</v>
      </c>
      <c r="R718" s="2" t="s">
        <v>3064</v>
      </c>
      <c r="S718" s="4">
        <v>44946</v>
      </c>
    </row>
    <row r="719" spans="1:19" ht="12.5" x14ac:dyDescent="0.25">
      <c r="A719" s="14" t="str">
        <f>HYPERLINK("https://gerandofalcoes.my.salesforce.com/0014X00002YggnpQAB", "0014X00002YggnpQAB")</f>
        <v>0014X00002YggnpQAB</v>
      </c>
      <c r="B719" s="2" t="s">
        <v>4116</v>
      </c>
      <c r="C719" s="2" t="s">
        <v>423</v>
      </c>
      <c r="D719" s="2" t="s">
        <v>2</v>
      </c>
      <c r="E719" s="2">
        <v>5.2</v>
      </c>
      <c r="F719" s="2">
        <v>0</v>
      </c>
      <c r="G719" s="2">
        <v>3</v>
      </c>
      <c r="H719" s="2">
        <v>0</v>
      </c>
      <c r="I719" s="2">
        <v>100</v>
      </c>
      <c r="J719" s="2"/>
      <c r="K719" s="2">
        <v>28</v>
      </c>
      <c r="L719" s="2">
        <v>10</v>
      </c>
      <c r="M719" s="2">
        <v>0</v>
      </c>
      <c r="N719" s="2">
        <v>8</v>
      </c>
      <c r="O719" s="2">
        <v>0</v>
      </c>
      <c r="P719" s="2">
        <v>10</v>
      </c>
      <c r="Q719" s="2" t="s">
        <v>4117</v>
      </c>
      <c r="R719" s="2" t="s">
        <v>4117</v>
      </c>
      <c r="S719" s="4">
        <v>45169</v>
      </c>
    </row>
    <row r="720" spans="1:19" ht="12.5" x14ac:dyDescent="0.25">
      <c r="A720" s="14" t="str">
        <f>HYPERLINK("https://gerandofalcoes.my.salesforce.com/0014P00003SGWQHQA5", "0014P00003SGWQHQA5")</f>
        <v>0014P00003SGWQHQA5</v>
      </c>
      <c r="B720" s="2" t="s">
        <v>265</v>
      </c>
      <c r="C720" s="2" t="s">
        <v>423</v>
      </c>
      <c r="D720" s="2" t="s">
        <v>2</v>
      </c>
      <c r="E720" s="2">
        <v>5</v>
      </c>
      <c r="F720" s="2">
        <v>0</v>
      </c>
      <c r="G720" s="2">
        <v>1</v>
      </c>
      <c r="H720" s="2">
        <v>13000</v>
      </c>
      <c r="I720" s="2">
        <v>100</v>
      </c>
      <c r="J720" s="2" t="s">
        <v>1779</v>
      </c>
      <c r="K720" s="2">
        <v>29</v>
      </c>
      <c r="L720" s="2">
        <v>10</v>
      </c>
      <c r="M720" s="2">
        <v>0</v>
      </c>
      <c r="N720" s="2">
        <v>4</v>
      </c>
      <c r="O720" s="2">
        <v>5</v>
      </c>
      <c r="P720" s="2">
        <v>10</v>
      </c>
      <c r="Q720" s="2" t="s">
        <v>266</v>
      </c>
      <c r="R720" s="2" t="s">
        <v>266</v>
      </c>
      <c r="S720" s="4">
        <v>44837</v>
      </c>
    </row>
    <row r="721" spans="1:19" ht="12.5" x14ac:dyDescent="0.25">
      <c r="A721" s="14" t="str">
        <f>HYPERLINK("https://gerandofalcoes.my.salesforce.com/0014X00002YggkUQAR", "0014X00002YggkUQAR")</f>
        <v>0014X00002YggkUQAR</v>
      </c>
      <c r="B721" s="2" t="s">
        <v>3563</v>
      </c>
      <c r="C721" s="2" t="s">
        <v>423</v>
      </c>
      <c r="D721" s="2" t="s">
        <v>2</v>
      </c>
      <c r="E721" s="2">
        <v>4.93</v>
      </c>
      <c r="F721" s="2">
        <v>0</v>
      </c>
      <c r="G721" s="2">
        <v>5</v>
      </c>
      <c r="H721" s="2">
        <v>5000</v>
      </c>
      <c r="I721" s="2">
        <v>10</v>
      </c>
      <c r="J721" s="2" t="s">
        <v>1779</v>
      </c>
      <c r="K721" s="2">
        <v>30</v>
      </c>
      <c r="L721" s="2">
        <v>10</v>
      </c>
      <c r="M721" s="2">
        <v>0</v>
      </c>
      <c r="N721" s="2">
        <v>10</v>
      </c>
      <c r="O721" s="2">
        <v>5</v>
      </c>
      <c r="P721" s="2">
        <v>5</v>
      </c>
      <c r="Q721" s="2" t="s">
        <v>3564</v>
      </c>
      <c r="R721" s="2" t="s">
        <v>3565</v>
      </c>
      <c r="S721" s="4">
        <v>44960</v>
      </c>
    </row>
    <row r="722" spans="1:19" ht="12.5" x14ac:dyDescent="0.25">
      <c r="A722" s="14" t="str">
        <f>HYPERLINK("https://gerandofalcoes.my.salesforce.com/0014X00002YggkFQAR", "0014X00002YggkFQAR")</f>
        <v>0014X00002YggkFQAR</v>
      </c>
      <c r="B722" s="2" t="s">
        <v>3716</v>
      </c>
      <c r="C722" s="2" t="s">
        <v>423</v>
      </c>
      <c r="D722" s="2" t="s">
        <v>2</v>
      </c>
      <c r="E722" s="2">
        <v>4.87</v>
      </c>
      <c r="F722" s="2">
        <v>0</v>
      </c>
      <c r="G722" s="2">
        <v>5</v>
      </c>
      <c r="H722" s="2">
        <v>8000</v>
      </c>
      <c r="I722" s="2">
        <v>50</v>
      </c>
      <c r="J722" s="2" t="s">
        <v>1779</v>
      </c>
      <c r="K722" s="2">
        <v>30</v>
      </c>
      <c r="L722" s="2">
        <v>10</v>
      </c>
      <c r="M722" s="2">
        <v>0</v>
      </c>
      <c r="N722" s="2">
        <v>10</v>
      </c>
      <c r="O722" s="2">
        <v>5</v>
      </c>
      <c r="P722" s="2">
        <v>5</v>
      </c>
      <c r="Q722" s="2" t="s">
        <v>3717</v>
      </c>
      <c r="R722" s="2" t="s">
        <v>3718</v>
      </c>
      <c r="S722" s="4">
        <v>44967</v>
      </c>
    </row>
    <row r="723" spans="1:19" ht="12.5" x14ac:dyDescent="0.25">
      <c r="A723" s="14" t="str">
        <f>HYPERLINK("https://gerandofalcoes.my.salesforce.com/0014X00002VKCuLQAX", "0014X00002VKCuLQAX")</f>
        <v>0014X00002VKCuLQAX</v>
      </c>
      <c r="B723" s="2" t="s">
        <v>2950</v>
      </c>
      <c r="C723" s="2" t="s">
        <v>423</v>
      </c>
      <c r="D723" s="2" t="s">
        <v>2</v>
      </c>
      <c r="E723" s="2">
        <v>4.84</v>
      </c>
      <c r="F723" s="2">
        <v>0</v>
      </c>
      <c r="G723" s="2">
        <v>2</v>
      </c>
      <c r="H723" s="2">
        <v>5000</v>
      </c>
      <c r="I723" s="2">
        <v>130</v>
      </c>
      <c r="J723" s="2" t="s">
        <v>1779</v>
      </c>
      <c r="K723" s="2">
        <v>31</v>
      </c>
      <c r="L723" s="2">
        <v>10</v>
      </c>
      <c r="M723" s="2">
        <v>0</v>
      </c>
      <c r="N723" s="2">
        <v>6</v>
      </c>
      <c r="O723" s="2">
        <v>5</v>
      </c>
      <c r="P723" s="2">
        <v>10</v>
      </c>
      <c r="Q723" s="2" t="s">
        <v>2951</v>
      </c>
      <c r="R723" s="2" t="s">
        <v>2951</v>
      </c>
      <c r="S723" s="4">
        <v>44837</v>
      </c>
    </row>
    <row r="724" spans="1:19" ht="12.5" x14ac:dyDescent="0.25">
      <c r="A724" s="14" t="str">
        <f>HYPERLINK("https://gerandofalcoes.my.salesforce.com/0014X00002YggmhQAB", "0014X00002YggmhQAB")</f>
        <v>0014X00002YggmhQAB</v>
      </c>
      <c r="B724" s="2" t="s">
        <v>3442</v>
      </c>
      <c r="C724" s="2" t="s">
        <v>423</v>
      </c>
      <c r="D724" s="2" t="s">
        <v>2</v>
      </c>
      <c r="E724" s="2">
        <v>4.71</v>
      </c>
      <c r="F724" s="2">
        <v>0</v>
      </c>
      <c r="G724" s="2">
        <v>3</v>
      </c>
      <c r="H724" s="2">
        <v>100000</v>
      </c>
      <c r="I724" s="2">
        <v>200</v>
      </c>
      <c r="J724" s="2" t="s">
        <v>1671</v>
      </c>
      <c r="K724" s="2">
        <v>45</v>
      </c>
      <c r="L724" s="2">
        <v>10</v>
      </c>
      <c r="M724" s="2">
        <v>0</v>
      </c>
      <c r="N724" s="2">
        <v>8</v>
      </c>
      <c r="O724" s="2">
        <v>15</v>
      </c>
      <c r="P724" s="2">
        <v>12</v>
      </c>
      <c r="Q724" s="2" t="s">
        <v>3443</v>
      </c>
      <c r="R724" s="2" t="s">
        <v>3443</v>
      </c>
      <c r="S724" s="4">
        <v>44958</v>
      </c>
    </row>
    <row r="725" spans="1:19" ht="12.5" x14ac:dyDescent="0.25">
      <c r="A725" s="14" t="str">
        <f>HYPERLINK("https://gerandofalcoes.my.salesforce.com/0014X00002VKCqQQAX", "0014X00002VKCqQQAX")</f>
        <v>0014X00002VKCqQQAX</v>
      </c>
      <c r="B725" s="2" t="s">
        <v>2952</v>
      </c>
      <c r="C725" s="2" t="s">
        <v>423</v>
      </c>
      <c r="D725" s="2" t="s">
        <v>2</v>
      </c>
      <c r="E725" s="2">
        <v>4.43</v>
      </c>
      <c r="F725" s="2">
        <v>0</v>
      </c>
      <c r="G725" s="2">
        <v>2</v>
      </c>
      <c r="H725" s="2">
        <v>0</v>
      </c>
      <c r="I725" s="2">
        <v>40</v>
      </c>
      <c r="J725" s="2" t="s">
        <v>1779</v>
      </c>
      <c r="K725" s="2">
        <v>21</v>
      </c>
      <c r="L725" s="2">
        <v>10</v>
      </c>
      <c r="M725" s="2">
        <v>0</v>
      </c>
      <c r="N725" s="2">
        <v>6</v>
      </c>
      <c r="O725" s="2">
        <v>0</v>
      </c>
      <c r="P725" s="2">
        <v>5</v>
      </c>
      <c r="Q725" s="2" t="s">
        <v>2953</v>
      </c>
      <c r="R725" s="2" t="s">
        <v>2954</v>
      </c>
      <c r="S725" s="4">
        <v>44837</v>
      </c>
    </row>
    <row r="726" spans="1:19" ht="12.5" x14ac:dyDescent="0.25">
      <c r="A726" s="14" t="str">
        <f>HYPERLINK("https://gerandofalcoes.my.salesforce.com/0014X00002Yggi1QAB", "0014X00002Yggi1QAB")</f>
        <v>0014X00002Yggi1QAB</v>
      </c>
      <c r="B726" s="2" t="s">
        <v>3444</v>
      </c>
      <c r="C726" s="2" t="s">
        <v>423</v>
      </c>
      <c r="D726" s="2" t="s">
        <v>2</v>
      </c>
      <c r="E726" s="2">
        <v>4.4000000000000004</v>
      </c>
      <c r="F726" s="2">
        <v>0</v>
      </c>
      <c r="G726" s="2">
        <v>2</v>
      </c>
      <c r="H726" s="2">
        <v>500</v>
      </c>
      <c r="I726" s="2">
        <v>0</v>
      </c>
      <c r="J726" s="2" t="s">
        <v>1779</v>
      </c>
      <c r="K726" s="2">
        <v>21</v>
      </c>
      <c r="L726" s="2">
        <v>10</v>
      </c>
      <c r="M726" s="2">
        <v>0</v>
      </c>
      <c r="N726" s="2">
        <v>6</v>
      </c>
      <c r="O726" s="2">
        <v>5</v>
      </c>
      <c r="P726" s="2">
        <v>0</v>
      </c>
      <c r="Q726" s="2" t="s">
        <v>3445</v>
      </c>
      <c r="R726" s="2" t="s">
        <v>3446</v>
      </c>
      <c r="S726" s="4">
        <v>44958</v>
      </c>
    </row>
    <row r="727" spans="1:19" ht="12.5" x14ac:dyDescent="0.25">
      <c r="A727" s="14" t="str">
        <f>HYPERLINK("https://gerandofalcoes.my.salesforce.com/0014X00002YggibQAB", "0014X00002YggibQAB")</f>
        <v>0014X00002YggibQAB</v>
      </c>
      <c r="B727" s="2" t="s">
        <v>3026</v>
      </c>
      <c r="C727" s="2" t="s">
        <v>423</v>
      </c>
      <c r="D727" s="2" t="s">
        <v>2</v>
      </c>
      <c r="E727" s="2">
        <v>4.3899999999999997</v>
      </c>
      <c r="F727" s="2">
        <v>0</v>
      </c>
      <c r="G727" s="2">
        <v>6</v>
      </c>
      <c r="H727" s="2">
        <v>8000</v>
      </c>
      <c r="I727" s="2">
        <v>16</v>
      </c>
      <c r="J727" s="2" t="s">
        <v>1779</v>
      </c>
      <c r="K727" s="2">
        <v>30</v>
      </c>
      <c r="L727" s="2">
        <v>10</v>
      </c>
      <c r="M727" s="2">
        <v>0</v>
      </c>
      <c r="N727" s="2">
        <v>10</v>
      </c>
      <c r="O727" s="2">
        <v>5</v>
      </c>
      <c r="P727" s="2">
        <v>5</v>
      </c>
      <c r="Q727" s="2" t="s">
        <v>3027</v>
      </c>
      <c r="R727" s="2" t="s">
        <v>3027</v>
      </c>
      <c r="S727" s="4">
        <v>44945</v>
      </c>
    </row>
    <row r="728" spans="1:19" ht="12.5" x14ac:dyDescent="0.25">
      <c r="A728" s="14" t="str">
        <f>HYPERLINK("https://gerandofalcoes.my.salesforce.com/0014X00002Yggp4QAB", "0014X00002Yggp4QAB")</f>
        <v>0014X00002Yggp4QAB</v>
      </c>
      <c r="B728" s="2" t="s">
        <v>3447</v>
      </c>
      <c r="C728" s="2" t="s">
        <v>423</v>
      </c>
      <c r="D728" s="2" t="s">
        <v>2</v>
      </c>
      <c r="E728" s="2">
        <v>4.32</v>
      </c>
      <c r="F728" s="2">
        <v>0</v>
      </c>
      <c r="G728" s="2">
        <v>5</v>
      </c>
      <c r="H728" s="2">
        <v>2000</v>
      </c>
      <c r="I728" s="2">
        <v>150</v>
      </c>
      <c r="J728" s="2" t="s">
        <v>1779</v>
      </c>
      <c r="K728" s="2">
        <v>37</v>
      </c>
      <c r="L728" s="2">
        <v>10</v>
      </c>
      <c r="M728" s="2">
        <v>0</v>
      </c>
      <c r="N728" s="2">
        <v>10</v>
      </c>
      <c r="O728" s="2">
        <v>5</v>
      </c>
      <c r="P728" s="2">
        <v>12</v>
      </c>
      <c r="Q728" s="2" t="s">
        <v>3448</v>
      </c>
      <c r="R728" s="2" t="s">
        <v>3448</v>
      </c>
      <c r="S728" s="4">
        <v>44958</v>
      </c>
    </row>
    <row r="729" spans="1:19" ht="12.5" x14ac:dyDescent="0.25">
      <c r="A729" s="14" t="str">
        <f>HYPERLINK("https://gerandofalcoes.my.salesforce.com/0014P00003SGWQBQA5", "0014P00003SGWQBQA5")</f>
        <v>0014P00003SGWQBQA5</v>
      </c>
      <c r="B729" s="2" t="s">
        <v>242</v>
      </c>
      <c r="C729" s="2" t="s">
        <v>423</v>
      </c>
      <c r="D729" s="2" t="s">
        <v>2</v>
      </c>
      <c r="E729" s="2">
        <v>4.26</v>
      </c>
      <c r="F729" s="2">
        <v>12</v>
      </c>
      <c r="G729" s="2">
        <v>0</v>
      </c>
      <c r="H729" s="2">
        <v>0</v>
      </c>
      <c r="I729" s="2">
        <v>300</v>
      </c>
      <c r="J729" s="2" t="s">
        <v>1779</v>
      </c>
      <c r="K729" s="2">
        <v>37</v>
      </c>
      <c r="L729" s="2">
        <v>10</v>
      </c>
      <c r="M729" s="2">
        <v>12</v>
      </c>
      <c r="N729" s="2">
        <v>0</v>
      </c>
      <c r="O729" s="2">
        <v>0</v>
      </c>
      <c r="P729" s="2">
        <v>15</v>
      </c>
      <c r="Q729" s="2" t="s">
        <v>243</v>
      </c>
      <c r="R729" s="2" t="s">
        <v>1201</v>
      </c>
      <c r="S729" s="4">
        <v>44837</v>
      </c>
    </row>
    <row r="730" spans="1:19" ht="12.5" x14ac:dyDescent="0.25">
      <c r="A730" s="14" t="str">
        <f>HYPERLINK("https://gerandofalcoes.my.salesforce.com/0014X00002YggkOQAR", "0014X00002YggkOQAR")</f>
        <v>0014X00002YggkOQAR</v>
      </c>
      <c r="B730" s="2" t="s">
        <v>3719</v>
      </c>
      <c r="C730" s="2" t="s">
        <v>423</v>
      </c>
      <c r="D730" s="2" t="s">
        <v>2</v>
      </c>
      <c r="E730" s="2">
        <v>4.25</v>
      </c>
      <c r="F730" s="2">
        <v>20</v>
      </c>
      <c r="G730" s="2">
        <v>4</v>
      </c>
      <c r="H730" s="2">
        <v>180000</v>
      </c>
      <c r="I730" s="2">
        <v>80</v>
      </c>
      <c r="J730" s="2" t="s">
        <v>1671</v>
      </c>
      <c r="K730" s="2">
        <v>57</v>
      </c>
      <c r="L730" s="2">
        <v>10</v>
      </c>
      <c r="M730" s="2">
        <v>12</v>
      </c>
      <c r="N730" s="2">
        <v>10</v>
      </c>
      <c r="O730" s="2">
        <v>15</v>
      </c>
      <c r="P730" s="2">
        <v>10</v>
      </c>
      <c r="Q730" s="2" t="s">
        <v>3720</v>
      </c>
      <c r="R730" s="2" t="s">
        <v>3721</v>
      </c>
      <c r="S730" s="4">
        <v>44967</v>
      </c>
    </row>
    <row r="731" spans="1:19" ht="12.5" x14ac:dyDescent="0.25">
      <c r="A731" s="14" t="str">
        <f>HYPERLINK("https://gerandofalcoes.my.salesforce.com/0014X00002YggngQAB", "0014X00002YggngQAB")</f>
        <v>0014X00002YggngQAB</v>
      </c>
      <c r="B731" s="2" t="s">
        <v>3722</v>
      </c>
      <c r="C731" s="2" t="s">
        <v>423</v>
      </c>
      <c r="D731" s="2" t="s">
        <v>2</v>
      </c>
      <c r="E731" s="2">
        <v>4.22</v>
      </c>
      <c r="F731" s="2">
        <v>0</v>
      </c>
      <c r="G731" s="2">
        <v>4</v>
      </c>
      <c r="H731" s="2">
        <v>13562</v>
      </c>
      <c r="I731" s="2">
        <v>0</v>
      </c>
      <c r="J731" s="2" t="s">
        <v>1779</v>
      </c>
      <c r="K731" s="2">
        <v>25</v>
      </c>
      <c r="L731" s="2">
        <v>10</v>
      </c>
      <c r="M731" s="2">
        <v>0</v>
      </c>
      <c r="N731" s="2">
        <v>10</v>
      </c>
      <c r="O731" s="2">
        <v>5</v>
      </c>
      <c r="P731" s="2">
        <v>0</v>
      </c>
      <c r="Q731" s="2" t="s">
        <v>3723</v>
      </c>
      <c r="R731" s="2" t="s">
        <v>3723</v>
      </c>
      <c r="S731" s="4">
        <v>44967</v>
      </c>
    </row>
    <row r="732" spans="1:19" ht="12.5" x14ac:dyDescent="0.25">
      <c r="A732" s="14" t="str">
        <f>HYPERLINK("https://gerandofalcoes.my.salesforce.com/0014X00002VKCtDQAX", "0014X00002VKCtDQAX")</f>
        <v>0014X00002VKCtDQAX</v>
      </c>
      <c r="B732" s="2" t="s">
        <v>2955</v>
      </c>
      <c r="C732" s="2" t="s">
        <v>423</v>
      </c>
      <c r="D732" s="2" t="s">
        <v>2</v>
      </c>
      <c r="E732" s="2">
        <v>4.16</v>
      </c>
      <c r="F732" s="2">
        <v>5</v>
      </c>
      <c r="G732" s="2">
        <v>0</v>
      </c>
      <c r="H732" s="2">
        <v>0</v>
      </c>
      <c r="I732" s="2">
        <v>50</v>
      </c>
      <c r="J732" s="2" t="s">
        <v>1779</v>
      </c>
      <c r="K732" s="2">
        <v>20</v>
      </c>
      <c r="L732" s="2">
        <v>10</v>
      </c>
      <c r="M732" s="2">
        <v>5</v>
      </c>
      <c r="N732" s="2">
        <v>0</v>
      </c>
      <c r="O732" s="2">
        <v>0</v>
      </c>
      <c r="P732" s="2">
        <v>5</v>
      </c>
      <c r="Q732" s="2" t="s">
        <v>2956</v>
      </c>
      <c r="R732" s="2" t="s">
        <v>2957</v>
      </c>
      <c r="S732" s="4">
        <v>44837</v>
      </c>
    </row>
    <row r="733" spans="1:19" ht="12.5" x14ac:dyDescent="0.25">
      <c r="A733" s="14" t="str">
        <f>HYPERLINK("https://gerandofalcoes.my.salesforce.com/0014P00003SGWQAQA5", "0014P00003SGWQAQA5")</f>
        <v>0014P00003SGWQAQA5</v>
      </c>
      <c r="B733" s="2" t="s">
        <v>2958</v>
      </c>
      <c r="C733" s="2" t="s">
        <v>423</v>
      </c>
      <c r="D733" s="2" t="s">
        <v>2</v>
      </c>
      <c r="E733" s="2">
        <v>4</v>
      </c>
      <c r="F733" s="2">
        <v>0</v>
      </c>
      <c r="G733" s="2">
        <v>1</v>
      </c>
      <c r="H733" s="2">
        <v>16000</v>
      </c>
      <c r="I733" s="2">
        <v>200</v>
      </c>
      <c r="J733" s="2" t="s">
        <v>1779</v>
      </c>
      <c r="K733" s="2">
        <v>31</v>
      </c>
      <c r="L733" s="2">
        <v>10</v>
      </c>
      <c r="M733" s="2">
        <v>0</v>
      </c>
      <c r="N733" s="2">
        <v>4</v>
      </c>
      <c r="O733" s="2">
        <v>5</v>
      </c>
      <c r="P733" s="2">
        <v>12</v>
      </c>
      <c r="Q733" s="2" t="s">
        <v>238</v>
      </c>
      <c r="R733" s="2" t="s">
        <v>1191</v>
      </c>
      <c r="S733" s="4">
        <v>44837</v>
      </c>
    </row>
    <row r="734" spans="1:19" ht="12.5" x14ac:dyDescent="0.25">
      <c r="A734" s="14" t="str">
        <f>HYPERLINK("https://gerandofalcoes.my.salesforce.com/0014X00002Yggp2QAB", "0014X00002Yggp2QAB")</f>
        <v>0014X00002Yggp2QAB</v>
      </c>
      <c r="B734" s="2" t="s">
        <v>4124</v>
      </c>
      <c r="C734" s="2" t="s">
        <v>423</v>
      </c>
      <c r="D734" s="2" t="s">
        <v>2</v>
      </c>
      <c r="E734" s="2">
        <v>3.99</v>
      </c>
      <c r="F734" s="2">
        <v>0</v>
      </c>
      <c r="G734" s="2">
        <v>4</v>
      </c>
      <c r="H734" s="2">
        <v>100000</v>
      </c>
      <c r="I734" s="2">
        <v>800</v>
      </c>
      <c r="J734" s="2"/>
      <c r="K734" s="2">
        <v>55</v>
      </c>
      <c r="L734" s="2">
        <v>10</v>
      </c>
      <c r="M734" s="2">
        <v>0</v>
      </c>
      <c r="N734" s="2">
        <v>10</v>
      </c>
      <c r="O734" s="2">
        <v>15</v>
      </c>
      <c r="P734" s="2">
        <v>20</v>
      </c>
      <c r="Q734" s="2" t="s">
        <v>4125</v>
      </c>
      <c r="R734" s="2" t="s">
        <v>4126</v>
      </c>
      <c r="S734" s="4">
        <v>45169</v>
      </c>
    </row>
    <row r="735" spans="1:19" ht="12.5" x14ac:dyDescent="0.25">
      <c r="A735" s="14" t="str">
        <f>HYPERLINK("https://gerandofalcoes.my.salesforce.com/0014X00002Yggh2QAB", "0014X00002Yggh2QAB")</f>
        <v>0014X00002Yggh2QAB</v>
      </c>
      <c r="B735" s="2" t="s">
        <v>3449</v>
      </c>
      <c r="C735" s="2" t="s">
        <v>423</v>
      </c>
      <c r="D735" s="2" t="s">
        <v>2</v>
      </c>
      <c r="E735" s="2">
        <v>3.99</v>
      </c>
      <c r="F735" s="2">
        <v>0</v>
      </c>
      <c r="G735" s="2">
        <v>2</v>
      </c>
      <c r="H735" s="2">
        <v>500</v>
      </c>
      <c r="I735" s="2">
        <v>50</v>
      </c>
      <c r="J735" s="2" t="s">
        <v>1779</v>
      </c>
      <c r="K735" s="2">
        <v>26</v>
      </c>
      <c r="L735" s="2">
        <v>10</v>
      </c>
      <c r="M735" s="2">
        <v>0</v>
      </c>
      <c r="N735" s="2">
        <v>6</v>
      </c>
      <c r="O735" s="2">
        <v>5</v>
      </c>
      <c r="P735" s="2">
        <v>5</v>
      </c>
      <c r="Q735" s="2" t="s">
        <v>3450</v>
      </c>
      <c r="R735" s="2" t="s">
        <v>3451</v>
      </c>
      <c r="S735" s="4">
        <v>44958</v>
      </c>
    </row>
    <row r="736" spans="1:19" ht="12.5" x14ac:dyDescent="0.25">
      <c r="A736" s="14" t="str">
        <f>HYPERLINK("https://gerandofalcoes.my.salesforce.com/0014X00002VKCrwQAH", "0014X00002VKCrwQAH")</f>
        <v>0014X00002VKCrwQAH</v>
      </c>
      <c r="B736" s="2" t="s">
        <v>2959</v>
      </c>
      <c r="C736" s="2" t="s">
        <v>423</v>
      </c>
      <c r="D736" s="2" t="s">
        <v>2</v>
      </c>
      <c r="E736" s="2">
        <v>3.94</v>
      </c>
      <c r="F736" s="2">
        <v>0</v>
      </c>
      <c r="G736" s="2">
        <v>2</v>
      </c>
      <c r="H736" s="2">
        <v>15000</v>
      </c>
      <c r="I736" s="2">
        <v>30</v>
      </c>
      <c r="J736" s="2" t="s">
        <v>1779</v>
      </c>
      <c r="K736" s="2">
        <v>26</v>
      </c>
      <c r="L736" s="2">
        <v>10</v>
      </c>
      <c r="M736" s="2">
        <v>0</v>
      </c>
      <c r="N736" s="2">
        <v>6</v>
      </c>
      <c r="O736" s="2">
        <v>5</v>
      </c>
      <c r="P736" s="2">
        <v>5</v>
      </c>
      <c r="Q736" s="2" t="s">
        <v>2960</v>
      </c>
      <c r="R736" s="2" t="s">
        <v>2961</v>
      </c>
      <c r="S736" s="4">
        <v>44837</v>
      </c>
    </row>
    <row r="737" spans="1:19" ht="12.5" hidden="1" x14ac:dyDescent="0.25">
      <c r="A737" s="14" t="str">
        <f>HYPERLINK("https://gerandofalcoes.my.salesforce.com/0014X00002YggnkQAB", "0014X00002YggnkQAB")</f>
        <v>0014X00002YggnkQAB</v>
      </c>
      <c r="B737" s="2" t="s">
        <v>3263</v>
      </c>
      <c r="C737" s="2" t="s">
        <v>1684</v>
      </c>
      <c r="D737" s="2" t="s">
        <v>2</v>
      </c>
      <c r="E737" s="2">
        <v>3.91</v>
      </c>
      <c r="F737" s="2">
        <v>0</v>
      </c>
      <c r="G737" s="2">
        <v>2</v>
      </c>
      <c r="H737" s="2">
        <v>0</v>
      </c>
      <c r="I737" s="2">
        <v>120</v>
      </c>
      <c r="J737" s="2" t="s">
        <v>1779</v>
      </c>
      <c r="K737" s="2">
        <v>26</v>
      </c>
      <c r="L737" s="2">
        <v>10</v>
      </c>
      <c r="M737" s="2">
        <v>0</v>
      </c>
      <c r="N737" s="2">
        <v>6</v>
      </c>
      <c r="O737" s="2">
        <v>0</v>
      </c>
      <c r="P737" s="2">
        <v>10</v>
      </c>
      <c r="Q737" s="2" t="s">
        <v>3264</v>
      </c>
      <c r="R737" s="2" t="s">
        <v>3264</v>
      </c>
      <c r="S737" s="4">
        <v>44952</v>
      </c>
    </row>
    <row r="738" spans="1:19" ht="12.5" x14ac:dyDescent="0.25">
      <c r="A738" s="14" t="str">
        <f>HYPERLINK("https://gerandofalcoes.my.salesforce.com/0014X00002YggokQAB", "0014X00002YggokQAB")</f>
        <v>0014X00002YggokQAB</v>
      </c>
      <c r="B738" s="2" t="s">
        <v>4127</v>
      </c>
      <c r="C738" s="2" t="s">
        <v>423</v>
      </c>
      <c r="D738" s="2" t="s">
        <v>2</v>
      </c>
      <c r="E738" s="2">
        <v>3.85</v>
      </c>
      <c r="F738" s="2">
        <v>2</v>
      </c>
      <c r="G738" s="2">
        <v>2</v>
      </c>
      <c r="H738" s="2">
        <v>800</v>
      </c>
      <c r="I738" s="2">
        <v>15</v>
      </c>
      <c r="J738" s="2"/>
      <c r="K738" s="2">
        <v>31</v>
      </c>
      <c r="L738" s="2">
        <v>10</v>
      </c>
      <c r="M738" s="2">
        <v>5</v>
      </c>
      <c r="N738" s="2">
        <v>6</v>
      </c>
      <c r="O738" s="2">
        <v>5</v>
      </c>
      <c r="P738" s="2">
        <v>5</v>
      </c>
      <c r="Q738" s="2" t="s">
        <v>4128</v>
      </c>
      <c r="R738" s="2" t="s">
        <v>4129</v>
      </c>
      <c r="S738" s="4">
        <v>45169</v>
      </c>
    </row>
    <row r="739" spans="1:19" ht="12.5" x14ac:dyDescent="0.25">
      <c r="A739" s="14" t="str">
        <f>HYPERLINK("https://gerandofalcoes.my.salesforce.com/0014X00002YgglMQAR", "0014X00002YgglMQAR")</f>
        <v>0014X00002YgglMQAR</v>
      </c>
      <c r="B739" s="2" t="s">
        <v>3188</v>
      </c>
      <c r="C739" s="2" t="s">
        <v>423</v>
      </c>
      <c r="D739" s="2" t="s">
        <v>2</v>
      </c>
      <c r="E739" s="2">
        <v>3.65</v>
      </c>
      <c r="F739" s="2">
        <v>1</v>
      </c>
      <c r="G739" s="2">
        <v>2</v>
      </c>
      <c r="H739" s="2">
        <v>12000</v>
      </c>
      <c r="I739" s="2">
        <v>3</v>
      </c>
      <c r="J739" s="2" t="s">
        <v>1779</v>
      </c>
      <c r="K739" s="2">
        <v>31</v>
      </c>
      <c r="L739" s="2">
        <v>10</v>
      </c>
      <c r="M739" s="2">
        <v>5</v>
      </c>
      <c r="N739" s="2">
        <v>6</v>
      </c>
      <c r="O739" s="2">
        <v>5</v>
      </c>
      <c r="P739" s="2">
        <v>5</v>
      </c>
      <c r="Q739" s="2" t="s">
        <v>3189</v>
      </c>
      <c r="R739" s="2" t="s">
        <v>3190</v>
      </c>
      <c r="S739" s="4">
        <v>44951</v>
      </c>
    </row>
    <row r="740" spans="1:19" ht="12.5" x14ac:dyDescent="0.25">
      <c r="A740" s="14" t="str">
        <f>HYPERLINK("https://gerandofalcoes.my.salesforce.com/0014P00003YSpAEQA1", "0014P00003YSpAEQA1")</f>
        <v>0014P00003YSpAEQA1</v>
      </c>
      <c r="B740" s="2" t="s">
        <v>2962</v>
      </c>
      <c r="C740" s="2" t="s">
        <v>423</v>
      </c>
      <c r="D740" s="2" t="s">
        <v>2</v>
      </c>
      <c r="E740" s="2">
        <v>3.64</v>
      </c>
      <c r="F740" s="2">
        <v>0</v>
      </c>
      <c r="G740" s="2">
        <v>0</v>
      </c>
      <c r="H740" s="2">
        <v>0</v>
      </c>
      <c r="I740" s="2">
        <v>300</v>
      </c>
      <c r="J740" s="2" t="s">
        <v>1779</v>
      </c>
      <c r="K740" s="2">
        <v>25</v>
      </c>
      <c r="L740" s="2">
        <v>10</v>
      </c>
      <c r="M740" s="2">
        <v>0</v>
      </c>
      <c r="N740" s="2">
        <v>0</v>
      </c>
      <c r="O740" s="2">
        <v>0</v>
      </c>
      <c r="P740" s="2">
        <v>15</v>
      </c>
      <c r="Q740" s="2" t="s">
        <v>2963</v>
      </c>
      <c r="R740" s="2" t="s">
        <v>2964</v>
      </c>
      <c r="S740" s="4">
        <v>44837</v>
      </c>
    </row>
    <row r="741" spans="1:19" ht="12.5" x14ac:dyDescent="0.25">
      <c r="A741" s="14" t="str">
        <f>HYPERLINK("https://gerandofalcoes.my.salesforce.com/0014X00002YggiwQAB", "0014X00002YggiwQAB")</f>
        <v>0014X00002YggiwQAB</v>
      </c>
      <c r="B741" s="2" t="s">
        <v>3452</v>
      </c>
      <c r="C741" s="2" t="s">
        <v>423</v>
      </c>
      <c r="D741" s="2" t="s">
        <v>2</v>
      </c>
      <c r="E741" s="2">
        <v>3.53</v>
      </c>
      <c r="F741" s="2">
        <v>22</v>
      </c>
      <c r="G741" s="2">
        <v>5</v>
      </c>
      <c r="H741" s="2">
        <v>14400</v>
      </c>
      <c r="I741" s="2">
        <v>60</v>
      </c>
      <c r="J741" s="2" t="s">
        <v>1671</v>
      </c>
      <c r="K741" s="2">
        <v>42</v>
      </c>
      <c r="L741" s="2">
        <v>10</v>
      </c>
      <c r="M741" s="2">
        <v>12</v>
      </c>
      <c r="N741" s="2">
        <v>10</v>
      </c>
      <c r="O741" s="2">
        <v>5</v>
      </c>
      <c r="P741" s="2">
        <v>5</v>
      </c>
      <c r="Q741" s="2" t="s">
        <v>3453</v>
      </c>
      <c r="R741" s="2" t="s">
        <v>3454</v>
      </c>
      <c r="S741" s="4">
        <v>44958</v>
      </c>
    </row>
    <row r="742" spans="1:19" ht="12.5" x14ac:dyDescent="0.25">
      <c r="A742" s="14" t="str">
        <f>HYPERLINK("https://gerandofalcoes.my.salesforce.com/0014X00002YggnwQAB", "0014X00002YggnwQAB")</f>
        <v>0014X00002YggnwQAB</v>
      </c>
      <c r="B742" s="2" t="s">
        <v>3724</v>
      </c>
      <c r="C742" s="2" t="s">
        <v>423</v>
      </c>
      <c r="D742" s="2" t="s">
        <v>2</v>
      </c>
      <c r="E742" s="2">
        <v>3.33</v>
      </c>
      <c r="F742" s="2">
        <v>1</v>
      </c>
      <c r="G742" s="2">
        <v>2</v>
      </c>
      <c r="H742" s="2">
        <v>86196</v>
      </c>
      <c r="I742" s="2">
        <v>10</v>
      </c>
      <c r="J742" s="2" t="s">
        <v>1779</v>
      </c>
      <c r="K742" s="2">
        <v>36</v>
      </c>
      <c r="L742" s="2">
        <v>10</v>
      </c>
      <c r="M742" s="2">
        <v>5</v>
      </c>
      <c r="N742" s="2">
        <v>6</v>
      </c>
      <c r="O742" s="2">
        <v>10</v>
      </c>
      <c r="P742" s="2">
        <v>5</v>
      </c>
      <c r="Q742" s="2" t="s">
        <v>3725</v>
      </c>
      <c r="R742" s="2" t="s">
        <v>3726</v>
      </c>
      <c r="S742" s="4">
        <v>44967</v>
      </c>
    </row>
    <row r="743" spans="1:19" ht="12.5" x14ac:dyDescent="0.25">
      <c r="A743" s="14" t="str">
        <f>HYPERLINK("https://gerandofalcoes.my.salesforce.com/0014P00003SGWPMQA5", "0014P00003SGWPMQA5")</f>
        <v>0014P00003SGWPMQA5</v>
      </c>
      <c r="B743" s="2" t="s">
        <v>347</v>
      </c>
      <c r="C743" s="2" t="s">
        <v>423</v>
      </c>
      <c r="D743" s="2" t="s">
        <v>2</v>
      </c>
      <c r="E743" s="2">
        <v>3.21</v>
      </c>
      <c r="F743" s="2">
        <v>0</v>
      </c>
      <c r="G743" s="2">
        <v>0</v>
      </c>
      <c r="H743" s="2">
        <v>0</v>
      </c>
      <c r="I743" s="2">
        <v>0</v>
      </c>
      <c r="J743" s="2" t="s">
        <v>1779</v>
      </c>
      <c r="K743" s="2">
        <v>10</v>
      </c>
      <c r="L743" s="2">
        <v>10</v>
      </c>
      <c r="M743" s="2">
        <v>0</v>
      </c>
      <c r="N743" s="2">
        <v>0</v>
      </c>
      <c r="O743" s="2">
        <v>0</v>
      </c>
      <c r="P743" s="2">
        <v>0</v>
      </c>
      <c r="Q743" s="2" t="s">
        <v>348</v>
      </c>
      <c r="R743" s="2" t="s">
        <v>1488</v>
      </c>
      <c r="S743" s="4">
        <v>44837</v>
      </c>
    </row>
    <row r="744" spans="1:19" ht="12.5" x14ac:dyDescent="0.25">
      <c r="A744" s="14" t="str">
        <f>HYPERLINK("https://gerandofalcoes.my.salesforce.com/0014X00002YgbkZQAR", "0014X00002YgbkZQAR")</f>
        <v>0014X00002YgbkZQAR</v>
      </c>
      <c r="B744" s="2" t="s">
        <v>3455</v>
      </c>
      <c r="C744" s="2" t="s">
        <v>423</v>
      </c>
      <c r="D744" s="2" t="s">
        <v>2</v>
      </c>
      <c r="E744" s="2">
        <v>3.17</v>
      </c>
      <c r="F744" s="2">
        <v>0</v>
      </c>
      <c r="G744" s="2">
        <v>0</v>
      </c>
      <c r="H744" s="2">
        <v>0</v>
      </c>
      <c r="I744" s="2">
        <v>0</v>
      </c>
      <c r="J744" s="2" t="s">
        <v>1779</v>
      </c>
      <c r="K744" s="2">
        <v>10</v>
      </c>
      <c r="L744" s="2">
        <v>10</v>
      </c>
      <c r="M744" s="2">
        <v>0</v>
      </c>
      <c r="N744" s="2">
        <v>0</v>
      </c>
      <c r="O744" s="2">
        <v>0</v>
      </c>
      <c r="P744" s="2">
        <v>0</v>
      </c>
      <c r="Q744" s="2" t="s">
        <v>3456</v>
      </c>
      <c r="R744" s="2" t="s">
        <v>3457</v>
      </c>
      <c r="S744" s="4">
        <v>44958</v>
      </c>
    </row>
    <row r="745" spans="1:19" ht="12.5" x14ac:dyDescent="0.25">
      <c r="A745" s="14" t="str">
        <f>HYPERLINK("https://gerandofalcoes.my.salesforce.com/0014X00002YggkZQAR", "0014X00002YggkZQAR")</f>
        <v>0014X00002YggkZQAR</v>
      </c>
      <c r="B745" s="2" t="s">
        <v>4130</v>
      </c>
      <c r="C745" s="2" t="s">
        <v>423</v>
      </c>
      <c r="D745" s="2" t="s">
        <v>2</v>
      </c>
      <c r="E745" s="2">
        <v>3.16</v>
      </c>
      <c r="F745" s="2">
        <v>0</v>
      </c>
      <c r="G745" s="2">
        <v>2</v>
      </c>
      <c r="H745" s="2">
        <v>0</v>
      </c>
      <c r="I745" s="2">
        <v>40</v>
      </c>
      <c r="J745" s="2"/>
      <c r="K745" s="2">
        <v>21</v>
      </c>
      <c r="L745" s="2">
        <v>10</v>
      </c>
      <c r="M745" s="2">
        <v>0</v>
      </c>
      <c r="N745" s="2">
        <v>6</v>
      </c>
      <c r="O745" s="2">
        <v>0</v>
      </c>
      <c r="P745" s="2">
        <v>5</v>
      </c>
      <c r="Q745" s="2" t="s">
        <v>4131</v>
      </c>
      <c r="R745" s="2" t="s">
        <v>4131</v>
      </c>
      <c r="S745" s="4">
        <v>45169</v>
      </c>
    </row>
    <row r="746" spans="1:19" ht="12.5" x14ac:dyDescent="0.25">
      <c r="A746" s="14" t="str">
        <f>HYPERLINK("https://gerandofalcoes.my.salesforce.com/0014X00002YggoGQAR", "0014X00002YggoGQAR")</f>
        <v>0014X00002YggoGQAR</v>
      </c>
      <c r="B746" s="2" t="s">
        <v>3028</v>
      </c>
      <c r="C746" s="2" t="s">
        <v>423</v>
      </c>
      <c r="D746" s="2" t="s">
        <v>2</v>
      </c>
      <c r="E746" s="2">
        <v>3.1</v>
      </c>
      <c r="F746" s="2">
        <v>12</v>
      </c>
      <c r="G746" s="2">
        <v>3</v>
      </c>
      <c r="H746" s="2">
        <v>3000</v>
      </c>
      <c r="I746" s="2">
        <v>40</v>
      </c>
      <c r="J746" s="2" t="s">
        <v>1671</v>
      </c>
      <c r="K746" s="2">
        <v>40</v>
      </c>
      <c r="L746" s="2">
        <v>10</v>
      </c>
      <c r="M746" s="2">
        <v>12</v>
      </c>
      <c r="N746" s="2">
        <v>8</v>
      </c>
      <c r="O746" s="2">
        <v>5</v>
      </c>
      <c r="P746" s="2">
        <v>5</v>
      </c>
      <c r="Q746" s="2" t="s">
        <v>3029</v>
      </c>
      <c r="R746" s="2" t="s">
        <v>3030</v>
      </c>
      <c r="S746" s="4">
        <v>44945</v>
      </c>
    </row>
    <row r="747" spans="1:19" ht="12.5" x14ac:dyDescent="0.25">
      <c r="A747" s="14" t="str">
        <f>HYPERLINK("https://gerandofalcoes.my.salesforce.com/0014X00002YggiNQAR", "0014X00002YggiNQAR")</f>
        <v>0014X00002YggiNQAR</v>
      </c>
      <c r="B747" s="2" t="s">
        <v>4132</v>
      </c>
      <c r="C747" s="2" t="s">
        <v>423</v>
      </c>
      <c r="D747" s="2" t="s">
        <v>2</v>
      </c>
      <c r="E747" s="2">
        <v>3.1</v>
      </c>
      <c r="F747" s="2">
        <v>10</v>
      </c>
      <c r="G747" s="2">
        <v>4</v>
      </c>
      <c r="H747" s="2">
        <v>1000</v>
      </c>
      <c r="I747" s="2">
        <v>0</v>
      </c>
      <c r="J747" s="2"/>
      <c r="K747" s="2">
        <v>35</v>
      </c>
      <c r="L747" s="2">
        <v>10</v>
      </c>
      <c r="M747" s="2">
        <v>10</v>
      </c>
      <c r="N747" s="2">
        <v>10</v>
      </c>
      <c r="O747" s="2">
        <v>5</v>
      </c>
      <c r="P747" s="2">
        <v>0</v>
      </c>
      <c r="Q747" s="2" t="s">
        <v>4133</v>
      </c>
      <c r="R747" s="2" t="s">
        <v>4134</v>
      </c>
      <c r="S747" s="4">
        <v>45169</v>
      </c>
    </row>
    <row r="748" spans="1:19" ht="12.5" x14ac:dyDescent="0.25">
      <c r="A748" s="14" t="str">
        <f>HYPERLINK("https://gerandofalcoes.my.salesforce.com/0014X00002YggiuQAB", "0014X00002YggiuQAB")</f>
        <v>0014X00002YggiuQAB</v>
      </c>
      <c r="B748" s="2" t="s">
        <v>3031</v>
      </c>
      <c r="C748" s="2" t="s">
        <v>423</v>
      </c>
      <c r="D748" s="2" t="s">
        <v>2</v>
      </c>
      <c r="E748" s="2">
        <v>2.86</v>
      </c>
      <c r="F748" s="2">
        <v>0</v>
      </c>
      <c r="G748" s="2">
        <v>2</v>
      </c>
      <c r="H748" s="2">
        <v>7000</v>
      </c>
      <c r="I748" s="2">
        <v>100</v>
      </c>
      <c r="J748" s="2" t="s">
        <v>1779</v>
      </c>
      <c r="K748" s="2">
        <v>31</v>
      </c>
      <c r="L748" s="2">
        <v>10</v>
      </c>
      <c r="M748" s="2">
        <v>0</v>
      </c>
      <c r="N748" s="2">
        <v>6</v>
      </c>
      <c r="O748" s="2">
        <v>5</v>
      </c>
      <c r="P748" s="2">
        <v>10</v>
      </c>
      <c r="Q748" s="2" t="s">
        <v>3032</v>
      </c>
      <c r="R748" s="2" t="s">
        <v>3032</v>
      </c>
      <c r="S748" s="4">
        <v>44945</v>
      </c>
    </row>
    <row r="749" spans="1:19" ht="12.5" x14ac:dyDescent="0.25">
      <c r="A749" s="14" t="str">
        <f>HYPERLINK("https://gerandofalcoes.my.salesforce.com/0014X00002YggqQQAR", "0014X00002YggqQQAR")</f>
        <v>0014X00002YggqQQAR</v>
      </c>
      <c r="B749" s="2" t="s">
        <v>3665</v>
      </c>
      <c r="C749" s="2" t="s">
        <v>423</v>
      </c>
      <c r="D749" s="2" t="s">
        <v>2</v>
      </c>
      <c r="E749" s="2">
        <v>2.82</v>
      </c>
      <c r="F749" s="2">
        <v>0</v>
      </c>
      <c r="G749" s="2">
        <v>2</v>
      </c>
      <c r="H749" s="2">
        <v>800</v>
      </c>
      <c r="I749" s="2">
        <v>60</v>
      </c>
      <c r="J749" s="2" t="s">
        <v>1779</v>
      </c>
      <c r="K749" s="2">
        <v>26</v>
      </c>
      <c r="L749" s="2">
        <v>10</v>
      </c>
      <c r="M749" s="2">
        <v>0</v>
      </c>
      <c r="N749" s="2">
        <v>6</v>
      </c>
      <c r="O749" s="2">
        <v>5</v>
      </c>
      <c r="P749" s="2">
        <v>5</v>
      </c>
      <c r="Q749" s="2" t="s">
        <v>3666</v>
      </c>
      <c r="R749" s="2" t="s">
        <v>3666</v>
      </c>
      <c r="S749" s="4">
        <v>44964</v>
      </c>
    </row>
    <row r="750" spans="1:19" ht="12.5" x14ac:dyDescent="0.25">
      <c r="A750" s="14" t="str">
        <f>HYPERLINK("https://gerandofalcoes.my.salesforce.com/0014X00002YgghuQAB", "0014X00002YgghuQAB")</f>
        <v>0014X00002YgghuQAB</v>
      </c>
      <c r="B750" s="2" t="s">
        <v>3667</v>
      </c>
      <c r="C750" s="2" t="s">
        <v>423</v>
      </c>
      <c r="D750" s="2" t="s">
        <v>2</v>
      </c>
      <c r="E750" s="2">
        <v>2.66</v>
      </c>
      <c r="F750" s="2">
        <v>6</v>
      </c>
      <c r="G750" s="2">
        <v>4</v>
      </c>
      <c r="H750" s="2">
        <v>20000</v>
      </c>
      <c r="I750" s="2">
        <v>100</v>
      </c>
      <c r="J750" s="2" t="s">
        <v>1671</v>
      </c>
      <c r="K750" s="2">
        <v>45</v>
      </c>
      <c r="L750" s="2">
        <v>10</v>
      </c>
      <c r="M750" s="2">
        <v>10</v>
      </c>
      <c r="N750" s="2">
        <v>10</v>
      </c>
      <c r="O750" s="2">
        <v>5</v>
      </c>
      <c r="P750" s="2">
        <v>10</v>
      </c>
      <c r="Q750" s="2" t="s">
        <v>3668</v>
      </c>
      <c r="R750" s="2" t="s">
        <v>3669</v>
      </c>
      <c r="S750" s="4">
        <v>44964</v>
      </c>
    </row>
    <row r="751" spans="1:19" ht="12.5" x14ac:dyDescent="0.25">
      <c r="A751" s="14" t="str">
        <f>HYPERLINK("https://gerandofalcoes.my.salesforce.com/0014X00002VKCpnQAH", "0014X00002VKCpnQAH")</f>
        <v>0014X00002VKCpnQAH</v>
      </c>
      <c r="B751" s="2" t="s">
        <v>2965</v>
      </c>
      <c r="C751" s="2" t="s">
        <v>423</v>
      </c>
      <c r="D751" s="2" t="s">
        <v>2</v>
      </c>
      <c r="E751" s="2">
        <v>2.57</v>
      </c>
      <c r="F751" s="2">
        <v>0</v>
      </c>
      <c r="G751" s="2">
        <v>1</v>
      </c>
      <c r="H751" s="2">
        <v>10000</v>
      </c>
      <c r="I751" s="2">
        <v>0</v>
      </c>
      <c r="J751" s="2" t="s">
        <v>1779</v>
      </c>
      <c r="K751" s="2">
        <v>19</v>
      </c>
      <c r="L751" s="2">
        <v>10</v>
      </c>
      <c r="M751" s="2">
        <v>0</v>
      </c>
      <c r="N751" s="2">
        <v>4</v>
      </c>
      <c r="O751" s="2">
        <v>5</v>
      </c>
      <c r="P751" s="2">
        <v>0</v>
      </c>
      <c r="Q751" s="2" t="s">
        <v>2966</v>
      </c>
      <c r="R751" s="2" t="s">
        <v>2966</v>
      </c>
      <c r="S751" s="4">
        <v>44837</v>
      </c>
    </row>
    <row r="752" spans="1:19" ht="12.5" x14ac:dyDescent="0.25">
      <c r="A752" s="14" t="str">
        <f>HYPERLINK("https://gerandofalcoes.my.salesforce.com/0014X00002YggoCQAR", "0014X00002YggoCQAR")</f>
        <v>0014X00002YggoCQAR</v>
      </c>
      <c r="B752" s="2" t="s">
        <v>3727</v>
      </c>
      <c r="C752" s="2" t="s">
        <v>423</v>
      </c>
      <c r="D752" s="2" t="s">
        <v>2</v>
      </c>
      <c r="E752" s="2">
        <v>2.38</v>
      </c>
      <c r="F752" s="2">
        <v>0</v>
      </c>
      <c r="G752" s="2">
        <v>2</v>
      </c>
      <c r="H752" s="2">
        <v>5000</v>
      </c>
      <c r="I752" s="2">
        <v>50</v>
      </c>
      <c r="J752" s="2" t="s">
        <v>1779</v>
      </c>
      <c r="K752" s="2">
        <v>26</v>
      </c>
      <c r="L752" s="2">
        <v>10</v>
      </c>
      <c r="M752" s="2">
        <v>0</v>
      </c>
      <c r="N752" s="2">
        <v>6</v>
      </c>
      <c r="O752" s="2">
        <v>5</v>
      </c>
      <c r="P752" s="2">
        <v>5</v>
      </c>
      <c r="Q752" s="2" t="s">
        <v>3728</v>
      </c>
      <c r="R752" s="2" t="s">
        <v>3728</v>
      </c>
      <c r="S752" s="4">
        <v>44967</v>
      </c>
    </row>
    <row r="753" spans="1:19" ht="12.5" x14ac:dyDescent="0.25">
      <c r="A753" s="14" t="str">
        <f>HYPERLINK("https://gerandofalcoes.my.salesforce.com/0014X00002YggpNQAR", "0014X00002YggpNQAR")</f>
        <v>0014X00002YggpNQAR</v>
      </c>
      <c r="B753" s="2" t="s">
        <v>3191</v>
      </c>
      <c r="C753" s="2" t="s">
        <v>423</v>
      </c>
      <c r="D753" s="2" t="s">
        <v>2</v>
      </c>
      <c r="E753" s="2">
        <v>2.38</v>
      </c>
      <c r="F753" s="2">
        <v>0</v>
      </c>
      <c r="G753" s="2">
        <v>2</v>
      </c>
      <c r="H753" s="2">
        <v>3500</v>
      </c>
      <c r="I753" s="2">
        <v>25</v>
      </c>
      <c r="J753" s="2" t="s">
        <v>1779</v>
      </c>
      <c r="K753" s="2">
        <v>26</v>
      </c>
      <c r="L753" s="2">
        <v>10</v>
      </c>
      <c r="M753" s="2">
        <v>0</v>
      </c>
      <c r="N753" s="2">
        <v>6</v>
      </c>
      <c r="O753" s="2">
        <v>5</v>
      </c>
      <c r="P753" s="2">
        <v>5</v>
      </c>
      <c r="Q753" s="2" t="s">
        <v>3192</v>
      </c>
      <c r="R753" s="2" t="s">
        <v>3193</v>
      </c>
      <c r="S753" s="4">
        <v>44951</v>
      </c>
    </row>
    <row r="754" spans="1:19" ht="12.5" x14ac:dyDescent="0.25">
      <c r="A754" s="14" t="str">
        <f>HYPERLINK("https://gerandofalcoes.my.salesforce.com/0014X00002YgghKQAR", "0014X00002YgghKQAR")</f>
        <v>0014X00002YgghKQAR</v>
      </c>
      <c r="B754" s="2" t="s">
        <v>3065</v>
      </c>
      <c r="C754" s="2" t="s">
        <v>423</v>
      </c>
      <c r="D754" s="2" t="s">
        <v>2</v>
      </c>
      <c r="E754" s="2">
        <v>2.38</v>
      </c>
      <c r="F754" s="2">
        <v>0</v>
      </c>
      <c r="G754" s="2">
        <v>5</v>
      </c>
      <c r="H754" s="2">
        <v>500</v>
      </c>
      <c r="I754" s="2">
        <v>0</v>
      </c>
      <c r="J754" s="2" t="s">
        <v>1779</v>
      </c>
      <c r="K754" s="2">
        <v>25</v>
      </c>
      <c r="L754" s="2">
        <v>10</v>
      </c>
      <c r="M754" s="2">
        <v>0</v>
      </c>
      <c r="N754" s="2">
        <v>10</v>
      </c>
      <c r="O754" s="2">
        <v>5</v>
      </c>
      <c r="P754" s="2">
        <v>0</v>
      </c>
      <c r="Q754" s="2" t="s">
        <v>3066</v>
      </c>
      <c r="R754" s="2" t="s">
        <v>3066</v>
      </c>
      <c r="S754" s="4">
        <v>44946</v>
      </c>
    </row>
    <row r="755" spans="1:19" ht="12.5" x14ac:dyDescent="0.25">
      <c r="A755" s="14" t="str">
        <f>HYPERLINK("https://gerandofalcoes.my.salesforce.com/0014X00002YggjOQAR", "0014X00002YggjOQAR")</f>
        <v>0014X00002YggjOQAR</v>
      </c>
      <c r="B755" s="2" t="s">
        <v>2649</v>
      </c>
      <c r="C755" s="2" t="s">
        <v>423</v>
      </c>
      <c r="D755" s="2" t="s">
        <v>2</v>
      </c>
      <c r="E755" s="2">
        <v>2.33</v>
      </c>
      <c r="F755" s="2">
        <v>0</v>
      </c>
      <c r="G755" s="2">
        <v>6</v>
      </c>
      <c r="H755" s="2">
        <v>0</v>
      </c>
      <c r="I755" s="2">
        <v>0</v>
      </c>
      <c r="J755" s="2" t="s">
        <v>1779</v>
      </c>
      <c r="K755" s="2">
        <v>20</v>
      </c>
      <c r="L755" s="2">
        <v>10</v>
      </c>
      <c r="M755" s="2">
        <v>0</v>
      </c>
      <c r="N755" s="2">
        <v>10</v>
      </c>
      <c r="O755" s="2">
        <v>0</v>
      </c>
      <c r="P755" s="2">
        <v>0</v>
      </c>
      <c r="Q755" s="2" t="s">
        <v>3194</v>
      </c>
      <c r="R755" s="2" t="s">
        <v>3194</v>
      </c>
      <c r="S755" s="4">
        <v>44951</v>
      </c>
    </row>
    <row r="756" spans="1:19" ht="12.5" x14ac:dyDescent="0.25">
      <c r="A756" s="14" t="str">
        <f>HYPERLINK("https://gerandofalcoes.my.salesforce.com/0014X00002Yggh9QAB", "0014X00002Yggh9QAB")</f>
        <v>0014X00002Yggh9QAB</v>
      </c>
      <c r="B756" s="2" t="s">
        <v>4138</v>
      </c>
      <c r="C756" s="2" t="s">
        <v>423</v>
      </c>
      <c r="D756" s="2" t="s">
        <v>2</v>
      </c>
      <c r="E756" s="2">
        <v>2.25</v>
      </c>
      <c r="F756" s="2">
        <v>0</v>
      </c>
      <c r="G756" s="2">
        <v>2</v>
      </c>
      <c r="H756" s="2">
        <v>0</v>
      </c>
      <c r="I756" s="2">
        <v>200</v>
      </c>
      <c r="J756" s="2"/>
      <c r="K756" s="2">
        <v>28</v>
      </c>
      <c r="L756" s="2">
        <v>10</v>
      </c>
      <c r="M756" s="2">
        <v>0</v>
      </c>
      <c r="N756" s="2">
        <v>6</v>
      </c>
      <c r="O756" s="2">
        <v>0</v>
      </c>
      <c r="P756" s="2">
        <v>12</v>
      </c>
      <c r="Q756" s="2" t="s">
        <v>4139</v>
      </c>
      <c r="R756" s="2" t="s">
        <v>4140</v>
      </c>
      <c r="S756" s="4">
        <v>45169</v>
      </c>
    </row>
    <row r="757" spans="1:19" ht="12.5" x14ac:dyDescent="0.25">
      <c r="A757" s="14" t="str">
        <f>HYPERLINK("https://gerandofalcoes.my.salesforce.com/0014X00002VKCpvQAH", "0014X00002VKCpvQAH")</f>
        <v>0014X00002VKCpvQAH</v>
      </c>
      <c r="B757" s="2" t="s">
        <v>2967</v>
      </c>
      <c r="C757" s="2" t="s">
        <v>423</v>
      </c>
      <c r="D757" s="2" t="s">
        <v>2</v>
      </c>
      <c r="E757" s="2">
        <v>2.25</v>
      </c>
      <c r="F757" s="2">
        <v>1</v>
      </c>
      <c r="G757" s="2">
        <v>1</v>
      </c>
      <c r="H757" s="2">
        <v>1000</v>
      </c>
      <c r="I757" s="2">
        <v>70</v>
      </c>
      <c r="J757" s="2" t="s">
        <v>1779</v>
      </c>
      <c r="K757" s="2">
        <v>29</v>
      </c>
      <c r="L757" s="2">
        <v>10</v>
      </c>
      <c r="M757" s="2">
        <v>5</v>
      </c>
      <c r="N757" s="2">
        <v>4</v>
      </c>
      <c r="O757" s="2">
        <v>5</v>
      </c>
      <c r="P757" s="2">
        <v>5</v>
      </c>
      <c r="Q757" s="2" t="s">
        <v>2968</v>
      </c>
      <c r="R757" s="2" t="s">
        <v>2969</v>
      </c>
      <c r="S757" s="4">
        <v>44837</v>
      </c>
    </row>
    <row r="758" spans="1:19" ht="12.5" x14ac:dyDescent="0.25">
      <c r="A758" s="14" t="str">
        <f>HYPERLINK("https://gerandofalcoes.my.salesforce.com/0014X00002YggoLQAR", "0014X00002YggoLQAR")</f>
        <v>0014X00002YggoLQAR</v>
      </c>
      <c r="B758" s="2" t="s">
        <v>4141</v>
      </c>
      <c r="C758" s="2" t="s">
        <v>423</v>
      </c>
      <c r="D758" s="2" t="s">
        <v>2</v>
      </c>
      <c r="E758" s="2">
        <v>2.25</v>
      </c>
      <c r="F758" s="2">
        <v>0</v>
      </c>
      <c r="G758" s="2">
        <v>2</v>
      </c>
      <c r="H758" s="2">
        <v>1000</v>
      </c>
      <c r="I758" s="2">
        <v>60</v>
      </c>
      <c r="J758" s="2"/>
      <c r="K758" s="2">
        <v>26</v>
      </c>
      <c r="L758" s="2">
        <v>10</v>
      </c>
      <c r="M758" s="2">
        <v>0</v>
      </c>
      <c r="N758" s="2">
        <v>6</v>
      </c>
      <c r="O758" s="2">
        <v>5</v>
      </c>
      <c r="P758" s="2">
        <v>5</v>
      </c>
      <c r="Q758" s="2" t="s">
        <v>4142</v>
      </c>
      <c r="R758" s="2" t="s">
        <v>4142</v>
      </c>
      <c r="S758" s="4">
        <v>45169</v>
      </c>
    </row>
    <row r="759" spans="1:19" ht="12.5" x14ac:dyDescent="0.25">
      <c r="A759" s="14" t="str">
        <f>HYPERLINK("https://gerandofalcoes.my.salesforce.com/0014X00002VKCrxQAH", "0014X00002VKCrxQAH")</f>
        <v>0014X00002VKCrxQAH</v>
      </c>
      <c r="B759" s="2" t="s">
        <v>2970</v>
      </c>
      <c r="C759" s="2" t="s">
        <v>423</v>
      </c>
      <c r="D759" s="2" t="s">
        <v>2</v>
      </c>
      <c r="E759" s="2">
        <v>2.25</v>
      </c>
      <c r="F759" s="2">
        <v>0</v>
      </c>
      <c r="G759" s="2">
        <v>0</v>
      </c>
      <c r="H759" s="2">
        <v>0</v>
      </c>
      <c r="I759" s="2">
        <v>60</v>
      </c>
      <c r="J759" s="2" t="s">
        <v>1779</v>
      </c>
      <c r="K759" s="2">
        <v>15</v>
      </c>
      <c r="L759" s="2">
        <v>10</v>
      </c>
      <c r="M759" s="2">
        <v>0</v>
      </c>
      <c r="N759" s="2">
        <v>0</v>
      </c>
      <c r="O759" s="2">
        <v>0</v>
      </c>
      <c r="P759" s="2">
        <v>5</v>
      </c>
      <c r="Q759" s="2" t="s">
        <v>2971</v>
      </c>
      <c r="R759" s="2" t="s">
        <v>2972</v>
      </c>
      <c r="S759" s="4">
        <v>44837</v>
      </c>
    </row>
    <row r="760" spans="1:19" ht="12.5" x14ac:dyDescent="0.25">
      <c r="A760" s="14" t="str">
        <f>HYPERLINK("https://gerandofalcoes.my.salesforce.com/0014X00002YggoXQAR", "0014X00002YggoXQAR")</f>
        <v>0014X00002YggoXQAR</v>
      </c>
      <c r="B760" s="2" t="s">
        <v>3195</v>
      </c>
      <c r="C760" s="2" t="s">
        <v>423</v>
      </c>
      <c r="D760" s="2" t="s">
        <v>2</v>
      </c>
      <c r="E760" s="2">
        <v>2.2200000000000002</v>
      </c>
      <c r="F760" s="2">
        <v>10</v>
      </c>
      <c r="G760" s="2">
        <v>2</v>
      </c>
      <c r="H760" s="2">
        <v>8000</v>
      </c>
      <c r="I760" s="2">
        <v>60</v>
      </c>
      <c r="J760" s="2" t="s">
        <v>1779</v>
      </c>
      <c r="K760" s="2">
        <v>36</v>
      </c>
      <c r="L760" s="2">
        <v>10</v>
      </c>
      <c r="M760" s="2">
        <v>10</v>
      </c>
      <c r="N760" s="2">
        <v>6</v>
      </c>
      <c r="O760" s="2">
        <v>5</v>
      </c>
      <c r="P760" s="2">
        <v>5</v>
      </c>
      <c r="Q760" s="2" t="s">
        <v>3196</v>
      </c>
      <c r="R760" s="2" t="s">
        <v>3197</v>
      </c>
      <c r="S760" s="4">
        <v>44951</v>
      </c>
    </row>
    <row r="761" spans="1:19" ht="12.5" x14ac:dyDescent="0.25">
      <c r="A761" s="14" t="str">
        <f>HYPERLINK("https://gerandofalcoes.my.salesforce.com/0014X00002YggpeQAB", "0014X00002YggpeQAB")</f>
        <v>0014X00002YggpeQAB</v>
      </c>
      <c r="B761" s="2" t="s">
        <v>3670</v>
      </c>
      <c r="C761" s="2" t="s">
        <v>423</v>
      </c>
      <c r="D761" s="2" t="s">
        <v>2</v>
      </c>
      <c r="E761" s="2">
        <v>2.14</v>
      </c>
      <c r="F761" s="2">
        <v>0</v>
      </c>
      <c r="G761" s="2">
        <v>4</v>
      </c>
      <c r="H761" s="2">
        <v>32100</v>
      </c>
      <c r="I761" s="2">
        <v>0</v>
      </c>
      <c r="J761" s="2" t="s">
        <v>1779</v>
      </c>
      <c r="K761" s="2">
        <v>30</v>
      </c>
      <c r="L761" s="2">
        <v>10</v>
      </c>
      <c r="M761" s="2">
        <v>0</v>
      </c>
      <c r="N761" s="2">
        <v>10</v>
      </c>
      <c r="O761" s="2">
        <v>10</v>
      </c>
      <c r="P761" s="2">
        <v>0</v>
      </c>
      <c r="Q761" s="2" t="s">
        <v>3671</v>
      </c>
      <c r="R761" s="2" t="s">
        <v>7149</v>
      </c>
      <c r="S761" s="4">
        <v>44964</v>
      </c>
    </row>
    <row r="762" spans="1:19" ht="12.5" x14ac:dyDescent="0.25">
      <c r="A762" s="14" t="str">
        <f>HYPERLINK("https://gerandofalcoes.my.salesforce.com/0014X00002YgghlQAB", "0014X00002YgghlQAB")</f>
        <v>0014X00002YgghlQAB</v>
      </c>
      <c r="B762" s="2" t="s">
        <v>3458</v>
      </c>
      <c r="C762" s="2" t="s">
        <v>423</v>
      </c>
      <c r="D762" s="2" t="s">
        <v>2</v>
      </c>
      <c r="E762" s="2">
        <v>2.13</v>
      </c>
      <c r="F762" s="2">
        <v>4</v>
      </c>
      <c r="G762" s="2">
        <v>5</v>
      </c>
      <c r="H762" s="2">
        <v>4000</v>
      </c>
      <c r="I762" s="2">
        <v>0</v>
      </c>
      <c r="J762" s="2" t="s">
        <v>1779</v>
      </c>
      <c r="K762" s="2">
        <v>30</v>
      </c>
      <c r="L762" s="2">
        <v>10</v>
      </c>
      <c r="M762" s="2">
        <v>5</v>
      </c>
      <c r="N762" s="2">
        <v>10</v>
      </c>
      <c r="O762" s="2">
        <v>5</v>
      </c>
      <c r="P762" s="2">
        <v>0</v>
      </c>
      <c r="Q762" s="2" t="s">
        <v>3459</v>
      </c>
      <c r="R762" s="2" t="s">
        <v>3460</v>
      </c>
      <c r="S762" s="4">
        <v>44958</v>
      </c>
    </row>
    <row r="763" spans="1:19" ht="12.5" x14ac:dyDescent="0.25">
      <c r="A763" s="14" t="str">
        <f>HYPERLINK("https://gerandofalcoes.my.salesforce.com/0014X00002YggmRQAR", "0014X00002YggmRQAR")</f>
        <v>0014X00002YggmRQAR</v>
      </c>
      <c r="B763" s="2" t="s">
        <v>3198</v>
      </c>
      <c r="C763" s="2" t="s">
        <v>423</v>
      </c>
      <c r="D763" s="2" t="s">
        <v>2</v>
      </c>
      <c r="E763" s="2">
        <v>2.1</v>
      </c>
      <c r="F763" s="2">
        <v>0</v>
      </c>
      <c r="G763" s="2">
        <v>2</v>
      </c>
      <c r="H763" s="2">
        <v>5000</v>
      </c>
      <c r="I763" s="2">
        <v>20</v>
      </c>
      <c r="J763" s="2" t="s">
        <v>1779</v>
      </c>
      <c r="K763" s="2">
        <v>26</v>
      </c>
      <c r="L763" s="2">
        <v>10</v>
      </c>
      <c r="M763" s="2">
        <v>0</v>
      </c>
      <c r="N763" s="2">
        <v>6</v>
      </c>
      <c r="O763" s="2">
        <v>5</v>
      </c>
      <c r="P763" s="2">
        <v>5</v>
      </c>
      <c r="Q763" s="2" t="s">
        <v>3199</v>
      </c>
      <c r="R763" s="2" t="s">
        <v>3199</v>
      </c>
      <c r="S763" s="4">
        <v>44951</v>
      </c>
    </row>
    <row r="764" spans="1:19" ht="12.5" x14ac:dyDescent="0.25">
      <c r="A764" s="14" t="str">
        <f>HYPERLINK("https://gerandofalcoes.my.salesforce.com/0014X00002VKCrVQAX", "0014X00002VKCrVQAX")</f>
        <v>0014X00002VKCrVQAX</v>
      </c>
      <c r="B764" s="2" t="s">
        <v>2973</v>
      </c>
      <c r="C764" s="2" t="s">
        <v>423</v>
      </c>
      <c r="D764" s="2" t="s">
        <v>2</v>
      </c>
      <c r="E764" s="2">
        <v>2.08</v>
      </c>
      <c r="F764" s="2">
        <v>0</v>
      </c>
      <c r="G764" s="2">
        <v>0</v>
      </c>
      <c r="H764" s="2">
        <v>0</v>
      </c>
      <c r="I764" s="2">
        <v>0</v>
      </c>
      <c r="J764" s="2" t="s">
        <v>1779</v>
      </c>
      <c r="K764" s="2">
        <v>10</v>
      </c>
      <c r="L764" s="2">
        <v>10</v>
      </c>
      <c r="M764" s="2">
        <v>0</v>
      </c>
      <c r="N764" s="2">
        <v>0</v>
      </c>
      <c r="O764" s="2">
        <v>0</v>
      </c>
      <c r="P764" s="2">
        <v>0</v>
      </c>
      <c r="Q764" s="2" t="s">
        <v>2974</v>
      </c>
      <c r="R764" s="2" t="s">
        <v>2975</v>
      </c>
      <c r="S764" s="4">
        <v>44837</v>
      </c>
    </row>
    <row r="765" spans="1:19" ht="12.5" x14ac:dyDescent="0.25">
      <c r="A765" s="14" t="str">
        <f>HYPERLINK("https://gerandofalcoes.my.salesforce.com/0014X00002YggmOQAR", "0014X00002YggmOQAR")</f>
        <v>0014X00002YggmOQAR</v>
      </c>
      <c r="B765" s="2" t="s">
        <v>3818</v>
      </c>
      <c r="C765" s="2" t="s">
        <v>423</v>
      </c>
      <c r="D765" s="2" t="s">
        <v>2</v>
      </c>
      <c r="E765" s="2">
        <v>1.83</v>
      </c>
      <c r="F765" s="2">
        <v>4</v>
      </c>
      <c r="G765" s="2">
        <v>200</v>
      </c>
      <c r="H765" s="2">
        <v>3000</v>
      </c>
      <c r="I765" s="2">
        <v>200</v>
      </c>
      <c r="J765" s="2" t="s">
        <v>1671</v>
      </c>
      <c r="K765" s="2">
        <v>42</v>
      </c>
      <c r="L765" s="2">
        <v>10</v>
      </c>
      <c r="M765" s="2">
        <v>5</v>
      </c>
      <c r="N765" s="2">
        <v>10</v>
      </c>
      <c r="O765" s="2">
        <v>5</v>
      </c>
      <c r="P765" s="2">
        <v>12</v>
      </c>
      <c r="Q765" s="2" t="s">
        <v>3819</v>
      </c>
      <c r="R765" s="2" t="s">
        <v>3820</v>
      </c>
      <c r="S765" s="4">
        <v>44992</v>
      </c>
    </row>
    <row r="766" spans="1:19" ht="12.5" x14ac:dyDescent="0.25">
      <c r="A766" s="14" t="str">
        <f>HYPERLINK("https://gerandofalcoes.my.salesforce.com/0014X00002YggpqQAB", "0014X00002YggpqQAB")</f>
        <v>0014X00002YggpqQAB</v>
      </c>
      <c r="B766" s="2" t="s">
        <v>3623</v>
      </c>
      <c r="C766" s="2" t="s">
        <v>423</v>
      </c>
      <c r="D766" s="2" t="s">
        <v>2</v>
      </c>
      <c r="E766" s="2">
        <v>1.67</v>
      </c>
      <c r="F766" s="2">
        <v>0</v>
      </c>
      <c r="G766" s="2">
        <v>4</v>
      </c>
      <c r="H766" s="2">
        <v>0</v>
      </c>
      <c r="I766" s="2">
        <v>300</v>
      </c>
      <c r="J766" s="2" t="s">
        <v>1779</v>
      </c>
      <c r="K766" s="2">
        <v>35</v>
      </c>
      <c r="L766" s="2">
        <v>10</v>
      </c>
      <c r="M766" s="2">
        <v>0</v>
      </c>
      <c r="N766" s="2">
        <v>10</v>
      </c>
      <c r="O766" s="2">
        <v>0</v>
      </c>
      <c r="P766" s="2">
        <v>15</v>
      </c>
      <c r="Q766" s="2" t="s">
        <v>3624</v>
      </c>
      <c r="R766" s="2" t="s">
        <v>3625</v>
      </c>
      <c r="S766" s="4">
        <v>44963</v>
      </c>
    </row>
    <row r="767" spans="1:19" ht="12.5" x14ac:dyDescent="0.25">
      <c r="A767" s="14" t="str">
        <f>HYPERLINK("https://gerandofalcoes.my.salesforce.com/0014X00002YggkQQAR", "0014X00002YggkQQAR")</f>
        <v>0014X00002YggkQQAR</v>
      </c>
      <c r="B767" s="2" t="s">
        <v>3461</v>
      </c>
      <c r="C767" s="2" t="s">
        <v>423</v>
      </c>
      <c r="D767" s="2" t="s">
        <v>2</v>
      </c>
      <c r="E767" s="2">
        <v>1.67</v>
      </c>
      <c r="F767" s="2">
        <v>5</v>
      </c>
      <c r="G767" s="2">
        <v>5</v>
      </c>
      <c r="H767" s="2">
        <v>3000</v>
      </c>
      <c r="I767" s="2">
        <v>250</v>
      </c>
      <c r="J767" s="2" t="s">
        <v>1671</v>
      </c>
      <c r="K767" s="2">
        <v>42</v>
      </c>
      <c r="L767" s="2">
        <v>10</v>
      </c>
      <c r="M767" s="2">
        <v>5</v>
      </c>
      <c r="N767" s="2">
        <v>10</v>
      </c>
      <c r="O767" s="2">
        <v>5</v>
      </c>
      <c r="P767" s="2">
        <v>12</v>
      </c>
      <c r="Q767" s="2" t="s">
        <v>3462</v>
      </c>
      <c r="R767" s="2" t="s">
        <v>3463</v>
      </c>
      <c r="S767" s="4">
        <v>44958</v>
      </c>
    </row>
    <row r="768" spans="1:19" ht="12.5" x14ac:dyDescent="0.25">
      <c r="A768" s="14" t="str">
        <f>HYPERLINK("https://gerandofalcoes.my.salesforce.com/0014X00002YggpvQAB", "0014X00002YggpvQAB")</f>
        <v>0014X00002YggpvQAB</v>
      </c>
      <c r="B768" s="2" t="s">
        <v>3729</v>
      </c>
      <c r="C768" s="2" t="s">
        <v>423</v>
      </c>
      <c r="D768" s="2" t="s">
        <v>2</v>
      </c>
      <c r="E768" s="2">
        <v>1.67</v>
      </c>
      <c r="F768" s="2">
        <v>12</v>
      </c>
      <c r="G768" s="2">
        <v>3</v>
      </c>
      <c r="H768" s="2">
        <v>50000</v>
      </c>
      <c r="I768" s="2">
        <v>200</v>
      </c>
      <c r="J768" s="2" t="s">
        <v>1671</v>
      </c>
      <c r="K768" s="2">
        <v>52</v>
      </c>
      <c r="L768" s="2">
        <v>10</v>
      </c>
      <c r="M768" s="2">
        <v>12</v>
      </c>
      <c r="N768" s="2">
        <v>8</v>
      </c>
      <c r="O768" s="2">
        <v>10</v>
      </c>
      <c r="P768" s="2">
        <v>12</v>
      </c>
      <c r="Q768" s="2" t="s">
        <v>3730</v>
      </c>
      <c r="R768" s="2" t="s">
        <v>3730</v>
      </c>
      <c r="S768" s="4">
        <v>44967</v>
      </c>
    </row>
    <row r="769" spans="1:19" ht="12.5" x14ac:dyDescent="0.25">
      <c r="A769" s="14" t="str">
        <f>HYPERLINK("https://gerandofalcoes.my.salesforce.com/0014X00002YggkiQAB", "0014X00002YggkiQAB")</f>
        <v>0014X00002YggkiQAB</v>
      </c>
      <c r="B769" s="2" t="s">
        <v>3067</v>
      </c>
      <c r="C769" s="2" t="s">
        <v>423</v>
      </c>
      <c r="D769" s="2" t="s">
        <v>2</v>
      </c>
      <c r="E769" s="2">
        <v>1.67</v>
      </c>
      <c r="F769" s="2">
        <v>0</v>
      </c>
      <c r="G769" s="2">
        <v>2</v>
      </c>
      <c r="H769" s="2">
        <v>0</v>
      </c>
      <c r="I769" s="2">
        <v>80</v>
      </c>
      <c r="J769" s="2" t="s">
        <v>1779</v>
      </c>
      <c r="K769" s="2">
        <v>26</v>
      </c>
      <c r="L769" s="2">
        <v>10</v>
      </c>
      <c r="M769" s="2">
        <v>0</v>
      </c>
      <c r="N769" s="2">
        <v>6</v>
      </c>
      <c r="O769" s="2">
        <v>0</v>
      </c>
      <c r="P769" s="2">
        <v>10</v>
      </c>
      <c r="Q769" s="2" t="s">
        <v>3068</v>
      </c>
      <c r="R769" s="2" t="s">
        <v>3068</v>
      </c>
      <c r="S769" s="4">
        <v>44946</v>
      </c>
    </row>
    <row r="770" spans="1:19" ht="12.5" x14ac:dyDescent="0.25">
      <c r="A770" s="14" t="str">
        <f>HYPERLINK("https://gerandofalcoes.my.salesforce.com/0014X00002YggmuQAB", "0014X00002YggmuQAB")</f>
        <v>0014X00002YggmuQAB</v>
      </c>
      <c r="B770" s="2" t="s">
        <v>3464</v>
      </c>
      <c r="C770" s="2" t="s">
        <v>423</v>
      </c>
      <c r="D770" s="2" t="s">
        <v>2</v>
      </c>
      <c r="E770" s="2">
        <v>1.67</v>
      </c>
      <c r="F770" s="2">
        <v>0</v>
      </c>
      <c r="G770" s="2">
        <v>3</v>
      </c>
      <c r="H770" s="2">
        <v>11000</v>
      </c>
      <c r="I770" s="2">
        <v>67</v>
      </c>
      <c r="J770" s="2" t="s">
        <v>1779</v>
      </c>
      <c r="K770" s="2">
        <v>28</v>
      </c>
      <c r="L770" s="2">
        <v>10</v>
      </c>
      <c r="M770" s="2">
        <v>0</v>
      </c>
      <c r="N770" s="2">
        <v>8</v>
      </c>
      <c r="O770" s="2">
        <v>5</v>
      </c>
      <c r="P770" s="2">
        <v>5</v>
      </c>
      <c r="Q770" s="2" t="s">
        <v>3465</v>
      </c>
      <c r="R770" s="2" t="s">
        <v>3466</v>
      </c>
      <c r="S770" s="4">
        <v>44958</v>
      </c>
    </row>
    <row r="771" spans="1:19" ht="12.5" x14ac:dyDescent="0.25">
      <c r="A771" s="14" t="str">
        <f>HYPERLINK("https://gerandofalcoes.my.salesforce.com/0014X00002YggiXQAR", "0014X00002YggiXQAR")</f>
        <v>0014X00002YggiXQAR</v>
      </c>
      <c r="B771" s="2" t="s">
        <v>3114</v>
      </c>
      <c r="C771" s="2" t="s">
        <v>423</v>
      </c>
      <c r="D771" s="2" t="s">
        <v>2</v>
      </c>
      <c r="E771" s="2">
        <v>1.67</v>
      </c>
      <c r="F771" s="2">
        <v>1</v>
      </c>
      <c r="G771" s="2">
        <v>3</v>
      </c>
      <c r="H771" s="2">
        <v>24000</v>
      </c>
      <c r="I771" s="2">
        <v>64</v>
      </c>
      <c r="J771" s="2" t="s">
        <v>1779</v>
      </c>
      <c r="K771" s="2">
        <v>33</v>
      </c>
      <c r="L771" s="2">
        <v>10</v>
      </c>
      <c r="M771" s="2">
        <v>5</v>
      </c>
      <c r="N771" s="2">
        <v>8</v>
      </c>
      <c r="O771" s="2">
        <v>5</v>
      </c>
      <c r="P771" s="2">
        <v>5</v>
      </c>
      <c r="Q771" s="2" t="s">
        <v>3115</v>
      </c>
      <c r="R771" s="2" t="s">
        <v>3116</v>
      </c>
      <c r="S771" s="4">
        <v>44949</v>
      </c>
    </row>
    <row r="772" spans="1:19" ht="12.5" x14ac:dyDescent="0.25">
      <c r="A772" s="14" t="str">
        <f>HYPERLINK("https://gerandofalcoes.my.salesforce.com/0014X00002YgglLQAR", "0014X00002YgglLQAR")</f>
        <v>0014X00002YgglLQAR</v>
      </c>
      <c r="B772" s="2" t="s">
        <v>3547</v>
      </c>
      <c r="C772" s="2" t="s">
        <v>423</v>
      </c>
      <c r="D772" s="2" t="s">
        <v>2</v>
      </c>
      <c r="E772" s="2">
        <v>1.67</v>
      </c>
      <c r="F772" s="2">
        <v>7</v>
      </c>
      <c r="G772" s="2">
        <v>2</v>
      </c>
      <c r="H772" s="2">
        <v>1800</v>
      </c>
      <c r="I772" s="2">
        <v>48</v>
      </c>
      <c r="J772" s="2" t="s">
        <v>1779</v>
      </c>
      <c r="K772" s="2">
        <v>36</v>
      </c>
      <c r="L772" s="2">
        <v>10</v>
      </c>
      <c r="M772" s="2">
        <v>10</v>
      </c>
      <c r="N772" s="2">
        <v>6</v>
      </c>
      <c r="O772" s="2">
        <v>5</v>
      </c>
      <c r="P772" s="2">
        <v>5</v>
      </c>
      <c r="Q772" s="2" t="s">
        <v>3548</v>
      </c>
      <c r="R772" s="2" t="s">
        <v>3548</v>
      </c>
      <c r="S772" s="4">
        <v>44959</v>
      </c>
    </row>
    <row r="773" spans="1:19" ht="12.5" x14ac:dyDescent="0.25">
      <c r="A773" s="14" t="str">
        <f>HYPERLINK("https://gerandofalcoes.my.salesforce.com/0014X00002YggnIQAR", "0014X00002YggnIQAR")</f>
        <v>0014X00002YggnIQAR</v>
      </c>
      <c r="B773" s="2" t="s">
        <v>3789</v>
      </c>
      <c r="C773" s="2" t="s">
        <v>423</v>
      </c>
      <c r="D773" s="2" t="s">
        <v>2</v>
      </c>
      <c r="E773" s="2">
        <v>1.67</v>
      </c>
      <c r="F773" s="2">
        <v>0</v>
      </c>
      <c r="G773" s="2">
        <v>2</v>
      </c>
      <c r="H773" s="2">
        <v>1000</v>
      </c>
      <c r="I773" s="2">
        <v>20</v>
      </c>
      <c r="J773" s="2" t="s">
        <v>1779</v>
      </c>
      <c r="K773" s="2">
        <v>26</v>
      </c>
      <c r="L773" s="2">
        <v>10</v>
      </c>
      <c r="M773" s="2">
        <v>0</v>
      </c>
      <c r="N773" s="2">
        <v>6</v>
      </c>
      <c r="O773" s="2">
        <v>5</v>
      </c>
      <c r="P773" s="2">
        <v>5</v>
      </c>
      <c r="Q773" s="2" t="s">
        <v>3790</v>
      </c>
      <c r="R773" s="2" t="s">
        <v>3791</v>
      </c>
      <c r="S773" s="4">
        <v>44968</v>
      </c>
    </row>
    <row r="774" spans="1:19" ht="12.5" x14ac:dyDescent="0.25">
      <c r="A774" s="14" t="str">
        <f>HYPERLINK("https://gerandofalcoes.my.salesforce.com/0014X00002YgbkpQAB", "0014X00002YgbkpQAB")</f>
        <v>0014X00002YgbkpQAB</v>
      </c>
      <c r="B774" s="2" t="s">
        <v>3200</v>
      </c>
      <c r="C774" s="2" t="s">
        <v>423</v>
      </c>
      <c r="D774" s="2" t="s">
        <v>2</v>
      </c>
      <c r="E774" s="2">
        <v>1.67</v>
      </c>
      <c r="F774" s="2">
        <v>0</v>
      </c>
      <c r="G774" s="2">
        <v>0</v>
      </c>
      <c r="H774" s="2">
        <v>0</v>
      </c>
      <c r="I774" s="2">
        <v>0</v>
      </c>
      <c r="J774" s="2" t="s">
        <v>1779</v>
      </c>
      <c r="K774" s="2">
        <v>10</v>
      </c>
      <c r="L774" s="2">
        <v>10</v>
      </c>
      <c r="M774" s="2">
        <v>0</v>
      </c>
      <c r="N774" s="2">
        <v>0</v>
      </c>
      <c r="O774" s="2">
        <v>0</v>
      </c>
      <c r="P774" s="2">
        <v>0</v>
      </c>
      <c r="Q774" s="2" t="s">
        <v>3201</v>
      </c>
      <c r="R774" s="2" t="s">
        <v>3201</v>
      </c>
      <c r="S774" s="4">
        <v>44951</v>
      </c>
    </row>
    <row r="775" spans="1:19" ht="12.5" x14ac:dyDescent="0.25">
      <c r="A775" s="14" t="str">
        <f>HYPERLINK("https://gerandofalcoes.my.salesforce.com/0014X00002YgbkRQAR", "0014X00002YgbkRQAR")</f>
        <v>0014X00002YgbkRQAR</v>
      </c>
      <c r="B775" s="2" t="s">
        <v>3852</v>
      </c>
      <c r="C775" s="2" t="s">
        <v>423</v>
      </c>
      <c r="D775" s="2" t="s">
        <v>2</v>
      </c>
      <c r="E775" s="2">
        <v>1.67</v>
      </c>
      <c r="F775" s="2">
        <v>0</v>
      </c>
      <c r="G775" s="2">
        <v>0</v>
      </c>
      <c r="H775" s="2">
        <v>0</v>
      </c>
      <c r="I775" s="2">
        <v>0</v>
      </c>
      <c r="J775" s="2" t="s">
        <v>1779</v>
      </c>
      <c r="K775" s="2">
        <v>10</v>
      </c>
      <c r="L775" s="2">
        <v>10</v>
      </c>
      <c r="M775" s="2">
        <v>0</v>
      </c>
      <c r="N775" s="2">
        <v>0</v>
      </c>
      <c r="O775" s="2">
        <v>0</v>
      </c>
      <c r="P775" s="2">
        <v>0</v>
      </c>
      <c r="Q775" s="2" t="s">
        <v>3853</v>
      </c>
      <c r="R775" s="2" t="s">
        <v>3854</v>
      </c>
      <c r="S775" s="4">
        <v>45112</v>
      </c>
    </row>
    <row r="776" spans="1:19" ht="12.5" x14ac:dyDescent="0.25">
      <c r="A776" s="14" t="str">
        <f>HYPERLINK("https://gerandofalcoes.my.salesforce.com/0014X00002YggqdQAB", "0014X00002YggqdQAB")</f>
        <v>0014X00002YggqdQAB</v>
      </c>
      <c r="B776" s="2" t="s">
        <v>3117</v>
      </c>
      <c r="C776" s="2" t="s">
        <v>423</v>
      </c>
      <c r="D776" s="2" t="s">
        <v>2</v>
      </c>
      <c r="E776" s="2">
        <v>1.67</v>
      </c>
      <c r="F776" s="2">
        <v>1</v>
      </c>
      <c r="G776" s="2">
        <v>3</v>
      </c>
      <c r="H776" s="2">
        <v>1000</v>
      </c>
      <c r="I776" s="2">
        <v>0</v>
      </c>
      <c r="J776" s="2" t="s">
        <v>1779</v>
      </c>
      <c r="K776" s="2">
        <v>28</v>
      </c>
      <c r="L776" s="2">
        <v>10</v>
      </c>
      <c r="M776" s="2">
        <v>5</v>
      </c>
      <c r="N776" s="2">
        <v>8</v>
      </c>
      <c r="O776" s="2">
        <v>5</v>
      </c>
      <c r="P776" s="2">
        <v>0</v>
      </c>
      <c r="Q776" s="2" t="s">
        <v>3118</v>
      </c>
      <c r="R776" s="2" t="s">
        <v>3119</v>
      </c>
      <c r="S776" s="4">
        <v>44949</v>
      </c>
    </row>
    <row r="777" spans="1:19" ht="12.5" x14ac:dyDescent="0.25">
      <c r="A777" s="14" t="str">
        <f>HYPERLINK("https://gerandofalcoes.my.salesforce.com/0014X00002Yggl6QAB", "0014X00002Yggl6QAB")</f>
        <v>0014X00002Yggl6QAB</v>
      </c>
      <c r="B777" s="2" t="s">
        <v>4148</v>
      </c>
      <c r="C777" s="2" t="s">
        <v>423</v>
      </c>
      <c r="D777" s="2" t="s">
        <v>2</v>
      </c>
      <c r="E777" s="2">
        <v>1.43</v>
      </c>
      <c r="F777" s="2">
        <v>0</v>
      </c>
      <c r="G777" s="2">
        <v>2</v>
      </c>
      <c r="H777" s="2">
        <v>80000</v>
      </c>
      <c r="I777" s="2">
        <v>100</v>
      </c>
      <c r="J777" s="2"/>
      <c r="K777" s="2">
        <v>36</v>
      </c>
      <c r="L777" s="2">
        <v>10</v>
      </c>
      <c r="M777" s="2">
        <v>0</v>
      </c>
      <c r="N777" s="2">
        <v>6</v>
      </c>
      <c r="O777" s="2">
        <v>10</v>
      </c>
      <c r="P777" s="2">
        <v>10</v>
      </c>
      <c r="Q777" s="2" t="s">
        <v>4149</v>
      </c>
      <c r="R777" s="2" t="s">
        <v>4149</v>
      </c>
      <c r="S777" s="4">
        <v>45169</v>
      </c>
    </row>
    <row r="778" spans="1:19" ht="12.5" x14ac:dyDescent="0.25">
      <c r="A778" s="14" t="str">
        <f>HYPERLINK("https://gerandofalcoes.my.salesforce.com/0014X00002YggqkQAB", "0014X00002YggqkQAB")</f>
        <v>0014X00002YggqkQAB</v>
      </c>
      <c r="B778" s="2" t="s">
        <v>4150</v>
      </c>
      <c r="C778" s="2" t="s">
        <v>423</v>
      </c>
      <c r="D778" s="2" t="s">
        <v>2</v>
      </c>
      <c r="E778" s="2">
        <v>1.43</v>
      </c>
      <c r="F778" s="2">
        <v>2</v>
      </c>
      <c r="G778" s="2">
        <v>2</v>
      </c>
      <c r="H778" s="2">
        <v>1500</v>
      </c>
      <c r="I778" s="2">
        <v>50</v>
      </c>
      <c r="J778" s="2"/>
      <c r="K778" s="2">
        <v>31</v>
      </c>
      <c r="L778" s="2">
        <v>10</v>
      </c>
      <c r="M778" s="2">
        <v>5</v>
      </c>
      <c r="N778" s="2">
        <v>6</v>
      </c>
      <c r="O778" s="2">
        <v>5</v>
      </c>
      <c r="P778" s="2">
        <v>5</v>
      </c>
      <c r="Q778" s="2" t="s">
        <v>4151</v>
      </c>
      <c r="R778" s="2" t="s">
        <v>4151</v>
      </c>
      <c r="S778" s="4">
        <v>45169</v>
      </c>
    </row>
    <row r="779" spans="1:19" ht="12.5" x14ac:dyDescent="0.25">
      <c r="A779" s="14" t="str">
        <f>HYPERLINK("https://gerandofalcoes.my.salesforce.com/0014X00002YggpCQAR", "0014X00002YggpCQAR")</f>
        <v>0014X00002YggpCQAR</v>
      </c>
      <c r="B779" s="2" t="s">
        <v>3120</v>
      </c>
      <c r="C779" s="2" t="s">
        <v>423</v>
      </c>
      <c r="D779" s="2" t="s">
        <v>2</v>
      </c>
      <c r="E779" s="2">
        <v>1.3</v>
      </c>
      <c r="F779" s="2">
        <v>0</v>
      </c>
      <c r="G779" s="2">
        <v>10</v>
      </c>
      <c r="H779" s="2">
        <v>1100</v>
      </c>
      <c r="I779" s="2">
        <v>0</v>
      </c>
      <c r="J779" s="2" t="s">
        <v>1779</v>
      </c>
      <c r="K779" s="2">
        <v>25</v>
      </c>
      <c r="L779" s="2">
        <v>10</v>
      </c>
      <c r="M779" s="2">
        <v>0</v>
      </c>
      <c r="N779" s="2">
        <v>10</v>
      </c>
      <c r="O779" s="2">
        <v>5</v>
      </c>
      <c r="P779" s="2">
        <v>0</v>
      </c>
      <c r="Q779" s="2" t="s">
        <v>3121</v>
      </c>
      <c r="R779" s="2" t="s">
        <v>3121</v>
      </c>
      <c r="S779" s="4">
        <v>44949</v>
      </c>
    </row>
    <row r="780" spans="1:19" ht="12.5" x14ac:dyDescent="0.25">
      <c r="A780" s="14" t="str">
        <f>HYPERLINK("https://gerandofalcoes.my.salesforce.com/0014X00002YggkHQAR", "0014X00002YggkHQAR")</f>
        <v>0014X00002YggkHQAR</v>
      </c>
      <c r="B780" s="2" t="s">
        <v>3467</v>
      </c>
      <c r="C780" s="2" t="s">
        <v>423</v>
      </c>
      <c r="D780" s="2" t="s">
        <v>2</v>
      </c>
      <c r="E780" s="2">
        <v>1.18</v>
      </c>
      <c r="F780" s="2">
        <v>0</v>
      </c>
      <c r="G780" s="2">
        <v>5</v>
      </c>
      <c r="H780" s="2">
        <v>8000</v>
      </c>
      <c r="I780" s="2">
        <v>0</v>
      </c>
      <c r="J780" s="2" t="s">
        <v>1779</v>
      </c>
      <c r="K780" s="2">
        <v>25</v>
      </c>
      <c r="L780" s="2">
        <v>10</v>
      </c>
      <c r="M780" s="2">
        <v>0</v>
      </c>
      <c r="N780" s="2">
        <v>10</v>
      </c>
      <c r="O780" s="2">
        <v>5</v>
      </c>
      <c r="P780" s="2">
        <v>0</v>
      </c>
      <c r="Q780" s="2" t="s">
        <v>3468</v>
      </c>
      <c r="R780" s="2" t="s">
        <v>3469</v>
      </c>
      <c r="S780" s="4">
        <v>44958</v>
      </c>
    </row>
    <row r="781" spans="1:19" ht="12.5" x14ac:dyDescent="0.25">
      <c r="A781" s="14" t="str">
        <f>HYPERLINK("https://gerandofalcoes.my.salesforce.com/0014X00002YgglgQAB", "0014X00002YgglgQAB")</f>
        <v>0014X00002YgglgQAB</v>
      </c>
      <c r="B781" s="2" t="s">
        <v>4152</v>
      </c>
      <c r="C781" s="2" t="s">
        <v>423</v>
      </c>
      <c r="D781" s="2" t="s">
        <v>2</v>
      </c>
      <c r="E781" s="2">
        <v>1.1499999999999999</v>
      </c>
      <c r="F781" s="2">
        <v>0</v>
      </c>
      <c r="G781" s="2">
        <v>2</v>
      </c>
      <c r="H781" s="2">
        <v>0</v>
      </c>
      <c r="I781" s="2">
        <v>0</v>
      </c>
      <c r="J781" s="2"/>
      <c r="K781" s="2">
        <v>16</v>
      </c>
      <c r="L781" s="2">
        <v>10</v>
      </c>
      <c r="M781" s="2">
        <v>0</v>
      </c>
      <c r="N781" s="2">
        <v>6</v>
      </c>
      <c r="O781" s="2">
        <v>0</v>
      </c>
      <c r="P781" s="2">
        <v>0</v>
      </c>
      <c r="Q781" s="2" t="s">
        <v>4153</v>
      </c>
      <c r="R781" s="2" t="s">
        <v>4153</v>
      </c>
      <c r="S781" s="4">
        <v>45169</v>
      </c>
    </row>
    <row r="782" spans="1:19" ht="12.5" x14ac:dyDescent="0.25">
      <c r="A782" s="14" t="str">
        <f>HYPERLINK("https://gerandofalcoes.my.salesforce.com/0014X00002YggnPQAR", "0014X00002YggnPQAR")</f>
        <v>0014X00002YggnPQAR</v>
      </c>
      <c r="B782" s="2" t="s">
        <v>4154</v>
      </c>
      <c r="C782" s="2" t="s">
        <v>423</v>
      </c>
      <c r="D782" s="2" t="s">
        <v>2</v>
      </c>
      <c r="E782" s="2">
        <v>0.71</v>
      </c>
      <c r="F782" s="2">
        <v>6</v>
      </c>
      <c r="G782" s="2">
        <v>3</v>
      </c>
      <c r="H782" s="2">
        <v>0</v>
      </c>
      <c r="I782" s="2">
        <v>200</v>
      </c>
      <c r="J782" s="2"/>
      <c r="K782" s="2">
        <v>30</v>
      </c>
      <c r="L782" s="2">
        <v>0</v>
      </c>
      <c r="M782" s="2">
        <v>10</v>
      </c>
      <c r="N782" s="2">
        <v>8</v>
      </c>
      <c r="O782" s="2">
        <v>0</v>
      </c>
      <c r="P782" s="2">
        <v>12</v>
      </c>
      <c r="Q782" s="2" t="s">
        <v>4155</v>
      </c>
      <c r="R782" s="2" t="s">
        <v>4156</v>
      </c>
      <c r="S782" s="4">
        <v>45169</v>
      </c>
    </row>
    <row r="783" spans="1:19" ht="12.5" x14ac:dyDescent="0.25">
      <c r="A783" s="14" t="str">
        <f>HYPERLINK("https://gerandofalcoes.my.salesforce.com/0014X00002YgbkTQAR", "0014X00002YgbkTQAR")</f>
        <v>0014X00002YgbkTQAR</v>
      </c>
      <c r="B783" s="2" t="s">
        <v>3337</v>
      </c>
      <c r="C783" s="2" t="s">
        <v>423</v>
      </c>
      <c r="D783" s="2" t="s">
        <v>2</v>
      </c>
      <c r="E783" s="2">
        <v>0.59</v>
      </c>
      <c r="F783" s="2">
        <v>0</v>
      </c>
      <c r="G783" s="2">
        <v>0</v>
      </c>
      <c r="H783" s="2">
        <v>0</v>
      </c>
      <c r="I783" s="2">
        <v>0</v>
      </c>
      <c r="J783" s="2" t="s">
        <v>1779</v>
      </c>
      <c r="K783" s="2">
        <v>0</v>
      </c>
      <c r="L783" s="2">
        <v>0</v>
      </c>
      <c r="M783" s="2">
        <v>0</v>
      </c>
      <c r="N783" s="2">
        <v>0</v>
      </c>
      <c r="O783" s="2">
        <v>0</v>
      </c>
      <c r="P783" s="2">
        <v>0</v>
      </c>
      <c r="Q783" s="2" t="s">
        <v>3338</v>
      </c>
      <c r="R783" s="2" t="s">
        <v>3339</v>
      </c>
      <c r="S783" s="4">
        <v>44953</v>
      </c>
    </row>
    <row r="784" spans="1:19" ht="12.5" x14ac:dyDescent="0.25">
      <c r="A784" s="14" t="str">
        <f>HYPERLINK("https://gerandofalcoes.my.salesforce.com/0014X00002Yggo0QAB", "0014X00002Yggo0QAB")</f>
        <v>0014X00002Yggo0QAB</v>
      </c>
      <c r="B784" s="2" t="s">
        <v>4157</v>
      </c>
      <c r="C784" s="2" t="s">
        <v>423</v>
      </c>
      <c r="D784" s="2" t="s">
        <v>2</v>
      </c>
      <c r="E784" s="2">
        <v>0.48</v>
      </c>
      <c r="F784" s="2">
        <v>0</v>
      </c>
      <c r="G784" s="2">
        <v>2</v>
      </c>
      <c r="H784" s="2">
        <v>0</v>
      </c>
      <c r="I784" s="2">
        <v>60</v>
      </c>
      <c r="J784" s="2"/>
      <c r="K784" s="2">
        <v>11</v>
      </c>
      <c r="L784" s="2">
        <v>0</v>
      </c>
      <c r="M784" s="2">
        <v>0</v>
      </c>
      <c r="N784" s="2">
        <v>6</v>
      </c>
      <c r="O784" s="2">
        <v>0</v>
      </c>
      <c r="P784" s="2">
        <v>5</v>
      </c>
      <c r="Q784" s="2" t="s">
        <v>4158</v>
      </c>
      <c r="R784" s="2" t="s">
        <v>4159</v>
      </c>
      <c r="S784" s="4">
        <v>45169</v>
      </c>
    </row>
    <row r="785" spans="1:19" ht="12.5" x14ac:dyDescent="0.25">
      <c r="A785" s="14" t="str">
        <f>HYPERLINK("https://gerandofalcoes.my.salesforce.com/0014X00002YggpQQAR", "0014X00002YggpQQAR")</f>
        <v>0014X00002YggpQQAR</v>
      </c>
      <c r="B785" s="2" t="s">
        <v>3202</v>
      </c>
      <c r="C785" s="2" t="s">
        <v>423</v>
      </c>
      <c r="D785" s="2" t="s">
        <v>2</v>
      </c>
      <c r="E785" s="2">
        <v>0.43</v>
      </c>
      <c r="F785" s="2">
        <v>1</v>
      </c>
      <c r="G785" s="2">
        <v>3</v>
      </c>
      <c r="H785" s="2">
        <v>3000</v>
      </c>
      <c r="I785" s="2">
        <v>50</v>
      </c>
      <c r="J785" s="2" t="s">
        <v>1779</v>
      </c>
      <c r="K785" s="2">
        <v>23</v>
      </c>
      <c r="L785" s="2">
        <v>0</v>
      </c>
      <c r="M785" s="2">
        <v>5</v>
      </c>
      <c r="N785" s="2">
        <v>8</v>
      </c>
      <c r="O785" s="2">
        <v>5</v>
      </c>
      <c r="P785" s="2">
        <v>5</v>
      </c>
      <c r="Q785" s="2" t="s">
        <v>3203</v>
      </c>
      <c r="R785" s="2" t="s">
        <v>3203</v>
      </c>
      <c r="S785" s="4">
        <v>44951</v>
      </c>
    </row>
    <row r="786" spans="1:19" ht="12.5" x14ac:dyDescent="0.25">
      <c r="A786" s="14" t="str">
        <f>HYPERLINK("https://gerandofalcoes.my.salesforce.com/0014X00002YggkCQAR", "0014X00002YggkCQAR")</f>
        <v>0014X00002YggkCQAR</v>
      </c>
      <c r="B786" s="2" t="s">
        <v>3904</v>
      </c>
      <c r="C786" s="2" t="s">
        <v>423</v>
      </c>
      <c r="D786" s="2" t="s">
        <v>2</v>
      </c>
      <c r="E786" s="2">
        <v>0</v>
      </c>
      <c r="F786" s="2">
        <v>13</v>
      </c>
      <c r="G786" s="2">
        <v>3</v>
      </c>
      <c r="H786" s="2">
        <v>2010000</v>
      </c>
      <c r="I786" s="2">
        <v>750</v>
      </c>
      <c r="J786" s="2"/>
      <c r="K786" s="2">
        <v>65</v>
      </c>
      <c r="L786" s="2">
        <v>0</v>
      </c>
      <c r="M786" s="2">
        <v>12</v>
      </c>
      <c r="N786" s="2">
        <v>8</v>
      </c>
      <c r="O786" s="2">
        <v>25</v>
      </c>
      <c r="P786" s="2">
        <v>20</v>
      </c>
      <c r="Q786" s="2" t="s">
        <v>3905</v>
      </c>
      <c r="R786" s="2" t="s">
        <v>3906</v>
      </c>
      <c r="S786" s="4">
        <v>45169</v>
      </c>
    </row>
    <row r="787" spans="1:19" ht="12.5" x14ac:dyDescent="0.25">
      <c r="A787" s="14" t="str">
        <f>HYPERLINK("https://gerandofalcoes.my.salesforce.com/0014X00002YgglQQAR", "0014X00002YgglQQAR")</f>
        <v>0014X00002YgglQQAR</v>
      </c>
      <c r="B787" s="2" t="s">
        <v>4160</v>
      </c>
      <c r="C787" s="2" t="s">
        <v>423</v>
      </c>
      <c r="D787" s="2" t="s">
        <v>2</v>
      </c>
      <c r="E787" s="2">
        <v>0</v>
      </c>
      <c r="F787" s="2">
        <v>8</v>
      </c>
      <c r="G787" s="2">
        <v>2</v>
      </c>
      <c r="H787" s="2">
        <v>1974612</v>
      </c>
      <c r="I787" s="2">
        <v>630</v>
      </c>
      <c r="J787" s="2"/>
      <c r="K787" s="2">
        <v>61</v>
      </c>
      <c r="L787" s="2">
        <v>0</v>
      </c>
      <c r="M787" s="2">
        <v>10</v>
      </c>
      <c r="N787" s="2">
        <v>6</v>
      </c>
      <c r="O787" s="2">
        <v>25</v>
      </c>
      <c r="P787" s="2">
        <v>20</v>
      </c>
      <c r="Q787" s="2" t="s">
        <v>4161</v>
      </c>
      <c r="R787" s="2" t="s">
        <v>4162</v>
      </c>
      <c r="S787" s="4">
        <v>45169</v>
      </c>
    </row>
    <row r="788" spans="1:19" ht="12.5" x14ac:dyDescent="0.25">
      <c r="A788" s="14" t="str">
        <f>HYPERLINK("https://gerandofalcoes.my.salesforce.com/0014X00002YggknQAB", "0014X00002YggknQAB")</f>
        <v>0014X00002YggknQAB</v>
      </c>
      <c r="B788" s="2" t="s">
        <v>4163</v>
      </c>
      <c r="C788" s="2" t="s">
        <v>423</v>
      </c>
      <c r="D788" s="2" t="s">
        <v>2</v>
      </c>
      <c r="E788" s="2">
        <v>0</v>
      </c>
      <c r="F788" s="2">
        <v>20</v>
      </c>
      <c r="G788" s="2">
        <v>2</v>
      </c>
      <c r="H788" s="2">
        <v>1000000</v>
      </c>
      <c r="I788" s="2">
        <v>450</v>
      </c>
      <c r="J788" s="2"/>
      <c r="K788" s="2">
        <v>63</v>
      </c>
      <c r="L788" s="2">
        <v>0</v>
      </c>
      <c r="M788" s="2">
        <v>12</v>
      </c>
      <c r="N788" s="2">
        <v>6</v>
      </c>
      <c r="O788" s="2">
        <v>25</v>
      </c>
      <c r="P788" s="2">
        <v>20</v>
      </c>
      <c r="Q788" s="2" t="s">
        <v>4164</v>
      </c>
      <c r="R788" s="2" t="s">
        <v>4165</v>
      </c>
      <c r="S788" s="4">
        <v>45169</v>
      </c>
    </row>
    <row r="789" spans="1:19" ht="12.5" x14ac:dyDescent="0.25">
      <c r="A789" s="14" t="str">
        <f>HYPERLINK("https://gerandofalcoes.my.salesforce.com/0014X00002YggqPQAR", "0014X00002YggqPQAR")</f>
        <v>0014X00002YggqPQAR</v>
      </c>
      <c r="B789" s="2" t="s">
        <v>4166</v>
      </c>
      <c r="C789" s="2" t="s">
        <v>423</v>
      </c>
      <c r="D789" s="2" t="s">
        <v>2</v>
      </c>
      <c r="E789" s="2">
        <v>0</v>
      </c>
      <c r="F789" s="2">
        <v>4</v>
      </c>
      <c r="G789" s="2">
        <v>2</v>
      </c>
      <c r="H789" s="2">
        <v>170000</v>
      </c>
      <c r="I789" s="2">
        <v>380</v>
      </c>
      <c r="J789" s="2"/>
      <c r="K789" s="2">
        <v>41</v>
      </c>
      <c r="L789" s="2">
        <v>0</v>
      </c>
      <c r="M789" s="2">
        <v>5</v>
      </c>
      <c r="N789" s="2">
        <v>6</v>
      </c>
      <c r="O789" s="2">
        <v>15</v>
      </c>
      <c r="P789" s="2">
        <v>15</v>
      </c>
      <c r="Q789" s="2" t="s">
        <v>4167</v>
      </c>
      <c r="R789" s="2" t="s">
        <v>4168</v>
      </c>
      <c r="S789" s="4">
        <v>45169</v>
      </c>
    </row>
    <row r="790" spans="1:19" ht="12.5" x14ac:dyDescent="0.25">
      <c r="A790" s="14" t="str">
        <f>HYPERLINK("https://gerandofalcoes.my.salesforce.com/0014X00002YggnFQAR", "0014X00002YggnFQAR")</f>
        <v>0014X00002YggnFQAR</v>
      </c>
      <c r="B790" s="2" t="s">
        <v>4169</v>
      </c>
      <c r="C790" s="2" t="s">
        <v>423</v>
      </c>
      <c r="D790" s="2" t="s">
        <v>2</v>
      </c>
      <c r="E790" s="2">
        <v>0</v>
      </c>
      <c r="F790" s="2">
        <v>10</v>
      </c>
      <c r="G790" s="2">
        <v>6</v>
      </c>
      <c r="H790" s="2">
        <v>30000</v>
      </c>
      <c r="I790" s="2">
        <v>200</v>
      </c>
      <c r="J790" s="2"/>
      <c r="K790" s="2">
        <v>42</v>
      </c>
      <c r="L790" s="2">
        <v>0</v>
      </c>
      <c r="M790" s="2">
        <v>10</v>
      </c>
      <c r="N790" s="2">
        <v>10</v>
      </c>
      <c r="O790" s="2">
        <v>10</v>
      </c>
      <c r="P790" s="2">
        <v>12</v>
      </c>
      <c r="Q790" s="2" t="s">
        <v>4170</v>
      </c>
      <c r="R790" s="2" t="s">
        <v>4170</v>
      </c>
      <c r="S790" s="4">
        <v>45169</v>
      </c>
    </row>
    <row r="791" spans="1:19" ht="12.5" x14ac:dyDescent="0.25">
      <c r="A791" s="14" t="str">
        <f>HYPERLINK("https://gerandofalcoes.my.salesforce.com/0014X00002YgghnQAB", "0014X00002YgghnQAB")</f>
        <v>0014X00002YgghnQAB</v>
      </c>
      <c r="B791" s="2" t="s">
        <v>3470</v>
      </c>
      <c r="C791" s="2" t="s">
        <v>423</v>
      </c>
      <c r="D791" s="2" t="s">
        <v>2</v>
      </c>
      <c r="E791" s="2">
        <v>0</v>
      </c>
      <c r="F791" s="2">
        <v>20</v>
      </c>
      <c r="G791" s="2">
        <v>3</v>
      </c>
      <c r="H791" s="2">
        <v>263610</v>
      </c>
      <c r="I791" s="2">
        <v>180</v>
      </c>
      <c r="J791" s="2" t="s">
        <v>1671</v>
      </c>
      <c r="K791" s="2">
        <v>47</v>
      </c>
      <c r="L791" s="2">
        <v>0</v>
      </c>
      <c r="M791" s="2">
        <v>12</v>
      </c>
      <c r="N791" s="2">
        <v>8</v>
      </c>
      <c r="O791" s="2">
        <v>15</v>
      </c>
      <c r="P791" s="2">
        <v>12</v>
      </c>
      <c r="Q791" s="2" t="s">
        <v>3471</v>
      </c>
      <c r="R791" s="2" t="s">
        <v>3472</v>
      </c>
      <c r="S791" s="4">
        <v>44958</v>
      </c>
    </row>
    <row r="792" spans="1:19" ht="12.5" x14ac:dyDescent="0.25">
      <c r="A792" s="14" t="str">
        <f>HYPERLINK("https://gerandofalcoes.my.salesforce.com/0014X00002Yjq5GQAR", "0014X00002Yjq5GQAR")</f>
        <v>0014X00002Yjq5GQAR</v>
      </c>
      <c r="B792" s="2" t="s">
        <v>3805</v>
      </c>
      <c r="C792" s="2" t="s">
        <v>423</v>
      </c>
      <c r="D792" s="2" t="s">
        <v>2</v>
      </c>
      <c r="E792" s="2">
        <v>0</v>
      </c>
      <c r="F792" s="2">
        <v>0</v>
      </c>
      <c r="G792" s="2">
        <v>1</v>
      </c>
      <c r="H792" s="2">
        <v>3000</v>
      </c>
      <c r="I792" s="2">
        <v>180</v>
      </c>
      <c r="J792" s="2" t="s">
        <v>7150</v>
      </c>
      <c r="K792" s="2">
        <v>21</v>
      </c>
      <c r="L792" s="2">
        <v>0</v>
      </c>
      <c r="M792" s="2">
        <v>0</v>
      </c>
      <c r="N792" s="2">
        <v>4</v>
      </c>
      <c r="O792" s="2">
        <v>5</v>
      </c>
      <c r="P792" s="2">
        <v>12</v>
      </c>
      <c r="Q792" s="2" t="s">
        <v>3806</v>
      </c>
      <c r="R792" s="2" t="s">
        <v>3806</v>
      </c>
      <c r="S792" s="4">
        <v>44985</v>
      </c>
    </row>
    <row r="793" spans="1:19" ht="12.5" x14ac:dyDescent="0.25">
      <c r="A793" s="14" t="str">
        <f>HYPERLINK("https://gerandofalcoes.my.salesforce.com/0014X00002YggmdQAB", "0014X00002YggmdQAB")</f>
        <v>0014X00002YggmdQAB</v>
      </c>
      <c r="B793" s="2" t="s">
        <v>4174</v>
      </c>
      <c r="C793" s="2" t="s">
        <v>423</v>
      </c>
      <c r="D793" s="2" t="s">
        <v>2</v>
      </c>
      <c r="E793" s="2">
        <v>0</v>
      </c>
      <c r="F793" s="2">
        <v>23</v>
      </c>
      <c r="G793" s="2">
        <v>7</v>
      </c>
      <c r="H793" s="2">
        <v>100000</v>
      </c>
      <c r="I793" s="2">
        <v>150</v>
      </c>
      <c r="J793" s="2"/>
      <c r="K793" s="2">
        <v>49</v>
      </c>
      <c r="L793" s="2">
        <v>0</v>
      </c>
      <c r="M793" s="2">
        <v>12</v>
      </c>
      <c r="N793" s="2">
        <v>10</v>
      </c>
      <c r="O793" s="2">
        <v>15</v>
      </c>
      <c r="P793" s="2">
        <v>12</v>
      </c>
      <c r="Q793" s="2" t="s">
        <v>4175</v>
      </c>
      <c r="R793" s="2" t="s">
        <v>4175</v>
      </c>
      <c r="S793" s="4">
        <v>45169</v>
      </c>
    </row>
    <row r="794" spans="1:19" ht="12.5" x14ac:dyDescent="0.25">
      <c r="A794" s="14" t="str">
        <f>HYPERLINK("https://gerandofalcoes.my.salesforce.com/0014X00002YggmsQAB", "0014X00002YggmsQAB")</f>
        <v>0014X00002YggmsQAB</v>
      </c>
      <c r="B794" s="2" t="s">
        <v>4171</v>
      </c>
      <c r="C794" s="2" t="s">
        <v>423</v>
      </c>
      <c r="D794" s="2" t="s">
        <v>2</v>
      </c>
      <c r="E794" s="2">
        <v>0</v>
      </c>
      <c r="F794" s="2">
        <v>0</v>
      </c>
      <c r="G794" s="2">
        <v>4</v>
      </c>
      <c r="H794" s="2">
        <v>10000</v>
      </c>
      <c r="I794" s="2">
        <v>150</v>
      </c>
      <c r="J794" s="2"/>
      <c r="K794" s="2">
        <v>27</v>
      </c>
      <c r="L794" s="2">
        <v>0</v>
      </c>
      <c r="M794" s="2">
        <v>0</v>
      </c>
      <c r="N794" s="2">
        <v>10</v>
      </c>
      <c r="O794" s="2">
        <v>5</v>
      </c>
      <c r="P794" s="2">
        <v>12</v>
      </c>
      <c r="Q794" s="2" t="s">
        <v>4172</v>
      </c>
      <c r="R794" s="2" t="s">
        <v>4173</v>
      </c>
      <c r="S794" s="4">
        <v>45169</v>
      </c>
    </row>
    <row r="795" spans="1:19" ht="12.5" x14ac:dyDescent="0.25">
      <c r="A795" s="14" t="str">
        <f>HYPERLINK("https://gerandofalcoes.my.salesforce.com/0014X00002YgghtQAB", "0014X00002YgghtQAB")</f>
        <v>0014X00002YgghtQAB</v>
      </c>
      <c r="B795" s="2" t="s">
        <v>4176</v>
      </c>
      <c r="C795" s="2" t="s">
        <v>423</v>
      </c>
      <c r="D795" s="2" t="s">
        <v>2</v>
      </c>
      <c r="E795" s="2">
        <v>0</v>
      </c>
      <c r="F795" s="2">
        <v>4</v>
      </c>
      <c r="G795" s="2">
        <v>3</v>
      </c>
      <c r="H795" s="2">
        <v>40000</v>
      </c>
      <c r="I795" s="2">
        <v>140</v>
      </c>
      <c r="J795" s="2"/>
      <c r="K795" s="2">
        <v>33</v>
      </c>
      <c r="L795" s="2">
        <v>0</v>
      </c>
      <c r="M795" s="2">
        <v>5</v>
      </c>
      <c r="N795" s="2">
        <v>8</v>
      </c>
      <c r="O795" s="2">
        <v>10</v>
      </c>
      <c r="P795" s="2">
        <v>10</v>
      </c>
      <c r="Q795" s="2" t="s">
        <v>4177</v>
      </c>
      <c r="R795" s="2" t="s">
        <v>4178</v>
      </c>
      <c r="S795" s="4">
        <v>45169</v>
      </c>
    </row>
    <row r="796" spans="1:19" ht="12.5" x14ac:dyDescent="0.25">
      <c r="A796" s="14" t="str">
        <f>HYPERLINK("https://gerandofalcoes.my.salesforce.com/0014X00002YggqUQAR", "0014X00002YggqUQAR")</f>
        <v>0014X00002YggqUQAR</v>
      </c>
      <c r="B796" s="2" t="s">
        <v>4182</v>
      </c>
      <c r="C796" s="2" t="s">
        <v>423</v>
      </c>
      <c r="D796" s="2" t="s">
        <v>2</v>
      </c>
      <c r="E796" s="2">
        <v>0</v>
      </c>
      <c r="F796" s="2">
        <v>0</v>
      </c>
      <c r="G796" s="2">
        <v>4</v>
      </c>
      <c r="H796" s="2">
        <v>900</v>
      </c>
      <c r="I796" s="2">
        <v>100</v>
      </c>
      <c r="J796" s="2"/>
      <c r="K796" s="2">
        <v>25</v>
      </c>
      <c r="L796" s="2">
        <v>0</v>
      </c>
      <c r="M796" s="2">
        <v>0</v>
      </c>
      <c r="N796" s="2">
        <v>10</v>
      </c>
      <c r="O796" s="2">
        <v>5</v>
      </c>
      <c r="P796" s="2">
        <v>10</v>
      </c>
      <c r="Q796" s="2" t="s">
        <v>4183</v>
      </c>
      <c r="R796" s="2" t="s">
        <v>4183</v>
      </c>
      <c r="S796" s="4">
        <v>45169</v>
      </c>
    </row>
    <row r="797" spans="1:19" ht="12.5" x14ac:dyDescent="0.25">
      <c r="A797" s="14" t="str">
        <f>HYPERLINK("https://gerandofalcoes.my.salesforce.com/0014X00002YggkcQAB", "0014X00002YggkcQAB")</f>
        <v>0014X00002YggkcQAB</v>
      </c>
      <c r="B797" s="2" t="s">
        <v>4179</v>
      </c>
      <c r="C797" s="2" t="s">
        <v>423</v>
      </c>
      <c r="D797" s="2" t="s">
        <v>2</v>
      </c>
      <c r="E797" s="2">
        <v>0</v>
      </c>
      <c r="F797" s="2">
        <v>0</v>
      </c>
      <c r="G797" s="2">
        <v>2</v>
      </c>
      <c r="H797" s="2">
        <v>0</v>
      </c>
      <c r="I797" s="2">
        <v>100</v>
      </c>
      <c r="J797" s="2"/>
      <c r="K797" s="2">
        <v>16</v>
      </c>
      <c r="L797" s="2">
        <v>0</v>
      </c>
      <c r="M797" s="2">
        <v>0</v>
      </c>
      <c r="N797" s="2">
        <v>6</v>
      </c>
      <c r="O797" s="2">
        <v>0</v>
      </c>
      <c r="P797" s="2">
        <v>10</v>
      </c>
      <c r="Q797" s="2" t="s">
        <v>4180</v>
      </c>
      <c r="R797" s="2" t="s">
        <v>4181</v>
      </c>
      <c r="S797" s="4">
        <v>45169</v>
      </c>
    </row>
    <row r="798" spans="1:19" ht="12.5" x14ac:dyDescent="0.25">
      <c r="A798" s="14" t="str">
        <f>HYPERLINK("https://gerandofalcoes.my.salesforce.com/0014X00002YggmYQAR", "0014X00002YggmYQAR")</f>
        <v>0014X00002YggmYQAR</v>
      </c>
      <c r="B798" s="2" t="s">
        <v>6396</v>
      </c>
      <c r="C798" s="2" t="s">
        <v>423</v>
      </c>
      <c r="D798" s="2" t="s">
        <v>2</v>
      </c>
      <c r="E798" s="2">
        <v>0</v>
      </c>
      <c r="F798" s="2">
        <v>0</v>
      </c>
      <c r="G798" s="2">
        <v>2</v>
      </c>
      <c r="H798" s="2">
        <v>1340</v>
      </c>
      <c r="I798" s="2">
        <v>85</v>
      </c>
      <c r="J798" s="2"/>
      <c r="K798" s="2">
        <v>21</v>
      </c>
      <c r="L798" s="2">
        <v>0</v>
      </c>
      <c r="M798" s="2">
        <v>0</v>
      </c>
      <c r="N798" s="2">
        <v>6</v>
      </c>
      <c r="O798" s="2">
        <v>5</v>
      </c>
      <c r="P798" s="2">
        <v>10</v>
      </c>
      <c r="Q798" s="2" t="s">
        <v>4185</v>
      </c>
      <c r="R798" s="2" t="s">
        <v>4185</v>
      </c>
      <c r="S798" s="4">
        <v>45169</v>
      </c>
    </row>
    <row r="799" spans="1:19" ht="12.5" hidden="1" x14ac:dyDescent="0.25">
      <c r="A799" s="14" t="str">
        <f>HYPERLINK("https://gerandofalcoes.my.salesforce.com/0014X00002YggnEQAR", "0014X00002YggnEQAR")</f>
        <v>0014X00002YggnEQAR</v>
      </c>
      <c r="B799" s="2" t="s">
        <v>3673</v>
      </c>
      <c r="C799" s="2" t="s">
        <v>1684</v>
      </c>
      <c r="D799" s="2" t="s">
        <v>2</v>
      </c>
      <c r="E799" s="2">
        <v>0</v>
      </c>
      <c r="F799" s="2">
        <v>4</v>
      </c>
      <c r="G799" s="2">
        <v>2</v>
      </c>
      <c r="H799" s="2">
        <v>10000</v>
      </c>
      <c r="I799" s="2">
        <v>60</v>
      </c>
      <c r="J799" s="2" t="s">
        <v>1779</v>
      </c>
      <c r="K799" s="2">
        <v>21</v>
      </c>
      <c r="L799" s="2">
        <v>0</v>
      </c>
      <c r="M799" s="2">
        <v>5</v>
      </c>
      <c r="N799" s="2">
        <v>6</v>
      </c>
      <c r="O799" s="2">
        <v>5</v>
      </c>
      <c r="P799" s="2">
        <v>5</v>
      </c>
      <c r="Q799" s="2" t="s">
        <v>3674</v>
      </c>
      <c r="R799" s="2" t="s">
        <v>3674</v>
      </c>
      <c r="S799" s="4">
        <v>44964</v>
      </c>
    </row>
    <row r="800" spans="1:19" ht="12.5" x14ac:dyDescent="0.25">
      <c r="A800" s="14" t="str">
        <f>HYPERLINK("https://gerandofalcoes.my.salesforce.com/0014X00002YggldQAB", "0014X00002YggldQAB")</f>
        <v>0014X00002YggldQAB</v>
      </c>
      <c r="B800" s="2" t="s">
        <v>4189</v>
      </c>
      <c r="C800" s="2" t="s">
        <v>423</v>
      </c>
      <c r="D800" s="2" t="s">
        <v>2</v>
      </c>
      <c r="E800" s="2">
        <v>0</v>
      </c>
      <c r="F800" s="2">
        <v>0</v>
      </c>
      <c r="G800" s="2">
        <v>3</v>
      </c>
      <c r="H800" s="2">
        <v>5000</v>
      </c>
      <c r="I800" s="2">
        <v>60</v>
      </c>
      <c r="J800" s="2"/>
      <c r="K800" s="2">
        <v>18</v>
      </c>
      <c r="L800" s="2">
        <v>0</v>
      </c>
      <c r="M800" s="2">
        <v>0</v>
      </c>
      <c r="N800" s="2">
        <v>8</v>
      </c>
      <c r="O800" s="2">
        <v>5</v>
      </c>
      <c r="P800" s="2">
        <v>5</v>
      </c>
      <c r="Q800" s="2" t="s">
        <v>4190</v>
      </c>
      <c r="R800" s="2" t="s">
        <v>4191</v>
      </c>
      <c r="S800" s="4">
        <v>45169</v>
      </c>
    </row>
    <row r="801" spans="1:19" ht="12.5" x14ac:dyDescent="0.25">
      <c r="A801" s="14" t="str">
        <f>HYPERLINK("https://gerandofalcoes.my.salesforce.com/0014X00002YggpwQAB", "0014X00002YggpwQAB")</f>
        <v>0014X00002YggpwQAB</v>
      </c>
      <c r="B801" s="2" t="s">
        <v>4192</v>
      </c>
      <c r="C801" s="2" t="s">
        <v>423</v>
      </c>
      <c r="D801" s="2" t="s">
        <v>2</v>
      </c>
      <c r="E801" s="2">
        <v>0</v>
      </c>
      <c r="F801" s="2">
        <v>0</v>
      </c>
      <c r="G801" s="2">
        <v>4</v>
      </c>
      <c r="H801" s="2">
        <v>65000</v>
      </c>
      <c r="I801" s="2">
        <v>60</v>
      </c>
      <c r="J801" s="2"/>
      <c r="K801" s="2">
        <v>25</v>
      </c>
      <c r="L801" s="2">
        <v>0</v>
      </c>
      <c r="M801" s="2">
        <v>0</v>
      </c>
      <c r="N801" s="2">
        <v>10</v>
      </c>
      <c r="O801" s="2">
        <v>10</v>
      </c>
      <c r="P801" s="2">
        <v>5</v>
      </c>
      <c r="Q801" s="2" t="s">
        <v>4193</v>
      </c>
      <c r="R801" s="2" t="s">
        <v>4194</v>
      </c>
      <c r="S801" s="4">
        <v>45169</v>
      </c>
    </row>
    <row r="802" spans="1:19" ht="12.5" x14ac:dyDescent="0.25">
      <c r="A802" s="14" t="str">
        <f>HYPERLINK("https://gerandofalcoes.my.salesforce.com/0014X00002YggkrQAB", "0014X00002YggkrQAB")</f>
        <v>0014X00002YggkrQAB</v>
      </c>
      <c r="B802" s="2" t="s">
        <v>4186</v>
      </c>
      <c r="C802" s="2" t="s">
        <v>423</v>
      </c>
      <c r="D802" s="2" t="s">
        <v>2</v>
      </c>
      <c r="E802" s="2">
        <v>0</v>
      </c>
      <c r="F802" s="2">
        <v>4</v>
      </c>
      <c r="G802" s="2">
        <v>3</v>
      </c>
      <c r="H802" s="2">
        <v>15000</v>
      </c>
      <c r="I802" s="2">
        <v>60</v>
      </c>
      <c r="J802" s="2"/>
      <c r="K802" s="2">
        <v>23</v>
      </c>
      <c r="L802" s="2">
        <v>0</v>
      </c>
      <c r="M802" s="2">
        <v>5</v>
      </c>
      <c r="N802" s="2">
        <v>8</v>
      </c>
      <c r="O802" s="2">
        <v>5</v>
      </c>
      <c r="P802" s="2">
        <v>5</v>
      </c>
      <c r="Q802" s="2" t="s">
        <v>4187</v>
      </c>
      <c r="R802" s="2" t="s">
        <v>4188</v>
      </c>
      <c r="S802" s="4">
        <v>45169</v>
      </c>
    </row>
    <row r="803" spans="1:19" ht="12.5" x14ac:dyDescent="0.25">
      <c r="A803" s="14" t="str">
        <f>HYPERLINK("https://gerandofalcoes.my.salesforce.com/0014X00002YggoqQAB", "0014X00002YggoqQAB")</f>
        <v>0014X00002YggoqQAB</v>
      </c>
      <c r="B803" s="2" t="s">
        <v>4195</v>
      </c>
      <c r="C803" s="2" t="s">
        <v>423</v>
      </c>
      <c r="D803" s="2" t="s">
        <v>2</v>
      </c>
      <c r="E803" s="2">
        <v>0</v>
      </c>
      <c r="F803" s="2">
        <v>2</v>
      </c>
      <c r="G803" s="2">
        <v>3</v>
      </c>
      <c r="H803" s="2">
        <v>55000</v>
      </c>
      <c r="I803" s="2">
        <v>50</v>
      </c>
      <c r="J803" s="2"/>
      <c r="K803" s="2">
        <v>28</v>
      </c>
      <c r="L803" s="2">
        <v>0</v>
      </c>
      <c r="M803" s="2">
        <v>5</v>
      </c>
      <c r="N803" s="2">
        <v>8</v>
      </c>
      <c r="O803" s="2">
        <v>10</v>
      </c>
      <c r="P803" s="2">
        <v>5</v>
      </c>
      <c r="Q803" s="2" t="s">
        <v>4196</v>
      </c>
      <c r="R803" s="2" t="s">
        <v>4197</v>
      </c>
      <c r="S803" s="4">
        <v>45169</v>
      </c>
    </row>
    <row r="804" spans="1:19" ht="12.5" x14ac:dyDescent="0.25">
      <c r="A804" s="14" t="str">
        <f>HYPERLINK("https://gerandofalcoes.my.salesforce.com/0014X00002YggppQAB", "0014X00002YggppQAB")</f>
        <v>0014X00002YggppQAB</v>
      </c>
      <c r="B804" s="2" t="s">
        <v>4198</v>
      </c>
      <c r="C804" s="2" t="s">
        <v>423</v>
      </c>
      <c r="D804" s="2" t="s">
        <v>2</v>
      </c>
      <c r="E804" s="2">
        <v>0</v>
      </c>
      <c r="F804" s="2">
        <v>5</v>
      </c>
      <c r="G804" s="2">
        <v>2</v>
      </c>
      <c r="H804" s="2">
        <v>100</v>
      </c>
      <c r="I804" s="2">
        <v>40</v>
      </c>
      <c r="J804" s="2"/>
      <c r="K804" s="2">
        <v>21</v>
      </c>
      <c r="L804" s="2">
        <v>0</v>
      </c>
      <c r="M804" s="2">
        <v>5</v>
      </c>
      <c r="N804" s="2">
        <v>6</v>
      </c>
      <c r="O804" s="2">
        <v>5</v>
      </c>
      <c r="P804" s="2">
        <v>5</v>
      </c>
      <c r="Q804" s="2" t="s">
        <v>4199</v>
      </c>
      <c r="R804" s="2" t="s">
        <v>4199</v>
      </c>
      <c r="S804" s="4">
        <v>45169</v>
      </c>
    </row>
    <row r="805" spans="1:19" ht="12.5" x14ac:dyDescent="0.25">
      <c r="A805" s="14" t="str">
        <f>HYPERLINK("https://gerandofalcoes.my.salesforce.com/0014X00002YggpYQAR", "0014X00002YggpYQAR")</f>
        <v>0014X00002YggpYQAR</v>
      </c>
      <c r="B805" s="2" t="s">
        <v>3907</v>
      </c>
      <c r="C805" s="2" t="s">
        <v>423</v>
      </c>
      <c r="D805" s="2" t="s">
        <v>2</v>
      </c>
      <c r="E805" s="2">
        <v>0</v>
      </c>
      <c r="F805" s="2">
        <v>0</v>
      </c>
      <c r="G805" s="2">
        <v>4</v>
      </c>
      <c r="H805" s="2">
        <v>30000</v>
      </c>
      <c r="I805" s="2">
        <v>36</v>
      </c>
      <c r="J805" s="2"/>
      <c r="K805" s="2">
        <v>25</v>
      </c>
      <c r="L805" s="2">
        <v>0</v>
      </c>
      <c r="M805" s="2">
        <v>0</v>
      </c>
      <c r="N805" s="2">
        <v>10</v>
      </c>
      <c r="O805" s="2">
        <v>10</v>
      </c>
      <c r="P805" s="2">
        <v>5</v>
      </c>
      <c r="Q805" s="2" t="s">
        <v>3908</v>
      </c>
      <c r="R805" s="2" t="s">
        <v>3909</v>
      </c>
      <c r="S805" s="4">
        <v>45169</v>
      </c>
    </row>
    <row r="806" spans="1:19" ht="12.5" x14ac:dyDescent="0.25">
      <c r="A806" s="14" t="str">
        <f>HYPERLINK("https://gerandofalcoes.my.salesforce.com/0014X00002YggnuQAB", "0014X00002YggnuQAB")</f>
        <v>0014X00002YggnuQAB</v>
      </c>
      <c r="B806" s="2" t="s">
        <v>4200</v>
      </c>
      <c r="C806" s="2" t="s">
        <v>423</v>
      </c>
      <c r="D806" s="2" t="s">
        <v>2</v>
      </c>
      <c r="E806" s="2">
        <v>0</v>
      </c>
      <c r="F806" s="2">
        <v>0</v>
      </c>
      <c r="G806" s="2">
        <v>2</v>
      </c>
      <c r="H806" s="2">
        <v>1211111</v>
      </c>
      <c r="I806" s="2">
        <v>15</v>
      </c>
      <c r="J806" s="2"/>
      <c r="K806" s="2">
        <v>36</v>
      </c>
      <c r="L806" s="2">
        <v>0</v>
      </c>
      <c r="M806" s="2">
        <v>0</v>
      </c>
      <c r="N806" s="2">
        <v>6</v>
      </c>
      <c r="O806" s="2">
        <v>25</v>
      </c>
      <c r="P806" s="2">
        <v>5</v>
      </c>
      <c r="Q806" s="2" t="s">
        <v>4201</v>
      </c>
      <c r="R806" s="2" t="s">
        <v>4202</v>
      </c>
      <c r="S806" s="4">
        <v>45169</v>
      </c>
    </row>
    <row r="807" spans="1:19" ht="12.5" x14ac:dyDescent="0.25">
      <c r="A807" s="14" t="str">
        <f>HYPERLINK("https://gerandofalcoes.my.salesforce.com/0014X00002YggoIQAR", "0014X00002YggoIQAR")</f>
        <v>0014X00002YggoIQAR</v>
      </c>
      <c r="B807" s="2" t="s">
        <v>4203</v>
      </c>
      <c r="C807" s="2" t="s">
        <v>423</v>
      </c>
      <c r="D807" s="2" t="s">
        <v>2</v>
      </c>
      <c r="E807" s="2">
        <v>0</v>
      </c>
      <c r="F807" s="2">
        <v>0</v>
      </c>
      <c r="G807" s="2">
        <v>5</v>
      </c>
      <c r="H807" s="2">
        <v>16000</v>
      </c>
      <c r="I807" s="2">
        <v>12</v>
      </c>
      <c r="J807" s="2"/>
      <c r="K807" s="2">
        <v>20</v>
      </c>
      <c r="L807" s="2">
        <v>0</v>
      </c>
      <c r="M807" s="2">
        <v>0</v>
      </c>
      <c r="N807" s="2">
        <v>10</v>
      </c>
      <c r="O807" s="2">
        <v>5</v>
      </c>
      <c r="P807" s="2">
        <v>5</v>
      </c>
      <c r="Q807" s="2" t="s">
        <v>4204</v>
      </c>
      <c r="R807" s="2" t="s">
        <v>4205</v>
      </c>
      <c r="S807" s="4">
        <v>45169</v>
      </c>
    </row>
    <row r="808" spans="1:19" ht="12.5" x14ac:dyDescent="0.25">
      <c r="A808" s="14" t="str">
        <f>HYPERLINK("https://gerandofalcoes.my.salesforce.com/0014X00002YggqcQAB", "0014X00002YggqcQAB")</f>
        <v>0014X00002YggqcQAB</v>
      </c>
      <c r="B808" s="2" t="s">
        <v>4206</v>
      </c>
      <c r="C808" s="2" t="s">
        <v>423</v>
      </c>
      <c r="D808" s="2" t="s">
        <v>2</v>
      </c>
      <c r="E808" s="2">
        <v>0</v>
      </c>
      <c r="F808" s="2">
        <v>4</v>
      </c>
      <c r="G808" s="2">
        <v>2</v>
      </c>
      <c r="H808" s="2">
        <v>500</v>
      </c>
      <c r="I808" s="2">
        <v>10</v>
      </c>
      <c r="J808" s="2"/>
      <c r="K808" s="2">
        <v>21</v>
      </c>
      <c r="L808" s="2">
        <v>0</v>
      </c>
      <c r="M808" s="2">
        <v>5</v>
      </c>
      <c r="N808" s="2">
        <v>6</v>
      </c>
      <c r="O808" s="2">
        <v>5</v>
      </c>
      <c r="P808" s="2">
        <v>5</v>
      </c>
      <c r="Q808" s="2" t="s">
        <v>4207</v>
      </c>
      <c r="R808" s="2" t="s">
        <v>4207</v>
      </c>
      <c r="S808" s="4">
        <v>45169</v>
      </c>
    </row>
    <row r="809" spans="1:19" ht="12.5" x14ac:dyDescent="0.25">
      <c r="A809" s="14" t="str">
        <f>HYPERLINK("https://gerandofalcoes.my.salesforce.com/0014X00002YggofQAB", "0014X00002YggofQAB")</f>
        <v>0014X00002YggofQAB</v>
      </c>
      <c r="B809" s="2" t="s">
        <v>4208</v>
      </c>
      <c r="C809" s="2" t="s">
        <v>423</v>
      </c>
      <c r="D809" s="2" t="s">
        <v>2</v>
      </c>
      <c r="E809" s="2">
        <v>0</v>
      </c>
      <c r="F809" s="2">
        <v>0</v>
      </c>
      <c r="G809" s="2">
        <v>3</v>
      </c>
      <c r="H809" s="2">
        <v>500</v>
      </c>
      <c r="I809" s="2">
        <v>3</v>
      </c>
      <c r="J809" s="2"/>
      <c r="K809" s="2">
        <v>18</v>
      </c>
      <c r="L809" s="2">
        <v>0</v>
      </c>
      <c r="M809" s="2">
        <v>0</v>
      </c>
      <c r="N809" s="2">
        <v>8</v>
      </c>
      <c r="O809" s="2">
        <v>5</v>
      </c>
      <c r="P809" s="2">
        <v>5</v>
      </c>
      <c r="Q809" s="2" t="s">
        <v>4209</v>
      </c>
      <c r="R809" s="2" t="s">
        <v>4209</v>
      </c>
      <c r="S809" s="4">
        <v>45169</v>
      </c>
    </row>
    <row r="810" spans="1:19" ht="12.5" hidden="1" x14ac:dyDescent="0.25">
      <c r="A810" s="14" t="str">
        <f>HYPERLINK("https://gerandofalcoes.my.salesforce.com/0014X00002YgglUQAR", "0014X00002YgglUQAR")</f>
        <v>0014X00002YgglUQAR</v>
      </c>
      <c r="B810" s="2" t="s">
        <v>3473</v>
      </c>
      <c r="C810" s="2" t="s">
        <v>1684</v>
      </c>
      <c r="D810" s="2" t="s">
        <v>2</v>
      </c>
      <c r="E810" s="2">
        <v>0</v>
      </c>
      <c r="F810" s="2">
        <v>0</v>
      </c>
      <c r="G810" s="2">
        <v>2</v>
      </c>
      <c r="H810" s="2">
        <v>0</v>
      </c>
      <c r="I810" s="2">
        <v>0</v>
      </c>
      <c r="J810" s="2" t="s">
        <v>1779</v>
      </c>
      <c r="K810" s="2">
        <v>6</v>
      </c>
      <c r="L810" s="2">
        <v>0</v>
      </c>
      <c r="M810" s="2">
        <v>0</v>
      </c>
      <c r="N810" s="2">
        <v>6</v>
      </c>
      <c r="O810" s="2">
        <v>0</v>
      </c>
      <c r="P810" s="2">
        <v>0</v>
      </c>
      <c r="Q810" s="2" t="s">
        <v>3474</v>
      </c>
      <c r="R810" s="2" t="s">
        <v>3475</v>
      </c>
      <c r="S810" s="4">
        <v>44958</v>
      </c>
    </row>
    <row r="811" spans="1:19" ht="12.5" hidden="1" x14ac:dyDescent="0.25">
      <c r="A811" s="14" t="str">
        <f>HYPERLINK("https://gerandofalcoes.my.salesforce.com/0014X00002YggiPQAR", "0014X00002YggiPQAR")</f>
        <v>0014X00002YggiPQAR</v>
      </c>
      <c r="B811" s="2" t="s">
        <v>3033</v>
      </c>
      <c r="C811" s="2" t="s">
        <v>1684</v>
      </c>
      <c r="D811" s="2" t="s">
        <v>2</v>
      </c>
      <c r="E811" s="2">
        <v>0</v>
      </c>
      <c r="F811" s="2">
        <v>1</v>
      </c>
      <c r="G811" s="2">
        <v>2</v>
      </c>
      <c r="H811" s="2">
        <v>600</v>
      </c>
      <c r="I811" s="2">
        <v>0</v>
      </c>
      <c r="J811" s="2" t="s">
        <v>1779</v>
      </c>
      <c r="K811" s="2">
        <v>16</v>
      </c>
      <c r="L811" s="2">
        <v>0</v>
      </c>
      <c r="M811" s="2">
        <v>5</v>
      </c>
      <c r="N811" s="2">
        <v>6</v>
      </c>
      <c r="O811" s="2">
        <v>5</v>
      </c>
      <c r="P811" s="2">
        <v>0</v>
      </c>
      <c r="Q811" s="2" t="s">
        <v>3034</v>
      </c>
      <c r="R811" s="2" t="s">
        <v>3034</v>
      </c>
      <c r="S811" s="4">
        <v>44945</v>
      </c>
    </row>
    <row r="812" spans="1:19" ht="12.5" x14ac:dyDescent="0.25">
      <c r="A812" s="14" t="str">
        <f>HYPERLINK("https://gerandofalcoes.my.salesforce.com/0014P00003MjNTIQA3", "0014P00003MjNTIQA3")</f>
        <v>0014P00003MjNTIQA3</v>
      </c>
      <c r="B812" s="2" t="s">
        <v>2976</v>
      </c>
      <c r="C812" s="2" t="s">
        <v>423</v>
      </c>
      <c r="D812" s="2" t="s">
        <v>66</v>
      </c>
      <c r="E812" s="2">
        <v>0</v>
      </c>
      <c r="F812" s="2">
        <v>10</v>
      </c>
      <c r="G812" s="2">
        <v>0</v>
      </c>
      <c r="H812" s="2">
        <v>0</v>
      </c>
      <c r="I812" s="2">
        <v>0</v>
      </c>
      <c r="J812" s="2" t="s">
        <v>1779</v>
      </c>
      <c r="K812" s="2">
        <v>10</v>
      </c>
      <c r="L812" s="2">
        <v>0</v>
      </c>
      <c r="M812" s="2">
        <v>10</v>
      </c>
      <c r="N812" s="2">
        <v>0</v>
      </c>
      <c r="O812" s="2">
        <v>0</v>
      </c>
      <c r="P812" s="2">
        <v>0</v>
      </c>
      <c r="Q812" s="2" t="s">
        <v>862</v>
      </c>
      <c r="R812" s="2" t="s">
        <v>862</v>
      </c>
      <c r="S812" s="4">
        <v>44837</v>
      </c>
    </row>
    <row r="813" spans="1:19" ht="12.5" hidden="1" x14ac:dyDescent="0.25">
      <c r="A813" s="14" t="str">
        <f>HYPERLINK("https://gerandofalcoes.my.salesforce.com/0014P00003MjOsqQAF", "0014P00003MjOsqQAF")</f>
        <v>0014P00003MjOsqQAF</v>
      </c>
      <c r="B813" s="2" t="s">
        <v>2977</v>
      </c>
      <c r="C813" s="2" t="s">
        <v>1684</v>
      </c>
      <c r="D813" s="2" t="s">
        <v>66</v>
      </c>
      <c r="E813" s="2">
        <v>0</v>
      </c>
      <c r="F813" s="2">
        <v>6</v>
      </c>
      <c r="G813" s="2">
        <v>1</v>
      </c>
      <c r="H813" s="2">
        <v>0</v>
      </c>
      <c r="I813" s="2">
        <v>0</v>
      </c>
      <c r="J813" s="2" t="s">
        <v>1779</v>
      </c>
      <c r="K813" s="2">
        <v>14</v>
      </c>
      <c r="L813" s="2">
        <v>0</v>
      </c>
      <c r="M813" s="2">
        <v>10</v>
      </c>
      <c r="N813" s="2">
        <v>4</v>
      </c>
      <c r="O813" s="2">
        <v>0</v>
      </c>
      <c r="P813" s="2">
        <v>0</v>
      </c>
      <c r="Q813" s="2" t="s">
        <v>71</v>
      </c>
      <c r="R813" s="2" t="s">
        <v>870</v>
      </c>
      <c r="S813" s="4">
        <v>44837</v>
      </c>
    </row>
    <row r="814" spans="1:19" ht="12.5" x14ac:dyDescent="0.25">
      <c r="A814" s="14" t="str">
        <f>HYPERLINK("https://gerandofalcoes.my.salesforce.com/0014P00003MjR9oQAF", "0014P00003MjR9oQAF")</f>
        <v>0014P00003MjR9oQAF</v>
      </c>
      <c r="B814" s="2" t="s">
        <v>2978</v>
      </c>
      <c r="C814" s="2" t="s">
        <v>423</v>
      </c>
      <c r="D814" s="2" t="s">
        <v>66</v>
      </c>
      <c r="E814" s="2">
        <v>0</v>
      </c>
      <c r="F814" s="2">
        <v>23</v>
      </c>
      <c r="G814" s="2">
        <v>1</v>
      </c>
      <c r="H814" s="2">
        <v>0</v>
      </c>
      <c r="I814" s="2">
        <v>0</v>
      </c>
      <c r="J814" s="2" t="s">
        <v>1779</v>
      </c>
      <c r="K814" s="2">
        <v>16</v>
      </c>
      <c r="L814" s="2">
        <v>0</v>
      </c>
      <c r="M814" s="2">
        <v>12</v>
      </c>
      <c r="N814" s="2">
        <v>4</v>
      </c>
      <c r="O814" s="2">
        <v>0</v>
      </c>
      <c r="P814" s="2">
        <v>0</v>
      </c>
      <c r="Q814" s="2" t="s">
        <v>67</v>
      </c>
      <c r="R814" s="2" t="s">
        <v>2979</v>
      </c>
      <c r="S814" s="4">
        <v>44837</v>
      </c>
    </row>
    <row r="815" spans="1:19" ht="12.5" x14ac:dyDescent="0.25">
      <c r="A815" s="14" t="str">
        <f>HYPERLINK("https://gerandofalcoes.my.salesforce.com/0014X00002YggmtQAB", "0014X00002YggmtQAB")</f>
        <v>0014X00002YggmtQAB</v>
      </c>
      <c r="B815" s="2" t="s">
        <v>3913</v>
      </c>
      <c r="C815" s="2" t="s">
        <v>423</v>
      </c>
      <c r="D815" s="2" t="s">
        <v>2</v>
      </c>
      <c r="E815" s="2">
        <v>0</v>
      </c>
      <c r="F815" s="2">
        <v>0</v>
      </c>
      <c r="G815" s="2">
        <v>3</v>
      </c>
      <c r="H815" s="2">
        <v>28000</v>
      </c>
      <c r="I815" s="2">
        <v>0</v>
      </c>
      <c r="J815" s="2"/>
      <c r="K815" s="2">
        <v>18</v>
      </c>
      <c r="L815" s="2">
        <v>0</v>
      </c>
      <c r="M815" s="2">
        <v>0</v>
      </c>
      <c r="N815" s="2">
        <v>8</v>
      </c>
      <c r="O815" s="2">
        <v>10</v>
      </c>
      <c r="P815" s="2">
        <v>0</v>
      </c>
      <c r="Q815" s="2" t="s">
        <v>3914</v>
      </c>
      <c r="R815" s="2" t="s">
        <v>3915</v>
      </c>
      <c r="S815" s="4">
        <v>45169</v>
      </c>
    </row>
    <row r="816" spans="1:19" ht="12.5" x14ac:dyDescent="0.25">
      <c r="A816" s="14" t="str">
        <f>HYPERLINK("https://gerandofalcoes.my.salesforce.com/0014X00002dicyjQAA", "0014X00002dicyjQAA")</f>
        <v>0014X00002dicyjQAA</v>
      </c>
      <c r="B816" s="2" t="s">
        <v>3910</v>
      </c>
      <c r="C816" s="2" t="s">
        <v>423</v>
      </c>
      <c r="D816" s="2" t="s">
        <v>2</v>
      </c>
      <c r="E816" s="2">
        <v>0</v>
      </c>
      <c r="F816" s="2">
        <v>0</v>
      </c>
      <c r="G816" s="2">
        <v>0</v>
      </c>
      <c r="H816" s="2">
        <v>0</v>
      </c>
      <c r="I816" s="2">
        <v>0</v>
      </c>
      <c r="J816" s="2"/>
      <c r="K816" s="2">
        <v>0</v>
      </c>
      <c r="L816" s="2">
        <v>0</v>
      </c>
      <c r="M816" s="2">
        <v>0</v>
      </c>
      <c r="N816" s="2">
        <v>0</v>
      </c>
      <c r="O816" s="2">
        <v>0</v>
      </c>
      <c r="P816" s="2">
        <v>0</v>
      </c>
      <c r="Q816" s="2" t="s">
        <v>3911</v>
      </c>
      <c r="R816" s="2" t="s">
        <v>3912</v>
      </c>
      <c r="S816" s="4">
        <v>45169</v>
      </c>
    </row>
    <row r="817" spans="1:19" ht="12.5" x14ac:dyDescent="0.25">
      <c r="A817" s="14" t="str">
        <f>HYPERLINK("https://gerandofalcoes.my.salesforce.com/0014X00002YggqnQAB", "0014X00002YggqnQAB")</f>
        <v>0014X00002YggqnQAB</v>
      </c>
      <c r="B817" s="2" t="s">
        <v>4210</v>
      </c>
      <c r="C817" s="2" t="s">
        <v>423</v>
      </c>
      <c r="D817" s="2" t="s">
        <v>2</v>
      </c>
      <c r="E817" s="2">
        <v>0</v>
      </c>
      <c r="F817" s="2">
        <v>0</v>
      </c>
      <c r="G817" s="2">
        <v>2</v>
      </c>
      <c r="H817" s="2">
        <v>100000</v>
      </c>
      <c r="I817" s="2">
        <v>0</v>
      </c>
      <c r="J817" s="2"/>
      <c r="K817" s="2">
        <v>21</v>
      </c>
      <c r="L817" s="2">
        <v>0</v>
      </c>
      <c r="M817" s="2">
        <v>0</v>
      </c>
      <c r="N817" s="2">
        <v>6</v>
      </c>
      <c r="O817" s="2">
        <v>15</v>
      </c>
      <c r="P817" s="2">
        <v>0</v>
      </c>
      <c r="Q817" s="2" t="s">
        <v>4211</v>
      </c>
      <c r="R817" s="2" t="s">
        <v>4212</v>
      </c>
      <c r="S817" s="4">
        <v>45169</v>
      </c>
    </row>
    <row r="818" spans="1:19" ht="12.5" x14ac:dyDescent="0.25">
      <c r="A818" s="14" t="str">
        <f>HYPERLINK("https://gerandofalcoes.my.salesforce.com/0014P00003AN2GFQA1", "0014P00003AN2GFQA1")</f>
        <v>0014P00003AN2GFQA1</v>
      </c>
      <c r="B818" s="2" t="s">
        <v>2980</v>
      </c>
      <c r="C818" s="2" t="s">
        <v>423</v>
      </c>
      <c r="D818" s="2" t="s">
        <v>2</v>
      </c>
      <c r="E818" s="2"/>
      <c r="F818" s="2">
        <v>23</v>
      </c>
      <c r="G818" s="2">
        <v>4</v>
      </c>
      <c r="H818" s="2">
        <v>531000</v>
      </c>
      <c r="I818" s="2">
        <v>15185</v>
      </c>
      <c r="J818" s="2" t="s">
        <v>1671</v>
      </c>
      <c r="K818" s="2">
        <v>62</v>
      </c>
      <c r="L818" s="2">
        <v>0</v>
      </c>
      <c r="M818" s="2">
        <v>12</v>
      </c>
      <c r="N818" s="2">
        <v>10</v>
      </c>
      <c r="O818" s="2">
        <v>20</v>
      </c>
      <c r="P818" s="2">
        <v>20</v>
      </c>
      <c r="Q818" s="2" t="s">
        <v>995</v>
      </c>
      <c r="R818" s="2" t="s">
        <v>995</v>
      </c>
      <c r="S818" s="4">
        <v>44837</v>
      </c>
    </row>
    <row r="819" spans="1:19" ht="12.5" x14ac:dyDescent="0.25">
      <c r="A819" s="14" t="str">
        <f>HYPERLINK("https://gerandofalcoes.my.salesforce.com/0014X00002Yggl7QAB", "0014X00002Yggl7QAB")</f>
        <v>0014X00002Yggl7QAB</v>
      </c>
      <c r="B819" s="2" t="s">
        <v>3204</v>
      </c>
      <c r="C819" s="2" t="s">
        <v>423</v>
      </c>
      <c r="D819" s="2" t="s">
        <v>2</v>
      </c>
      <c r="E819" s="2"/>
      <c r="F819" s="2">
        <v>0</v>
      </c>
      <c r="G819" s="2">
        <v>4</v>
      </c>
      <c r="H819" s="2">
        <v>20000</v>
      </c>
      <c r="I819" s="2">
        <v>2000</v>
      </c>
      <c r="J819" s="2" t="s">
        <v>1779</v>
      </c>
      <c r="K819" s="2">
        <v>35</v>
      </c>
      <c r="L819" s="2">
        <v>0</v>
      </c>
      <c r="M819" s="2">
        <v>0</v>
      </c>
      <c r="N819" s="2">
        <v>10</v>
      </c>
      <c r="O819" s="2">
        <v>5</v>
      </c>
      <c r="P819" s="2">
        <v>20</v>
      </c>
      <c r="Q819" s="2" t="s">
        <v>3205</v>
      </c>
      <c r="R819" s="2" t="s">
        <v>3206</v>
      </c>
      <c r="S819" s="4">
        <v>44951</v>
      </c>
    </row>
    <row r="820" spans="1:19" ht="12.5" x14ac:dyDescent="0.25">
      <c r="A820" s="14" t="str">
        <f>HYPERLINK("https://gerandofalcoes.my.salesforce.com/0014X00002YggorQAB", "0014X00002YggorQAB")</f>
        <v>0014X00002YggorQAB</v>
      </c>
      <c r="B820" s="2" t="s">
        <v>3855</v>
      </c>
      <c r="C820" s="2" t="s">
        <v>423</v>
      </c>
      <c r="D820" s="2" t="s">
        <v>2</v>
      </c>
      <c r="E820" s="2"/>
      <c r="F820" s="2">
        <v>1</v>
      </c>
      <c r="G820" s="2">
        <v>2</v>
      </c>
      <c r="H820" s="2">
        <v>0</v>
      </c>
      <c r="I820" s="2">
        <v>1500</v>
      </c>
      <c r="J820" s="2" t="s">
        <v>1779</v>
      </c>
      <c r="K820" s="2">
        <v>31</v>
      </c>
      <c r="L820" s="2">
        <v>0</v>
      </c>
      <c r="M820" s="2">
        <v>5</v>
      </c>
      <c r="N820" s="2">
        <v>6</v>
      </c>
      <c r="O820" s="2">
        <v>0</v>
      </c>
      <c r="P820" s="2">
        <v>20</v>
      </c>
      <c r="Q820" s="2" t="s">
        <v>3856</v>
      </c>
      <c r="R820" s="2" t="s">
        <v>3857</v>
      </c>
      <c r="S820" s="4">
        <v>45112</v>
      </c>
    </row>
    <row r="821" spans="1:19" ht="12.5" x14ac:dyDescent="0.25">
      <c r="A821" s="14" t="str">
        <f>HYPERLINK("https://gerandofalcoes.my.salesforce.com/0014X00002YgggTQAR", "0014X00002YgggTQAR")</f>
        <v>0014X00002YgggTQAR</v>
      </c>
      <c r="B821" s="2" t="s">
        <v>3569</v>
      </c>
      <c r="C821" s="2" t="s">
        <v>423</v>
      </c>
      <c r="D821" s="2" t="s">
        <v>2</v>
      </c>
      <c r="E821" s="2"/>
      <c r="F821" s="2">
        <v>25</v>
      </c>
      <c r="G821" s="2">
        <v>3</v>
      </c>
      <c r="H821" s="2">
        <v>15000</v>
      </c>
      <c r="I821" s="2">
        <v>1317</v>
      </c>
      <c r="J821" s="2" t="s">
        <v>1671</v>
      </c>
      <c r="K821" s="2">
        <v>45</v>
      </c>
      <c r="L821" s="2">
        <v>0</v>
      </c>
      <c r="M821" s="2">
        <v>12</v>
      </c>
      <c r="N821" s="2">
        <v>8</v>
      </c>
      <c r="O821" s="2">
        <v>5</v>
      </c>
      <c r="P821" s="2">
        <v>20</v>
      </c>
      <c r="Q821" s="2" t="s">
        <v>3570</v>
      </c>
      <c r="R821" s="2" t="s">
        <v>3570</v>
      </c>
      <c r="S821" s="4">
        <v>44960</v>
      </c>
    </row>
    <row r="822" spans="1:19" ht="12.5" x14ac:dyDescent="0.25">
      <c r="A822" s="14" t="str">
        <f>HYPERLINK("https://gerandofalcoes.my.salesforce.com/0014P00003AN2GAQA1", "0014P00003AN2GAQA1")</f>
        <v>0014P00003AN2GAQA1</v>
      </c>
      <c r="B822" s="2" t="s">
        <v>2981</v>
      </c>
      <c r="C822" s="2" t="s">
        <v>423</v>
      </c>
      <c r="D822" s="2" t="s">
        <v>2</v>
      </c>
      <c r="E822" s="2"/>
      <c r="F822" s="2">
        <v>1</v>
      </c>
      <c r="G822" s="2">
        <v>0</v>
      </c>
      <c r="H822" s="2">
        <v>0</v>
      </c>
      <c r="I822" s="2">
        <v>1200</v>
      </c>
      <c r="J822" s="2" t="s">
        <v>1779</v>
      </c>
      <c r="K822" s="2">
        <v>25</v>
      </c>
      <c r="L822" s="2">
        <v>0</v>
      </c>
      <c r="M822" s="2">
        <v>5</v>
      </c>
      <c r="N822" s="2">
        <v>0</v>
      </c>
      <c r="O822" s="2">
        <v>0</v>
      </c>
      <c r="P822" s="2">
        <v>20</v>
      </c>
      <c r="Q822" s="2" t="s">
        <v>2982</v>
      </c>
      <c r="R822" s="2" t="s">
        <v>2982</v>
      </c>
      <c r="S822" s="4">
        <v>44837</v>
      </c>
    </row>
    <row r="823" spans="1:19" ht="12.5" x14ac:dyDescent="0.25">
      <c r="A823" s="14" t="str">
        <f>HYPERLINK("https://gerandofalcoes.my.salesforce.com/0014X00002YggiJQAR", "0014X00002YggiJQAR")</f>
        <v>0014X00002YggiJQAR</v>
      </c>
      <c r="B823" s="2" t="s">
        <v>3069</v>
      </c>
      <c r="C823" s="2" t="s">
        <v>423</v>
      </c>
      <c r="D823" s="2" t="s">
        <v>2</v>
      </c>
      <c r="E823" s="2"/>
      <c r="F823" s="2">
        <v>1</v>
      </c>
      <c r="G823" s="2">
        <v>2</v>
      </c>
      <c r="H823" s="2">
        <v>0</v>
      </c>
      <c r="I823" s="2">
        <v>1200</v>
      </c>
      <c r="J823" s="2" t="s">
        <v>1779</v>
      </c>
      <c r="K823" s="2">
        <v>31</v>
      </c>
      <c r="L823" s="2">
        <v>0</v>
      </c>
      <c r="M823" s="2">
        <v>5</v>
      </c>
      <c r="N823" s="2">
        <v>6</v>
      </c>
      <c r="O823" s="2">
        <v>0</v>
      </c>
      <c r="P823" s="2">
        <v>20</v>
      </c>
      <c r="Q823" s="2" t="s">
        <v>3070</v>
      </c>
      <c r="R823" s="2" t="s">
        <v>3071</v>
      </c>
      <c r="S823" s="4">
        <v>44946</v>
      </c>
    </row>
    <row r="824" spans="1:19" ht="12.5" x14ac:dyDescent="0.25">
      <c r="A824" s="14" t="str">
        <f>HYPERLINK("https://gerandofalcoes.my.salesforce.com/0014X00002YggnKQAR", "0014X00002YggnKQAR")</f>
        <v>0014X00002YggnKQAR</v>
      </c>
      <c r="B824" s="2" t="s">
        <v>3207</v>
      </c>
      <c r="C824" s="2" t="s">
        <v>423</v>
      </c>
      <c r="D824" s="2" t="s">
        <v>2</v>
      </c>
      <c r="E824" s="2"/>
      <c r="F824" s="2">
        <v>0</v>
      </c>
      <c r="G824" s="2">
        <v>4</v>
      </c>
      <c r="H824" s="2">
        <v>83242522</v>
      </c>
      <c r="I824" s="2">
        <v>1117</v>
      </c>
      <c r="J824" s="2" t="s">
        <v>1671</v>
      </c>
      <c r="K824" s="2">
        <v>55</v>
      </c>
      <c r="L824" s="2">
        <v>0</v>
      </c>
      <c r="M824" s="2">
        <v>0</v>
      </c>
      <c r="N824" s="2">
        <v>10</v>
      </c>
      <c r="O824" s="2">
        <v>25</v>
      </c>
      <c r="P824" s="2">
        <v>20</v>
      </c>
      <c r="Q824" s="2" t="s">
        <v>3208</v>
      </c>
      <c r="R824" s="2" t="s">
        <v>3209</v>
      </c>
      <c r="S824" s="4">
        <v>44951</v>
      </c>
    </row>
    <row r="825" spans="1:19" ht="12.5" x14ac:dyDescent="0.25">
      <c r="A825" s="14" t="str">
        <f>HYPERLINK("https://gerandofalcoes.my.salesforce.com/0014X00002YggkqQAB", "0014X00002YggkqQAB")</f>
        <v>0014X00002YggkqQAB</v>
      </c>
      <c r="B825" s="2" t="s">
        <v>3035</v>
      </c>
      <c r="C825" s="2" t="s">
        <v>423</v>
      </c>
      <c r="D825" s="2" t="s">
        <v>2</v>
      </c>
      <c r="E825" s="2"/>
      <c r="F825" s="2">
        <v>0</v>
      </c>
      <c r="G825" s="2">
        <v>3</v>
      </c>
      <c r="H825" s="2">
        <v>11000</v>
      </c>
      <c r="I825" s="2">
        <v>530</v>
      </c>
      <c r="J825" s="2" t="s">
        <v>1779</v>
      </c>
      <c r="K825" s="2">
        <v>33</v>
      </c>
      <c r="L825" s="2">
        <v>0</v>
      </c>
      <c r="M825" s="2">
        <v>0</v>
      </c>
      <c r="N825" s="2">
        <v>8</v>
      </c>
      <c r="O825" s="2">
        <v>5</v>
      </c>
      <c r="P825" s="2">
        <v>20</v>
      </c>
      <c r="Q825" s="2" t="s">
        <v>3036</v>
      </c>
      <c r="R825" s="2" t="s">
        <v>3037</v>
      </c>
      <c r="S825" s="4">
        <v>44945</v>
      </c>
    </row>
    <row r="826" spans="1:19" ht="12.5" x14ac:dyDescent="0.25">
      <c r="A826" s="14" t="str">
        <f>HYPERLINK("https://gerandofalcoes.my.salesforce.com/0014X00002Yggh1QAB", "0014X00002Yggh1QAB")</f>
        <v>0014X00002Yggh1QAB</v>
      </c>
      <c r="B826" s="2" t="s">
        <v>3675</v>
      </c>
      <c r="C826" s="2" t="s">
        <v>423</v>
      </c>
      <c r="D826" s="2" t="s">
        <v>2</v>
      </c>
      <c r="E826" s="2"/>
      <c r="F826" s="2">
        <v>23</v>
      </c>
      <c r="G826" s="2">
        <v>6</v>
      </c>
      <c r="H826" s="2">
        <v>99279054</v>
      </c>
      <c r="I826" s="2">
        <v>520</v>
      </c>
      <c r="J826" s="2" t="s">
        <v>1650</v>
      </c>
      <c r="K826" s="2">
        <v>67</v>
      </c>
      <c r="L826" s="2">
        <v>0</v>
      </c>
      <c r="M826" s="2">
        <v>12</v>
      </c>
      <c r="N826" s="2">
        <v>10</v>
      </c>
      <c r="O826" s="2">
        <v>25</v>
      </c>
      <c r="P826" s="2">
        <v>20</v>
      </c>
      <c r="Q826" s="2" t="s">
        <v>3676</v>
      </c>
      <c r="R826" s="2" t="s">
        <v>3677</v>
      </c>
      <c r="S826" s="4">
        <v>44964</v>
      </c>
    </row>
    <row r="827" spans="1:19" ht="12.5" x14ac:dyDescent="0.25">
      <c r="A827" s="14" t="str">
        <f>HYPERLINK("https://gerandofalcoes.my.salesforce.com/0014X00002YggkfQAB", "0014X00002YggkfQAB")</f>
        <v>0014X00002YggkfQAB</v>
      </c>
      <c r="B827" s="2" t="s">
        <v>3006</v>
      </c>
      <c r="C827" s="2" t="s">
        <v>423</v>
      </c>
      <c r="D827" s="2" t="s">
        <v>2</v>
      </c>
      <c r="E827" s="2"/>
      <c r="F827" s="2">
        <v>8</v>
      </c>
      <c r="G827" s="2">
        <v>2</v>
      </c>
      <c r="H827" s="2">
        <v>700</v>
      </c>
      <c r="I827" s="2">
        <v>400</v>
      </c>
      <c r="J827" s="2" t="s">
        <v>1779</v>
      </c>
      <c r="K827" s="2">
        <v>36</v>
      </c>
      <c r="L827" s="2">
        <v>0</v>
      </c>
      <c r="M827" s="2">
        <v>10</v>
      </c>
      <c r="N827" s="2">
        <v>6</v>
      </c>
      <c r="O827" s="2">
        <v>5</v>
      </c>
      <c r="P827" s="2">
        <v>15</v>
      </c>
      <c r="Q827" s="2" t="s">
        <v>3007</v>
      </c>
      <c r="R827" s="2" t="s">
        <v>3007</v>
      </c>
      <c r="S827" s="4">
        <v>44944</v>
      </c>
    </row>
    <row r="828" spans="1:19" ht="12.5" x14ac:dyDescent="0.25">
      <c r="A828" s="14" t="str">
        <f>HYPERLINK("https://gerandofalcoes.my.salesforce.com/0014X00002YgghNQAR", "0014X00002YgghNQAR")</f>
        <v>0014X00002YgghNQAR</v>
      </c>
      <c r="B828" s="2" t="s">
        <v>3268</v>
      </c>
      <c r="C828" s="2" t="s">
        <v>423</v>
      </c>
      <c r="D828" s="2" t="s">
        <v>2</v>
      </c>
      <c r="E828" s="2"/>
      <c r="F828" s="2">
        <v>0</v>
      </c>
      <c r="G828" s="2">
        <v>5</v>
      </c>
      <c r="H828" s="2">
        <v>150</v>
      </c>
      <c r="I828" s="2">
        <v>350</v>
      </c>
      <c r="J828" s="2" t="s">
        <v>1779</v>
      </c>
      <c r="K828" s="2">
        <v>30</v>
      </c>
      <c r="L828" s="2">
        <v>0</v>
      </c>
      <c r="M828" s="2">
        <v>0</v>
      </c>
      <c r="N828" s="2">
        <v>10</v>
      </c>
      <c r="O828" s="2">
        <v>5</v>
      </c>
      <c r="P828" s="2">
        <v>15</v>
      </c>
      <c r="Q828" s="2" t="s">
        <v>3269</v>
      </c>
      <c r="R828" s="2" t="s">
        <v>3269</v>
      </c>
      <c r="S828" s="4">
        <v>44952</v>
      </c>
    </row>
    <row r="829" spans="1:19" ht="12.5" x14ac:dyDescent="0.25">
      <c r="A829" s="14" t="str">
        <f>HYPERLINK("https://gerandofalcoes.my.salesforce.com/0014X00002YggpdQAB", "0014X00002YggpdQAB")</f>
        <v>0014X00002YggpdQAB</v>
      </c>
      <c r="B829" s="2" t="s">
        <v>3858</v>
      </c>
      <c r="C829" s="2" t="s">
        <v>423</v>
      </c>
      <c r="D829" s="2" t="s">
        <v>2</v>
      </c>
      <c r="E829" s="2"/>
      <c r="F829" s="2">
        <v>0</v>
      </c>
      <c r="G829" s="2">
        <v>3</v>
      </c>
      <c r="H829" s="2">
        <v>3000</v>
      </c>
      <c r="I829" s="2">
        <v>350</v>
      </c>
      <c r="J829" s="2" t="s">
        <v>1779</v>
      </c>
      <c r="K829" s="2">
        <v>28</v>
      </c>
      <c r="L829" s="2">
        <v>0</v>
      </c>
      <c r="M829" s="2">
        <v>0</v>
      </c>
      <c r="N829" s="2">
        <v>8</v>
      </c>
      <c r="O829" s="2">
        <v>5</v>
      </c>
      <c r="P829" s="2">
        <v>15</v>
      </c>
      <c r="Q829" s="2" t="s">
        <v>3859</v>
      </c>
      <c r="R829" s="2" t="s">
        <v>3859</v>
      </c>
      <c r="S829" s="4">
        <v>45112</v>
      </c>
    </row>
    <row r="830" spans="1:19" ht="12.5" x14ac:dyDescent="0.25">
      <c r="A830" s="14" t="str">
        <f>HYPERLINK("https://gerandofalcoes.my.salesforce.com/0014X00002YggoaQAB", "0014X00002YggoaQAB")</f>
        <v>0014X00002YggoaQAB</v>
      </c>
      <c r="B830" s="2" t="s">
        <v>3340</v>
      </c>
      <c r="C830" s="2" t="s">
        <v>423</v>
      </c>
      <c r="D830" s="2" t="s">
        <v>2</v>
      </c>
      <c r="E830" s="2"/>
      <c r="F830" s="2">
        <v>10</v>
      </c>
      <c r="G830" s="2">
        <v>4</v>
      </c>
      <c r="H830" s="2">
        <v>581000</v>
      </c>
      <c r="I830" s="2">
        <v>323</v>
      </c>
      <c r="J830" s="2" t="s">
        <v>1671</v>
      </c>
      <c r="K830" s="2">
        <v>55</v>
      </c>
      <c r="L830" s="2">
        <v>0</v>
      </c>
      <c r="M830" s="2">
        <v>10</v>
      </c>
      <c r="N830" s="2">
        <v>10</v>
      </c>
      <c r="O830" s="2">
        <v>20</v>
      </c>
      <c r="P830" s="2">
        <v>15</v>
      </c>
      <c r="Q830" s="2" t="s">
        <v>3341</v>
      </c>
      <c r="R830" s="2" t="s">
        <v>3342</v>
      </c>
      <c r="S830" s="4">
        <v>44953</v>
      </c>
    </row>
    <row r="831" spans="1:19" ht="12.5" x14ac:dyDescent="0.25">
      <c r="A831" s="14" t="str">
        <f>HYPERLINK("https://gerandofalcoes.my.salesforce.com/0014X00002YggnQQAR", "0014X00002YggnQQAR")</f>
        <v>0014X00002YggnQQAR</v>
      </c>
      <c r="B831" s="2" t="s">
        <v>3210</v>
      </c>
      <c r="C831" s="2" t="s">
        <v>423</v>
      </c>
      <c r="D831" s="2" t="s">
        <v>2</v>
      </c>
      <c r="E831" s="2"/>
      <c r="F831" s="2">
        <v>12</v>
      </c>
      <c r="G831" s="2">
        <v>5</v>
      </c>
      <c r="H831" s="2">
        <v>226000</v>
      </c>
      <c r="I831" s="2">
        <v>323</v>
      </c>
      <c r="J831" s="2" t="s">
        <v>1671</v>
      </c>
      <c r="K831" s="2">
        <v>52</v>
      </c>
      <c r="L831" s="2">
        <v>0</v>
      </c>
      <c r="M831" s="2">
        <v>12</v>
      </c>
      <c r="N831" s="2">
        <v>10</v>
      </c>
      <c r="O831" s="2">
        <v>15</v>
      </c>
      <c r="P831" s="2">
        <v>15</v>
      </c>
      <c r="Q831" s="2" t="s">
        <v>3211</v>
      </c>
      <c r="R831" s="2" t="s">
        <v>3212</v>
      </c>
      <c r="S831" s="4">
        <v>44951</v>
      </c>
    </row>
    <row r="832" spans="1:19" ht="12.5" x14ac:dyDescent="0.25">
      <c r="A832" s="14" t="str">
        <f>HYPERLINK("https://gerandofalcoes.my.salesforce.com/0014X00002YggqFQAR", "0014X00002YggqFQAR")</f>
        <v>0014X00002YggqFQAR</v>
      </c>
      <c r="B832" s="2" t="s">
        <v>3571</v>
      </c>
      <c r="C832" s="2" t="s">
        <v>423</v>
      </c>
      <c r="D832" s="2" t="s">
        <v>2</v>
      </c>
      <c r="E832" s="2"/>
      <c r="F832" s="2">
        <v>20</v>
      </c>
      <c r="G832" s="2">
        <v>5</v>
      </c>
      <c r="H832" s="2">
        <v>128992691</v>
      </c>
      <c r="I832" s="2">
        <v>314</v>
      </c>
      <c r="J832" s="2" t="s">
        <v>1671</v>
      </c>
      <c r="K832" s="2">
        <v>62</v>
      </c>
      <c r="L832" s="2">
        <v>0</v>
      </c>
      <c r="M832" s="2">
        <v>12</v>
      </c>
      <c r="N832" s="2">
        <v>10</v>
      </c>
      <c r="O832" s="2">
        <v>25</v>
      </c>
      <c r="P832" s="2">
        <v>15</v>
      </c>
      <c r="Q832" s="2" t="s">
        <v>3572</v>
      </c>
      <c r="R832" s="2" t="s">
        <v>3573</v>
      </c>
      <c r="S832" s="4">
        <v>44960</v>
      </c>
    </row>
    <row r="833" spans="1:19" ht="12.5" x14ac:dyDescent="0.25">
      <c r="A833" s="14" t="str">
        <f>HYPERLINK("https://gerandofalcoes.my.salesforce.com/0014X00002YgghdQAB", "0014X00002YgghdQAB")</f>
        <v>0014X00002YgghdQAB</v>
      </c>
      <c r="B833" s="2" t="s">
        <v>3163</v>
      </c>
      <c r="C833" s="2" t="s">
        <v>423</v>
      </c>
      <c r="D833" s="2" t="s">
        <v>2</v>
      </c>
      <c r="E833" s="2"/>
      <c r="F833" s="2">
        <v>0</v>
      </c>
      <c r="G833" s="2">
        <v>4</v>
      </c>
      <c r="H833" s="2">
        <v>2000</v>
      </c>
      <c r="I833" s="2">
        <v>300</v>
      </c>
      <c r="J833" s="2" t="s">
        <v>1779</v>
      </c>
      <c r="K833" s="2">
        <v>30</v>
      </c>
      <c r="L833" s="2">
        <v>0</v>
      </c>
      <c r="M833" s="2">
        <v>0</v>
      </c>
      <c r="N833" s="2">
        <v>10</v>
      </c>
      <c r="O833" s="2">
        <v>5</v>
      </c>
      <c r="P833" s="2">
        <v>15</v>
      </c>
      <c r="Q833" s="2" t="s">
        <v>3164</v>
      </c>
      <c r="R833" s="2" t="s">
        <v>3165</v>
      </c>
      <c r="S833" s="4">
        <v>44950</v>
      </c>
    </row>
    <row r="834" spans="1:19" ht="12.5" x14ac:dyDescent="0.25">
      <c r="A834" s="14" t="str">
        <f>HYPERLINK("https://gerandofalcoes.my.salesforce.com/0014X00002Yggo7QAB", "0014X00002Yggo7QAB")</f>
        <v>0014X00002Yggo7QAB</v>
      </c>
      <c r="B834" s="2" t="s">
        <v>3270</v>
      </c>
      <c r="C834" s="2" t="s">
        <v>423</v>
      </c>
      <c r="D834" s="2" t="s">
        <v>2</v>
      </c>
      <c r="E834" s="2"/>
      <c r="F834" s="2">
        <v>0</v>
      </c>
      <c r="G834" s="2">
        <v>2</v>
      </c>
      <c r="H834" s="2">
        <v>9000</v>
      </c>
      <c r="I834" s="2">
        <v>300</v>
      </c>
      <c r="J834" s="2" t="s">
        <v>1779</v>
      </c>
      <c r="K834" s="2">
        <v>26</v>
      </c>
      <c r="L834" s="2">
        <v>0</v>
      </c>
      <c r="M834" s="2">
        <v>0</v>
      </c>
      <c r="N834" s="2">
        <v>6</v>
      </c>
      <c r="O834" s="2">
        <v>5</v>
      </c>
      <c r="P834" s="2">
        <v>15</v>
      </c>
      <c r="Q834" s="2" t="s">
        <v>3271</v>
      </c>
      <c r="R834" s="2" t="s">
        <v>3271</v>
      </c>
      <c r="S834" s="4">
        <v>44952</v>
      </c>
    </row>
    <row r="835" spans="1:19" ht="12.5" hidden="1" x14ac:dyDescent="0.25">
      <c r="A835" s="14" t="str">
        <f>HYPERLINK("https://gerandofalcoes.my.salesforce.com/0014P00003ERakHQAT", "0014P00003ERakHQAT")</f>
        <v>0014P00003ERakHQAT</v>
      </c>
      <c r="B835" s="2" t="s">
        <v>2983</v>
      </c>
      <c r="C835" s="2" t="s">
        <v>1684</v>
      </c>
      <c r="D835" s="2" t="s">
        <v>2</v>
      </c>
      <c r="E835" s="2"/>
      <c r="F835" s="2">
        <v>0</v>
      </c>
      <c r="G835" s="2">
        <v>0</v>
      </c>
      <c r="H835" s="2">
        <v>0</v>
      </c>
      <c r="I835" s="2">
        <v>300</v>
      </c>
      <c r="J835" s="2" t="s">
        <v>1779</v>
      </c>
      <c r="K835" s="2">
        <v>15</v>
      </c>
      <c r="L835" s="2">
        <v>0</v>
      </c>
      <c r="M835" s="2">
        <v>0</v>
      </c>
      <c r="N835" s="2">
        <v>0</v>
      </c>
      <c r="O835" s="2">
        <v>0</v>
      </c>
      <c r="P835" s="2">
        <v>15</v>
      </c>
      <c r="Q835" s="2" t="s">
        <v>2984</v>
      </c>
      <c r="R835" s="2" t="s">
        <v>2984</v>
      </c>
      <c r="S835" s="4">
        <v>44837</v>
      </c>
    </row>
    <row r="836" spans="1:19" ht="12.5" x14ac:dyDescent="0.25">
      <c r="A836" s="14" t="str">
        <f>HYPERLINK("https://gerandofalcoes.my.salesforce.com/0014X00002YggpXQAR", "0014X00002YggpXQAR")</f>
        <v>0014X00002YggpXQAR</v>
      </c>
      <c r="B836" s="2" t="s">
        <v>3597</v>
      </c>
      <c r="C836" s="2" t="s">
        <v>423</v>
      </c>
      <c r="D836" s="2" t="s">
        <v>2</v>
      </c>
      <c r="E836" s="2"/>
      <c r="F836" s="2">
        <v>0</v>
      </c>
      <c r="G836" s="2">
        <v>3</v>
      </c>
      <c r="H836" s="2">
        <v>48</v>
      </c>
      <c r="I836" s="2">
        <v>270</v>
      </c>
      <c r="J836" s="2" t="s">
        <v>1779</v>
      </c>
      <c r="K836" s="2">
        <v>25</v>
      </c>
      <c r="L836" s="2">
        <v>0</v>
      </c>
      <c r="M836" s="2">
        <v>0</v>
      </c>
      <c r="N836" s="2">
        <v>8</v>
      </c>
      <c r="O836" s="2">
        <v>5</v>
      </c>
      <c r="P836" s="2">
        <v>12</v>
      </c>
      <c r="Q836" s="2" t="s">
        <v>3598</v>
      </c>
      <c r="R836" s="2" t="s">
        <v>3599</v>
      </c>
      <c r="S836" s="4">
        <v>44962</v>
      </c>
    </row>
    <row r="837" spans="1:19" ht="12.5" x14ac:dyDescent="0.25">
      <c r="A837" s="14" t="str">
        <f>HYPERLINK("https://gerandofalcoes.my.salesforce.com/0014X00002YgggWQAR", "0014X00002YgggWQAR")</f>
        <v>0014X00002YgggWQAR</v>
      </c>
      <c r="B837" s="2" t="s">
        <v>3476</v>
      </c>
      <c r="C837" s="2" t="s">
        <v>423</v>
      </c>
      <c r="D837" s="2" t="s">
        <v>2</v>
      </c>
      <c r="E837" s="2"/>
      <c r="F837" s="2">
        <v>0</v>
      </c>
      <c r="G837" s="2">
        <v>2</v>
      </c>
      <c r="H837" s="2">
        <v>0</v>
      </c>
      <c r="I837" s="2">
        <v>250</v>
      </c>
      <c r="J837" s="2" t="s">
        <v>1779</v>
      </c>
      <c r="K837" s="2">
        <v>18</v>
      </c>
      <c r="L837" s="2">
        <v>0</v>
      </c>
      <c r="M837" s="2">
        <v>0</v>
      </c>
      <c r="N837" s="2">
        <v>6</v>
      </c>
      <c r="O837" s="2">
        <v>0</v>
      </c>
      <c r="P837" s="2">
        <v>12</v>
      </c>
      <c r="Q837" s="2" t="s">
        <v>3477</v>
      </c>
      <c r="R837" s="2" t="s">
        <v>3478</v>
      </c>
      <c r="S837" s="4">
        <v>44958</v>
      </c>
    </row>
    <row r="838" spans="1:19" ht="12.5" x14ac:dyDescent="0.25">
      <c r="A838" s="14" t="str">
        <f>HYPERLINK("https://gerandofalcoes.my.salesforce.com/0014X00002YggqpQAB", "0014X00002YggqpQAB")</f>
        <v>0014X00002YggqpQAB</v>
      </c>
      <c r="B838" s="2" t="s">
        <v>3626</v>
      </c>
      <c r="C838" s="2" t="s">
        <v>423</v>
      </c>
      <c r="D838" s="2" t="s">
        <v>2</v>
      </c>
      <c r="E838" s="2"/>
      <c r="F838" s="2">
        <v>0</v>
      </c>
      <c r="G838" s="2">
        <v>2</v>
      </c>
      <c r="H838" s="2">
        <v>146129</v>
      </c>
      <c r="I838" s="2">
        <v>250</v>
      </c>
      <c r="J838" s="2" t="s">
        <v>1779</v>
      </c>
      <c r="K838" s="2">
        <v>33</v>
      </c>
      <c r="L838" s="2">
        <v>0</v>
      </c>
      <c r="M838" s="2">
        <v>0</v>
      </c>
      <c r="N838" s="2">
        <v>6</v>
      </c>
      <c r="O838" s="2">
        <v>15</v>
      </c>
      <c r="P838" s="2">
        <v>12</v>
      </c>
      <c r="Q838" s="2" t="s">
        <v>3627</v>
      </c>
      <c r="R838" s="2" t="s">
        <v>2993</v>
      </c>
      <c r="S838" s="4">
        <v>44963</v>
      </c>
    </row>
    <row r="839" spans="1:19" ht="12.5" x14ac:dyDescent="0.25">
      <c r="A839" s="14" t="str">
        <f>HYPERLINK("https://gerandofalcoes.my.salesforce.com/0014X00002YgghwQAB", "0014X00002YgghwQAB")</f>
        <v>0014X00002YgghwQAB</v>
      </c>
      <c r="B839" s="2" t="s">
        <v>3549</v>
      </c>
      <c r="C839" s="2" t="s">
        <v>423</v>
      </c>
      <c r="D839" s="2" t="s">
        <v>2</v>
      </c>
      <c r="E839" s="2"/>
      <c r="F839" s="2">
        <v>0</v>
      </c>
      <c r="G839" s="2">
        <v>3</v>
      </c>
      <c r="H839" s="2">
        <v>2403625</v>
      </c>
      <c r="I839" s="2">
        <v>250</v>
      </c>
      <c r="J839" s="2" t="s">
        <v>1671</v>
      </c>
      <c r="K839" s="2">
        <v>45</v>
      </c>
      <c r="L839" s="2">
        <v>0</v>
      </c>
      <c r="M839" s="2">
        <v>0</v>
      </c>
      <c r="N839" s="2">
        <v>8</v>
      </c>
      <c r="O839" s="2">
        <v>25</v>
      </c>
      <c r="P839" s="2">
        <v>12</v>
      </c>
      <c r="Q839" s="2" t="s">
        <v>3550</v>
      </c>
      <c r="R839" s="2" t="s">
        <v>3551</v>
      </c>
      <c r="S839" s="4">
        <v>44959</v>
      </c>
    </row>
    <row r="840" spans="1:19" ht="12.5" x14ac:dyDescent="0.25">
      <c r="A840" s="14" t="str">
        <f>HYPERLINK("https://gerandofalcoes.my.salesforce.com/0014X00002YggkxQAB", "0014X00002YggkxQAB")</f>
        <v>0014X00002YggkxQAB</v>
      </c>
      <c r="B840" s="2" t="s">
        <v>3733</v>
      </c>
      <c r="C840" s="2" t="s">
        <v>423</v>
      </c>
      <c r="D840" s="2" t="s">
        <v>2</v>
      </c>
      <c r="E840" s="2"/>
      <c r="F840" s="2">
        <v>0</v>
      </c>
      <c r="G840" s="2">
        <v>3</v>
      </c>
      <c r="H840" s="2">
        <v>80000</v>
      </c>
      <c r="I840" s="2">
        <v>250</v>
      </c>
      <c r="J840" s="2" t="s">
        <v>1779</v>
      </c>
      <c r="K840" s="2">
        <v>30</v>
      </c>
      <c r="L840" s="2">
        <v>0</v>
      </c>
      <c r="M840" s="2">
        <v>0</v>
      </c>
      <c r="N840" s="2">
        <v>8</v>
      </c>
      <c r="O840" s="2">
        <v>10</v>
      </c>
      <c r="P840" s="2">
        <v>12</v>
      </c>
      <c r="Q840" s="2" t="s">
        <v>3734</v>
      </c>
      <c r="R840" s="2" t="s">
        <v>3734</v>
      </c>
      <c r="S840" s="4">
        <v>44967</v>
      </c>
    </row>
    <row r="841" spans="1:19" ht="12.5" x14ac:dyDescent="0.25">
      <c r="A841" s="14" t="str">
        <f>HYPERLINK("https://gerandofalcoes.my.salesforce.com/0014X00002YgggVQAR", "0014X00002YgggVQAR")</f>
        <v>0014X00002YgggVQAR</v>
      </c>
      <c r="B841" s="2" t="s">
        <v>3731</v>
      </c>
      <c r="C841" s="2" t="s">
        <v>423</v>
      </c>
      <c r="D841" s="2" t="s">
        <v>2</v>
      </c>
      <c r="E841" s="2"/>
      <c r="F841" s="2">
        <v>2</v>
      </c>
      <c r="G841" s="2">
        <v>2</v>
      </c>
      <c r="H841" s="2">
        <v>150000</v>
      </c>
      <c r="I841" s="2">
        <v>250</v>
      </c>
      <c r="J841" s="2" t="s">
        <v>1779</v>
      </c>
      <c r="K841" s="2">
        <v>38</v>
      </c>
      <c r="L841" s="2">
        <v>0</v>
      </c>
      <c r="M841" s="2">
        <v>5</v>
      </c>
      <c r="N841" s="2">
        <v>6</v>
      </c>
      <c r="O841" s="2">
        <v>15</v>
      </c>
      <c r="P841" s="2">
        <v>12</v>
      </c>
      <c r="Q841" s="2" t="s">
        <v>3732</v>
      </c>
      <c r="R841" s="2" t="s">
        <v>3732</v>
      </c>
      <c r="S841" s="4">
        <v>44967</v>
      </c>
    </row>
    <row r="842" spans="1:19" ht="12.5" x14ac:dyDescent="0.25">
      <c r="A842" s="14" t="str">
        <f>HYPERLINK("https://gerandofalcoes.my.salesforce.com/0014P00003SGWQ6QAP", "0014P00003SGWQ6QAP")</f>
        <v>0014P00003SGWQ6QAP</v>
      </c>
      <c r="B842" s="2" t="s">
        <v>221</v>
      </c>
      <c r="C842" s="2" t="s">
        <v>423</v>
      </c>
      <c r="D842" s="2" t="s">
        <v>2</v>
      </c>
      <c r="E842" s="2"/>
      <c r="F842" s="2">
        <v>20</v>
      </c>
      <c r="G842" s="2">
        <v>3</v>
      </c>
      <c r="H842" s="2">
        <v>149830</v>
      </c>
      <c r="I842" s="2">
        <v>250</v>
      </c>
      <c r="J842" s="2" t="s">
        <v>1671</v>
      </c>
      <c r="K842" s="2">
        <v>47</v>
      </c>
      <c r="L842" s="2">
        <v>0</v>
      </c>
      <c r="M842" s="2">
        <v>12</v>
      </c>
      <c r="N842" s="2">
        <v>8</v>
      </c>
      <c r="O842" s="2">
        <v>15</v>
      </c>
      <c r="P842" s="2">
        <v>12</v>
      </c>
      <c r="Q842" s="2" t="s">
        <v>222</v>
      </c>
      <c r="R842" s="2" t="s">
        <v>2985</v>
      </c>
      <c r="S842" s="4">
        <v>44837</v>
      </c>
    </row>
    <row r="843" spans="1:19" ht="12.5" x14ac:dyDescent="0.25">
      <c r="A843" s="14" t="str">
        <f>HYPERLINK("https://gerandofalcoes.my.salesforce.com/0014P00003SGWPjQAP", "0014P00003SGWPjQAP")</f>
        <v>0014P00003SGWPjQAP</v>
      </c>
      <c r="B843" s="2" t="s">
        <v>2986</v>
      </c>
      <c r="C843" s="2" t="s">
        <v>423</v>
      </c>
      <c r="D843" s="2" t="s">
        <v>2</v>
      </c>
      <c r="E843" s="2"/>
      <c r="F843" s="2">
        <v>0</v>
      </c>
      <c r="G843" s="2">
        <v>0</v>
      </c>
      <c r="H843" s="2">
        <v>0</v>
      </c>
      <c r="I843" s="2">
        <v>250</v>
      </c>
      <c r="J843" s="2" t="s">
        <v>1779</v>
      </c>
      <c r="K843" s="2">
        <v>12</v>
      </c>
      <c r="L843" s="2">
        <v>0</v>
      </c>
      <c r="M843" s="2">
        <v>0</v>
      </c>
      <c r="N843" s="2">
        <v>0</v>
      </c>
      <c r="O843" s="2">
        <v>0</v>
      </c>
      <c r="P843" s="2">
        <v>12</v>
      </c>
      <c r="Q843" s="2" t="s">
        <v>303</v>
      </c>
      <c r="R843" s="2" t="s">
        <v>2987</v>
      </c>
      <c r="S843" s="4">
        <v>44837</v>
      </c>
    </row>
    <row r="844" spans="1:19" ht="12.5" x14ac:dyDescent="0.25">
      <c r="A844" s="14" t="str">
        <f>HYPERLINK("https://gerandofalcoes.my.salesforce.com/0014X00002YggpbQAB", "0014X00002YggpbQAB")</f>
        <v>0014X00002YggpbQAB</v>
      </c>
      <c r="B844" s="2" t="s">
        <v>3038</v>
      </c>
      <c r="C844" s="2" t="s">
        <v>423</v>
      </c>
      <c r="D844" s="2" t="s">
        <v>2</v>
      </c>
      <c r="E844" s="2"/>
      <c r="F844" s="2">
        <v>10</v>
      </c>
      <c r="G844" s="2">
        <v>2</v>
      </c>
      <c r="H844" s="2">
        <v>15000</v>
      </c>
      <c r="I844" s="2">
        <v>240</v>
      </c>
      <c r="J844" s="2" t="s">
        <v>1779</v>
      </c>
      <c r="K844" s="2">
        <v>33</v>
      </c>
      <c r="L844" s="2">
        <v>0</v>
      </c>
      <c r="M844" s="2">
        <v>10</v>
      </c>
      <c r="N844" s="2">
        <v>6</v>
      </c>
      <c r="O844" s="2">
        <v>5</v>
      </c>
      <c r="P844" s="2">
        <v>12</v>
      </c>
      <c r="Q844" s="2" t="s">
        <v>3039</v>
      </c>
      <c r="R844" s="2" t="s">
        <v>3039</v>
      </c>
      <c r="S844" s="4">
        <v>44945</v>
      </c>
    </row>
    <row r="845" spans="1:19" ht="12.5" x14ac:dyDescent="0.25">
      <c r="A845" s="14" t="str">
        <f>HYPERLINK("https://gerandofalcoes.my.salesforce.com/0014X00002YggkGQAR", "0014X00002YggkGQAR")</f>
        <v>0014X00002YggkGQAR</v>
      </c>
      <c r="B845" s="2" t="s">
        <v>3566</v>
      </c>
      <c r="C845" s="2" t="s">
        <v>423</v>
      </c>
      <c r="D845" s="2" t="s">
        <v>2</v>
      </c>
      <c r="E845" s="2"/>
      <c r="F845" s="2">
        <v>5</v>
      </c>
      <c r="G845" s="2">
        <v>3</v>
      </c>
      <c r="H845" s="2">
        <v>6000</v>
      </c>
      <c r="I845" s="2">
        <v>230</v>
      </c>
      <c r="J845" s="2"/>
      <c r="K845" s="2">
        <v>30</v>
      </c>
      <c r="L845" s="2">
        <v>0</v>
      </c>
      <c r="M845" s="2">
        <v>5</v>
      </c>
      <c r="N845" s="2">
        <v>8</v>
      </c>
      <c r="O845" s="2">
        <v>5</v>
      </c>
      <c r="P845" s="2">
        <v>12</v>
      </c>
      <c r="Q845" s="2" t="s">
        <v>3567</v>
      </c>
      <c r="R845" s="2" t="s">
        <v>3568</v>
      </c>
      <c r="S845" s="4">
        <v>44960</v>
      </c>
    </row>
    <row r="846" spans="1:19" ht="12.5" x14ac:dyDescent="0.25">
      <c r="A846" s="14" t="str">
        <f>HYPERLINK("https://gerandofalcoes.my.salesforce.com/0014X00002Yggm8QAB", "0014X00002Yggm8QAB")</f>
        <v>0014X00002Yggm8QAB</v>
      </c>
      <c r="B846" s="2" t="s">
        <v>3678</v>
      </c>
      <c r="C846" s="2" t="s">
        <v>423</v>
      </c>
      <c r="D846" s="2" t="s">
        <v>2</v>
      </c>
      <c r="E846" s="2"/>
      <c r="F846" s="2">
        <v>4</v>
      </c>
      <c r="G846" s="2">
        <v>3</v>
      </c>
      <c r="H846" s="2">
        <v>140000</v>
      </c>
      <c r="I846" s="2">
        <v>216</v>
      </c>
      <c r="J846" s="2" t="s">
        <v>1671</v>
      </c>
      <c r="K846" s="2">
        <v>40</v>
      </c>
      <c r="L846" s="2">
        <v>0</v>
      </c>
      <c r="M846" s="2">
        <v>5</v>
      </c>
      <c r="N846" s="2">
        <v>8</v>
      </c>
      <c r="O846" s="2">
        <v>15</v>
      </c>
      <c r="P846" s="2">
        <v>12</v>
      </c>
      <c r="Q846" s="2" t="s">
        <v>3679</v>
      </c>
      <c r="R846" s="2" t="s">
        <v>3680</v>
      </c>
      <c r="S846" s="4">
        <v>44964</v>
      </c>
    </row>
    <row r="847" spans="1:19" ht="12.5" x14ac:dyDescent="0.25">
      <c r="A847" s="14" t="str">
        <f>HYPERLINK("https://gerandofalcoes.my.salesforce.com/0014X00002Yggh6QAB", "0014X00002Yggh6QAB")</f>
        <v>0014X00002Yggh6QAB</v>
      </c>
      <c r="B847" s="2" t="s">
        <v>3122</v>
      </c>
      <c r="C847" s="2" t="s">
        <v>423</v>
      </c>
      <c r="D847" s="2" t="s">
        <v>2</v>
      </c>
      <c r="E847" s="2"/>
      <c r="F847" s="2">
        <v>6</v>
      </c>
      <c r="G847" s="2">
        <v>2</v>
      </c>
      <c r="H847" s="2">
        <v>481000</v>
      </c>
      <c r="I847" s="2">
        <v>200</v>
      </c>
      <c r="J847" s="2" t="s">
        <v>1671</v>
      </c>
      <c r="K847" s="2">
        <v>48</v>
      </c>
      <c r="L847" s="2">
        <v>0</v>
      </c>
      <c r="M847" s="2">
        <v>10</v>
      </c>
      <c r="N847" s="2">
        <v>6</v>
      </c>
      <c r="O847" s="2">
        <v>20</v>
      </c>
      <c r="P847" s="2">
        <v>12</v>
      </c>
      <c r="Q847" s="2" t="s">
        <v>3123</v>
      </c>
      <c r="R847" s="2" t="s">
        <v>3124</v>
      </c>
      <c r="S847" s="4">
        <v>44949</v>
      </c>
    </row>
    <row r="848" spans="1:19" ht="12.5" x14ac:dyDescent="0.25">
      <c r="A848" s="14" t="str">
        <f>HYPERLINK("https://gerandofalcoes.my.salesforce.com/0014X00002YggivQAB", "0014X00002YggivQAB")</f>
        <v>0014X00002YggivQAB</v>
      </c>
      <c r="B848" s="2" t="s">
        <v>3931</v>
      </c>
      <c r="C848" s="2" t="s">
        <v>423</v>
      </c>
      <c r="D848" s="2" t="s">
        <v>2</v>
      </c>
      <c r="E848" s="2"/>
      <c r="F848" s="2">
        <v>4</v>
      </c>
      <c r="G848" s="2">
        <v>6</v>
      </c>
      <c r="H848" s="2">
        <v>20</v>
      </c>
      <c r="I848" s="2">
        <v>200</v>
      </c>
      <c r="J848" s="2" t="s">
        <v>1779</v>
      </c>
      <c r="K848" s="2">
        <v>32</v>
      </c>
      <c r="L848" s="2">
        <v>0</v>
      </c>
      <c r="M848" s="2">
        <v>5</v>
      </c>
      <c r="N848" s="2">
        <v>10</v>
      </c>
      <c r="O848" s="2">
        <v>5</v>
      </c>
      <c r="P848" s="2">
        <v>12</v>
      </c>
      <c r="Q848" s="2" t="s">
        <v>3932</v>
      </c>
      <c r="R848" s="2" t="s">
        <v>3932</v>
      </c>
      <c r="S848" s="4">
        <v>44952</v>
      </c>
    </row>
    <row r="849" spans="1:19" ht="12.5" x14ac:dyDescent="0.25">
      <c r="A849" s="14" t="str">
        <f>HYPERLINK("https://gerandofalcoes.my.salesforce.com/0014X00002bCk8nQAC", "0014X00002bCk8nQAC")</f>
        <v>0014X00002bCk8nQAC</v>
      </c>
      <c r="B849" s="2" t="s">
        <v>3479</v>
      </c>
      <c r="C849" s="2" t="s">
        <v>423</v>
      </c>
      <c r="D849" s="2" t="s">
        <v>2</v>
      </c>
      <c r="E849" s="2"/>
      <c r="F849" s="2">
        <v>0</v>
      </c>
      <c r="G849" s="2">
        <v>2</v>
      </c>
      <c r="H849" s="2">
        <v>5000</v>
      </c>
      <c r="I849" s="2">
        <v>200</v>
      </c>
      <c r="J849" s="2" t="s">
        <v>1779</v>
      </c>
      <c r="K849" s="2">
        <v>23</v>
      </c>
      <c r="L849" s="2">
        <v>0</v>
      </c>
      <c r="M849" s="2">
        <v>0</v>
      </c>
      <c r="N849" s="2">
        <v>6</v>
      </c>
      <c r="O849" s="2">
        <v>5</v>
      </c>
      <c r="P849" s="2">
        <v>12</v>
      </c>
      <c r="Q849" s="2" t="s">
        <v>3480</v>
      </c>
      <c r="R849" s="2" t="s">
        <v>3480</v>
      </c>
      <c r="S849" s="4">
        <v>44958</v>
      </c>
    </row>
    <row r="850" spans="1:19" ht="12.5" x14ac:dyDescent="0.25">
      <c r="A850" s="14" t="str">
        <f>HYPERLINK("https://gerandofalcoes.my.salesforce.com/0014X00002YggqWQAR", "0014X00002YggqWQAR")</f>
        <v>0014X00002YggqWQAR</v>
      </c>
      <c r="B850" s="2" t="s">
        <v>3574</v>
      </c>
      <c r="C850" s="2" t="s">
        <v>423</v>
      </c>
      <c r="D850" s="2" t="s">
        <v>2</v>
      </c>
      <c r="E850" s="2"/>
      <c r="F850" s="2">
        <v>18</v>
      </c>
      <c r="G850" s="2">
        <v>12</v>
      </c>
      <c r="H850" s="2">
        <v>10000</v>
      </c>
      <c r="I850" s="2">
        <v>200</v>
      </c>
      <c r="J850" s="2" t="s">
        <v>1779</v>
      </c>
      <c r="K850" s="2">
        <v>39</v>
      </c>
      <c r="L850" s="2">
        <v>0</v>
      </c>
      <c r="M850" s="2">
        <v>12</v>
      </c>
      <c r="N850" s="2">
        <v>10</v>
      </c>
      <c r="O850" s="2">
        <v>5</v>
      </c>
      <c r="P850" s="2">
        <v>12</v>
      </c>
      <c r="Q850" s="2" t="s">
        <v>3575</v>
      </c>
      <c r="R850" s="2" t="s">
        <v>3576</v>
      </c>
      <c r="S850" s="4">
        <v>44960</v>
      </c>
    </row>
    <row r="851" spans="1:19" ht="12.5" x14ac:dyDescent="0.25">
      <c r="A851" s="14" t="str">
        <f>HYPERLINK("https://gerandofalcoes.my.salesforce.com/0014X00002YggoFQAR", "0014X00002YggoFQAR")</f>
        <v>0014X00002YggoFQAR</v>
      </c>
      <c r="B851" s="2" t="s">
        <v>3860</v>
      </c>
      <c r="C851" s="2" t="s">
        <v>423</v>
      </c>
      <c r="D851" s="2" t="s">
        <v>2</v>
      </c>
      <c r="E851" s="2"/>
      <c r="F851" s="2">
        <v>6</v>
      </c>
      <c r="G851" s="2">
        <v>2</v>
      </c>
      <c r="H851" s="2">
        <v>500</v>
      </c>
      <c r="I851" s="2">
        <v>200</v>
      </c>
      <c r="J851" s="2" t="s">
        <v>1779</v>
      </c>
      <c r="K851" s="2">
        <v>33</v>
      </c>
      <c r="L851" s="2">
        <v>0</v>
      </c>
      <c r="M851" s="2">
        <v>10</v>
      </c>
      <c r="N851" s="2">
        <v>6</v>
      </c>
      <c r="O851" s="2">
        <v>5</v>
      </c>
      <c r="P851" s="2">
        <v>12</v>
      </c>
      <c r="Q851" s="2" t="s">
        <v>3861</v>
      </c>
      <c r="R851" s="2" t="s">
        <v>3862</v>
      </c>
      <c r="S851" s="4">
        <v>45112</v>
      </c>
    </row>
    <row r="852" spans="1:19" ht="12.5" x14ac:dyDescent="0.25">
      <c r="A852" s="14" t="str">
        <f>HYPERLINK("https://gerandofalcoes.my.salesforce.com/0014X00002YggjwQAB", "0014X00002YggjwQAB")</f>
        <v>0014X00002YggjwQAB</v>
      </c>
      <c r="B852" s="2" t="s">
        <v>3863</v>
      </c>
      <c r="C852" s="2" t="s">
        <v>423</v>
      </c>
      <c r="D852" s="2" t="s">
        <v>2</v>
      </c>
      <c r="E852" s="2"/>
      <c r="F852" s="2">
        <v>99</v>
      </c>
      <c r="G852" s="2">
        <v>4</v>
      </c>
      <c r="H852" s="2">
        <v>60000</v>
      </c>
      <c r="I852" s="2">
        <v>200</v>
      </c>
      <c r="J852" s="2" t="s">
        <v>1671</v>
      </c>
      <c r="K852" s="2">
        <v>47</v>
      </c>
      <c r="L852" s="2">
        <v>0</v>
      </c>
      <c r="M852" s="2">
        <v>15</v>
      </c>
      <c r="N852" s="2">
        <v>10</v>
      </c>
      <c r="O852" s="2">
        <v>10</v>
      </c>
      <c r="P852" s="2">
        <v>12</v>
      </c>
      <c r="Q852" s="2" t="s">
        <v>3864</v>
      </c>
      <c r="R852" s="2" t="s">
        <v>3865</v>
      </c>
      <c r="S852" s="4">
        <v>45112</v>
      </c>
    </row>
    <row r="853" spans="1:19" ht="12.5" x14ac:dyDescent="0.25">
      <c r="A853" s="14" t="str">
        <f>HYPERLINK("https://gerandofalcoes.my.salesforce.com/0014X00002YgggjQAB", "0014X00002YgggjQAB")</f>
        <v>0014X00002YgggjQAB</v>
      </c>
      <c r="B853" s="2" t="s">
        <v>3481</v>
      </c>
      <c r="C853" s="2" t="s">
        <v>423</v>
      </c>
      <c r="D853" s="2" t="s">
        <v>2</v>
      </c>
      <c r="E853" s="2"/>
      <c r="F853" s="2">
        <v>0</v>
      </c>
      <c r="G853" s="2">
        <v>2</v>
      </c>
      <c r="H853" s="2">
        <v>200000</v>
      </c>
      <c r="I853" s="2">
        <v>198</v>
      </c>
      <c r="J853" s="2" t="s">
        <v>1779</v>
      </c>
      <c r="K853" s="2">
        <v>33</v>
      </c>
      <c r="L853" s="2">
        <v>0</v>
      </c>
      <c r="M853" s="2">
        <v>0</v>
      </c>
      <c r="N853" s="2">
        <v>6</v>
      </c>
      <c r="O853" s="2">
        <v>15</v>
      </c>
      <c r="P853" s="2">
        <v>12</v>
      </c>
      <c r="Q853" s="2" t="s">
        <v>3482</v>
      </c>
      <c r="R853" s="2" t="s">
        <v>3483</v>
      </c>
      <c r="S853" s="4">
        <v>44958</v>
      </c>
    </row>
    <row r="854" spans="1:19" ht="12.5" x14ac:dyDescent="0.25">
      <c r="A854" s="14" t="str">
        <f>HYPERLINK("https://gerandofalcoes.my.salesforce.com/0014X00002YggpVQAR", "0014X00002YggpVQAR")</f>
        <v>0014X00002YggpVQAR</v>
      </c>
      <c r="B854" s="2" t="s">
        <v>3072</v>
      </c>
      <c r="C854" s="2" t="s">
        <v>423</v>
      </c>
      <c r="D854" s="2" t="s">
        <v>2</v>
      </c>
      <c r="E854" s="2"/>
      <c r="F854" s="2">
        <v>0</v>
      </c>
      <c r="G854" s="2">
        <v>2</v>
      </c>
      <c r="H854" s="2">
        <v>13000</v>
      </c>
      <c r="I854" s="2">
        <v>190</v>
      </c>
      <c r="J854" s="2" t="s">
        <v>1779</v>
      </c>
      <c r="K854" s="2">
        <v>23</v>
      </c>
      <c r="L854" s="2">
        <v>0</v>
      </c>
      <c r="M854" s="2">
        <v>0</v>
      </c>
      <c r="N854" s="2">
        <v>6</v>
      </c>
      <c r="O854" s="2">
        <v>5</v>
      </c>
      <c r="P854" s="2">
        <v>12</v>
      </c>
      <c r="Q854" s="2" t="s">
        <v>3073</v>
      </c>
      <c r="R854" s="2" t="s">
        <v>3074</v>
      </c>
      <c r="S854" s="4">
        <v>44946</v>
      </c>
    </row>
    <row r="855" spans="1:19" ht="12.5" x14ac:dyDescent="0.25">
      <c r="A855" s="14" t="str">
        <f>HYPERLINK("https://gerandofalcoes.my.salesforce.com/0014X00002YggjrQAB", "0014X00002YggjrQAB")</f>
        <v>0014X00002YggjrQAB</v>
      </c>
      <c r="B855" s="2" t="s">
        <v>3040</v>
      </c>
      <c r="C855" s="2" t="s">
        <v>423</v>
      </c>
      <c r="D855" s="2" t="s">
        <v>2</v>
      </c>
      <c r="E855" s="2"/>
      <c r="F855" s="2">
        <v>0</v>
      </c>
      <c r="G855" s="2">
        <v>2</v>
      </c>
      <c r="H855" s="2">
        <v>86000</v>
      </c>
      <c r="I855" s="2">
        <v>170</v>
      </c>
      <c r="J855" s="2" t="s">
        <v>1779</v>
      </c>
      <c r="K855" s="2">
        <v>28</v>
      </c>
      <c r="L855" s="2">
        <v>0</v>
      </c>
      <c r="M855" s="2">
        <v>0</v>
      </c>
      <c r="N855" s="2">
        <v>6</v>
      </c>
      <c r="O855" s="2">
        <v>10</v>
      </c>
      <c r="P855" s="2">
        <v>12</v>
      </c>
      <c r="Q855" s="2" t="s">
        <v>3041</v>
      </c>
      <c r="R855" s="2" t="s">
        <v>3042</v>
      </c>
      <c r="S855" s="4">
        <v>44945</v>
      </c>
    </row>
    <row r="856" spans="1:19" ht="12.5" x14ac:dyDescent="0.25">
      <c r="A856" s="14" t="str">
        <f>HYPERLINK("https://gerandofalcoes.my.salesforce.com/0014X00002YgggNQAR", "0014X00002YgggNQAR")</f>
        <v>0014X00002YgggNQAR</v>
      </c>
      <c r="B856" s="2" t="s">
        <v>3600</v>
      </c>
      <c r="C856" s="2" t="s">
        <v>423</v>
      </c>
      <c r="D856" s="2" t="s">
        <v>2</v>
      </c>
      <c r="E856" s="2"/>
      <c r="F856" s="2">
        <v>0</v>
      </c>
      <c r="G856" s="2">
        <v>2</v>
      </c>
      <c r="H856" s="2">
        <v>2000</v>
      </c>
      <c r="I856" s="2">
        <v>150</v>
      </c>
      <c r="J856" s="2" t="s">
        <v>1779</v>
      </c>
      <c r="K856" s="2">
        <v>23</v>
      </c>
      <c r="L856" s="2">
        <v>0</v>
      </c>
      <c r="M856" s="2">
        <v>0</v>
      </c>
      <c r="N856" s="2">
        <v>6</v>
      </c>
      <c r="O856" s="2">
        <v>5</v>
      </c>
      <c r="P856" s="2">
        <v>12</v>
      </c>
      <c r="Q856" s="2" t="s">
        <v>3601</v>
      </c>
      <c r="R856" s="2" t="s">
        <v>3602</v>
      </c>
      <c r="S856" s="4">
        <v>44962</v>
      </c>
    </row>
    <row r="857" spans="1:19" ht="12.5" x14ac:dyDescent="0.25">
      <c r="A857" s="14" t="str">
        <f>HYPERLINK("https://gerandofalcoes.my.salesforce.com/0014X00002YggpZQAR", "0014X00002YggpZQAR")</f>
        <v>0014X00002YggpZQAR</v>
      </c>
      <c r="B857" s="2" t="s">
        <v>3866</v>
      </c>
      <c r="C857" s="2" t="s">
        <v>423</v>
      </c>
      <c r="D857" s="2" t="s">
        <v>2</v>
      </c>
      <c r="E857" s="2"/>
      <c r="F857" s="2">
        <v>0</v>
      </c>
      <c r="G857" s="2">
        <v>2</v>
      </c>
      <c r="H857" s="2">
        <v>0</v>
      </c>
      <c r="I857" s="2">
        <v>150</v>
      </c>
      <c r="J857" s="2" t="s">
        <v>1779</v>
      </c>
      <c r="K857" s="2">
        <v>18</v>
      </c>
      <c r="L857" s="2">
        <v>0</v>
      </c>
      <c r="M857" s="2">
        <v>0</v>
      </c>
      <c r="N857" s="2">
        <v>6</v>
      </c>
      <c r="O857" s="2">
        <v>0</v>
      </c>
      <c r="P857" s="2">
        <v>12</v>
      </c>
      <c r="Q857" s="2" t="s">
        <v>3867</v>
      </c>
      <c r="R857" s="2" t="s">
        <v>3868</v>
      </c>
      <c r="S857" s="4">
        <v>45112</v>
      </c>
    </row>
    <row r="858" spans="1:19" ht="12.5" x14ac:dyDescent="0.25">
      <c r="A858" s="14" t="str">
        <f>HYPERLINK("https://gerandofalcoes.my.salesforce.com/0014X00002YggiOQAR", "0014X00002YggiOQAR")</f>
        <v>0014X00002YggiOQAR</v>
      </c>
      <c r="B858" s="2" t="s">
        <v>3552</v>
      </c>
      <c r="C858" s="2" t="s">
        <v>423</v>
      </c>
      <c r="D858" s="2" t="s">
        <v>2</v>
      </c>
      <c r="E858" s="2"/>
      <c r="F858" s="2">
        <v>0</v>
      </c>
      <c r="G858" s="2">
        <v>2</v>
      </c>
      <c r="H858" s="2">
        <v>500</v>
      </c>
      <c r="I858" s="2">
        <v>140</v>
      </c>
      <c r="J858" s="2" t="s">
        <v>1779</v>
      </c>
      <c r="K858" s="2">
        <v>21</v>
      </c>
      <c r="L858" s="2">
        <v>0</v>
      </c>
      <c r="M858" s="2">
        <v>0</v>
      </c>
      <c r="N858" s="2">
        <v>6</v>
      </c>
      <c r="O858" s="2">
        <v>5</v>
      </c>
      <c r="P858" s="2">
        <v>10</v>
      </c>
      <c r="Q858" s="2" t="s">
        <v>3553</v>
      </c>
      <c r="R858" s="2" t="s">
        <v>3554</v>
      </c>
      <c r="S858" s="4">
        <v>44959</v>
      </c>
    </row>
    <row r="859" spans="1:19" ht="12.5" x14ac:dyDescent="0.25">
      <c r="A859" s="14" t="str">
        <f>HYPERLINK("https://gerandofalcoes.my.salesforce.com/0014X00002YgghgQAB", "0014X00002YgghgQAB")</f>
        <v>0014X00002YgghgQAB</v>
      </c>
      <c r="B859" s="2" t="s">
        <v>3093</v>
      </c>
      <c r="C859" s="2" t="s">
        <v>423</v>
      </c>
      <c r="D859" s="2" t="s">
        <v>2</v>
      </c>
      <c r="E859" s="2"/>
      <c r="F859" s="2">
        <v>0</v>
      </c>
      <c r="G859" s="2">
        <v>10</v>
      </c>
      <c r="H859" s="2">
        <v>5000</v>
      </c>
      <c r="I859" s="2">
        <v>132</v>
      </c>
      <c r="J859" s="2" t="s">
        <v>1779</v>
      </c>
      <c r="K859" s="2">
        <v>25</v>
      </c>
      <c r="L859" s="2">
        <v>0</v>
      </c>
      <c r="M859" s="2">
        <v>0</v>
      </c>
      <c r="N859" s="2">
        <v>10</v>
      </c>
      <c r="O859" s="2">
        <v>5</v>
      </c>
      <c r="P859" s="2">
        <v>10</v>
      </c>
      <c r="Q859" s="2" t="s">
        <v>3094</v>
      </c>
      <c r="R859" s="2" t="s">
        <v>3095</v>
      </c>
      <c r="S859" s="4">
        <v>44947</v>
      </c>
    </row>
    <row r="860" spans="1:19" ht="12.5" x14ac:dyDescent="0.25">
      <c r="A860" s="14" t="str">
        <f>HYPERLINK("https://gerandofalcoes.my.salesforce.com/0014X00002YggmJQAR", "0014X00002YggmJQAR")</f>
        <v>0014X00002YggmJQAR</v>
      </c>
      <c r="B860" s="2" t="s">
        <v>3343</v>
      </c>
      <c r="C860" s="2" t="s">
        <v>423</v>
      </c>
      <c r="D860" s="2" t="s">
        <v>2</v>
      </c>
      <c r="E860" s="2"/>
      <c r="F860" s="2">
        <v>0</v>
      </c>
      <c r="G860" s="2">
        <v>2</v>
      </c>
      <c r="H860" s="2">
        <v>15000</v>
      </c>
      <c r="I860" s="2">
        <v>130</v>
      </c>
      <c r="J860" s="2" t="s">
        <v>1779</v>
      </c>
      <c r="K860" s="2">
        <v>21</v>
      </c>
      <c r="L860" s="2">
        <v>0</v>
      </c>
      <c r="M860" s="2">
        <v>0</v>
      </c>
      <c r="N860" s="2">
        <v>6</v>
      </c>
      <c r="O860" s="2">
        <v>5</v>
      </c>
      <c r="P860" s="2">
        <v>10</v>
      </c>
      <c r="Q860" s="2" t="s">
        <v>3344</v>
      </c>
      <c r="R860" s="2" t="s">
        <v>3345</v>
      </c>
      <c r="S860" s="4">
        <v>44953</v>
      </c>
    </row>
    <row r="861" spans="1:19" ht="12.5" x14ac:dyDescent="0.25">
      <c r="A861" s="14" t="str">
        <f>HYPERLINK("https://gerandofalcoes.my.salesforce.com/0014X00002YggqbQAB", "0014X00002YggqbQAB")</f>
        <v>0014X00002YggqbQAB</v>
      </c>
      <c r="B861" s="2" t="s">
        <v>3735</v>
      </c>
      <c r="C861" s="2" t="s">
        <v>423</v>
      </c>
      <c r="D861" s="2" t="s">
        <v>2</v>
      </c>
      <c r="E861" s="2"/>
      <c r="F861" s="2">
        <v>4</v>
      </c>
      <c r="G861" s="2">
        <v>4</v>
      </c>
      <c r="H861" s="2">
        <v>300</v>
      </c>
      <c r="I861" s="2">
        <v>130</v>
      </c>
      <c r="J861" s="2" t="s">
        <v>1779</v>
      </c>
      <c r="K861" s="2">
        <v>30</v>
      </c>
      <c r="L861" s="2">
        <v>0</v>
      </c>
      <c r="M861" s="2">
        <v>5</v>
      </c>
      <c r="N861" s="2">
        <v>10</v>
      </c>
      <c r="O861" s="2">
        <v>5</v>
      </c>
      <c r="P861" s="2">
        <v>10</v>
      </c>
      <c r="Q861" s="2" t="s">
        <v>3736</v>
      </c>
      <c r="R861" s="2" t="s">
        <v>3737</v>
      </c>
      <c r="S861" s="4">
        <v>44967</v>
      </c>
    </row>
    <row r="862" spans="1:19" ht="12.5" hidden="1" x14ac:dyDescent="0.25">
      <c r="A862" s="14" t="str">
        <f>HYPERLINK("https://gerandofalcoes.my.salesforce.com/0014P00003AN2h7QAD", "0014P00003AN2h7QAD")</f>
        <v>0014P00003AN2h7QAD</v>
      </c>
      <c r="B862" s="2" t="s">
        <v>2988</v>
      </c>
      <c r="C862" s="2" t="s">
        <v>1684</v>
      </c>
      <c r="D862" s="2" t="s">
        <v>2</v>
      </c>
      <c r="E862" s="2"/>
      <c r="F862" s="2">
        <v>0</v>
      </c>
      <c r="G862" s="2">
        <v>0</v>
      </c>
      <c r="H862" s="2">
        <v>0</v>
      </c>
      <c r="I862" s="2">
        <v>130</v>
      </c>
      <c r="J862" s="2" t="s">
        <v>1779</v>
      </c>
      <c r="K862" s="2">
        <v>10</v>
      </c>
      <c r="L862" s="2">
        <v>0</v>
      </c>
      <c r="M862" s="2">
        <v>0</v>
      </c>
      <c r="N862" s="2">
        <v>0</v>
      </c>
      <c r="O862" s="2">
        <v>0</v>
      </c>
      <c r="P862" s="2">
        <v>10</v>
      </c>
      <c r="Q862" s="2" t="s">
        <v>2989</v>
      </c>
      <c r="R862" s="2" t="s">
        <v>602</v>
      </c>
      <c r="S862" s="4">
        <v>44837</v>
      </c>
    </row>
    <row r="863" spans="1:19" ht="12.5" x14ac:dyDescent="0.25">
      <c r="A863" s="14" t="str">
        <f>HYPERLINK("https://gerandofalcoes.my.salesforce.com/0014X00002YggjIQAR", "0014X00002YggjIQAR")</f>
        <v>0014X00002YggjIQAR</v>
      </c>
      <c r="B863" s="2" t="s">
        <v>3272</v>
      </c>
      <c r="C863" s="2" t="s">
        <v>423</v>
      </c>
      <c r="D863" s="2" t="s">
        <v>2</v>
      </c>
      <c r="E863" s="2"/>
      <c r="F863" s="2">
        <v>3</v>
      </c>
      <c r="G863" s="2">
        <v>2</v>
      </c>
      <c r="H863" s="2">
        <v>2000</v>
      </c>
      <c r="I863" s="2">
        <v>125</v>
      </c>
      <c r="J863" s="2" t="s">
        <v>1779</v>
      </c>
      <c r="K863" s="2">
        <v>26</v>
      </c>
      <c r="L863" s="2">
        <v>0</v>
      </c>
      <c r="M863" s="2">
        <v>5</v>
      </c>
      <c r="N863" s="2">
        <v>6</v>
      </c>
      <c r="O863" s="2">
        <v>5</v>
      </c>
      <c r="P863" s="2">
        <v>10</v>
      </c>
      <c r="Q863" s="2" t="s">
        <v>3273</v>
      </c>
      <c r="R863" s="2" t="s">
        <v>3274</v>
      </c>
      <c r="S863" s="4">
        <v>44952</v>
      </c>
    </row>
    <row r="864" spans="1:19" ht="12.5" x14ac:dyDescent="0.25">
      <c r="A864" s="14" t="str">
        <f>HYPERLINK("https://gerandofalcoes.my.salesforce.com/0014X00002YgggtQAB", "0014X00002YgggtQAB")</f>
        <v>0014X00002YgggtQAB</v>
      </c>
      <c r="B864" s="2" t="s">
        <v>3275</v>
      </c>
      <c r="C864" s="2" t="s">
        <v>423</v>
      </c>
      <c r="D864" s="2" t="s">
        <v>2</v>
      </c>
      <c r="E864" s="2"/>
      <c r="F864" s="2">
        <v>6</v>
      </c>
      <c r="G864" s="2">
        <v>4</v>
      </c>
      <c r="H864" s="2">
        <v>142000</v>
      </c>
      <c r="I864" s="2">
        <v>120</v>
      </c>
      <c r="J864" s="2" t="s">
        <v>1671</v>
      </c>
      <c r="K864" s="2">
        <v>45</v>
      </c>
      <c r="L864" s="2">
        <v>0</v>
      </c>
      <c r="M864" s="2">
        <v>10</v>
      </c>
      <c r="N864" s="2">
        <v>10</v>
      </c>
      <c r="O864" s="2">
        <v>15</v>
      </c>
      <c r="P864" s="2">
        <v>10</v>
      </c>
      <c r="Q864" s="2" t="s">
        <v>3276</v>
      </c>
      <c r="R864" s="2" t="s">
        <v>3277</v>
      </c>
      <c r="S864" s="4">
        <v>44952</v>
      </c>
    </row>
    <row r="865" spans="1:19" ht="12.5" x14ac:dyDescent="0.25">
      <c r="A865" s="14" t="str">
        <f>HYPERLINK("https://gerandofalcoes.my.salesforce.com/0014X00002YggnjQAB", "0014X00002YggnjQAB")</f>
        <v>0014X00002YggnjQAB</v>
      </c>
      <c r="B865" s="2" t="s">
        <v>3346</v>
      </c>
      <c r="C865" s="2" t="s">
        <v>423</v>
      </c>
      <c r="D865" s="2" t="s">
        <v>2</v>
      </c>
      <c r="E865" s="2"/>
      <c r="F865" s="2">
        <v>9</v>
      </c>
      <c r="G865" s="2">
        <v>3</v>
      </c>
      <c r="H865" s="2">
        <v>2500</v>
      </c>
      <c r="I865" s="2">
        <v>120</v>
      </c>
      <c r="J865" s="2" t="s">
        <v>1779</v>
      </c>
      <c r="K865" s="2">
        <v>33</v>
      </c>
      <c r="L865" s="2">
        <v>0</v>
      </c>
      <c r="M865" s="2">
        <v>10</v>
      </c>
      <c r="N865" s="2">
        <v>8</v>
      </c>
      <c r="O865" s="2">
        <v>5</v>
      </c>
      <c r="P865" s="2">
        <v>10</v>
      </c>
      <c r="Q865" s="2" t="s">
        <v>3347</v>
      </c>
      <c r="R865" s="2" t="s">
        <v>3348</v>
      </c>
      <c r="S865" s="4">
        <v>44953</v>
      </c>
    </row>
    <row r="866" spans="1:19" ht="12.5" x14ac:dyDescent="0.25">
      <c r="A866" s="14" t="str">
        <f>HYPERLINK("https://gerandofalcoes.my.salesforce.com/0014X00002Yggl5QAB", "0014X00002Yggl5QAB")</f>
        <v>0014X00002Yggl5QAB</v>
      </c>
      <c r="B866" s="2" t="s">
        <v>3484</v>
      </c>
      <c r="C866" s="2" t="s">
        <v>423</v>
      </c>
      <c r="D866" s="2" t="s">
        <v>2</v>
      </c>
      <c r="E866" s="2"/>
      <c r="F866" s="2">
        <v>4</v>
      </c>
      <c r="G866" s="2">
        <v>4</v>
      </c>
      <c r="H866" s="2">
        <v>700</v>
      </c>
      <c r="I866" s="2">
        <v>120</v>
      </c>
      <c r="J866" s="2" t="s">
        <v>1779</v>
      </c>
      <c r="K866" s="2">
        <v>30</v>
      </c>
      <c r="L866" s="2">
        <v>0</v>
      </c>
      <c r="M866" s="2">
        <v>5</v>
      </c>
      <c r="N866" s="2">
        <v>10</v>
      </c>
      <c r="O866" s="2">
        <v>5</v>
      </c>
      <c r="P866" s="2">
        <v>10</v>
      </c>
      <c r="Q866" s="2" t="s">
        <v>3485</v>
      </c>
      <c r="R866" s="2" t="s">
        <v>3485</v>
      </c>
      <c r="S866" s="4">
        <v>44958</v>
      </c>
    </row>
    <row r="867" spans="1:19" ht="12.5" x14ac:dyDescent="0.25">
      <c r="A867" s="14" t="str">
        <f>HYPERLINK("https://gerandofalcoes.my.salesforce.com/0014X00002YggnBQAR", "0014X00002YggnBQAR")</f>
        <v>0014X00002YggnBQAR</v>
      </c>
      <c r="B867" s="2" t="s">
        <v>3349</v>
      </c>
      <c r="C867" s="2" t="s">
        <v>423</v>
      </c>
      <c r="D867" s="2" t="s">
        <v>2</v>
      </c>
      <c r="E867" s="2"/>
      <c r="F867" s="2">
        <v>0</v>
      </c>
      <c r="G867" s="2">
        <v>3</v>
      </c>
      <c r="H867" s="2">
        <v>1000</v>
      </c>
      <c r="I867" s="2">
        <v>120</v>
      </c>
      <c r="J867" s="2" t="s">
        <v>1779</v>
      </c>
      <c r="K867" s="2">
        <v>23</v>
      </c>
      <c r="L867" s="2">
        <v>0</v>
      </c>
      <c r="M867" s="2">
        <v>0</v>
      </c>
      <c r="N867" s="2">
        <v>8</v>
      </c>
      <c r="O867" s="2">
        <v>5</v>
      </c>
      <c r="P867" s="2">
        <v>10</v>
      </c>
      <c r="Q867" s="2" t="s">
        <v>3350</v>
      </c>
      <c r="R867" s="2" t="s">
        <v>3351</v>
      </c>
      <c r="S867" s="4">
        <v>44953</v>
      </c>
    </row>
    <row r="868" spans="1:19" ht="12.5" x14ac:dyDescent="0.25">
      <c r="A868" s="14" t="str">
        <f>HYPERLINK("https://gerandofalcoes.my.salesforce.com/0014X00002YggmBQAR", "0014X00002YggmBQAR")</f>
        <v>0014X00002YggmBQAR</v>
      </c>
      <c r="B868" s="2" t="s">
        <v>3125</v>
      </c>
      <c r="C868" s="2" t="s">
        <v>423</v>
      </c>
      <c r="D868" s="2" t="s">
        <v>2</v>
      </c>
      <c r="E868" s="2"/>
      <c r="F868" s="2">
        <v>5</v>
      </c>
      <c r="G868" s="2">
        <v>8</v>
      </c>
      <c r="H868" s="2">
        <v>35000</v>
      </c>
      <c r="I868" s="2">
        <v>120</v>
      </c>
      <c r="J868" s="2" t="s">
        <v>1779</v>
      </c>
      <c r="K868" s="2">
        <v>35</v>
      </c>
      <c r="L868" s="2">
        <v>0</v>
      </c>
      <c r="M868" s="2">
        <v>5</v>
      </c>
      <c r="N868" s="2">
        <v>10</v>
      </c>
      <c r="O868" s="2">
        <v>10</v>
      </c>
      <c r="P868" s="2">
        <v>10</v>
      </c>
      <c r="Q868" s="2" t="s">
        <v>3126</v>
      </c>
      <c r="R868" s="2" t="s">
        <v>3127</v>
      </c>
      <c r="S868" s="4">
        <v>44949</v>
      </c>
    </row>
    <row r="869" spans="1:19" ht="12.5" x14ac:dyDescent="0.25">
      <c r="A869" s="14" t="str">
        <f>HYPERLINK("https://gerandofalcoes.my.salesforce.com/0014X00002YgggYQAR", "0014X00002YgggYQAR")</f>
        <v>0014X00002YgggYQAR</v>
      </c>
      <c r="B869" s="2" t="s">
        <v>3352</v>
      </c>
      <c r="C869" s="2" t="s">
        <v>423</v>
      </c>
      <c r="D869" s="2" t="s">
        <v>2</v>
      </c>
      <c r="E869" s="2"/>
      <c r="F869" s="2">
        <v>10</v>
      </c>
      <c r="G869" s="2">
        <v>3</v>
      </c>
      <c r="H869" s="2">
        <v>471944</v>
      </c>
      <c r="I869" s="2">
        <v>115</v>
      </c>
      <c r="J869" s="2" t="s">
        <v>1671</v>
      </c>
      <c r="K869" s="2">
        <v>48</v>
      </c>
      <c r="L869" s="2">
        <v>0</v>
      </c>
      <c r="M869" s="2">
        <v>10</v>
      </c>
      <c r="N869" s="2">
        <v>8</v>
      </c>
      <c r="O869" s="2">
        <v>20</v>
      </c>
      <c r="P869" s="2">
        <v>10</v>
      </c>
      <c r="Q869" s="2" t="s">
        <v>3353</v>
      </c>
      <c r="R869" s="2" t="s">
        <v>3353</v>
      </c>
      <c r="S869" s="4">
        <v>44953</v>
      </c>
    </row>
    <row r="870" spans="1:19" ht="12.5" x14ac:dyDescent="0.25">
      <c r="A870" s="14" t="str">
        <f>HYPERLINK("https://gerandofalcoes.my.salesforce.com/0014X00002YgggZQAR", "0014X00002YgggZQAR")</f>
        <v>0014X00002YgggZQAR</v>
      </c>
      <c r="B870" s="2" t="s">
        <v>3278</v>
      </c>
      <c r="C870" s="2" t="s">
        <v>423</v>
      </c>
      <c r="D870" s="2" t="s">
        <v>2</v>
      </c>
      <c r="E870" s="2"/>
      <c r="F870" s="2">
        <v>7</v>
      </c>
      <c r="G870" s="2">
        <v>3</v>
      </c>
      <c r="H870" s="2">
        <v>116906</v>
      </c>
      <c r="I870" s="2">
        <v>110</v>
      </c>
      <c r="J870" s="2" t="s">
        <v>1671</v>
      </c>
      <c r="K870" s="2">
        <v>43</v>
      </c>
      <c r="L870" s="2">
        <v>0</v>
      </c>
      <c r="M870" s="2">
        <v>10</v>
      </c>
      <c r="N870" s="2">
        <v>8</v>
      </c>
      <c r="O870" s="2">
        <v>15</v>
      </c>
      <c r="P870" s="2">
        <v>10</v>
      </c>
      <c r="Q870" s="2" t="s">
        <v>3279</v>
      </c>
      <c r="R870" s="2" t="s">
        <v>3280</v>
      </c>
      <c r="S870" s="4">
        <v>44952</v>
      </c>
    </row>
    <row r="871" spans="1:19" ht="12.5" x14ac:dyDescent="0.25">
      <c r="A871" s="14" t="str">
        <f>HYPERLINK("https://gerandofalcoes.my.salesforce.com/0014X00002YgggLQAR", "0014X00002YgggLQAR")</f>
        <v>0014X00002YgggLQAR</v>
      </c>
      <c r="B871" s="2" t="s">
        <v>3486</v>
      </c>
      <c r="C871" s="2" t="s">
        <v>423</v>
      </c>
      <c r="D871" s="2" t="s">
        <v>2</v>
      </c>
      <c r="E871" s="2"/>
      <c r="F871" s="2">
        <v>10</v>
      </c>
      <c r="G871" s="2">
        <v>4</v>
      </c>
      <c r="H871" s="2">
        <v>208</v>
      </c>
      <c r="I871" s="2">
        <v>108</v>
      </c>
      <c r="J871" s="2" t="s">
        <v>1779</v>
      </c>
      <c r="K871" s="2">
        <v>35</v>
      </c>
      <c r="L871" s="2">
        <v>0</v>
      </c>
      <c r="M871" s="2">
        <v>10</v>
      </c>
      <c r="N871" s="2">
        <v>10</v>
      </c>
      <c r="O871" s="2">
        <v>5</v>
      </c>
      <c r="P871" s="2">
        <v>10</v>
      </c>
      <c r="Q871" s="2" t="s">
        <v>3487</v>
      </c>
      <c r="R871" s="2" t="s">
        <v>3488</v>
      </c>
      <c r="S871" s="4">
        <v>44958</v>
      </c>
    </row>
    <row r="872" spans="1:19" ht="12.5" x14ac:dyDescent="0.25">
      <c r="A872" s="14" t="str">
        <f>HYPERLINK("https://gerandofalcoes.my.salesforce.com/0014X00002YgggRQAR", "0014X00002YgggRQAR")</f>
        <v>0014X00002YgggRQAR</v>
      </c>
      <c r="B872" s="2" t="s">
        <v>3738</v>
      </c>
      <c r="C872" s="2" t="s">
        <v>423</v>
      </c>
      <c r="D872" s="2" t="s">
        <v>2</v>
      </c>
      <c r="E872" s="2"/>
      <c r="F872" s="2">
        <v>200</v>
      </c>
      <c r="G872" s="2">
        <v>5</v>
      </c>
      <c r="H872" s="2">
        <v>1000</v>
      </c>
      <c r="I872" s="2">
        <v>100</v>
      </c>
      <c r="J872" s="2" t="s">
        <v>1671</v>
      </c>
      <c r="K872" s="2">
        <v>40</v>
      </c>
      <c r="L872" s="2">
        <v>0</v>
      </c>
      <c r="M872" s="2">
        <v>15</v>
      </c>
      <c r="N872" s="2">
        <v>10</v>
      </c>
      <c r="O872" s="2">
        <v>5</v>
      </c>
      <c r="P872" s="2">
        <v>10</v>
      </c>
      <c r="Q872" s="2" t="s">
        <v>3739</v>
      </c>
      <c r="R872" s="2" t="s">
        <v>3739</v>
      </c>
      <c r="S872" s="4">
        <v>44967</v>
      </c>
    </row>
    <row r="873" spans="1:19" ht="12.5" x14ac:dyDescent="0.25">
      <c r="A873" s="14" t="str">
        <f>HYPERLINK("https://gerandofalcoes.my.salesforce.com/0014X00002YggiSQAR", "0014X00002YggiSQAR")</f>
        <v>0014X00002YggiSQAR</v>
      </c>
      <c r="B873" s="2" t="s">
        <v>3075</v>
      </c>
      <c r="C873" s="2" t="s">
        <v>423</v>
      </c>
      <c r="D873" s="2" t="s">
        <v>2</v>
      </c>
      <c r="E873" s="2"/>
      <c r="F873" s="2">
        <v>0</v>
      </c>
      <c r="G873" s="2">
        <v>3</v>
      </c>
      <c r="H873" s="2">
        <v>10000</v>
      </c>
      <c r="I873" s="2">
        <v>100</v>
      </c>
      <c r="J873" s="2" t="s">
        <v>1779</v>
      </c>
      <c r="K873" s="2">
        <v>23</v>
      </c>
      <c r="L873" s="2">
        <v>0</v>
      </c>
      <c r="M873" s="2">
        <v>0</v>
      </c>
      <c r="N873" s="2">
        <v>8</v>
      </c>
      <c r="O873" s="2">
        <v>5</v>
      </c>
      <c r="P873" s="2">
        <v>10</v>
      </c>
      <c r="Q873" s="2" t="s">
        <v>3076</v>
      </c>
      <c r="R873" s="2" t="s">
        <v>3077</v>
      </c>
      <c r="S873" s="4">
        <v>44946</v>
      </c>
    </row>
    <row r="874" spans="1:19" ht="12.5" x14ac:dyDescent="0.25">
      <c r="A874" s="14" t="str">
        <f>HYPERLINK("https://gerandofalcoes.my.salesforce.com/0014X00002YggirQAB", "0014X00002YggirQAB")</f>
        <v>0014X00002YggirQAB</v>
      </c>
      <c r="B874" s="2" t="s">
        <v>3213</v>
      </c>
      <c r="C874" s="2" t="s">
        <v>423</v>
      </c>
      <c r="D874" s="2" t="s">
        <v>2</v>
      </c>
      <c r="E874" s="2"/>
      <c r="F874" s="2">
        <v>0</v>
      </c>
      <c r="G874" s="2">
        <v>2</v>
      </c>
      <c r="H874" s="2">
        <v>5000</v>
      </c>
      <c r="I874" s="2">
        <v>100</v>
      </c>
      <c r="J874" s="2" t="s">
        <v>1779</v>
      </c>
      <c r="K874" s="2">
        <v>21</v>
      </c>
      <c r="L874" s="2">
        <v>0</v>
      </c>
      <c r="M874" s="2">
        <v>0</v>
      </c>
      <c r="N874" s="2">
        <v>6</v>
      </c>
      <c r="O874" s="2">
        <v>5</v>
      </c>
      <c r="P874" s="2">
        <v>10</v>
      </c>
      <c r="Q874" s="2" t="s">
        <v>3214</v>
      </c>
      <c r="R874" s="2" t="s">
        <v>3214</v>
      </c>
      <c r="S874" s="4">
        <v>44951</v>
      </c>
    </row>
    <row r="875" spans="1:19" ht="12.5" x14ac:dyDescent="0.25">
      <c r="A875" s="14" t="str">
        <f>HYPERLINK("https://gerandofalcoes.my.salesforce.com/0014X00002YggolQAB", "0014X00002YggolQAB")</f>
        <v>0014X00002YggolQAB</v>
      </c>
      <c r="B875" s="2" t="s">
        <v>3215</v>
      </c>
      <c r="C875" s="2" t="s">
        <v>423</v>
      </c>
      <c r="D875" s="2" t="s">
        <v>2</v>
      </c>
      <c r="E875" s="2"/>
      <c r="F875" s="2">
        <v>0</v>
      </c>
      <c r="G875" s="2">
        <v>2</v>
      </c>
      <c r="H875" s="2">
        <v>0</v>
      </c>
      <c r="I875" s="2">
        <v>100</v>
      </c>
      <c r="J875" s="2" t="s">
        <v>1779</v>
      </c>
      <c r="K875" s="2">
        <v>16</v>
      </c>
      <c r="L875" s="2">
        <v>0</v>
      </c>
      <c r="M875" s="2">
        <v>0</v>
      </c>
      <c r="N875" s="2">
        <v>6</v>
      </c>
      <c r="O875" s="2">
        <v>0</v>
      </c>
      <c r="P875" s="2">
        <v>10</v>
      </c>
      <c r="Q875" s="2" t="s">
        <v>3216</v>
      </c>
      <c r="R875" s="2" t="s">
        <v>3217</v>
      </c>
      <c r="S875" s="4">
        <v>44951</v>
      </c>
    </row>
    <row r="876" spans="1:19" ht="12.5" x14ac:dyDescent="0.25">
      <c r="A876" s="14" t="str">
        <f>HYPERLINK("https://gerandofalcoes.my.salesforce.com/0014X00002YgghaQAB", "0014X00002YgghaQAB")</f>
        <v>0014X00002YgghaQAB</v>
      </c>
      <c r="B876" s="2" t="s">
        <v>3580</v>
      </c>
      <c r="C876" s="2" t="s">
        <v>423</v>
      </c>
      <c r="D876" s="2" t="s">
        <v>2</v>
      </c>
      <c r="E876" s="2"/>
      <c r="F876" s="2">
        <v>0</v>
      </c>
      <c r="G876" s="2">
        <v>3</v>
      </c>
      <c r="H876" s="2">
        <v>11000</v>
      </c>
      <c r="I876" s="2">
        <v>100</v>
      </c>
      <c r="J876" s="2" t="s">
        <v>1779</v>
      </c>
      <c r="K876" s="2">
        <v>23</v>
      </c>
      <c r="L876" s="2">
        <v>0</v>
      </c>
      <c r="M876" s="2">
        <v>0</v>
      </c>
      <c r="N876" s="2">
        <v>8</v>
      </c>
      <c r="O876" s="2">
        <v>5</v>
      </c>
      <c r="P876" s="2">
        <v>10</v>
      </c>
      <c r="Q876" s="2" t="s">
        <v>3581</v>
      </c>
      <c r="R876" s="2" t="s">
        <v>3582</v>
      </c>
      <c r="S876" s="4">
        <v>44961</v>
      </c>
    </row>
    <row r="877" spans="1:19" ht="12.5" x14ac:dyDescent="0.25">
      <c r="A877" s="14" t="str">
        <f>HYPERLINK("https://gerandofalcoes.my.salesforce.com/0014X00002YggpyQAB", "0014X00002YggpyQAB")</f>
        <v>0014X00002YggpyQAB</v>
      </c>
      <c r="B877" s="2" t="s">
        <v>3740</v>
      </c>
      <c r="C877" s="2" t="s">
        <v>423</v>
      </c>
      <c r="D877" s="2" t="s">
        <v>2</v>
      </c>
      <c r="E877" s="2"/>
      <c r="F877" s="2">
        <v>3</v>
      </c>
      <c r="G877" s="2">
        <v>3</v>
      </c>
      <c r="H877" s="2">
        <v>7000</v>
      </c>
      <c r="I877" s="2">
        <v>100</v>
      </c>
      <c r="J877" s="2" t="s">
        <v>1779</v>
      </c>
      <c r="K877" s="2">
        <v>28</v>
      </c>
      <c r="L877" s="2">
        <v>0</v>
      </c>
      <c r="M877" s="2">
        <v>5</v>
      </c>
      <c r="N877" s="2">
        <v>8</v>
      </c>
      <c r="O877" s="2">
        <v>5</v>
      </c>
      <c r="P877" s="2">
        <v>10</v>
      </c>
      <c r="Q877" s="2" t="s">
        <v>3741</v>
      </c>
      <c r="R877" s="2" t="s">
        <v>3742</v>
      </c>
      <c r="S877" s="4">
        <v>44967</v>
      </c>
    </row>
    <row r="878" spans="1:19" ht="12.5" x14ac:dyDescent="0.25">
      <c r="A878" s="14" t="str">
        <f>HYPERLINK("https://gerandofalcoes.my.salesforce.com/0014X00002YggnrQAB", "0014X00002YggnrQAB")</f>
        <v>0014X00002YggnrQAB</v>
      </c>
      <c r="B878" s="2" t="s">
        <v>3354</v>
      </c>
      <c r="C878" s="2" t="s">
        <v>423</v>
      </c>
      <c r="D878" s="2" t="s">
        <v>2</v>
      </c>
      <c r="E878" s="2"/>
      <c r="F878" s="2">
        <v>2</v>
      </c>
      <c r="G878" s="2">
        <v>5</v>
      </c>
      <c r="H878" s="2">
        <v>7006467</v>
      </c>
      <c r="I878" s="2">
        <v>100</v>
      </c>
      <c r="J878" s="2" t="s">
        <v>1671</v>
      </c>
      <c r="K878" s="2">
        <v>50</v>
      </c>
      <c r="L878" s="2">
        <v>0</v>
      </c>
      <c r="M878" s="2">
        <v>5</v>
      </c>
      <c r="N878" s="2">
        <v>10</v>
      </c>
      <c r="O878" s="2">
        <v>25</v>
      </c>
      <c r="P878" s="2">
        <v>10</v>
      </c>
      <c r="Q878" s="2" t="s">
        <v>3355</v>
      </c>
      <c r="R878" s="2" t="s">
        <v>3356</v>
      </c>
      <c r="S878" s="4">
        <v>44953</v>
      </c>
    </row>
    <row r="879" spans="1:19" ht="12.5" x14ac:dyDescent="0.25">
      <c r="A879" s="14" t="str">
        <f>HYPERLINK("https://gerandofalcoes.my.salesforce.com/0014X00002YggiKQAR", "0014X00002YggiKQAR")</f>
        <v>0014X00002YggiKQAR</v>
      </c>
      <c r="B879" s="2" t="s">
        <v>3743</v>
      </c>
      <c r="C879" s="2" t="s">
        <v>423</v>
      </c>
      <c r="D879" s="2" t="s">
        <v>2</v>
      </c>
      <c r="E879" s="2"/>
      <c r="F879" s="2">
        <v>0</v>
      </c>
      <c r="G879" s="2">
        <v>2</v>
      </c>
      <c r="H879" s="2">
        <v>1000</v>
      </c>
      <c r="I879" s="2">
        <v>100</v>
      </c>
      <c r="J879" s="2" t="s">
        <v>1779</v>
      </c>
      <c r="K879" s="2">
        <v>21</v>
      </c>
      <c r="L879" s="2">
        <v>0</v>
      </c>
      <c r="M879" s="2">
        <v>0</v>
      </c>
      <c r="N879" s="2">
        <v>6</v>
      </c>
      <c r="O879" s="2">
        <v>5</v>
      </c>
      <c r="P879" s="2">
        <v>10</v>
      </c>
      <c r="Q879" s="2" t="s">
        <v>3744</v>
      </c>
      <c r="R879" s="2" t="s">
        <v>3744</v>
      </c>
      <c r="S879" s="4">
        <v>44967</v>
      </c>
    </row>
    <row r="880" spans="1:19" ht="12.5" x14ac:dyDescent="0.25">
      <c r="A880" s="14" t="str">
        <f>HYPERLINK("https://gerandofalcoes.my.salesforce.com/0014X00002YggmqQAB", "0014X00002YggmqQAB")</f>
        <v>0014X00002YggmqQAB</v>
      </c>
      <c r="B880" s="2" t="s">
        <v>3869</v>
      </c>
      <c r="C880" s="2" t="s">
        <v>423</v>
      </c>
      <c r="D880" s="2" t="s">
        <v>2</v>
      </c>
      <c r="E880" s="2"/>
      <c r="F880" s="2">
        <v>0</v>
      </c>
      <c r="G880" s="2">
        <v>3</v>
      </c>
      <c r="H880" s="2">
        <v>7600</v>
      </c>
      <c r="I880" s="2">
        <v>100</v>
      </c>
      <c r="J880" s="2" t="s">
        <v>1779</v>
      </c>
      <c r="K880" s="2">
        <v>23</v>
      </c>
      <c r="L880" s="2">
        <v>0</v>
      </c>
      <c r="M880" s="2">
        <v>0</v>
      </c>
      <c r="N880" s="2">
        <v>8</v>
      </c>
      <c r="O880" s="2">
        <v>5</v>
      </c>
      <c r="P880" s="2">
        <v>10</v>
      </c>
      <c r="Q880" s="2" t="s">
        <v>3870</v>
      </c>
      <c r="R880" s="2" t="s">
        <v>3870</v>
      </c>
      <c r="S880" s="4">
        <v>45112</v>
      </c>
    </row>
    <row r="881" spans="1:19" ht="12.5" x14ac:dyDescent="0.25">
      <c r="A881" s="14" t="str">
        <f>HYPERLINK("https://gerandofalcoes.my.salesforce.com/0014X00002YggmLQAR", "0014X00002YggmLQAR")</f>
        <v>0014X00002YggmLQAR</v>
      </c>
      <c r="B881" s="2" t="s">
        <v>3871</v>
      </c>
      <c r="C881" s="2" t="s">
        <v>423</v>
      </c>
      <c r="D881" s="2" t="s">
        <v>2</v>
      </c>
      <c r="E881" s="2"/>
      <c r="F881" s="2">
        <v>4</v>
      </c>
      <c r="G881" s="2">
        <v>100</v>
      </c>
      <c r="H881" s="2">
        <v>1200</v>
      </c>
      <c r="I881" s="2">
        <v>100</v>
      </c>
      <c r="J881" s="2" t="s">
        <v>1779</v>
      </c>
      <c r="K881" s="2">
        <v>30</v>
      </c>
      <c r="L881" s="2">
        <v>0</v>
      </c>
      <c r="M881" s="2">
        <v>5</v>
      </c>
      <c r="N881" s="2">
        <v>10</v>
      </c>
      <c r="O881" s="2">
        <v>5</v>
      </c>
      <c r="P881" s="2">
        <v>10</v>
      </c>
      <c r="Q881" s="2" t="s">
        <v>3872</v>
      </c>
      <c r="R881" s="2" t="s">
        <v>3873</v>
      </c>
      <c r="S881" s="4">
        <v>45112</v>
      </c>
    </row>
    <row r="882" spans="1:19" ht="12.5" x14ac:dyDescent="0.25">
      <c r="A882" s="14" t="str">
        <f>HYPERLINK("https://gerandofalcoes.my.salesforce.com/0014X00002YggpnQAB", "0014X00002YggpnQAB")</f>
        <v>0014X00002YggpnQAB</v>
      </c>
      <c r="B882" s="2" t="s">
        <v>3128</v>
      </c>
      <c r="C882" s="2" t="s">
        <v>423</v>
      </c>
      <c r="D882" s="2" t="s">
        <v>2</v>
      </c>
      <c r="E882" s="2"/>
      <c r="F882" s="2">
        <v>0</v>
      </c>
      <c r="G882" s="2">
        <v>2</v>
      </c>
      <c r="H882" s="2">
        <v>2000</v>
      </c>
      <c r="I882" s="2">
        <v>90</v>
      </c>
      <c r="J882" s="2" t="s">
        <v>1779</v>
      </c>
      <c r="K882" s="2">
        <v>21</v>
      </c>
      <c r="L882" s="2">
        <v>0</v>
      </c>
      <c r="M882" s="2">
        <v>0</v>
      </c>
      <c r="N882" s="2">
        <v>6</v>
      </c>
      <c r="O882" s="2">
        <v>5</v>
      </c>
      <c r="P882" s="2">
        <v>10</v>
      </c>
      <c r="Q882" s="2" t="s">
        <v>3129</v>
      </c>
      <c r="R882" s="2" t="s">
        <v>3129</v>
      </c>
      <c r="S882" s="4">
        <v>44949</v>
      </c>
    </row>
    <row r="883" spans="1:19" ht="12.5" x14ac:dyDescent="0.25">
      <c r="A883" s="14" t="str">
        <f>HYPERLINK("https://gerandofalcoes.my.salesforce.com/0014X00002YggnfQAB", "0014X00002YggnfQAB")</f>
        <v>0014X00002YggnfQAB</v>
      </c>
      <c r="B883" s="2" t="s">
        <v>3166</v>
      </c>
      <c r="C883" s="2" t="s">
        <v>423</v>
      </c>
      <c r="D883" s="2" t="s">
        <v>2</v>
      </c>
      <c r="E883" s="2"/>
      <c r="F883" s="2">
        <v>1</v>
      </c>
      <c r="G883" s="2">
        <v>4</v>
      </c>
      <c r="H883" s="2">
        <v>4000</v>
      </c>
      <c r="I883" s="2">
        <v>90</v>
      </c>
      <c r="J883" s="2" t="s">
        <v>1779</v>
      </c>
      <c r="K883" s="2">
        <v>30</v>
      </c>
      <c r="L883" s="2">
        <v>0</v>
      </c>
      <c r="M883" s="2">
        <v>5</v>
      </c>
      <c r="N883" s="2">
        <v>10</v>
      </c>
      <c r="O883" s="2">
        <v>5</v>
      </c>
      <c r="P883" s="2">
        <v>10</v>
      </c>
      <c r="Q883" s="2" t="s">
        <v>3167</v>
      </c>
      <c r="R883" s="2" t="s">
        <v>3167</v>
      </c>
      <c r="S883" s="4">
        <v>44950</v>
      </c>
    </row>
    <row r="884" spans="1:19" ht="12.5" x14ac:dyDescent="0.25">
      <c r="A884" s="14" t="str">
        <f>HYPERLINK("https://gerandofalcoes.my.salesforce.com/0014X00002YggmlQAB", "0014X00002YggmlQAB")</f>
        <v>0014X00002YggmlQAB</v>
      </c>
      <c r="B884" s="2" t="s">
        <v>3078</v>
      </c>
      <c r="C884" s="2" t="s">
        <v>423</v>
      </c>
      <c r="D884" s="2" t="s">
        <v>2</v>
      </c>
      <c r="E884" s="2"/>
      <c r="F884" s="2">
        <v>1</v>
      </c>
      <c r="G884" s="2">
        <v>2</v>
      </c>
      <c r="H884" s="2">
        <v>30000</v>
      </c>
      <c r="I884" s="2">
        <v>90</v>
      </c>
      <c r="J884" s="2" t="s">
        <v>1779</v>
      </c>
      <c r="K884" s="2">
        <v>31</v>
      </c>
      <c r="L884" s="2">
        <v>0</v>
      </c>
      <c r="M884" s="2">
        <v>5</v>
      </c>
      <c r="N884" s="2">
        <v>6</v>
      </c>
      <c r="O884" s="2">
        <v>10</v>
      </c>
      <c r="P884" s="2">
        <v>10</v>
      </c>
      <c r="Q884" s="2" t="s">
        <v>3079</v>
      </c>
      <c r="R884" s="2" t="s">
        <v>3080</v>
      </c>
      <c r="S884" s="4">
        <v>44946</v>
      </c>
    </row>
    <row r="885" spans="1:19" ht="12.5" x14ac:dyDescent="0.25">
      <c r="A885" s="14" t="str">
        <f>HYPERLINK("https://gerandofalcoes.my.salesforce.com/0014X00002Yggj3QAB", "0014X00002Yggj3QAB")</f>
        <v>0014X00002Yggj3QAB</v>
      </c>
      <c r="B885" s="2" t="s">
        <v>3357</v>
      </c>
      <c r="C885" s="2" t="s">
        <v>423</v>
      </c>
      <c r="D885" s="2" t="s">
        <v>2</v>
      </c>
      <c r="E885" s="2"/>
      <c r="F885" s="2">
        <v>0</v>
      </c>
      <c r="G885" s="2">
        <v>5</v>
      </c>
      <c r="H885" s="2">
        <v>1000</v>
      </c>
      <c r="I885" s="2">
        <v>80</v>
      </c>
      <c r="J885" s="2" t="s">
        <v>1779</v>
      </c>
      <c r="K885" s="2">
        <v>25</v>
      </c>
      <c r="L885" s="2">
        <v>0</v>
      </c>
      <c r="M885" s="2">
        <v>0</v>
      </c>
      <c r="N885" s="2">
        <v>10</v>
      </c>
      <c r="O885" s="2">
        <v>5</v>
      </c>
      <c r="P885" s="2">
        <v>10</v>
      </c>
      <c r="Q885" s="2" t="s">
        <v>3358</v>
      </c>
      <c r="R885" s="2" t="s">
        <v>3359</v>
      </c>
      <c r="S885" s="4">
        <v>44953</v>
      </c>
    </row>
    <row r="886" spans="1:19" ht="12.5" x14ac:dyDescent="0.25">
      <c r="A886" s="14" t="str">
        <f>HYPERLINK("https://gerandofalcoes.my.salesforce.com/0014X00002YgghTQAR", "0014X00002YgghTQAR")</f>
        <v>0014X00002YgghTQAR</v>
      </c>
      <c r="B886" s="2" t="s">
        <v>3792</v>
      </c>
      <c r="C886" s="2" t="s">
        <v>423</v>
      </c>
      <c r="D886" s="2" t="s">
        <v>2</v>
      </c>
      <c r="E886" s="2"/>
      <c r="F886" s="2">
        <v>2</v>
      </c>
      <c r="G886" s="2">
        <v>2</v>
      </c>
      <c r="H886" s="2">
        <v>4500</v>
      </c>
      <c r="I886" s="2">
        <v>77</v>
      </c>
      <c r="J886" s="2" t="s">
        <v>1779</v>
      </c>
      <c r="K886" s="2">
        <v>21</v>
      </c>
      <c r="L886" s="2">
        <v>0</v>
      </c>
      <c r="M886" s="2">
        <v>5</v>
      </c>
      <c r="N886" s="2">
        <v>6</v>
      </c>
      <c r="O886" s="2">
        <v>5</v>
      </c>
      <c r="P886" s="2">
        <v>5</v>
      </c>
      <c r="Q886" s="2" t="s">
        <v>3793</v>
      </c>
      <c r="R886" s="2" t="s">
        <v>3793</v>
      </c>
      <c r="S886" s="4">
        <v>44968</v>
      </c>
    </row>
    <row r="887" spans="1:19" ht="12.5" x14ac:dyDescent="0.25">
      <c r="A887" s="14" t="str">
        <f>HYPERLINK("https://gerandofalcoes.my.salesforce.com/0014X00002YggjZQAR", "0014X00002YggjZQAR")</f>
        <v>0014X00002YggjZQAR</v>
      </c>
      <c r="B887" s="2" t="s">
        <v>3281</v>
      </c>
      <c r="C887" s="2" t="s">
        <v>423</v>
      </c>
      <c r="D887" s="2" t="s">
        <v>2</v>
      </c>
      <c r="E887" s="2"/>
      <c r="F887" s="2">
        <v>0</v>
      </c>
      <c r="G887" s="2">
        <v>3</v>
      </c>
      <c r="H887" s="2">
        <v>9000</v>
      </c>
      <c r="I887" s="2">
        <v>75</v>
      </c>
      <c r="J887" s="2" t="s">
        <v>1779</v>
      </c>
      <c r="K887" s="2">
        <v>18</v>
      </c>
      <c r="L887" s="2">
        <v>0</v>
      </c>
      <c r="M887" s="2">
        <v>0</v>
      </c>
      <c r="N887" s="2">
        <v>8</v>
      </c>
      <c r="O887" s="2">
        <v>5</v>
      </c>
      <c r="P887" s="2">
        <v>5</v>
      </c>
      <c r="Q887" s="2" t="s">
        <v>3282</v>
      </c>
      <c r="R887" s="2" t="s">
        <v>3282</v>
      </c>
      <c r="S887" s="4">
        <v>44952</v>
      </c>
    </row>
    <row r="888" spans="1:19" ht="12.5" x14ac:dyDescent="0.25">
      <c r="A888" s="14" t="str">
        <f>HYPERLINK("https://gerandofalcoes.my.salesforce.com/0014X00002YgglbQAB", "0014X00002YgglbQAB")</f>
        <v>0014X00002YgglbQAB</v>
      </c>
      <c r="B888" s="2" t="s">
        <v>3218</v>
      </c>
      <c r="C888" s="2" t="s">
        <v>423</v>
      </c>
      <c r="D888" s="2" t="s">
        <v>2</v>
      </c>
      <c r="E888" s="2"/>
      <c r="F888" s="2">
        <v>0</v>
      </c>
      <c r="G888" s="2">
        <v>3</v>
      </c>
      <c r="H888" s="2">
        <v>100000</v>
      </c>
      <c r="I888" s="2">
        <v>75</v>
      </c>
      <c r="J888" s="2" t="s">
        <v>1779</v>
      </c>
      <c r="K888" s="2">
        <v>28</v>
      </c>
      <c r="L888" s="2">
        <v>0</v>
      </c>
      <c r="M888" s="2">
        <v>0</v>
      </c>
      <c r="N888" s="2">
        <v>8</v>
      </c>
      <c r="O888" s="2">
        <v>15</v>
      </c>
      <c r="P888" s="2">
        <v>5</v>
      </c>
      <c r="Q888" s="2" t="s">
        <v>3219</v>
      </c>
      <c r="R888" s="2" t="s">
        <v>3219</v>
      </c>
      <c r="S888" s="4">
        <v>44951</v>
      </c>
    </row>
    <row r="889" spans="1:19" ht="12.5" x14ac:dyDescent="0.25">
      <c r="A889" s="14" t="str">
        <f>HYPERLINK("https://gerandofalcoes.my.salesforce.com/0014X00002YgghPQAR", "0014X00002YgghPQAR")</f>
        <v>0014X00002YgghPQAR</v>
      </c>
      <c r="B889" s="2" t="s">
        <v>3628</v>
      </c>
      <c r="C889" s="2" t="s">
        <v>423</v>
      </c>
      <c r="D889" s="2" t="s">
        <v>2</v>
      </c>
      <c r="E889" s="2"/>
      <c r="F889" s="2">
        <v>0</v>
      </c>
      <c r="G889" s="2">
        <v>2</v>
      </c>
      <c r="H889" s="2">
        <v>1100000</v>
      </c>
      <c r="I889" s="2">
        <v>70</v>
      </c>
      <c r="J889" s="2" t="s">
        <v>1779</v>
      </c>
      <c r="K889" s="2">
        <v>36</v>
      </c>
      <c r="L889" s="2">
        <v>0</v>
      </c>
      <c r="M889" s="2">
        <v>0</v>
      </c>
      <c r="N889" s="2">
        <v>6</v>
      </c>
      <c r="O889" s="2">
        <v>25</v>
      </c>
      <c r="P889" s="2">
        <v>5</v>
      </c>
      <c r="Q889" s="2" t="s">
        <v>3629</v>
      </c>
      <c r="R889" s="2" t="s">
        <v>3630</v>
      </c>
      <c r="S889" s="4">
        <v>44963</v>
      </c>
    </row>
    <row r="890" spans="1:19" ht="12.5" x14ac:dyDescent="0.25">
      <c r="A890" s="14" t="str">
        <f>HYPERLINK("https://gerandofalcoes.my.salesforce.com/0014X00002YggjLQAR", "0014X00002YggjLQAR")</f>
        <v>0014X00002YggjLQAR</v>
      </c>
      <c r="B890" s="2" t="s">
        <v>3489</v>
      </c>
      <c r="C890" s="2" t="s">
        <v>423</v>
      </c>
      <c r="D890" s="2" t="s">
        <v>2</v>
      </c>
      <c r="E890" s="2"/>
      <c r="F890" s="2">
        <v>0</v>
      </c>
      <c r="G890" s="2">
        <v>2</v>
      </c>
      <c r="H890" s="2">
        <v>1000</v>
      </c>
      <c r="I890" s="2">
        <v>70</v>
      </c>
      <c r="J890" s="2" t="s">
        <v>1779</v>
      </c>
      <c r="K890" s="2">
        <v>16</v>
      </c>
      <c r="L890" s="2">
        <v>0</v>
      </c>
      <c r="M890" s="2">
        <v>0</v>
      </c>
      <c r="N890" s="2">
        <v>6</v>
      </c>
      <c r="O890" s="2">
        <v>5</v>
      </c>
      <c r="P890" s="2">
        <v>5</v>
      </c>
      <c r="Q890" s="2" t="s">
        <v>3490</v>
      </c>
      <c r="R890" s="2" t="s">
        <v>3491</v>
      </c>
      <c r="S890" s="4">
        <v>44958</v>
      </c>
    </row>
    <row r="891" spans="1:19" ht="12.5" x14ac:dyDescent="0.25">
      <c r="A891" s="14" t="str">
        <f>HYPERLINK("https://gerandofalcoes.my.salesforce.com/0014X00002YggpuQAB", "0014X00002YggpuQAB")</f>
        <v>0014X00002YggpuQAB</v>
      </c>
      <c r="B891" s="2" t="s">
        <v>3555</v>
      </c>
      <c r="C891" s="2" t="s">
        <v>423</v>
      </c>
      <c r="D891" s="2" t="s">
        <v>2</v>
      </c>
      <c r="E891" s="2"/>
      <c r="F891" s="2">
        <v>0</v>
      </c>
      <c r="G891" s="2">
        <v>3</v>
      </c>
      <c r="H891" s="2">
        <v>864</v>
      </c>
      <c r="I891" s="2">
        <v>70</v>
      </c>
      <c r="J891" s="2" t="s">
        <v>1779</v>
      </c>
      <c r="K891" s="2">
        <v>18</v>
      </c>
      <c r="L891" s="2">
        <v>0</v>
      </c>
      <c r="M891" s="2">
        <v>0</v>
      </c>
      <c r="N891" s="2">
        <v>8</v>
      </c>
      <c r="O891" s="2">
        <v>5</v>
      </c>
      <c r="P891" s="2">
        <v>5</v>
      </c>
      <c r="Q891" s="2" t="s">
        <v>3556</v>
      </c>
      <c r="R891" s="2" t="s">
        <v>3557</v>
      </c>
      <c r="S891" s="4">
        <v>44959</v>
      </c>
    </row>
    <row r="892" spans="1:19" ht="12.5" x14ac:dyDescent="0.25">
      <c r="A892" s="14" t="str">
        <f>HYPERLINK("https://gerandofalcoes.my.salesforce.com/0014X00002YggqCQAR", "0014X00002YggqCQAR")</f>
        <v>0014X00002YggqCQAR</v>
      </c>
      <c r="B892" s="2" t="s">
        <v>3745</v>
      </c>
      <c r="C892" s="2" t="s">
        <v>423</v>
      </c>
      <c r="D892" s="2" t="s">
        <v>2</v>
      </c>
      <c r="E892" s="2"/>
      <c r="F892" s="2">
        <v>3</v>
      </c>
      <c r="G892" s="2">
        <v>2</v>
      </c>
      <c r="H892" s="2">
        <v>300</v>
      </c>
      <c r="I892" s="2">
        <v>70</v>
      </c>
      <c r="J892" s="2" t="s">
        <v>1779</v>
      </c>
      <c r="K892" s="2">
        <v>21</v>
      </c>
      <c r="L892" s="2">
        <v>0</v>
      </c>
      <c r="M892" s="2">
        <v>5</v>
      </c>
      <c r="N892" s="2">
        <v>6</v>
      </c>
      <c r="O892" s="2">
        <v>5</v>
      </c>
      <c r="P892" s="2">
        <v>5</v>
      </c>
      <c r="Q892" s="2" t="s">
        <v>3746</v>
      </c>
      <c r="R892" s="2" t="s">
        <v>3746</v>
      </c>
      <c r="S892" s="4">
        <v>44967</v>
      </c>
    </row>
    <row r="893" spans="1:19" ht="12.5" x14ac:dyDescent="0.25">
      <c r="A893" s="14" t="str">
        <f>HYPERLINK("https://gerandofalcoes.my.salesforce.com/0014X00002Yggh0QAB", "0014X00002Yggh0QAB")</f>
        <v>0014X00002Yggh0QAB</v>
      </c>
      <c r="B893" s="2" t="s">
        <v>3220</v>
      </c>
      <c r="C893" s="2" t="s">
        <v>423</v>
      </c>
      <c r="D893" s="2" t="s">
        <v>2</v>
      </c>
      <c r="E893" s="2"/>
      <c r="F893" s="2">
        <v>10</v>
      </c>
      <c r="G893" s="2">
        <v>2</v>
      </c>
      <c r="H893" s="2">
        <v>10000</v>
      </c>
      <c r="I893" s="2">
        <v>65</v>
      </c>
      <c r="J893" s="2" t="s">
        <v>1779</v>
      </c>
      <c r="K893" s="2">
        <v>26</v>
      </c>
      <c r="L893" s="2">
        <v>0</v>
      </c>
      <c r="M893" s="2">
        <v>10</v>
      </c>
      <c r="N893" s="2">
        <v>6</v>
      </c>
      <c r="O893" s="2">
        <v>5</v>
      </c>
      <c r="P893" s="2">
        <v>5</v>
      </c>
      <c r="Q893" s="2" t="s">
        <v>3221</v>
      </c>
      <c r="R893" s="2" t="s">
        <v>3221</v>
      </c>
      <c r="S893" s="4">
        <v>44951</v>
      </c>
    </row>
    <row r="894" spans="1:19" ht="12.5" x14ac:dyDescent="0.25">
      <c r="A894" s="14" t="str">
        <f>HYPERLINK("https://gerandofalcoes.my.salesforce.com/0014X00002YgglpQAB", "0014X00002YgglpQAB")</f>
        <v>0014X00002YgglpQAB</v>
      </c>
      <c r="B894" s="2" t="s">
        <v>3360</v>
      </c>
      <c r="C894" s="2" t="s">
        <v>423</v>
      </c>
      <c r="D894" s="2" t="s">
        <v>2</v>
      </c>
      <c r="E894" s="2"/>
      <c r="F894" s="2">
        <v>24</v>
      </c>
      <c r="G894" s="2">
        <v>8</v>
      </c>
      <c r="H894" s="2">
        <v>12828162</v>
      </c>
      <c r="I894" s="2">
        <v>60</v>
      </c>
      <c r="J894" s="2" t="s">
        <v>1671</v>
      </c>
      <c r="K894" s="2">
        <v>52</v>
      </c>
      <c r="L894" s="2">
        <v>0</v>
      </c>
      <c r="M894" s="2">
        <v>12</v>
      </c>
      <c r="N894" s="2">
        <v>10</v>
      </c>
      <c r="O894" s="2">
        <v>25</v>
      </c>
      <c r="P894" s="2">
        <v>5</v>
      </c>
      <c r="Q894" s="2" t="s">
        <v>3361</v>
      </c>
      <c r="R894" s="2" t="s">
        <v>3362</v>
      </c>
      <c r="S894" s="4">
        <v>44953</v>
      </c>
    </row>
    <row r="895" spans="1:19" ht="12.5" x14ac:dyDescent="0.25">
      <c r="A895" s="14" t="str">
        <f>HYPERLINK("https://gerandofalcoes.my.salesforce.com/0014X00002YggmGQAR", "0014X00002YggmGQAR")</f>
        <v>0014X00002YggmGQAR</v>
      </c>
      <c r="B895" s="2" t="s">
        <v>3130</v>
      </c>
      <c r="C895" s="2" t="s">
        <v>423</v>
      </c>
      <c r="D895" s="2" t="s">
        <v>2</v>
      </c>
      <c r="E895" s="2"/>
      <c r="F895" s="2">
        <v>10</v>
      </c>
      <c r="G895" s="2">
        <v>2</v>
      </c>
      <c r="H895" s="2">
        <v>3000</v>
      </c>
      <c r="I895" s="2">
        <v>60</v>
      </c>
      <c r="J895" s="2" t="s">
        <v>1779</v>
      </c>
      <c r="K895" s="2">
        <v>26</v>
      </c>
      <c r="L895" s="2">
        <v>0</v>
      </c>
      <c r="M895" s="2">
        <v>10</v>
      </c>
      <c r="N895" s="2">
        <v>6</v>
      </c>
      <c r="O895" s="2">
        <v>5</v>
      </c>
      <c r="P895" s="2">
        <v>5</v>
      </c>
      <c r="Q895" s="2" t="s">
        <v>3131</v>
      </c>
      <c r="R895" s="2" t="s">
        <v>3132</v>
      </c>
      <c r="S895" s="4">
        <v>44949</v>
      </c>
    </row>
    <row r="896" spans="1:19" ht="12.5" x14ac:dyDescent="0.25">
      <c r="A896" s="14" t="str">
        <f>HYPERLINK("https://gerandofalcoes.my.salesforce.com/0014X00002YggprQAB", "0014X00002YggprQAB")</f>
        <v>0014X00002YggprQAB</v>
      </c>
      <c r="B896" s="2" t="s">
        <v>3168</v>
      </c>
      <c r="C896" s="2" t="s">
        <v>423</v>
      </c>
      <c r="D896" s="2" t="s">
        <v>2</v>
      </c>
      <c r="E896" s="2"/>
      <c r="F896" s="2">
        <v>0</v>
      </c>
      <c r="G896" s="2">
        <v>2</v>
      </c>
      <c r="H896" s="2">
        <v>300</v>
      </c>
      <c r="I896" s="2">
        <v>60</v>
      </c>
      <c r="J896" s="2" t="s">
        <v>1779</v>
      </c>
      <c r="K896" s="2">
        <v>16</v>
      </c>
      <c r="L896" s="2">
        <v>0</v>
      </c>
      <c r="M896" s="2">
        <v>0</v>
      </c>
      <c r="N896" s="2">
        <v>6</v>
      </c>
      <c r="O896" s="2">
        <v>5</v>
      </c>
      <c r="P896" s="2">
        <v>5</v>
      </c>
      <c r="Q896" s="2" t="s">
        <v>3169</v>
      </c>
      <c r="R896" s="2" t="s">
        <v>3170</v>
      </c>
      <c r="S896" s="4">
        <v>44950</v>
      </c>
    </row>
    <row r="897" spans="1:19" ht="12.5" x14ac:dyDescent="0.25">
      <c r="A897" s="14" t="str">
        <f>HYPERLINK("https://gerandofalcoes.my.salesforce.com/0014X00002YggnZQAR", "0014X00002YggnZQAR")</f>
        <v>0014X00002YggnZQAR</v>
      </c>
      <c r="B897" s="2" t="s">
        <v>3603</v>
      </c>
      <c r="C897" s="2" t="s">
        <v>423</v>
      </c>
      <c r="D897" s="2" t="s">
        <v>2</v>
      </c>
      <c r="E897" s="2"/>
      <c r="F897" s="2">
        <v>15</v>
      </c>
      <c r="G897" s="2">
        <v>2</v>
      </c>
      <c r="H897" s="2">
        <v>0</v>
      </c>
      <c r="I897" s="2">
        <v>60</v>
      </c>
      <c r="J897" s="2" t="s">
        <v>1779</v>
      </c>
      <c r="K897" s="2">
        <v>23</v>
      </c>
      <c r="L897" s="2">
        <v>0</v>
      </c>
      <c r="M897" s="2">
        <v>12</v>
      </c>
      <c r="N897" s="2">
        <v>6</v>
      </c>
      <c r="O897" s="2">
        <v>0</v>
      </c>
      <c r="P897" s="2">
        <v>5</v>
      </c>
      <c r="Q897" s="2" t="s">
        <v>3604</v>
      </c>
      <c r="R897" s="2" t="s">
        <v>3604</v>
      </c>
      <c r="S897" s="4">
        <v>44962</v>
      </c>
    </row>
    <row r="898" spans="1:19" ht="12.5" x14ac:dyDescent="0.25">
      <c r="A898" s="14" t="str">
        <f>HYPERLINK("https://gerandofalcoes.my.salesforce.com/0014X00002YgglTQAR", "0014X00002YgglTQAR")</f>
        <v>0014X00002YgglTQAR</v>
      </c>
      <c r="B898" s="2" t="s">
        <v>3363</v>
      </c>
      <c r="C898" s="2" t="s">
        <v>423</v>
      </c>
      <c r="D898" s="2" t="s">
        <v>2</v>
      </c>
      <c r="E898" s="2"/>
      <c r="F898" s="2">
        <v>0</v>
      </c>
      <c r="G898" s="2">
        <v>2</v>
      </c>
      <c r="H898" s="2">
        <v>0</v>
      </c>
      <c r="I898" s="2">
        <v>60</v>
      </c>
      <c r="J898" s="2" t="s">
        <v>1779</v>
      </c>
      <c r="K898" s="2">
        <v>11</v>
      </c>
      <c r="L898" s="2">
        <v>0</v>
      </c>
      <c r="M898" s="2">
        <v>0</v>
      </c>
      <c r="N898" s="2">
        <v>6</v>
      </c>
      <c r="O898" s="2">
        <v>0</v>
      </c>
      <c r="P898" s="2">
        <v>5</v>
      </c>
      <c r="Q898" s="2" t="s">
        <v>3364</v>
      </c>
      <c r="R898" s="2" t="s">
        <v>3364</v>
      </c>
      <c r="S898" s="4">
        <v>44953</v>
      </c>
    </row>
    <row r="899" spans="1:19" ht="12.5" x14ac:dyDescent="0.25">
      <c r="A899" s="14" t="str">
        <f>HYPERLINK("https://gerandofalcoes.my.salesforce.com/0014X00002YggjvQAB", "0014X00002YggjvQAB")</f>
        <v>0014X00002YggjvQAB</v>
      </c>
      <c r="B899" s="2" t="s">
        <v>3365</v>
      </c>
      <c r="C899" s="2" t="s">
        <v>423</v>
      </c>
      <c r="D899" s="2" t="s">
        <v>2</v>
      </c>
      <c r="E899" s="2"/>
      <c r="F899" s="2">
        <v>6</v>
      </c>
      <c r="G899" s="2">
        <v>2</v>
      </c>
      <c r="H899" s="2">
        <v>13000</v>
      </c>
      <c r="I899" s="2">
        <v>60</v>
      </c>
      <c r="J899" s="2" t="s">
        <v>1779</v>
      </c>
      <c r="K899" s="2">
        <v>26</v>
      </c>
      <c r="L899" s="2">
        <v>0</v>
      </c>
      <c r="M899" s="2">
        <v>10</v>
      </c>
      <c r="N899" s="2">
        <v>6</v>
      </c>
      <c r="O899" s="2">
        <v>5</v>
      </c>
      <c r="P899" s="2">
        <v>5</v>
      </c>
      <c r="Q899" s="2" t="s">
        <v>3366</v>
      </c>
      <c r="R899" s="2" t="s">
        <v>3366</v>
      </c>
      <c r="S899" s="4">
        <v>44953</v>
      </c>
    </row>
    <row r="900" spans="1:19" ht="12.5" x14ac:dyDescent="0.25">
      <c r="A900" s="14" t="str">
        <f>HYPERLINK("https://gerandofalcoes.my.salesforce.com/0014X00002YgghxQAB", "0014X00002YgghxQAB")</f>
        <v>0014X00002YgghxQAB</v>
      </c>
      <c r="B900" s="2" t="s">
        <v>3747</v>
      </c>
      <c r="C900" s="2" t="s">
        <v>423</v>
      </c>
      <c r="D900" s="2" t="s">
        <v>2</v>
      </c>
      <c r="E900" s="2"/>
      <c r="F900" s="2">
        <v>12</v>
      </c>
      <c r="G900" s="2">
        <v>3</v>
      </c>
      <c r="H900" s="2">
        <v>3000</v>
      </c>
      <c r="I900" s="2">
        <v>59</v>
      </c>
      <c r="J900" s="2" t="s">
        <v>1779</v>
      </c>
      <c r="K900" s="2">
        <v>30</v>
      </c>
      <c r="L900" s="2">
        <v>0</v>
      </c>
      <c r="M900" s="2">
        <v>12</v>
      </c>
      <c r="N900" s="2">
        <v>8</v>
      </c>
      <c r="O900" s="2">
        <v>5</v>
      </c>
      <c r="P900" s="2">
        <v>5</v>
      </c>
      <c r="Q900" s="2" t="s">
        <v>3748</v>
      </c>
      <c r="R900" s="2" t="s">
        <v>3749</v>
      </c>
      <c r="S900" s="4">
        <v>44967</v>
      </c>
    </row>
    <row r="901" spans="1:19" ht="12.5" x14ac:dyDescent="0.25">
      <c r="A901" s="14" t="str">
        <f>HYPERLINK("https://gerandofalcoes.my.salesforce.com/0014X00002YggnaQAB", "0014X00002YggnaQAB")</f>
        <v>0014X00002YggnaQAB</v>
      </c>
      <c r="B901" s="2" t="s">
        <v>3874</v>
      </c>
      <c r="C901" s="2" t="s">
        <v>423</v>
      </c>
      <c r="D901" s="2" t="s">
        <v>2</v>
      </c>
      <c r="E901" s="2"/>
      <c r="F901" s="2">
        <v>0</v>
      </c>
      <c r="G901" s="2">
        <v>2</v>
      </c>
      <c r="H901" s="2">
        <v>6000</v>
      </c>
      <c r="I901" s="2">
        <v>58</v>
      </c>
      <c r="J901" s="2" t="s">
        <v>1779</v>
      </c>
      <c r="K901" s="2">
        <v>16</v>
      </c>
      <c r="L901" s="2">
        <v>0</v>
      </c>
      <c r="M901" s="2">
        <v>0</v>
      </c>
      <c r="N901" s="2">
        <v>6</v>
      </c>
      <c r="O901" s="2">
        <v>5</v>
      </c>
      <c r="P901" s="2">
        <v>5</v>
      </c>
      <c r="Q901" s="2" t="s">
        <v>3875</v>
      </c>
      <c r="R901" s="2" t="s">
        <v>3876</v>
      </c>
      <c r="S901" s="4">
        <v>45112</v>
      </c>
    </row>
    <row r="902" spans="1:19" ht="12.5" x14ac:dyDescent="0.25">
      <c r="A902" s="14" t="str">
        <f>HYPERLINK("https://gerandofalcoes.my.salesforce.com/0014X00002YgggdQAB", "0014X00002YgggdQAB")</f>
        <v>0014X00002YgggdQAB</v>
      </c>
      <c r="B902" s="2" t="s">
        <v>3492</v>
      </c>
      <c r="C902" s="2" t="s">
        <v>423</v>
      </c>
      <c r="D902" s="2" t="s">
        <v>2</v>
      </c>
      <c r="E902" s="2"/>
      <c r="F902" s="2">
        <v>0</v>
      </c>
      <c r="G902" s="2">
        <v>2</v>
      </c>
      <c r="H902" s="2">
        <v>6000</v>
      </c>
      <c r="I902" s="2">
        <v>52</v>
      </c>
      <c r="J902" s="2" t="s">
        <v>1779</v>
      </c>
      <c r="K902" s="2">
        <v>16</v>
      </c>
      <c r="L902" s="2">
        <v>0</v>
      </c>
      <c r="M902" s="2">
        <v>0</v>
      </c>
      <c r="N902" s="2">
        <v>6</v>
      </c>
      <c r="O902" s="2">
        <v>5</v>
      </c>
      <c r="P902" s="2">
        <v>5</v>
      </c>
      <c r="Q902" s="2" t="s">
        <v>3493</v>
      </c>
      <c r="R902" s="2" t="s">
        <v>3493</v>
      </c>
      <c r="S902" s="4">
        <v>44958</v>
      </c>
    </row>
    <row r="903" spans="1:19" ht="12.5" x14ac:dyDescent="0.25">
      <c r="A903" s="14" t="str">
        <f>HYPERLINK("https://gerandofalcoes.my.salesforce.com/0014X00002YgggEQAR", "0014X00002YgggEQAR")</f>
        <v>0014X00002YgggEQAR</v>
      </c>
      <c r="B903" s="2" t="s">
        <v>3008</v>
      </c>
      <c r="C903" s="2" t="s">
        <v>423</v>
      </c>
      <c r="D903" s="2" t="s">
        <v>2</v>
      </c>
      <c r="E903" s="2"/>
      <c r="F903" s="2">
        <v>112</v>
      </c>
      <c r="G903" s="2">
        <v>3</v>
      </c>
      <c r="H903" s="2">
        <v>6</v>
      </c>
      <c r="I903" s="2">
        <v>50</v>
      </c>
      <c r="J903" s="2" t="s">
        <v>1779</v>
      </c>
      <c r="K903" s="2">
        <v>33</v>
      </c>
      <c r="L903" s="2">
        <v>0</v>
      </c>
      <c r="M903" s="2">
        <v>15</v>
      </c>
      <c r="N903" s="2">
        <v>8</v>
      </c>
      <c r="O903" s="2">
        <v>5</v>
      </c>
      <c r="P903" s="2">
        <v>5</v>
      </c>
      <c r="Q903" s="2" t="s">
        <v>3009</v>
      </c>
      <c r="R903" s="2" t="s">
        <v>3010</v>
      </c>
      <c r="S903" s="4">
        <v>44944</v>
      </c>
    </row>
    <row r="904" spans="1:19" ht="12.5" x14ac:dyDescent="0.25">
      <c r="A904" s="14" t="str">
        <f>HYPERLINK("https://gerandofalcoes.my.salesforce.com/0014X00002Yggi8QAB", "0014X00002Yggi8QAB")</f>
        <v>0014X00002Yggi8QAB</v>
      </c>
      <c r="B904" s="2" t="s">
        <v>3081</v>
      </c>
      <c r="C904" s="2" t="s">
        <v>423</v>
      </c>
      <c r="D904" s="2" t="s">
        <v>2</v>
      </c>
      <c r="E904" s="2"/>
      <c r="F904" s="2">
        <v>0</v>
      </c>
      <c r="G904" s="2">
        <v>2</v>
      </c>
      <c r="H904" s="2">
        <v>50</v>
      </c>
      <c r="I904" s="2">
        <v>50</v>
      </c>
      <c r="J904" s="2" t="s">
        <v>1779</v>
      </c>
      <c r="K904" s="2">
        <v>16</v>
      </c>
      <c r="L904" s="2">
        <v>0</v>
      </c>
      <c r="M904" s="2">
        <v>0</v>
      </c>
      <c r="N904" s="2">
        <v>6</v>
      </c>
      <c r="O904" s="2">
        <v>5</v>
      </c>
      <c r="P904" s="2">
        <v>5</v>
      </c>
      <c r="Q904" s="2" t="s">
        <v>3082</v>
      </c>
      <c r="R904" s="2" t="s">
        <v>3082</v>
      </c>
      <c r="S904" s="4">
        <v>44946</v>
      </c>
    </row>
    <row r="905" spans="1:19" ht="12.5" x14ac:dyDescent="0.25">
      <c r="A905" s="14" t="str">
        <f>HYPERLINK("https://gerandofalcoes.my.salesforce.com/0014X00002YggjKQAR", "0014X00002YggjKQAR")</f>
        <v>0014X00002YggjKQAR</v>
      </c>
      <c r="B905" s="2" t="s">
        <v>3133</v>
      </c>
      <c r="C905" s="2" t="s">
        <v>423</v>
      </c>
      <c r="D905" s="2" t="s">
        <v>2</v>
      </c>
      <c r="E905" s="2"/>
      <c r="F905" s="2">
        <v>4</v>
      </c>
      <c r="G905" s="2">
        <v>3</v>
      </c>
      <c r="H905" s="2">
        <v>18000</v>
      </c>
      <c r="I905" s="2">
        <v>50</v>
      </c>
      <c r="J905" s="2" t="s">
        <v>1779</v>
      </c>
      <c r="K905" s="2">
        <v>23</v>
      </c>
      <c r="L905" s="2">
        <v>0</v>
      </c>
      <c r="M905" s="2">
        <v>5</v>
      </c>
      <c r="N905" s="2">
        <v>8</v>
      </c>
      <c r="O905" s="2">
        <v>5</v>
      </c>
      <c r="P905" s="2">
        <v>5</v>
      </c>
      <c r="Q905" s="2" t="s">
        <v>3134</v>
      </c>
      <c r="R905" s="2" t="s">
        <v>3135</v>
      </c>
      <c r="S905" s="4">
        <v>44949</v>
      </c>
    </row>
    <row r="906" spans="1:19" ht="12.5" x14ac:dyDescent="0.25">
      <c r="A906" s="14" t="str">
        <f>HYPERLINK("https://gerandofalcoes.my.salesforce.com/0014X00002YggjoQAB", "0014X00002YggjoQAB")</f>
        <v>0014X00002YggjoQAB</v>
      </c>
      <c r="B906" s="2" t="s">
        <v>3283</v>
      </c>
      <c r="C906" s="2" t="s">
        <v>423</v>
      </c>
      <c r="D906" s="2" t="s">
        <v>2</v>
      </c>
      <c r="E906" s="2"/>
      <c r="F906" s="2">
        <v>3</v>
      </c>
      <c r="G906" s="2">
        <v>2</v>
      </c>
      <c r="H906" s="2">
        <v>280000</v>
      </c>
      <c r="I906" s="2">
        <v>50</v>
      </c>
      <c r="J906" s="2" t="s">
        <v>1779</v>
      </c>
      <c r="K906" s="2">
        <v>31</v>
      </c>
      <c r="L906" s="2">
        <v>0</v>
      </c>
      <c r="M906" s="2">
        <v>5</v>
      </c>
      <c r="N906" s="2">
        <v>6</v>
      </c>
      <c r="O906" s="2">
        <v>15</v>
      </c>
      <c r="P906" s="2">
        <v>5</v>
      </c>
      <c r="Q906" s="2" t="s">
        <v>3284</v>
      </c>
      <c r="R906" s="2" t="s">
        <v>3285</v>
      </c>
      <c r="S906" s="4">
        <v>44952</v>
      </c>
    </row>
    <row r="907" spans="1:19" ht="12.5" x14ac:dyDescent="0.25">
      <c r="A907" s="14" t="str">
        <f>HYPERLINK("https://gerandofalcoes.my.salesforce.com/0014X00002YggkvQAB", "0014X00002YggkvQAB")</f>
        <v>0014X00002YggkvQAB</v>
      </c>
      <c r="B907" s="2" t="s">
        <v>3494</v>
      </c>
      <c r="C907" s="2" t="s">
        <v>423</v>
      </c>
      <c r="D907" s="2" t="s">
        <v>2</v>
      </c>
      <c r="E907" s="2"/>
      <c r="F907" s="2">
        <v>5</v>
      </c>
      <c r="G907" s="2">
        <v>2</v>
      </c>
      <c r="H907" s="2">
        <v>250</v>
      </c>
      <c r="I907" s="2">
        <v>50</v>
      </c>
      <c r="J907" s="2" t="s">
        <v>1779</v>
      </c>
      <c r="K907" s="2">
        <v>21</v>
      </c>
      <c r="L907" s="2">
        <v>0</v>
      </c>
      <c r="M907" s="2">
        <v>5</v>
      </c>
      <c r="N907" s="2">
        <v>6</v>
      </c>
      <c r="O907" s="2">
        <v>5</v>
      </c>
      <c r="P907" s="2">
        <v>5</v>
      </c>
      <c r="Q907" s="2" t="s">
        <v>3495</v>
      </c>
      <c r="R907" s="2" t="s">
        <v>3496</v>
      </c>
      <c r="S907" s="4">
        <v>44958</v>
      </c>
    </row>
    <row r="908" spans="1:19" ht="12.5" x14ac:dyDescent="0.25">
      <c r="A908" s="14" t="str">
        <f>HYPERLINK("https://gerandofalcoes.my.salesforce.com/0014X00002YggiFQAR", "0014X00002YggiFQAR")</f>
        <v>0014X00002YggiFQAR</v>
      </c>
      <c r="B908" s="2" t="s">
        <v>3794</v>
      </c>
      <c r="C908" s="2" t="s">
        <v>423</v>
      </c>
      <c r="D908" s="2" t="s">
        <v>2</v>
      </c>
      <c r="E908" s="2"/>
      <c r="F908" s="2">
        <v>2</v>
      </c>
      <c r="G908" s="2">
        <v>2</v>
      </c>
      <c r="H908" s="2">
        <v>200</v>
      </c>
      <c r="I908" s="2">
        <v>50</v>
      </c>
      <c r="J908" s="2" t="s">
        <v>1779</v>
      </c>
      <c r="K908" s="2">
        <v>21</v>
      </c>
      <c r="L908" s="2">
        <v>0</v>
      </c>
      <c r="M908" s="2">
        <v>5</v>
      </c>
      <c r="N908" s="2">
        <v>6</v>
      </c>
      <c r="O908" s="2">
        <v>5</v>
      </c>
      <c r="P908" s="2">
        <v>5</v>
      </c>
      <c r="Q908" s="2" t="s">
        <v>3795</v>
      </c>
      <c r="R908" s="2" t="s">
        <v>3795</v>
      </c>
      <c r="S908" s="4">
        <v>44968</v>
      </c>
    </row>
    <row r="909" spans="1:19" ht="12.5" x14ac:dyDescent="0.25">
      <c r="A909" s="14" t="str">
        <f>HYPERLINK("https://gerandofalcoes.my.salesforce.com/0014X00002VKCukQAH", "0014X00002VKCukQAH")</f>
        <v>0014X00002VKCukQAH</v>
      </c>
      <c r="B909" s="2" t="s">
        <v>2990</v>
      </c>
      <c r="C909" s="2" t="s">
        <v>1800</v>
      </c>
      <c r="D909" s="2" t="s">
        <v>2</v>
      </c>
      <c r="E909" s="2"/>
      <c r="F909" s="2">
        <v>8</v>
      </c>
      <c r="G909" s="2">
        <v>2</v>
      </c>
      <c r="H909" s="2">
        <v>0</v>
      </c>
      <c r="I909" s="2">
        <v>50</v>
      </c>
      <c r="J909" s="2" t="s">
        <v>1779</v>
      </c>
      <c r="K909" s="2">
        <v>21</v>
      </c>
      <c r="L909" s="2">
        <v>0</v>
      </c>
      <c r="M909" s="2">
        <v>10</v>
      </c>
      <c r="N909" s="2">
        <v>6</v>
      </c>
      <c r="O909" s="2">
        <v>0</v>
      </c>
      <c r="P909" s="2">
        <v>5</v>
      </c>
      <c r="Q909" s="2" t="s">
        <v>2991</v>
      </c>
      <c r="R909" s="2" t="s">
        <v>2991</v>
      </c>
      <c r="S909" s="4">
        <v>44837</v>
      </c>
    </row>
    <row r="910" spans="1:19" ht="12.5" x14ac:dyDescent="0.25">
      <c r="A910" s="14" t="str">
        <f>HYPERLINK("https://gerandofalcoes.my.salesforce.com/0014X00002YggpfQAB", "0014X00002YggpfQAB")</f>
        <v>0014X00002YggpfQAB</v>
      </c>
      <c r="B910" s="2" t="s">
        <v>3877</v>
      </c>
      <c r="C910" s="2" t="s">
        <v>423</v>
      </c>
      <c r="D910" s="2" t="s">
        <v>2</v>
      </c>
      <c r="E910" s="2"/>
      <c r="F910" s="2">
        <v>0</v>
      </c>
      <c r="G910" s="2">
        <v>2</v>
      </c>
      <c r="H910" s="2">
        <v>2000</v>
      </c>
      <c r="I910" s="2">
        <v>50</v>
      </c>
      <c r="J910" s="2" t="s">
        <v>1779</v>
      </c>
      <c r="K910" s="2">
        <v>16</v>
      </c>
      <c r="L910" s="2">
        <v>0</v>
      </c>
      <c r="M910" s="2">
        <v>0</v>
      </c>
      <c r="N910" s="2">
        <v>6</v>
      </c>
      <c r="O910" s="2">
        <v>5</v>
      </c>
      <c r="P910" s="2">
        <v>5</v>
      </c>
      <c r="Q910" s="2" t="s">
        <v>3878</v>
      </c>
      <c r="R910" s="2" t="s">
        <v>3879</v>
      </c>
      <c r="S910" s="4">
        <v>45112</v>
      </c>
    </row>
    <row r="911" spans="1:19" ht="12.5" x14ac:dyDescent="0.25">
      <c r="A911" s="14" t="str">
        <f>HYPERLINK("https://gerandofalcoes.my.salesforce.com/0014X00002YggicQAB", "0014X00002YggicQAB")</f>
        <v>0014X00002YggicQAB</v>
      </c>
      <c r="B911" s="2" t="s">
        <v>3880</v>
      </c>
      <c r="C911" s="2" t="s">
        <v>423</v>
      </c>
      <c r="D911" s="2" t="s">
        <v>2</v>
      </c>
      <c r="E911" s="2"/>
      <c r="F911" s="2">
        <v>0</v>
      </c>
      <c r="G911" s="2">
        <v>2</v>
      </c>
      <c r="H911" s="2">
        <v>1000</v>
      </c>
      <c r="I911" s="2">
        <v>50</v>
      </c>
      <c r="J911" s="2" t="s">
        <v>1779</v>
      </c>
      <c r="K911" s="2">
        <v>16</v>
      </c>
      <c r="L911" s="2">
        <v>0</v>
      </c>
      <c r="M911" s="2">
        <v>0</v>
      </c>
      <c r="N911" s="2">
        <v>6</v>
      </c>
      <c r="O911" s="2">
        <v>5</v>
      </c>
      <c r="P911" s="2">
        <v>5</v>
      </c>
      <c r="Q911" s="2" t="s">
        <v>3881</v>
      </c>
      <c r="R911" s="2" t="s">
        <v>3882</v>
      </c>
      <c r="S911" s="4">
        <v>45112</v>
      </c>
    </row>
    <row r="912" spans="1:19" ht="12.5" x14ac:dyDescent="0.25">
      <c r="A912" s="14" t="str">
        <f>HYPERLINK("https://gerandofalcoes.my.salesforce.com/0014X00002YggleQAB", "0014X00002YggleQAB")</f>
        <v>0014X00002YggleQAB</v>
      </c>
      <c r="B912" s="2" t="s">
        <v>3083</v>
      </c>
      <c r="C912" s="2" t="s">
        <v>423</v>
      </c>
      <c r="D912" s="2" t="s">
        <v>2</v>
      </c>
      <c r="E912" s="2"/>
      <c r="F912" s="2">
        <v>0</v>
      </c>
      <c r="G912" s="2">
        <v>2</v>
      </c>
      <c r="H912" s="2">
        <v>50000</v>
      </c>
      <c r="I912" s="2">
        <v>50</v>
      </c>
      <c r="J912" s="2" t="s">
        <v>1779</v>
      </c>
      <c r="K912" s="2">
        <v>21</v>
      </c>
      <c r="L912" s="2">
        <v>0</v>
      </c>
      <c r="M912" s="2">
        <v>0</v>
      </c>
      <c r="N912" s="2">
        <v>6</v>
      </c>
      <c r="O912" s="2">
        <v>10</v>
      </c>
      <c r="P912" s="2">
        <v>5</v>
      </c>
      <c r="Q912" s="2" t="s">
        <v>3084</v>
      </c>
      <c r="R912" s="2" t="s">
        <v>3084</v>
      </c>
      <c r="S912" s="4">
        <v>44946</v>
      </c>
    </row>
    <row r="913" spans="1:19" ht="12.5" x14ac:dyDescent="0.25">
      <c r="A913" s="14" t="str">
        <f>HYPERLINK("https://gerandofalcoes.my.salesforce.com/0014X00002YgghhQAB", "0014X00002YgghhQAB")</f>
        <v>0014X00002YgghhQAB</v>
      </c>
      <c r="B913" s="2" t="s">
        <v>3286</v>
      </c>
      <c r="C913" s="2" t="s">
        <v>423</v>
      </c>
      <c r="D913" s="2" t="s">
        <v>2</v>
      </c>
      <c r="E913" s="2"/>
      <c r="F913" s="2">
        <v>1</v>
      </c>
      <c r="G913" s="2">
        <v>2</v>
      </c>
      <c r="H913" s="2">
        <v>0</v>
      </c>
      <c r="I913" s="2">
        <v>46</v>
      </c>
      <c r="J913" s="2" t="s">
        <v>1779</v>
      </c>
      <c r="K913" s="2">
        <v>16</v>
      </c>
      <c r="L913" s="2">
        <v>0</v>
      </c>
      <c r="M913" s="2">
        <v>5</v>
      </c>
      <c r="N913" s="2">
        <v>6</v>
      </c>
      <c r="O913" s="2">
        <v>0</v>
      </c>
      <c r="P913" s="2">
        <v>5</v>
      </c>
      <c r="Q913" s="2" t="s">
        <v>3287</v>
      </c>
      <c r="R913" s="2" t="s">
        <v>3288</v>
      </c>
      <c r="S913" s="4">
        <v>44952</v>
      </c>
    </row>
    <row r="914" spans="1:19" ht="12.5" x14ac:dyDescent="0.25">
      <c r="A914" s="14" t="str">
        <f>HYPERLINK("https://gerandofalcoes.my.salesforce.com/0014X00002YggojQAB", "0014X00002YggojQAB")</f>
        <v>0014X00002YggojQAB</v>
      </c>
      <c r="B914" s="2" t="s">
        <v>3136</v>
      </c>
      <c r="C914" s="2" t="s">
        <v>423</v>
      </c>
      <c r="D914" s="2" t="s">
        <v>2</v>
      </c>
      <c r="E914" s="2"/>
      <c r="F914" s="2">
        <v>0</v>
      </c>
      <c r="G914" s="2">
        <v>4</v>
      </c>
      <c r="H914" s="2">
        <v>0</v>
      </c>
      <c r="I914" s="2">
        <v>44</v>
      </c>
      <c r="J914" s="2" t="s">
        <v>1779</v>
      </c>
      <c r="K914" s="2">
        <v>15</v>
      </c>
      <c r="L914" s="2">
        <v>0</v>
      </c>
      <c r="M914" s="2">
        <v>0</v>
      </c>
      <c r="N914" s="2">
        <v>10</v>
      </c>
      <c r="O914" s="2">
        <v>0</v>
      </c>
      <c r="P914" s="2">
        <v>5</v>
      </c>
      <c r="Q914" s="2" t="s">
        <v>3137</v>
      </c>
      <c r="R914" s="2" t="s">
        <v>3138</v>
      </c>
      <c r="S914" s="4">
        <v>44949</v>
      </c>
    </row>
    <row r="915" spans="1:19" ht="12.5" x14ac:dyDescent="0.25">
      <c r="A915" s="14" t="str">
        <f>HYPERLINK("https://gerandofalcoes.my.salesforce.com/0014X00002YgglxQAB", "0014X00002YgglxQAB")</f>
        <v>0014X00002YgglxQAB</v>
      </c>
      <c r="B915" s="2" t="s">
        <v>3222</v>
      </c>
      <c r="C915" s="2" t="s">
        <v>423</v>
      </c>
      <c r="D915" s="2" t="s">
        <v>2</v>
      </c>
      <c r="E915" s="2"/>
      <c r="F915" s="2">
        <v>0</v>
      </c>
      <c r="G915" s="2">
        <v>2</v>
      </c>
      <c r="H915" s="2">
        <v>2500</v>
      </c>
      <c r="I915" s="2">
        <v>40</v>
      </c>
      <c r="J915" s="2" t="s">
        <v>1779</v>
      </c>
      <c r="K915" s="2">
        <v>16</v>
      </c>
      <c r="L915" s="2">
        <v>0</v>
      </c>
      <c r="M915" s="2">
        <v>0</v>
      </c>
      <c r="N915" s="2">
        <v>6</v>
      </c>
      <c r="O915" s="2">
        <v>5</v>
      </c>
      <c r="P915" s="2">
        <v>5</v>
      </c>
      <c r="Q915" s="2" t="s">
        <v>3223</v>
      </c>
      <c r="R915" s="2" t="s">
        <v>3224</v>
      </c>
      <c r="S915" s="4">
        <v>44951</v>
      </c>
    </row>
    <row r="916" spans="1:19" ht="12.5" x14ac:dyDescent="0.25">
      <c r="A916" s="14" t="str">
        <f>HYPERLINK("https://gerandofalcoes.my.salesforce.com/0014X00002YggoZQAR", "0014X00002YggoZQAR")</f>
        <v>0014X00002YggoZQAR</v>
      </c>
      <c r="B916" s="2" t="s">
        <v>3810</v>
      </c>
      <c r="C916" s="2" t="s">
        <v>423</v>
      </c>
      <c r="D916" s="2" t="s">
        <v>2</v>
      </c>
      <c r="E916" s="2"/>
      <c r="F916" s="2">
        <v>1</v>
      </c>
      <c r="G916" s="2">
        <v>2</v>
      </c>
      <c r="H916" s="2">
        <v>5000</v>
      </c>
      <c r="I916" s="2">
        <v>40</v>
      </c>
      <c r="J916" s="2" t="s">
        <v>1779</v>
      </c>
      <c r="K916" s="2">
        <v>21</v>
      </c>
      <c r="L916" s="2">
        <v>0</v>
      </c>
      <c r="M916" s="2">
        <v>5</v>
      </c>
      <c r="N916" s="2">
        <v>6</v>
      </c>
      <c r="O916" s="2">
        <v>5</v>
      </c>
      <c r="P916" s="2">
        <v>5</v>
      </c>
      <c r="Q916" s="2" t="s">
        <v>3811</v>
      </c>
      <c r="R916" s="2" t="s">
        <v>3811</v>
      </c>
      <c r="S916" s="4">
        <v>44988</v>
      </c>
    </row>
    <row r="917" spans="1:19" ht="12.5" x14ac:dyDescent="0.25">
      <c r="A917" s="14" t="str">
        <f>HYPERLINK("https://gerandofalcoes.my.salesforce.com/0014X00002YggjdQAB", "0014X00002YggjdQAB")</f>
        <v>0014X00002YggjdQAB</v>
      </c>
      <c r="B917" s="2" t="s">
        <v>3085</v>
      </c>
      <c r="C917" s="2" t="s">
        <v>423</v>
      </c>
      <c r="D917" s="2" t="s">
        <v>2</v>
      </c>
      <c r="E917" s="2"/>
      <c r="F917" s="2">
        <v>3</v>
      </c>
      <c r="G917" s="2">
        <v>2</v>
      </c>
      <c r="H917" s="2">
        <v>1000</v>
      </c>
      <c r="I917" s="2">
        <v>30</v>
      </c>
      <c r="J917" s="2" t="s">
        <v>1779</v>
      </c>
      <c r="K917" s="2">
        <v>21</v>
      </c>
      <c r="L917" s="2">
        <v>0</v>
      </c>
      <c r="M917" s="2">
        <v>5</v>
      </c>
      <c r="N917" s="2">
        <v>6</v>
      </c>
      <c r="O917" s="2">
        <v>5</v>
      </c>
      <c r="P917" s="2">
        <v>5</v>
      </c>
      <c r="Q917" s="2" t="s">
        <v>3086</v>
      </c>
      <c r="R917" s="2" t="s">
        <v>3086</v>
      </c>
      <c r="S917" s="4">
        <v>44946</v>
      </c>
    </row>
    <row r="918" spans="1:19" ht="12.5" x14ac:dyDescent="0.25">
      <c r="A918" s="14" t="str">
        <f>HYPERLINK("https://gerandofalcoes.my.salesforce.com/0014X00002YggiiQAB", "0014X00002YggiiQAB")</f>
        <v>0014X00002YggiiQAB</v>
      </c>
      <c r="B918" s="2" t="s">
        <v>3265</v>
      </c>
      <c r="C918" s="2" t="s">
        <v>423</v>
      </c>
      <c r="D918" s="2" t="s">
        <v>2</v>
      </c>
      <c r="E918" s="2"/>
      <c r="F918" s="2">
        <v>0</v>
      </c>
      <c r="G918" s="2">
        <v>2</v>
      </c>
      <c r="H918" s="2">
        <v>1500</v>
      </c>
      <c r="I918" s="2">
        <v>30</v>
      </c>
      <c r="J918" s="2" t="s">
        <v>1779</v>
      </c>
      <c r="K918" s="2">
        <v>16</v>
      </c>
      <c r="L918" s="2">
        <v>0</v>
      </c>
      <c r="M918" s="2">
        <v>0</v>
      </c>
      <c r="N918" s="2">
        <v>6</v>
      </c>
      <c r="O918" s="2">
        <v>5</v>
      </c>
      <c r="P918" s="2">
        <v>5</v>
      </c>
      <c r="Q918" s="2" t="s">
        <v>3267</v>
      </c>
      <c r="R918" s="2" t="s">
        <v>3267</v>
      </c>
      <c r="S918" s="4">
        <v>44952</v>
      </c>
    </row>
    <row r="919" spans="1:19" ht="12.5" x14ac:dyDescent="0.25">
      <c r="A919" s="14" t="str">
        <f>HYPERLINK("https://gerandofalcoes.my.salesforce.com/0014X00002YggqLQAR", "0014X00002YggqLQAR")</f>
        <v>0014X00002YggqLQAR</v>
      </c>
      <c r="B919" s="2" t="s">
        <v>3500</v>
      </c>
      <c r="C919" s="2" t="s">
        <v>423</v>
      </c>
      <c r="D919" s="2" t="s">
        <v>2</v>
      </c>
      <c r="E919" s="2"/>
      <c r="F919" s="2">
        <v>0</v>
      </c>
      <c r="G919" s="2">
        <v>2</v>
      </c>
      <c r="H919" s="2">
        <v>400</v>
      </c>
      <c r="I919" s="2">
        <v>30</v>
      </c>
      <c r="J919" s="2" t="s">
        <v>1779</v>
      </c>
      <c r="K919" s="2">
        <v>16</v>
      </c>
      <c r="L919" s="2">
        <v>0</v>
      </c>
      <c r="M919" s="2">
        <v>0</v>
      </c>
      <c r="N919" s="2">
        <v>6</v>
      </c>
      <c r="O919" s="2">
        <v>5</v>
      </c>
      <c r="P919" s="2">
        <v>5</v>
      </c>
      <c r="Q919" s="2" t="s">
        <v>3501</v>
      </c>
      <c r="R919" s="2" t="s">
        <v>3502</v>
      </c>
      <c r="S919" s="4">
        <v>44958</v>
      </c>
    </row>
    <row r="920" spans="1:19" ht="12.5" x14ac:dyDescent="0.25">
      <c r="A920" s="14" t="str">
        <f>HYPERLINK("https://gerandofalcoes.my.salesforce.com/0014X00002YggguQAB", "0014X00002YggguQAB")</f>
        <v>0014X00002YggguQAB</v>
      </c>
      <c r="B920" s="2" t="s">
        <v>3367</v>
      </c>
      <c r="C920" s="2" t="s">
        <v>423</v>
      </c>
      <c r="D920" s="2" t="s">
        <v>2</v>
      </c>
      <c r="E920" s="2"/>
      <c r="F920" s="2">
        <v>5</v>
      </c>
      <c r="G920" s="2">
        <v>80</v>
      </c>
      <c r="H920" s="2">
        <v>15000</v>
      </c>
      <c r="I920" s="2">
        <v>30</v>
      </c>
      <c r="J920" s="2" t="s">
        <v>1779</v>
      </c>
      <c r="K920" s="2">
        <v>25</v>
      </c>
      <c r="L920" s="2">
        <v>0</v>
      </c>
      <c r="M920" s="2">
        <v>5</v>
      </c>
      <c r="N920" s="2">
        <v>10</v>
      </c>
      <c r="O920" s="2">
        <v>5</v>
      </c>
      <c r="P920" s="2">
        <v>5</v>
      </c>
      <c r="Q920" s="2" t="s">
        <v>3368</v>
      </c>
      <c r="R920" s="2" t="s">
        <v>3369</v>
      </c>
      <c r="S920" s="4">
        <v>44953</v>
      </c>
    </row>
    <row r="921" spans="1:19" ht="12.5" x14ac:dyDescent="0.25">
      <c r="A921" s="14" t="str">
        <f>HYPERLINK("https://gerandofalcoes.my.salesforce.com/0014X00002Yggn8QAB", "0014X00002Yggn8QAB")</f>
        <v>0014X00002Yggn8QAB</v>
      </c>
      <c r="B921" s="2" t="s">
        <v>3497</v>
      </c>
      <c r="C921" s="2" t="s">
        <v>423</v>
      </c>
      <c r="D921" s="2" t="s">
        <v>2</v>
      </c>
      <c r="E921" s="2"/>
      <c r="F921" s="2">
        <v>0</v>
      </c>
      <c r="G921" s="2">
        <v>2</v>
      </c>
      <c r="H921" s="2">
        <v>0</v>
      </c>
      <c r="I921" s="2">
        <v>30</v>
      </c>
      <c r="J921" s="2" t="s">
        <v>1779</v>
      </c>
      <c r="K921" s="2">
        <v>11</v>
      </c>
      <c r="L921" s="2">
        <v>0</v>
      </c>
      <c r="M921" s="2">
        <v>0</v>
      </c>
      <c r="N921" s="2">
        <v>6</v>
      </c>
      <c r="O921" s="2">
        <v>0</v>
      </c>
      <c r="P921" s="2">
        <v>5</v>
      </c>
      <c r="Q921" s="2" t="s">
        <v>3498</v>
      </c>
      <c r="R921" s="2" t="s">
        <v>3499</v>
      </c>
      <c r="S921" s="4">
        <v>44958</v>
      </c>
    </row>
    <row r="922" spans="1:19" ht="12.5" x14ac:dyDescent="0.25">
      <c r="A922" s="14" t="str">
        <f>HYPERLINK("https://gerandofalcoes.my.salesforce.com/0014X00002YgghDQAR", "0014X00002YgghDQAR")</f>
        <v>0014X00002YgghDQAR</v>
      </c>
      <c r="B922" s="2" t="s">
        <v>3681</v>
      </c>
      <c r="C922" s="2" t="s">
        <v>423</v>
      </c>
      <c r="D922" s="2" t="s">
        <v>2</v>
      </c>
      <c r="E922" s="2"/>
      <c r="F922" s="2">
        <v>0</v>
      </c>
      <c r="G922" s="2">
        <v>4</v>
      </c>
      <c r="H922" s="2">
        <v>3000</v>
      </c>
      <c r="I922" s="2">
        <v>30</v>
      </c>
      <c r="J922" s="2" t="s">
        <v>1779</v>
      </c>
      <c r="K922" s="2">
        <v>20</v>
      </c>
      <c r="L922" s="2">
        <v>0</v>
      </c>
      <c r="M922" s="2">
        <v>0</v>
      </c>
      <c r="N922" s="2">
        <v>10</v>
      </c>
      <c r="O922" s="2">
        <v>5</v>
      </c>
      <c r="P922" s="2">
        <v>5</v>
      </c>
      <c r="Q922" s="2" t="s">
        <v>3682</v>
      </c>
      <c r="R922" s="2" t="s">
        <v>3682</v>
      </c>
      <c r="S922" s="4">
        <v>44964</v>
      </c>
    </row>
    <row r="923" spans="1:19" ht="12.5" x14ac:dyDescent="0.25">
      <c r="A923" s="14" t="str">
        <f>HYPERLINK("https://gerandofalcoes.my.salesforce.com/0014X00002YggowQAB", "0014X00002YggowQAB")</f>
        <v>0014X00002YggowQAB</v>
      </c>
      <c r="B923" s="2" t="s">
        <v>3750</v>
      </c>
      <c r="C923" s="2" t="s">
        <v>423</v>
      </c>
      <c r="D923" s="2" t="s">
        <v>2</v>
      </c>
      <c r="E923" s="2"/>
      <c r="F923" s="2">
        <v>0</v>
      </c>
      <c r="G923" s="2">
        <v>2</v>
      </c>
      <c r="H923" s="2">
        <v>0</v>
      </c>
      <c r="I923" s="2">
        <v>30</v>
      </c>
      <c r="J923" s="2" t="s">
        <v>1779</v>
      </c>
      <c r="K923" s="2">
        <v>11</v>
      </c>
      <c r="L923" s="2">
        <v>0</v>
      </c>
      <c r="M923" s="2">
        <v>0</v>
      </c>
      <c r="N923" s="2">
        <v>6</v>
      </c>
      <c r="O923" s="2">
        <v>0</v>
      </c>
      <c r="P923" s="2">
        <v>5</v>
      </c>
      <c r="Q923" s="2" t="s">
        <v>3751</v>
      </c>
      <c r="R923" s="2" t="s">
        <v>3751</v>
      </c>
      <c r="S923" s="4">
        <v>44967</v>
      </c>
    </row>
    <row r="924" spans="1:19" ht="12.5" x14ac:dyDescent="0.25">
      <c r="A924" s="14" t="str">
        <f>HYPERLINK("https://gerandofalcoes.my.salesforce.com/0014X00002YgglNQAR", "0014X00002YgglNQAR")</f>
        <v>0014X00002YgglNQAR</v>
      </c>
      <c r="B924" s="2" t="s">
        <v>3225</v>
      </c>
      <c r="C924" s="2" t="s">
        <v>423</v>
      </c>
      <c r="D924" s="2" t="s">
        <v>2</v>
      </c>
      <c r="E924" s="2"/>
      <c r="F924" s="2">
        <v>0</v>
      </c>
      <c r="G924" s="2">
        <v>2</v>
      </c>
      <c r="H924" s="2">
        <v>8000</v>
      </c>
      <c r="I924" s="2">
        <v>30</v>
      </c>
      <c r="J924" s="2" t="s">
        <v>1779</v>
      </c>
      <c r="K924" s="2">
        <v>16</v>
      </c>
      <c r="L924" s="2">
        <v>0</v>
      </c>
      <c r="M924" s="2">
        <v>0</v>
      </c>
      <c r="N924" s="2">
        <v>6</v>
      </c>
      <c r="O924" s="2">
        <v>5</v>
      </c>
      <c r="P924" s="2">
        <v>5</v>
      </c>
      <c r="Q924" s="2" t="s">
        <v>3226</v>
      </c>
      <c r="R924" s="2" t="s">
        <v>3227</v>
      </c>
      <c r="S924" s="4">
        <v>44951</v>
      </c>
    </row>
    <row r="925" spans="1:19" ht="12.5" x14ac:dyDescent="0.25">
      <c r="A925" s="14" t="str">
        <f>HYPERLINK("https://gerandofalcoes.my.salesforce.com/0014X00002YggjuQAB", "0014X00002YggjuQAB")</f>
        <v>0014X00002YggjuQAB</v>
      </c>
      <c r="B925" s="2" t="s">
        <v>3583</v>
      </c>
      <c r="C925" s="2" t="s">
        <v>423</v>
      </c>
      <c r="D925" s="2" t="s">
        <v>2</v>
      </c>
      <c r="E925" s="2"/>
      <c r="F925" s="2">
        <v>0</v>
      </c>
      <c r="G925" s="2">
        <v>7</v>
      </c>
      <c r="H925" s="2">
        <v>3000</v>
      </c>
      <c r="I925" s="2">
        <v>30</v>
      </c>
      <c r="J925" s="2" t="s">
        <v>1779</v>
      </c>
      <c r="K925" s="2">
        <v>20</v>
      </c>
      <c r="L925" s="2">
        <v>0</v>
      </c>
      <c r="M925" s="2">
        <v>0</v>
      </c>
      <c r="N925" s="2">
        <v>10</v>
      </c>
      <c r="O925" s="2">
        <v>5</v>
      </c>
      <c r="P925" s="2">
        <v>5</v>
      </c>
      <c r="Q925" s="2" t="s">
        <v>3584</v>
      </c>
      <c r="R925" s="2" t="s">
        <v>3585</v>
      </c>
      <c r="S925" s="4">
        <v>44961</v>
      </c>
    </row>
    <row r="926" spans="1:19" ht="12.5" x14ac:dyDescent="0.25">
      <c r="A926" s="14" t="str">
        <f>HYPERLINK("https://gerandofalcoes.my.salesforce.com/0014X00002YggkoQAB", "0014X00002YggkoQAB")</f>
        <v>0014X00002YggkoQAB</v>
      </c>
      <c r="B926" s="2" t="s">
        <v>3631</v>
      </c>
      <c r="C926" s="2" t="s">
        <v>423</v>
      </c>
      <c r="D926" s="2" t="s">
        <v>2</v>
      </c>
      <c r="E926" s="2"/>
      <c r="F926" s="2">
        <v>0</v>
      </c>
      <c r="G926" s="2">
        <v>2</v>
      </c>
      <c r="H926" s="2">
        <v>10000</v>
      </c>
      <c r="I926" s="2">
        <v>30</v>
      </c>
      <c r="J926" s="2" t="s">
        <v>1779</v>
      </c>
      <c r="K926" s="2">
        <v>16</v>
      </c>
      <c r="L926" s="2">
        <v>0</v>
      </c>
      <c r="M926" s="2">
        <v>0</v>
      </c>
      <c r="N926" s="2">
        <v>6</v>
      </c>
      <c r="O926" s="2">
        <v>5</v>
      </c>
      <c r="P926" s="2">
        <v>5</v>
      </c>
      <c r="Q926" s="2" t="s">
        <v>3632</v>
      </c>
      <c r="R926" s="2" t="s">
        <v>3633</v>
      </c>
      <c r="S926" s="4">
        <v>44963</v>
      </c>
    </row>
    <row r="927" spans="1:19" ht="12.5" x14ac:dyDescent="0.25">
      <c r="A927" s="14" t="str">
        <f>HYPERLINK("https://gerandofalcoes.my.salesforce.com/0014X00002YggovQAB", "0014X00002YggovQAB")</f>
        <v>0014X00002YggovQAB</v>
      </c>
      <c r="B927" s="2" t="s">
        <v>3634</v>
      </c>
      <c r="C927" s="2" t="s">
        <v>423</v>
      </c>
      <c r="D927" s="2" t="s">
        <v>2</v>
      </c>
      <c r="E927" s="2"/>
      <c r="F927" s="2">
        <v>0</v>
      </c>
      <c r="G927" s="2">
        <v>3</v>
      </c>
      <c r="H927" s="2">
        <v>13000</v>
      </c>
      <c r="I927" s="2">
        <v>30</v>
      </c>
      <c r="J927" s="2" t="s">
        <v>1779</v>
      </c>
      <c r="K927" s="2">
        <v>18</v>
      </c>
      <c r="L927" s="2">
        <v>0</v>
      </c>
      <c r="M927" s="2">
        <v>0</v>
      </c>
      <c r="N927" s="2">
        <v>8</v>
      </c>
      <c r="O927" s="2">
        <v>5</v>
      </c>
      <c r="P927" s="2">
        <v>5</v>
      </c>
      <c r="Q927" s="2" t="s">
        <v>3635</v>
      </c>
      <c r="R927" s="2" t="s">
        <v>3636</v>
      </c>
      <c r="S927" s="4">
        <v>44963</v>
      </c>
    </row>
    <row r="928" spans="1:19" ht="12.5" x14ac:dyDescent="0.25">
      <c r="A928" s="14" t="str">
        <f>HYPERLINK("https://gerandofalcoes.my.salesforce.com/0014X00002YggmmQAB", "0014X00002YggmmQAB")</f>
        <v>0014X00002YggmmQAB</v>
      </c>
      <c r="B928" s="2" t="s">
        <v>3752</v>
      </c>
      <c r="C928" s="2" t="s">
        <v>423</v>
      </c>
      <c r="D928" s="2" t="s">
        <v>2</v>
      </c>
      <c r="E928" s="2"/>
      <c r="F928" s="2">
        <v>0</v>
      </c>
      <c r="G928" s="2">
        <v>4</v>
      </c>
      <c r="H928" s="2">
        <v>1500</v>
      </c>
      <c r="I928" s="2">
        <v>30</v>
      </c>
      <c r="J928" s="2" t="s">
        <v>1779</v>
      </c>
      <c r="K928" s="2">
        <v>20</v>
      </c>
      <c r="L928" s="2">
        <v>0</v>
      </c>
      <c r="M928" s="2">
        <v>0</v>
      </c>
      <c r="N928" s="2">
        <v>10</v>
      </c>
      <c r="O928" s="2">
        <v>5</v>
      </c>
      <c r="P928" s="2">
        <v>5</v>
      </c>
      <c r="Q928" s="2" t="s">
        <v>3753</v>
      </c>
      <c r="R928" s="2" t="s">
        <v>3754</v>
      </c>
      <c r="S928" s="4">
        <v>44967</v>
      </c>
    </row>
    <row r="929" spans="1:19" ht="12.5" x14ac:dyDescent="0.25">
      <c r="A929" s="14" t="str">
        <f>HYPERLINK("https://gerandofalcoes.my.salesforce.com/0014X00002YggqtQAB", "0014X00002YggqtQAB")</f>
        <v>0014X00002YggqtQAB</v>
      </c>
      <c r="B929" s="2" t="s">
        <v>3883</v>
      </c>
      <c r="C929" s="2" t="s">
        <v>423</v>
      </c>
      <c r="D929" s="2" t="s">
        <v>2</v>
      </c>
      <c r="E929" s="2"/>
      <c r="F929" s="2">
        <v>0</v>
      </c>
      <c r="G929" s="2">
        <v>3</v>
      </c>
      <c r="H929" s="2">
        <v>0</v>
      </c>
      <c r="I929" s="2">
        <v>30</v>
      </c>
      <c r="J929" s="2" t="s">
        <v>1779</v>
      </c>
      <c r="K929" s="2">
        <v>13</v>
      </c>
      <c r="L929" s="2">
        <v>0</v>
      </c>
      <c r="M929" s="2">
        <v>0</v>
      </c>
      <c r="N929" s="2">
        <v>8</v>
      </c>
      <c r="O929" s="2">
        <v>0</v>
      </c>
      <c r="P929" s="2">
        <v>5</v>
      </c>
      <c r="Q929" s="2" t="s">
        <v>3884</v>
      </c>
      <c r="R929" s="2" t="s">
        <v>3884</v>
      </c>
      <c r="S929" s="4">
        <v>45112</v>
      </c>
    </row>
    <row r="930" spans="1:19" ht="12.5" x14ac:dyDescent="0.25">
      <c r="A930" s="14" t="str">
        <f>HYPERLINK("https://gerandofalcoes.my.salesforce.com/0014X00002YgghzQAB", "0014X00002YgghzQAB")</f>
        <v>0014X00002YgghzQAB</v>
      </c>
      <c r="B930" s="2" t="s">
        <v>3139</v>
      </c>
      <c r="C930" s="2" t="s">
        <v>423</v>
      </c>
      <c r="D930" s="2" t="s">
        <v>2</v>
      </c>
      <c r="E930" s="2"/>
      <c r="F930" s="2">
        <v>1</v>
      </c>
      <c r="G930" s="2">
        <v>4</v>
      </c>
      <c r="H930" s="2">
        <v>2500</v>
      </c>
      <c r="I930" s="2">
        <v>25</v>
      </c>
      <c r="J930" s="2" t="s">
        <v>1779</v>
      </c>
      <c r="K930" s="2">
        <v>25</v>
      </c>
      <c r="L930" s="2">
        <v>0</v>
      </c>
      <c r="M930" s="2">
        <v>5</v>
      </c>
      <c r="N930" s="2">
        <v>10</v>
      </c>
      <c r="O930" s="2">
        <v>5</v>
      </c>
      <c r="P930" s="2">
        <v>5</v>
      </c>
      <c r="Q930" s="2" t="s">
        <v>3140</v>
      </c>
      <c r="R930" s="2" t="s">
        <v>3141</v>
      </c>
      <c r="S930" s="4">
        <v>44949</v>
      </c>
    </row>
    <row r="931" spans="1:19" ht="12.5" x14ac:dyDescent="0.25">
      <c r="A931" s="14" t="str">
        <f>HYPERLINK("https://gerandofalcoes.my.salesforce.com/0014X00002YggnzQAB", "0014X00002YggnzQAB")</f>
        <v>0014X00002YggnzQAB</v>
      </c>
      <c r="B931" s="2" t="s">
        <v>3228</v>
      </c>
      <c r="C931" s="2" t="s">
        <v>423</v>
      </c>
      <c r="D931" s="2" t="s">
        <v>2</v>
      </c>
      <c r="E931" s="2"/>
      <c r="F931" s="2">
        <v>3</v>
      </c>
      <c r="G931" s="2">
        <v>3</v>
      </c>
      <c r="H931" s="2">
        <v>19000</v>
      </c>
      <c r="I931" s="2">
        <v>25</v>
      </c>
      <c r="J931" s="2" t="s">
        <v>1779</v>
      </c>
      <c r="K931" s="2">
        <v>23</v>
      </c>
      <c r="L931" s="2">
        <v>0</v>
      </c>
      <c r="M931" s="2">
        <v>5</v>
      </c>
      <c r="N931" s="2">
        <v>8</v>
      </c>
      <c r="O931" s="2">
        <v>5</v>
      </c>
      <c r="P931" s="2">
        <v>5</v>
      </c>
      <c r="Q931" s="2" t="s">
        <v>3229</v>
      </c>
      <c r="R931" s="2" t="s">
        <v>3229</v>
      </c>
      <c r="S931" s="4">
        <v>44951</v>
      </c>
    </row>
    <row r="932" spans="1:19" ht="12.5" x14ac:dyDescent="0.25">
      <c r="A932" s="14" t="str">
        <f>HYPERLINK("https://gerandofalcoes.my.salesforce.com/0014X00002YggqqQAB", "0014X00002YggqqQAB")</f>
        <v>0014X00002YggqqQAB</v>
      </c>
      <c r="B932" s="2" t="s">
        <v>3503</v>
      </c>
      <c r="C932" s="2" t="s">
        <v>423</v>
      </c>
      <c r="D932" s="2" t="s">
        <v>2</v>
      </c>
      <c r="E932" s="2"/>
      <c r="F932" s="2">
        <v>1</v>
      </c>
      <c r="G932" s="2">
        <v>2</v>
      </c>
      <c r="H932" s="2">
        <v>5000</v>
      </c>
      <c r="I932" s="2">
        <v>25</v>
      </c>
      <c r="J932" s="2" t="s">
        <v>1779</v>
      </c>
      <c r="K932" s="2">
        <v>21</v>
      </c>
      <c r="L932" s="2">
        <v>0</v>
      </c>
      <c r="M932" s="2">
        <v>5</v>
      </c>
      <c r="N932" s="2">
        <v>6</v>
      </c>
      <c r="O932" s="2">
        <v>5</v>
      </c>
      <c r="P932" s="2">
        <v>5</v>
      </c>
      <c r="Q932" s="2" t="s">
        <v>3504</v>
      </c>
      <c r="R932" s="2" t="s">
        <v>3504</v>
      </c>
      <c r="S932" s="4">
        <v>44958</v>
      </c>
    </row>
    <row r="933" spans="1:19" ht="12.5" x14ac:dyDescent="0.25">
      <c r="A933" s="14" t="str">
        <f>HYPERLINK("https://gerandofalcoes.my.salesforce.com/0014X00002YgglaQAB", "0014X00002YgglaQAB")</f>
        <v>0014X00002YgglaQAB</v>
      </c>
      <c r="B933" s="2" t="s">
        <v>3802</v>
      </c>
      <c r="C933" s="2" t="s">
        <v>423</v>
      </c>
      <c r="D933" s="2" t="s">
        <v>2</v>
      </c>
      <c r="E933" s="2"/>
      <c r="F933" s="2">
        <v>10</v>
      </c>
      <c r="G933" s="2">
        <v>2</v>
      </c>
      <c r="H933" s="2">
        <v>6000</v>
      </c>
      <c r="I933" s="2">
        <v>25</v>
      </c>
      <c r="J933" s="2" t="s">
        <v>1779</v>
      </c>
      <c r="K933" s="2">
        <v>26</v>
      </c>
      <c r="L933" s="2">
        <v>0</v>
      </c>
      <c r="M933" s="2">
        <v>10</v>
      </c>
      <c r="N933" s="2">
        <v>6</v>
      </c>
      <c r="O933" s="2">
        <v>5</v>
      </c>
      <c r="P933" s="2">
        <v>5</v>
      </c>
      <c r="Q933" s="2" t="s">
        <v>3803</v>
      </c>
      <c r="R933" s="2" t="s">
        <v>3804</v>
      </c>
      <c r="S933" s="4">
        <v>44970</v>
      </c>
    </row>
    <row r="934" spans="1:19" ht="12.5" x14ac:dyDescent="0.25">
      <c r="A934" s="14" t="str">
        <f>HYPERLINK("https://gerandofalcoes.my.salesforce.com/0014X00002YggqZQAR", "0014X00002YggqZQAR")</f>
        <v>0014X00002YggqZQAR</v>
      </c>
      <c r="B934" s="2" t="s">
        <v>3289</v>
      </c>
      <c r="C934" s="2" t="s">
        <v>423</v>
      </c>
      <c r="D934" s="2" t="s">
        <v>2</v>
      </c>
      <c r="E934" s="2"/>
      <c r="F934" s="2">
        <v>5</v>
      </c>
      <c r="G934" s="2">
        <v>3</v>
      </c>
      <c r="H934" s="2">
        <v>1000</v>
      </c>
      <c r="I934" s="2">
        <v>23</v>
      </c>
      <c r="J934" s="2" t="s">
        <v>1779</v>
      </c>
      <c r="K934" s="2">
        <v>23</v>
      </c>
      <c r="L934" s="2">
        <v>0</v>
      </c>
      <c r="M934" s="2">
        <v>5</v>
      </c>
      <c r="N934" s="2">
        <v>8</v>
      </c>
      <c r="O934" s="2">
        <v>5</v>
      </c>
      <c r="P934" s="2">
        <v>5</v>
      </c>
      <c r="Q934" s="2" t="s">
        <v>3290</v>
      </c>
      <c r="R934" s="2" t="s">
        <v>3290</v>
      </c>
      <c r="S934" s="4">
        <v>44952</v>
      </c>
    </row>
    <row r="935" spans="1:19" ht="12.5" x14ac:dyDescent="0.25">
      <c r="A935" s="14" t="str">
        <f>HYPERLINK("https://gerandofalcoes.my.salesforce.com/0014X00002YggjNQAR", "0014X00002YggjNQAR")</f>
        <v>0014X00002YggjNQAR</v>
      </c>
      <c r="B935" s="2" t="s">
        <v>3885</v>
      </c>
      <c r="C935" s="2" t="s">
        <v>423</v>
      </c>
      <c r="D935" s="2" t="s">
        <v>2</v>
      </c>
      <c r="E935" s="2"/>
      <c r="F935" s="2">
        <v>0</v>
      </c>
      <c r="G935" s="2">
        <v>4</v>
      </c>
      <c r="H935" s="2">
        <v>23397</v>
      </c>
      <c r="I935" s="2">
        <v>21</v>
      </c>
      <c r="J935" s="2" t="s">
        <v>1779</v>
      </c>
      <c r="K935" s="2">
        <v>20</v>
      </c>
      <c r="L935" s="2">
        <v>0</v>
      </c>
      <c r="M935" s="2">
        <v>0</v>
      </c>
      <c r="N935" s="2">
        <v>10</v>
      </c>
      <c r="O935" s="2">
        <v>5</v>
      </c>
      <c r="P935" s="2">
        <v>5</v>
      </c>
      <c r="Q935" s="2" t="s">
        <v>3886</v>
      </c>
      <c r="R935" s="2" t="s">
        <v>3886</v>
      </c>
      <c r="S935" s="4">
        <v>45112</v>
      </c>
    </row>
    <row r="936" spans="1:19" ht="12.5" x14ac:dyDescent="0.25">
      <c r="A936" s="14" t="str">
        <f>HYPERLINK("https://gerandofalcoes.my.salesforce.com/0014X00002Yggh4QAB", "0014X00002Yggh4QAB")</f>
        <v>0014X00002Yggh4QAB</v>
      </c>
      <c r="B936" s="2" t="s">
        <v>3505</v>
      </c>
      <c r="C936" s="2" t="s">
        <v>423</v>
      </c>
      <c r="D936" s="2" t="s">
        <v>2</v>
      </c>
      <c r="E936" s="2"/>
      <c r="F936" s="2">
        <v>0</v>
      </c>
      <c r="G936" s="2">
        <v>2</v>
      </c>
      <c r="H936" s="2">
        <v>45000</v>
      </c>
      <c r="I936" s="2">
        <v>20</v>
      </c>
      <c r="J936" s="2" t="s">
        <v>1779</v>
      </c>
      <c r="K936" s="2">
        <v>21</v>
      </c>
      <c r="L936" s="2">
        <v>0</v>
      </c>
      <c r="M936" s="2">
        <v>0</v>
      </c>
      <c r="N936" s="2">
        <v>6</v>
      </c>
      <c r="O936" s="2">
        <v>10</v>
      </c>
      <c r="P936" s="2">
        <v>5</v>
      </c>
      <c r="Q936" s="2" t="s">
        <v>3506</v>
      </c>
      <c r="R936" s="2" t="s">
        <v>3507</v>
      </c>
      <c r="S936" s="4">
        <v>44958</v>
      </c>
    </row>
    <row r="937" spans="1:19" ht="12.5" x14ac:dyDescent="0.25">
      <c r="A937" s="14" t="str">
        <f>HYPERLINK("https://gerandofalcoes.my.salesforce.com/0014X00002Yggk6QAB", "0014X00002Yggk6QAB")</f>
        <v>0014X00002Yggk6QAB</v>
      </c>
      <c r="B937" s="2" t="s">
        <v>3370</v>
      </c>
      <c r="C937" s="2" t="s">
        <v>423</v>
      </c>
      <c r="D937" s="2" t="s">
        <v>2</v>
      </c>
      <c r="E937" s="2"/>
      <c r="F937" s="2">
        <v>0</v>
      </c>
      <c r="G937" s="2">
        <v>2</v>
      </c>
      <c r="H937" s="2">
        <v>1000</v>
      </c>
      <c r="I937" s="2">
        <v>20</v>
      </c>
      <c r="J937" s="2" t="s">
        <v>1779</v>
      </c>
      <c r="K937" s="2">
        <v>16</v>
      </c>
      <c r="L937" s="2">
        <v>0</v>
      </c>
      <c r="M937" s="2">
        <v>0</v>
      </c>
      <c r="N937" s="2">
        <v>6</v>
      </c>
      <c r="O937" s="2">
        <v>5</v>
      </c>
      <c r="P937" s="2">
        <v>5</v>
      </c>
      <c r="Q937" s="2" t="s">
        <v>3371</v>
      </c>
      <c r="R937" s="2" t="s">
        <v>3371</v>
      </c>
      <c r="S937" s="4">
        <v>44953</v>
      </c>
    </row>
    <row r="938" spans="1:19" ht="12.5" x14ac:dyDescent="0.25">
      <c r="A938" s="14" t="str">
        <f>HYPERLINK("https://gerandofalcoes.my.salesforce.com/0014X00002YgggOQAR", "0014X00002YgggOQAR")</f>
        <v>0014X00002YgggOQAR</v>
      </c>
      <c r="B938" s="2" t="s">
        <v>3755</v>
      </c>
      <c r="C938" s="2" t="s">
        <v>423</v>
      </c>
      <c r="D938" s="2" t="s">
        <v>2</v>
      </c>
      <c r="E938" s="2"/>
      <c r="F938" s="2">
        <v>0</v>
      </c>
      <c r="G938" s="2">
        <v>2</v>
      </c>
      <c r="H938" s="2">
        <v>1000</v>
      </c>
      <c r="I938" s="2">
        <v>20</v>
      </c>
      <c r="J938" s="2" t="s">
        <v>1779</v>
      </c>
      <c r="K938" s="2">
        <v>16</v>
      </c>
      <c r="L938" s="2">
        <v>0</v>
      </c>
      <c r="M938" s="2">
        <v>0</v>
      </c>
      <c r="N938" s="2">
        <v>6</v>
      </c>
      <c r="O938" s="2">
        <v>5</v>
      </c>
      <c r="P938" s="2">
        <v>5</v>
      </c>
      <c r="Q938" s="2" t="s">
        <v>3756</v>
      </c>
      <c r="R938" s="2" t="s">
        <v>3757</v>
      </c>
      <c r="S938" s="4">
        <v>44967</v>
      </c>
    </row>
    <row r="939" spans="1:19" ht="12.5" x14ac:dyDescent="0.25">
      <c r="A939" s="14" t="str">
        <f>HYPERLINK("https://gerandofalcoes.my.salesforce.com/0014X00002YggieQAB", "0014X00002YggieQAB")</f>
        <v>0014X00002YggieQAB</v>
      </c>
      <c r="B939" s="2" t="s">
        <v>3887</v>
      </c>
      <c r="C939" s="2" t="s">
        <v>423</v>
      </c>
      <c r="D939" s="2" t="s">
        <v>2</v>
      </c>
      <c r="E939" s="2"/>
      <c r="F939" s="2">
        <v>0</v>
      </c>
      <c r="G939" s="2">
        <v>3</v>
      </c>
      <c r="H939" s="2">
        <v>5000</v>
      </c>
      <c r="I939" s="2">
        <v>20</v>
      </c>
      <c r="J939" s="2" t="s">
        <v>1779</v>
      </c>
      <c r="K939" s="2">
        <v>18</v>
      </c>
      <c r="L939" s="2">
        <v>0</v>
      </c>
      <c r="M939" s="2">
        <v>0</v>
      </c>
      <c r="N939" s="2">
        <v>8</v>
      </c>
      <c r="O939" s="2">
        <v>5</v>
      </c>
      <c r="P939" s="2">
        <v>5</v>
      </c>
      <c r="Q939" s="2" t="s">
        <v>3888</v>
      </c>
      <c r="R939" s="2" t="s">
        <v>3888</v>
      </c>
      <c r="S939" s="4">
        <v>45112</v>
      </c>
    </row>
    <row r="940" spans="1:19" ht="12.5" x14ac:dyDescent="0.25">
      <c r="A940" s="14" t="str">
        <f>HYPERLINK("https://gerandofalcoes.my.salesforce.com/0014X00002Yggp8QAB", "0014X00002Yggp8QAB")</f>
        <v>0014X00002Yggp8QAB</v>
      </c>
      <c r="B940" s="2" t="s">
        <v>3508</v>
      </c>
      <c r="C940" s="2" t="s">
        <v>423</v>
      </c>
      <c r="D940" s="2" t="s">
        <v>2</v>
      </c>
      <c r="E940" s="2"/>
      <c r="F940" s="2">
        <v>17</v>
      </c>
      <c r="G940" s="2">
        <v>5</v>
      </c>
      <c r="H940" s="2">
        <v>75898</v>
      </c>
      <c r="I940" s="2">
        <v>15</v>
      </c>
      <c r="J940" s="2" t="s">
        <v>1779</v>
      </c>
      <c r="K940" s="2">
        <v>37</v>
      </c>
      <c r="L940" s="2">
        <v>0</v>
      </c>
      <c r="M940" s="2">
        <v>12</v>
      </c>
      <c r="N940" s="2">
        <v>10</v>
      </c>
      <c r="O940" s="2">
        <v>10</v>
      </c>
      <c r="P940" s="2">
        <v>5</v>
      </c>
      <c r="Q940" s="2" t="s">
        <v>3509</v>
      </c>
      <c r="R940" s="2" t="s">
        <v>3509</v>
      </c>
      <c r="S940" s="4">
        <v>44958</v>
      </c>
    </row>
    <row r="941" spans="1:19" ht="12.5" x14ac:dyDescent="0.25">
      <c r="A941" s="14" t="str">
        <f>HYPERLINK("https://gerandofalcoes.my.salesforce.com/0014X00002YggmTQAR", "0014X00002YggmTQAR")</f>
        <v>0014X00002YggmTQAR</v>
      </c>
      <c r="B941" s="2" t="s">
        <v>3758</v>
      </c>
      <c r="C941" s="2" t="s">
        <v>423</v>
      </c>
      <c r="D941" s="2" t="s">
        <v>2</v>
      </c>
      <c r="E941" s="2"/>
      <c r="F941" s="2">
        <v>1</v>
      </c>
      <c r="G941" s="2">
        <v>2</v>
      </c>
      <c r="H941" s="2">
        <v>0</v>
      </c>
      <c r="I941" s="2">
        <v>15</v>
      </c>
      <c r="J941" s="2" t="s">
        <v>1779</v>
      </c>
      <c r="K941" s="2">
        <v>16</v>
      </c>
      <c r="L941" s="2">
        <v>0</v>
      </c>
      <c r="M941" s="2">
        <v>5</v>
      </c>
      <c r="N941" s="2">
        <v>6</v>
      </c>
      <c r="O941" s="2">
        <v>0</v>
      </c>
      <c r="P941" s="2">
        <v>5</v>
      </c>
      <c r="Q941" s="2" t="s">
        <v>3759</v>
      </c>
      <c r="R941" s="2" t="s">
        <v>3759</v>
      </c>
      <c r="S941" s="4">
        <v>44967</v>
      </c>
    </row>
    <row r="942" spans="1:19" ht="12.5" x14ac:dyDescent="0.25">
      <c r="A942" s="14" t="str">
        <f>HYPERLINK("https://gerandofalcoes.my.salesforce.com/0014X00002YggmbQAB", "0014X00002YggmbQAB")</f>
        <v>0014X00002YggmbQAB</v>
      </c>
      <c r="B942" s="2" t="s">
        <v>3586</v>
      </c>
      <c r="C942" s="2" t="s">
        <v>423</v>
      </c>
      <c r="D942" s="2" t="s">
        <v>2</v>
      </c>
      <c r="E942" s="2"/>
      <c r="F942" s="2">
        <v>1</v>
      </c>
      <c r="G942" s="2">
        <v>4</v>
      </c>
      <c r="H942" s="2">
        <v>24000</v>
      </c>
      <c r="I942" s="2">
        <v>15</v>
      </c>
      <c r="J942" s="2" t="s">
        <v>1779</v>
      </c>
      <c r="K942" s="2">
        <v>25</v>
      </c>
      <c r="L942" s="2">
        <v>0</v>
      </c>
      <c r="M942" s="2">
        <v>5</v>
      </c>
      <c r="N942" s="2">
        <v>10</v>
      </c>
      <c r="O942" s="2">
        <v>5</v>
      </c>
      <c r="P942" s="2">
        <v>5</v>
      </c>
      <c r="Q942" s="2" t="s">
        <v>3587</v>
      </c>
      <c r="R942" s="2" t="s">
        <v>3587</v>
      </c>
      <c r="S942" s="4">
        <v>44961</v>
      </c>
    </row>
    <row r="943" spans="1:19" ht="12.5" x14ac:dyDescent="0.25">
      <c r="A943" s="14" t="str">
        <f>HYPERLINK("https://gerandofalcoes.my.salesforce.com/0014X00002YggqKQAR", "0014X00002YggqKQAR")</f>
        <v>0014X00002YggqKQAR</v>
      </c>
      <c r="B943" s="2" t="s">
        <v>3372</v>
      </c>
      <c r="C943" s="2" t="s">
        <v>423</v>
      </c>
      <c r="D943" s="2" t="s">
        <v>2</v>
      </c>
      <c r="E943" s="2"/>
      <c r="F943" s="2">
        <v>0</v>
      </c>
      <c r="G943" s="2">
        <v>4</v>
      </c>
      <c r="H943" s="2">
        <v>11000</v>
      </c>
      <c r="I943" s="2">
        <v>10</v>
      </c>
      <c r="J943" s="2" t="s">
        <v>1779</v>
      </c>
      <c r="K943" s="2">
        <v>20</v>
      </c>
      <c r="L943" s="2">
        <v>0</v>
      </c>
      <c r="M943" s="2">
        <v>0</v>
      </c>
      <c r="N943" s="2">
        <v>10</v>
      </c>
      <c r="O943" s="2">
        <v>5</v>
      </c>
      <c r="P943" s="2">
        <v>5</v>
      </c>
      <c r="Q943" s="2" t="s">
        <v>3373</v>
      </c>
      <c r="R943" s="2" t="s">
        <v>3374</v>
      </c>
      <c r="S943" s="4">
        <v>44953</v>
      </c>
    </row>
    <row r="944" spans="1:19" ht="12.5" x14ac:dyDescent="0.25">
      <c r="A944" s="14" t="str">
        <f>HYPERLINK("https://gerandofalcoes.my.salesforce.com/0014X00002YggpxQAB", "0014X00002YggpxQAB")</f>
        <v>0014X00002YggpxQAB</v>
      </c>
      <c r="B944" s="2" t="s">
        <v>3760</v>
      </c>
      <c r="C944" s="2" t="s">
        <v>423</v>
      </c>
      <c r="D944" s="2" t="s">
        <v>2</v>
      </c>
      <c r="E944" s="2"/>
      <c r="F944" s="2">
        <v>6</v>
      </c>
      <c r="G944" s="2">
        <v>2</v>
      </c>
      <c r="H944" s="2">
        <v>235000</v>
      </c>
      <c r="I944" s="2">
        <v>10</v>
      </c>
      <c r="J944" s="2" t="s">
        <v>1779</v>
      </c>
      <c r="K944" s="2">
        <v>36</v>
      </c>
      <c r="L944" s="2">
        <v>0</v>
      </c>
      <c r="M944" s="2">
        <v>10</v>
      </c>
      <c r="N944" s="2">
        <v>6</v>
      </c>
      <c r="O944" s="2">
        <v>15</v>
      </c>
      <c r="P944" s="2">
        <v>5</v>
      </c>
      <c r="Q944" s="2" t="s">
        <v>3761</v>
      </c>
      <c r="R944" s="2" t="s">
        <v>3762</v>
      </c>
      <c r="S944" s="4">
        <v>44967</v>
      </c>
    </row>
    <row r="945" spans="1:19" ht="12.5" x14ac:dyDescent="0.25">
      <c r="A945" s="14" t="str">
        <f>HYPERLINK("https://gerandofalcoes.my.salesforce.com/0014X00002YggjXQAR", "0014X00002YggjXQAR")</f>
        <v>0014X00002YggjXQAR</v>
      </c>
      <c r="B945" s="2" t="s">
        <v>3889</v>
      </c>
      <c r="C945" s="2" t="s">
        <v>423</v>
      </c>
      <c r="D945" s="2" t="s">
        <v>2</v>
      </c>
      <c r="E945" s="2"/>
      <c r="F945" s="2">
        <v>0</v>
      </c>
      <c r="G945" s="2">
        <v>3</v>
      </c>
      <c r="H945" s="2">
        <v>35200</v>
      </c>
      <c r="I945" s="2">
        <v>10</v>
      </c>
      <c r="J945" s="2" t="s">
        <v>1779</v>
      </c>
      <c r="K945" s="2">
        <v>23</v>
      </c>
      <c r="L945" s="2">
        <v>0</v>
      </c>
      <c r="M945" s="2">
        <v>0</v>
      </c>
      <c r="N945" s="2">
        <v>8</v>
      </c>
      <c r="O945" s="2">
        <v>10</v>
      </c>
      <c r="P945" s="2">
        <v>5</v>
      </c>
      <c r="Q945" s="2" t="s">
        <v>3890</v>
      </c>
      <c r="R945" s="2" t="s">
        <v>3891</v>
      </c>
      <c r="S945" s="4">
        <v>45112</v>
      </c>
    </row>
    <row r="946" spans="1:19" ht="12.5" x14ac:dyDescent="0.25">
      <c r="A946" s="14" t="str">
        <f>HYPERLINK("https://gerandofalcoes.my.salesforce.com/0014X00002YggltQAB", "0014X00002YggltQAB")</f>
        <v>0014X00002YggltQAB</v>
      </c>
      <c r="B946" s="2" t="s">
        <v>3142</v>
      </c>
      <c r="C946" s="2" t="s">
        <v>423</v>
      </c>
      <c r="D946" s="2" t="s">
        <v>2</v>
      </c>
      <c r="E946" s="2"/>
      <c r="F946" s="2">
        <v>0</v>
      </c>
      <c r="G946" s="2">
        <v>5</v>
      </c>
      <c r="H946" s="2">
        <v>3000</v>
      </c>
      <c r="I946" s="2">
        <v>10</v>
      </c>
      <c r="J946" s="2" t="s">
        <v>1779</v>
      </c>
      <c r="K946" s="2">
        <v>20</v>
      </c>
      <c r="L946" s="2">
        <v>0</v>
      </c>
      <c r="M946" s="2">
        <v>0</v>
      </c>
      <c r="N946" s="2">
        <v>10</v>
      </c>
      <c r="O946" s="2">
        <v>5</v>
      </c>
      <c r="P946" s="2">
        <v>5</v>
      </c>
      <c r="Q946" s="2" t="s">
        <v>3143</v>
      </c>
      <c r="R946" s="2" t="s">
        <v>3143</v>
      </c>
      <c r="S946" s="4">
        <v>44949</v>
      </c>
    </row>
    <row r="947" spans="1:19" ht="12.5" x14ac:dyDescent="0.25">
      <c r="A947" s="14" t="str">
        <f>HYPERLINK("https://gerandofalcoes.my.salesforce.com/0014X00002YggqxQAB", "0014X00002YggqxQAB")</f>
        <v>0014X00002YggqxQAB</v>
      </c>
      <c r="B947" s="2" t="s">
        <v>3375</v>
      </c>
      <c r="C947" s="2" t="s">
        <v>423</v>
      </c>
      <c r="D947" s="2" t="s">
        <v>2</v>
      </c>
      <c r="E947" s="2"/>
      <c r="F947" s="2">
        <v>3</v>
      </c>
      <c r="G947" s="2">
        <v>3</v>
      </c>
      <c r="H947" s="2">
        <v>1000</v>
      </c>
      <c r="I947" s="2">
        <v>6</v>
      </c>
      <c r="J947" s="2" t="s">
        <v>1779</v>
      </c>
      <c r="K947" s="2">
        <v>23</v>
      </c>
      <c r="L947" s="2">
        <v>0</v>
      </c>
      <c r="M947" s="2">
        <v>5</v>
      </c>
      <c r="N947" s="2">
        <v>8</v>
      </c>
      <c r="O947" s="2">
        <v>5</v>
      </c>
      <c r="P947" s="2">
        <v>5</v>
      </c>
      <c r="Q947" s="2" t="s">
        <v>3376</v>
      </c>
      <c r="R947" s="2" t="s">
        <v>3376</v>
      </c>
      <c r="S947" s="4">
        <v>44953</v>
      </c>
    </row>
    <row r="948" spans="1:19" ht="12.5" x14ac:dyDescent="0.25">
      <c r="A948" s="14" t="str">
        <f>HYPERLINK("https://gerandofalcoes.my.salesforce.com/0014X00002YggpsQAB", "0014X00002YggpsQAB")</f>
        <v>0014X00002YggpsQAB</v>
      </c>
      <c r="B948" s="2" t="s">
        <v>3291</v>
      </c>
      <c r="C948" s="2" t="s">
        <v>423</v>
      </c>
      <c r="D948" s="2" t="s">
        <v>2</v>
      </c>
      <c r="E948" s="2"/>
      <c r="F948" s="2">
        <v>3</v>
      </c>
      <c r="G948" s="2">
        <v>2</v>
      </c>
      <c r="H948" s="2">
        <v>1000</v>
      </c>
      <c r="I948" s="2">
        <v>1</v>
      </c>
      <c r="J948" s="2" t="s">
        <v>1779</v>
      </c>
      <c r="K948" s="2">
        <v>21</v>
      </c>
      <c r="L948" s="2">
        <v>0</v>
      </c>
      <c r="M948" s="2">
        <v>5</v>
      </c>
      <c r="N948" s="2">
        <v>6</v>
      </c>
      <c r="O948" s="2">
        <v>5</v>
      </c>
      <c r="P948" s="2">
        <v>5</v>
      </c>
      <c r="Q948" s="2" t="s">
        <v>3292</v>
      </c>
      <c r="R948" s="2" t="s">
        <v>3293</v>
      </c>
      <c r="S948" s="4">
        <v>44952</v>
      </c>
    </row>
    <row r="949" spans="1:19" ht="12.5" x14ac:dyDescent="0.25">
      <c r="A949" s="14" t="str">
        <f>HYPERLINK("https://gerandofalcoes.my.salesforce.com/0014X00002YggmKQAR", "0014X00002YggmKQAR")</f>
        <v>0014X00002YggmKQAR</v>
      </c>
      <c r="B949" s="2" t="s">
        <v>3043</v>
      </c>
      <c r="C949" s="2" t="s">
        <v>423</v>
      </c>
      <c r="D949" s="2" t="s">
        <v>2</v>
      </c>
      <c r="E949" s="2"/>
      <c r="F949" s="2">
        <v>0</v>
      </c>
      <c r="G949" s="2">
        <v>2</v>
      </c>
      <c r="H949" s="2">
        <v>10000</v>
      </c>
      <c r="I949" s="2">
        <v>0</v>
      </c>
      <c r="J949" s="2" t="s">
        <v>1779</v>
      </c>
      <c r="K949" s="2">
        <v>11</v>
      </c>
      <c r="L949" s="2">
        <v>0</v>
      </c>
      <c r="M949" s="2">
        <v>0</v>
      </c>
      <c r="N949" s="2">
        <v>6</v>
      </c>
      <c r="O949" s="2">
        <v>5</v>
      </c>
      <c r="P949" s="2">
        <v>0</v>
      </c>
      <c r="Q949" s="2" t="s">
        <v>3044</v>
      </c>
      <c r="R949" s="2" t="s">
        <v>3044</v>
      </c>
      <c r="S949" s="4">
        <v>44945</v>
      </c>
    </row>
    <row r="950" spans="1:19" ht="12.5" x14ac:dyDescent="0.25">
      <c r="A950" s="14" t="str">
        <f>HYPERLINK("https://gerandofalcoes.my.salesforce.com/0014X00002YgggwQAB", "0014X00002YgggwQAB")</f>
        <v>0014X00002YgggwQAB</v>
      </c>
      <c r="B950" s="2" t="s">
        <v>3106</v>
      </c>
      <c r="C950" s="2" t="s">
        <v>423</v>
      </c>
      <c r="D950" s="2" t="s">
        <v>2</v>
      </c>
      <c r="E950" s="2"/>
      <c r="F950" s="2">
        <v>0</v>
      </c>
      <c r="G950" s="2">
        <v>3</v>
      </c>
      <c r="H950" s="2">
        <v>1000</v>
      </c>
      <c r="I950" s="2">
        <v>0</v>
      </c>
      <c r="J950" s="2" t="s">
        <v>1779</v>
      </c>
      <c r="K950" s="2">
        <v>13</v>
      </c>
      <c r="L950" s="2">
        <v>0</v>
      </c>
      <c r="M950" s="2">
        <v>0</v>
      </c>
      <c r="N950" s="2">
        <v>8</v>
      </c>
      <c r="O950" s="2">
        <v>5</v>
      </c>
      <c r="P950" s="2">
        <v>0</v>
      </c>
      <c r="Q950" s="2" t="s">
        <v>3107</v>
      </c>
      <c r="R950" s="2" t="s">
        <v>3108</v>
      </c>
      <c r="S950" s="4">
        <v>44948</v>
      </c>
    </row>
    <row r="951" spans="1:19" ht="12.5" x14ac:dyDescent="0.25">
      <c r="A951" s="14" t="str">
        <f>HYPERLINK("https://gerandofalcoes.my.salesforce.com/0014X00002YggoAQAR", "0014X00002YggoAQAR")</f>
        <v>0014X00002YggoAQAR</v>
      </c>
      <c r="B951" s="2" t="s">
        <v>3377</v>
      </c>
      <c r="C951" s="2" t="s">
        <v>423</v>
      </c>
      <c r="D951" s="2" t="s">
        <v>2</v>
      </c>
      <c r="E951" s="2"/>
      <c r="F951" s="2">
        <v>0</v>
      </c>
      <c r="G951" s="2">
        <v>310</v>
      </c>
      <c r="H951" s="2">
        <v>3000</v>
      </c>
      <c r="I951" s="2">
        <v>0</v>
      </c>
      <c r="J951" s="2" t="s">
        <v>1779</v>
      </c>
      <c r="K951" s="2">
        <v>15</v>
      </c>
      <c r="L951" s="2">
        <v>0</v>
      </c>
      <c r="M951" s="2">
        <v>0</v>
      </c>
      <c r="N951" s="2">
        <v>10</v>
      </c>
      <c r="O951" s="2">
        <v>5</v>
      </c>
      <c r="P951" s="2">
        <v>0</v>
      </c>
      <c r="Q951" s="2" t="s">
        <v>3378</v>
      </c>
      <c r="R951" s="2" t="s">
        <v>3378</v>
      </c>
      <c r="S951" s="4">
        <v>44953</v>
      </c>
    </row>
    <row r="952" spans="1:19" ht="12.5" x14ac:dyDescent="0.25">
      <c r="A952" s="14" t="str">
        <f>HYPERLINK("https://gerandofalcoes.my.salesforce.com/0014X00002Yggo3QAB", "0014X00002Yggo3QAB")</f>
        <v>0014X00002Yggo3QAB</v>
      </c>
      <c r="B952" s="2" t="s">
        <v>3103</v>
      </c>
      <c r="C952" s="2" t="s">
        <v>423</v>
      </c>
      <c r="D952" s="2" t="s">
        <v>2</v>
      </c>
      <c r="E952" s="2"/>
      <c r="F952" s="2">
        <v>0</v>
      </c>
      <c r="G952" s="2">
        <v>2</v>
      </c>
      <c r="H952" s="2">
        <v>10000</v>
      </c>
      <c r="I952" s="2">
        <v>0</v>
      </c>
      <c r="J952" s="2" t="s">
        <v>1779</v>
      </c>
      <c r="K952" s="2">
        <v>11</v>
      </c>
      <c r="L952" s="2">
        <v>0</v>
      </c>
      <c r="M952" s="2">
        <v>0</v>
      </c>
      <c r="N952" s="2">
        <v>6</v>
      </c>
      <c r="O952" s="2">
        <v>5</v>
      </c>
      <c r="P952" s="2">
        <v>0</v>
      </c>
      <c r="Q952" s="2" t="s">
        <v>3104</v>
      </c>
      <c r="R952" s="2" t="s">
        <v>3105</v>
      </c>
      <c r="S952" s="4">
        <v>44948</v>
      </c>
    </row>
    <row r="953" spans="1:19" ht="12.5" hidden="1" x14ac:dyDescent="0.25">
      <c r="A953" s="14" t="str">
        <f>HYPERLINK("https://gerandofalcoes.my.salesforce.com/0014X00002YggqMQAR", "0014X00002YggqMQAR")</f>
        <v>0014X00002YggqMQAR</v>
      </c>
      <c r="B953" s="2" t="s">
        <v>3045</v>
      </c>
      <c r="C953" s="2" t="s">
        <v>1684</v>
      </c>
      <c r="D953" s="2" t="s">
        <v>2</v>
      </c>
      <c r="E953" s="2"/>
      <c r="F953" s="2">
        <v>0</v>
      </c>
      <c r="G953" s="2">
        <v>2</v>
      </c>
      <c r="H953" s="2">
        <v>0</v>
      </c>
      <c r="I953" s="2">
        <v>0</v>
      </c>
      <c r="J953" s="2" t="s">
        <v>1779</v>
      </c>
      <c r="K953" s="2">
        <v>6</v>
      </c>
      <c r="L953" s="2">
        <v>0</v>
      </c>
      <c r="M953" s="2">
        <v>0</v>
      </c>
      <c r="N953" s="2">
        <v>6</v>
      </c>
      <c r="O953" s="2">
        <v>0</v>
      </c>
      <c r="P953" s="2">
        <v>0</v>
      </c>
      <c r="Q953" s="2" t="s">
        <v>3046</v>
      </c>
      <c r="R953" s="2" t="s">
        <v>3046</v>
      </c>
      <c r="S953" s="4">
        <v>44945</v>
      </c>
    </row>
    <row r="954" spans="1:19" ht="12.5" x14ac:dyDescent="0.25">
      <c r="A954" s="14" t="str">
        <f>HYPERLINK("https://gerandofalcoes.my.salesforce.com/0014X00002YgglFQAR", "0014X00002YgglFQAR")</f>
        <v>0014X00002YgglFQAR</v>
      </c>
      <c r="B954" s="2" t="s">
        <v>3087</v>
      </c>
      <c r="C954" s="2" t="s">
        <v>423</v>
      </c>
      <c r="D954" s="2" t="s">
        <v>2</v>
      </c>
      <c r="E954" s="2"/>
      <c r="F954" s="2">
        <v>0</v>
      </c>
      <c r="G954" s="2">
        <v>5</v>
      </c>
      <c r="H954" s="2">
        <v>0</v>
      </c>
      <c r="I954" s="2">
        <v>0</v>
      </c>
      <c r="J954" s="2" t="s">
        <v>1779</v>
      </c>
      <c r="K954" s="2">
        <v>10</v>
      </c>
      <c r="L954" s="2">
        <v>0</v>
      </c>
      <c r="M954" s="2">
        <v>0</v>
      </c>
      <c r="N954" s="2">
        <v>10</v>
      </c>
      <c r="O954" s="2">
        <v>0</v>
      </c>
      <c r="P954" s="2">
        <v>0</v>
      </c>
      <c r="Q954" s="2" t="s">
        <v>3088</v>
      </c>
      <c r="R954" s="2" t="s">
        <v>3089</v>
      </c>
      <c r="S954" s="4">
        <v>44946</v>
      </c>
    </row>
    <row r="955" spans="1:19" ht="12.5" x14ac:dyDescent="0.25">
      <c r="A955" s="14" t="str">
        <f>HYPERLINK("https://gerandofalcoes.my.salesforce.com/0014X00002YggglQAB", "0014X00002YggglQAB")</f>
        <v>0014X00002YggglQAB</v>
      </c>
      <c r="B955" s="2" t="s">
        <v>3144</v>
      </c>
      <c r="C955" s="2" t="s">
        <v>423</v>
      </c>
      <c r="D955" s="2" t="s">
        <v>2</v>
      </c>
      <c r="E955" s="2"/>
      <c r="F955" s="2">
        <v>0</v>
      </c>
      <c r="G955" s="2">
        <v>2</v>
      </c>
      <c r="H955" s="2">
        <v>15000</v>
      </c>
      <c r="I955" s="2">
        <v>0</v>
      </c>
      <c r="J955" s="2" t="s">
        <v>1779</v>
      </c>
      <c r="K955" s="2">
        <v>11</v>
      </c>
      <c r="L955" s="2">
        <v>0</v>
      </c>
      <c r="M955" s="2">
        <v>0</v>
      </c>
      <c r="N955" s="2">
        <v>6</v>
      </c>
      <c r="O955" s="2">
        <v>5</v>
      </c>
      <c r="P955" s="2">
        <v>0</v>
      </c>
      <c r="Q955" s="2" t="s">
        <v>3145</v>
      </c>
      <c r="R955" s="2" t="s">
        <v>3145</v>
      </c>
      <c r="S955" s="4">
        <v>44949</v>
      </c>
    </row>
    <row r="956" spans="1:19" ht="12.5" x14ac:dyDescent="0.25">
      <c r="A956" s="14" t="str">
        <f>HYPERLINK("https://gerandofalcoes.my.salesforce.com/0014X00002YgbknQAB", "0014X00002YgbknQAB")</f>
        <v>0014X00002YgbknQAB</v>
      </c>
      <c r="B956" s="2" t="s">
        <v>3096</v>
      </c>
      <c r="C956" s="2" t="s">
        <v>423</v>
      </c>
      <c r="D956" s="2" t="s">
        <v>2</v>
      </c>
      <c r="E956" s="2"/>
      <c r="F956" s="2">
        <v>0</v>
      </c>
      <c r="G956" s="2">
        <v>0</v>
      </c>
      <c r="H956" s="2">
        <v>0</v>
      </c>
      <c r="I956" s="2">
        <v>0</v>
      </c>
      <c r="J956" s="2" t="s">
        <v>1779</v>
      </c>
      <c r="K956" s="2">
        <v>0</v>
      </c>
      <c r="L956" s="2">
        <v>0</v>
      </c>
      <c r="M956" s="2">
        <v>0</v>
      </c>
      <c r="N956" s="2">
        <v>0</v>
      </c>
      <c r="O956" s="2">
        <v>0</v>
      </c>
      <c r="P956" s="2">
        <v>0</v>
      </c>
      <c r="Q956" s="2" t="s">
        <v>3097</v>
      </c>
      <c r="R956" s="2" t="s">
        <v>3097</v>
      </c>
      <c r="S956" s="4">
        <v>44947</v>
      </c>
    </row>
    <row r="957" spans="1:19" ht="12.5" x14ac:dyDescent="0.25">
      <c r="A957" s="14" t="str">
        <f>HYPERLINK("https://gerandofalcoes.my.salesforce.com/0014X00002YggimQAB", "0014X00002YggimQAB")</f>
        <v>0014X00002YggimQAB</v>
      </c>
      <c r="B957" s="2" t="s">
        <v>3146</v>
      </c>
      <c r="C957" s="2" t="s">
        <v>423</v>
      </c>
      <c r="D957" s="2" t="s">
        <v>2</v>
      </c>
      <c r="E957" s="2"/>
      <c r="F957" s="2">
        <v>0</v>
      </c>
      <c r="G957" s="2">
        <v>2</v>
      </c>
      <c r="H957" s="2">
        <v>200</v>
      </c>
      <c r="I957" s="2">
        <v>0</v>
      </c>
      <c r="J957" s="2" t="s">
        <v>1779</v>
      </c>
      <c r="K957" s="2">
        <v>11</v>
      </c>
      <c r="L957" s="2">
        <v>0</v>
      </c>
      <c r="M957" s="2">
        <v>0</v>
      </c>
      <c r="N957" s="2">
        <v>6</v>
      </c>
      <c r="O957" s="2">
        <v>5</v>
      </c>
      <c r="P957" s="2">
        <v>0</v>
      </c>
      <c r="Q957" s="2" t="s">
        <v>3147</v>
      </c>
      <c r="R957" s="2" t="s">
        <v>3148</v>
      </c>
      <c r="S957" s="4">
        <v>44949</v>
      </c>
    </row>
    <row r="958" spans="1:19" ht="12.5" x14ac:dyDescent="0.25">
      <c r="A958" s="14" t="str">
        <f>HYPERLINK("https://gerandofalcoes.my.salesforce.com/0014X00002YggquQAB", "0014X00002YggquQAB")</f>
        <v>0014X00002YggquQAB</v>
      </c>
      <c r="B958" s="2" t="s">
        <v>3171</v>
      </c>
      <c r="C958" s="2" t="s">
        <v>423</v>
      </c>
      <c r="D958" s="2" t="s">
        <v>2</v>
      </c>
      <c r="E958" s="2"/>
      <c r="F958" s="2">
        <v>4</v>
      </c>
      <c r="G958" s="2">
        <v>11</v>
      </c>
      <c r="H958" s="2">
        <v>0</v>
      </c>
      <c r="I958" s="2">
        <v>0</v>
      </c>
      <c r="J958" s="2" t="s">
        <v>1779</v>
      </c>
      <c r="K958" s="2">
        <v>15</v>
      </c>
      <c r="L958" s="2">
        <v>0</v>
      </c>
      <c r="M958" s="2">
        <v>5</v>
      </c>
      <c r="N958" s="2">
        <v>10</v>
      </c>
      <c r="O958" s="2">
        <v>0</v>
      </c>
      <c r="P958" s="2">
        <v>0</v>
      </c>
      <c r="Q958" s="2" t="s">
        <v>3172</v>
      </c>
      <c r="R958" s="2" t="s">
        <v>3172</v>
      </c>
      <c r="S958" s="4">
        <v>44950</v>
      </c>
    </row>
    <row r="959" spans="1:19" ht="12.5" x14ac:dyDescent="0.25">
      <c r="A959" s="14" t="str">
        <f>HYPERLINK("https://gerandofalcoes.my.salesforce.com/0014X00002YggoRQAR", "0014X00002YggoRQAR")</f>
        <v>0014X00002YggoRQAR</v>
      </c>
      <c r="B959" s="2" t="s">
        <v>3510</v>
      </c>
      <c r="C959" s="2" t="s">
        <v>423</v>
      </c>
      <c r="D959" s="2" t="s">
        <v>2</v>
      </c>
      <c r="E959" s="2"/>
      <c r="F959" s="2">
        <v>0</v>
      </c>
      <c r="G959" s="2">
        <v>2</v>
      </c>
      <c r="H959" s="2">
        <v>0</v>
      </c>
      <c r="I959" s="2">
        <v>0</v>
      </c>
      <c r="J959" s="2" t="s">
        <v>1779</v>
      </c>
      <c r="K959" s="2">
        <v>6</v>
      </c>
      <c r="L959" s="2">
        <v>0</v>
      </c>
      <c r="M959" s="2">
        <v>0</v>
      </c>
      <c r="N959" s="2">
        <v>6</v>
      </c>
      <c r="O959" s="2">
        <v>0</v>
      </c>
      <c r="P959" s="2">
        <v>0</v>
      </c>
      <c r="Q959" s="2" t="s">
        <v>3511</v>
      </c>
      <c r="R959" s="2" t="s">
        <v>3511</v>
      </c>
      <c r="S959" s="4">
        <v>44958</v>
      </c>
    </row>
    <row r="960" spans="1:19" ht="12.5" x14ac:dyDescent="0.25">
      <c r="A960" s="14" t="str">
        <f>HYPERLINK("https://gerandofalcoes.my.salesforce.com/0014X00002YgbkmQAB", "0014X00002YgbkmQAB")</f>
        <v>0014X00002YgbkmQAB</v>
      </c>
      <c r="B960" s="2" t="s">
        <v>3796</v>
      </c>
      <c r="C960" s="2" t="s">
        <v>423</v>
      </c>
      <c r="D960" s="2" t="s">
        <v>2</v>
      </c>
      <c r="E960" s="2"/>
      <c r="F960" s="2">
        <v>0</v>
      </c>
      <c r="G960" s="2">
        <v>0</v>
      </c>
      <c r="H960" s="2">
        <v>0</v>
      </c>
      <c r="I960" s="2">
        <v>0</v>
      </c>
      <c r="J960" s="2" t="s">
        <v>1779</v>
      </c>
      <c r="K960" s="2">
        <v>0</v>
      </c>
      <c r="L960" s="2">
        <v>0</v>
      </c>
      <c r="M960" s="2">
        <v>0</v>
      </c>
      <c r="N960" s="2">
        <v>0</v>
      </c>
      <c r="O960" s="2">
        <v>0</v>
      </c>
      <c r="P960" s="2">
        <v>0</v>
      </c>
      <c r="Q960" s="2" t="s">
        <v>3797</v>
      </c>
      <c r="R960" s="2" t="s">
        <v>3797</v>
      </c>
      <c r="S960" s="4">
        <v>44968</v>
      </c>
    </row>
    <row r="961" spans="1:19" ht="12.5" x14ac:dyDescent="0.25">
      <c r="A961" s="14" t="str">
        <f>HYPERLINK("https://gerandofalcoes.my.salesforce.com/0014X00002YgbkPQAR", "0014X00002YgbkPQAR")</f>
        <v>0014X00002YgbkPQAR</v>
      </c>
      <c r="B961" s="2" t="s">
        <v>3515</v>
      </c>
      <c r="C961" s="2" t="s">
        <v>423</v>
      </c>
      <c r="D961" s="2" t="s">
        <v>2</v>
      </c>
      <c r="E961" s="2"/>
      <c r="F961" s="2">
        <v>0</v>
      </c>
      <c r="G961" s="2">
        <v>0</v>
      </c>
      <c r="H961" s="2">
        <v>0</v>
      </c>
      <c r="I961" s="2">
        <v>0</v>
      </c>
      <c r="J961" s="2" t="s">
        <v>1779</v>
      </c>
      <c r="K961" s="2">
        <v>0</v>
      </c>
      <c r="L961" s="2">
        <v>0</v>
      </c>
      <c r="M961" s="2">
        <v>0</v>
      </c>
      <c r="N961" s="2">
        <v>0</v>
      </c>
      <c r="O961" s="2">
        <v>0</v>
      </c>
      <c r="P961" s="2">
        <v>0</v>
      </c>
      <c r="Q961" s="2" t="s">
        <v>3516</v>
      </c>
      <c r="R961" s="2" t="s">
        <v>3516</v>
      </c>
      <c r="S961" s="4">
        <v>44958</v>
      </c>
    </row>
    <row r="962" spans="1:19" ht="12.5" x14ac:dyDescent="0.25">
      <c r="A962" s="14" t="str">
        <f>HYPERLINK("https://gerandofalcoes.my.salesforce.com/0014X00002YgbkgQAB", "0014X00002YgbkgQAB")</f>
        <v>0014X00002YgbkgQAB</v>
      </c>
      <c r="B962" s="2" t="s">
        <v>3517</v>
      </c>
      <c r="C962" s="2" t="s">
        <v>423</v>
      </c>
      <c r="D962" s="2" t="s">
        <v>2</v>
      </c>
      <c r="E962" s="2"/>
      <c r="F962" s="2">
        <v>0</v>
      </c>
      <c r="G962" s="2">
        <v>0</v>
      </c>
      <c r="H962" s="2">
        <v>0</v>
      </c>
      <c r="I962" s="2">
        <v>0</v>
      </c>
      <c r="J962" s="2" t="s">
        <v>1779</v>
      </c>
      <c r="K962" s="2">
        <v>0</v>
      </c>
      <c r="L962" s="2">
        <v>0</v>
      </c>
      <c r="M962" s="2">
        <v>0</v>
      </c>
      <c r="N962" s="2">
        <v>0</v>
      </c>
      <c r="O962" s="2">
        <v>0</v>
      </c>
      <c r="P962" s="2">
        <v>0</v>
      </c>
      <c r="Q962" s="2" t="s">
        <v>3518</v>
      </c>
      <c r="R962" s="2" t="s">
        <v>3518</v>
      </c>
      <c r="S962" s="4">
        <v>44958</v>
      </c>
    </row>
    <row r="963" spans="1:19" ht="12.5" x14ac:dyDescent="0.25">
      <c r="A963" s="14" t="str">
        <f>HYPERLINK("https://gerandofalcoes.my.salesforce.com/0014X00002YggnyQAB", "0014X00002YggnyQAB")</f>
        <v>0014X00002YggnyQAB</v>
      </c>
      <c r="B963" s="2" t="s">
        <v>3519</v>
      </c>
      <c r="C963" s="2" t="s">
        <v>423</v>
      </c>
      <c r="D963" s="2" t="s">
        <v>2</v>
      </c>
      <c r="E963" s="2"/>
      <c r="F963" s="2">
        <v>25</v>
      </c>
      <c r="G963" s="2">
        <v>3</v>
      </c>
      <c r="H963" s="2">
        <v>49000</v>
      </c>
      <c r="I963" s="2">
        <v>0</v>
      </c>
      <c r="J963" s="2" t="s">
        <v>1779</v>
      </c>
      <c r="K963" s="2">
        <v>30</v>
      </c>
      <c r="L963" s="2">
        <v>0</v>
      </c>
      <c r="M963" s="2">
        <v>12</v>
      </c>
      <c r="N963" s="2">
        <v>8</v>
      </c>
      <c r="O963" s="2">
        <v>10</v>
      </c>
      <c r="P963" s="2">
        <v>0</v>
      </c>
      <c r="Q963" s="2" t="s">
        <v>3520</v>
      </c>
      <c r="R963" s="2" t="s">
        <v>3521</v>
      </c>
      <c r="S963" s="4">
        <v>44958</v>
      </c>
    </row>
    <row r="964" spans="1:19" ht="12.5" x14ac:dyDescent="0.25">
      <c r="A964" s="14" t="str">
        <f>HYPERLINK("https://gerandofalcoes.my.salesforce.com/0014X00002YgggqQAB", "0014X00002YgggqQAB")</f>
        <v>0014X00002YgggqQAB</v>
      </c>
      <c r="B964" s="2" t="s">
        <v>3522</v>
      </c>
      <c r="C964" s="2" t="s">
        <v>423</v>
      </c>
      <c r="D964" s="2" t="s">
        <v>2</v>
      </c>
      <c r="E964" s="2"/>
      <c r="F964" s="2">
        <v>0</v>
      </c>
      <c r="G964" s="2">
        <v>3</v>
      </c>
      <c r="H964" s="2">
        <v>30000</v>
      </c>
      <c r="I964" s="2">
        <v>0</v>
      </c>
      <c r="J964" s="2" t="s">
        <v>1779</v>
      </c>
      <c r="K964" s="2">
        <v>18</v>
      </c>
      <c r="L964" s="2">
        <v>0</v>
      </c>
      <c r="M964" s="2">
        <v>0</v>
      </c>
      <c r="N964" s="2">
        <v>8</v>
      </c>
      <c r="O964" s="2">
        <v>10</v>
      </c>
      <c r="P964" s="2">
        <v>0</v>
      </c>
      <c r="Q964" s="2" t="s">
        <v>3523</v>
      </c>
      <c r="R964" s="2" t="s">
        <v>3523</v>
      </c>
      <c r="S964" s="4">
        <v>44958</v>
      </c>
    </row>
    <row r="965" spans="1:19" ht="12.5" x14ac:dyDescent="0.25">
      <c r="A965" s="14" t="str">
        <f>HYPERLINK("https://gerandofalcoes.my.salesforce.com/0014X00002YggluQAB", "0014X00002YggluQAB")</f>
        <v>0014X00002YggluQAB</v>
      </c>
      <c r="B965" s="2" t="s">
        <v>3524</v>
      </c>
      <c r="C965" s="2" t="s">
        <v>423</v>
      </c>
      <c r="D965" s="2" t="s">
        <v>2</v>
      </c>
      <c r="E965" s="2"/>
      <c r="F965" s="2">
        <v>0</v>
      </c>
      <c r="G965" s="2">
        <v>2</v>
      </c>
      <c r="H965" s="2">
        <v>3745000</v>
      </c>
      <c r="I965" s="2">
        <v>0</v>
      </c>
      <c r="J965" s="2" t="s">
        <v>1779</v>
      </c>
      <c r="K965" s="2">
        <v>31</v>
      </c>
      <c r="L965" s="2">
        <v>0</v>
      </c>
      <c r="M965" s="2">
        <v>0</v>
      </c>
      <c r="N965" s="2">
        <v>6</v>
      </c>
      <c r="O965" s="2">
        <v>25</v>
      </c>
      <c r="P965" s="2">
        <v>0</v>
      </c>
      <c r="Q965" s="2" t="s">
        <v>3525</v>
      </c>
      <c r="R965" s="2" t="s">
        <v>3526</v>
      </c>
      <c r="S965" s="4">
        <v>44958</v>
      </c>
    </row>
    <row r="966" spans="1:19" ht="12.5" x14ac:dyDescent="0.25">
      <c r="A966" s="14" t="str">
        <f>HYPERLINK("https://gerandofalcoes.my.salesforce.com/0014X00002Yggm2QAB", "0014X00002Yggm2QAB")</f>
        <v>0014X00002Yggm2QAB</v>
      </c>
      <c r="B966" s="2" t="s">
        <v>3527</v>
      </c>
      <c r="C966" s="2" t="s">
        <v>423</v>
      </c>
      <c r="D966" s="2" t="s">
        <v>2</v>
      </c>
      <c r="E966" s="2"/>
      <c r="F966" s="2">
        <v>0</v>
      </c>
      <c r="G966" s="2">
        <v>2</v>
      </c>
      <c r="H966" s="2">
        <v>2000</v>
      </c>
      <c r="I966" s="2">
        <v>0</v>
      </c>
      <c r="J966" s="2" t="s">
        <v>1779</v>
      </c>
      <c r="K966" s="2">
        <v>11</v>
      </c>
      <c r="L966" s="2">
        <v>0</v>
      </c>
      <c r="M966" s="2">
        <v>0</v>
      </c>
      <c r="N966" s="2">
        <v>6</v>
      </c>
      <c r="O966" s="2">
        <v>5</v>
      </c>
      <c r="P966" s="2">
        <v>0</v>
      </c>
      <c r="Q966" s="2" t="s">
        <v>3528</v>
      </c>
      <c r="R966" s="2" t="s">
        <v>3529</v>
      </c>
      <c r="S966" s="4">
        <v>44958</v>
      </c>
    </row>
    <row r="967" spans="1:19" ht="12.5" x14ac:dyDescent="0.25">
      <c r="A967" s="14" t="str">
        <f>HYPERLINK("https://gerandofalcoes.my.salesforce.com/0014X00002Yggl1QAB", "0014X00002Yggl1QAB")</f>
        <v>0014X00002Yggl1QAB</v>
      </c>
      <c r="B967" s="2" t="s">
        <v>3530</v>
      </c>
      <c r="C967" s="2" t="s">
        <v>423</v>
      </c>
      <c r="D967" s="2" t="s">
        <v>2</v>
      </c>
      <c r="E967" s="2"/>
      <c r="F967" s="2">
        <v>0</v>
      </c>
      <c r="G967" s="2">
        <v>2</v>
      </c>
      <c r="H967" s="2">
        <v>1000</v>
      </c>
      <c r="I967" s="2">
        <v>0</v>
      </c>
      <c r="J967" s="2" t="s">
        <v>1779</v>
      </c>
      <c r="K967" s="2">
        <v>11</v>
      </c>
      <c r="L967" s="2">
        <v>0</v>
      </c>
      <c r="M967" s="2">
        <v>0</v>
      </c>
      <c r="N967" s="2">
        <v>6</v>
      </c>
      <c r="O967" s="2">
        <v>5</v>
      </c>
      <c r="P967" s="2">
        <v>0</v>
      </c>
      <c r="Q967" s="2" t="s">
        <v>3531</v>
      </c>
      <c r="R967" s="2" t="s">
        <v>3531</v>
      </c>
      <c r="S967" s="4">
        <v>44958</v>
      </c>
    </row>
    <row r="968" spans="1:19" ht="12.5" x14ac:dyDescent="0.25">
      <c r="A968" s="14" t="str">
        <f>HYPERLINK("https://gerandofalcoes.my.salesforce.com/0014X00002YgggHQAR", "0014X00002YgggHQAR")</f>
        <v>0014X00002YgggHQAR</v>
      </c>
      <c r="B968" s="2" t="s">
        <v>3512</v>
      </c>
      <c r="C968" s="2" t="s">
        <v>423</v>
      </c>
      <c r="D968" s="2" t="s">
        <v>2</v>
      </c>
      <c r="E968" s="2"/>
      <c r="F968" s="2">
        <v>15</v>
      </c>
      <c r="G968" s="2">
        <v>4</v>
      </c>
      <c r="H968" s="2">
        <v>23000</v>
      </c>
      <c r="I968" s="2">
        <v>0</v>
      </c>
      <c r="J968" s="2" t="s">
        <v>1779</v>
      </c>
      <c r="K968" s="2">
        <v>27</v>
      </c>
      <c r="L968" s="2">
        <v>0</v>
      </c>
      <c r="M968" s="2">
        <v>12</v>
      </c>
      <c r="N968" s="2">
        <v>10</v>
      </c>
      <c r="O968" s="2">
        <v>5</v>
      </c>
      <c r="P968" s="2">
        <v>0</v>
      </c>
      <c r="Q968" s="2" t="s">
        <v>3513</v>
      </c>
      <c r="R968" s="2" t="s">
        <v>3514</v>
      </c>
      <c r="S968" s="4">
        <v>44958</v>
      </c>
    </row>
    <row r="969" spans="1:19" ht="12.5" x14ac:dyDescent="0.25">
      <c r="A969" s="14" t="str">
        <f>HYPERLINK("https://gerandofalcoes.my.salesforce.com/0014X00002Yggi3QAB", "0014X00002Yggi3QAB")</f>
        <v>0014X00002Yggi3QAB</v>
      </c>
      <c r="B969" s="2" t="s">
        <v>3558</v>
      </c>
      <c r="C969" s="2" t="s">
        <v>423</v>
      </c>
      <c r="D969" s="2" t="s">
        <v>2</v>
      </c>
      <c r="E969" s="2"/>
      <c r="F969" s="2">
        <v>0</v>
      </c>
      <c r="G969" s="2">
        <v>2</v>
      </c>
      <c r="H969" s="2">
        <v>3000</v>
      </c>
      <c r="I969" s="2">
        <v>0</v>
      </c>
      <c r="J969" s="2" t="s">
        <v>1779</v>
      </c>
      <c r="K969" s="2">
        <v>11</v>
      </c>
      <c r="L969" s="2">
        <v>0</v>
      </c>
      <c r="M969" s="2">
        <v>0</v>
      </c>
      <c r="N969" s="2">
        <v>6</v>
      </c>
      <c r="O969" s="2">
        <v>5</v>
      </c>
      <c r="P969" s="2">
        <v>0</v>
      </c>
      <c r="Q969" s="2" t="s">
        <v>3559</v>
      </c>
      <c r="R969" s="2" t="s">
        <v>3559</v>
      </c>
      <c r="S969" s="4">
        <v>44959</v>
      </c>
    </row>
    <row r="970" spans="1:19" ht="12.5" x14ac:dyDescent="0.25">
      <c r="A970" s="14" t="str">
        <f>HYPERLINK("https://gerandofalcoes.my.salesforce.com/0014X00002YggqTQAR", "0014X00002YggqTQAR")</f>
        <v>0014X00002YggqTQAR</v>
      </c>
      <c r="B970" s="2" t="s">
        <v>3683</v>
      </c>
      <c r="C970" s="2" t="s">
        <v>423</v>
      </c>
      <c r="D970" s="2" t="s">
        <v>2</v>
      </c>
      <c r="E970" s="2"/>
      <c r="F970" s="2">
        <v>0</v>
      </c>
      <c r="G970" s="2">
        <v>3</v>
      </c>
      <c r="H970" s="2">
        <v>0</v>
      </c>
      <c r="I970" s="2">
        <v>0</v>
      </c>
      <c r="J970" s="2" t="s">
        <v>1779</v>
      </c>
      <c r="K970" s="2">
        <v>8</v>
      </c>
      <c r="L970" s="2">
        <v>0</v>
      </c>
      <c r="M970" s="2">
        <v>0</v>
      </c>
      <c r="N970" s="2">
        <v>8</v>
      </c>
      <c r="O970" s="2">
        <v>0</v>
      </c>
      <c r="P970" s="2">
        <v>0</v>
      </c>
      <c r="Q970" s="2" t="s">
        <v>3684</v>
      </c>
      <c r="R970" s="2" t="s">
        <v>3685</v>
      </c>
      <c r="S970" s="4">
        <v>44964</v>
      </c>
    </row>
    <row r="971" spans="1:19" ht="12.5" x14ac:dyDescent="0.25">
      <c r="A971" s="14" t="str">
        <f>HYPERLINK("https://gerandofalcoes.my.salesforce.com/0014X00002YggnYQAR", "0014X00002YggnYQAR")</f>
        <v>0014X00002YggnYQAR</v>
      </c>
      <c r="B971" s="2" t="s">
        <v>3763</v>
      </c>
      <c r="C971" s="2" t="s">
        <v>423</v>
      </c>
      <c r="D971" s="2" t="s">
        <v>2</v>
      </c>
      <c r="E971" s="2"/>
      <c r="F971" s="2">
        <v>127</v>
      </c>
      <c r="G971" s="2">
        <v>4</v>
      </c>
      <c r="H971" s="2">
        <v>0</v>
      </c>
      <c r="I971" s="2">
        <v>0</v>
      </c>
      <c r="J971" s="2" t="s">
        <v>1779</v>
      </c>
      <c r="K971" s="2">
        <v>25</v>
      </c>
      <c r="L971" s="2">
        <v>0</v>
      </c>
      <c r="M971" s="2">
        <v>15</v>
      </c>
      <c r="N971" s="2">
        <v>10</v>
      </c>
      <c r="O971" s="2">
        <v>0</v>
      </c>
      <c r="P971" s="2">
        <v>0</v>
      </c>
      <c r="Q971" s="2" t="s">
        <v>3764</v>
      </c>
      <c r="R971" s="2" t="s">
        <v>3764</v>
      </c>
      <c r="S971" s="4">
        <v>44967</v>
      </c>
    </row>
    <row r="972" spans="1:19" ht="12.5" x14ac:dyDescent="0.25">
      <c r="A972" s="14" t="str">
        <f>HYPERLINK("https://gerandofalcoes.my.salesforce.com/0014X00002Yggr0QAB", "0014X00002Yggr0QAB")</f>
        <v>0014X00002Yggr0QAB</v>
      </c>
      <c r="B972" s="2" t="s">
        <v>3765</v>
      </c>
      <c r="C972" s="2" t="s">
        <v>423</v>
      </c>
      <c r="D972" s="2" t="s">
        <v>2</v>
      </c>
      <c r="E972" s="2"/>
      <c r="F972" s="2">
        <v>3</v>
      </c>
      <c r="G972" s="2">
        <v>122</v>
      </c>
      <c r="H972" s="2">
        <v>10000</v>
      </c>
      <c r="I972" s="2">
        <v>0</v>
      </c>
      <c r="J972" s="2" t="s">
        <v>1779</v>
      </c>
      <c r="K972" s="2">
        <v>20</v>
      </c>
      <c r="L972" s="2">
        <v>0</v>
      </c>
      <c r="M972" s="2">
        <v>5</v>
      </c>
      <c r="N972" s="2">
        <v>10</v>
      </c>
      <c r="O972" s="2">
        <v>5</v>
      </c>
      <c r="P972" s="2">
        <v>0</v>
      </c>
      <c r="Q972" s="2" t="s">
        <v>3766</v>
      </c>
      <c r="R972" s="2" t="s">
        <v>3767</v>
      </c>
      <c r="S972" s="4">
        <v>44967</v>
      </c>
    </row>
    <row r="973" spans="1:19" ht="12.5" x14ac:dyDescent="0.25">
      <c r="A973" s="14" t="str">
        <f>HYPERLINK("https://gerandofalcoes.my.salesforce.com/0014X00002YgglrQAB", "0014X00002YgglrQAB")</f>
        <v>0014X00002YgglrQAB</v>
      </c>
      <c r="B973" s="2" t="s">
        <v>3384</v>
      </c>
      <c r="C973" s="2" t="s">
        <v>423</v>
      </c>
      <c r="D973" s="2" t="s">
        <v>2</v>
      </c>
      <c r="E973" s="2"/>
      <c r="F973" s="2">
        <v>0</v>
      </c>
      <c r="G973" s="2">
        <v>5</v>
      </c>
      <c r="H973" s="2">
        <v>10000</v>
      </c>
      <c r="I973" s="2">
        <v>0</v>
      </c>
      <c r="J973" s="2" t="s">
        <v>1779</v>
      </c>
      <c r="K973" s="2">
        <v>15</v>
      </c>
      <c r="L973" s="2">
        <v>0</v>
      </c>
      <c r="M973" s="2">
        <v>0</v>
      </c>
      <c r="N973" s="2">
        <v>10</v>
      </c>
      <c r="O973" s="2">
        <v>5</v>
      </c>
      <c r="P973" s="2">
        <v>0</v>
      </c>
      <c r="Q973" s="2" t="s">
        <v>3385</v>
      </c>
      <c r="R973" s="2" t="s">
        <v>3386</v>
      </c>
      <c r="S973" s="4">
        <v>44953</v>
      </c>
    </row>
    <row r="974" spans="1:19" ht="12.5" x14ac:dyDescent="0.25">
      <c r="A974" s="14" t="str">
        <f>HYPERLINK("https://gerandofalcoes.my.salesforce.com/0014X00002YggnXQAR", "0014X00002YggnXQAR")</f>
        <v>0014X00002YggnXQAR</v>
      </c>
      <c r="B974" s="2" t="s">
        <v>3387</v>
      </c>
      <c r="C974" s="2" t="s">
        <v>423</v>
      </c>
      <c r="D974" s="2" t="s">
        <v>2</v>
      </c>
      <c r="E974" s="2"/>
      <c r="F974" s="2">
        <v>4</v>
      </c>
      <c r="G974" s="2">
        <v>3</v>
      </c>
      <c r="H974" s="2">
        <v>120</v>
      </c>
      <c r="I974" s="2">
        <v>0</v>
      </c>
      <c r="J974" s="2" t="s">
        <v>1779</v>
      </c>
      <c r="K974" s="2">
        <v>18</v>
      </c>
      <c r="L974" s="2">
        <v>0</v>
      </c>
      <c r="M974" s="2">
        <v>5</v>
      </c>
      <c r="N974" s="2">
        <v>8</v>
      </c>
      <c r="O974" s="2">
        <v>5</v>
      </c>
      <c r="P974" s="2">
        <v>0</v>
      </c>
      <c r="Q974" s="2" t="s">
        <v>3388</v>
      </c>
      <c r="R974" s="2" t="s">
        <v>3388</v>
      </c>
      <c r="S974" s="4">
        <v>44953</v>
      </c>
    </row>
    <row r="975" spans="1:19" ht="12.5" x14ac:dyDescent="0.25">
      <c r="A975" s="14" t="str">
        <f>HYPERLINK("https://gerandofalcoes.my.salesforce.com/0014X00002YggomQAB", "0014X00002YggomQAB")</f>
        <v>0014X00002YggomQAB</v>
      </c>
      <c r="B975" s="2" t="s">
        <v>3768</v>
      </c>
      <c r="C975" s="2" t="s">
        <v>423</v>
      </c>
      <c r="D975" s="2" t="s">
        <v>2</v>
      </c>
      <c r="E975" s="2"/>
      <c r="F975" s="2">
        <v>0</v>
      </c>
      <c r="G975" s="2">
        <v>3</v>
      </c>
      <c r="H975" s="2">
        <v>44682</v>
      </c>
      <c r="I975" s="2">
        <v>0</v>
      </c>
      <c r="J975" s="2" t="s">
        <v>1779</v>
      </c>
      <c r="K975" s="2">
        <v>18</v>
      </c>
      <c r="L975" s="2">
        <v>0</v>
      </c>
      <c r="M975" s="2">
        <v>0</v>
      </c>
      <c r="N975" s="2">
        <v>8</v>
      </c>
      <c r="O975" s="2">
        <v>10</v>
      </c>
      <c r="P975" s="2">
        <v>0</v>
      </c>
      <c r="Q975" s="2" t="s">
        <v>3769</v>
      </c>
      <c r="R975" s="2" t="s">
        <v>3770</v>
      </c>
      <c r="S975" s="4">
        <v>44967</v>
      </c>
    </row>
    <row r="976" spans="1:19" ht="12.5" x14ac:dyDescent="0.25">
      <c r="A976" s="14" t="str">
        <f>HYPERLINK("https://gerandofalcoes.my.salesforce.com/0014X00002YggnGQAR", "0014X00002YggnGQAR")</f>
        <v>0014X00002YggnGQAR</v>
      </c>
      <c r="B976" s="2" t="s">
        <v>3173</v>
      </c>
      <c r="C976" s="2" t="s">
        <v>423</v>
      </c>
      <c r="D976" s="2" t="s">
        <v>2</v>
      </c>
      <c r="E976" s="2"/>
      <c r="F976" s="2">
        <v>0</v>
      </c>
      <c r="G976" s="2">
        <v>3</v>
      </c>
      <c r="H976" s="2">
        <v>10000</v>
      </c>
      <c r="I976" s="2">
        <v>0</v>
      </c>
      <c r="J976" s="2" t="s">
        <v>1779</v>
      </c>
      <c r="K976" s="2">
        <v>13</v>
      </c>
      <c r="L976" s="2">
        <v>0</v>
      </c>
      <c r="M976" s="2">
        <v>0</v>
      </c>
      <c r="N976" s="2">
        <v>8</v>
      </c>
      <c r="O976" s="2">
        <v>5</v>
      </c>
      <c r="P976" s="2">
        <v>0</v>
      </c>
      <c r="Q976" s="2" t="s">
        <v>3174</v>
      </c>
      <c r="R976" s="2" t="s">
        <v>3175</v>
      </c>
      <c r="S976" s="4">
        <v>44950</v>
      </c>
    </row>
    <row r="977" spans="1:19" ht="12.5" x14ac:dyDescent="0.25">
      <c r="A977" s="14" t="str">
        <f>HYPERLINK("https://gerandofalcoes.my.salesforce.com/0014X00002YggiUQAR", "0014X00002YggiUQAR")</f>
        <v>0014X00002YggiUQAR</v>
      </c>
      <c r="B977" s="2" t="s">
        <v>3230</v>
      </c>
      <c r="C977" s="2" t="s">
        <v>423</v>
      </c>
      <c r="D977" s="2" t="s">
        <v>2</v>
      </c>
      <c r="E977" s="2"/>
      <c r="F977" s="2">
        <v>0</v>
      </c>
      <c r="G977" s="2">
        <v>3</v>
      </c>
      <c r="H977" s="2">
        <v>15000</v>
      </c>
      <c r="I977" s="2">
        <v>0</v>
      </c>
      <c r="J977" s="2" t="s">
        <v>1779</v>
      </c>
      <c r="K977" s="2">
        <v>13</v>
      </c>
      <c r="L977" s="2">
        <v>0</v>
      </c>
      <c r="M977" s="2">
        <v>0</v>
      </c>
      <c r="N977" s="2">
        <v>8</v>
      </c>
      <c r="O977" s="2">
        <v>5</v>
      </c>
      <c r="P977" s="2">
        <v>0</v>
      </c>
      <c r="Q977" s="2" t="s">
        <v>3231</v>
      </c>
      <c r="R977" s="2" t="s">
        <v>3231</v>
      </c>
      <c r="S977" s="4">
        <v>44951</v>
      </c>
    </row>
    <row r="978" spans="1:19" ht="12.5" x14ac:dyDescent="0.25">
      <c r="A978" s="14" t="str">
        <f>HYPERLINK("https://gerandofalcoes.my.salesforce.com/0014X00002YggpRQAR", "0014X00002YggpRQAR")</f>
        <v>0014X00002YggpRQAR</v>
      </c>
      <c r="B978" s="2" t="s">
        <v>3294</v>
      </c>
      <c r="C978" s="2" t="s">
        <v>423</v>
      </c>
      <c r="D978" s="2" t="s">
        <v>2</v>
      </c>
      <c r="E978" s="2"/>
      <c r="F978" s="2">
        <v>1</v>
      </c>
      <c r="G978" s="2">
        <v>3</v>
      </c>
      <c r="H978" s="2">
        <v>200000</v>
      </c>
      <c r="I978" s="2">
        <v>0</v>
      </c>
      <c r="J978" s="2" t="s">
        <v>1779</v>
      </c>
      <c r="K978" s="2">
        <v>28</v>
      </c>
      <c r="L978" s="2">
        <v>0</v>
      </c>
      <c r="M978" s="2">
        <v>5</v>
      </c>
      <c r="N978" s="2">
        <v>8</v>
      </c>
      <c r="O978" s="2">
        <v>15</v>
      </c>
      <c r="P978" s="2">
        <v>0</v>
      </c>
      <c r="Q978" s="2" t="s">
        <v>3295</v>
      </c>
      <c r="R978" s="2" t="s">
        <v>3295</v>
      </c>
      <c r="S978" s="4">
        <v>44952</v>
      </c>
    </row>
    <row r="979" spans="1:19" ht="12.5" x14ac:dyDescent="0.25">
      <c r="A979" s="14" t="str">
        <f>HYPERLINK("https://gerandofalcoes.my.salesforce.com/0014X00002bCkJzQAK", "0014X00002bCkJzQAK")</f>
        <v>0014X00002bCkJzQAK</v>
      </c>
      <c r="B979" s="2" t="s">
        <v>3296</v>
      </c>
      <c r="C979" s="2" t="s">
        <v>423</v>
      </c>
      <c r="D979" s="2" t="s">
        <v>2</v>
      </c>
      <c r="E979" s="2"/>
      <c r="F979" s="2">
        <v>25</v>
      </c>
      <c r="G979" s="2">
        <v>2</v>
      </c>
      <c r="H979" s="2">
        <v>1000000</v>
      </c>
      <c r="I979" s="2">
        <v>0</v>
      </c>
      <c r="J979" s="2" t="s">
        <v>1671</v>
      </c>
      <c r="K979" s="2">
        <v>43</v>
      </c>
      <c r="L979" s="2">
        <v>0</v>
      </c>
      <c r="M979" s="2">
        <v>12</v>
      </c>
      <c r="N979" s="2">
        <v>6</v>
      </c>
      <c r="O979" s="2">
        <v>25</v>
      </c>
      <c r="P979" s="2">
        <v>0</v>
      </c>
      <c r="Q979" s="2" t="s">
        <v>3297</v>
      </c>
      <c r="R979" s="2" t="s">
        <v>3298</v>
      </c>
      <c r="S979" s="4">
        <v>44952</v>
      </c>
    </row>
    <row r="980" spans="1:19" ht="12.5" x14ac:dyDescent="0.25">
      <c r="A980" s="14" t="str">
        <f>HYPERLINK("https://gerandofalcoes.my.salesforce.com/0014X00002YggmaQAB", "0014X00002YggmaQAB")</f>
        <v>0014X00002YggmaQAB</v>
      </c>
      <c r="B980" s="2" t="s">
        <v>3379</v>
      </c>
      <c r="C980" s="2" t="s">
        <v>423</v>
      </c>
      <c r="D980" s="2" t="s">
        <v>2</v>
      </c>
      <c r="E980" s="2"/>
      <c r="F980" s="2">
        <v>0</v>
      </c>
      <c r="G980" s="2">
        <v>2</v>
      </c>
      <c r="H980" s="2">
        <v>1000</v>
      </c>
      <c r="I980" s="2">
        <v>0</v>
      </c>
      <c r="J980" s="2" t="s">
        <v>1779</v>
      </c>
      <c r="K980" s="2">
        <v>11</v>
      </c>
      <c r="L980" s="2">
        <v>0</v>
      </c>
      <c r="M980" s="2">
        <v>0</v>
      </c>
      <c r="N980" s="2">
        <v>6</v>
      </c>
      <c r="O980" s="2">
        <v>5</v>
      </c>
      <c r="P980" s="2">
        <v>0</v>
      </c>
      <c r="Q980" s="2" t="s">
        <v>3380</v>
      </c>
      <c r="R980" s="2" t="s">
        <v>3380</v>
      </c>
      <c r="S980" s="4">
        <v>44953</v>
      </c>
    </row>
    <row r="981" spans="1:19" ht="12.5" x14ac:dyDescent="0.25">
      <c r="A981" s="14" t="str">
        <f>HYPERLINK("https://gerandofalcoes.my.salesforce.com/0014X00002YggqDQAR", "0014X00002YggqDQAR")</f>
        <v>0014X00002YggqDQAR</v>
      </c>
      <c r="B981" s="2" t="s">
        <v>3381</v>
      </c>
      <c r="C981" s="2" t="s">
        <v>423</v>
      </c>
      <c r="D981" s="2" t="s">
        <v>2</v>
      </c>
      <c r="E981" s="2"/>
      <c r="F981" s="2">
        <v>0</v>
      </c>
      <c r="G981" s="2">
        <v>3</v>
      </c>
      <c r="H981" s="2">
        <v>50000</v>
      </c>
      <c r="I981" s="2">
        <v>0</v>
      </c>
      <c r="J981" s="2" t="s">
        <v>1779</v>
      </c>
      <c r="K981" s="2">
        <v>18</v>
      </c>
      <c r="L981" s="2">
        <v>0</v>
      </c>
      <c r="M981" s="2">
        <v>0</v>
      </c>
      <c r="N981" s="2">
        <v>8</v>
      </c>
      <c r="O981" s="2">
        <v>10</v>
      </c>
      <c r="P981" s="2">
        <v>0</v>
      </c>
      <c r="Q981" s="2" t="s">
        <v>3382</v>
      </c>
      <c r="R981" s="2" t="s">
        <v>3383</v>
      </c>
      <c r="S981" s="4">
        <v>44953</v>
      </c>
    </row>
    <row r="982" spans="1:19" ht="12.5" x14ac:dyDescent="0.25">
      <c r="A982" s="14" t="str">
        <f>HYPERLINK("https://gerandofalcoes.my.salesforce.com/0014X00002Yggk2QAB", "0014X00002Yggk2QAB")</f>
        <v>0014X00002Yggk2QAB</v>
      </c>
      <c r="B982" s="2" t="s">
        <v>3389</v>
      </c>
      <c r="C982" s="2" t="s">
        <v>423</v>
      </c>
      <c r="D982" s="2" t="s">
        <v>2</v>
      </c>
      <c r="E982" s="2"/>
      <c r="F982" s="2">
        <v>0</v>
      </c>
      <c r="G982" s="2">
        <v>3</v>
      </c>
      <c r="H982" s="2">
        <v>0</v>
      </c>
      <c r="I982" s="2">
        <v>0</v>
      </c>
      <c r="J982" s="2" t="s">
        <v>1779</v>
      </c>
      <c r="K982" s="2">
        <v>8</v>
      </c>
      <c r="L982" s="2">
        <v>0</v>
      </c>
      <c r="M982" s="2">
        <v>0</v>
      </c>
      <c r="N982" s="2">
        <v>8</v>
      </c>
      <c r="O982" s="2">
        <v>0</v>
      </c>
      <c r="P982" s="2">
        <v>0</v>
      </c>
      <c r="Q982" s="2" t="s">
        <v>3390</v>
      </c>
      <c r="R982" s="2" t="s">
        <v>3391</v>
      </c>
      <c r="S982" s="4">
        <v>44953</v>
      </c>
    </row>
    <row r="983" spans="1:19" ht="12.5" hidden="1" x14ac:dyDescent="0.25">
      <c r="A983" s="14" t="str">
        <f>HYPERLINK("https://gerandofalcoes.my.salesforce.com/0014X00002bFKFnQAO", "0014X00002bFKFnQAO")</f>
        <v>0014X00002bFKFnQAO</v>
      </c>
      <c r="B983" s="2" t="s">
        <v>3605</v>
      </c>
      <c r="C983" s="2" t="s">
        <v>1684</v>
      </c>
      <c r="D983" s="2" t="s">
        <v>2</v>
      </c>
      <c r="E983" s="2"/>
      <c r="F983" s="2">
        <v>0</v>
      </c>
      <c r="G983" s="2">
        <v>0</v>
      </c>
      <c r="H983" s="2">
        <v>0</v>
      </c>
      <c r="I983" s="2">
        <v>0</v>
      </c>
      <c r="J983" s="2"/>
      <c r="K983" s="2">
        <v>0</v>
      </c>
      <c r="L983" s="2">
        <v>0</v>
      </c>
      <c r="M983" s="2">
        <v>0</v>
      </c>
      <c r="N983" s="2">
        <v>0</v>
      </c>
      <c r="O983" s="2">
        <v>0</v>
      </c>
      <c r="P983" s="2">
        <v>0</v>
      </c>
      <c r="Q983" s="2" t="s">
        <v>3606</v>
      </c>
      <c r="R983" s="2"/>
      <c r="S983" s="4">
        <v>44962</v>
      </c>
    </row>
    <row r="984" spans="1:19" ht="12.5" x14ac:dyDescent="0.25">
      <c r="A984" s="14" t="str">
        <f>HYPERLINK("https://gerandofalcoes.my.salesforce.com/0014X00002YggkzQAB", "0014X00002YggkzQAB")</f>
        <v>0014X00002YggkzQAB</v>
      </c>
      <c r="B984" s="2" t="s">
        <v>3637</v>
      </c>
      <c r="C984" s="2" t="s">
        <v>423</v>
      </c>
      <c r="D984" s="2" t="s">
        <v>2</v>
      </c>
      <c r="E984" s="2"/>
      <c r="F984" s="2">
        <v>0</v>
      </c>
      <c r="G984" s="2">
        <v>3</v>
      </c>
      <c r="H984" s="2">
        <v>3410</v>
      </c>
      <c r="I984" s="2">
        <v>0</v>
      </c>
      <c r="J984" s="2" t="s">
        <v>1779</v>
      </c>
      <c r="K984" s="2">
        <v>13</v>
      </c>
      <c r="L984" s="2">
        <v>0</v>
      </c>
      <c r="M984" s="2">
        <v>0</v>
      </c>
      <c r="N984" s="2">
        <v>8</v>
      </c>
      <c r="O984" s="2">
        <v>5</v>
      </c>
      <c r="P984" s="2">
        <v>0</v>
      </c>
      <c r="Q984" s="2" t="s">
        <v>3638</v>
      </c>
      <c r="R984" s="2" t="s">
        <v>3639</v>
      </c>
      <c r="S984" s="4">
        <v>44963</v>
      </c>
    </row>
    <row r="985" spans="1:19" ht="12.5" hidden="1" x14ac:dyDescent="0.25">
      <c r="A985" s="14" t="str">
        <f>HYPERLINK("https://gerandofalcoes.my.salesforce.com/0014X00002YgggUQAR", "0014X00002YgggUQAR")</f>
        <v>0014X00002YgggUQAR</v>
      </c>
      <c r="B985" s="2" t="s">
        <v>3640</v>
      </c>
      <c r="C985" s="2" t="s">
        <v>1684</v>
      </c>
      <c r="D985" s="2" t="s">
        <v>2</v>
      </c>
      <c r="E985" s="2"/>
      <c r="F985" s="2">
        <v>0</v>
      </c>
      <c r="G985" s="2">
        <v>2</v>
      </c>
      <c r="H985" s="2">
        <v>45000</v>
      </c>
      <c r="I985" s="2">
        <v>0</v>
      </c>
      <c r="J985" s="2"/>
      <c r="K985" s="2">
        <v>16</v>
      </c>
      <c r="L985" s="2">
        <v>0</v>
      </c>
      <c r="M985" s="2">
        <v>0</v>
      </c>
      <c r="N985" s="2">
        <v>6</v>
      </c>
      <c r="O985" s="2">
        <v>10</v>
      </c>
      <c r="P985" s="2">
        <v>0</v>
      </c>
      <c r="Q985" s="2" t="s">
        <v>3641</v>
      </c>
      <c r="R985" s="2" t="s">
        <v>3641</v>
      </c>
      <c r="S985" s="4">
        <v>44963</v>
      </c>
    </row>
    <row r="986" spans="1:19" ht="12.5" x14ac:dyDescent="0.25">
      <c r="A986" s="14" t="str">
        <f>HYPERLINK("https://gerandofalcoes.my.salesforce.com/0014X00002YggoBQAR", "0014X00002YggoBQAR")</f>
        <v>0014X00002YggoBQAR</v>
      </c>
      <c r="B986" s="2" t="s">
        <v>3642</v>
      </c>
      <c r="C986" s="2" t="s">
        <v>423</v>
      </c>
      <c r="D986" s="2" t="s">
        <v>2</v>
      </c>
      <c r="E986" s="2"/>
      <c r="F986" s="2">
        <v>0</v>
      </c>
      <c r="G986" s="2">
        <v>3</v>
      </c>
      <c r="H986" s="2">
        <v>1200</v>
      </c>
      <c r="I986" s="2">
        <v>0</v>
      </c>
      <c r="J986" s="2" t="s">
        <v>1779</v>
      </c>
      <c r="K986" s="2">
        <v>13</v>
      </c>
      <c r="L986" s="2">
        <v>0</v>
      </c>
      <c r="M986" s="2">
        <v>0</v>
      </c>
      <c r="N986" s="2">
        <v>8</v>
      </c>
      <c r="O986" s="2">
        <v>5</v>
      </c>
      <c r="P986" s="2">
        <v>0</v>
      </c>
      <c r="Q986" s="2" t="s">
        <v>3643</v>
      </c>
      <c r="R986" s="2" t="s">
        <v>3643</v>
      </c>
      <c r="S986" s="4">
        <v>44963</v>
      </c>
    </row>
    <row r="987" spans="1:19" ht="12.5" x14ac:dyDescent="0.25">
      <c r="A987" s="14" t="str">
        <f>HYPERLINK("https://gerandofalcoes.my.salesforce.com/0014X00002YggjFQAR", "0014X00002YggjFQAR")</f>
        <v>0014X00002YggjFQAR</v>
      </c>
      <c r="B987" s="2" t="s">
        <v>3686</v>
      </c>
      <c r="C987" s="2" t="s">
        <v>423</v>
      </c>
      <c r="D987" s="2" t="s">
        <v>2</v>
      </c>
      <c r="E987" s="2"/>
      <c r="F987" s="2">
        <v>0</v>
      </c>
      <c r="G987" s="2">
        <v>2</v>
      </c>
      <c r="H987" s="2">
        <v>0</v>
      </c>
      <c r="I987" s="2">
        <v>0</v>
      </c>
      <c r="J987" s="2" t="s">
        <v>1779</v>
      </c>
      <c r="K987" s="2">
        <v>6</v>
      </c>
      <c r="L987" s="2">
        <v>0</v>
      </c>
      <c r="M987" s="2">
        <v>0</v>
      </c>
      <c r="N987" s="2">
        <v>6</v>
      </c>
      <c r="O987" s="2">
        <v>0</v>
      </c>
      <c r="P987" s="2">
        <v>0</v>
      </c>
      <c r="Q987" s="2" t="s">
        <v>3687</v>
      </c>
      <c r="R987" s="2" t="s">
        <v>3688</v>
      </c>
      <c r="S987" s="4">
        <v>44964</v>
      </c>
    </row>
    <row r="988" spans="1:19" ht="12.5" x14ac:dyDescent="0.25">
      <c r="A988" s="14" t="str">
        <f>HYPERLINK("https://gerandofalcoes.my.salesforce.com/0014X00002YgghUQAR", "0014X00002YgghUQAR")</f>
        <v>0014X00002YgghUQAR</v>
      </c>
      <c r="B988" s="2" t="s">
        <v>3771</v>
      </c>
      <c r="C988" s="2" t="s">
        <v>423</v>
      </c>
      <c r="D988" s="2" t="s">
        <v>2</v>
      </c>
      <c r="E988" s="2"/>
      <c r="F988" s="2">
        <v>10</v>
      </c>
      <c r="G988" s="2">
        <v>4</v>
      </c>
      <c r="H988" s="2">
        <v>1600</v>
      </c>
      <c r="I988" s="2">
        <v>0</v>
      </c>
      <c r="J988" s="2" t="s">
        <v>1779</v>
      </c>
      <c r="K988" s="2">
        <v>25</v>
      </c>
      <c r="L988" s="2">
        <v>0</v>
      </c>
      <c r="M988" s="2">
        <v>10</v>
      </c>
      <c r="N988" s="2">
        <v>10</v>
      </c>
      <c r="O988" s="2">
        <v>5</v>
      </c>
      <c r="P988" s="2">
        <v>0</v>
      </c>
      <c r="Q988" s="2" t="s">
        <v>3772</v>
      </c>
      <c r="R988" s="2" t="s">
        <v>3772</v>
      </c>
      <c r="S988" s="4">
        <v>44967</v>
      </c>
    </row>
    <row r="989" spans="1:19" ht="12.5" hidden="1" x14ac:dyDescent="0.25">
      <c r="A989" s="14" t="str">
        <f>HYPERLINK("https://gerandofalcoes.my.salesforce.com/0014P00003SGWQIQA5", "0014P00003SGWQIQA5")</f>
        <v>0014P00003SGWQIQA5</v>
      </c>
      <c r="B989" s="2" t="s">
        <v>2992</v>
      </c>
      <c r="C989" s="2" t="s">
        <v>1684</v>
      </c>
      <c r="D989" s="2" t="s">
        <v>2</v>
      </c>
      <c r="E989" s="2"/>
      <c r="F989" s="2">
        <v>0</v>
      </c>
      <c r="G989" s="2">
        <v>2</v>
      </c>
      <c r="H989" s="2">
        <v>20000</v>
      </c>
      <c r="I989" s="2">
        <v>0</v>
      </c>
      <c r="J989" s="2" t="s">
        <v>1779</v>
      </c>
      <c r="K989" s="2">
        <v>11</v>
      </c>
      <c r="L989" s="2">
        <v>0</v>
      </c>
      <c r="M989" s="2">
        <v>0</v>
      </c>
      <c r="N989" s="2">
        <v>6</v>
      </c>
      <c r="O989" s="2">
        <v>5</v>
      </c>
      <c r="P989" s="2">
        <v>0</v>
      </c>
      <c r="Q989" s="2" t="s">
        <v>2993</v>
      </c>
      <c r="R989" s="2" t="s">
        <v>2994</v>
      </c>
      <c r="S989" s="4">
        <v>44837</v>
      </c>
    </row>
    <row r="990" spans="1:19" ht="12.5" x14ac:dyDescent="0.25">
      <c r="A990" s="14" t="str">
        <f>HYPERLINK("https://gerandofalcoes.my.salesforce.com/0014X00002YgbkqQAB", "0014X00002YgbkqQAB")</f>
        <v>0014X00002YgbkqQAB</v>
      </c>
      <c r="B990" s="2" t="s">
        <v>3773</v>
      </c>
      <c r="C990" s="2" t="s">
        <v>423</v>
      </c>
      <c r="D990" s="2" t="s">
        <v>2</v>
      </c>
      <c r="E990" s="2"/>
      <c r="F990" s="2">
        <v>0</v>
      </c>
      <c r="G990" s="2">
        <v>0</v>
      </c>
      <c r="H990" s="2">
        <v>0</v>
      </c>
      <c r="I990" s="2">
        <v>0</v>
      </c>
      <c r="J990" s="2" t="s">
        <v>1779</v>
      </c>
      <c r="K990" s="2">
        <v>0</v>
      </c>
      <c r="L990" s="2">
        <v>0</v>
      </c>
      <c r="M990" s="2">
        <v>0</v>
      </c>
      <c r="N990" s="2">
        <v>0</v>
      </c>
      <c r="O990" s="2">
        <v>0</v>
      </c>
      <c r="P990" s="2">
        <v>0</v>
      </c>
      <c r="Q990" s="2" t="s">
        <v>3774</v>
      </c>
      <c r="R990" s="2" t="s">
        <v>3774</v>
      </c>
      <c r="S990" s="4">
        <v>44967</v>
      </c>
    </row>
    <row r="991" spans="1:19" ht="12.5" x14ac:dyDescent="0.25">
      <c r="A991" s="14" t="str">
        <f>HYPERLINK("https://gerandofalcoes.my.salesforce.com/0014X00002YgbkWQAR", "0014X00002YgbkWQAR")</f>
        <v>0014X00002YgbkWQAR</v>
      </c>
      <c r="B991" s="2" t="s">
        <v>3821</v>
      </c>
      <c r="C991" s="2" t="s">
        <v>423</v>
      </c>
      <c r="D991" s="2" t="s">
        <v>2</v>
      </c>
      <c r="E991" s="2"/>
      <c r="F991" s="2">
        <v>0</v>
      </c>
      <c r="G991" s="2">
        <v>0</v>
      </c>
      <c r="H991" s="2">
        <v>0</v>
      </c>
      <c r="I991" s="2">
        <v>0</v>
      </c>
      <c r="J991" s="2" t="s">
        <v>1779</v>
      </c>
      <c r="K991" s="2">
        <v>0</v>
      </c>
      <c r="L991" s="2">
        <v>0</v>
      </c>
      <c r="M991" s="2">
        <v>0</v>
      </c>
      <c r="N991" s="2">
        <v>0</v>
      </c>
      <c r="O991" s="2">
        <v>0</v>
      </c>
      <c r="P991" s="2">
        <v>0</v>
      </c>
      <c r="Q991" s="2" t="s">
        <v>3822</v>
      </c>
      <c r="R991" s="2" t="s">
        <v>3822</v>
      </c>
      <c r="S991" s="4">
        <v>45001</v>
      </c>
    </row>
    <row r="992" spans="1:19" ht="12.5" x14ac:dyDescent="0.25">
      <c r="A992" s="14" t="str">
        <f>HYPERLINK("https://gerandofalcoes.my.salesforce.com/0014X00002UGscXQAT", "0014X00002UGscXQAT")</f>
        <v>0014X00002UGscXQAT</v>
      </c>
      <c r="B992" s="2" t="s">
        <v>2995</v>
      </c>
      <c r="C992" s="2" t="s">
        <v>1800</v>
      </c>
      <c r="D992" s="2" t="s">
        <v>2</v>
      </c>
      <c r="E992" s="2"/>
      <c r="F992" s="2">
        <v>2</v>
      </c>
      <c r="G992" s="2">
        <v>2</v>
      </c>
      <c r="H992" s="2">
        <v>1000</v>
      </c>
      <c r="I992" s="2">
        <v>0</v>
      </c>
      <c r="J992" s="2" t="s">
        <v>1779</v>
      </c>
      <c r="K992" s="2">
        <v>16</v>
      </c>
      <c r="L992" s="2">
        <v>0</v>
      </c>
      <c r="M992" s="2">
        <v>5</v>
      </c>
      <c r="N992" s="2">
        <v>6</v>
      </c>
      <c r="O992" s="2">
        <v>5</v>
      </c>
      <c r="P992" s="2">
        <v>0</v>
      </c>
      <c r="Q992" s="2" t="s">
        <v>2996</v>
      </c>
      <c r="R992" s="2" t="s">
        <v>2997</v>
      </c>
      <c r="S992" s="4">
        <v>44837</v>
      </c>
    </row>
    <row r="993" spans="1:19" ht="12.5" hidden="1" x14ac:dyDescent="0.25">
      <c r="A993" s="14" t="str">
        <f>HYPERLINK("https://gerandofalcoes.my.salesforce.com/0014P00003SGWPNQA5", "0014P00003SGWPNQA5")</f>
        <v>0014P00003SGWPNQA5</v>
      </c>
      <c r="B993" s="2" t="s">
        <v>2998</v>
      </c>
      <c r="C993" s="2" t="s">
        <v>1684</v>
      </c>
      <c r="D993" s="2" t="s">
        <v>2</v>
      </c>
      <c r="E993" s="2"/>
      <c r="F993" s="2">
        <v>0</v>
      </c>
      <c r="G993" s="2">
        <v>1</v>
      </c>
      <c r="H993" s="2">
        <v>6000</v>
      </c>
      <c r="I993" s="2">
        <v>0</v>
      </c>
      <c r="J993" s="2" t="s">
        <v>1779</v>
      </c>
      <c r="K993" s="2">
        <v>9</v>
      </c>
      <c r="L993" s="2">
        <v>0</v>
      </c>
      <c r="M993" s="2">
        <v>0</v>
      </c>
      <c r="N993" s="2">
        <v>4</v>
      </c>
      <c r="O993" s="2">
        <v>5</v>
      </c>
      <c r="P993" s="2">
        <v>0</v>
      </c>
      <c r="Q993" s="2" t="s">
        <v>359</v>
      </c>
      <c r="R993" s="2" t="s">
        <v>359</v>
      </c>
      <c r="S993" s="4">
        <v>44837</v>
      </c>
    </row>
    <row r="994" spans="1:19" ht="12.5" hidden="1" x14ac:dyDescent="0.25">
      <c r="A994" s="14" t="str">
        <f>HYPERLINK("https://gerandofalcoes.my.salesforce.com/0014P00003SGWPwQAP", "0014P00003SGWPwQAP")</f>
        <v>0014P00003SGWPwQAP</v>
      </c>
      <c r="B994" s="2" t="s">
        <v>2999</v>
      </c>
      <c r="C994" s="2" t="s">
        <v>1684</v>
      </c>
      <c r="D994" s="2" t="s">
        <v>2</v>
      </c>
      <c r="E994" s="2"/>
      <c r="F994" s="2">
        <v>0</v>
      </c>
      <c r="G994" s="2">
        <v>1</v>
      </c>
      <c r="H994" s="2">
        <v>0</v>
      </c>
      <c r="I994" s="2">
        <v>0</v>
      </c>
      <c r="J994" s="2" t="s">
        <v>1779</v>
      </c>
      <c r="K994" s="2">
        <v>4</v>
      </c>
      <c r="L994" s="2">
        <v>0</v>
      </c>
      <c r="M994" s="2">
        <v>0</v>
      </c>
      <c r="N994" s="2">
        <v>4</v>
      </c>
      <c r="O994" s="2">
        <v>0</v>
      </c>
      <c r="P994" s="2">
        <v>0</v>
      </c>
      <c r="Q994" s="2" t="s">
        <v>193</v>
      </c>
      <c r="R994" s="2" t="s">
        <v>1095</v>
      </c>
      <c r="S994" s="4">
        <v>44837</v>
      </c>
    </row>
    <row r="995" spans="1:19" ht="12.5" x14ac:dyDescent="0.25">
      <c r="A995" s="14" t="str">
        <f>HYPERLINK("https://gerandofalcoes.my.salesforce.com/0014X00002YggjiQAB", "0014X00002YggjiQAB")</f>
        <v>0014X00002YggjiQAB</v>
      </c>
      <c r="B995" s="2" t="s">
        <v>3892</v>
      </c>
      <c r="C995" s="2" t="s">
        <v>423</v>
      </c>
      <c r="D995" s="2" t="s">
        <v>2</v>
      </c>
      <c r="E995" s="2"/>
      <c r="F995" s="2">
        <v>0</v>
      </c>
      <c r="G995" s="2">
        <v>2</v>
      </c>
      <c r="H995" s="2">
        <v>100000</v>
      </c>
      <c r="I995" s="2">
        <v>0</v>
      </c>
      <c r="J995" s="2" t="s">
        <v>1779</v>
      </c>
      <c r="K995" s="2">
        <v>21</v>
      </c>
      <c r="L995" s="2">
        <v>0</v>
      </c>
      <c r="M995" s="2">
        <v>0</v>
      </c>
      <c r="N995" s="2">
        <v>6</v>
      </c>
      <c r="O995" s="2">
        <v>15</v>
      </c>
      <c r="P995" s="2">
        <v>0</v>
      </c>
      <c r="Q995" s="2" t="s">
        <v>3893</v>
      </c>
      <c r="R995" s="2" t="s">
        <v>3894</v>
      </c>
      <c r="S995" s="4">
        <v>45112</v>
      </c>
    </row>
    <row r="996" spans="1:19" ht="12.5" x14ac:dyDescent="0.25">
      <c r="A996" s="14" t="str">
        <f>HYPERLINK("https://gerandofalcoes.my.salesforce.com/0014X00002YggntQAB", "0014X00002YggntQAB")</f>
        <v>0014X00002YggntQAB</v>
      </c>
      <c r="B996" s="2" t="s">
        <v>3109</v>
      </c>
      <c r="C996" s="2" t="s">
        <v>423</v>
      </c>
      <c r="D996" s="2" t="s">
        <v>2</v>
      </c>
      <c r="E996" s="2"/>
      <c r="F996" s="2">
        <v>0</v>
      </c>
      <c r="G996" s="2">
        <v>2</v>
      </c>
      <c r="H996" s="2">
        <v>40000</v>
      </c>
      <c r="I996" s="2">
        <v>0</v>
      </c>
      <c r="J996" s="2" t="s">
        <v>1779</v>
      </c>
      <c r="K996" s="2">
        <v>16</v>
      </c>
      <c r="L996" s="2">
        <v>0</v>
      </c>
      <c r="M996" s="2">
        <v>0</v>
      </c>
      <c r="N996" s="2">
        <v>6</v>
      </c>
      <c r="O996" s="2">
        <v>10</v>
      </c>
      <c r="P996" s="2">
        <v>0</v>
      </c>
      <c r="Q996" s="2" t="s">
        <v>3110</v>
      </c>
      <c r="R996" s="2" t="s">
        <v>3110</v>
      </c>
      <c r="S996" s="4">
        <v>44948</v>
      </c>
    </row>
    <row r="997" spans="1:19" ht="12.5" x14ac:dyDescent="0.25">
      <c r="A997" s="14" t="str">
        <f>HYPERLINK("https://gerandofalcoes.my.salesforce.com/0014X00002Yggj9QAB", "0014X00002Yggj9QAB")</f>
        <v>0014X00002Yggj9QAB</v>
      </c>
      <c r="B997" s="2" t="s">
        <v>3090</v>
      </c>
      <c r="C997" s="2" t="s">
        <v>423</v>
      </c>
      <c r="D997" s="2" t="s">
        <v>2</v>
      </c>
      <c r="E997" s="2"/>
      <c r="F997" s="2">
        <v>30</v>
      </c>
      <c r="G997" s="2">
        <v>3</v>
      </c>
      <c r="H997" s="2">
        <v>1200000</v>
      </c>
      <c r="I997" s="2">
        <v>0</v>
      </c>
      <c r="J997" s="2" t="s">
        <v>1671</v>
      </c>
      <c r="K997" s="2">
        <v>45</v>
      </c>
      <c r="L997" s="2">
        <v>0</v>
      </c>
      <c r="M997" s="2">
        <v>12</v>
      </c>
      <c r="N997" s="2">
        <v>8</v>
      </c>
      <c r="O997" s="2">
        <v>25</v>
      </c>
      <c r="P997" s="2">
        <v>0</v>
      </c>
      <c r="Q997" s="2" t="s">
        <v>3091</v>
      </c>
      <c r="R997" s="2" t="s">
        <v>3092</v>
      </c>
      <c r="S997" s="4">
        <v>44946</v>
      </c>
    </row>
    <row r="998" spans="1:19" ht="12.5" hidden="1" x14ac:dyDescent="0.25"/>
    <row r="999" spans="1:19" ht="12.5" hidden="1" x14ac:dyDescent="0.25"/>
    <row r="1000" spans="1:19" ht="12.5" hidden="1" x14ac:dyDescent="0.25"/>
  </sheetData>
  <autoFilter ref="A2:S1000" xr:uid="{00000000-0009-0000-0000-000006000000}">
    <filterColumn colId="2">
      <filters>
        <filter val="Ativo"/>
        <filter val="Afastado"/>
      </filters>
    </filterColumn>
    <sortState xmlns:xlrd2="http://schemas.microsoft.com/office/spreadsheetml/2017/richdata2" ref="A2:S1000">
      <sortCondition descending="1" ref="E2:E1000"/>
      <sortCondition descending="1" ref="I2:I1000"/>
    </sortState>
  </autoFilter>
  <customSheetViews>
    <customSheetView guid="{0544E540-745C-4D0A-9B44-D3C5D649D1DA}" filter="1" showAutoFilter="1">
      <pageMargins left="0.511811024" right="0.511811024" top="0.78740157499999996" bottom="0.78740157499999996" header="0.31496062000000002" footer="0.31496062000000002"/>
      <autoFilter ref="A1:S934" xr:uid="{2D3D0E33-B153-4A4F-A85F-0AB103FF5A32}"/>
    </customSheetView>
  </customSheetViews>
  <pageMargins left="0.511811024" right="0.511811024" top="0.78740157499999996" bottom="0.78740157499999996" header="0.31496062000000002" footer="0.31496062000000002"/>
  <pageSetup paperSize="9" orientation="portrait" verticalDpi="597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>
    <tabColor rgb="FF00B0B0"/>
    <outlinePr summaryBelow="0" summaryRight="0"/>
  </sheetPr>
  <dimension ref="A1:Z1000"/>
  <sheetViews>
    <sheetView workbookViewId="0">
      <pane ySplit="2" topLeftCell="A3" activePane="bottomLeft" state="frozen"/>
      <selection pane="bottomLeft" activeCell="B4" sqref="B4"/>
    </sheetView>
  </sheetViews>
  <sheetFormatPr defaultColWidth="12.6328125" defaultRowHeight="15.75" customHeight="1" x14ac:dyDescent="0.25"/>
  <cols>
    <col min="1" max="1" width="20.08984375" customWidth="1"/>
    <col min="2" max="2" width="37.6328125" customWidth="1"/>
    <col min="3" max="3" width="13.08984375" customWidth="1"/>
    <col min="4" max="4" width="16.08984375" customWidth="1"/>
    <col min="5" max="5" width="14.08984375" customWidth="1"/>
    <col min="6" max="6" width="17.08984375" customWidth="1"/>
    <col min="7" max="8" width="19.08984375" customWidth="1"/>
    <col min="9" max="9" width="14.08984375" customWidth="1"/>
    <col min="10" max="10" width="16.36328125" customWidth="1"/>
    <col min="11" max="11" width="11.08984375" customWidth="1"/>
    <col min="12" max="12" width="18.08984375" customWidth="1"/>
    <col min="13" max="13" width="21.08984375" customWidth="1"/>
    <col min="14" max="15" width="23.08984375" customWidth="1"/>
    <col min="16" max="16" width="18.08984375" customWidth="1"/>
    <col min="17" max="18" width="37.6328125" customWidth="1"/>
    <col min="19" max="19" width="30.08984375" customWidth="1"/>
  </cols>
  <sheetData>
    <row r="1" spans="1:26" ht="33.75" customHeight="1" x14ac:dyDescent="0.25">
      <c r="A1" s="17" t="s">
        <v>7151</v>
      </c>
      <c r="B1" s="17" t="s">
        <v>1632</v>
      </c>
      <c r="C1" s="17" t="s">
        <v>1632</v>
      </c>
      <c r="D1" s="17" t="s">
        <v>1632</v>
      </c>
      <c r="E1" s="17" t="s">
        <v>1632</v>
      </c>
      <c r="F1" s="17" t="s">
        <v>1632</v>
      </c>
      <c r="G1" s="17" t="s">
        <v>1632</v>
      </c>
      <c r="H1" s="17" t="s">
        <v>1632</v>
      </c>
      <c r="I1" s="17" t="s">
        <v>1632</v>
      </c>
      <c r="J1" s="17" t="s">
        <v>1632</v>
      </c>
      <c r="K1" s="17" t="s">
        <v>1632</v>
      </c>
      <c r="L1" s="17" t="s">
        <v>1632</v>
      </c>
      <c r="M1" s="17" t="s">
        <v>1632</v>
      </c>
      <c r="N1" s="17" t="s">
        <v>1632</v>
      </c>
      <c r="O1" s="17" t="s">
        <v>1632</v>
      </c>
      <c r="P1" s="17" t="s">
        <v>1632</v>
      </c>
      <c r="Q1" s="17" t="s">
        <v>1632</v>
      </c>
      <c r="R1" s="17" t="s">
        <v>1632</v>
      </c>
      <c r="S1" s="17" t="s">
        <v>1632</v>
      </c>
      <c r="T1" s="17"/>
      <c r="U1" s="17"/>
      <c r="V1" s="17"/>
      <c r="W1" s="17"/>
      <c r="X1" s="17"/>
      <c r="Y1" s="17"/>
      <c r="Z1" s="17"/>
    </row>
    <row r="2" spans="1:26" ht="22.5" customHeight="1" x14ac:dyDescent="0.25">
      <c r="A2" s="15" t="s">
        <v>1633</v>
      </c>
      <c r="B2" s="15" t="s">
        <v>1634</v>
      </c>
      <c r="C2" s="15" t="s">
        <v>1635</v>
      </c>
      <c r="D2" s="15" t="s">
        <v>0</v>
      </c>
      <c r="E2" s="15" t="s">
        <v>1636</v>
      </c>
      <c r="F2" s="15" t="s">
        <v>1637</v>
      </c>
      <c r="G2" s="15" t="s">
        <v>1638</v>
      </c>
      <c r="H2" s="15" t="s">
        <v>1639</v>
      </c>
      <c r="I2" s="15" t="s">
        <v>1640</v>
      </c>
      <c r="J2" s="15" t="s">
        <v>1625</v>
      </c>
      <c r="K2" s="15" t="s">
        <v>1641</v>
      </c>
      <c r="L2" s="15" t="s">
        <v>1642</v>
      </c>
      <c r="M2" s="15" t="s">
        <v>1643</v>
      </c>
      <c r="N2" s="15" t="s">
        <v>1644</v>
      </c>
      <c r="O2" s="15" t="s">
        <v>1645</v>
      </c>
      <c r="P2" s="15" t="s">
        <v>1646</v>
      </c>
      <c r="Q2" s="15" t="s">
        <v>1647</v>
      </c>
      <c r="R2" s="15" t="s">
        <v>387</v>
      </c>
      <c r="S2" s="15" t="s">
        <v>1648</v>
      </c>
      <c r="T2" s="16"/>
      <c r="U2" s="16"/>
      <c r="V2" s="16"/>
      <c r="W2" s="16"/>
      <c r="X2" s="16"/>
      <c r="Y2" s="16"/>
      <c r="Z2" s="16"/>
    </row>
    <row r="3" spans="1:26" ht="12.5" x14ac:dyDescent="0.25">
      <c r="A3" s="14" t="str">
        <f>HYPERLINK("https://gerandofalcoes.my.salesforce.com/0014P00003AN2h6QAD", "0014P00003AN2h6QAD")</f>
        <v>0014P00003AN2h6QAD</v>
      </c>
      <c r="B3" s="2" t="s">
        <v>1649</v>
      </c>
      <c r="C3" s="2" t="s">
        <v>423</v>
      </c>
      <c r="D3" s="2" t="s">
        <v>27</v>
      </c>
      <c r="E3" s="2">
        <v>98</v>
      </c>
      <c r="F3" s="2">
        <v>13</v>
      </c>
      <c r="G3" s="2">
        <v>3</v>
      </c>
      <c r="H3" s="2">
        <v>245092.99</v>
      </c>
      <c r="I3" s="2">
        <v>182</v>
      </c>
      <c r="J3" s="2" t="s">
        <v>1650</v>
      </c>
      <c r="K3" s="2">
        <v>77</v>
      </c>
      <c r="L3" s="2">
        <v>30</v>
      </c>
      <c r="M3" s="2">
        <v>12</v>
      </c>
      <c r="N3" s="2">
        <v>8</v>
      </c>
      <c r="O3" s="2">
        <v>15</v>
      </c>
      <c r="P3" s="2">
        <v>12</v>
      </c>
      <c r="Q3" s="2" t="s">
        <v>1651</v>
      </c>
      <c r="R3" s="2" t="s">
        <v>1652</v>
      </c>
      <c r="S3" s="4">
        <v>44837</v>
      </c>
    </row>
    <row r="4" spans="1:26" ht="12.5" hidden="1" x14ac:dyDescent="0.25">
      <c r="A4" s="14" t="str">
        <f>HYPERLINK("https://gerandofalcoes.my.salesforce.com/0014X00002UFYFtQAP", "0014X00002UFYFtQAP")</f>
        <v>0014X00002UFYFtQAP</v>
      </c>
      <c r="B4" s="2" t="s">
        <v>3588</v>
      </c>
      <c r="C4" s="2" t="s">
        <v>1684</v>
      </c>
      <c r="D4" s="2" t="s">
        <v>2</v>
      </c>
      <c r="E4" s="2">
        <v>90</v>
      </c>
      <c r="F4" s="2">
        <v>15</v>
      </c>
      <c r="G4" s="2">
        <v>4</v>
      </c>
      <c r="H4" s="2">
        <v>600000</v>
      </c>
      <c r="I4" s="2">
        <v>5000</v>
      </c>
      <c r="J4" s="2"/>
      <c r="K4" s="2">
        <v>92</v>
      </c>
      <c r="L4" s="2">
        <v>30</v>
      </c>
      <c r="M4" s="2">
        <v>12</v>
      </c>
      <c r="N4" s="2">
        <v>10</v>
      </c>
      <c r="O4" s="2">
        <v>20</v>
      </c>
      <c r="P4" s="2">
        <v>20</v>
      </c>
      <c r="Q4" s="2" t="s">
        <v>3589</v>
      </c>
      <c r="R4" s="2" t="s">
        <v>3590</v>
      </c>
      <c r="S4" s="4">
        <v>44962</v>
      </c>
    </row>
    <row r="5" spans="1:26" ht="12.5" x14ac:dyDescent="0.25">
      <c r="A5" s="14" t="str">
        <f>HYPERLINK("https://gerandofalcoes.my.salesforce.com/0014P00003AN2GPQA1", "0014P00003AN2GPQA1")</f>
        <v>0014P00003AN2GPQA1</v>
      </c>
      <c r="B5" s="2" t="s">
        <v>1653</v>
      </c>
      <c r="C5" s="2" t="s">
        <v>423</v>
      </c>
      <c r="D5" s="2" t="s">
        <v>27</v>
      </c>
      <c r="E5" s="2">
        <v>97</v>
      </c>
      <c r="F5" s="2">
        <v>33</v>
      </c>
      <c r="G5" s="2">
        <v>4</v>
      </c>
      <c r="H5" s="2">
        <v>1500734.93</v>
      </c>
      <c r="I5" s="2">
        <v>378</v>
      </c>
      <c r="J5" s="2" t="s">
        <v>1654</v>
      </c>
      <c r="K5" s="2">
        <v>95</v>
      </c>
      <c r="L5" s="2">
        <v>30</v>
      </c>
      <c r="M5" s="2">
        <v>15</v>
      </c>
      <c r="N5" s="2">
        <v>10</v>
      </c>
      <c r="O5" s="2">
        <v>25</v>
      </c>
      <c r="P5" s="2">
        <v>15</v>
      </c>
      <c r="Q5" s="2" t="s">
        <v>36</v>
      </c>
      <c r="R5" s="2" t="s">
        <v>553</v>
      </c>
      <c r="S5" s="4">
        <v>44837</v>
      </c>
    </row>
    <row r="6" spans="1:26" ht="12.5" x14ac:dyDescent="0.25">
      <c r="A6" s="14" t="str">
        <f>HYPERLINK("https://gerandofalcoes.my.salesforce.com/0014P00003AN2GNQA1", "0014P00003AN2GNQA1")</f>
        <v>0014P00003AN2GNQA1</v>
      </c>
      <c r="B6" s="2" t="s">
        <v>1655</v>
      </c>
      <c r="C6" s="2" t="s">
        <v>423</v>
      </c>
      <c r="D6" s="2" t="s">
        <v>27</v>
      </c>
      <c r="E6" s="2">
        <v>96</v>
      </c>
      <c r="F6" s="2">
        <v>22</v>
      </c>
      <c r="G6" s="2">
        <v>4</v>
      </c>
      <c r="H6" s="2">
        <v>392688.36</v>
      </c>
      <c r="I6" s="2">
        <v>341</v>
      </c>
      <c r="J6" s="2" t="s">
        <v>1654</v>
      </c>
      <c r="K6" s="2">
        <v>87</v>
      </c>
      <c r="L6" s="2">
        <v>30</v>
      </c>
      <c r="M6" s="2">
        <v>12</v>
      </c>
      <c r="N6" s="2">
        <v>10</v>
      </c>
      <c r="O6" s="2">
        <v>20</v>
      </c>
      <c r="P6" s="2">
        <v>15</v>
      </c>
      <c r="Q6" s="2" t="s">
        <v>43</v>
      </c>
      <c r="R6" s="2" t="s">
        <v>43</v>
      </c>
      <c r="S6" s="4">
        <v>44837</v>
      </c>
    </row>
    <row r="7" spans="1:26" ht="12.5" x14ac:dyDescent="0.25">
      <c r="A7" s="14" t="str">
        <f>HYPERLINK("https://gerandofalcoes.my.salesforce.com/0014P00003SGWPiQAP", "0014P00003SGWPiQAP")</f>
        <v>0014P00003SGWPiQAP</v>
      </c>
      <c r="B7" s="2" t="s">
        <v>1656</v>
      </c>
      <c r="C7" s="2" t="s">
        <v>423</v>
      </c>
      <c r="D7" s="2" t="s">
        <v>27</v>
      </c>
      <c r="E7" s="2">
        <v>96</v>
      </c>
      <c r="F7" s="2">
        <v>8</v>
      </c>
      <c r="G7" s="2">
        <v>4</v>
      </c>
      <c r="H7" s="2">
        <v>587278.81999999995</v>
      </c>
      <c r="I7" s="2">
        <v>115</v>
      </c>
      <c r="J7" s="2" t="s">
        <v>1654</v>
      </c>
      <c r="K7" s="2">
        <v>80</v>
      </c>
      <c r="L7" s="2">
        <v>30</v>
      </c>
      <c r="M7" s="2">
        <v>10</v>
      </c>
      <c r="N7" s="2">
        <v>10</v>
      </c>
      <c r="O7" s="2">
        <v>20</v>
      </c>
      <c r="P7" s="2">
        <v>10</v>
      </c>
      <c r="Q7" s="2" t="s">
        <v>1657</v>
      </c>
      <c r="R7" s="2" t="s">
        <v>1657</v>
      </c>
      <c r="S7" s="4">
        <v>44837</v>
      </c>
    </row>
    <row r="8" spans="1:26" ht="12.5" x14ac:dyDescent="0.25">
      <c r="A8" s="14" t="str">
        <f>HYPERLINK("https://gerandofalcoes.my.salesforce.com/0014P00003AN2FqQAL", "0014P00003AN2FqQAL")</f>
        <v>0014P00003AN2FqQAL</v>
      </c>
      <c r="B8" s="2" t="s">
        <v>1658</v>
      </c>
      <c r="C8" s="2" t="s">
        <v>423</v>
      </c>
      <c r="D8" s="2" t="s">
        <v>27</v>
      </c>
      <c r="E8" s="2">
        <v>95</v>
      </c>
      <c r="F8" s="2">
        <v>46</v>
      </c>
      <c r="G8" s="2">
        <v>4</v>
      </c>
      <c r="H8" s="2">
        <v>1272655.06</v>
      </c>
      <c r="I8" s="2">
        <v>348</v>
      </c>
      <c r="J8" s="2" t="s">
        <v>1654</v>
      </c>
      <c r="K8" s="2">
        <v>95</v>
      </c>
      <c r="L8" s="2">
        <v>30</v>
      </c>
      <c r="M8" s="2">
        <v>15</v>
      </c>
      <c r="N8" s="2">
        <v>10</v>
      </c>
      <c r="O8" s="2">
        <v>25</v>
      </c>
      <c r="P8" s="2">
        <v>15</v>
      </c>
      <c r="Q8" s="2" t="s">
        <v>132</v>
      </c>
      <c r="R8" s="2" t="s">
        <v>132</v>
      </c>
      <c r="S8" s="4">
        <v>44837</v>
      </c>
    </row>
    <row r="9" spans="1:26" ht="12.5" x14ac:dyDescent="0.25">
      <c r="A9" s="14" t="str">
        <f>HYPERLINK("https://gerandofalcoes.my.salesforce.com/0014P00003AN2FuQAL", "0014P00003AN2FuQAL")</f>
        <v>0014P00003AN2FuQAL</v>
      </c>
      <c r="B9" s="2" t="s">
        <v>1659</v>
      </c>
      <c r="C9" s="2" t="s">
        <v>423</v>
      </c>
      <c r="D9" s="2" t="s">
        <v>27</v>
      </c>
      <c r="E9" s="2">
        <v>95</v>
      </c>
      <c r="F9" s="2">
        <v>23</v>
      </c>
      <c r="G9" s="2">
        <v>3</v>
      </c>
      <c r="H9" s="2">
        <v>243360.63</v>
      </c>
      <c r="I9" s="2">
        <v>291</v>
      </c>
      <c r="J9" s="2" t="s">
        <v>1650</v>
      </c>
      <c r="K9" s="2">
        <v>77</v>
      </c>
      <c r="L9" s="2">
        <v>30</v>
      </c>
      <c r="M9" s="2">
        <v>12</v>
      </c>
      <c r="N9" s="2">
        <v>8</v>
      </c>
      <c r="O9" s="2">
        <v>15</v>
      </c>
      <c r="P9" s="2">
        <v>12</v>
      </c>
      <c r="Q9" s="2" t="s">
        <v>140</v>
      </c>
      <c r="R9" s="2" t="s">
        <v>140</v>
      </c>
      <c r="S9" s="4">
        <v>44837</v>
      </c>
    </row>
    <row r="10" spans="1:26" ht="12.5" x14ac:dyDescent="0.25">
      <c r="A10" s="14" t="str">
        <f>HYPERLINK("https://gerandofalcoes.my.salesforce.com/0014P00003AN2GIQA1", "0014P00003AN2GIQA1")</f>
        <v>0014P00003AN2GIQA1</v>
      </c>
      <c r="B10" s="2" t="s">
        <v>1661</v>
      </c>
      <c r="C10" s="2" t="s">
        <v>423</v>
      </c>
      <c r="D10" s="2" t="s">
        <v>27</v>
      </c>
      <c r="E10" s="2">
        <v>95</v>
      </c>
      <c r="F10" s="2">
        <v>5</v>
      </c>
      <c r="G10" s="2">
        <v>3</v>
      </c>
      <c r="H10" s="2">
        <v>133580.48000000001</v>
      </c>
      <c r="I10" s="2">
        <v>82</v>
      </c>
      <c r="J10" s="2" t="s">
        <v>1650</v>
      </c>
      <c r="K10" s="2">
        <v>68</v>
      </c>
      <c r="L10" s="2">
        <v>30</v>
      </c>
      <c r="M10" s="2">
        <v>5</v>
      </c>
      <c r="N10" s="2">
        <v>8</v>
      </c>
      <c r="O10" s="2">
        <v>15</v>
      </c>
      <c r="P10" s="2">
        <v>10</v>
      </c>
      <c r="Q10" s="2" t="s">
        <v>31</v>
      </c>
      <c r="R10" s="2" t="s">
        <v>1662</v>
      </c>
      <c r="S10" s="4">
        <v>44837</v>
      </c>
    </row>
    <row r="11" spans="1:26" ht="12.5" x14ac:dyDescent="0.25">
      <c r="A11" s="14" t="str">
        <f>HYPERLINK("https://gerandofalcoes.my.salesforce.com/0014P00003AN2h5QAD", "0014P00003AN2h5QAD")</f>
        <v>0014P00003AN2h5QAD</v>
      </c>
      <c r="B11" s="2" t="s">
        <v>1660</v>
      </c>
      <c r="C11" s="2" t="s">
        <v>423</v>
      </c>
      <c r="D11" s="2" t="s">
        <v>27</v>
      </c>
      <c r="E11" s="2">
        <v>95</v>
      </c>
      <c r="F11" s="2">
        <v>25</v>
      </c>
      <c r="G11" s="2">
        <v>3</v>
      </c>
      <c r="H11" s="2">
        <v>1106859.57</v>
      </c>
      <c r="I11" s="2">
        <v>164</v>
      </c>
      <c r="J11" s="2" t="s">
        <v>1654</v>
      </c>
      <c r="K11" s="2">
        <v>87</v>
      </c>
      <c r="L11" s="2">
        <v>30</v>
      </c>
      <c r="M11" s="2">
        <v>12</v>
      </c>
      <c r="N11" s="2">
        <v>8</v>
      </c>
      <c r="O11" s="2">
        <v>25</v>
      </c>
      <c r="P11" s="2">
        <v>12</v>
      </c>
      <c r="Q11" s="2" t="s">
        <v>54</v>
      </c>
      <c r="R11" s="2" t="s">
        <v>54</v>
      </c>
      <c r="S11" s="4">
        <v>44837</v>
      </c>
    </row>
    <row r="12" spans="1:26" ht="12.5" x14ac:dyDescent="0.25">
      <c r="A12" s="14" t="str">
        <f>HYPERLINK("https://gerandofalcoes.my.salesforce.com/0014P00003SGWPsQAP", "0014P00003SGWPsQAP")</f>
        <v>0014P00003SGWPsQAP</v>
      </c>
      <c r="B12" s="2" t="s">
        <v>1663</v>
      </c>
      <c r="C12" s="2" t="s">
        <v>423</v>
      </c>
      <c r="D12" s="2" t="s">
        <v>27</v>
      </c>
      <c r="E12" s="2">
        <v>93</v>
      </c>
      <c r="F12" s="2">
        <v>49</v>
      </c>
      <c r="G12" s="2">
        <v>3</v>
      </c>
      <c r="H12" s="2">
        <v>1126099.1000000001</v>
      </c>
      <c r="I12" s="2">
        <v>390</v>
      </c>
      <c r="J12" s="2" t="s">
        <v>1654</v>
      </c>
      <c r="K12" s="2">
        <v>93</v>
      </c>
      <c r="L12" s="2">
        <v>30</v>
      </c>
      <c r="M12" s="2">
        <v>15</v>
      </c>
      <c r="N12" s="2">
        <v>8</v>
      </c>
      <c r="O12" s="2">
        <v>25</v>
      </c>
      <c r="P12" s="2">
        <v>15</v>
      </c>
      <c r="Q12" s="2" t="s">
        <v>332</v>
      </c>
      <c r="R12" s="2" t="s">
        <v>1429</v>
      </c>
      <c r="S12" s="4">
        <v>44837</v>
      </c>
    </row>
    <row r="13" spans="1:26" ht="12.5" x14ac:dyDescent="0.25">
      <c r="A13" s="14" t="str">
        <f>HYPERLINK("https://gerandofalcoes.my.salesforce.com/0014P00003AN2FxQAL", "0014P00003AN2FxQAL")</f>
        <v>0014P00003AN2FxQAL</v>
      </c>
      <c r="B13" s="2" t="s">
        <v>1664</v>
      </c>
      <c r="C13" s="2" t="s">
        <v>423</v>
      </c>
      <c r="D13" s="2" t="s">
        <v>27</v>
      </c>
      <c r="E13" s="2">
        <v>93</v>
      </c>
      <c r="F13" s="2">
        <v>29</v>
      </c>
      <c r="G13" s="2">
        <v>1</v>
      </c>
      <c r="H13" s="2">
        <v>621309.18999999994</v>
      </c>
      <c r="I13" s="2">
        <v>203</v>
      </c>
      <c r="J13" s="2" t="s">
        <v>1650</v>
      </c>
      <c r="K13" s="2">
        <v>78</v>
      </c>
      <c r="L13" s="2">
        <v>30</v>
      </c>
      <c r="M13" s="2">
        <v>12</v>
      </c>
      <c r="N13" s="2">
        <v>4</v>
      </c>
      <c r="O13" s="2">
        <v>20</v>
      </c>
      <c r="P13" s="2">
        <v>12</v>
      </c>
      <c r="Q13" s="2" t="s">
        <v>144</v>
      </c>
      <c r="R13" s="2" t="s">
        <v>144</v>
      </c>
      <c r="S13" s="4">
        <v>44837</v>
      </c>
    </row>
    <row r="14" spans="1:26" ht="12.5" x14ac:dyDescent="0.25">
      <c r="A14" s="14" t="str">
        <f>HYPERLINK("https://gerandofalcoes.my.salesforce.com/0014P00003SGWPQQA5", "0014P00003SGWPQQA5")</f>
        <v>0014P00003SGWPQQA5</v>
      </c>
      <c r="B14" s="2" t="s">
        <v>363</v>
      </c>
      <c r="C14" s="2" t="s">
        <v>423</v>
      </c>
      <c r="D14" s="2" t="s">
        <v>27</v>
      </c>
      <c r="E14" s="2">
        <v>93</v>
      </c>
      <c r="F14" s="2">
        <v>32</v>
      </c>
      <c r="G14" s="2">
        <v>4</v>
      </c>
      <c r="H14" s="2">
        <v>1010730.87</v>
      </c>
      <c r="I14" s="2">
        <v>192</v>
      </c>
      <c r="J14" s="2" t="s">
        <v>1654</v>
      </c>
      <c r="K14" s="2">
        <v>92</v>
      </c>
      <c r="L14" s="2">
        <v>30</v>
      </c>
      <c r="M14" s="2">
        <v>15</v>
      </c>
      <c r="N14" s="2">
        <v>10</v>
      </c>
      <c r="O14" s="2">
        <v>25</v>
      </c>
      <c r="P14" s="2">
        <v>12</v>
      </c>
      <c r="Q14" s="2" t="s">
        <v>364</v>
      </c>
      <c r="R14" s="2" t="s">
        <v>1545</v>
      </c>
      <c r="S14" s="4">
        <v>44837</v>
      </c>
    </row>
    <row r="15" spans="1:26" ht="12.5" x14ac:dyDescent="0.25">
      <c r="A15" s="14" t="str">
        <f>HYPERLINK("https://gerandofalcoes.my.salesforce.com/0014P00003YSp9mQAD", "0014P00003YSp9mQAD")</f>
        <v>0014P00003YSp9mQAD</v>
      </c>
      <c r="B15" s="2" t="s">
        <v>1665</v>
      </c>
      <c r="C15" s="2" t="s">
        <v>423</v>
      </c>
      <c r="D15" s="2" t="s">
        <v>27</v>
      </c>
      <c r="E15" s="2">
        <v>92.77</v>
      </c>
      <c r="F15" s="2">
        <v>15</v>
      </c>
      <c r="G15" s="2">
        <v>6</v>
      </c>
      <c r="H15" s="2">
        <v>1000000</v>
      </c>
      <c r="I15" s="2">
        <v>767</v>
      </c>
      <c r="J15" s="2" t="s">
        <v>1654</v>
      </c>
      <c r="K15" s="2">
        <v>97</v>
      </c>
      <c r="L15" s="2">
        <v>30</v>
      </c>
      <c r="M15" s="2">
        <v>12</v>
      </c>
      <c r="N15" s="2">
        <v>10</v>
      </c>
      <c r="O15" s="2">
        <v>25</v>
      </c>
      <c r="P15" s="2">
        <v>20</v>
      </c>
      <c r="Q15" s="2" t="s">
        <v>1666</v>
      </c>
      <c r="R15" s="2" t="s">
        <v>1667</v>
      </c>
      <c r="S15" s="4">
        <v>44837</v>
      </c>
    </row>
    <row r="16" spans="1:26" ht="12.5" x14ac:dyDescent="0.25">
      <c r="A16" s="14" t="str">
        <f>HYPERLINK("https://gerandofalcoes.my.salesforce.com/0014P00003SGWQDQA5", "0014P00003SGWQDQA5")</f>
        <v>0014P00003SGWQDQA5</v>
      </c>
      <c r="B16" s="2" t="s">
        <v>1669</v>
      </c>
      <c r="C16" s="2" t="s">
        <v>423</v>
      </c>
      <c r="D16" s="2" t="s">
        <v>27</v>
      </c>
      <c r="E16" s="2">
        <v>91</v>
      </c>
      <c r="F16" s="2">
        <v>10</v>
      </c>
      <c r="G16" s="2">
        <v>3</v>
      </c>
      <c r="H16" s="2">
        <v>707090.8</v>
      </c>
      <c r="I16" s="2">
        <v>390</v>
      </c>
      <c r="J16" s="2" t="s">
        <v>1654</v>
      </c>
      <c r="K16" s="2">
        <v>83</v>
      </c>
      <c r="L16" s="2">
        <v>30</v>
      </c>
      <c r="M16" s="2">
        <v>10</v>
      </c>
      <c r="N16" s="2">
        <v>8</v>
      </c>
      <c r="O16" s="2">
        <v>20</v>
      </c>
      <c r="P16" s="2">
        <v>15</v>
      </c>
      <c r="Q16" s="2" t="s">
        <v>251</v>
      </c>
      <c r="R16" s="2" t="s">
        <v>251</v>
      </c>
      <c r="S16" s="4">
        <v>44837</v>
      </c>
    </row>
    <row r="17" spans="1:19" ht="12.5" x14ac:dyDescent="0.25">
      <c r="A17" s="14" t="str">
        <f>HYPERLINK("https://gerandofalcoes.my.salesforce.com/0014P00003ERUfsQAH", "0014P00003ERUfsQAH")</f>
        <v>0014P00003ERUfsQAH</v>
      </c>
      <c r="B17" s="2" t="s">
        <v>1668</v>
      </c>
      <c r="C17" s="2" t="s">
        <v>423</v>
      </c>
      <c r="D17" s="2" t="s">
        <v>27</v>
      </c>
      <c r="E17" s="2">
        <v>91</v>
      </c>
      <c r="F17" s="2">
        <v>30</v>
      </c>
      <c r="G17" s="2">
        <v>4</v>
      </c>
      <c r="H17" s="2">
        <v>155230.70000000001</v>
      </c>
      <c r="I17" s="2">
        <v>782</v>
      </c>
      <c r="J17" s="2" t="s">
        <v>1654</v>
      </c>
      <c r="K17" s="2">
        <v>87</v>
      </c>
      <c r="L17" s="2">
        <v>30</v>
      </c>
      <c r="M17" s="2">
        <v>12</v>
      </c>
      <c r="N17" s="2">
        <v>10</v>
      </c>
      <c r="O17" s="2">
        <v>15</v>
      </c>
      <c r="P17" s="2">
        <v>20</v>
      </c>
      <c r="Q17" s="2" t="s">
        <v>73</v>
      </c>
      <c r="R17" s="2" t="s">
        <v>73</v>
      </c>
      <c r="S17" s="4">
        <v>44837</v>
      </c>
    </row>
    <row r="18" spans="1:19" ht="12.5" x14ac:dyDescent="0.25">
      <c r="A18" s="14" t="str">
        <f>HYPERLINK("https://gerandofalcoes.my.salesforce.com/0014P00003AN2G9QAL", "0014P00003AN2G9QAL")</f>
        <v>0014P00003AN2G9QAL</v>
      </c>
      <c r="B18" s="2" t="s">
        <v>1670</v>
      </c>
      <c r="C18" s="2" t="s">
        <v>423</v>
      </c>
      <c r="D18" s="2" t="s">
        <v>27</v>
      </c>
      <c r="E18" s="2">
        <v>90.24</v>
      </c>
      <c r="F18" s="2">
        <v>7</v>
      </c>
      <c r="G18" s="2">
        <v>2</v>
      </c>
      <c r="H18" s="2">
        <v>5950</v>
      </c>
      <c r="I18" s="2">
        <v>210</v>
      </c>
      <c r="J18" s="2" t="s">
        <v>1671</v>
      </c>
      <c r="K18" s="2">
        <v>63</v>
      </c>
      <c r="L18" s="2">
        <v>30</v>
      </c>
      <c r="M18" s="2">
        <v>10</v>
      </c>
      <c r="N18" s="2">
        <v>6</v>
      </c>
      <c r="O18" s="2">
        <v>5</v>
      </c>
      <c r="P18" s="2">
        <v>12</v>
      </c>
      <c r="Q18" s="2" t="s">
        <v>961</v>
      </c>
      <c r="R18" s="2" t="s">
        <v>961</v>
      </c>
      <c r="S18" s="4">
        <v>44837</v>
      </c>
    </row>
    <row r="19" spans="1:19" ht="12.5" x14ac:dyDescent="0.25">
      <c r="A19" s="14" t="str">
        <f>HYPERLINK("https://gerandofalcoes.my.salesforce.com/0014P00003SGWPuQAP", "0014P00003SGWPuQAP")</f>
        <v>0014P00003SGWPuQAP</v>
      </c>
      <c r="B19" s="2" t="s">
        <v>1672</v>
      </c>
      <c r="C19" s="2" t="s">
        <v>423</v>
      </c>
      <c r="D19" s="2" t="s">
        <v>27</v>
      </c>
      <c r="E19" s="2">
        <v>90.19</v>
      </c>
      <c r="F19" s="2">
        <v>0</v>
      </c>
      <c r="G19" s="2">
        <v>4</v>
      </c>
      <c r="H19" s="2">
        <v>3000</v>
      </c>
      <c r="I19" s="2">
        <v>268</v>
      </c>
      <c r="J19" s="2" t="s">
        <v>1671</v>
      </c>
      <c r="K19" s="2">
        <v>57</v>
      </c>
      <c r="L19" s="2">
        <v>30</v>
      </c>
      <c r="M19" s="2">
        <v>0</v>
      </c>
      <c r="N19" s="2">
        <v>10</v>
      </c>
      <c r="O19" s="2">
        <v>5</v>
      </c>
      <c r="P19" s="2">
        <v>12</v>
      </c>
      <c r="Q19" s="2" t="s">
        <v>186</v>
      </c>
      <c r="R19" s="2" t="s">
        <v>1673</v>
      </c>
      <c r="S19" s="4">
        <v>44837</v>
      </c>
    </row>
    <row r="20" spans="1:19" ht="12.5" x14ac:dyDescent="0.25">
      <c r="A20" s="14" t="str">
        <f>HYPERLINK("https://gerandofalcoes.my.salesforce.com/0014P00003AN2FnQAL", "0014P00003AN2FnQAL")</f>
        <v>0014P00003AN2FnQAL</v>
      </c>
      <c r="B20" s="2" t="s">
        <v>128</v>
      </c>
      <c r="C20" s="2" t="s">
        <v>423</v>
      </c>
      <c r="D20" s="2" t="s">
        <v>27</v>
      </c>
      <c r="E20" s="2">
        <v>90</v>
      </c>
      <c r="F20" s="2">
        <v>22</v>
      </c>
      <c r="G20" s="2">
        <v>3</v>
      </c>
      <c r="H20" s="2">
        <v>850231.83</v>
      </c>
      <c r="I20" s="2">
        <v>323</v>
      </c>
      <c r="J20" s="2" t="s">
        <v>1654</v>
      </c>
      <c r="K20" s="2">
        <v>90</v>
      </c>
      <c r="L20" s="2">
        <v>30</v>
      </c>
      <c r="M20" s="2">
        <v>12</v>
      </c>
      <c r="N20" s="2">
        <v>8</v>
      </c>
      <c r="O20" s="2">
        <v>25</v>
      </c>
      <c r="P20" s="2">
        <v>15</v>
      </c>
      <c r="Q20" s="2" t="s">
        <v>129</v>
      </c>
      <c r="R20" s="2" t="s">
        <v>129</v>
      </c>
      <c r="S20" s="4">
        <v>44837</v>
      </c>
    </row>
    <row r="21" spans="1:19" ht="12.5" x14ac:dyDescent="0.25">
      <c r="A21" s="14" t="str">
        <f>HYPERLINK("https://gerandofalcoes.my.salesforce.com/0014P00003YSp7sQAD", "0014P00003YSp7sQAD")</f>
        <v>0014P00003YSp7sQAD</v>
      </c>
      <c r="B21" s="2" t="s">
        <v>1674</v>
      </c>
      <c r="C21" s="2" t="s">
        <v>423</v>
      </c>
      <c r="D21" s="2" t="s">
        <v>27</v>
      </c>
      <c r="E21" s="2">
        <v>89.2</v>
      </c>
      <c r="F21" s="2">
        <v>12</v>
      </c>
      <c r="G21" s="2">
        <v>3</v>
      </c>
      <c r="H21" s="2">
        <v>60000</v>
      </c>
      <c r="I21" s="2">
        <v>300</v>
      </c>
      <c r="J21" s="2" t="s">
        <v>1650</v>
      </c>
      <c r="K21" s="2">
        <v>70</v>
      </c>
      <c r="L21" s="2">
        <v>25</v>
      </c>
      <c r="M21" s="2">
        <v>12</v>
      </c>
      <c r="N21" s="2">
        <v>8</v>
      </c>
      <c r="O21" s="2">
        <v>10</v>
      </c>
      <c r="P21" s="2">
        <v>15</v>
      </c>
      <c r="Q21" s="2" t="s">
        <v>1675</v>
      </c>
      <c r="R21" s="2" t="s">
        <v>1676</v>
      </c>
      <c r="S21" s="4">
        <v>44837</v>
      </c>
    </row>
    <row r="22" spans="1:19" ht="12.5" x14ac:dyDescent="0.25">
      <c r="A22" s="14" t="str">
        <f>HYPERLINK("https://gerandofalcoes.my.salesforce.com/0014P00003AN2FjQAL", "0014P00003AN2FjQAL")</f>
        <v>0014P00003AN2FjQAL</v>
      </c>
      <c r="B22" s="2" t="s">
        <v>1679</v>
      </c>
      <c r="C22" s="2" t="s">
        <v>423</v>
      </c>
      <c r="D22" s="2" t="s">
        <v>27</v>
      </c>
      <c r="E22" s="2">
        <v>89</v>
      </c>
      <c r="F22" s="2">
        <v>5</v>
      </c>
      <c r="G22" s="2">
        <v>4</v>
      </c>
      <c r="H22" s="2">
        <v>49628.39</v>
      </c>
      <c r="I22" s="2">
        <v>79</v>
      </c>
      <c r="J22" s="2" t="s">
        <v>1671</v>
      </c>
      <c r="K22" s="2">
        <v>55</v>
      </c>
      <c r="L22" s="2">
        <v>25</v>
      </c>
      <c r="M22" s="2">
        <v>5</v>
      </c>
      <c r="N22" s="2">
        <v>10</v>
      </c>
      <c r="O22" s="2">
        <v>10</v>
      </c>
      <c r="P22" s="2">
        <v>5</v>
      </c>
      <c r="Q22" s="2" t="s">
        <v>63</v>
      </c>
      <c r="R22" s="2" t="s">
        <v>1680</v>
      </c>
      <c r="S22" s="4">
        <v>44837</v>
      </c>
    </row>
    <row r="23" spans="1:19" ht="12.5" x14ac:dyDescent="0.25">
      <c r="A23" s="14" t="str">
        <f>HYPERLINK("https://gerandofalcoes.my.salesforce.com/0014P00003SGWPWQA5", "0014P00003SGWPWQA5")</f>
        <v>0014P00003SGWPWQA5</v>
      </c>
      <c r="B23" s="2" t="s">
        <v>171</v>
      </c>
      <c r="C23" s="2" t="s">
        <v>423</v>
      </c>
      <c r="D23" s="2" t="s">
        <v>27</v>
      </c>
      <c r="E23" s="2">
        <v>89</v>
      </c>
      <c r="F23" s="2">
        <v>7</v>
      </c>
      <c r="G23" s="2">
        <v>4</v>
      </c>
      <c r="H23" s="2">
        <v>30000</v>
      </c>
      <c r="I23" s="2">
        <v>278</v>
      </c>
      <c r="J23" s="2" t="s">
        <v>1650</v>
      </c>
      <c r="K23" s="2">
        <v>67</v>
      </c>
      <c r="L23" s="2">
        <v>25</v>
      </c>
      <c r="M23" s="2">
        <v>10</v>
      </c>
      <c r="N23" s="2">
        <v>10</v>
      </c>
      <c r="O23" s="2">
        <v>10</v>
      </c>
      <c r="P23" s="2">
        <v>12</v>
      </c>
      <c r="Q23" s="2" t="s">
        <v>172</v>
      </c>
      <c r="R23" s="2" t="s">
        <v>172</v>
      </c>
      <c r="S23" s="4">
        <v>44837</v>
      </c>
    </row>
    <row r="24" spans="1:19" ht="12.5" x14ac:dyDescent="0.25">
      <c r="A24" s="14" t="str">
        <f>HYPERLINK("https://gerandofalcoes.my.salesforce.com/0014P00003AN2FpQAL", "0014P00003AN2FpQAL")</f>
        <v>0014P00003AN2FpQAL</v>
      </c>
      <c r="B24" s="2" t="s">
        <v>1678</v>
      </c>
      <c r="C24" s="2" t="s">
        <v>423</v>
      </c>
      <c r="D24" s="2" t="s">
        <v>27</v>
      </c>
      <c r="E24" s="2">
        <v>89</v>
      </c>
      <c r="F24" s="2">
        <v>16</v>
      </c>
      <c r="G24" s="2">
        <v>2</v>
      </c>
      <c r="H24" s="2">
        <v>76727.45</v>
      </c>
      <c r="I24" s="2">
        <v>173</v>
      </c>
      <c r="J24" s="2" t="s">
        <v>1650</v>
      </c>
      <c r="K24" s="2">
        <v>65</v>
      </c>
      <c r="L24" s="2">
        <v>25</v>
      </c>
      <c r="M24" s="2">
        <v>12</v>
      </c>
      <c r="N24" s="2">
        <v>6</v>
      </c>
      <c r="O24" s="2">
        <v>10</v>
      </c>
      <c r="P24" s="2">
        <v>12</v>
      </c>
      <c r="Q24" s="2" t="s">
        <v>131</v>
      </c>
      <c r="R24" s="2" t="s">
        <v>131</v>
      </c>
      <c r="S24" s="4">
        <v>44837</v>
      </c>
    </row>
    <row r="25" spans="1:19" ht="12.5" x14ac:dyDescent="0.25">
      <c r="A25" s="14" t="str">
        <f>HYPERLINK("https://gerandofalcoes.my.salesforce.com/0014P00003AN2G3QAL", "0014P00003AN2G3QAL")</f>
        <v>0014P00003AN2G3QAL</v>
      </c>
      <c r="B25" s="2" t="s">
        <v>1677</v>
      </c>
      <c r="C25" s="2" t="s">
        <v>423</v>
      </c>
      <c r="D25" s="2" t="s">
        <v>27</v>
      </c>
      <c r="E25" s="2">
        <v>89</v>
      </c>
      <c r="F25" s="2">
        <v>9</v>
      </c>
      <c r="G25" s="2">
        <v>3</v>
      </c>
      <c r="H25" s="2">
        <v>46396.77</v>
      </c>
      <c r="I25" s="2">
        <v>188</v>
      </c>
      <c r="J25" s="2" t="s">
        <v>1650</v>
      </c>
      <c r="K25" s="2">
        <v>65</v>
      </c>
      <c r="L25" s="2">
        <v>25</v>
      </c>
      <c r="M25" s="2">
        <v>10</v>
      </c>
      <c r="N25" s="2">
        <v>8</v>
      </c>
      <c r="O25" s="2">
        <v>10</v>
      </c>
      <c r="P25" s="2">
        <v>12</v>
      </c>
      <c r="Q25" s="2" t="s">
        <v>153</v>
      </c>
      <c r="R25" s="2" t="s">
        <v>153</v>
      </c>
      <c r="S25" s="4">
        <v>44837</v>
      </c>
    </row>
    <row r="26" spans="1:19" ht="12.5" x14ac:dyDescent="0.25">
      <c r="A26" s="14" t="str">
        <f>HYPERLINK("https://gerandofalcoes.my.salesforce.com/0014P00003AN2FcQAL", "0014P00003AN2FcQAL")</f>
        <v>0014P00003AN2FcQAL</v>
      </c>
      <c r="B26" s="2" t="s">
        <v>1681</v>
      </c>
      <c r="C26" s="2" t="s">
        <v>423</v>
      </c>
      <c r="D26" s="2" t="s">
        <v>27</v>
      </c>
      <c r="E26" s="2">
        <v>87</v>
      </c>
      <c r="F26" s="2">
        <v>10</v>
      </c>
      <c r="G26" s="2">
        <v>3</v>
      </c>
      <c r="H26" s="2">
        <v>501150</v>
      </c>
      <c r="I26" s="2">
        <v>171</v>
      </c>
      <c r="J26" s="2" t="s">
        <v>1650</v>
      </c>
      <c r="K26" s="2">
        <v>75</v>
      </c>
      <c r="L26" s="2">
        <v>25</v>
      </c>
      <c r="M26" s="2">
        <v>10</v>
      </c>
      <c r="N26" s="2">
        <v>8</v>
      </c>
      <c r="O26" s="2">
        <v>20</v>
      </c>
      <c r="P26" s="2">
        <v>12</v>
      </c>
      <c r="Q26" s="2" t="s">
        <v>91</v>
      </c>
      <c r="R26" s="2" t="s">
        <v>91</v>
      </c>
      <c r="S26" s="4">
        <v>44837</v>
      </c>
    </row>
    <row r="27" spans="1:19" ht="12.5" x14ac:dyDescent="0.25">
      <c r="A27" s="14" t="str">
        <f>HYPERLINK("https://gerandofalcoes.my.salesforce.com/0014P00003AN2FtQAL", "0014P00003AN2FtQAL")</f>
        <v>0014P00003AN2FtQAL</v>
      </c>
      <c r="B27" s="2" t="s">
        <v>137</v>
      </c>
      <c r="C27" s="2" t="s">
        <v>423</v>
      </c>
      <c r="D27" s="2" t="s">
        <v>27</v>
      </c>
      <c r="E27" s="2">
        <v>86</v>
      </c>
      <c r="F27" s="2">
        <v>7</v>
      </c>
      <c r="G27" s="2">
        <v>4</v>
      </c>
      <c r="H27" s="2">
        <v>67399.429999999993</v>
      </c>
      <c r="I27" s="2">
        <v>159</v>
      </c>
      <c r="J27" s="2" t="s">
        <v>1650</v>
      </c>
      <c r="K27" s="2">
        <v>67</v>
      </c>
      <c r="L27" s="2">
        <v>25</v>
      </c>
      <c r="M27" s="2">
        <v>10</v>
      </c>
      <c r="N27" s="2">
        <v>10</v>
      </c>
      <c r="O27" s="2">
        <v>10</v>
      </c>
      <c r="P27" s="2">
        <v>12</v>
      </c>
      <c r="Q27" s="2" t="s">
        <v>138</v>
      </c>
      <c r="R27" s="2" t="s">
        <v>1682</v>
      </c>
      <c r="S27" s="4">
        <v>44837</v>
      </c>
    </row>
    <row r="28" spans="1:19" ht="12.5" x14ac:dyDescent="0.25">
      <c r="A28" s="14" t="str">
        <f>HYPERLINK("https://gerandofalcoes.my.salesforce.com/0014P00003ERavoQAD", "0014P00003ERavoQAD")</f>
        <v>0014P00003ERavoQAD</v>
      </c>
      <c r="B28" s="2" t="s">
        <v>77</v>
      </c>
      <c r="C28" s="2" t="s">
        <v>423</v>
      </c>
      <c r="D28" s="2" t="s">
        <v>27</v>
      </c>
      <c r="E28" s="2">
        <v>86</v>
      </c>
      <c r="F28" s="2">
        <v>5</v>
      </c>
      <c r="G28" s="2">
        <v>4</v>
      </c>
      <c r="H28" s="2">
        <v>275378.40000000002</v>
      </c>
      <c r="I28" s="2">
        <v>184</v>
      </c>
      <c r="J28" s="2" t="s">
        <v>1650</v>
      </c>
      <c r="K28" s="2">
        <v>67</v>
      </c>
      <c r="L28" s="2">
        <v>25</v>
      </c>
      <c r="M28" s="2">
        <v>5</v>
      </c>
      <c r="N28" s="2">
        <v>10</v>
      </c>
      <c r="O28" s="2">
        <v>15</v>
      </c>
      <c r="P28" s="2">
        <v>12</v>
      </c>
      <c r="Q28" s="2" t="s">
        <v>78</v>
      </c>
      <c r="R28" s="2" t="s">
        <v>78</v>
      </c>
      <c r="S28" s="4">
        <v>44837</v>
      </c>
    </row>
    <row r="29" spans="1:19" ht="12.5" x14ac:dyDescent="0.25">
      <c r="A29" s="14" t="str">
        <f>HYPERLINK("https://gerandofalcoes.my.salesforce.com/0014P00003AN2FZQA1", "0014P00003AN2FZQA1")</f>
        <v>0014P00003AN2FZQA1</v>
      </c>
      <c r="B29" s="2" t="s">
        <v>1685</v>
      </c>
      <c r="C29" s="2" t="s">
        <v>423</v>
      </c>
      <c r="D29" s="2" t="s">
        <v>2</v>
      </c>
      <c r="E29" s="2">
        <v>85.13</v>
      </c>
      <c r="F29" s="2">
        <v>51</v>
      </c>
      <c r="G29" s="2">
        <v>8</v>
      </c>
      <c r="H29" s="2">
        <v>501000</v>
      </c>
      <c r="I29" s="2">
        <v>400</v>
      </c>
      <c r="J29" s="2" t="s">
        <v>1654</v>
      </c>
      <c r="K29" s="2">
        <v>85</v>
      </c>
      <c r="L29" s="2">
        <v>25</v>
      </c>
      <c r="M29" s="2">
        <v>15</v>
      </c>
      <c r="N29" s="2">
        <v>10</v>
      </c>
      <c r="O29" s="2">
        <v>20</v>
      </c>
      <c r="P29" s="2">
        <v>15</v>
      </c>
      <c r="Q29" s="2" t="s">
        <v>1686</v>
      </c>
      <c r="R29" s="2" t="s">
        <v>1686</v>
      </c>
      <c r="S29" s="4">
        <v>44837</v>
      </c>
    </row>
    <row r="30" spans="1:19" ht="12.5" x14ac:dyDescent="0.25">
      <c r="A30" s="14" t="str">
        <f>HYPERLINK("https://gerandofalcoes.my.salesforce.com/0014P00003AN2GKQA1", "0014P00003AN2GKQA1")</f>
        <v>0014P00003AN2GKQA1</v>
      </c>
      <c r="B30" s="2" t="s">
        <v>1687</v>
      </c>
      <c r="C30" s="2" t="s">
        <v>423</v>
      </c>
      <c r="D30" s="2" t="s">
        <v>27</v>
      </c>
      <c r="E30" s="2">
        <v>85</v>
      </c>
      <c r="F30" s="2">
        <v>22</v>
      </c>
      <c r="G30" s="2">
        <v>5</v>
      </c>
      <c r="H30" s="2">
        <v>1314918.45</v>
      </c>
      <c r="I30" s="2">
        <v>358</v>
      </c>
      <c r="J30" s="2" t="s">
        <v>1654</v>
      </c>
      <c r="K30" s="2">
        <v>87</v>
      </c>
      <c r="L30" s="2">
        <v>25</v>
      </c>
      <c r="M30" s="2">
        <v>12</v>
      </c>
      <c r="N30" s="2">
        <v>10</v>
      </c>
      <c r="O30" s="2">
        <v>25</v>
      </c>
      <c r="P30" s="2">
        <v>15</v>
      </c>
      <c r="Q30" s="2" t="s">
        <v>28</v>
      </c>
      <c r="R30" s="2" t="s">
        <v>28</v>
      </c>
      <c r="S30" s="4">
        <v>44837</v>
      </c>
    </row>
    <row r="31" spans="1:19" ht="12.5" x14ac:dyDescent="0.25">
      <c r="A31" s="14" t="str">
        <f>HYPERLINK("https://gerandofalcoes.my.salesforce.com/0014P00003AN2FsQAL", "0014P00003AN2FsQAL")</f>
        <v>0014P00003AN2FsQAL</v>
      </c>
      <c r="B31" s="2" t="s">
        <v>1688</v>
      </c>
      <c r="C31" s="2" t="s">
        <v>423</v>
      </c>
      <c r="D31" s="2" t="s">
        <v>27</v>
      </c>
      <c r="E31" s="2">
        <v>85</v>
      </c>
      <c r="F31" s="2">
        <v>6</v>
      </c>
      <c r="G31" s="2">
        <v>3</v>
      </c>
      <c r="H31" s="2">
        <v>93122.27</v>
      </c>
      <c r="I31" s="2">
        <v>206</v>
      </c>
      <c r="J31" s="2" t="s">
        <v>1650</v>
      </c>
      <c r="K31" s="2">
        <v>65</v>
      </c>
      <c r="L31" s="2">
        <v>25</v>
      </c>
      <c r="M31" s="2">
        <v>10</v>
      </c>
      <c r="N31" s="2">
        <v>8</v>
      </c>
      <c r="O31" s="2">
        <v>10</v>
      </c>
      <c r="P31" s="2">
        <v>12</v>
      </c>
      <c r="Q31" s="2" t="s">
        <v>134</v>
      </c>
      <c r="R31" s="2" t="s">
        <v>134</v>
      </c>
      <c r="S31" s="4">
        <v>44837</v>
      </c>
    </row>
    <row r="32" spans="1:19" ht="12.5" x14ac:dyDescent="0.25">
      <c r="A32" s="14" t="str">
        <f>HYPERLINK("https://gerandofalcoes.my.salesforce.com/0014P00003AN2GLQA1", "0014P00003AN2GLQA1")</f>
        <v>0014P00003AN2GLQA1</v>
      </c>
      <c r="B32" s="2" t="s">
        <v>1691</v>
      </c>
      <c r="C32" s="2" t="s">
        <v>423</v>
      </c>
      <c r="D32" s="2" t="s">
        <v>27</v>
      </c>
      <c r="E32" s="2">
        <v>85</v>
      </c>
      <c r="F32" s="2">
        <v>13</v>
      </c>
      <c r="G32" s="2">
        <v>4</v>
      </c>
      <c r="H32" s="2">
        <v>154904.04</v>
      </c>
      <c r="I32" s="2">
        <v>172</v>
      </c>
      <c r="J32" s="2" t="s">
        <v>1650</v>
      </c>
      <c r="K32" s="2">
        <v>74</v>
      </c>
      <c r="L32" s="2">
        <v>25</v>
      </c>
      <c r="M32" s="2">
        <v>12</v>
      </c>
      <c r="N32" s="2">
        <v>10</v>
      </c>
      <c r="O32" s="2">
        <v>15</v>
      </c>
      <c r="P32" s="2">
        <v>12</v>
      </c>
      <c r="Q32" s="2" t="s">
        <v>29</v>
      </c>
      <c r="R32" s="2" t="s">
        <v>29</v>
      </c>
      <c r="S32" s="4">
        <v>44837</v>
      </c>
    </row>
    <row r="33" spans="1:19" ht="12.5" x14ac:dyDescent="0.25">
      <c r="A33" s="14" t="str">
        <f>HYPERLINK("https://gerandofalcoes.my.salesforce.com/0014P00003AN2FlQAL", "0014P00003AN2FlQAL")</f>
        <v>0014P00003AN2FlQAL</v>
      </c>
      <c r="B33" s="2" t="s">
        <v>1689</v>
      </c>
      <c r="C33" s="2" t="s">
        <v>423</v>
      </c>
      <c r="D33" s="2" t="s">
        <v>27</v>
      </c>
      <c r="E33" s="2">
        <v>85</v>
      </c>
      <c r="F33" s="2">
        <v>9</v>
      </c>
      <c r="G33" s="2">
        <v>5</v>
      </c>
      <c r="H33" s="2">
        <v>128126.51</v>
      </c>
      <c r="I33" s="2">
        <v>196</v>
      </c>
      <c r="J33" s="2" t="s">
        <v>1650</v>
      </c>
      <c r="K33" s="2">
        <v>72</v>
      </c>
      <c r="L33" s="2">
        <v>25</v>
      </c>
      <c r="M33" s="2">
        <v>10</v>
      </c>
      <c r="N33" s="2">
        <v>10</v>
      </c>
      <c r="O33" s="2">
        <v>15</v>
      </c>
      <c r="P33" s="2">
        <v>12</v>
      </c>
      <c r="Q33" s="2" t="s">
        <v>126</v>
      </c>
      <c r="R33" s="2" t="s">
        <v>1690</v>
      </c>
      <c r="S33" s="4">
        <v>44837</v>
      </c>
    </row>
    <row r="34" spans="1:19" ht="12.5" x14ac:dyDescent="0.25">
      <c r="A34" s="14" t="str">
        <f>HYPERLINK("https://gerandofalcoes.my.salesforce.com/0014P00003SGWFtQAP", "0014P00003SGWFtQAP")</f>
        <v>0014P00003SGWFtQAP</v>
      </c>
      <c r="B34" s="2" t="s">
        <v>354</v>
      </c>
      <c r="C34" s="2" t="s">
        <v>423</v>
      </c>
      <c r="D34" s="2" t="s">
        <v>27</v>
      </c>
      <c r="E34" s="2">
        <v>85</v>
      </c>
      <c r="F34" s="2">
        <v>4</v>
      </c>
      <c r="G34" s="2">
        <v>1</v>
      </c>
      <c r="H34" s="2">
        <v>11500</v>
      </c>
      <c r="I34" s="2">
        <v>78</v>
      </c>
      <c r="J34" s="2" t="s">
        <v>1671</v>
      </c>
      <c r="K34" s="2">
        <v>44</v>
      </c>
      <c r="L34" s="2">
        <v>25</v>
      </c>
      <c r="M34" s="2">
        <v>5</v>
      </c>
      <c r="N34" s="2">
        <v>4</v>
      </c>
      <c r="O34" s="2">
        <v>5</v>
      </c>
      <c r="P34" s="2">
        <v>5</v>
      </c>
      <c r="Q34" s="2" t="s">
        <v>1692</v>
      </c>
      <c r="R34" s="2" t="s">
        <v>1449</v>
      </c>
      <c r="S34" s="4">
        <v>44837</v>
      </c>
    </row>
    <row r="35" spans="1:19" ht="12.5" x14ac:dyDescent="0.25">
      <c r="A35" s="14" t="str">
        <f>HYPERLINK("https://gerandofalcoes.my.salesforce.com/0014P00003SGWPhQAP", "0014P00003SGWPhQAP")</f>
        <v>0014P00003SGWPhQAP</v>
      </c>
      <c r="B35" s="2" t="s">
        <v>1693</v>
      </c>
      <c r="C35" s="2" t="s">
        <v>423</v>
      </c>
      <c r="D35" s="2" t="s">
        <v>27</v>
      </c>
      <c r="E35" s="2">
        <v>84.64</v>
      </c>
      <c r="F35" s="2">
        <v>14</v>
      </c>
      <c r="G35" s="2">
        <v>3</v>
      </c>
      <c r="H35" s="2">
        <v>173994</v>
      </c>
      <c r="I35" s="2">
        <v>310</v>
      </c>
      <c r="J35" s="2" t="s">
        <v>1650</v>
      </c>
      <c r="K35" s="2">
        <v>75</v>
      </c>
      <c r="L35" s="2">
        <v>25</v>
      </c>
      <c r="M35" s="2">
        <v>12</v>
      </c>
      <c r="N35" s="2">
        <v>8</v>
      </c>
      <c r="O35" s="2">
        <v>15</v>
      </c>
      <c r="P35" s="2">
        <v>15</v>
      </c>
      <c r="Q35" s="2" t="s">
        <v>286</v>
      </c>
      <c r="R35" s="2" t="s">
        <v>1321</v>
      </c>
      <c r="S35" s="4">
        <v>44837</v>
      </c>
    </row>
    <row r="36" spans="1:19" ht="12.5" x14ac:dyDescent="0.25">
      <c r="A36" s="14" t="str">
        <f>HYPERLINK("https://gerandofalcoes.my.salesforce.com/0014P00003SGWPpQAP", "0014P00003SGWPpQAP")</f>
        <v>0014P00003SGWPpQAP</v>
      </c>
      <c r="B36" s="2" t="s">
        <v>1694</v>
      </c>
      <c r="C36" s="2" t="s">
        <v>423</v>
      </c>
      <c r="D36" s="2" t="s">
        <v>27</v>
      </c>
      <c r="E36" s="2">
        <v>84.52</v>
      </c>
      <c r="F36" s="2">
        <v>1</v>
      </c>
      <c r="G36" s="2">
        <v>5</v>
      </c>
      <c r="H36" s="2">
        <v>36000</v>
      </c>
      <c r="I36" s="2">
        <v>80</v>
      </c>
      <c r="J36" s="2" t="s">
        <v>1671</v>
      </c>
      <c r="K36" s="2">
        <v>60</v>
      </c>
      <c r="L36" s="2">
        <v>25</v>
      </c>
      <c r="M36" s="2">
        <v>5</v>
      </c>
      <c r="N36" s="2">
        <v>10</v>
      </c>
      <c r="O36" s="2">
        <v>10</v>
      </c>
      <c r="P36" s="2">
        <v>10</v>
      </c>
      <c r="Q36" s="2" t="s">
        <v>323</v>
      </c>
      <c r="R36" s="2" t="s">
        <v>1402</v>
      </c>
      <c r="S36" s="4">
        <v>44837</v>
      </c>
    </row>
    <row r="37" spans="1:19" ht="12.5" x14ac:dyDescent="0.25">
      <c r="A37" s="14" t="str">
        <f>HYPERLINK("https://gerandofalcoes.my.salesforce.com/0014P00003YSp99QAD", "0014P00003YSp99QAD")</f>
        <v>0014P00003YSp99QAD</v>
      </c>
      <c r="B37" s="2" t="s">
        <v>1695</v>
      </c>
      <c r="C37" s="2" t="s">
        <v>423</v>
      </c>
      <c r="D37" s="2" t="s">
        <v>2</v>
      </c>
      <c r="E37" s="2">
        <v>84.43</v>
      </c>
      <c r="F37" s="2">
        <v>0</v>
      </c>
      <c r="G37" s="2">
        <v>5</v>
      </c>
      <c r="H37" s="2">
        <v>68450</v>
      </c>
      <c r="I37" s="2">
        <v>204</v>
      </c>
      <c r="J37" s="2" t="s">
        <v>1671</v>
      </c>
      <c r="K37" s="2">
        <v>57</v>
      </c>
      <c r="L37" s="2">
        <v>25</v>
      </c>
      <c r="M37" s="2">
        <v>0</v>
      </c>
      <c r="N37" s="2">
        <v>10</v>
      </c>
      <c r="O37" s="2">
        <v>10</v>
      </c>
      <c r="P37" s="2">
        <v>12</v>
      </c>
      <c r="Q37" s="2" t="s">
        <v>1696</v>
      </c>
      <c r="R37" s="2" t="s">
        <v>1697</v>
      </c>
      <c r="S37" s="4">
        <v>44837</v>
      </c>
    </row>
    <row r="38" spans="1:19" ht="12.5" x14ac:dyDescent="0.25">
      <c r="A38" s="14" t="str">
        <f>HYPERLINK("https://gerandofalcoes.my.salesforce.com/0014P00003AN2h4QAD", "0014P00003AN2h4QAD")</f>
        <v>0014P00003AN2h4QAD</v>
      </c>
      <c r="B38" s="2" t="s">
        <v>1698</v>
      </c>
      <c r="C38" s="2" t="s">
        <v>423</v>
      </c>
      <c r="D38" s="2" t="s">
        <v>2</v>
      </c>
      <c r="E38" s="2">
        <v>84.3</v>
      </c>
      <c r="F38" s="2">
        <v>10</v>
      </c>
      <c r="G38" s="2">
        <v>5</v>
      </c>
      <c r="H38" s="2">
        <v>450000</v>
      </c>
      <c r="I38" s="2">
        <v>106</v>
      </c>
      <c r="J38" s="2" t="s">
        <v>1650</v>
      </c>
      <c r="K38" s="2">
        <v>75</v>
      </c>
      <c r="L38" s="2">
        <v>25</v>
      </c>
      <c r="M38" s="2">
        <v>10</v>
      </c>
      <c r="N38" s="2">
        <v>10</v>
      </c>
      <c r="O38" s="2">
        <v>20</v>
      </c>
      <c r="P38" s="2">
        <v>10</v>
      </c>
      <c r="Q38" s="2" t="s">
        <v>595</v>
      </c>
      <c r="R38" s="2" t="s">
        <v>595</v>
      </c>
      <c r="S38" s="4">
        <v>44837</v>
      </c>
    </row>
    <row r="39" spans="1:19" ht="12.5" x14ac:dyDescent="0.25">
      <c r="A39" s="14" t="str">
        <f>HYPERLINK("https://gerandofalcoes.my.salesforce.com/0014P00003AN2G0QAL", "0014P00003AN2G0QAL")</f>
        <v>0014P00003AN2G0QAL</v>
      </c>
      <c r="B39" s="2" t="s">
        <v>146</v>
      </c>
      <c r="C39" s="2" t="s">
        <v>423</v>
      </c>
      <c r="D39" s="2" t="s">
        <v>27</v>
      </c>
      <c r="E39" s="2">
        <v>83</v>
      </c>
      <c r="F39" s="2">
        <v>7</v>
      </c>
      <c r="G39" s="2">
        <v>3</v>
      </c>
      <c r="H39" s="2">
        <v>31263.49</v>
      </c>
      <c r="I39" s="2">
        <v>71</v>
      </c>
      <c r="J39" s="2" t="s">
        <v>1671</v>
      </c>
      <c r="K39" s="2">
        <v>58</v>
      </c>
      <c r="L39" s="2">
        <v>25</v>
      </c>
      <c r="M39" s="2">
        <v>10</v>
      </c>
      <c r="N39" s="2">
        <v>8</v>
      </c>
      <c r="O39" s="2">
        <v>10</v>
      </c>
      <c r="P39" s="2">
        <v>5</v>
      </c>
      <c r="Q39" s="2" t="s">
        <v>1699</v>
      </c>
      <c r="R39" s="2" t="s">
        <v>1699</v>
      </c>
      <c r="S39" s="4">
        <v>44837</v>
      </c>
    </row>
    <row r="40" spans="1:19" ht="12.5" x14ac:dyDescent="0.25">
      <c r="A40" s="14" t="str">
        <f>HYPERLINK("https://gerandofalcoes.my.salesforce.com/0014P00003SGWPPQA5", "0014P00003SGWPPQA5")</f>
        <v>0014P00003SGWPPQA5</v>
      </c>
      <c r="B40" s="2" t="s">
        <v>1700</v>
      </c>
      <c r="C40" s="2" t="s">
        <v>423</v>
      </c>
      <c r="D40" s="2" t="s">
        <v>27</v>
      </c>
      <c r="E40" s="2">
        <v>82.37</v>
      </c>
      <c r="F40" s="2">
        <v>10</v>
      </c>
      <c r="G40" s="2">
        <v>2</v>
      </c>
      <c r="H40" s="2">
        <v>60000</v>
      </c>
      <c r="I40" s="2">
        <v>120</v>
      </c>
      <c r="J40" s="2" t="s">
        <v>1671</v>
      </c>
      <c r="K40" s="2">
        <v>61</v>
      </c>
      <c r="L40" s="2">
        <v>25</v>
      </c>
      <c r="M40" s="2">
        <v>10</v>
      </c>
      <c r="N40" s="2">
        <v>6</v>
      </c>
      <c r="O40" s="2">
        <v>10</v>
      </c>
      <c r="P40" s="2">
        <v>10</v>
      </c>
      <c r="Q40" s="2" t="s">
        <v>366</v>
      </c>
      <c r="R40" s="2" t="s">
        <v>1557</v>
      </c>
      <c r="S40" s="4">
        <v>44837</v>
      </c>
    </row>
    <row r="41" spans="1:19" ht="12.5" x14ac:dyDescent="0.25">
      <c r="A41" s="14" t="str">
        <f>HYPERLINK("https://gerandofalcoes.my.salesforce.com/0014X00002QTry4QAD", "0014X00002QTry4QAD")</f>
        <v>0014X00002QTry4QAD</v>
      </c>
      <c r="B41" s="2" t="s">
        <v>1701</v>
      </c>
      <c r="C41" s="2" t="s">
        <v>423</v>
      </c>
      <c r="D41" s="2" t="s">
        <v>27</v>
      </c>
      <c r="E41" s="2">
        <v>82.02</v>
      </c>
      <c r="F41" s="2">
        <v>0</v>
      </c>
      <c r="G41" s="2">
        <v>3</v>
      </c>
      <c r="H41" s="2">
        <v>350</v>
      </c>
      <c r="I41" s="2">
        <v>40</v>
      </c>
      <c r="J41" s="2" t="s">
        <v>1671</v>
      </c>
      <c r="K41" s="2">
        <v>43</v>
      </c>
      <c r="L41" s="2">
        <v>25</v>
      </c>
      <c r="M41" s="2">
        <v>0</v>
      </c>
      <c r="N41" s="2">
        <v>8</v>
      </c>
      <c r="O41" s="2">
        <v>5</v>
      </c>
      <c r="P41" s="2">
        <v>5</v>
      </c>
      <c r="Q41" s="2" t="s">
        <v>1702</v>
      </c>
      <c r="R41" s="2" t="s">
        <v>1703</v>
      </c>
      <c r="S41" s="4">
        <v>44837</v>
      </c>
    </row>
    <row r="42" spans="1:19" ht="12.5" x14ac:dyDescent="0.25">
      <c r="A42" s="14" t="str">
        <f>HYPERLINK("https://gerandofalcoes.my.salesforce.com/0014P00003AN2G6QAL", "0014P00003AN2G6QAL")</f>
        <v>0014P00003AN2G6QAL</v>
      </c>
      <c r="B42" s="2" t="s">
        <v>1704</v>
      </c>
      <c r="C42" s="2" t="s">
        <v>423</v>
      </c>
      <c r="D42" s="2" t="s">
        <v>27</v>
      </c>
      <c r="E42" s="2">
        <v>82</v>
      </c>
      <c r="F42" s="2">
        <v>11</v>
      </c>
      <c r="G42" s="2">
        <v>3</v>
      </c>
      <c r="H42" s="2">
        <v>62859.59</v>
      </c>
      <c r="I42" s="2">
        <v>282</v>
      </c>
      <c r="J42" s="2" t="s">
        <v>1650</v>
      </c>
      <c r="K42" s="2">
        <v>67</v>
      </c>
      <c r="L42" s="2">
        <v>25</v>
      </c>
      <c r="M42" s="2">
        <v>12</v>
      </c>
      <c r="N42" s="2">
        <v>8</v>
      </c>
      <c r="O42" s="2">
        <v>10</v>
      </c>
      <c r="P42" s="2">
        <v>12</v>
      </c>
      <c r="Q42" s="2" t="s">
        <v>157</v>
      </c>
      <c r="R42" s="2" t="s">
        <v>157</v>
      </c>
      <c r="S42" s="4">
        <v>44837</v>
      </c>
    </row>
    <row r="43" spans="1:19" ht="12.5" x14ac:dyDescent="0.25">
      <c r="A43" s="14" t="str">
        <f>HYPERLINK("https://gerandofalcoes.my.salesforce.com/0014P00003SGWPoQAP", "0014P00003SGWPoQAP")</f>
        <v>0014P00003SGWPoQAP</v>
      </c>
      <c r="B43" s="2" t="s">
        <v>1705</v>
      </c>
      <c r="C43" s="2" t="s">
        <v>423</v>
      </c>
      <c r="D43" s="2" t="s">
        <v>27</v>
      </c>
      <c r="E43" s="2">
        <v>81.87</v>
      </c>
      <c r="F43" s="2">
        <v>0</v>
      </c>
      <c r="G43" s="2">
        <v>2</v>
      </c>
      <c r="H43" s="2">
        <v>1000</v>
      </c>
      <c r="I43" s="2">
        <v>120</v>
      </c>
      <c r="J43" s="2" t="s">
        <v>1671</v>
      </c>
      <c r="K43" s="2">
        <v>46</v>
      </c>
      <c r="L43" s="2">
        <v>25</v>
      </c>
      <c r="M43" s="2">
        <v>0</v>
      </c>
      <c r="N43" s="2">
        <v>6</v>
      </c>
      <c r="O43" s="2">
        <v>5</v>
      </c>
      <c r="P43" s="2">
        <v>10</v>
      </c>
      <c r="Q43" s="2" t="s">
        <v>321</v>
      </c>
      <c r="R43" s="2" t="s">
        <v>1706</v>
      </c>
      <c r="S43" s="4">
        <v>44837</v>
      </c>
    </row>
    <row r="44" spans="1:19" ht="12.5" x14ac:dyDescent="0.25">
      <c r="A44" s="14" t="str">
        <f>HYPERLINK("https://gerandofalcoes.my.salesforce.com/0014P00003AN2GDQA1", "0014P00003AN2GDQA1")</f>
        <v>0014P00003AN2GDQA1</v>
      </c>
      <c r="B44" s="2" t="s">
        <v>1707</v>
      </c>
      <c r="C44" s="2" t="s">
        <v>423</v>
      </c>
      <c r="D44" s="2" t="s">
        <v>27</v>
      </c>
      <c r="E44" s="2">
        <v>80.319999999999993</v>
      </c>
      <c r="F44" s="2">
        <v>5</v>
      </c>
      <c r="G44" s="2">
        <v>2</v>
      </c>
      <c r="H44" s="2">
        <v>77000</v>
      </c>
      <c r="I44" s="2">
        <v>157</v>
      </c>
      <c r="J44" s="2" t="s">
        <v>1671</v>
      </c>
      <c r="K44" s="2">
        <v>58</v>
      </c>
      <c r="L44" s="2">
        <v>25</v>
      </c>
      <c r="M44" s="2">
        <v>5</v>
      </c>
      <c r="N44" s="2">
        <v>6</v>
      </c>
      <c r="O44" s="2">
        <v>10</v>
      </c>
      <c r="P44" s="2">
        <v>12</v>
      </c>
      <c r="Q44" s="2" t="s">
        <v>987</v>
      </c>
      <c r="R44" s="2" t="s">
        <v>987</v>
      </c>
      <c r="S44" s="4">
        <v>44837</v>
      </c>
    </row>
    <row r="45" spans="1:19" ht="12.5" x14ac:dyDescent="0.25">
      <c r="A45" s="14" t="str">
        <f>HYPERLINK("https://gerandofalcoes.my.salesforce.com/0014P00003SGWPzQAP", "0014P00003SGWPzQAP")</f>
        <v>0014P00003SGWPzQAP</v>
      </c>
      <c r="B45" s="2" t="s">
        <v>1708</v>
      </c>
      <c r="C45" s="2" t="s">
        <v>423</v>
      </c>
      <c r="D45" s="2" t="s">
        <v>2</v>
      </c>
      <c r="E45" s="2">
        <v>79.64</v>
      </c>
      <c r="F45" s="2">
        <v>10</v>
      </c>
      <c r="G45" s="2">
        <v>3</v>
      </c>
      <c r="H45" s="2">
        <v>330138</v>
      </c>
      <c r="I45" s="2">
        <v>100</v>
      </c>
      <c r="J45" s="2" t="s">
        <v>1650</v>
      </c>
      <c r="K45" s="2">
        <v>73</v>
      </c>
      <c r="L45" s="2">
        <v>25</v>
      </c>
      <c r="M45" s="2">
        <v>10</v>
      </c>
      <c r="N45" s="2">
        <v>8</v>
      </c>
      <c r="O45" s="2">
        <v>20</v>
      </c>
      <c r="P45" s="2">
        <v>10</v>
      </c>
      <c r="Q45" s="2" t="s">
        <v>1709</v>
      </c>
      <c r="R45" s="2" t="s">
        <v>199</v>
      </c>
      <c r="S45" s="4">
        <v>44837</v>
      </c>
    </row>
    <row r="46" spans="1:19" ht="12.5" x14ac:dyDescent="0.25">
      <c r="A46" s="14" t="str">
        <f>HYPERLINK("https://gerandofalcoes.my.salesforce.com/0014P00003AN2GOQA1", "0014P00003AN2GOQA1")</f>
        <v>0014P00003AN2GOQA1</v>
      </c>
      <c r="B46" s="2" t="s">
        <v>1710</v>
      </c>
      <c r="C46" s="2" t="s">
        <v>423</v>
      </c>
      <c r="D46" s="2" t="s">
        <v>27</v>
      </c>
      <c r="E46" s="2">
        <v>79</v>
      </c>
      <c r="F46" s="2">
        <v>10</v>
      </c>
      <c r="G46" s="2">
        <v>3</v>
      </c>
      <c r="H46" s="2">
        <v>230836.02</v>
      </c>
      <c r="I46" s="2">
        <v>124</v>
      </c>
      <c r="J46" s="2" t="s">
        <v>1650</v>
      </c>
      <c r="K46" s="2">
        <v>68</v>
      </c>
      <c r="L46" s="2">
        <v>25</v>
      </c>
      <c r="M46" s="2">
        <v>10</v>
      </c>
      <c r="N46" s="2">
        <v>8</v>
      </c>
      <c r="O46" s="2">
        <v>15</v>
      </c>
      <c r="P46" s="2">
        <v>10</v>
      </c>
      <c r="Q46" s="2" t="s">
        <v>46</v>
      </c>
      <c r="R46" s="2" t="s">
        <v>1711</v>
      </c>
      <c r="S46" s="4">
        <v>44837</v>
      </c>
    </row>
    <row r="47" spans="1:19" ht="12.5" x14ac:dyDescent="0.25">
      <c r="A47" s="14" t="str">
        <f>HYPERLINK("https://gerandofalcoes.my.salesforce.com/0014P00003AN2G5QAL", "0014P00003AN2G5QAL")</f>
        <v>0014P00003AN2G5QAL</v>
      </c>
      <c r="B47" s="2" t="s">
        <v>1712</v>
      </c>
      <c r="C47" s="2" t="s">
        <v>423</v>
      </c>
      <c r="D47" s="2" t="s">
        <v>27</v>
      </c>
      <c r="E47" s="2">
        <v>78</v>
      </c>
      <c r="F47" s="2">
        <v>19</v>
      </c>
      <c r="G47" s="2">
        <v>3</v>
      </c>
      <c r="H47" s="2">
        <v>1912288.57</v>
      </c>
      <c r="I47" s="2">
        <v>193</v>
      </c>
      <c r="J47" s="2" t="s">
        <v>1654</v>
      </c>
      <c r="K47" s="2">
        <v>82</v>
      </c>
      <c r="L47" s="2">
        <v>25</v>
      </c>
      <c r="M47" s="2">
        <v>12</v>
      </c>
      <c r="N47" s="2">
        <v>8</v>
      </c>
      <c r="O47" s="2">
        <v>25</v>
      </c>
      <c r="P47" s="2">
        <v>12</v>
      </c>
      <c r="Q47" s="2" t="s">
        <v>156</v>
      </c>
      <c r="R47" s="2" t="s">
        <v>156</v>
      </c>
      <c r="S47" s="4">
        <v>44837</v>
      </c>
    </row>
    <row r="48" spans="1:19" ht="12.5" x14ac:dyDescent="0.25">
      <c r="A48" s="14" t="str">
        <f>HYPERLINK("https://gerandofalcoes.my.salesforce.com/0014P00003AN76yQAD", "0014P00003AN76yQAD")</f>
        <v>0014P00003AN76yQAD</v>
      </c>
      <c r="B48" s="2" t="s">
        <v>49</v>
      </c>
      <c r="C48" s="2" t="s">
        <v>423</v>
      </c>
      <c r="D48" s="2" t="s">
        <v>27</v>
      </c>
      <c r="E48" s="2">
        <v>77.38</v>
      </c>
      <c r="F48" s="2">
        <v>6</v>
      </c>
      <c r="G48" s="2">
        <v>2</v>
      </c>
      <c r="H48" s="2">
        <v>80000</v>
      </c>
      <c r="I48" s="2">
        <v>80</v>
      </c>
      <c r="J48" s="2" t="s">
        <v>1671</v>
      </c>
      <c r="K48" s="2">
        <v>61</v>
      </c>
      <c r="L48" s="2">
        <v>25</v>
      </c>
      <c r="M48" s="2">
        <v>10</v>
      </c>
      <c r="N48" s="2">
        <v>6</v>
      </c>
      <c r="O48" s="2">
        <v>10</v>
      </c>
      <c r="P48" s="2">
        <v>10</v>
      </c>
      <c r="Q48" s="2" t="s">
        <v>1716</v>
      </c>
      <c r="R48" s="2" t="s">
        <v>1716</v>
      </c>
      <c r="S48" s="4">
        <v>44837</v>
      </c>
    </row>
    <row r="49" spans="1:19" ht="12.5" x14ac:dyDescent="0.25">
      <c r="A49" s="14" t="str">
        <f>HYPERLINK("https://gerandofalcoes.my.salesforce.com/0014P00003YSp8fQAD", "0014P00003YSp8fQAD")</f>
        <v>0014P00003YSp8fQAD</v>
      </c>
      <c r="B49" s="2" t="s">
        <v>1713</v>
      </c>
      <c r="C49" s="2" t="s">
        <v>423</v>
      </c>
      <c r="D49" s="2" t="s">
        <v>2</v>
      </c>
      <c r="E49" s="2">
        <v>77.38</v>
      </c>
      <c r="F49" s="2">
        <v>7</v>
      </c>
      <c r="G49" s="2">
        <v>5</v>
      </c>
      <c r="H49" s="2">
        <v>19685789</v>
      </c>
      <c r="I49" s="2">
        <v>215</v>
      </c>
      <c r="J49" s="2" t="s">
        <v>1654</v>
      </c>
      <c r="K49" s="2">
        <v>82</v>
      </c>
      <c r="L49" s="2">
        <v>25</v>
      </c>
      <c r="M49" s="2">
        <v>10</v>
      </c>
      <c r="N49" s="2">
        <v>10</v>
      </c>
      <c r="O49" s="2">
        <v>25</v>
      </c>
      <c r="P49" s="2">
        <v>12</v>
      </c>
      <c r="Q49" s="2" t="s">
        <v>1714</v>
      </c>
      <c r="R49" s="2" t="s">
        <v>1715</v>
      </c>
      <c r="S49" s="4">
        <v>44837</v>
      </c>
    </row>
    <row r="50" spans="1:19" ht="12.5" x14ac:dyDescent="0.25">
      <c r="A50" s="14" t="str">
        <f>HYPERLINK("https://gerandofalcoes.my.salesforce.com/0014X00002PUOZAQA5", "0014X00002PUOZAQA5")</f>
        <v>0014X00002PUOZAQA5</v>
      </c>
      <c r="B50" s="2" t="s">
        <v>1717</v>
      </c>
      <c r="C50" s="2" t="s">
        <v>423</v>
      </c>
      <c r="D50" s="2" t="s">
        <v>2</v>
      </c>
      <c r="E50" s="2">
        <v>76.81</v>
      </c>
      <c r="F50" s="2">
        <v>0</v>
      </c>
      <c r="G50" s="2">
        <v>3</v>
      </c>
      <c r="H50" s="2">
        <v>286000</v>
      </c>
      <c r="I50" s="2">
        <v>127</v>
      </c>
      <c r="J50" s="2" t="s">
        <v>1671</v>
      </c>
      <c r="K50" s="2">
        <v>58</v>
      </c>
      <c r="L50" s="2">
        <v>25</v>
      </c>
      <c r="M50" s="2">
        <v>0</v>
      </c>
      <c r="N50" s="2">
        <v>8</v>
      </c>
      <c r="O50" s="2">
        <v>15</v>
      </c>
      <c r="P50" s="2">
        <v>10</v>
      </c>
      <c r="Q50" s="2" t="s">
        <v>1718</v>
      </c>
      <c r="R50" s="2" t="s">
        <v>1718</v>
      </c>
      <c r="S50" s="4">
        <v>44837</v>
      </c>
    </row>
    <row r="51" spans="1:19" ht="12.5" x14ac:dyDescent="0.25">
      <c r="A51" s="14" t="str">
        <f>HYPERLINK("https://gerandofalcoes.my.salesforce.com/0014P00003ESKdlQAH", "0014P00003ESKdlQAH")</f>
        <v>0014P00003ESKdlQAH</v>
      </c>
      <c r="B51" s="2" t="s">
        <v>1719</v>
      </c>
      <c r="C51" s="2" t="s">
        <v>423</v>
      </c>
      <c r="D51" s="2" t="s">
        <v>2</v>
      </c>
      <c r="E51" s="2">
        <v>76</v>
      </c>
      <c r="F51" s="2">
        <v>0</v>
      </c>
      <c r="G51" s="2">
        <v>3</v>
      </c>
      <c r="H51" s="2">
        <v>97514224</v>
      </c>
      <c r="I51" s="2">
        <v>500</v>
      </c>
      <c r="J51" s="2" t="s">
        <v>1650</v>
      </c>
      <c r="K51" s="2">
        <v>78</v>
      </c>
      <c r="L51" s="2">
        <v>25</v>
      </c>
      <c r="M51" s="2">
        <v>0</v>
      </c>
      <c r="N51" s="2">
        <v>8</v>
      </c>
      <c r="O51" s="2">
        <v>25</v>
      </c>
      <c r="P51" s="2">
        <v>20</v>
      </c>
      <c r="Q51" s="2" t="s">
        <v>898</v>
      </c>
      <c r="R51" s="2" t="s">
        <v>898</v>
      </c>
      <c r="S51" s="4">
        <v>44837</v>
      </c>
    </row>
    <row r="52" spans="1:19" ht="12.5" x14ac:dyDescent="0.25">
      <c r="A52" s="14" t="str">
        <f>HYPERLINK("https://gerandofalcoes.my.salesforce.com/0014P00003AN2GJQA1", "0014P00003AN2GJQA1")</f>
        <v>0014P00003AN2GJQA1</v>
      </c>
      <c r="B52" s="2" t="s">
        <v>1720</v>
      </c>
      <c r="C52" s="2" t="s">
        <v>423</v>
      </c>
      <c r="D52" s="2" t="s">
        <v>27</v>
      </c>
      <c r="E52" s="2">
        <v>76</v>
      </c>
      <c r="F52" s="2">
        <v>10</v>
      </c>
      <c r="G52" s="2">
        <v>2</v>
      </c>
      <c r="H52" s="2">
        <v>786451.23</v>
      </c>
      <c r="I52" s="2">
        <v>99</v>
      </c>
      <c r="J52" s="2" t="s">
        <v>1650</v>
      </c>
      <c r="K52" s="2">
        <v>71</v>
      </c>
      <c r="L52" s="2">
        <v>25</v>
      </c>
      <c r="M52" s="2">
        <v>10</v>
      </c>
      <c r="N52" s="2">
        <v>6</v>
      </c>
      <c r="O52" s="2">
        <v>20</v>
      </c>
      <c r="P52" s="2">
        <v>10</v>
      </c>
      <c r="Q52" s="2" t="s">
        <v>35</v>
      </c>
      <c r="R52" s="2" t="s">
        <v>1721</v>
      </c>
      <c r="S52" s="4">
        <v>44837</v>
      </c>
    </row>
    <row r="53" spans="1:19" ht="12.5" x14ac:dyDescent="0.25">
      <c r="A53" s="14" t="str">
        <f>HYPERLINK("https://gerandofalcoes.my.salesforce.com/0014P00003AN72DQAT", "0014P00003AN72DQAT")</f>
        <v>0014P00003AN72DQAT</v>
      </c>
      <c r="B53" s="2" t="s">
        <v>1722</v>
      </c>
      <c r="C53" s="2" t="s">
        <v>423</v>
      </c>
      <c r="D53" s="2" t="s">
        <v>2</v>
      </c>
      <c r="E53" s="2">
        <v>74</v>
      </c>
      <c r="F53" s="2">
        <v>35</v>
      </c>
      <c r="G53" s="2">
        <v>5</v>
      </c>
      <c r="H53" s="2">
        <v>1000000</v>
      </c>
      <c r="I53" s="2">
        <v>506</v>
      </c>
      <c r="J53" s="2" t="s">
        <v>1654</v>
      </c>
      <c r="K53" s="2">
        <v>90</v>
      </c>
      <c r="L53" s="2">
        <v>20</v>
      </c>
      <c r="M53" s="2">
        <v>15</v>
      </c>
      <c r="N53" s="2">
        <v>10</v>
      </c>
      <c r="O53" s="2">
        <v>25</v>
      </c>
      <c r="P53" s="2">
        <v>20</v>
      </c>
      <c r="Q53" s="2" t="s">
        <v>565</v>
      </c>
      <c r="R53" s="2" t="s">
        <v>565</v>
      </c>
      <c r="S53" s="4">
        <v>44837</v>
      </c>
    </row>
    <row r="54" spans="1:19" ht="12.5" x14ac:dyDescent="0.25">
      <c r="A54" s="14" t="str">
        <f>HYPERLINK("https://gerandofalcoes.my.salesforce.com/0014P00003AN2FwQAL", "0014P00003AN2FwQAL")</f>
        <v>0014P00003AN2FwQAL</v>
      </c>
      <c r="B54" s="2" t="s">
        <v>115</v>
      </c>
      <c r="C54" s="2" t="s">
        <v>423</v>
      </c>
      <c r="D54" s="2" t="s">
        <v>27</v>
      </c>
      <c r="E54" s="2">
        <v>73</v>
      </c>
      <c r="F54" s="2">
        <v>15</v>
      </c>
      <c r="G54" s="2">
        <v>1</v>
      </c>
      <c r="H54" s="2">
        <v>65923</v>
      </c>
      <c r="I54" s="2">
        <v>77</v>
      </c>
      <c r="J54" s="2" t="s">
        <v>1671</v>
      </c>
      <c r="K54" s="2">
        <v>51</v>
      </c>
      <c r="L54" s="2">
        <v>20</v>
      </c>
      <c r="M54" s="2">
        <v>12</v>
      </c>
      <c r="N54" s="2">
        <v>4</v>
      </c>
      <c r="O54" s="2">
        <v>10</v>
      </c>
      <c r="P54" s="2">
        <v>5</v>
      </c>
      <c r="Q54" s="2" t="s">
        <v>116</v>
      </c>
      <c r="R54" s="2" t="s">
        <v>1723</v>
      </c>
      <c r="S54" s="4">
        <v>44837</v>
      </c>
    </row>
    <row r="55" spans="1:19" ht="12.5" x14ac:dyDescent="0.25">
      <c r="A55" s="14" t="str">
        <f>HYPERLINK("https://gerandofalcoes.my.salesforce.com/0014X00002VKCrZQAX", "0014X00002VKCrZQAX")</f>
        <v>0014X00002VKCrZQAX</v>
      </c>
      <c r="B55" s="2" t="s">
        <v>1724</v>
      </c>
      <c r="C55" s="2" t="s">
        <v>423</v>
      </c>
      <c r="D55" s="2" t="s">
        <v>2</v>
      </c>
      <c r="E55" s="2">
        <v>72.430000000000007</v>
      </c>
      <c r="F55" s="2">
        <v>5</v>
      </c>
      <c r="G55" s="2">
        <v>7</v>
      </c>
      <c r="H55" s="2">
        <v>701915</v>
      </c>
      <c r="I55" s="2">
        <v>259</v>
      </c>
      <c r="J55" s="2" t="s">
        <v>1650</v>
      </c>
      <c r="K55" s="2">
        <v>67</v>
      </c>
      <c r="L55" s="2">
        <v>20</v>
      </c>
      <c r="M55" s="2">
        <v>5</v>
      </c>
      <c r="N55" s="2">
        <v>10</v>
      </c>
      <c r="O55" s="2">
        <v>20</v>
      </c>
      <c r="P55" s="2">
        <v>12</v>
      </c>
      <c r="Q55" s="2" t="s">
        <v>1725</v>
      </c>
      <c r="R55" s="2" t="s">
        <v>1726</v>
      </c>
      <c r="S55" s="4">
        <v>44837</v>
      </c>
    </row>
    <row r="56" spans="1:19" ht="12.5" x14ac:dyDescent="0.25">
      <c r="A56" s="14" t="str">
        <f>HYPERLINK("https://gerandofalcoes.my.salesforce.com/0014P00003YSp83QAD", "0014P00003YSp83QAD")</f>
        <v>0014P00003YSp83QAD</v>
      </c>
      <c r="B56" s="2" t="s">
        <v>1727</v>
      </c>
      <c r="C56" s="2" t="s">
        <v>423</v>
      </c>
      <c r="D56" s="2" t="s">
        <v>2</v>
      </c>
      <c r="E56" s="2">
        <v>71.08</v>
      </c>
      <c r="F56" s="2">
        <v>3</v>
      </c>
      <c r="G56" s="2">
        <v>2</v>
      </c>
      <c r="H56" s="2">
        <v>15844866</v>
      </c>
      <c r="I56" s="2">
        <v>502</v>
      </c>
      <c r="J56" s="2" t="s">
        <v>1650</v>
      </c>
      <c r="K56" s="2">
        <v>76</v>
      </c>
      <c r="L56" s="2">
        <v>20</v>
      </c>
      <c r="M56" s="2">
        <v>5</v>
      </c>
      <c r="N56" s="2">
        <v>6</v>
      </c>
      <c r="O56" s="2">
        <v>25</v>
      </c>
      <c r="P56" s="2">
        <v>20</v>
      </c>
      <c r="Q56" s="2" t="s">
        <v>1728</v>
      </c>
      <c r="R56" s="2" t="s">
        <v>1729</v>
      </c>
      <c r="S56" s="4">
        <v>44837</v>
      </c>
    </row>
    <row r="57" spans="1:19" ht="12.5" x14ac:dyDescent="0.25">
      <c r="A57" s="14" t="str">
        <f>HYPERLINK("https://gerandofalcoes.my.salesforce.com/0014P00003AN2GMQA1", "0014P00003AN2GMQA1")</f>
        <v>0014P00003AN2GMQA1</v>
      </c>
      <c r="B57" s="2" t="s">
        <v>1730</v>
      </c>
      <c r="C57" s="2" t="s">
        <v>423</v>
      </c>
      <c r="D57" s="2" t="s">
        <v>27</v>
      </c>
      <c r="E57" s="2">
        <v>71</v>
      </c>
      <c r="F57" s="2">
        <v>7</v>
      </c>
      <c r="G57" s="2">
        <v>2</v>
      </c>
      <c r="H57" s="2">
        <v>225804.57</v>
      </c>
      <c r="I57" s="2">
        <v>93</v>
      </c>
      <c r="J57" s="2" t="s">
        <v>1671</v>
      </c>
      <c r="K57" s="2">
        <v>61</v>
      </c>
      <c r="L57" s="2">
        <v>20</v>
      </c>
      <c r="M57" s="2">
        <v>10</v>
      </c>
      <c r="N57" s="2">
        <v>6</v>
      </c>
      <c r="O57" s="2">
        <v>15</v>
      </c>
      <c r="P57" s="2">
        <v>10</v>
      </c>
      <c r="Q57" s="2" t="s">
        <v>39</v>
      </c>
      <c r="R57" s="2" t="s">
        <v>39</v>
      </c>
      <c r="S57" s="4">
        <v>44837</v>
      </c>
    </row>
    <row r="58" spans="1:19" ht="12.5" x14ac:dyDescent="0.25">
      <c r="A58" s="14" t="str">
        <f>HYPERLINK("https://gerandofalcoes.my.salesforce.com/0014X00002VKCpdQAH", "0014X00002VKCpdQAH")</f>
        <v>0014X00002VKCpdQAH</v>
      </c>
      <c r="B58" s="2" t="s">
        <v>1731</v>
      </c>
      <c r="C58" s="2" t="s">
        <v>423</v>
      </c>
      <c r="D58" s="2" t="s">
        <v>2</v>
      </c>
      <c r="E58" s="2">
        <v>70.47</v>
      </c>
      <c r="F58" s="2">
        <v>22</v>
      </c>
      <c r="G58" s="2">
        <v>3</v>
      </c>
      <c r="H58" s="2">
        <v>1200000</v>
      </c>
      <c r="I58" s="2">
        <v>520</v>
      </c>
      <c r="J58" s="2" t="s">
        <v>1654</v>
      </c>
      <c r="K58" s="2">
        <v>85</v>
      </c>
      <c r="L58" s="2">
        <v>20</v>
      </c>
      <c r="M58" s="2">
        <v>12</v>
      </c>
      <c r="N58" s="2">
        <v>8</v>
      </c>
      <c r="O58" s="2">
        <v>25</v>
      </c>
      <c r="P58" s="2">
        <v>20</v>
      </c>
      <c r="Q58" s="2" t="s">
        <v>1732</v>
      </c>
      <c r="R58" s="2" t="s">
        <v>1733</v>
      </c>
      <c r="S58" s="4">
        <v>44837</v>
      </c>
    </row>
    <row r="59" spans="1:19" ht="12.5" x14ac:dyDescent="0.25">
      <c r="A59" s="14" t="str">
        <f>HYPERLINK("https://gerandofalcoes.my.salesforce.com/0014P00003Ck8NjQAJ", "0014P00003Ck8NjQAJ")</f>
        <v>0014P00003Ck8NjQAJ</v>
      </c>
      <c r="B59" s="2" t="s">
        <v>1734</v>
      </c>
      <c r="C59" s="2" t="s">
        <v>423</v>
      </c>
      <c r="D59" s="2" t="s">
        <v>2</v>
      </c>
      <c r="E59" s="2">
        <v>70.44</v>
      </c>
      <c r="F59" s="2">
        <v>30</v>
      </c>
      <c r="G59" s="2">
        <v>4</v>
      </c>
      <c r="H59" s="2">
        <v>168000</v>
      </c>
      <c r="I59" s="2">
        <v>200</v>
      </c>
      <c r="J59" s="2" t="s">
        <v>1650</v>
      </c>
      <c r="K59" s="2">
        <v>69</v>
      </c>
      <c r="L59" s="2">
        <v>20</v>
      </c>
      <c r="M59" s="2">
        <v>12</v>
      </c>
      <c r="N59" s="2">
        <v>10</v>
      </c>
      <c r="O59" s="2">
        <v>15</v>
      </c>
      <c r="P59" s="2">
        <v>12</v>
      </c>
      <c r="Q59" s="2" t="s">
        <v>1735</v>
      </c>
      <c r="R59" s="2" t="s">
        <v>1735</v>
      </c>
      <c r="S59" s="4">
        <v>44837</v>
      </c>
    </row>
    <row r="60" spans="1:19" ht="12.5" x14ac:dyDescent="0.25">
      <c r="A60" s="14" t="str">
        <f>HYPERLINK("https://gerandofalcoes.my.salesforce.com/0014P00003YSpADQA1", "0014P00003YSpADQA1")</f>
        <v>0014P00003YSpADQA1</v>
      </c>
      <c r="B60" s="2" t="s">
        <v>1736</v>
      </c>
      <c r="C60" s="2" t="s">
        <v>423</v>
      </c>
      <c r="D60" s="2" t="s">
        <v>2</v>
      </c>
      <c r="E60" s="2">
        <v>70.09</v>
      </c>
      <c r="F60" s="2">
        <v>10</v>
      </c>
      <c r="G60" s="2">
        <v>7</v>
      </c>
      <c r="H60" s="2">
        <v>595384</v>
      </c>
      <c r="I60" s="2">
        <v>246</v>
      </c>
      <c r="J60" s="2" t="s">
        <v>1650</v>
      </c>
      <c r="K60" s="2">
        <v>72</v>
      </c>
      <c r="L60" s="2">
        <v>20</v>
      </c>
      <c r="M60" s="2">
        <v>10</v>
      </c>
      <c r="N60" s="2">
        <v>10</v>
      </c>
      <c r="O60" s="2">
        <v>20</v>
      </c>
      <c r="P60" s="2">
        <v>12</v>
      </c>
      <c r="Q60" s="2" t="s">
        <v>1737</v>
      </c>
      <c r="R60" s="2" t="s">
        <v>1737</v>
      </c>
      <c r="S60" s="4">
        <v>44837</v>
      </c>
    </row>
    <row r="61" spans="1:19" ht="12.5" x14ac:dyDescent="0.25">
      <c r="A61" s="14" t="str">
        <f>HYPERLINK("https://gerandofalcoes.my.salesforce.com/0014P00003AN2FVQA1", "0014P00003AN2FVQA1")</f>
        <v>0014P00003AN2FVQA1</v>
      </c>
      <c r="B61" s="2" t="s">
        <v>1738</v>
      </c>
      <c r="C61" s="2" t="s">
        <v>423</v>
      </c>
      <c r="D61" s="2" t="s">
        <v>2</v>
      </c>
      <c r="E61" s="2">
        <v>70</v>
      </c>
      <c r="F61" s="2">
        <v>22</v>
      </c>
      <c r="G61" s="2">
        <v>3</v>
      </c>
      <c r="H61" s="2">
        <v>1385871</v>
      </c>
      <c r="I61" s="2">
        <v>700</v>
      </c>
      <c r="J61" s="2" t="s">
        <v>1654</v>
      </c>
      <c r="K61" s="2">
        <v>85</v>
      </c>
      <c r="L61" s="2">
        <v>20</v>
      </c>
      <c r="M61" s="2">
        <v>12</v>
      </c>
      <c r="N61" s="2">
        <v>8</v>
      </c>
      <c r="O61" s="2">
        <v>25</v>
      </c>
      <c r="P61" s="2">
        <v>20</v>
      </c>
      <c r="Q61" s="2" t="s">
        <v>632</v>
      </c>
      <c r="R61" s="2" t="s">
        <v>632</v>
      </c>
      <c r="S61" s="4">
        <v>44837</v>
      </c>
    </row>
    <row r="62" spans="1:19" ht="12.5" x14ac:dyDescent="0.25">
      <c r="A62" s="14" t="str">
        <f>HYPERLINK("https://gerandofalcoes.my.salesforce.com/0014P00003SGWPxQAP", "0014P00003SGWPxQAP")</f>
        <v>0014P00003SGWPxQAP</v>
      </c>
      <c r="B62" s="2" t="s">
        <v>1739</v>
      </c>
      <c r="C62" s="2" t="s">
        <v>423</v>
      </c>
      <c r="D62" s="2" t="s">
        <v>2</v>
      </c>
      <c r="E62" s="2">
        <v>67.709999999999994</v>
      </c>
      <c r="F62" s="2">
        <v>4</v>
      </c>
      <c r="G62" s="2">
        <v>3</v>
      </c>
      <c r="H62" s="2">
        <v>135000</v>
      </c>
      <c r="I62" s="2">
        <v>442</v>
      </c>
      <c r="J62" s="2" t="s">
        <v>1671</v>
      </c>
      <c r="K62" s="2">
        <v>63</v>
      </c>
      <c r="L62" s="2">
        <v>20</v>
      </c>
      <c r="M62" s="2">
        <v>5</v>
      </c>
      <c r="N62" s="2">
        <v>8</v>
      </c>
      <c r="O62" s="2">
        <v>15</v>
      </c>
      <c r="P62" s="2">
        <v>15</v>
      </c>
      <c r="Q62" s="2" t="s">
        <v>1106</v>
      </c>
      <c r="R62" s="2" t="s">
        <v>1106</v>
      </c>
      <c r="S62" s="4">
        <v>44837</v>
      </c>
    </row>
    <row r="63" spans="1:19" ht="12.5" x14ac:dyDescent="0.25">
      <c r="A63" s="14" t="str">
        <f>HYPERLINK("https://gerandofalcoes.my.salesforce.com/0014P00003AN2G7QAL", "0014P00003AN2G7QAL")</f>
        <v>0014P00003AN2G7QAL</v>
      </c>
      <c r="B63" s="2" t="s">
        <v>1740</v>
      </c>
      <c r="C63" s="2" t="s">
        <v>423</v>
      </c>
      <c r="D63" s="2" t="s">
        <v>2</v>
      </c>
      <c r="E63" s="2">
        <v>67.37</v>
      </c>
      <c r="F63" s="2">
        <v>3</v>
      </c>
      <c r="G63" s="2">
        <v>4</v>
      </c>
      <c r="H63" s="2">
        <v>140000</v>
      </c>
      <c r="I63" s="2">
        <v>3</v>
      </c>
      <c r="J63" s="2" t="s">
        <v>1671</v>
      </c>
      <c r="K63" s="2">
        <v>55</v>
      </c>
      <c r="L63" s="2">
        <v>20</v>
      </c>
      <c r="M63" s="2">
        <v>5</v>
      </c>
      <c r="N63" s="2">
        <v>10</v>
      </c>
      <c r="O63" s="2">
        <v>15</v>
      </c>
      <c r="P63" s="2">
        <v>5</v>
      </c>
      <c r="Q63" s="2" t="s">
        <v>945</v>
      </c>
      <c r="R63" s="2" t="s">
        <v>945</v>
      </c>
      <c r="S63" s="4">
        <v>44837</v>
      </c>
    </row>
    <row r="64" spans="1:19" ht="12.5" x14ac:dyDescent="0.25">
      <c r="A64" s="14" t="str">
        <f>HYPERLINK("https://gerandofalcoes.my.salesforce.com/0014X00002VKCqlQAH", "0014X00002VKCqlQAH")</f>
        <v>0014X00002VKCqlQAH</v>
      </c>
      <c r="B64" s="2" t="s">
        <v>1741</v>
      </c>
      <c r="C64" s="2" t="s">
        <v>423</v>
      </c>
      <c r="D64" s="2" t="s">
        <v>2</v>
      </c>
      <c r="E64" s="2">
        <v>67.11</v>
      </c>
      <c r="F64" s="2">
        <v>5</v>
      </c>
      <c r="G64" s="2">
        <v>3</v>
      </c>
      <c r="H64" s="2">
        <v>300000</v>
      </c>
      <c r="I64" s="2">
        <v>83</v>
      </c>
      <c r="J64" s="2" t="s">
        <v>1671</v>
      </c>
      <c r="K64" s="2">
        <v>63</v>
      </c>
      <c r="L64" s="2">
        <v>20</v>
      </c>
      <c r="M64" s="2">
        <v>5</v>
      </c>
      <c r="N64" s="2">
        <v>8</v>
      </c>
      <c r="O64" s="2">
        <v>20</v>
      </c>
      <c r="P64" s="2">
        <v>10</v>
      </c>
      <c r="Q64" s="2" t="s">
        <v>1742</v>
      </c>
      <c r="R64" s="2" t="s">
        <v>1743</v>
      </c>
      <c r="S64" s="4">
        <v>44837</v>
      </c>
    </row>
    <row r="65" spans="1:19" ht="12.5" x14ac:dyDescent="0.25">
      <c r="A65" s="14" t="str">
        <f>HYPERLINK("https://gerandofalcoes.my.salesforce.com/0014P00003AN2G1QAL", "0014P00003AN2G1QAL")</f>
        <v>0014P00003AN2G1QAL</v>
      </c>
      <c r="B65" s="2" t="s">
        <v>1744</v>
      </c>
      <c r="C65" s="2" t="s">
        <v>423</v>
      </c>
      <c r="D65" s="2" t="s">
        <v>2</v>
      </c>
      <c r="E65" s="2">
        <v>66.45</v>
      </c>
      <c r="F65" s="2">
        <v>10</v>
      </c>
      <c r="G65" s="2">
        <v>2</v>
      </c>
      <c r="H65" s="2">
        <v>1545600</v>
      </c>
      <c r="I65" s="2">
        <v>123</v>
      </c>
      <c r="J65" s="2" t="s">
        <v>1650</v>
      </c>
      <c r="K65" s="2">
        <v>71</v>
      </c>
      <c r="L65" s="2">
        <v>20</v>
      </c>
      <c r="M65" s="2">
        <v>10</v>
      </c>
      <c r="N65" s="2">
        <v>6</v>
      </c>
      <c r="O65" s="2">
        <v>25</v>
      </c>
      <c r="P65" s="2">
        <v>10</v>
      </c>
      <c r="Q65" s="2" t="s">
        <v>839</v>
      </c>
      <c r="R65" s="2" t="s">
        <v>839</v>
      </c>
      <c r="S65" s="4">
        <v>44837</v>
      </c>
    </row>
    <row r="66" spans="1:19" ht="12.5" x14ac:dyDescent="0.25">
      <c r="A66" s="14" t="str">
        <f>HYPERLINK("https://gerandofalcoes.my.salesforce.com/0014P00003SGWFqQAP", "0014P00003SGWFqQAP")</f>
        <v>0014P00003SGWFqQAP</v>
      </c>
      <c r="B66" s="2" t="s">
        <v>343</v>
      </c>
      <c r="C66" s="2" t="s">
        <v>423</v>
      </c>
      <c r="D66" s="2" t="s">
        <v>2</v>
      </c>
      <c r="E66" s="2">
        <v>66.09</v>
      </c>
      <c r="F66" s="2">
        <v>10</v>
      </c>
      <c r="G66" s="2">
        <v>6</v>
      </c>
      <c r="H66" s="2">
        <v>796000</v>
      </c>
      <c r="I66" s="2">
        <v>80</v>
      </c>
      <c r="J66" s="2" t="s">
        <v>1650</v>
      </c>
      <c r="K66" s="2">
        <v>70</v>
      </c>
      <c r="L66" s="2">
        <v>20</v>
      </c>
      <c r="M66" s="2">
        <v>10</v>
      </c>
      <c r="N66" s="2">
        <v>10</v>
      </c>
      <c r="O66" s="2">
        <v>20</v>
      </c>
      <c r="P66" s="2">
        <v>10</v>
      </c>
      <c r="Q66" s="2" t="s">
        <v>344</v>
      </c>
      <c r="R66" s="2" t="s">
        <v>1479</v>
      </c>
      <c r="S66" s="4">
        <v>44837</v>
      </c>
    </row>
    <row r="67" spans="1:19" ht="12.5" x14ac:dyDescent="0.25">
      <c r="A67" s="14" t="str">
        <f>HYPERLINK("https://gerandofalcoes.my.salesforce.com/0014P00003AN2FvQAL", "0014P00003AN2FvQAL")</f>
        <v>0014P00003AN2FvQAL</v>
      </c>
      <c r="B67" s="2" t="s">
        <v>1746</v>
      </c>
      <c r="C67" s="2" t="s">
        <v>423</v>
      </c>
      <c r="D67" s="2" t="s">
        <v>27</v>
      </c>
      <c r="E67" s="2">
        <v>64</v>
      </c>
      <c r="F67" s="2">
        <v>7</v>
      </c>
      <c r="G67" s="2">
        <v>2</v>
      </c>
      <c r="H67" s="2">
        <v>109514.68</v>
      </c>
      <c r="I67" s="2">
        <v>127</v>
      </c>
      <c r="J67" s="2" t="s">
        <v>1671</v>
      </c>
      <c r="K67" s="2">
        <v>61</v>
      </c>
      <c r="L67" s="2">
        <v>20</v>
      </c>
      <c r="M67" s="2">
        <v>10</v>
      </c>
      <c r="N67" s="2">
        <v>6</v>
      </c>
      <c r="O67" s="2">
        <v>15</v>
      </c>
      <c r="P67" s="2">
        <v>10</v>
      </c>
      <c r="Q67" s="2" t="s">
        <v>142</v>
      </c>
      <c r="R67" s="2" t="s">
        <v>142</v>
      </c>
      <c r="S67" s="4">
        <v>44837</v>
      </c>
    </row>
    <row r="68" spans="1:19" ht="12.5" x14ac:dyDescent="0.25">
      <c r="A68" s="14" t="str">
        <f>HYPERLINK("https://gerandofalcoes.my.salesforce.com/0014P00003SGWPnQAP", "0014P00003SGWPnQAP")</f>
        <v>0014P00003SGWPnQAP</v>
      </c>
      <c r="B68" s="2" t="s">
        <v>1745</v>
      </c>
      <c r="C68" s="2" t="s">
        <v>423</v>
      </c>
      <c r="D68" s="2" t="s">
        <v>2</v>
      </c>
      <c r="E68" s="2">
        <v>64</v>
      </c>
      <c r="F68" s="2">
        <v>20</v>
      </c>
      <c r="G68" s="2">
        <v>1</v>
      </c>
      <c r="H68" s="2">
        <v>1266000</v>
      </c>
      <c r="I68" s="2">
        <v>250</v>
      </c>
      <c r="J68" s="2" t="s">
        <v>1650</v>
      </c>
      <c r="K68" s="2">
        <v>73</v>
      </c>
      <c r="L68" s="2">
        <v>20</v>
      </c>
      <c r="M68" s="2">
        <v>12</v>
      </c>
      <c r="N68" s="2">
        <v>4</v>
      </c>
      <c r="O68" s="2">
        <v>25</v>
      </c>
      <c r="P68" s="2">
        <v>12</v>
      </c>
      <c r="Q68" s="2" t="s">
        <v>319</v>
      </c>
      <c r="R68" s="2" t="s">
        <v>1379</v>
      </c>
      <c r="S68" s="4">
        <v>44837</v>
      </c>
    </row>
    <row r="69" spans="1:19" ht="12.5" x14ac:dyDescent="0.25">
      <c r="A69" s="14" t="str">
        <f>HYPERLINK("https://gerandofalcoes.my.salesforce.com/0014P00003AN2G4QAL", "0014P00003AN2G4QAL")</f>
        <v>0014P00003AN2G4QAL</v>
      </c>
      <c r="B69" s="2" t="s">
        <v>1747</v>
      </c>
      <c r="C69" s="2" t="s">
        <v>423</v>
      </c>
      <c r="D69" s="2" t="s">
        <v>27</v>
      </c>
      <c r="E69" s="2">
        <v>63.71</v>
      </c>
      <c r="F69" s="2">
        <v>0</v>
      </c>
      <c r="G69" s="2">
        <v>2</v>
      </c>
      <c r="H69" s="2">
        <v>37000</v>
      </c>
      <c r="I69" s="2">
        <v>180</v>
      </c>
      <c r="J69" s="2" t="s">
        <v>1671</v>
      </c>
      <c r="K69" s="2">
        <v>48</v>
      </c>
      <c r="L69" s="2">
        <v>20</v>
      </c>
      <c r="M69" s="2">
        <v>0</v>
      </c>
      <c r="N69" s="2">
        <v>6</v>
      </c>
      <c r="O69" s="2">
        <v>10</v>
      </c>
      <c r="P69" s="2">
        <v>12</v>
      </c>
      <c r="Q69" s="2" t="s">
        <v>925</v>
      </c>
      <c r="R69" s="2" t="s">
        <v>925</v>
      </c>
      <c r="S69" s="4">
        <v>44837</v>
      </c>
    </row>
    <row r="70" spans="1:19" ht="12.5" x14ac:dyDescent="0.25">
      <c r="A70" s="14" t="str">
        <f>HYPERLINK("https://gerandofalcoes.my.salesforce.com/0014X00002YgggrQAB", "0014X00002YgggrQAB")</f>
        <v>0014X00002YgggrQAB</v>
      </c>
      <c r="B70" s="2" t="s">
        <v>3232</v>
      </c>
      <c r="C70" s="2" t="s">
        <v>423</v>
      </c>
      <c r="D70" s="2" t="s">
        <v>2</v>
      </c>
      <c r="E70" s="2">
        <v>63.18</v>
      </c>
      <c r="F70" s="2">
        <v>0</v>
      </c>
      <c r="G70" s="2">
        <v>6</v>
      </c>
      <c r="H70" s="2">
        <v>50000</v>
      </c>
      <c r="I70" s="2">
        <v>84</v>
      </c>
      <c r="J70" s="2" t="s">
        <v>1671</v>
      </c>
      <c r="K70" s="2">
        <v>50</v>
      </c>
      <c r="L70" s="2">
        <v>20</v>
      </c>
      <c r="M70" s="2">
        <v>0</v>
      </c>
      <c r="N70" s="2">
        <v>10</v>
      </c>
      <c r="O70" s="2">
        <v>10</v>
      </c>
      <c r="P70" s="2">
        <v>10</v>
      </c>
      <c r="Q70" s="2" t="s">
        <v>3233</v>
      </c>
      <c r="R70" s="2" t="s">
        <v>3234</v>
      </c>
      <c r="S70" s="4">
        <v>44952</v>
      </c>
    </row>
    <row r="71" spans="1:19" ht="12.5" x14ac:dyDescent="0.25">
      <c r="A71" s="14" t="str">
        <f>HYPERLINK("https://gerandofalcoes.my.salesforce.com/0014P00003I7WH2QAN", "0014P00003I7WH2QAN")</f>
        <v>0014P00003I7WH2QAN</v>
      </c>
      <c r="B71" s="2" t="s">
        <v>1748</v>
      </c>
      <c r="C71" s="2" t="s">
        <v>423</v>
      </c>
      <c r="D71" s="2" t="s">
        <v>2</v>
      </c>
      <c r="E71" s="2">
        <v>63.15</v>
      </c>
      <c r="F71" s="2">
        <v>5</v>
      </c>
      <c r="G71" s="2">
        <v>3</v>
      </c>
      <c r="H71" s="2">
        <v>300000</v>
      </c>
      <c r="I71" s="2">
        <v>216</v>
      </c>
      <c r="J71" s="2" t="s">
        <v>1650</v>
      </c>
      <c r="K71" s="2">
        <v>65</v>
      </c>
      <c r="L71" s="2">
        <v>20</v>
      </c>
      <c r="M71" s="2">
        <v>5</v>
      </c>
      <c r="N71" s="2">
        <v>8</v>
      </c>
      <c r="O71" s="2">
        <v>20</v>
      </c>
      <c r="P71" s="2">
        <v>12</v>
      </c>
      <c r="Q71" s="2" t="s">
        <v>1749</v>
      </c>
      <c r="R71" s="2" t="s">
        <v>906</v>
      </c>
      <c r="S71" s="4">
        <v>44837</v>
      </c>
    </row>
    <row r="72" spans="1:19" ht="12.5" x14ac:dyDescent="0.25">
      <c r="A72" s="14" t="str">
        <f>HYPERLINK("https://gerandofalcoes.my.salesforce.com/0014X00002VKCtyQAH", "0014X00002VKCtyQAH")</f>
        <v>0014X00002VKCtyQAH</v>
      </c>
      <c r="B72" s="2" t="s">
        <v>1750</v>
      </c>
      <c r="C72" s="2" t="s">
        <v>423</v>
      </c>
      <c r="D72" s="2" t="s">
        <v>2</v>
      </c>
      <c r="E72" s="2">
        <v>63</v>
      </c>
      <c r="F72" s="2">
        <v>0</v>
      </c>
      <c r="G72" s="2">
        <v>4</v>
      </c>
      <c r="H72" s="2">
        <v>50000</v>
      </c>
      <c r="I72" s="2">
        <v>45</v>
      </c>
      <c r="J72" s="2" t="s">
        <v>1671</v>
      </c>
      <c r="K72" s="2">
        <v>45</v>
      </c>
      <c r="L72" s="2">
        <v>20</v>
      </c>
      <c r="M72" s="2">
        <v>0</v>
      </c>
      <c r="N72" s="2">
        <v>10</v>
      </c>
      <c r="O72" s="2">
        <v>10</v>
      </c>
      <c r="P72" s="2">
        <v>5</v>
      </c>
      <c r="Q72" s="2" t="s">
        <v>1751</v>
      </c>
      <c r="R72" s="2" t="s">
        <v>1752</v>
      </c>
      <c r="S72" s="4">
        <v>44837</v>
      </c>
    </row>
    <row r="73" spans="1:19" ht="12.5" x14ac:dyDescent="0.25">
      <c r="A73" s="14" t="str">
        <f>HYPERLINK("https://gerandofalcoes.my.salesforce.com/0014P00003AN2FgQAL", "0014P00003AN2FgQAL")</f>
        <v>0014P00003AN2FgQAL</v>
      </c>
      <c r="B73" s="2" t="s">
        <v>109</v>
      </c>
      <c r="C73" s="2" t="s">
        <v>1800</v>
      </c>
      <c r="D73" s="2" t="s">
        <v>2</v>
      </c>
      <c r="E73" s="2">
        <v>62.56</v>
      </c>
      <c r="F73" s="2">
        <v>2</v>
      </c>
      <c r="G73" s="2">
        <v>7</v>
      </c>
      <c r="H73" s="2">
        <v>290735</v>
      </c>
      <c r="I73" s="2">
        <v>750</v>
      </c>
      <c r="J73" s="2" t="s">
        <v>1650</v>
      </c>
      <c r="K73" s="2">
        <v>70</v>
      </c>
      <c r="L73" s="2">
        <v>20</v>
      </c>
      <c r="M73" s="2">
        <v>5</v>
      </c>
      <c r="N73" s="2">
        <v>10</v>
      </c>
      <c r="O73" s="2">
        <v>15</v>
      </c>
      <c r="P73" s="2">
        <v>20</v>
      </c>
      <c r="Q73" s="2" t="s">
        <v>110</v>
      </c>
      <c r="R73" s="2" t="s">
        <v>110</v>
      </c>
      <c r="S73" s="4">
        <v>44837</v>
      </c>
    </row>
    <row r="74" spans="1:19" ht="12.5" x14ac:dyDescent="0.25">
      <c r="A74" s="14" t="str">
        <f>HYPERLINK("https://gerandofalcoes.my.salesforce.com/0014P00003AN2FkQAL", "0014P00003AN2FkQAL")</f>
        <v>0014P00003AN2FkQAL</v>
      </c>
      <c r="B74" s="2" t="s">
        <v>1753</v>
      </c>
      <c r="C74" s="2" t="s">
        <v>423</v>
      </c>
      <c r="D74" s="2" t="s">
        <v>27</v>
      </c>
      <c r="E74" s="2">
        <v>62.55</v>
      </c>
      <c r="F74" s="2">
        <v>0</v>
      </c>
      <c r="G74" s="2">
        <v>4</v>
      </c>
      <c r="H74" s="2">
        <v>45000</v>
      </c>
      <c r="I74" s="2">
        <v>700</v>
      </c>
      <c r="J74" s="2" t="s">
        <v>1671</v>
      </c>
      <c r="K74" s="2">
        <v>60</v>
      </c>
      <c r="L74" s="2">
        <v>20</v>
      </c>
      <c r="M74" s="2">
        <v>0</v>
      </c>
      <c r="N74" s="2">
        <v>10</v>
      </c>
      <c r="O74" s="2">
        <v>10</v>
      </c>
      <c r="P74" s="2">
        <v>20</v>
      </c>
      <c r="Q74" s="2" t="s">
        <v>1754</v>
      </c>
      <c r="R74" s="2" t="s">
        <v>738</v>
      </c>
      <c r="S74" s="4">
        <v>44837</v>
      </c>
    </row>
    <row r="75" spans="1:19" ht="12.5" x14ac:dyDescent="0.25">
      <c r="A75" s="14" t="str">
        <f>HYPERLINK("https://gerandofalcoes.my.salesforce.com/0014P00003YSp87QAD", "0014P00003YSp87QAD")</f>
        <v>0014P00003YSp87QAD</v>
      </c>
      <c r="B75" s="2" t="s">
        <v>1755</v>
      </c>
      <c r="C75" s="2" t="s">
        <v>423</v>
      </c>
      <c r="D75" s="2" t="s">
        <v>2</v>
      </c>
      <c r="E75" s="2">
        <v>62.5</v>
      </c>
      <c r="F75" s="2">
        <v>19</v>
      </c>
      <c r="G75" s="2">
        <v>3</v>
      </c>
      <c r="H75" s="2">
        <v>223000</v>
      </c>
      <c r="I75" s="2">
        <v>50</v>
      </c>
      <c r="J75" s="2" t="s">
        <v>1671</v>
      </c>
      <c r="K75" s="2">
        <v>60</v>
      </c>
      <c r="L75" s="2">
        <v>20</v>
      </c>
      <c r="M75" s="2">
        <v>12</v>
      </c>
      <c r="N75" s="2">
        <v>8</v>
      </c>
      <c r="O75" s="2">
        <v>15</v>
      </c>
      <c r="P75" s="2">
        <v>5</v>
      </c>
      <c r="Q75" s="2" t="s">
        <v>1756</v>
      </c>
      <c r="R75" s="2" t="s">
        <v>1757</v>
      </c>
      <c r="S75" s="4">
        <v>44837</v>
      </c>
    </row>
    <row r="76" spans="1:19" ht="12.5" x14ac:dyDescent="0.25">
      <c r="A76" s="14" t="str">
        <f>HYPERLINK("https://gerandofalcoes.my.salesforce.com/0014X00002VKCqRQAX", "0014X00002VKCqRQAX")</f>
        <v>0014X00002VKCqRQAX</v>
      </c>
      <c r="B76" s="2" t="s">
        <v>1758</v>
      </c>
      <c r="C76" s="2" t="s">
        <v>423</v>
      </c>
      <c r="D76" s="2" t="s">
        <v>2</v>
      </c>
      <c r="E76" s="2">
        <v>61.97</v>
      </c>
      <c r="F76" s="2">
        <v>0</v>
      </c>
      <c r="G76" s="2">
        <v>6</v>
      </c>
      <c r="H76" s="2">
        <v>112190</v>
      </c>
      <c r="I76" s="2">
        <v>197</v>
      </c>
      <c r="J76" s="2" t="s">
        <v>1671</v>
      </c>
      <c r="K76" s="2">
        <v>57</v>
      </c>
      <c r="L76" s="2">
        <v>20</v>
      </c>
      <c r="M76" s="2">
        <v>0</v>
      </c>
      <c r="N76" s="2">
        <v>10</v>
      </c>
      <c r="O76" s="2">
        <v>15</v>
      </c>
      <c r="P76" s="2">
        <v>12</v>
      </c>
      <c r="Q76" s="2" t="s">
        <v>1759</v>
      </c>
      <c r="R76" s="2" t="s">
        <v>1760</v>
      </c>
      <c r="S76" s="4">
        <v>44837</v>
      </c>
    </row>
    <row r="77" spans="1:19" ht="12.5" x14ac:dyDescent="0.25">
      <c r="A77" s="14" t="str">
        <f>HYPERLINK("https://gerandofalcoes.my.salesforce.com/0014X00002YggnoQAB", "0014X00002YggnoQAB")</f>
        <v>0014X00002YggnoQAB</v>
      </c>
      <c r="B77" s="2" t="s">
        <v>3644</v>
      </c>
      <c r="C77" s="2" t="s">
        <v>423</v>
      </c>
      <c r="D77" s="2" t="s">
        <v>2</v>
      </c>
      <c r="E77" s="2">
        <v>61.94</v>
      </c>
      <c r="F77" s="2">
        <v>11</v>
      </c>
      <c r="G77" s="2">
        <v>5</v>
      </c>
      <c r="H77" s="2">
        <v>442412</v>
      </c>
      <c r="I77" s="2">
        <v>200</v>
      </c>
      <c r="J77" s="2" t="s">
        <v>1650</v>
      </c>
      <c r="K77" s="2">
        <v>74</v>
      </c>
      <c r="L77" s="2">
        <v>20</v>
      </c>
      <c r="M77" s="2">
        <v>12</v>
      </c>
      <c r="N77" s="2">
        <v>10</v>
      </c>
      <c r="O77" s="2">
        <v>20</v>
      </c>
      <c r="P77" s="2">
        <v>12</v>
      </c>
      <c r="Q77" s="2" t="s">
        <v>3645</v>
      </c>
      <c r="R77" s="2" t="s">
        <v>3646</v>
      </c>
      <c r="S77" s="4">
        <v>44964</v>
      </c>
    </row>
    <row r="78" spans="1:19" ht="12.5" x14ac:dyDescent="0.25">
      <c r="A78" s="14" t="str">
        <f>HYPERLINK("https://gerandofalcoes.my.salesforce.com/0014P00003YSp8MQAT", "0014P00003YSp8MQAT")</f>
        <v>0014P00003YSp8MQAT</v>
      </c>
      <c r="B78" s="2" t="s">
        <v>1761</v>
      </c>
      <c r="C78" s="2" t="s">
        <v>423</v>
      </c>
      <c r="D78" s="2" t="s">
        <v>2</v>
      </c>
      <c r="E78" s="2">
        <v>61.59</v>
      </c>
      <c r="F78" s="2">
        <v>15</v>
      </c>
      <c r="G78" s="2">
        <v>3</v>
      </c>
      <c r="H78" s="2">
        <v>359</v>
      </c>
      <c r="I78" s="2">
        <v>173</v>
      </c>
      <c r="J78" s="2" t="s">
        <v>1671</v>
      </c>
      <c r="K78" s="2">
        <v>57</v>
      </c>
      <c r="L78" s="2">
        <v>20</v>
      </c>
      <c r="M78" s="2">
        <v>12</v>
      </c>
      <c r="N78" s="2">
        <v>8</v>
      </c>
      <c r="O78" s="2">
        <v>5</v>
      </c>
      <c r="P78" s="2">
        <v>12</v>
      </c>
      <c r="Q78" s="2" t="s">
        <v>1762</v>
      </c>
      <c r="R78" s="2" t="s">
        <v>1763</v>
      </c>
      <c r="S78" s="4">
        <v>44837</v>
      </c>
    </row>
    <row r="79" spans="1:19" ht="12.5" x14ac:dyDescent="0.25">
      <c r="A79" s="14" t="str">
        <f>HYPERLINK("https://gerandofalcoes.my.salesforce.com/0014X00002VKCpsQAH", "0014X00002VKCpsQAH")</f>
        <v>0014X00002VKCpsQAH</v>
      </c>
      <c r="B79" s="2" t="s">
        <v>1764</v>
      </c>
      <c r="C79" s="2" t="s">
        <v>423</v>
      </c>
      <c r="D79" s="2" t="s">
        <v>2</v>
      </c>
      <c r="E79" s="2">
        <v>59.89</v>
      </c>
      <c r="F79" s="2">
        <v>36</v>
      </c>
      <c r="G79" s="2">
        <v>2</v>
      </c>
      <c r="H79" s="2">
        <v>2039327</v>
      </c>
      <c r="I79" s="2">
        <v>0</v>
      </c>
      <c r="J79" s="2" t="s">
        <v>1650</v>
      </c>
      <c r="K79" s="2">
        <v>66</v>
      </c>
      <c r="L79" s="2">
        <v>20</v>
      </c>
      <c r="M79" s="2">
        <v>15</v>
      </c>
      <c r="N79" s="2">
        <v>6</v>
      </c>
      <c r="O79" s="2">
        <v>25</v>
      </c>
      <c r="P79" s="2">
        <v>0</v>
      </c>
      <c r="Q79" s="2" t="s">
        <v>1765</v>
      </c>
      <c r="R79" s="2" t="s">
        <v>1766</v>
      </c>
      <c r="S79" s="4">
        <v>44837</v>
      </c>
    </row>
    <row r="80" spans="1:19" ht="12.5" x14ac:dyDescent="0.25">
      <c r="A80" s="14" t="str">
        <f>HYPERLINK("https://gerandofalcoes.my.salesforce.com/0014X00002PUOaDQAX", "0014X00002PUOaDQAX")</f>
        <v>0014X00002PUOaDQAX</v>
      </c>
      <c r="B80" s="2" t="s">
        <v>1767</v>
      </c>
      <c r="C80" s="2" t="s">
        <v>423</v>
      </c>
      <c r="D80" s="2" t="s">
        <v>2</v>
      </c>
      <c r="E80" s="2">
        <v>59.39</v>
      </c>
      <c r="F80" s="2">
        <v>11</v>
      </c>
      <c r="G80" s="2">
        <v>10</v>
      </c>
      <c r="H80" s="2">
        <v>30139720</v>
      </c>
      <c r="I80" s="2">
        <v>139</v>
      </c>
      <c r="J80" s="2" t="s">
        <v>1650</v>
      </c>
      <c r="K80" s="2">
        <v>77</v>
      </c>
      <c r="L80" s="2">
        <v>20</v>
      </c>
      <c r="M80" s="2">
        <v>12</v>
      </c>
      <c r="N80" s="2">
        <v>10</v>
      </c>
      <c r="O80" s="2">
        <v>25</v>
      </c>
      <c r="P80" s="2">
        <v>10</v>
      </c>
      <c r="Q80" s="2" t="s">
        <v>439</v>
      </c>
      <c r="R80" s="2" t="s">
        <v>439</v>
      </c>
      <c r="S80" s="4">
        <v>44837</v>
      </c>
    </row>
    <row r="81" spans="1:19" ht="12.5" x14ac:dyDescent="0.25">
      <c r="A81" s="14" t="str">
        <f>HYPERLINK("https://gerandofalcoes.my.salesforce.com/0014P00003YSp8cQAD", "0014P00003YSp8cQAD")</f>
        <v>0014P00003YSp8cQAD</v>
      </c>
      <c r="B81" s="2" t="s">
        <v>1768</v>
      </c>
      <c r="C81" s="2" t="s">
        <v>423</v>
      </c>
      <c r="D81" s="2" t="s">
        <v>2</v>
      </c>
      <c r="E81" s="2">
        <v>59.02</v>
      </c>
      <c r="F81" s="2">
        <v>8</v>
      </c>
      <c r="G81" s="2">
        <v>1</v>
      </c>
      <c r="H81" s="2">
        <v>2200000</v>
      </c>
      <c r="I81" s="2">
        <v>300</v>
      </c>
      <c r="J81" s="2" t="s">
        <v>1650</v>
      </c>
      <c r="K81" s="2">
        <v>74</v>
      </c>
      <c r="L81" s="2">
        <v>20</v>
      </c>
      <c r="M81" s="2">
        <v>10</v>
      </c>
      <c r="N81" s="2">
        <v>4</v>
      </c>
      <c r="O81" s="2">
        <v>25</v>
      </c>
      <c r="P81" s="2">
        <v>15</v>
      </c>
      <c r="Q81" s="2" t="s">
        <v>1769</v>
      </c>
      <c r="R81" s="2" t="s">
        <v>1769</v>
      </c>
      <c r="S81" s="4">
        <v>44837</v>
      </c>
    </row>
    <row r="82" spans="1:19" ht="12.5" x14ac:dyDescent="0.25">
      <c r="A82" s="14" t="str">
        <f>HYPERLINK("https://gerandofalcoes.my.salesforce.com/0014P00003YSp8iQAD", "0014P00003YSp8iQAD")</f>
        <v>0014P00003YSp8iQAD</v>
      </c>
      <c r="B82" s="2" t="s">
        <v>1770</v>
      </c>
      <c r="C82" s="2" t="s">
        <v>423</v>
      </c>
      <c r="D82" s="2" t="s">
        <v>2</v>
      </c>
      <c r="E82" s="2">
        <v>58.99</v>
      </c>
      <c r="F82" s="2">
        <v>5</v>
      </c>
      <c r="G82" s="2">
        <v>5</v>
      </c>
      <c r="H82" s="2">
        <v>1386827</v>
      </c>
      <c r="I82" s="2">
        <v>40</v>
      </c>
      <c r="J82" s="2" t="s">
        <v>1650</v>
      </c>
      <c r="K82" s="2">
        <v>65</v>
      </c>
      <c r="L82" s="2">
        <v>20</v>
      </c>
      <c r="M82" s="2">
        <v>5</v>
      </c>
      <c r="N82" s="2">
        <v>10</v>
      </c>
      <c r="O82" s="2">
        <v>25</v>
      </c>
      <c r="P82" s="2">
        <v>5</v>
      </c>
      <c r="Q82" s="2" t="s">
        <v>1771</v>
      </c>
      <c r="R82" s="2" t="s">
        <v>1772</v>
      </c>
      <c r="S82" s="4">
        <v>44837</v>
      </c>
    </row>
    <row r="83" spans="1:19" ht="12.5" x14ac:dyDescent="0.25">
      <c r="A83" s="14" t="str">
        <f>HYPERLINK("https://gerandofalcoes.my.salesforce.com/0014X00002YggoMQAR", "0014X00002YggoMQAR")</f>
        <v>0014X00002YggoMQAR</v>
      </c>
      <c r="B83" s="2" t="s">
        <v>3299</v>
      </c>
      <c r="C83" s="2" t="s">
        <v>423</v>
      </c>
      <c r="D83" s="2" t="s">
        <v>2</v>
      </c>
      <c r="E83" s="2">
        <v>58.5</v>
      </c>
      <c r="F83" s="2">
        <v>6</v>
      </c>
      <c r="G83" s="2">
        <v>3</v>
      </c>
      <c r="H83" s="2">
        <v>250000</v>
      </c>
      <c r="I83" s="2">
        <v>550</v>
      </c>
      <c r="J83" s="2" t="s">
        <v>1650</v>
      </c>
      <c r="K83" s="2">
        <v>73</v>
      </c>
      <c r="L83" s="2">
        <v>20</v>
      </c>
      <c r="M83" s="2">
        <v>10</v>
      </c>
      <c r="N83" s="2">
        <v>8</v>
      </c>
      <c r="O83" s="2">
        <v>15</v>
      </c>
      <c r="P83" s="2">
        <v>20</v>
      </c>
      <c r="Q83" s="2" t="s">
        <v>3300</v>
      </c>
      <c r="R83" s="2" t="s">
        <v>3301</v>
      </c>
      <c r="S83" s="4">
        <v>44953</v>
      </c>
    </row>
    <row r="84" spans="1:19" ht="12.5" x14ac:dyDescent="0.25">
      <c r="A84" s="14" t="str">
        <f>HYPERLINK("https://gerandofalcoes.my.salesforce.com/0014X00002VKCq6QAH", "0014X00002VKCq6QAH")</f>
        <v>0014X00002VKCq6QAH</v>
      </c>
      <c r="B84" s="2" t="s">
        <v>1773</v>
      </c>
      <c r="C84" s="2" t="s">
        <v>423</v>
      </c>
      <c r="D84" s="2" t="s">
        <v>2</v>
      </c>
      <c r="E84" s="2">
        <v>58.49</v>
      </c>
      <c r="F84" s="2">
        <v>0</v>
      </c>
      <c r="G84" s="2">
        <v>3</v>
      </c>
      <c r="H84" s="2">
        <v>6124615</v>
      </c>
      <c r="I84" s="2">
        <v>0</v>
      </c>
      <c r="J84" s="2" t="s">
        <v>1671</v>
      </c>
      <c r="K84" s="2">
        <v>53</v>
      </c>
      <c r="L84" s="2">
        <v>20</v>
      </c>
      <c r="M84" s="2">
        <v>0</v>
      </c>
      <c r="N84" s="2">
        <v>8</v>
      </c>
      <c r="O84" s="2">
        <v>25</v>
      </c>
      <c r="P84" s="2">
        <v>0</v>
      </c>
      <c r="Q84" s="2" t="s">
        <v>1774</v>
      </c>
      <c r="R84" s="2" t="s">
        <v>1775</v>
      </c>
      <c r="S84" s="4">
        <v>44837</v>
      </c>
    </row>
    <row r="85" spans="1:19" ht="12.5" x14ac:dyDescent="0.25">
      <c r="A85" s="14" t="str">
        <f>HYPERLINK("https://gerandofalcoes.my.salesforce.com/0014P00003SGWPRQA5", "0014P00003SGWPRQA5")</f>
        <v>0014P00003SGWPRQA5</v>
      </c>
      <c r="B85" s="2" t="s">
        <v>367</v>
      </c>
      <c r="C85" s="2" t="s">
        <v>423</v>
      </c>
      <c r="D85" s="2" t="s">
        <v>2</v>
      </c>
      <c r="E85" s="2">
        <v>57.96</v>
      </c>
      <c r="F85" s="2">
        <v>4</v>
      </c>
      <c r="G85" s="2">
        <v>6</v>
      </c>
      <c r="H85" s="2">
        <v>11100000</v>
      </c>
      <c r="I85" s="2">
        <v>200</v>
      </c>
      <c r="J85" s="2" t="s">
        <v>1650</v>
      </c>
      <c r="K85" s="2">
        <v>72</v>
      </c>
      <c r="L85" s="2">
        <v>20</v>
      </c>
      <c r="M85" s="2">
        <v>5</v>
      </c>
      <c r="N85" s="2">
        <v>10</v>
      </c>
      <c r="O85" s="2">
        <v>25</v>
      </c>
      <c r="P85" s="2">
        <v>12</v>
      </c>
      <c r="Q85" s="2" t="s">
        <v>369</v>
      </c>
      <c r="R85" s="2" t="s">
        <v>369</v>
      </c>
      <c r="S85" s="4">
        <v>44837</v>
      </c>
    </row>
    <row r="86" spans="1:19" ht="12.5" x14ac:dyDescent="0.25">
      <c r="A86" s="14" t="str">
        <f>HYPERLINK("https://gerandofalcoes.my.salesforce.com/0014P00003YSp9zQAD", "0014P00003YSp9zQAD")</f>
        <v>0014P00003YSp9zQAD</v>
      </c>
      <c r="B86" s="2" t="s">
        <v>1776</v>
      </c>
      <c r="C86" s="2" t="s">
        <v>423</v>
      </c>
      <c r="D86" s="2" t="s">
        <v>2</v>
      </c>
      <c r="E86" s="2">
        <v>57.9</v>
      </c>
      <c r="F86" s="2">
        <v>0</v>
      </c>
      <c r="G86" s="2">
        <v>12</v>
      </c>
      <c r="H86" s="2">
        <v>17000000</v>
      </c>
      <c r="I86" s="2">
        <v>750</v>
      </c>
      <c r="J86" s="2" t="s">
        <v>1650</v>
      </c>
      <c r="K86" s="2">
        <v>75</v>
      </c>
      <c r="L86" s="2">
        <v>20</v>
      </c>
      <c r="M86" s="2">
        <v>0</v>
      </c>
      <c r="N86" s="2">
        <v>10</v>
      </c>
      <c r="O86" s="2">
        <v>25</v>
      </c>
      <c r="P86" s="2">
        <v>20</v>
      </c>
      <c r="Q86" s="2" t="s">
        <v>1777</v>
      </c>
      <c r="R86" s="2" t="s">
        <v>1777</v>
      </c>
      <c r="S86" s="4">
        <v>44837</v>
      </c>
    </row>
    <row r="87" spans="1:19" ht="12.5" x14ac:dyDescent="0.25">
      <c r="A87" s="14" t="str">
        <f>HYPERLINK("https://gerandofalcoes.my.salesforce.com/0014X00002YggjEQAR", "0014X00002YggjEQAR")</f>
        <v>0014X00002YggjEQAR</v>
      </c>
      <c r="B87" s="2" t="s">
        <v>3235</v>
      </c>
      <c r="C87" s="2" t="s">
        <v>423</v>
      </c>
      <c r="D87" s="2" t="s">
        <v>2</v>
      </c>
      <c r="E87" s="2">
        <v>57.56</v>
      </c>
      <c r="F87" s="2">
        <v>5</v>
      </c>
      <c r="G87" s="2">
        <v>3</v>
      </c>
      <c r="H87" s="2">
        <v>238000</v>
      </c>
      <c r="I87" s="2">
        <v>340</v>
      </c>
      <c r="J87" s="2" t="s">
        <v>1671</v>
      </c>
      <c r="K87" s="2">
        <v>63</v>
      </c>
      <c r="L87" s="2">
        <v>20</v>
      </c>
      <c r="M87" s="2">
        <v>5</v>
      </c>
      <c r="N87" s="2">
        <v>8</v>
      </c>
      <c r="O87" s="2">
        <v>15</v>
      </c>
      <c r="P87" s="2">
        <v>15</v>
      </c>
      <c r="Q87" s="2" t="s">
        <v>3236</v>
      </c>
      <c r="R87" s="2" t="s">
        <v>3237</v>
      </c>
      <c r="S87" s="4">
        <v>44952</v>
      </c>
    </row>
    <row r="88" spans="1:19" ht="12.5" x14ac:dyDescent="0.25">
      <c r="A88" s="14" t="str">
        <f>HYPERLINK("https://gerandofalcoes.my.salesforce.com/0014X00002VMXzNQAX", "0014X00002VMXzNQAX")</f>
        <v>0014X00002VMXzNQAX</v>
      </c>
      <c r="B88" s="2" t="s">
        <v>1778</v>
      </c>
      <c r="C88" s="2" t="s">
        <v>423</v>
      </c>
      <c r="D88" s="2" t="s">
        <v>2</v>
      </c>
      <c r="E88" s="2">
        <v>57</v>
      </c>
      <c r="F88" s="2">
        <v>0</v>
      </c>
      <c r="G88" s="2">
        <v>3</v>
      </c>
      <c r="H88" s="2">
        <v>65000</v>
      </c>
      <c r="I88" s="2">
        <v>0</v>
      </c>
      <c r="J88" s="2" t="s">
        <v>1779</v>
      </c>
      <c r="K88" s="2">
        <v>38</v>
      </c>
      <c r="L88" s="2">
        <v>20</v>
      </c>
      <c r="M88" s="2">
        <v>0</v>
      </c>
      <c r="N88" s="2">
        <v>8</v>
      </c>
      <c r="O88" s="2">
        <v>10</v>
      </c>
      <c r="P88" s="2">
        <v>0</v>
      </c>
      <c r="Q88" s="2" t="s">
        <v>1780</v>
      </c>
      <c r="R88" s="2" t="s">
        <v>1781</v>
      </c>
      <c r="S88" s="4">
        <v>44837</v>
      </c>
    </row>
    <row r="89" spans="1:19" ht="12.5" x14ac:dyDescent="0.25">
      <c r="A89" s="14" t="str">
        <f>HYPERLINK("https://gerandofalcoes.my.salesforce.com/0014X00002YgghrQAB", "0014X00002YgghrQAB")</f>
        <v>0014X00002YgghrQAB</v>
      </c>
      <c r="B89" s="2" t="s">
        <v>3775</v>
      </c>
      <c r="C89" s="2" t="s">
        <v>423</v>
      </c>
      <c r="D89" s="2" t="s">
        <v>2</v>
      </c>
      <c r="E89" s="2">
        <v>56.26</v>
      </c>
      <c r="F89" s="2">
        <v>12</v>
      </c>
      <c r="G89" s="2">
        <v>4</v>
      </c>
      <c r="H89" s="2">
        <v>700000</v>
      </c>
      <c r="I89" s="2">
        <v>410</v>
      </c>
      <c r="J89" s="2" t="s">
        <v>1650</v>
      </c>
      <c r="K89" s="2">
        <v>77</v>
      </c>
      <c r="L89" s="2">
        <v>20</v>
      </c>
      <c r="M89" s="2">
        <v>12</v>
      </c>
      <c r="N89" s="2">
        <v>10</v>
      </c>
      <c r="O89" s="2">
        <v>20</v>
      </c>
      <c r="P89" s="2">
        <v>15</v>
      </c>
      <c r="Q89" s="2" t="s">
        <v>3776</v>
      </c>
      <c r="R89" s="2" t="s">
        <v>3776</v>
      </c>
      <c r="S89" s="4">
        <v>44968</v>
      </c>
    </row>
    <row r="90" spans="1:19" ht="12.5" x14ac:dyDescent="0.25">
      <c r="A90" s="14" t="str">
        <f>HYPERLINK("https://gerandofalcoes.my.salesforce.com/0014P00003YSp7WQAT", "0014P00003YSp7WQAT")</f>
        <v>0014P00003YSp7WQAT</v>
      </c>
      <c r="B90" s="2" t="s">
        <v>1782</v>
      </c>
      <c r="C90" s="2" t="s">
        <v>423</v>
      </c>
      <c r="D90" s="2" t="s">
        <v>2</v>
      </c>
      <c r="E90" s="2">
        <v>56.22</v>
      </c>
      <c r="F90" s="2">
        <v>11</v>
      </c>
      <c r="G90" s="2">
        <v>5</v>
      </c>
      <c r="H90" s="2">
        <v>18433245</v>
      </c>
      <c r="I90" s="2">
        <v>150</v>
      </c>
      <c r="J90" s="2" t="s">
        <v>1650</v>
      </c>
      <c r="K90" s="2">
        <v>79</v>
      </c>
      <c r="L90" s="2">
        <v>20</v>
      </c>
      <c r="M90" s="2">
        <v>12</v>
      </c>
      <c r="N90" s="2">
        <v>10</v>
      </c>
      <c r="O90" s="2">
        <v>25</v>
      </c>
      <c r="P90" s="2">
        <v>12</v>
      </c>
      <c r="Q90" s="2" t="s">
        <v>1783</v>
      </c>
      <c r="R90" s="2" t="s">
        <v>1784</v>
      </c>
      <c r="S90" s="4">
        <v>44837</v>
      </c>
    </row>
    <row r="91" spans="1:19" ht="12.5" x14ac:dyDescent="0.25">
      <c r="A91" s="14" t="str">
        <f>HYPERLINK("https://gerandofalcoes.my.salesforce.com/0014X00002VKCv4QAH", "0014X00002VKCv4QAH")</f>
        <v>0014X00002VKCv4QAH</v>
      </c>
      <c r="B91" s="2" t="s">
        <v>1788</v>
      </c>
      <c r="C91" s="2" t="s">
        <v>423</v>
      </c>
      <c r="D91" s="2" t="s">
        <v>2</v>
      </c>
      <c r="E91" s="2">
        <v>56</v>
      </c>
      <c r="F91" s="2">
        <v>1</v>
      </c>
      <c r="G91" s="2">
        <v>2</v>
      </c>
      <c r="H91" s="2">
        <v>63500</v>
      </c>
      <c r="I91" s="2">
        <v>74</v>
      </c>
      <c r="J91" s="2" t="s">
        <v>1671</v>
      </c>
      <c r="K91" s="2">
        <v>46</v>
      </c>
      <c r="L91" s="2">
        <v>20</v>
      </c>
      <c r="M91" s="2">
        <v>5</v>
      </c>
      <c r="N91" s="2">
        <v>6</v>
      </c>
      <c r="O91" s="2">
        <v>10</v>
      </c>
      <c r="P91" s="2">
        <v>5</v>
      </c>
      <c r="Q91" s="2" t="s">
        <v>1789</v>
      </c>
      <c r="R91" s="2" t="s">
        <v>1790</v>
      </c>
      <c r="S91" s="4">
        <v>44837</v>
      </c>
    </row>
    <row r="92" spans="1:19" ht="12.5" x14ac:dyDescent="0.25">
      <c r="A92" s="14" t="str">
        <f>HYPERLINK("https://gerandofalcoes.my.salesforce.com/0014X00002VKCsVQAX", "0014X00002VKCsVQAX")</f>
        <v>0014X00002VKCsVQAX</v>
      </c>
      <c r="B92" s="2" t="s">
        <v>1785</v>
      </c>
      <c r="C92" s="2" t="s">
        <v>423</v>
      </c>
      <c r="D92" s="2" t="s">
        <v>2</v>
      </c>
      <c r="E92" s="2">
        <v>56</v>
      </c>
      <c r="F92" s="2">
        <v>0</v>
      </c>
      <c r="G92" s="2">
        <v>3</v>
      </c>
      <c r="H92" s="2">
        <v>22800</v>
      </c>
      <c r="I92" s="2">
        <v>95</v>
      </c>
      <c r="J92" s="2" t="s">
        <v>1671</v>
      </c>
      <c r="K92" s="2">
        <v>43</v>
      </c>
      <c r="L92" s="2">
        <v>20</v>
      </c>
      <c r="M92" s="2">
        <v>0</v>
      </c>
      <c r="N92" s="2">
        <v>8</v>
      </c>
      <c r="O92" s="2">
        <v>5</v>
      </c>
      <c r="P92" s="2">
        <v>10</v>
      </c>
      <c r="Q92" s="2" t="s">
        <v>1786</v>
      </c>
      <c r="R92" s="2" t="s">
        <v>1787</v>
      </c>
      <c r="S92" s="4">
        <v>44837</v>
      </c>
    </row>
    <row r="93" spans="1:19" ht="12.5" x14ac:dyDescent="0.25">
      <c r="A93" s="14" t="str">
        <f>HYPERLINK("https://gerandofalcoes.my.salesforce.com/0014X00002VKCt2QAH", "0014X00002VKCt2QAH")</f>
        <v>0014X00002VKCt2QAH</v>
      </c>
      <c r="B93" s="2" t="s">
        <v>1792</v>
      </c>
      <c r="C93" s="2" t="s">
        <v>423</v>
      </c>
      <c r="D93" s="2" t="s">
        <v>2</v>
      </c>
      <c r="E93" s="2">
        <v>54.96</v>
      </c>
      <c r="F93" s="2">
        <v>4</v>
      </c>
      <c r="G93" s="2">
        <v>4</v>
      </c>
      <c r="H93" s="2">
        <v>143565</v>
      </c>
      <c r="I93" s="2">
        <v>240</v>
      </c>
      <c r="J93" s="2" t="s">
        <v>1671</v>
      </c>
      <c r="K93" s="2">
        <v>62</v>
      </c>
      <c r="L93" s="2">
        <v>20</v>
      </c>
      <c r="M93" s="2">
        <v>5</v>
      </c>
      <c r="N93" s="2">
        <v>10</v>
      </c>
      <c r="O93" s="2">
        <v>15</v>
      </c>
      <c r="P93" s="2">
        <v>12</v>
      </c>
      <c r="Q93" s="2" t="s">
        <v>1793</v>
      </c>
      <c r="R93" s="2" t="s">
        <v>1794</v>
      </c>
      <c r="S93" s="4">
        <v>44837</v>
      </c>
    </row>
    <row r="94" spans="1:19" ht="12.5" x14ac:dyDescent="0.25">
      <c r="A94" s="14" t="str">
        <f>HYPERLINK("https://gerandofalcoes.my.salesforce.com/0014X00002VKCrAQAX", "0014X00002VKCrAQAX")</f>
        <v>0014X00002VKCrAQAX</v>
      </c>
      <c r="B94" s="2" t="s">
        <v>1795</v>
      </c>
      <c r="C94" s="2" t="s">
        <v>423</v>
      </c>
      <c r="D94" s="2" t="s">
        <v>2</v>
      </c>
      <c r="E94" s="2">
        <v>53.7</v>
      </c>
      <c r="F94" s="2">
        <v>2</v>
      </c>
      <c r="G94" s="2">
        <v>4</v>
      </c>
      <c r="H94" s="2">
        <v>87500</v>
      </c>
      <c r="I94" s="2">
        <v>19</v>
      </c>
      <c r="J94" s="2" t="s">
        <v>1671</v>
      </c>
      <c r="K94" s="2">
        <v>50</v>
      </c>
      <c r="L94" s="2">
        <v>20</v>
      </c>
      <c r="M94" s="2">
        <v>5</v>
      </c>
      <c r="N94" s="2">
        <v>10</v>
      </c>
      <c r="O94" s="2">
        <v>10</v>
      </c>
      <c r="P94" s="2">
        <v>5</v>
      </c>
      <c r="Q94" s="2" t="s">
        <v>1796</v>
      </c>
      <c r="R94" s="2" t="s">
        <v>1797</v>
      </c>
      <c r="S94" s="4">
        <v>44837</v>
      </c>
    </row>
    <row r="95" spans="1:19" ht="12.5" x14ac:dyDescent="0.25">
      <c r="A95" s="14" t="str">
        <f>HYPERLINK("https://gerandofalcoes.my.salesforce.com/0014P00003AN6yVQAT", "0014P00003AN6yVQAT")</f>
        <v>0014P00003AN6yVQAT</v>
      </c>
      <c r="B95" s="2" t="s">
        <v>1798</v>
      </c>
      <c r="C95" s="2" t="s">
        <v>423</v>
      </c>
      <c r="D95" s="2" t="s">
        <v>2</v>
      </c>
      <c r="E95" s="2">
        <v>53.6</v>
      </c>
      <c r="F95" s="2">
        <v>0</v>
      </c>
      <c r="G95" s="2">
        <v>2</v>
      </c>
      <c r="H95" s="2">
        <v>9586512</v>
      </c>
      <c r="I95" s="2">
        <v>151</v>
      </c>
      <c r="J95" s="2" t="s">
        <v>1671</v>
      </c>
      <c r="K95" s="2">
        <v>63</v>
      </c>
      <c r="L95" s="2">
        <v>20</v>
      </c>
      <c r="M95" s="2">
        <v>0</v>
      </c>
      <c r="N95" s="2">
        <v>6</v>
      </c>
      <c r="O95" s="2">
        <v>25</v>
      </c>
      <c r="P95" s="2">
        <v>12</v>
      </c>
      <c r="Q95" s="2" t="s">
        <v>560</v>
      </c>
      <c r="R95" s="2" t="s">
        <v>560</v>
      </c>
      <c r="S95" s="4">
        <v>44837</v>
      </c>
    </row>
    <row r="96" spans="1:19" ht="12.5" x14ac:dyDescent="0.25">
      <c r="A96" s="14" t="str">
        <f>HYPERLINK("https://gerandofalcoes.my.salesforce.com/0014X00002YggnRQAR", "0014X00002YggnRQAR")</f>
        <v>0014X00002YggnRQAR</v>
      </c>
      <c r="B96" s="2" t="s">
        <v>3392</v>
      </c>
      <c r="C96" s="2" t="s">
        <v>423</v>
      </c>
      <c r="D96" s="2" t="s">
        <v>2</v>
      </c>
      <c r="E96" s="2">
        <v>53.54</v>
      </c>
      <c r="F96" s="2">
        <v>4</v>
      </c>
      <c r="G96" s="2">
        <v>4</v>
      </c>
      <c r="H96" s="2">
        <v>10000</v>
      </c>
      <c r="I96" s="2">
        <v>400</v>
      </c>
      <c r="J96" s="2" t="s">
        <v>1671</v>
      </c>
      <c r="K96" s="2">
        <v>55</v>
      </c>
      <c r="L96" s="2">
        <v>20</v>
      </c>
      <c r="M96" s="2">
        <v>5</v>
      </c>
      <c r="N96" s="2">
        <v>10</v>
      </c>
      <c r="O96" s="2">
        <v>5</v>
      </c>
      <c r="P96" s="2">
        <v>15</v>
      </c>
      <c r="Q96" s="2" t="s">
        <v>3393</v>
      </c>
      <c r="R96" s="2" t="s">
        <v>3394</v>
      </c>
      <c r="S96" s="4">
        <v>44958</v>
      </c>
    </row>
    <row r="97" spans="1:19" ht="12.5" x14ac:dyDescent="0.25">
      <c r="A97" s="14" t="str">
        <f>HYPERLINK("https://gerandofalcoes.my.salesforce.com/0014X00002YgbkhQAB", "0014X00002YgbkhQAB")</f>
        <v>0014X00002YgbkhQAB</v>
      </c>
      <c r="B97" s="2" t="s">
        <v>3798</v>
      </c>
      <c r="C97" s="2" t="s">
        <v>423</v>
      </c>
      <c r="D97" s="2" t="s">
        <v>2</v>
      </c>
      <c r="E97" s="2">
        <v>53.16</v>
      </c>
      <c r="F97" s="2">
        <v>0</v>
      </c>
      <c r="G97" s="2">
        <v>0</v>
      </c>
      <c r="H97" s="2">
        <v>0</v>
      </c>
      <c r="I97" s="2">
        <v>0</v>
      </c>
      <c r="J97" s="2" t="s">
        <v>1779</v>
      </c>
      <c r="K97" s="2">
        <v>20</v>
      </c>
      <c r="L97" s="2">
        <v>20</v>
      </c>
      <c r="M97" s="2">
        <v>0</v>
      </c>
      <c r="N97" s="2">
        <v>0</v>
      </c>
      <c r="O97" s="2">
        <v>0</v>
      </c>
      <c r="P97" s="2">
        <v>0</v>
      </c>
      <c r="Q97" s="2" t="s">
        <v>3799</v>
      </c>
      <c r="R97" s="2" t="s">
        <v>3799</v>
      </c>
      <c r="S97" s="4">
        <v>44970</v>
      </c>
    </row>
    <row r="98" spans="1:19" ht="12.5" x14ac:dyDescent="0.25">
      <c r="A98" s="14" t="str">
        <f>HYPERLINK("https://gerandofalcoes.my.salesforce.com/0014X00002VKCuTQAX", "0014X00002VKCuTQAX")</f>
        <v>0014X00002VKCuTQAX</v>
      </c>
      <c r="B98" s="2" t="s">
        <v>1801</v>
      </c>
      <c r="C98" s="2" t="s">
        <v>423</v>
      </c>
      <c r="D98" s="2" t="s">
        <v>2</v>
      </c>
      <c r="E98" s="2">
        <v>53</v>
      </c>
      <c r="F98" s="2">
        <v>14</v>
      </c>
      <c r="G98" s="2">
        <v>2</v>
      </c>
      <c r="H98" s="2">
        <v>350000</v>
      </c>
      <c r="I98" s="2">
        <v>75</v>
      </c>
      <c r="J98" s="2" t="s">
        <v>1671</v>
      </c>
      <c r="K98" s="2">
        <v>63</v>
      </c>
      <c r="L98" s="2">
        <v>20</v>
      </c>
      <c r="M98" s="2">
        <v>12</v>
      </c>
      <c r="N98" s="2">
        <v>6</v>
      </c>
      <c r="O98" s="2">
        <v>20</v>
      </c>
      <c r="P98" s="2">
        <v>5</v>
      </c>
      <c r="Q98" s="2" t="s">
        <v>1802</v>
      </c>
      <c r="R98" s="2" t="s">
        <v>1803</v>
      </c>
      <c r="S98" s="4">
        <v>44837</v>
      </c>
    </row>
    <row r="99" spans="1:19" ht="12.5" x14ac:dyDescent="0.25">
      <c r="A99" s="14" t="str">
        <f>HYPERLINK("https://gerandofalcoes.my.salesforce.com/0014P00003AN2FXQA1", "0014P00003AN2FXQA1")</f>
        <v>0014P00003AN2FXQA1</v>
      </c>
      <c r="B99" s="2" t="s">
        <v>1799</v>
      </c>
      <c r="C99" s="2" t="s">
        <v>1800</v>
      </c>
      <c r="D99" s="2" t="s">
        <v>2</v>
      </c>
      <c r="E99" s="2">
        <v>53</v>
      </c>
      <c r="F99" s="2">
        <v>8</v>
      </c>
      <c r="G99" s="2">
        <v>3</v>
      </c>
      <c r="H99" s="2">
        <v>250000</v>
      </c>
      <c r="I99" s="2">
        <v>238</v>
      </c>
      <c r="J99" s="2" t="s">
        <v>1650</v>
      </c>
      <c r="K99" s="2">
        <v>65</v>
      </c>
      <c r="L99" s="2">
        <v>20</v>
      </c>
      <c r="M99" s="2">
        <v>10</v>
      </c>
      <c r="N99" s="2">
        <v>8</v>
      </c>
      <c r="O99" s="2">
        <v>15</v>
      </c>
      <c r="P99" s="2">
        <v>12</v>
      </c>
      <c r="Q99" s="2" t="s">
        <v>646</v>
      </c>
      <c r="R99" s="2" t="s">
        <v>646</v>
      </c>
      <c r="S99" s="4">
        <v>44837</v>
      </c>
    </row>
    <row r="100" spans="1:19" ht="12.5" x14ac:dyDescent="0.25">
      <c r="A100" s="14" t="str">
        <f>HYPERLINK("https://gerandofalcoes.my.salesforce.com/0014P00003YSp7eQAD", "0014P00003YSp7eQAD")</f>
        <v>0014P00003YSp7eQAD</v>
      </c>
      <c r="B100" s="2" t="s">
        <v>1804</v>
      </c>
      <c r="C100" s="2" t="s">
        <v>423</v>
      </c>
      <c r="D100" s="2" t="s">
        <v>2</v>
      </c>
      <c r="E100" s="2">
        <v>52.89</v>
      </c>
      <c r="F100" s="2">
        <v>6</v>
      </c>
      <c r="G100" s="2">
        <v>3</v>
      </c>
      <c r="H100" s="2">
        <v>43600000</v>
      </c>
      <c r="I100" s="2">
        <v>131</v>
      </c>
      <c r="J100" s="2" t="s">
        <v>1650</v>
      </c>
      <c r="K100" s="2">
        <v>73</v>
      </c>
      <c r="L100" s="2">
        <v>20</v>
      </c>
      <c r="M100" s="2">
        <v>10</v>
      </c>
      <c r="N100" s="2">
        <v>8</v>
      </c>
      <c r="O100" s="2">
        <v>25</v>
      </c>
      <c r="P100" s="2">
        <v>10</v>
      </c>
      <c r="Q100" s="2" t="s">
        <v>1805</v>
      </c>
      <c r="R100" s="2" t="s">
        <v>1806</v>
      </c>
      <c r="S100" s="4">
        <v>44837</v>
      </c>
    </row>
    <row r="101" spans="1:19" ht="12.5" x14ac:dyDescent="0.25">
      <c r="A101" s="14" t="str">
        <f>HYPERLINK("https://gerandofalcoes.my.salesforce.com/0014P00003YSp7PQAT", "0014P00003YSp7PQAT")</f>
        <v>0014P00003YSp7PQAT</v>
      </c>
      <c r="B101" s="2" t="s">
        <v>1807</v>
      </c>
      <c r="C101" s="2" t="s">
        <v>423</v>
      </c>
      <c r="D101" s="2" t="s">
        <v>2</v>
      </c>
      <c r="E101" s="2">
        <v>52.75</v>
      </c>
      <c r="F101" s="2">
        <v>5</v>
      </c>
      <c r="G101" s="2">
        <v>4</v>
      </c>
      <c r="H101" s="2">
        <v>465000</v>
      </c>
      <c r="I101" s="2">
        <v>55</v>
      </c>
      <c r="J101" s="2" t="s">
        <v>1671</v>
      </c>
      <c r="K101" s="2">
        <v>60</v>
      </c>
      <c r="L101" s="2">
        <v>20</v>
      </c>
      <c r="M101" s="2">
        <v>5</v>
      </c>
      <c r="N101" s="2">
        <v>10</v>
      </c>
      <c r="O101" s="2">
        <v>20</v>
      </c>
      <c r="P101" s="2">
        <v>5</v>
      </c>
      <c r="Q101" s="2" t="s">
        <v>1808</v>
      </c>
      <c r="R101" s="2" t="s">
        <v>1809</v>
      </c>
      <c r="S101" s="4">
        <v>44837</v>
      </c>
    </row>
    <row r="102" spans="1:19" ht="12.5" x14ac:dyDescent="0.25">
      <c r="A102" s="14" t="str">
        <f>HYPERLINK("https://gerandofalcoes.my.salesforce.com/0014P00003YSpAIQA1", "0014P00003YSpAIQA1")</f>
        <v>0014P00003YSpAIQA1</v>
      </c>
      <c r="B102" s="2" t="s">
        <v>1810</v>
      </c>
      <c r="C102" s="2" t="s">
        <v>423</v>
      </c>
      <c r="D102" s="2" t="s">
        <v>2</v>
      </c>
      <c r="E102" s="2">
        <v>52.5</v>
      </c>
      <c r="F102" s="2">
        <v>0</v>
      </c>
      <c r="G102" s="2">
        <v>3</v>
      </c>
      <c r="H102" s="2">
        <v>17707602</v>
      </c>
      <c r="I102" s="2">
        <v>0</v>
      </c>
      <c r="J102" s="2" t="s">
        <v>1671</v>
      </c>
      <c r="K102" s="2">
        <v>53</v>
      </c>
      <c r="L102" s="2">
        <v>20</v>
      </c>
      <c r="M102" s="2">
        <v>0</v>
      </c>
      <c r="N102" s="2">
        <v>8</v>
      </c>
      <c r="O102" s="2">
        <v>25</v>
      </c>
      <c r="P102" s="2">
        <v>0</v>
      </c>
      <c r="Q102" s="2" t="s">
        <v>1811</v>
      </c>
      <c r="R102" s="2" t="s">
        <v>1812</v>
      </c>
      <c r="S102" s="4">
        <v>44837</v>
      </c>
    </row>
    <row r="103" spans="1:19" ht="12.5" x14ac:dyDescent="0.25">
      <c r="A103" s="14" t="str">
        <f>HYPERLINK("https://gerandofalcoes.my.salesforce.com/0014X00002VKCtxQAH", "0014X00002VKCtxQAH")</f>
        <v>0014X00002VKCtxQAH</v>
      </c>
      <c r="B103" s="2" t="s">
        <v>1813</v>
      </c>
      <c r="C103" s="2" t="s">
        <v>423</v>
      </c>
      <c r="D103" s="2" t="s">
        <v>2</v>
      </c>
      <c r="E103" s="2">
        <v>52</v>
      </c>
      <c r="F103" s="2">
        <v>10</v>
      </c>
      <c r="G103" s="2">
        <v>3</v>
      </c>
      <c r="H103" s="2">
        <v>5000</v>
      </c>
      <c r="I103" s="2">
        <v>580</v>
      </c>
      <c r="J103" s="2" t="s">
        <v>1671</v>
      </c>
      <c r="K103" s="2">
        <v>63</v>
      </c>
      <c r="L103" s="2">
        <v>20</v>
      </c>
      <c r="M103" s="2">
        <v>10</v>
      </c>
      <c r="N103" s="2">
        <v>8</v>
      </c>
      <c r="O103" s="2">
        <v>5</v>
      </c>
      <c r="P103" s="2">
        <v>20</v>
      </c>
      <c r="Q103" s="2" t="s">
        <v>1814</v>
      </c>
      <c r="R103" s="2" t="s">
        <v>1815</v>
      </c>
      <c r="S103" s="4">
        <v>44837</v>
      </c>
    </row>
    <row r="104" spans="1:19" ht="12.5" x14ac:dyDescent="0.25">
      <c r="A104" s="14" t="str">
        <f>HYPERLINK("https://gerandofalcoes.my.salesforce.com/0014X00002YggoSQAR", "0014X00002YggoSQAR")</f>
        <v>0014X00002YggoSQAR</v>
      </c>
      <c r="B104" s="2" t="s">
        <v>3238</v>
      </c>
      <c r="C104" s="2" t="s">
        <v>423</v>
      </c>
      <c r="D104" s="2" t="s">
        <v>2</v>
      </c>
      <c r="E104" s="2">
        <v>51.59</v>
      </c>
      <c r="F104" s="2">
        <v>15</v>
      </c>
      <c r="G104" s="2">
        <v>7</v>
      </c>
      <c r="H104" s="2">
        <v>3101114</v>
      </c>
      <c r="I104" s="2">
        <v>145</v>
      </c>
      <c r="J104" s="2" t="s">
        <v>1650</v>
      </c>
      <c r="K104" s="2">
        <v>77</v>
      </c>
      <c r="L104" s="2">
        <v>20</v>
      </c>
      <c r="M104" s="2">
        <v>12</v>
      </c>
      <c r="N104" s="2">
        <v>10</v>
      </c>
      <c r="O104" s="2">
        <v>25</v>
      </c>
      <c r="P104" s="2">
        <v>10</v>
      </c>
      <c r="Q104" s="2" t="s">
        <v>3239</v>
      </c>
      <c r="R104" s="2" t="s">
        <v>3240</v>
      </c>
      <c r="S104" s="4">
        <v>44952</v>
      </c>
    </row>
    <row r="105" spans="1:19" ht="12.5" x14ac:dyDescent="0.25">
      <c r="A105" s="14" t="str">
        <f>HYPERLINK("https://gerandofalcoes.my.salesforce.com/0014X00002VKCqgQAH", "0014X00002VKCqgQAH")</f>
        <v>0014X00002VKCqgQAH</v>
      </c>
      <c r="B105" s="2" t="s">
        <v>1816</v>
      </c>
      <c r="C105" s="2" t="s">
        <v>423</v>
      </c>
      <c r="D105" s="2" t="s">
        <v>2</v>
      </c>
      <c r="E105" s="2">
        <v>51.56</v>
      </c>
      <c r="F105" s="2">
        <v>12</v>
      </c>
      <c r="G105" s="2">
        <v>2</v>
      </c>
      <c r="H105" s="2">
        <v>472000</v>
      </c>
      <c r="I105" s="2">
        <v>50</v>
      </c>
      <c r="J105" s="2" t="s">
        <v>1671</v>
      </c>
      <c r="K105" s="2">
        <v>63</v>
      </c>
      <c r="L105" s="2">
        <v>20</v>
      </c>
      <c r="M105" s="2">
        <v>12</v>
      </c>
      <c r="N105" s="2">
        <v>6</v>
      </c>
      <c r="O105" s="2">
        <v>20</v>
      </c>
      <c r="P105" s="2">
        <v>5</v>
      </c>
      <c r="Q105" s="2" t="s">
        <v>1817</v>
      </c>
      <c r="R105" s="2" t="s">
        <v>1818</v>
      </c>
      <c r="S105" s="4">
        <v>44837</v>
      </c>
    </row>
    <row r="106" spans="1:19" ht="12.5" x14ac:dyDescent="0.25">
      <c r="A106" s="14" t="str">
        <f>HYPERLINK("https://gerandofalcoes.my.salesforce.com/0014X00002VKCp8QAH", "0014X00002VKCp8QAH")</f>
        <v>0014X00002VKCp8QAH</v>
      </c>
      <c r="B106" s="2" t="s">
        <v>1819</v>
      </c>
      <c r="C106" s="2" t="s">
        <v>423</v>
      </c>
      <c r="D106" s="2" t="s">
        <v>2</v>
      </c>
      <c r="E106" s="2">
        <v>51.3</v>
      </c>
      <c r="F106" s="2">
        <v>2</v>
      </c>
      <c r="G106" s="2">
        <v>2</v>
      </c>
      <c r="H106" s="2">
        <v>63000</v>
      </c>
      <c r="I106" s="2">
        <v>100</v>
      </c>
      <c r="J106" s="2" t="s">
        <v>1671</v>
      </c>
      <c r="K106" s="2">
        <v>51</v>
      </c>
      <c r="L106" s="2">
        <v>20</v>
      </c>
      <c r="M106" s="2">
        <v>5</v>
      </c>
      <c r="N106" s="2">
        <v>6</v>
      </c>
      <c r="O106" s="2">
        <v>10</v>
      </c>
      <c r="P106" s="2">
        <v>10</v>
      </c>
      <c r="Q106" s="2" t="s">
        <v>1820</v>
      </c>
      <c r="R106" s="2" t="s">
        <v>1821</v>
      </c>
      <c r="S106" s="4">
        <v>44837</v>
      </c>
    </row>
    <row r="107" spans="1:19" ht="12.5" x14ac:dyDescent="0.25">
      <c r="A107" s="14" t="str">
        <f>HYPERLINK("https://gerandofalcoes.my.salesforce.com/0014P00003YSpAJQA1", "0014P00003YSpAJQA1")</f>
        <v>0014P00003YSpAJQA1</v>
      </c>
      <c r="B107" s="2" t="s">
        <v>1822</v>
      </c>
      <c r="C107" s="2" t="s">
        <v>423</v>
      </c>
      <c r="D107" s="2" t="s">
        <v>2</v>
      </c>
      <c r="E107" s="2">
        <v>51.28</v>
      </c>
      <c r="F107" s="2">
        <v>3</v>
      </c>
      <c r="G107" s="2">
        <v>6</v>
      </c>
      <c r="H107" s="2">
        <v>1556030</v>
      </c>
      <c r="I107" s="2">
        <v>200</v>
      </c>
      <c r="J107" s="2" t="s">
        <v>1650</v>
      </c>
      <c r="K107" s="2">
        <v>72</v>
      </c>
      <c r="L107" s="2">
        <v>20</v>
      </c>
      <c r="M107" s="2">
        <v>5</v>
      </c>
      <c r="N107" s="2">
        <v>10</v>
      </c>
      <c r="O107" s="2">
        <v>25</v>
      </c>
      <c r="P107" s="2">
        <v>12</v>
      </c>
      <c r="Q107" s="2" t="s">
        <v>1823</v>
      </c>
      <c r="R107" s="2" t="s">
        <v>1823</v>
      </c>
      <c r="S107" s="4">
        <v>44837</v>
      </c>
    </row>
    <row r="108" spans="1:19" ht="12.5" x14ac:dyDescent="0.25">
      <c r="A108" s="14" t="str">
        <f>HYPERLINK("https://gerandofalcoes.my.salesforce.com/0014X00002VKCryQAH", "0014X00002VKCryQAH")</f>
        <v>0014X00002VKCryQAH</v>
      </c>
      <c r="B108" s="2" t="s">
        <v>1824</v>
      </c>
      <c r="C108" s="2" t="s">
        <v>423</v>
      </c>
      <c r="D108" s="2" t="s">
        <v>2</v>
      </c>
      <c r="E108" s="2">
        <v>51</v>
      </c>
      <c r="F108" s="2">
        <v>2</v>
      </c>
      <c r="G108" s="2">
        <v>7</v>
      </c>
      <c r="H108" s="2">
        <v>200000</v>
      </c>
      <c r="I108" s="2">
        <v>90</v>
      </c>
      <c r="J108" s="2" t="s">
        <v>1671</v>
      </c>
      <c r="K108" s="2">
        <v>60</v>
      </c>
      <c r="L108" s="2">
        <v>20</v>
      </c>
      <c r="M108" s="2">
        <v>5</v>
      </c>
      <c r="N108" s="2">
        <v>10</v>
      </c>
      <c r="O108" s="2">
        <v>15</v>
      </c>
      <c r="P108" s="2">
        <v>10</v>
      </c>
      <c r="Q108" s="2" t="s">
        <v>1825</v>
      </c>
      <c r="R108" s="2" t="s">
        <v>1826</v>
      </c>
      <c r="S108" s="4">
        <v>44837</v>
      </c>
    </row>
    <row r="109" spans="1:19" ht="12.5" x14ac:dyDescent="0.25">
      <c r="A109" s="14" t="str">
        <f>HYPERLINK("https://gerandofalcoes.my.salesforce.com/0014P00003SGWQ3QAP", "0014P00003SGWQ3QAP")</f>
        <v>0014P00003SGWQ3QAP</v>
      </c>
      <c r="B109" s="2" t="s">
        <v>210</v>
      </c>
      <c r="C109" s="2" t="s">
        <v>423</v>
      </c>
      <c r="D109" s="2" t="s">
        <v>2</v>
      </c>
      <c r="E109" s="2">
        <v>51</v>
      </c>
      <c r="F109" s="2">
        <v>34</v>
      </c>
      <c r="G109" s="2">
        <v>4</v>
      </c>
      <c r="H109" s="2">
        <v>140000</v>
      </c>
      <c r="I109" s="2">
        <v>40</v>
      </c>
      <c r="J109" s="2" t="s">
        <v>1650</v>
      </c>
      <c r="K109" s="2">
        <v>65</v>
      </c>
      <c r="L109" s="2">
        <v>20</v>
      </c>
      <c r="M109" s="2">
        <v>15</v>
      </c>
      <c r="N109" s="2">
        <v>10</v>
      </c>
      <c r="O109" s="2">
        <v>15</v>
      </c>
      <c r="P109" s="2">
        <v>5</v>
      </c>
      <c r="Q109" s="2" t="s">
        <v>211</v>
      </c>
      <c r="R109" s="2" t="s">
        <v>1459</v>
      </c>
      <c r="S109" s="4">
        <v>44837</v>
      </c>
    </row>
    <row r="110" spans="1:19" ht="12.5" x14ac:dyDescent="0.25">
      <c r="A110" s="14" t="str">
        <f>HYPERLINK("https://gerandofalcoes.my.salesforce.com/0014P00003SGWPYQA5", "0014P00003SGWPYQA5")</f>
        <v>0014P00003SGWPYQA5</v>
      </c>
      <c r="B110" s="2" t="s">
        <v>175</v>
      </c>
      <c r="C110" s="2" t="s">
        <v>423</v>
      </c>
      <c r="D110" s="2" t="s">
        <v>2</v>
      </c>
      <c r="E110" s="2">
        <v>50.15</v>
      </c>
      <c r="F110" s="2">
        <v>0</v>
      </c>
      <c r="G110" s="2">
        <v>2</v>
      </c>
      <c r="H110" s="2">
        <v>23420</v>
      </c>
      <c r="I110" s="2">
        <v>200</v>
      </c>
      <c r="J110" s="2" t="s">
        <v>1671</v>
      </c>
      <c r="K110" s="2">
        <v>43</v>
      </c>
      <c r="L110" s="2">
        <v>20</v>
      </c>
      <c r="M110" s="2">
        <v>0</v>
      </c>
      <c r="N110" s="2">
        <v>6</v>
      </c>
      <c r="O110" s="2">
        <v>5</v>
      </c>
      <c r="P110" s="2">
        <v>12</v>
      </c>
      <c r="Q110" s="2" t="s">
        <v>176</v>
      </c>
      <c r="R110" s="2" t="s">
        <v>176</v>
      </c>
      <c r="S110" s="4">
        <v>44837</v>
      </c>
    </row>
    <row r="111" spans="1:19" ht="12.5" x14ac:dyDescent="0.25">
      <c r="A111" s="14" t="str">
        <f>HYPERLINK("https://gerandofalcoes.my.salesforce.com/0014P00003SGWPZQA5", "0014P00003SGWPZQA5")</f>
        <v>0014P00003SGWPZQA5</v>
      </c>
      <c r="B111" s="2" t="s">
        <v>160</v>
      </c>
      <c r="C111" s="2" t="s">
        <v>423</v>
      </c>
      <c r="D111" s="2" t="s">
        <v>2</v>
      </c>
      <c r="E111" s="2">
        <v>50.05</v>
      </c>
      <c r="F111" s="2">
        <v>2</v>
      </c>
      <c r="G111" s="2">
        <v>3</v>
      </c>
      <c r="H111" s="2">
        <v>140000</v>
      </c>
      <c r="I111" s="2">
        <v>78</v>
      </c>
      <c r="J111" s="2" t="s">
        <v>1671</v>
      </c>
      <c r="K111" s="2">
        <v>53</v>
      </c>
      <c r="L111" s="2">
        <v>20</v>
      </c>
      <c r="M111" s="2">
        <v>5</v>
      </c>
      <c r="N111" s="2">
        <v>8</v>
      </c>
      <c r="O111" s="2">
        <v>15</v>
      </c>
      <c r="P111" s="2">
        <v>5</v>
      </c>
      <c r="Q111" s="2" t="s">
        <v>161</v>
      </c>
      <c r="R111" s="2" t="s">
        <v>1828</v>
      </c>
      <c r="S111" s="4">
        <v>44837</v>
      </c>
    </row>
    <row r="112" spans="1:19" ht="12.5" x14ac:dyDescent="0.25">
      <c r="A112" s="14" t="str">
        <f>HYPERLINK("https://gerandofalcoes.my.salesforce.com/0014X00002VKCqHQAX", "0014X00002VKCqHQAX")</f>
        <v>0014X00002VKCqHQAX</v>
      </c>
      <c r="B112" s="2" t="s">
        <v>1829</v>
      </c>
      <c r="C112" s="2" t="s">
        <v>423</v>
      </c>
      <c r="D112" s="2" t="s">
        <v>2</v>
      </c>
      <c r="E112" s="2">
        <v>50</v>
      </c>
      <c r="F112" s="2">
        <v>0</v>
      </c>
      <c r="G112" s="2">
        <v>5</v>
      </c>
      <c r="H112" s="2">
        <v>521000</v>
      </c>
      <c r="I112" s="2">
        <v>155</v>
      </c>
      <c r="J112" s="2" t="s">
        <v>1671</v>
      </c>
      <c r="K112" s="2">
        <v>62</v>
      </c>
      <c r="L112" s="2">
        <v>20</v>
      </c>
      <c r="M112" s="2">
        <v>0</v>
      </c>
      <c r="N112" s="2">
        <v>10</v>
      </c>
      <c r="O112" s="2">
        <v>20</v>
      </c>
      <c r="P112" s="2">
        <v>12</v>
      </c>
      <c r="Q112" s="2" t="s">
        <v>1830</v>
      </c>
      <c r="R112" s="2" t="s">
        <v>1831</v>
      </c>
      <c r="S112" s="4">
        <v>44837</v>
      </c>
    </row>
    <row r="113" spans="1:19" ht="12.5" x14ac:dyDescent="0.25">
      <c r="A113" s="14" t="str">
        <f>HYPERLINK("https://gerandofalcoes.my.salesforce.com/0014P00003AN2GCQA1", "0014P00003AN2GCQA1")</f>
        <v>0014P00003AN2GCQA1</v>
      </c>
      <c r="B113" s="2" t="s">
        <v>1832</v>
      </c>
      <c r="C113" s="2" t="s">
        <v>423</v>
      </c>
      <c r="D113" s="2" t="s">
        <v>2</v>
      </c>
      <c r="E113" s="2">
        <v>49.69</v>
      </c>
      <c r="F113" s="2">
        <v>2</v>
      </c>
      <c r="G113" s="2">
        <v>4</v>
      </c>
      <c r="H113" s="2">
        <v>234550</v>
      </c>
      <c r="I113" s="2">
        <v>187</v>
      </c>
      <c r="J113" s="2" t="s">
        <v>1671</v>
      </c>
      <c r="K113" s="2">
        <v>42</v>
      </c>
      <c r="L113" s="2">
        <v>0</v>
      </c>
      <c r="M113" s="2">
        <v>5</v>
      </c>
      <c r="N113" s="2">
        <v>10</v>
      </c>
      <c r="O113" s="2">
        <v>15</v>
      </c>
      <c r="P113" s="2">
        <v>12</v>
      </c>
      <c r="Q113" s="2" t="s">
        <v>978</v>
      </c>
      <c r="R113" s="2" t="s">
        <v>978</v>
      </c>
      <c r="S113" s="4">
        <v>44837</v>
      </c>
    </row>
    <row r="114" spans="1:19" ht="12.5" x14ac:dyDescent="0.25">
      <c r="A114" s="14" t="str">
        <f>HYPERLINK("https://gerandofalcoes.my.salesforce.com/0014P00003YSp9XQAT", "0014P00003YSp9XQAT")</f>
        <v>0014P00003YSp9XQAT</v>
      </c>
      <c r="B114" s="2" t="s">
        <v>1833</v>
      </c>
      <c r="C114" s="2" t="s">
        <v>423</v>
      </c>
      <c r="D114" s="2" t="s">
        <v>2</v>
      </c>
      <c r="E114" s="2">
        <v>49.55</v>
      </c>
      <c r="F114" s="2">
        <v>53</v>
      </c>
      <c r="G114" s="2">
        <v>6</v>
      </c>
      <c r="H114" s="2">
        <v>526341644</v>
      </c>
      <c r="I114" s="2">
        <v>501</v>
      </c>
      <c r="J114" s="2" t="s">
        <v>1650</v>
      </c>
      <c r="K114" s="2">
        <v>70</v>
      </c>
      <c r="L114" s="2">
        <v>0</v>
      </c>
      <c r="M114" s="2">
        <v>15</v>
      </c>
      <c r="N114" s="2">
        <v>10</v>
      </c>
      <c r="O114" s="2">
        <v>25</v>
      </c>
      <c r="P114" s="2">
        <v>20</v>
      </c>
      <c r="Q114" s="2" t="s">
        <v>1834</v>
      </c>
      <c r="R114" s="2"/>
      <c r="S114" s="4">
        <v>44837</v>
      </c>
    </row>
    <row r="115" spans="1:19" ht="12.5" x14ac:dyDescent="0.25">
      <c r="A115" s="14" t="str">
        <f>HYPERLINK("https://gerandofalcoes.my.salesforce.com/0014X00002YggiEQAR", "0014X00002YggiEQAR")</f>
        <v>0014X00002YggiEQAR</v>
      </c>
      <c r="B115" s="2" t="s">
        <v>3241</v>
      </c>
      <c r="C115" s="2" t="s">
        <v>423</v>
      </c>
      <c r="D115" s="2" t="s">
        <v>2</v>
      </c>
      <c r="E115" s="2">
        <v>49.44</v>
      </c>
      <c r="F115" s="2">
        <v>23</v>
      </c>
      <c r="G115" s="2">
        <v>4</v>
      </c>
      <c r="H115" s="2">
        <v>750000</v>
      </c>
      <c r="I115" s="2">
        <v>0</v>
      </c>
      <c r="J115" s="2" t="s">
        <v>1671</v>
      </c>
      <c r="K115" s="2">
        <v>42</v>
      </c>
      <c r="L115" s="2">
        <v>0</v>
      </c>
      <c r="M115" s="2">
        <v>12</v>
      </c>
      <c r="N115" s="2">
        <v>10</v>
      </c>
      <c r="O115" s="2">
        <v>20</v>
      </c>
      <c r="P115" s="2">
        <v>0</v>
      </c>
      <c r="Q115" s="2" t="s">
        <v>3242</v>
      </c>
      <c r="R115" s="2" t="s">
        <v>3243</v>
      </c>
      <c r="S115" s="4">
        <v>44952</v>
      </c>
    </row>
    <row r="116" spans="1:19" ht="12.5" x14ac:dyDescent="0.25">
      <c r="A116" s="14" t="str">
        <f>HYPERLINK("https://gerandofalcoes.my.salesforce.com/0014X00002YggmwQAB", "0014X00002YggmwQAB")</f>
        <v>0014X00002YggmwQAB</v>
      </c>
      <c r="B116" s="2" t="s">
        <v>3532</v>
      </c>
      <c r="C116" s="2" t="s">
        <v>423</v>
      </c>
      <c r="D116" s="2" t="s">
        <v>2</v>
      </c>
      <c r="E116" s="2">
        <v>49.28</v>
      </c>
      <c r="F116" s="2">
        <v>0</v>
      </c>
      <c r="G116" s="2">
        <v>3</v>
      </c>
      <c r="H116" s="2">
        <v>320618</v>
      </c>
      <c r="I116" s="2">
        <v>200</v>
      </c>
      <c r="J116" s="2" t="s">
        <v>1671</v>
      </c>
      <c r="K116" s="2">
        <v>40</v>
      </c>
      <c r="L116" s="2">
        <v>0</v>
      </c>
      <c r="M116" s="2">
        <v>0</v>
      </c>
      <c r="N116" s="2">
        <v>8</v>
      </c>
      <c r="O116" s="2">
        <v>20</v>
      </c>
      <c r="P116" s="2">
        <v>12</v>
      </c>
      <c r="Q116" s="2" t="s">
        <v>3533</v>
      </c>
      <c r="R116" s="2" t="s">
        <v>3534</v>
      </c>
      <c r="S116" s="4">
        <v>44959</v>
      </c>
    </row>
    <row r="117" spans="1:19" ht="12.5" x14ac:dyDescent="0.25">
      <c r="A117" s="14" t="str">
        <f>HYPERLINK("https://gerandofalcoes.my.salesforce.com/0014P00003YSpA9QAL", "0014P00003YSpA9QAL")</f>
        <v>0014P00003YSpA9QAL</v>
      </c>
      <c r="B117" s="2" t="s">
        <v>1835</v>
      </c>
      <c r="C117" s="2" t="s">
        <v>423</v>
      </c>
      <c r="D117" s="2" t="s">
        <v>2</v>
      </c>
      <c r="E117" s="2">
        <v>49.27</v>
      </c>
      <c r="F117" s="2">
        <v>0</v>
      </c>
      <c r="G117" s="2">
        <v>2</v>
      </c>
      <c r="H117" s="2">
        <v>21270</v>
      </c>
      <c r="I117" s="2">
        <v>25</v>
      </c>
      <c r="J117" s="2" t="s">
        <v>1779</v>
      </c>
      <c r="K117" s="2">
        <v>16</v>
      </c>
      <c r="L117" s="2">
        <v>0</v>
      </c>
      <c r="M117" s="2">
        <v>0</v>
      </c>
      <c r="N117" s="2">
        <v>6</v>
      </c>
      <c r="O117" s="2">
        <v>5</v>
      </c>
      <c r="P117" s="2">
        <v>5</v>
      </c>
      <c r="Q117" s="2" t="s">
        <v>1836</v>
      </c>
      <c r="R117" s="2" t="s">
        <v>7152</v>
      </c>
      <c r="S117" s="4">
        <v>44837</v>
      </c>
    </row>
    <row r="118" spans="1:19" ht="12.5" x14ac:dyDescent="0.25">
      <c r="A118" s="14" t="str">
        <f>HYPERLINK("https://gerandofalcoes.my.salesforce.com/0014X00002VKCujQAH", "0014X00002VKCujQAH")</f>
        <v>0014X00002VKCujQAH</v>
      </c>
      <c r="B118" s="2" t="s">
        <v>1838</v>
      </c>
      <c r="C118" s="2" t="s">
        <v>423</v>
      </c>
      <c r="D118" s="2" t="s">
        <v>2</v>
      </c>
      <c r="E118" s="2">
        <v>49.16</v>
      </c>
      <c r="F118" s="2">
        <v>4</v>
      </c>
      <c r="G118" s="2">
        <v>1</v>
      </c>
      <c r="H118" s="2">
        <v>679520</v>
      </c>
      <c r="I118" s="2">
        <v>100</v>
      </c>
      <c r="J118" s="2" t="s">
        <v>1779</v>
      </c>
      <c r="K118" s="2">
        <v>39</v>
      </c>
      <c r="L118" s="2">
        <v>0</v>
      </c>
      <c r="M118" s="2">
        <v>5</v>
      </c>
      <c r="N118" s="2">
        <v>4</v>
      </c>
      <c r="O118" s="2">
        <v>20</v>
      </c>
      <c r="P118" s="2">
        <v>10</v>
      </c>
      <c r="Q118" s="2" t="s">
        <v>1839</v>
      </c>
      <c r="R118" s="2" t="s">
        <v>1840</v>
      </c>
      <c r="S118" s="4">
        <v>44837</v>
      </c>
    </row>
    <row r="119" spans="1:19" ht="12.5" x14ac:dyDescent="0.25">
      <c r="A119" s="14" t="str">
        <f>HYPERLINK("https://gerandofalcoes.my.salesforce.com/0014X00002VKCt4QAH", "0014X00002VKCt4QAH")</f>
        <v>0014X00002VKCt4QAH</v>
      </c>
      <c r="B119" s="2" t="s">
        <v>1841</v>
      </c>
      <c r="C119" s="2" t="s">
        <v>423</v>
      </c>
      <c r="D119" s="2" t="s">
        <v>2</v>
      </c>
      <c r="E119" s="2">
        <v>48.59</v>
      </c>
      <c r="F119" s="2">
        <v>0</v>
      </c>
      <c r="G119" s="2">
        <v>2</v>
      </c>
      <c r="H119" s="2">
        <v>272000</v>
      </c>
      <c r="I119" s="2">
        <v>105</v>
      </c>
      <c r="J119" s="2" t="s">
        <v>1671</v>
      </c>
      <c r="K119" s="2">
        <v>46</v>
      </c>
      <c r="L119" s="2">
        <v>15</v>
      </c>
      <c r="M119" s="2">
        <v>0</v>
      </c>
      <c r="N119" s="2">
        <v>6</v>
      </c>
      <c r="O119" s="2">
        <v>15</v>
      </c>
      <c r="P119" s="2">
        <v>10</v>
      </c>
      <c r="Q119" s="2" t="s">
        <v>1842</v>
      </c>
      <c r="R119" s="2" t="s">
        <v>1843</v>
      </c>
      <c r="S119" s="4">
        <v>44837</v>
      </c>
    </row>
    <row r="120" spans="1:19" ht="12.5" x14ac:dyDescent="0.25">
      <c r="A120" s="14" t="str">
        <f>HYPERLINK("https://gerandofalcoes.my.salesforce.com/0014X00002YgghRQAR", "0014X00002YgghRQAR")</f>
        <v>0014X00002YgghRQAR</v>
      </c>
      <c r="B120" s="2" t="s">
        <v>3689</v>
      </c>
      <c r="C120" s="2" t="s">
        <v>423</v>
      </c>
      <c r="D120" s="2" t="s">
        <v>2</v>
      </c>
      <c r="E120" s="2">
        <v>48.25</v>
      </c>
      <c r="F120" s="2">
        <v>220</v>
      </c>
      <c r="G120" s="2">
        <v>9</v>
      </c>
      <c r="H120" s="2">
        <v>9000000</v>
      </c>
      <c r="I120" s="2">
        <v>1600</v>
      </c>
      <c r="J120" s="2" t="s">
        <v>1654</v>
      </c>
      <c r="K120" s="2">
        <v>85</v>
      </c>
      <c r="L120" s="2">
        <v>15</v>
      </c>
      <c r="M120" s="2">
        <v>15</v>
      </c>
      <c r="N120" s="2">
        <v>10</v>
      </c>
      <c r="O120" s="2">
        <v>25</v>
      </c>
      <c r="P120" s="2">
        <v>20</v>
      </c>
      <c r="Q120" s="2" t="s">
        <v>3690</v>
      </c>
      <c r="R120" s="2" t="s">
        <v>3691</v>
      </c>
      <c r="S120" s="4">
        <v>44967</v>
      </c>
    </row>
    <row r="121" spans="1:19" ht="12.5" x14ac:dyDescent="0.25">
      <c r="A121" s="14" t="str">
        <f>HYPERLINK("https://gerandofalcoes.my.salesforce.com/0014P00003YSp9SQAT", "0014P00003YSp9SQAT")</f>
        <v>0014P00003YSp9SQAT</v>
      </c>
      <c r="B121" s="2" t="s">
        <v>1844</v>
      </c>
      <c r="C121" s="2" t="s">
        <v>423</v>
      </c>
      <c r="D121" s="2" t="s">
        <v>2</v>
      </c>
      <c r="E121" s="2">
        <v>48.14</v>
      </c>
      <c r="F121" s="2">
        <v>3</v>
      </c>
      <c r="G121" s="2">
        <v>4</v>
      </c>
      <c r="H121" s="2">
        <v>2855703</v>
      </c>
      <c r="I121" s="2">
        <v>150</v>
      </c>
      <c r="J121" s="2" t="s">
        <v>1650</v>
      </c>
      <c r="K121" s="2">
        <v>67</v>
      </c>
      <c r="L121" s="2">
        <v>15</v>
      </c>
      <c r="M121" s="2">
        <v>5</v>
      </c>
      <c r="N121" s="2">
        <v>10</v>
      </c>
      <c r="O121" s="2">
        <v>25</v>
      </c>
      <c r="P121" s="2">
        <v>12</v>
      </c>
      <c r="Q121" s="2" t="s">
        <v>1845</v>
      </c>
      <c r="R121" s="2" t="s">
        <v>1846</v>
      </c>
      <c r="S121" s="4">
        <v>44837</v>
      </c>
    </row>
    <row r="122" spans="1:19" ht="12.5" x14ac:dyDescent="0.25">
      <c r="A122" s="14" t="str">
        <f>HYPERLINK("https://gerandofalcoes.my.salesforce.com/0014X00002VKCuCQAX", "0014X00002VKCuCQAX")</f>
        <v>0014X00002VKCuCQAX</v>
      </c>
      <c r="B122" s="2" t="s">
        <v>1847</v>
      </c>
      <c r="C122" s="2" t="s">
        <v>423</v>
      </c>
      <c r="D122" s="2" t="s">
        <v>2</v>
      </c>
      <c r="E122" s="2">
        <v>48.13</v>
      </c>
      <c r="F122" s="2">
        <v>3</v>
      </c>
      <c r="G122" s="2">
        <v>3</v>
      </c>
      <c r="H122" s="2">
        <v>20593734</v>
      </c>
      <c r="I122" s="2">
        <v>37</v>
      </c>
      <c r="J122" s="2" t="s">
        <v>1671</v>
      </c>
      <c r="K122" s="2">
        <v>58</v>
      </c>
      <c r="L122" s="2">
        <v>15</v>
      </c>
      <c r="M122" s="2">
        <v>5</v>
      </c>
      <c r="N122" s="2">
        <v>8</v>
      </c>
      <c r="O122" s="2">
        <v>25</v>
      </c>
      <c r="P122" s="2">
        <v>5</v>
      </c>
      <c r="Q122" s="2" t="s">
        <v>1848</v>
      </c>
      <c r="R122" s="2" t="s">
        <v>1849</v>
      </c>
      <c r="S122" s="4">
        <v>44837</v>
      </c>
    </row>
    <row r="123" spans="1:19" ht="12.5" x14ac:dyDescent="0.25">
      <c r="A123" s="14" t="str">
        <f>HYPERLINK("https://gerandofalcoes.my.salesforce.com/0014X00002YggkuQAB", "0014X00002YggkuQAB")</f>
        <v>0014X00002YggkuQAB</v>
      </c>
      <c r="B123" s="2" t="s">
        <v>3302</v>
      </c>
      <c r="C123" s="2" t="s">
        <v>423</v>
      </c>
      <c r="D123" s="2" t="s">
        <v>2</v>
      </c>
      <c r="E123" s="2">
        <v>48</v>
      </c>
      <c r="F123" s="2">
        <v>9</v>
      </c>
      <c r="G123" s="2">
        <v>4</v>
      </c>
      <c r="H123" s="2">
        <v>200000</v>
      </c>
      <c r="I123" s="2">
        <v>60</v>
      </c>
      <c r="J123" s="2" t="s">
        <v>1671</v>
      </c>
      <c r="K123" s="2">
        <v>55</v>
      </c>
      <c r="L123" s="2">
        <v>15</v>
      </c>
      <c r="M123" s="2">
        <v>10</v>
      </c>
      <c r="N123" s="2">
        <v>10</v>
      </c>
      <c r="O123" s="2">
        <v>15</v>
      </c>
      <c r="P123" s="2">
        <v>5</v>
      </c>
      <c r="Q123" s="2" t="s">
        <v>3303</v>
      </c>
      <c r="R123" s="2" t="s">
        <v>3304</v>
      </c>
      <c r="S123" s="4">
        <v>44953</v>
      </c>
    </row>
    <row r="124" spans="1:19" ht="12.5" x14ac:dyDescent="0.25">
      <c r="A124" s="14" t="str">
        <f>HYPERLINK("https://gerandofalcoes.my.salesforce.com/0014X00002VKCrlQAH", "0014X00002VKCrlQAH")</f>
        <v>0014X00002VKCrlQAH</v>
      </c>
      <c r="B124" s="2" t="s">
        <v>1850</v>
      </c>
      <c r="C124" s="2" t="s">
        <v>423</v>
      </c>
      <c r="D124" s="2" t="s">
        <v>2</v>
      </c>
      <c r="E124" s="2">
        <v>48</v>
      </c>
      <c r="F124" s="2">
        <v>0</v>
      </c>
      <c r="G124" s="2">
        <v>2</v>
      </c>
      <c r="H124" s="2">
        <v>30000</v>
      </c>
      <c r="I124" s="2">
        <v>30</v>
      </c>
      <c r="J124" s="2" t="s">
        <v>1779</v>
      </c>
      <c r="K124" s="2">
        <v>36</v>
      </c>
      <c r="L124" s="2">
        <v>15</v>
      </c>
      <c r="M124" s="2">
        <v>0</v>
      </c>
      <c r="N124" s="2">
        <v>6</v>
      </c>
      <c r="O124" s="2">
        <v>10</v>
      </c>
      <c r="P124" s="2">
        <v>5</v>
      </c>
      <c r="Q124" s="2" t="s">
        <v>1851</v>
      </c>
      <c r="R124" s="2" t="s">
        <v>1851</v>
      </c>
      <c r="S124" s="4">
        <v>44837</v>
      </c>
    </row>
    <row r="125" spans="1:19" ht="12.5" x14ac:dyDescent="0.25">
      <c r="A125" s="14" t="str">
        <f>HYPERLINK("https://gerandofalcoes.my.salesforce.com/0014P00003YSp9kQAD", "0014P00003YSp9kQAD")</f>
        <v>0014P00003YSp9kQAD</v>
      </c>
      <c r="B125" s="2" t="s">
        <v>1852</v>
      </c>
      <c r="C125" s="2" t="s">
        <v>423</v>
      </c>
      <c r="D125" s="2" t="s">
        <v>2</v>
      </c>
      <c r="E125" s="2">
        <v>46.75</v>
      </c>
      <c r="F125" s="2">
        <v>8</v>
      </c>
      <c r="G125" s="2">
        <v>3</v>
      </c>
      <c r="H125" s="2">
        <v>668446</v>
      </c>
      <c r="I125" s="2">
        <v>851</v>
      </c>
      <c r="J125" s="2" t="s">
        <v>1650</v>
      </c>
      <c r="K125" s="2">
        <v>73</v>
      </c>
      <c r="L125" s="2">
        <v>15</v>
      </c>
      <c r="M125" s="2">
        <v>10</v>
      </c>
      <c r="N125" s="2">
        <v>8</v>
      </c>
      <c r="O125" s="2">
        <v>20</v>
      </c>
      <c r="P125" s="2">
        <v>20</v>
      </c>
      <c r="Q125" s="2" t="s">
        <v>1853</v>
      </c>
      <c r="R125" s="2" t="s">
        <v>1854</v>
      </c>
      <c r="S125" s="4">
        <v>44837</v>
      </c>
    </row>
    <row r="126" spans="1:19" ht="12.5" x14ac:dyDescent="0.25">
      <c r="A126" s="14" t="str">
        <f>HYPERLINK("https://gerandofalcoes.my.salesforce.com/0014P00003YSp7dQAD", "0014P00003YSp7dQAD")</f>
        <v>0014P00003YSp7dQAD</v>
      </c>
      <c r="B126" s="2" t="s">
        <v>1855</v>
      </c>
      <c r="C126" s="2" t="s">
        <v>423</v>
      </c>
      <c r="D126" s="2" t="s">
        <v>2</v>
      </c>
      <c r="E126" s="2">
        <v>46.06</v>
      </c>
      <c r="F126" s="2">
        <v>6</v>
      </c>
      <c r="G126" s="2">
        <v>5</v>
      </c>
      <c r="H126" s="2">
        <v>42178400</v>
      </c>
      <c r="I126" s="2">
        <v>243</v>
      </c>
      <c r="J126" s="2" t="s">
        <v>1650</v>
      </c>
      <c r="K126" s="2">
        <v>72</v>
      </c>
      <c r="L126" s="2">
        <v>15</v>
      </c>
      <c r="M126" s="2">
        <v>10</v>
      </c>
      <c r="N126" s="2">
        <v>10</v>
      </c>
      <c r="O126" s="2">
        <v>25</v>
      </c>
      <c r="P126" s="2">
        <v>12</v>
      </c>
      <c r="Q126" s="2" t="s">
        <v>1856</v>
      </c>
      <c r="R126" s="2" t="s">
        <v>1857</v>
      </c>
      <c r="S126" s="4">
        <v>44837</v>
      </c>
    </row>
    <row r="127" spans="1:19" ht="12.5" x14ac:dyDescent="0.25">
      <c r="A127" s="14" t="str">
        <f>HYPERLINK("https://gerandofalcoes.my.salesforce.com/0014P00003SGWPfQAP", "0014P00003SGWPfQAP")</f>
        <v>0014P00003SGWPfQAP</v>
      </c>
      <c r="B127" s="2" t="s">
        <v>294</v>
      </c>
      <c r="C127" s="2" t="s">
        <v>1800</v>
      </c>
      <c r="D127" s="2" t="s">
        <v>2</v>
      </c>
      <c r="E127" s="2">
        <v>46</v>
      </c>
      <c r="F127" s="2">
        <v>0</v>
      </c>
      <c r="G127" s="2">
        <v>3</v>
      </c>
      <c r="H127" s="2">
        <v>6605</v>
      </c>
      <c r="I127" s="2">
        <v>100</v>
      </c>
      <c r="J127" s="2" t="s">
        <v>1779</v>
      </c>
      <c r="K127" s="2">
        <v>38</v>
      </c>
      <c r="L127" s="2">
        <v>15</v>
      </c>
      <c r="M127" s="2">
        <v>0</v>
      </c>
      <c r="N127" s="2">
        <v>8</v>
      </c>
      <c r="O127" s="2">
        <v>5</v>
      </c>
      <c r="P127" s="2">
        <v>10</v>
      </c>
      <c r="Q127" s="2" t="s">
        <v>295</v>
      </c>
      <c r="R127" s="2" t="s">
        <v>1298</v>
      </c>
      <c r="S127" s="4">
        <v>44837</v>
      </c>
    </row>
    <row r="128" spans="1:19" ht="12.5" x14ac:dyDescent="0.25">
      <c r="A128" s="14" t="str">
        <f>HYPERLINK("https://gerandofalcoes.my.salesforce.com/0014X00002VKCsOQAX", "0014X00002VKCsOQAX")</f>
        <v>0014X00002VKCsOQAX</v>
      </c>
      <c r="B128" s="2" t="s">
        <v>1858</v>
      </c>
      <c r="C128" s="2" t="s">
        <v>423</v>
      </c>
      <c r="D128" s="2" t="s">
        <v>2</v>
      </c>
      <c r="E128" s="2">
        <v>46</v>
      </c>
      <c r="F128" s="2">
        <v>0</v>
      </c>
      <c r="G128" s="2">
        <v>3</v>
      </c>
      <c r="H128" s="2">
        <v>10000</v>
      </c>
      <c r="I128" s="2">
        <v>110</v>
      </c>
      <c r="J128" s="2" t="s">
        <v>1779</v>
      </c>
      <c r="K128" s="2">
        <v>38</v>
      </c>
      <c r="L128" s="2">
        <v>15</v>
      </c>
      <c r="M128" s="2">
        <v>0</v>
      </c>
      <c r="N128" s="2">
        <v>8</v>
      </c>
      <c r="O128" s="2">
        <v>5</v>
      </c>
      <c r="P128" s="2">
        <v>10</v>
      </c>
      <c r="Q128" s="2" t="s">
        <v>1859</v>
      </c>
      <c r="R128" s="2" t="s">
        <v>1860</v>
      </c>
      <c r="S128" s="4">
        <v>44837</v>
      </c>
    </row>
    <row r="129" spans="1:19" ht="12.5" x14ac:dyDescent="0.25">
      <c r="A129" s="14" t="str">
        <f>HYPERLINK("https://gerandofalcoes.my.salesforce.com/0014P00003YSp95QAD", "0014P00003YSp95QAD")</f>
        <v>0014P00003YSp95QAD</v>
      </c>
      <c r="B129" s="2" t="s">
        <v>1861</v>
      </c>
      <c r="C129" s="2" t="s">
        <v>423</v>
      </c>
      <c r="D129" s="2" t="s">
        <v>2</v>
      </c>
      <c r="E129" s="2">
        <v>45.97</v>
      </c>
      <c r="F129" s="2">
        <v>8</v>
      </c>
      <c r="G129" s="2">
        <v>3</v>
      </c>
      <c r="H129" s="2">
        <v>60127</v>
      </c>
      <c r="I129" s="2">
        <v>841</v>
      </c>
      <c r="J129" s="2" t="s">
        <v>1671</v>
      </c>
      <c r="K129" s="2">
        <v>63</v>
      </c>
      <c r="L129" s="2">
        <v>15</v>
      </c>
      <c r="M129" s="2">
        <v>10</v>
      </c>
      <c r="N129" s="2">
        <v>8</v>
      </c>
      <c r="O129" s="2">
        <v>10</v>
      </c>
      <c r="P129" s="2">
        <v>20</v>
      </c>
      <c r="Q129" s="2" t="s">
        <v>1862</v>
      </c>
      <c r="R129" s="2" t="s">
        <v>1863</v>
      </c>
      <c r="S129" s="4">
        <v>44837</v>
      </c>
    </row>
    <row r="130" spans="1:19" ht="12.5" x14ac:dyDescent="0.25">
      <c r="A130" s="14" t="str">
        <f>HYPERLINK("https://gerandofalcoes.my.salesforce.com/0014P00003SGWPSQA5", "0014P00003SGWPSQA5")</f>
        <v>0014P00003SGWPSQA5</v>
      </c>
      <c r="B130" s="2" t="s">
        <v>372</v>
      </c>
      <c r="C130" s="2" t="s">
        <v>423</v>
      </c>
      <c r="D130" s="2" t="s">
        <v>2</v>
      </c>
      <c r="E130" s="2">
        <v>45.95</v>
      </c>
      <c r="F130" s="2">
        <v>10</v>
      </c>
      <c r="G130" s="2">
        <v>2</v>
      </c>
      <c r="H130" s="2">
        <v>657000000</v>
      </c>
      <c r="I130" s="2">
        <v>110</v>
      </c>
      <c r="J130" s="2" t="s">
        <v>1650</v>
      </c>
      <c r="K130" s="2">
        <v>66</v>
      </c>
      <c r="L130" s="2">
        <v>15</v>
      </c>
      <c r="M130" s="2">
        <v>10</v>
      </c>
      <c r="N130" s="2">
        <v>6</v>
      </c>
      <c r="O130" s="2">
        <v>25</v>
      </c>
      <c r="P130" s="2">
        <v>10</v>
      </c>
      <c r="Q130" s="2" t="s">
        <v>373</v>
      </c>
      <c r="R130" s="2" t="s">
        <v>373</v>
      </c>
      <c r="S130" s="4">
        <v>44837</v>
      </c>
    </row>
    <row r="131" spans="1:19" ht="12.5" hidden="1" x14ac:dyDescent="0.25">
      <c r="A131" s="14" t="str">
        <f>HYPERLINK("https://gerandofalcoes.my.salesforce.com/0014P00003ERakHQAT", "0014P00003ERakHQAT")</f>
        <v>0014P00003ERakHQAT</v>
      </c>
      <c r="B131" s="2" t="s">
        <v>2983</v>
      </c>
      <c r="C131" s="2" t="s">
        <v>1684</v>
      </c>
      <c r="D131" s="2" t="s">
        <v>2</v>
      </c>
      <c r="E131" s="2"/>
      <c r="F131" s="2">
        <v>0</v>
      </c>
      <c r="G131" s="2">
        <v>0</v>
      </c>
      <c r="H131" s="2">
        <v>0</v>
      </c>
      <c r="I131" s="2">
        <v>300</v>
      </c>
      <c r="J131" s="2" t="s">
        <v>1779</v>
      </c>
      <c r="K131" s="2">
        <v>15</v>
      </c>
      <c r="L131" s="2">
        <v>0</v>
      </c>
      <c r="M131" s="2">
        <v>0</v>
      </c>
      <c r="N131" s="2">
        <v>0</v>
      </c>
      <c r="O131" s="2">
        <v>0</v>
      </c>
      <c r="P131" s="2">
        <v>15</v>
      </c>
      <c r="Q131" s="2" t="s">
        <v>2984</v>
      </c>
      <c r="R131" s="2" t="s">
        <v>2984</v>
      </c>
      <c r="S131" s="4">
        <v>44837</v>
      </c>
    </row>
    <row r="132" spans="1:19" ht="12.5" x14ac:dyDescent="0.25">
      <c r="A132" s="14" t="str">
        <f>HYPERLINK("https://gerandofalcoes.my.salesforce.com/0014P00003SGWPmQAP", "0014P00003SGWPmQAP")</f>
        <v>0014P00003SGWPmQAP</v>
      </c>
      <c r="B132" s="2" t="s">
        <v>315</v>
      </c>
      <c r="C132" s="2" t="s">
        <v>423</v>
      </c>
      <c r="D132" s="2" t="s">
        <v>2</v>
      </c>
      <c r="E132" s="2">
        <v>45.4</v>
      </c>
      <c r="F132" s="2">
        <v>2</v>
      </c>
      <c r="G132" s="2">
        <v>4</v>
      </c>
      <c r="H132" s="2">
        <v>75550</v>
      </c>
      <c r="I132" s="2">
        <v>239</v>
      </c>
      <c r="J132" s="2" t="s">
        <v>1671</v>
      </c>
      <c r="K132" s="2">
        <v>52</v>
      </c>
      <c r="L132" s="2">
        <v>15</v>
      </c>
      <c r="M132" s="2">
        <v>5</v>
      </c>
      <c r="N132" s="2">
        <v>10</v>
      </c>
      <c r="O132" s="2">
        <v>10</v>
      </c>
      <c r="P132" s="2">
        <v>12</v>
      </c>
      <c r="Q132" s="2" t="s">
        <v>316</v>
      </c>
      <c r="R132" s="2" t="s">
        <v>1370</v>
      </c>
      <c r="S132" s="4">
        <v>44837</v>
      </c>
    </row>
    <row r="133" spans="1:19" ht="12.5" x14ac:dyDescent="0.25">
      <c r="A133" s="14" t="str">
        <f>HYPERLINK("https://gerandofalcoes.my.salesforce.com/0014X00002VKCrRQAX", "0014X00002VKCrRQAX")</f>
        <v>0014X00002VKCrRQAX</v>
      </c>
      <c r="B133" s="2" t="s">
        <v>1864</v>
      </c>
      <c r="C133" s="2" t="s">
        <v>423</v>
      </c>
      <c r="D133" s="2" t="s">
        <v>2</v>
      </c>
      <c r="E133" s="2">
        <v>45.36</v>
      </c>
      <c r="F133" s="2">
        <v>0</v>
      </c>
      <c r="G133" s="2">
        <v>2</v>
      </c>
      <c r="H133" s="2">
        <v>140300</v>
      </c>
      <c r="I133" s="2">
        <v>238</v>
      </c>
      <c r="J133" s="2" t="s">
        <v>1671</v>
      </c>
      <c r="K133" s="2">
        <v>48</v>
      </c>
      <c r="L133" s="2">
        <v>15</v>
      </c>
      <c r="M133" s="2">
        <v>0</v>
      </c>
      <c r="N133" s="2">
        <v>6</v>
      </c>
      <c r="O133" s="2">
        <v>15</v>
      </c>
      <c r="P133" s="2">
        <v>12</v>
      </c>
      <c r="Q133" s="2" t="s">
        <v>1865</v>
      </c>
      <c r="R133" s="2" t="s">
        <v>1866</v>
      </c>
      <c r="S133" s="4">
        <v>44837</v>
      </c>
    </row>
    <row r="134" spans="1:19" ht="12.5" x14ac:dyDescent="0.25">
      <c r="A134" s="14" t="str">
        <f>HYPERLINK("https://gerandofalcoes.my.salesforce.com/0014P00003SGWPkQAP", "0014P00003SGWPkQAP")</f>
        <v>0014P00003SGWPkQAP</v>
      </c>
      <c r="B134" s="2" t="s">
        <v>306</v>
      </c>
      <c r="C134" s="2" t="s">
        <v>423</v>
      </c>
      <c r="D134" s="2" t="s">
        <v>2</v>
      </c>
      <c r="E134" s="2">
        <v>45.27</v>
      </c>
      <c r="F134" s="2">
        <v>7</v>
      </c>
      <c r="G134" s="2">
        <v>3</v>
      </c>
      <c r="H134" s="2">
        <v>264000</v>
      </c>
      <c r="I134" s="2">
        <v>240</v>
      </c>
      <c r="J134" s="2" t="s">
        <v>1671</v>
      </c>
      <c r="K134" s="2">
        <v>60</v>
      </c>
      <c r="L134" s="2">
        <v>15</v>
      </c>
      <c r="M134" s="2">
        <v>10</v>
      </c>
      <c r="N134" s="2">
        <v>8</v>
      </c>
      <c r="O134" s="2">
        <v>15</v>
      </c>
      <c r="P134" s="2">
        <v>12</v>
      </c>
      <c r="Q134" s="2" t="s">
        <v>307</v>
      </c>
      <c r="R134" s="2" t="s">
        <v>1867</v>
      </c>
      <c r="S134" s="4">
        <v>44837</v>
      </c>
    </row>
    <row r="135" spans="1:19" ht="12.5" x14ac:dyDescent="0.25">
      <c r="A135" s="14" t="str">
        <f>HYPERLINK("https://gerandofalcoes.my.salesforce.com/0014X00002VKCpfQAH", "0014X00002VKCpfQAH")</f>
        <v>0014X00002VKCpfQAH</v>
      </c>
      <c r="B135" s="2" t="s">
        <v>1868</v>
      </c>
      <c r="C135" s="2" t="s">
        <v>423</v>
      </c>
      <c r="D135" s="2" t="s">
        <v>2</v>
      </c>
      <c r="E135" s="2">
        <v>45.23</v>
      </c>
      <c r="F135" s="2">
        <v>0</v>
      </c>
      <c r="G135" s="2">
        <v>3</v>
      </c>
      <c r="H135" s="2">
        <v>41307</v>
      </c>
      <c r="I135" s="2">
        <v>120</v>
      </c>
      <c r="J135" s="2" t="s">
        <v>1671</v>
      </c>
      <c r="K135" s="2">
        <v>43</v>
      </c>
      <c r="L135" s="2">
        <v>15</v>
      </c>
      <c r="M135" s="2">
        <v>0</v>
      </c>
      <c r="N135" s="2">
        <v>8</v>
      </c>
      <c r="O135" s="2">
        <v>10</v>
      </c>
      <c r="P135" s="2">
        <v>10</v>
      </c>
      <c r="Q135" s="2" t="s">
        <v>1869</v>
      </c>
      <c r="R135" s="2" t="s">
        <v>1870</v>
      </c>
      <c r="S135" s="4">
        <v>44837</v>
      </c>
    </row>
    <row r="136" spans="1:19" ht="12.5" x14ac:dyDescent="0.25">
      <c r="A136" s="14" t="str">
        <f>HYPERLINK("https://gerandofalcoes.my.salesforce.com/0014X00002VKCqLQAX", "0014X00002VKCqLQAX")</f>
        <v>0014X00002VKCqLQAX</v>
      </c>
      <c r="B136" s="2" t="s">
        <v>1871</v>
      </c>
      <c r="C136" s="2" t="s">
        <v>423</v>
      </c>
      <c r="D136" s="2" t="s">
        <v>2</v>
      </c>
      <c r="E136" s="2">
        <v>45.05</v>
      </c>
      <c r="F136" s="2">
        <v>462</v>
      </c>
      <c r="G136" s="2">
        <v>2</v>
      </c>
      <c r="H136" s="2">
        <v>9114662</v>
      </c>
      <c r="I136" s="2">
        <v>365</v>
      </c>
      <c r="J136" s="2" t="s">
        <v>1650</v>
      </c>
      <c r="K136" s="2">
        <v>76</v>
      </c>
      <c r="L136" s="2">
        <v>15</v>
      </c>
      <c r="M136" s="2">
        <v>15</v>
      </c>
      <c r="N136" s="2">
        <v>6</v>
      </c>
      <c r="O136" s="2">
        <v>25</v>
      </c>
      <c r="P136" s="2">
        <v>15</v>
      </c>
      <c r="Q136" s="2" t="s">
        <v>1872</v>
      </c>
      <c r="R136" s="2" t="s">
        <v>1873</v>
      </c>
      <c r="S136" s="4">
        <v>44837</v>
      </c>
    </row>
    <row r="137" spans="1:19" ht="12.5" x14ac:dyDescent="0.25">
      <c r="A137" s="14" t="str">
        <f>HYPERLINK("https://gerandofalcoes.my.salesforce.com/0014P00003AN2FYQA1", "0014P00003AN2FYQA1")</f>
        <v>0014P00003AN2FYQA1</v>
      </c>
      <c r="B137" s="2" t="s">
        <v>1874</v>
      </c>
      <c r="C137" s="2" t="s">
        <v>423</v>
      </c>
      <c r="D137" s="2" t="s">
        <v>2</v>
      </c>
      <c r="E137" s="2">
        <v>45</v>
      </c>
      <c r="F137" s="2">
        <v>4</v>
      </c>
      <c r="G137" s="2">
        <v>5</v>
      </c>
      <c r="H137" s="2">
        <v>100000</v>
      </c>
      <c r="I137" s="2">
        <v>50</v>
      </c>
      <c r="J137" s="2" t="s">
        <v>1671</v>
      </c>
      <c r="K137" s="2">
        <v>50</v>
      </c>
      <c r="L137" s="2">
        <v>15</v>
      </c>
      <c r="M137" s="2">
        <v>5</v>
      </c>
      <c r="N137" s="2">
        <v>10</v>
      </c>
      <c r="O137" s="2">
        <v>15</v>
      </c>
      <c r="P137" s="2">
        <v>5</v>
      </c>
      <c r="Q137" s="2" t="s">
        <v>7147</v>
      </c>
      <c r="R137" s="2" t="s">
        <v>7147</v>
      </c>
      <c r="S137" s="4">
        <v>44837</v>
      </c>
    </row>
    <row r="138" spans="1:19" ht="12.5" x14ac:dyDescent="0.25">
      <c r="A138" s="14" t="str">
        <f>HYPERLINK("https://gerandofalcoes.my.salesforce.com/0014X00002VKCrhQAH", "0014X00002VKCrhQAH")</f>
        <v>0014X00002VKCrhQAH</v>
      </c>
      <c r="B138" s="2" t="s">
        <v>3895</v>
      </c>
      <c r="C138" s="2" t="s">
        <v>423</v>
      </c>
      <c r="D138" s="2" t="s">
        <v>2</v>
      </c>
      <c r="E138" s="2">
        <v>45</v>
      </c>
      <c r="F138" s="2">
        <v>6</v>
      </c>
      <c r="G138" s="2">
        <v>5</v>
      </c>
      <c r="H138" s="2">
        <v>150000</v>
      </c>
      <c r="I138" s="2">
        <v>200</v>
      </c>
      <c r="J138" s="2" t="s">
        <v>1671</v>
      </c>
      <c r="K138" s="2">
        <v>62</v>
      </c>
      <c r="L138" s="2">
        <v>15</v>
      </c>
      <c r="M138" s="2">
        <v>10</v>
      </c>
      <c r="N138" s="2">
        <v>10</v>
      </c>
      <c r="O138" s="2">
        <v>15</v>
      </c>
      <c r="P138" s="2">
        <v>12</v>
      </c>
      <c r="Q138" s="2" t="s">
        <v>3896</v>
      </c>
      <c r="R138" s="2" t="s">
        <v>3897</v>
      </c>
      <c r="S138" s="4">
        <v>45113</v>
      </c>
    </row>
    <row r="139" spans="1:19" ht="12.5" x14ac:dyDescent="0.25">
      <c r="A139" s="14" t="str">
        <f>HYPERLINK("https://gerandofalcoes.my.salesforce.com/0014X00002YgggkQAB", "0014X00002YgggkQAB")</f>
        <v>0014X00002YgggkQAB</v>
      </c>
      <c r="B139" s="2" t="s">
        <v>3692</v>
      </c>
      <c r="C139" s="2" t="s">
        <v>423</v>
      </c>
      <c r="D139" s="2" t="s">
        <v>2</v>
      </c>
      <c r="E139" s="2">
        <v>44.66</v>
      </c>
      <c r="F139" s="2">
        <v>1</v>
      </c>
      <c r="G139" s="2">
        <v>3</v>
      </c>
      <c r="H139" s="2">
        <v>51325</v>
      </c>
      <c r="I139" s="2">
        <v>600</v>
      </c>
      <c r="J139" s="2" t="s">
        <v>1671</v>
      </c>
      <c r="K139" s="2">
        <v>58</v>
      </c>
      <c r="L139" s="2">
        <v>15</v>
      </c>
      <c r="M139" s="2">
        <v>5</v>
      </c>
      <c r="N139" s="2">
        <v>8</v>
      </c>
      <c r="O139" s="2">
        <v>10</v>
      </c>
      <c r="P139" s="2">
        <v>20</v>
      </c>
      <c r="Q139" s="2" t="s">
        <v>3693</v>
      </c>
      <c r="R139" s="2" t="s">
        <v>3694</v>
      </c>
      <c r="S139" s="4">
        <v>44967</v>
      </c>
    </row>
    <row r="140" spans="1:19" ht="12.5" x14ac:dyDescent="0.25">
      <c r="A140" s="14" t="str">
        <f>HYPERLINK("https://gerandofalcoes.my.salesforce.com/0014X00002VKCsyQAH", "0014X00002VKCsyQAH")</f>
        <v>0014X00002VKCsyQAH</v>
      </c>
      <c r="B140" s="2" t="s">
        <v>1877</v>
      </c>
      <c r="C140" s="2" t="s">
        <v>423</v>
      </c>
      <c r="D140" s="2" t="s">
        <v>2</v>
      </c>
      <c r="E140" s="2">
        <v>44.41</v>
      </c>
      <c r="F140" s="2">
        <v>0</v>
      </c>
      <c r="G140" s="2">
        <v>2</v>
      </c>
      <c r="H140" s="2">
        <v>9000</v>
      </c>
      <c r="I140" s="2">
        <v>157</v>
      </c>
      <c r="J140" s="2" t="s">
        <v>1779</v>
      </c>
      <c r="K140" s="2">
        <v>38</v>
      </c>
      <c r="L140" s="2">
        <v>15</v>
      </c>
      <c r="M140" s="2">
        <v>0</v>
      </c>
      <c r="N140" s="2">
        <v>6</v>
      </c>
      <c r="O140" s="2">
        <v>5</v>
      </c>
      <c r="P140" s="2">
        <v>12</v>
      </c>
      <c r="Q140" s="2" t="s">
        <v>1878</v>
      </c>
      <c r="R140" s="2" t="s">
        <v>1878</v>
      </c>
      <c r="S140" s="4">
        <v>44837</v>
      </c>
    </row>
    <row r="141" spans="1:19" ht="12.5" x14ac:dyDescent="0.25">
      <c r="A141" s="14" t="str">
        <f>HYPERLINK("https://gerandofalcoes.my.salesforce.com/0014X00002VKCuKQAX", "0014X00002VKCuKQAX")</f>
        <v>0014X00002VKCuKQAX</v>
      </c>
      <c r="B141" s="2" t="s">
        <v>1879</v>
      </c>
      <c r="C141" s="2" t="s">
        <v>423</v>
      </c>
      <c r="D141" s="2" t="s">
        <v>2</v>
      </c>
      <c r="E141" s="2">
        <v>44.38</v>
      </c>
      <c r="F141" s="2">
        <v>2</v>
      </c>
      <c r="G141" s="2">
        <v>1</v>
      </c>
      <c r="H141" s="2">
        <v>50000</v>
      </c>
      <c r="I141" s="2">
        <v>20</v>
      </c>
      <c r="J141" s="2" t="s">
        <v>1779</v>
      </c>
      <c r="K141" s="2">
        <v>39</v>
      </c>
      <c r="L141" s="2">
        <v>15</v>
      </c>
      <c r="M141" s="2">
        <v>5</v>
      </c>
      <c r="N141" s="2">
        <v>4</v>
      </c>
      <c r="O141" s="2">
        <v>10</v>
      </c>
      <c r="P141" s="2">
        <v>5</v>
      </c>
      <c r="Q141" s="2" t="s">
        <v>1880</v>
      </c>
      <c r="R141" s="2" t="s">
        <v>1880</v>
      </c>
      <c r="S141" s="4">
        <v>44837</v>
      </c>
    </row>
    <row r="142" spans="1:19" ht="12.5" x14ac:dyDescent="0.25">
      <c r="A142" s="14" t="str">
        <f>HYPERLINK("https://gerandofalcoes.my.salesforce.com/0014P00003YSpAHQA1", "0014P00003YSpAHQA1")</f>
        <v>0014P00003YSpAHQA1</v>
      </c>
      <c r="B142" s="2" t="s">
        <v>1881</v>
      </c>
      <c r="C142" s="2" t="s">
        <v>423</v>
      </c>
      <c r="D142" s="2" t="s">
        <v>2</v>
      </c>
      <c r="E142" s="2">
        <v>44.09</v>
      </c>
      <c r="F142" s="2">
        <v>34</v>
      </c>
      <c r="G142" s="2">
        <v>3</v>
      </c>
      <c r="H142" s="2">
        <v>109250786</v>
      </c>
      <c r="I142" s="2">
        <v>15</v>
      </c>
      <c r="J142" s="2" t="s">
        <v>1650</v>
      </c>
      <c r="K142" s="2">
        <v>68</v>
      </c>
      <c r="L142" s="2">
        <v>15</v>
      </c>
      <c r="M142" s="2">
        <v>15</v>
      </c>
      <c r="N142" s="2">
        <v>8</v>
      </c>
      <c r="O142" s="2">
        <v>25</v>
      </c>
      <c r="P142" s="2">
        <v>5</v>
      </c>
      <c r="Q142" s="2" t="s">
        <v>1882</v>
      </c>
      <c r="R142" s="2" t="s">
        <v>1882</v>
      </c>
      <c r="S142" s="4">
        <v>44837</v>
      </c>
    </row>
    <row r="143" spans="1:19" ht="12.5" x14ac:dyDescent="0.25">
      <c r="A143" s="14" t="str">
        <f>HYPERLINK("https://gerandofalcoes.my.salesforce.com/0014X00002PUOTvQAP", "0014X00002PUOTvQAP")</f>
        <v>0014X00002PUOTvQAP</v>
      </c>
      <c r="B143" s="2" t="s">
        <v>1883</v>
      </c>
      <c r="C143" s="2" t="s">
        <v>1800</v>
      </c>
      <c r="D143" s="2" t="s">
        <v>2</v>
      </c>
      <c r="E143" s="2">
        <v>44</v>
      </c>
      <c r="F143" s="2">
        <v>3</v>
      </c>
      <c r="G143" s="2">
        <v>1</v>
      </c>
      <c r="H143" s="2">
        <v>150000</v>
      </c>
      <c r="I143" s="2">
        <v>800</v>
      </c>
      <c r="J143" s="2" t="s">
        <v>1671</v>
      </c>
      <c r="K143" s="2">
        <v>59</v>
      </c>
      <c r="L143" s="2">
        <v>15</v>
      </c>
      <c r="M143" s="2">
        <v>5</v>
      </c>
      <c r="N143" s="2">
        <v>4</v>
      </c>
      <c r="O143" s="2">
        <v>15</v>
      </c>
      <c r="P143" s="2">
        <v>20</v>
      </c>
      <c r="Q143" s="2" t="s">
        <v>1884</v>
      </c>
      <c r="R143" s="2" t="s">
        <v>424</v>
      </c>
      <c r="S143" s="4">
        <v>44837</v>
      </c>
    </row>
    <row r="144" spans="1:19" ht="12.5" x14ac:dyDescent="0.25">
      <c r="A144" s="14" t="str">
        <f>HYPERLINK("https://gerandofalcoes.my.salesforce.com/0014P00003YSp9MQAT", "0014P00003YSp9MQAT")</f>
        <v>0014P00003YSp9MQAT</v>
      </c>
      <c r="B144" s="2" t="s">
        <v>1887</v>
      </c>
      <c r="C144" s="2" t="s">
        <v>1800</v>
      </c>
      <c r="D144" s="2" t="s">
        <v>2</v>
      </c>
      <c r="E144" s="2">
        <v>44</v>
      </c>
      <c r="F144" s="2">
        <v>2</v>
      </c>
      <c r="G144" s="2">
        <v>2</v>
      </c>
      <c r="H144" s="2">
        <v>9000</v>
      </c>
      <c r="I144" s="2">
        <v>30</v>
      </c>
      <c r="J144" s="2" t="s">
        <v>1779</v>
      </c>
      <c r="K144" s="2">
        <v>36</v>
      </c>
      <c r="L144" s="2">
        <v>15</v>
      </c>
      <c r="M144" s="2">
        <v>5</v>
      </c>
      <c r="N144" s="2">
        <v>6</v>
      </c>
      <c r="O144" s="2">
        <v>5</v>
      </c>
      <c r="P144" s="2">
        <v>5</v>
      </c>
      <c r="Q144" s="2" t="s">
        <v>1888</v>
      </c>
      <c r="R144" s="2" t="s">
        <v>1888</v>
      </c>
      <c r="S144" s="4">
        <v>44837</v>
      </c>
    </row>
    <row r="145" spans="1:19" ht="12.5" x14ac:dyDescent="0.25">
      <c r="A145" s="14" t="str">
        <f>HYPERLINK("https://gerandofalcoes.my.salesforce.com/0014P00003AN2FhQAL", "0014P00003AN2FhQAL")</f>
        <v>0014P00003AN2FhQAL</v>
      </c>
      <c r="B145" s="2" t="s">
        <v>1889</v>
      </c>
      <c r="C145" s="2" t="s">
        <v>423</v>
      </c>
      <c r="D145" s="2" t="s">
        <v>2</v>
      </c>
      <c r="E145" s="2">
        <v>43.96</v>
      </c>
      <c r="F145" s="2">
        <v>3</v>
      </c>
      <c r="G145" s="2">
        <v>2</v>
      </c>
      <c r="H145" s="2">
        <v>472000</v>
      </c>
      <c r="I145" s="2">
        <v>381</v>
      </c>
      <c r="J145" s="2" t="s">
        <v>1671</v>
      </c>
      <c r="K145" s="2">
        <v>61</v>
      </c>
      <c r="L145" s="2">
        <v>15</v>
      </c>
      <c r="M145" s="2">
        <v>5</v>
      </c>
      <c r="N145" s="2">
        <v>6</v>
      </c>
      <c r="O145" s="2">
        <v>20</v>
      </c>
      <c r="P145" s="2">
        <v>15</v>
      </c>
      <c r="Q145" s="2" t="s">
        <v>715</v>
      </c>
      <c r="R145" s="2" t="s">
        <v>715</v>
      </c>
      <c r="S145" s="4">
        <v>44837</v>
      </c>
    </row>
    <row r="146" spans="1:19" ht="12.5" x14ac:dyDescent="0.25">
      <c r="A146" s="14" t="str">
        <f>HYPERLINK("https://gerandofalcoes.my.salesforce.com/0014P00003YSp8QQAT", "0014P00003YSp8QQAT")</f>
        <v>0014P00003YSp8QQAT</v>
      </c>
      <c r="B146" s="2" t="s">
        <v>1890</v>
      </c>
      <c r="C146" s="2" t="s">
        <v>423</v>
      </c>
      <c r="D146" s="2" t="s">
        <v>2</v>
      </c>
      <c r="E146" s="2">
        <v>43.85</v>
      </c>
      <c r="F146" s="2">
        <v>7</v>
      </c>
      <c r="G146" s="2">
        <v>150</v>
      </c>
      <c r="H146" s="2">
        <v>337433</v>
      </c>
      <c r="I146" s="2">
        <v>80</v>
      </c>
      <c r="J146" s="2" t="s">
        <v>1650</v>
      </c>
      <c r="K146" s="2">
        <v>65</v>
      </c>
      <c r="L146" s="2">
        <v>15</v>
      </c>
      <c r="M146" s="2">
        <v>10</v>
      </c>
      <c r="N146" s="2">
        <v>10</v>
      </c>
      <c r="O146" s="2">
        <v>20</v>
      </c>
      <c r="P146" s="2">
        <v>10</v>
      </c>
      <c r="Q146" s="2" t="s">
        <v>1891</v>
      </c>
      <c r="R146" s="2" t="s">
        <v>1891</v>
      </c>
      <c r="S146" s="4">
        <v>44837</v>
      </c>
    </row>
    <row r="147" spans="1:19" ht="12.5" x14ac:dyDescent="0.25">
      <c r="A147" s="14" t="str">
        <f>HYPERLINK("https://gerandofalcoes.my.salesforce.com/0014P00003YSp92QAD", "0014P00003YSp92QAD")</f>
        <v>0014P00003YSp92QAD</v>
      </c>
      <c r="B147" s="2" t="s">
        <v>1892</v>
      </c>
      <c r="C147" s="2" t="s">
        <v>423</v>
      </c>
      <c r="D147" s="2" t="s">
        <v>2</v>
      </c>
      <c r="E147" s="2">
        <v>43.83</v>
      </c>
      <c r="F147" s="2">
        <v>2</v>
      </c>
      <c r="G147" s="2">
        <v>3</v>
      </c>
      <c r="H147" s="2">
        <v>109472</v>
      </c>
      <c r="I147" s="2">
        <v>40</v>
      </c>
      <c r="J147" s="2" t="s">
        <v>1671</v>
      </c>
      <c r="K147" s="2">
        <v>48</v>
      </c>
      <c r="L147" s="2">
        <v>15</v>
      </c>
      <c r="M147" s="2">
        <v>5</v>
      </c>
      <c r="N147" s="2">
        <v>8</v>
      </c>
      <c r="O147" s="2">
        <v>15</v>
      </c>
      <c r="P147" s="2">
        <v>5</v>
      </c>
      <c r="Q147" s="2" t="s">
        <v>1893</v>
      </c>
      <c r="R147" s="2" t="s">
        <v>1894</v>
      </c>
      <c r="S147" s="4">
        <v>44837</v>
      </c>
    </row>
    <row r="148" spans="1:19" ht="12.5" x14ac:dyDescent="0.25">
      <c r="A148" s="14" t="str">
        <f>HYPERLINK("https://gerandofalcoes.my.salesforce.com/0014X00002VKCufQAH", "0014X00002VKCufQAH")</f>
        <v>0014X00002VKCufQAH</v>
      </c>
      <c r="B148" s="2" t="s">
        <v>1895</v>
      </c>
      <c r="C148" s="2" t="s">
        <v>423</v>
      </c>
      <c r="D148" s="2" t="s">
        <v>2</v>
      </c>
      <c r="E148" s="2">
        <v>43.69</v>
      </c>
      <c r="F148" s="2">
        <v>5</v>
      </c>
      <c r="G148" s="2">
        <v>1</v>
      </c>
      <c r="H148" s="2">
        <v>14040000</v>
      </c>
      <c r="I148" s="2">
        <v>50</v>
      </c>
      <c r="J148" s="2" t="s">
        <v>1671</v>
      </c>
      <c r="K148" s="2">
        <v>54</v>
      </c>
      <c r="L148" s="2">
        <v>15</v>
      </c>
      <c r="M148" s="2">
        <v>5</v>
      </c>
      <c r="N148" s="2">
        <v>4</v>
      </c>
      <c r="O148" s="2">
        <v>25</v>
      </c>
      <c r="P148" s="2">
        <v>5</v>
      </c>
      <c r="Q148" s="2" t="s">
        <v>1896</v>
      </c>
      <c r="R148" s="2" t="s">
        <v>1896</v>
      </c>
      <c r="S148" s="4">
        <v>44837</v>
      </c>
    </row>
    <row r="149" spans="1:19" ht="12.5" x14ac:dyDescent="0.25">
      <c r="A149" s="14" t="str">
        <f>HYPERLINK("https://gerandofalcoes.my.salesforce.com/0014P00003AN2G8QAL", "0014P00003AN2G8QAL")</f>
        <v>0014P00003AN2G8QAL</v>
      </c>
      <c r="B149" s="2" t="s">
        <v>1897</v>
      </c>
      <c r="C149" s="2" t="s">
        <v>423</v>
      </c>
      <c r="D149" s="2" t="s">
        <v>2</v>
      </c>
      <c r="E149" s="2">
        <v>43.54</v>
      </c>
      <c r="F149" s="2">
        <v>2</v>
      </c>
      <c r="G149" s="2">
        <v>5</v>
      </c>
      <c r="H149" s="2">
        <v>455000</v>
      </c>
      <c r="I149" s="2">
        <v>545</v>
      </c>
      <c r="J149" s="2" t="s">
        <v>1650</v>
      </c>
      <c r="K149" s="2">
        <v>70</v>
      </c>
      <c r="L149" s="2">
        <v>15</v>
      </c>
      <c r="M149" s="2">
        <v>5</v>
      </c>
      <c r="N149" s="2">
        <v>10</v>
      </c>
      <c r="O149" s="2">
        <v>20</v>
      </c>
      <c r="P149" s="2">
        <v>20</v>
      </c>
      <c r="Q149" s="2" t="s">
        <v>1898</v>
      </c>
      <c r="R149" s="2" t="s">
        <v>1898</v>
      </c>
      <c r="S149" s="4">
        <v>44837</v>
      </c>
    </row>
    <row r="150" spans="1:19" ht="12.5" x14ac:dyDescent="0.25">
      <c r="A150" s="14" t="str">
        <f>HYPERLINK("https://gerandofalcoes.my.salesforce.com/0014X00002VKCsnQAH", "0014X00002VKCsnQAH")</f>
        <v>0014X00002VKCsnQAH</v>
      </c>
      <c r="B150" s="2" t="s">
        <v>1899</v>
      </c>
      <c r="C150" s="2" t="s">
        <v>423</v>
      </c>
      <c r="D150" s="2" t="s">
        <v>2</v>
      </c>
      <c r="E150" s="2">
        <v>43.37</v>
      </c>
      <c r="F150" s="2">
        <v>7</v>
      </c>
      <c r="G150" s="2">
        <v>6</v>
      </c>
      <c r="H150" s="2">
        <v>130175</v>
      </c>
      <c r="I150" s="2">
        <v>120</v>
      </c>
      <c r="J150" s="2" t="s">
        <v>1671</v>
      </c>
      <c r="K150" s="2">
        <v>60</v>
      </c>
      <c r="L150" s="2">
        <v>15</v>
      </c>
      <c r="M150" s="2">
        <v>10</v>
      </c>
      <c r="N150" s="2">
        <v>10</v>
      </c>
      <c r="O150" s="2">
        <v>15</v>
      </c>
      <c r="P150" s="2">
        <v>10</v>
      </c>
      <c r="Q150" s="2" t="s">
        <v>1900</v>
      </c>
      <c r="R150" s="2" t="s">
        <v>1901</v>
      </c>
      <c r="S150" s="4">
        <v>44837</v>
      </c>
    </row>
    <row r="151" spans="1:19" ht="12.5" x14ac:dyDescent="0.25">
      <c r="A151" s="14" t="str">
        <f>HYPERLINK("https://gerandofalcoes.my.salesforce.com/0014X00002VKCuiQAH", "0014X00002VKCuiQAH")</f>
        <v>0014X00002VKCuiQAH</v>
      </c>
      <c r="B151" s="2" t="s">
        <v>1902</v>
      </c>
      <c r="C151" s="2" t="s">
        <v>423</v>
      </c>
      <c r="D151" s="2" t="s">
        <v>2</v>
      </c>
      <c r="E151" s="2">
        <v>43.37</v>
      </c>
      <c r="F151" s="2">
        <v>17</v>
      </c>
      <c r="G151" s="2">
        <v>7</v>
      </c>
      <c r="H151" s="2">
        <v>359673</v>
      </c>
      <c r="I151" s="2">
        <v>32</v>
      </c>
      <c r="J151" s="2" t="s">
        <v>1671</v>
      </c>
      <c r="K151" s="2">
        <v>62</v>
      </c>
      <c r="L151" s="2">
        <v>15</v>
      </c>
      <c r="M151" s="2">
        <v>12</v>
      </c>
      <c r="N151" s="2">
        <v>10</v>
      </c>
      <c r="O151" s="2">
        <v>20</v>
      </c>
      <c r="P151" s="2">
        <v>5</v>
      </c>
      <c r="Q151" s="2" t="s">
        <v>1903</v>
      </c>
      <c r="R151" s="2" t="s">
        <v>1904</v>
      </c>
      <c r="S151" s="4">
        <v>44837</v>
      </c>
    </row>
    <row r="152" spans="1:19" ht="12.5" x14ac:dyDescent="0.25">
      <c r="A152" s="14" t="str">
        <f>HYPERLINK("https://gerandofalcoes.my.salesforce.com/0014P00003AN2FaQAL", "0014P00003AN2FaQAL")</f>
        <v>0014P00003AN2FaQAL</v>
      </c>
      <c r="B152" s="2" t="s">
        <v>81</v>
      </c>
      <c r="C152" s="2" t="s">
        <v>423</v>
      </c>
      <c r="D152" s="2" t="s">
        <v>2</v>
      </c>
      <c r="E152" s="2">
        <v>43.16</v>
      </c>
      <c r="F152" s="2">
        <v>7</v>
      </c>
      <c r="G152" s="2">
        <v>2</v>
      </c>
      <c r="H152" s="2">
        <v>150000</v>
      </c>
      <c r="I152" s="2">
        <v>102</v>
      </c>
      <c r="J152" s="2" t="s">
        <v>1671</v>
      </c>
      <c r="K152" s="2">
        <v>56</v>
      </c>
      <c r="L152" s="2">
        <v>15</v>
      </c>
      <c r="M152" s="2">
        <v>10</v>
      </c>
      <c r="N152" s="2">
        <v>6</v>
      </c>
      <c r="O152" s="2">
        <v>15</v>
      </c>
      <c r="P152" s="2">
        <v>10</v>
      </c>
      <c r="Q152" s="2" t="s">
        <v>82</v>
      </c>
      <c r="R152" s="2" t="s">
        <v>660</v>
      </c>
      <c r="S152" s="4">
        <v>44837</v>
      </c>
    </row>
    <row r="153" spans="1:19" ht="12.5" x14ac:dyDescent="0.25">
      <c r="A153" s="14" t="str">
        <f>HYPERLINK("https://gerandofalcoes.my.salesforce.com/0014X00002VKCriQAH", "0014X00002VKCriQAH")</f>
        <v>0014X00002VKCriQAH</v>
      </c>
      <c r="B153" s="2" t="s">
        <v>1905</v>
      </c>
      <c r="C153" s="2" t="s">
        <v>423</v>
      </c>
      <c r="D153" s="2" t="s">
        <v>2</v>
      </c>
      <c r="E153" s="2">
        <v>43.02</v>
      </c>
      <c r="F153" s="2">
        <v>0</v>
      </c>
      <c r="G153" s="2">
        <v>2</v>
      </c>
      <c r="H153" s="2">
        <v>2105801</v>
      </c>
      <c r="I153" s="2">
        <v>84</v>
      </c>
      <c r="J153" s="2" t="s">
        <v>1671</v>
      </c>
      <c r="K153" s="2">
        <v>56</v>
      </c>
      <c r="L153" s="2">
        <v>15</v>
      </c>
      <c r="M153" s="2">
        <v>0</v>
      </c>
      <c r="N153" s="2">
        <v>6</v>
      </c>
      <c r="O153" s="2">
        <v>25</v>
      </c>
      <c r="P153" s="2">
        <v>10</v>
      </c>
      <c r="Q153" s="2" t="s">
        <v>1906</v>
      </c>
      <c r="R153" s="2" t="s">
        <v>1907</v>
      </c>
      <c r="S153" s="4">
        <v>44837</v>
      </c>
    </row>
    <row r="154" spans="1:19" ht="12.5" x14ac:dyDescent="0.25">
      <c r="A154" s="14" t="str">
        <f>HYPERLINK("https://gerandofalcoes.my.salesforce.com/0014P00003YSp9LQAT", "0014P00003YSp9LQAT")</f>
        <v>0014P00003YSp9LQAT</v>
      </c>
      <c r="B154" s="2" t="s">
        <v>1908</v>
      </c>
      <c r="C154" s="2" t="s">
        <v>423</v>
      </c>
      <c r="D154" s="2" t="s">
        <v>2</v>
      </c>
      <c r="E154" s="2">
        <v>43</v>
      </c>
      <c r="F154" s="2">
        <v>16</v>
      </c>
      <c r="G154" s="2">
        <v>6</v>
      </c>
      <c r="H154" s="2">
        <v>153000</v>
      </c>
      <c r="I154" s="2">
        <v>593</v>
      </c>
      <c r="J154" s="2" t="s">
        <v>1650</v>
      </c>
      <c r="K154" s="2">
        <v>72</v>
      </c>
      <c r="L154" s="2">
        <v>15</v>
      </c>
      <c r="M154" s="2">
        <v>12</v>
      </c>
      <c r="N154" s="2">
        <v>10</v>
      </c>
      <c r="O154" s="2">
        <v>15</v>
      </c>
      <c r="P154" s="2">
        <v>20</v>
      </c>
      <c r="Q154" s="2" t="s">
        <v>1909</v>
      </c>
      <c r="R154" s="2" t="s">
        <v>1909</v>
      </c>
      <c r="S154" s="4">
        <v>44837</v>
      </c>
    </row>
    <row r="155" spans="1:19" ht="12.5" x14ac:dyDescent="0.25">
      <c r="A155" s="14" t="str">
        <f>HYPERLINK("https://gerandofalcoes.my.salesforce.com/0014P00003YSpA3QAL", "0014P00003YSpA3QAL")</f>
        <v>0014P00003YSpA3QAL</v>
      </c>
      <c r="B155" s="2" t="s">
        <v>1910</v>
      </c>
      <c r="C155" s="2" t="s">
        <v>1800</v>
      </c>
      <c r="D155" s="2" t="s">
        <v>2</v>
      </c>
      <c r="E155" s="2">
        <v>43</v>
      </c>
      <c r="F155" s="2">
        <v>10</v>
      </c>
      <c r="G155" s="2">
        <v>2</v>
      </c>
      <c r="H155" s="2">
        <v>15000</v>
      </c>
      <c r="I155" s="2">
        <v>100</v>
      </c>
      <c r="J155" s="2" t="s">
        <v>1671</v>
      </c>
      <c r="K155" s="2">
        <v>46</v>
      </c>
      <c r="L155" s="2">
        <v>15</v>
      </c>
      <c r="M155" s="2">
        <v>10</v>
      </c>
      <c r="N155" s="2">
        <v>6</v>
      </c>
      <c r="O155" s="2">
        <v>5</v>
      </c>
      <c r="P155" s="2">
        <v>10</v>
      </c>
      <c r="Q155" s="2" t="s">
        <v>1911</v>
      </c>
      <c r="R155" s="2" t="s">
        <v>1912</v>
      </c>
      <c r="S155" s="4">
        <v>44837</v>
      </c>
    </row>
    <row r="156" spans="1:19" ht="12.5" x14ac:dyDescent="0.25">
      <c r="A156" s="14" t="str">
        <f>HYPERLINK("https://gerandofalcoes.my.salesforce.com/0014X00002VKCpbQAH", "0014X00002VKCpbQAH")</f>
        <v>0014X00002VKCpbQAH</v>
      </c>
      <c r="B156" s="2" t="s">
        <v>1913</v>
      </c>
      <c r="C156" s="2" t="s">
        <v>423</v>
      </c>
      <c r="D156" s="2" t="s">
        <v>2</v>
      </c>
      <c r="E156" s="2">
        <v>43</v>
      </c>
      <c r="F156" s="2">
        <v>20</v>
      </c>
      <c r="G156" s="2">
        <v>3</v>
      </c>
      <c r="H156" s="2">
        <v>2000</v>
      </c>
      <c r="I156" s="2">
        <v>25</v>
      </c>
      <c r="J156" s="2" t="s">
        <v>1671</v>
      </c>
      <c r="K156" s="2">
        <v>45</v>
      </c>
      <c r="L156" s="2">
        <v>15</v>
      </c>
      <c r="M156" s="2">
        <v>12</v>
      </c>
      <c r="N156" s="2">
        <v>8</v>
      </c>
      <c r="O156" s="2">
        <v>5</v>
      </c>
      <c r="P156" s="2">
        <v>5</v>
      </c>
      <c r="Q156" s="2" t="s">
        <v>1914</v>
      </c>
      <c r="R156" s="2" t="s">
        <v>1914</v>
      </c>
      <c r="S156" s="4">
        <v>44837</v>
      </c>
    </row>
    <row r="157" spans="1:19" ht="12.5" x14ac:dyDescent="0.25">
      <c r="A157" s="14" t="str">
        <f>HYPERLINK("https://gerandofalcoes.my.salesforce.com/0014P00003SGWFrQAP", "0014P00003SGWFrQAP")</f>
        <v>0014P00003SGWFrQAP</v>
      </c>
      <c r="B157" s="2" t="s">
        <v>350</v>
      </c>
      <c r="C157" s="2" t="s">
        <v>423</v>
      </c>
      <c r="D157" s="2" t="s">
        <v>2</v>
      </c>
      <c r="E157" s="2">
        <v>43</v>
      </c>
      <c r="F157" s="2">
        <v>7</v>
      </c>
      <c r="G157" s="2">
        <v>0</v>
      </c>
      <c r="H157" s="2">
        <v>290000</v>
      </c>
      <c r="I157" s="2">
        <v>183</v>
      </c>
      <c r="J157" s="2" t="s">
        <v>1671</v>
      </c>
      <c r="K157" s="2">
        <v>52</v>
      </c>
      <c r="L157" s="2">
        <v>15</v>
      </c>
      <c r="M157" s="2">
        <v>10</v>
      </c>
      <c r="N157" s="2">
        <v>0</v>
      </c>
      <c r="O157" s="2">
        <v>15</v>
      </c>
      <c r="P157" s="2">
        <v>12</v>
      </c>
      <c r="Q157" s="2" t="s">
        <v>351</v>
      </c>
      <c r="R157" s="2" t="s">
        <v>1499</v>
      </c>
      <c r="S157" s="4">
        <v>44837</v>
      </c>
    </row>
    <row r="158" spans="1:19" ht="12.5" x14ac:dyDescent="0.25">
      <c r="A158" s="14" t="str">
        <f>HYPERLINK("https://gerandofalcoes.my.salesforce.com/0014X00002VKCr2QAH", "0014X00002VKCr2QAH")</f>
        <v>0014X00002VKCr2QAH</v>
      </c>
      <c r="B158" s="2" t="s">
        <v>1915</v>
      </c>
      <c r="C158" s="2" t="s">
        <v>423</v>
      </c>
      <c r="D158" s="2" t="s">
        <v>2</v>
      </c>
      <c r="E158" s="2">
        <v>42.99</v>
      </c>
      <c r="F158" s="2">
        <v>8</v>
      </c>
      <c r="G158" s="2">
        <v>2</v>
      </c>
      <c r="H158" s="2">
        <v>4500000</v>
      </c>
      <c r="I158" s="2">
        <v>-40</v>
      </c>
      <c r="J158" s="2" t="s">
        <v>1671</v>
      </c>
      <c r="K158" s="2">
        <v>56</v>
      </c>
      <c r="L158" s="2">
        <v>15</v>
      </c>
      <c r="M158" s="2">
        <v>10</v>
      </c>
      <c r="N158" s="2">
        <v>6</v>
      </c>
      <c r="O158" s="2">
        <v>25</v>
      </c>
      <c r="P158" s="2">
        <v>0</v>
      </c>
      <c r="Q158" s="2" t="s">
        <v>1916</v>
      </c>
      <c r="R158" s="2" t="s">
        <v>1917</v>
      </c>
      <c r="S158" s="4">
        <v>44837</v>
      </c>
    </row>
    <row r="159" spans="1:19" ht="12.5" x14ac:dyDescent="0.25">
      <c r="A159" s="14" t="str">
        <f>HYPERLINK("https://gerandofalcoes.my.salesforce.com/0014X00002VKCs0QAH", "0014X00002VKCs0QAH")</f>
        <v>0014X00002VKCs0QAH</v>
      </c>
      <c r="B159" s="2" t="s">
        <v>1918</v>
      </c>
      <c r="C159" s="2" t="s">
        <v>423</v>
      </c>
      <c r="D159" s="2" t="s">
        <v>2</v>
      </c>
      <c r="E159" s="2">
        <v>42.91</v>
      </c>
      <c r="F159" s="2">
        <v>0</v>
      </c>
      <c r="G159" s="2">
        <v>2</v>
      </c>
      <c r="H159" s="2">
        <v>500000</v>
      </c>
      <c r="I159" s="2">
        <v>130</v>
      </c>
      <c r="J159" s="2" t="s">
        <v>1671</v>
      </c>
      <c r="K159" s="2">
        <v>51</v>
      </c>
      <c r="L159" s="2">
        <v>15</v>
      </c>
      <c r="M159" s="2">
        <v>0</v>
      </c>
      <c r="N159" s="2">
        <v>6</v>
      </c>
      <c r="O159" s="2">
        <v>20</v>
      </c>
      <c r="P159" s="2">
        <v>10</v>
      </c>
      <c r="Q159" s="2" t="s">
        <v>1919</v>
      </c>
      <c r="R159" s="2" t="s">
        <v>1920</v>
      </c>
      <c r="S159" s="4">
        <v>44837</v>
      </c>
    </row>
    <row r="160" spans="1:19" ht="12.5" x14ac:dyDescent="0.25">
      <c r="A160" s="14" t="str">
        <f>HYPERLINK("https://gerandofalcoes.my.salesforce.com/0014P00003YSp8YQAT", "0014P00003YSp8YQAT")</f>
        <v>0014P00003YSp8YQAT</v>
      </c>
      <c r="B160" s="2" t="s">
        <v>1921</v>
      </c>
      <c r="C160" s="2" t="s">
        <v>423</v>
      </c>
      <c r="D160" s="2" t="s">
        <v>2</v>
      </c>
      <c r="E160" s="2">
        <v>42.23</v>
      </c>
      <c r="F160" s="2">
        <v>9</v>
      </c>
      <c r="G160" s="2">
        <v>3</v>
      </c>
      <c r="H160" s="2">
        <v>97000</v>
      </c>
      <c r="I160" s="2">
        <v>100</v>
      </c>
      <c r="J160" s="2" t="s">
        <v>1671</v>
      </c>
      <c r="K160" s="2">
        <v>53</v>
      </c>
      <c r="L160" s="2">
        <v>15</v>
      </c>
      <c r="M160" s="2">
        <v>10</v>
      </c>
      <c r="N160" s="2">
        <v>8</v>
      </c>
      <c r="O160" s="2">
        <v>10</v>
      </c>
      <c r="P160" s="2">
        <v>10</v>
      </c>
      <c r="Q160" s="2" t="s">
        <v>1922</v>
      </c>
      <c r="R160" s="2" t="s">
        <v>1923</v>
      </c>
      <c r="S160" s="4">
        <v>44837</v>
      </c>
    </row>
    <row r="161" spans="1:19" ht="12.5" x14ac:dyDescent="0.25">
      <c r="A161" s="14" t="str">
        <f>HYPERLINK("https://gerandofalcoes.my.salesforce.com/0014X00002VKCuWQAX", "0014X00002VKCuWQAX")</f>
        <v>0014X00002VKCuWQAX</v>
      </c>
      <c r="B161" s="2" t="s">
        <v>1930</v>
      </c>
      <c r="C161" s="2" t="s">
        <v>423</v>
      </c>
      <c r="D161" s="2" t="s">
        <v>2</v>
      </c>
      <c r="E161" s="2">
        <v>42</v>
      </c>
      <c r="F161" s="2">
        <v>35</v>
      </c>
      <c r="G161" s="2">
        <v>4</v>
      </c>
      <c r="H161" s="2">
        <v>30000</v>
      </c>
      <c r="I161" s="2">
        <v>30</v>
      </c>
      <c r="J161" s="2" t="s">
        <v>1671</v>
      </c>
      <c r="K161" s="2">
        <v>55</v>
      </c>
      <c r="L161" s="2">
        <v>15</v>
      </c>
      <c r="M161" s="2">
        <v>15</v>
      </c>
      <c r="N161" s="2">
        <v>10</v>
      </c>
      <c r="O161" s="2">
        <v>10</v>
      </c>
      <c r="P161" s="2">
        <v>5</v>
      </c>
      <c r="Q161" s="2" t="s">
        <v>1931</v>
      </c>
      <c r="R161" s="2" t="s">
        <v>1931</v>
      </c>
      <c r="S161" s="4">
        <v>44837</v>
      </c>
    </row>
    <row r="162" spans="1:19" ht="12.5" x14ac:dyDescent="0.25">
      <c r="A162" s="14" t="str">
        <f>HYPERLINK("https://gerandofalcoes.my.salesforce.com/0014X00002VKCtIQAX", "0014X00002VKCtIQAX")</f>
        <v>0014X00002VKCtIQAX</v>
      </c>
      <c r="B162" s="2" t="s">
        <v>1927</v>
      </c>
      <c r="C162" s="2" t="s">
        <v>423</v>
      </c>
      <c r="D162" s="2" t="s">
        <v>2</v>
      </c>
      <c r="E162" s="2">
        <v>42</v>
      </c>
      <c r="F162" s="2">
        <v>0</v>
      </c>
      <c r="G162" s="2">
        <v>6</v>
      </c>
      <c r="H162" s="2">
        <v>0</v>
      </c>
      <c r="I162" s="2">
        <v>180</v>
      </c>
      <c r="J162" s="2" t="s">
        <v>1779</v>
      </c>
      <c r="K162" s="2">
        <v>37</v>
      </c>
      <c r="L162" s="2">
        <v>15</v>
      </c>
      <c r="M162" s="2">
        <v>0</v>
      </c>
      <c r="N162" s="2">
        <v>10</v>
      </c>
      <c r="O162" s="2">
        <v>0</v>
      </c>
      <c r="P162" s="2">
        <v>12</v>
      </c>
      <c r="Q162" s="2" t="s">
        <v>1928</v>
      </c>
      <c r="R162" s="2" t="s">
        <v>1929</v>
      </c>
      <c r="S162" s="4">
        <v>44837</v>
      </c>
    </row>
    <row r="163" spans="1:19" ht="12.5" x14ac:dyDescent="0.25">
      <c r="A163" s="14" t="str">
        <f>HYPERLINK("https://gerandofalcoes.my.salesforce.com/0014X00002VKCuvQAH", "0014X00002VKCuvQAH")</f>
        <v>0014X00002VKCuvQAH</v>
      </c>
      <c r="B163" s="2" t="s">
        <v>1924</v>
      </c>
      <c r="C163" s="2" t="s">
        <v>423</v>
      </c>
      <c r="D163" s="2" t="s">
        <v>2</v>
      </c>
      <c r="E163" s="2">
        <v>42</v>
      </c>
      <c r="F163" s="2">
        <v>44</v>
      </c>
      <c r="G163" s="2">
        <v>6</v>
      </c>
      <c r="H163" s="2">
        <v>900000</v>
      </c>
      <c r="I163" s="2">
        <v>380</v>
      </c>
      <c r="J163" s="2" t="s">
        <v>1654</v>
      </c>
      <c r="K163" s="2">
        <v>80</v>
      </c>
      <c r="L163" s="2">
        <v>15</v>
      </c>
      <c r="M163" s="2">
        <v>15</v>
      </c>
      <c r="N163" s="2">
        <v>10</v>
      </c>
      <c r="O163" s="2">
        <v>25</v>
      </c>
      <c r="P163" s="2">
        <v>15</v>
      </c>
      <c r="Q163" s="2" t="s">
        <v>1925</v>
      </c>
      <c r="R163" s="2" t="s">
        <v>1926</v>
      </c>
      <c r="S163" s="4">
        <v>44837</v>
      </c>
    </row>
    <row r="164" spans="1:19" ht="12.5" x14ac:dyDescent="0.25">
      <c r="A164" s="14" t="str">
        <f>HYPERLINK("https://gerandofalcoes.my.salesforce.com/0014X00002VKCr6QAH", "0014X00002VKCr6QAH")</f>
        <v>0014X00002VKCr6QAH</v>
      </c>
      <c r="B164" s="2" t="s">
        <v>1932</v>
      </c>
      <c r="C164" s="2" t="s">
        <v>423</v>
      </c>
      <c r="D164" s="2" t="s">
        <v>2</v>
      </c>
      <c r="E164" s="2">
        <v>41.5</v>
      </c>
      <c r="F164" s="2">
        <v>7</v>
      </c>
      <c r="G164" s="2">
        <v>1</v>
      </c>
      <c r="H164" s="2">
        <v>720000</v>
      </c>
      <c r="I164" s="2">
        <v>200</v>
      </c>
      <c r="J164" s="2" t="s">
        <v>1671</v>
      </c>
      <c r="K164" s="2">
        <v>61</v>
      </c>
      <c r="L164" s="2">
        <v>15</v>
      </c>
      <c r="M164" s="2">
        <v>10</v>
      </c>
      <c r="N164" s="2">
        <v>4</v>
      </c>
      <c r="O164" s="2">
        <v>20</v>
      </c>
      <c r="P164" s="2">
        <v>12</v>
      </c>
      <c r="Q164" s="2" t="s">
        <v>1933</v>
      </c>
      <c r="R164" s="2" t="s">
        <v>1934</v>
      </c>
      <c r="S164" s="4">
        <v>44837</v>
      </c>
    </row>
    <row r="165" spans="1:19" ht="12.5" x14ac:dyDescent="0.25">
      <c r="A165" s="14" t="str">
        <f>HYPERLINK("https://gerandofalcoes.my.salesforce.com/0014X00002VKCoyQAH", "0014X00002VKCoyQAH")</f>
        <v>0014X00002VKCoyQAH</v>
      </c>
      <c r="B165" s="2" t="s">
        <v>1935</v>
      </c>
      <c r="C165" s="2" t="s">
        <v>423</v>
      </c>
      <c r="D165" s="2" t="s">
        <v>2</v>
      </c>
      <c r="E165" s="2">
        <v>41.25</v>
      </c>
      <c r="F165" s="2">
        <v>1</v>
      </c>
      <c r="G165" s="2">
        <v>3</v>
      </c>
      <c r="H165" s="2">
        <v>360000</v>
      </c>
      <c r="I165" s="2">
        <v>105</v>
      </c>
      <c r="J165" s="2" t="s">
        <v>1671</v>
      </c>
      <c r="K165" s="2">
        <v>58</v>
      </c>
      <c r="L165" s="2">
        <v>15</v>
      </c>
      <c r="M165" s="2">
        <v>5</v>
      </c>
      <c r="N165" s="2">
        <v>8</v>
      </c>
      <c r="O165" s="2">
        <v>20</v>
      </c>
      <c r="P165" s="2">
        <v>10</v>
      </c>
      <c r="Q165" s="2" t="s">
        <v>1936</v>
      </c>
      <c r="R165" s="2" t="s">
        <v>1937</v>
      </c>
      <c r="S165" s="4">
        <v>44837</v>
      </c>
    </row>
    <row r="166" spans="1:19" ht="12.5" x14ac:dyDescent="0.25">
      <c r="A166" s="14" t="str">
        <f>HYPERLINK("https://gerandofalcoes.my.salesforce.com/0014P00003AN2FoQAL", "0014P00003AN2FoQAL")</f>
        <v>0014P00003AN2FoQAL</v>
      </c>
      <c r="B166" s="2" t="s">
        <v>1938</v>
      </c>
      <c r="C166" s="2" t="s">
        <v>423</v>
      </c>
      <c r="D166" s="2" t="s">
        <v>2</v>
      </c>
      <c r="E166" s="2">
        <v>41.14</v>
      </c>
      <c r="F166" s="2">
        <v>5</v>
      </c>
      <c r="G166" s="2">
        <v>1</v>
      </c>
      <c r="H166" s="2">
        <v>25000</v>
      </c>
      <c r="I166" s="2">
        <v>300</v>
      </c>
      <c r="J166" s="2" t="s">
        <v>1671</v>
      </c>
      <c r="K166" s="2">
        <v>49</v>
      </c>
      <c r="L166" s="2">
        <v>15</v>
      </c>
      <c r="M166" s="2">
        <v>5</v>
      </c>
      <c r="N166" s="2">
        <v>4</v>
      </c>
      <c r="O166" s="2">
        <v>10</v>
      </c>
      <c r="P166" s="2">
        <v>15</v>
      </c>
      <c r="Q166" s="2" t="s">
        <v>130</v>
      </c>
      <c r="R166" s="2" t="s">
        <v>1939</v>
      </c>
      <c r="S166" s="4">
        <v>44837</v>
      </c>
    </row>
    <row r="167" spans="1:19" ht="12.5" x14ac:dyDescent="0.25">
      <c r="A167" s="14" t="str">
        <f>HYPERLINK("https://gerandofalcoes.my.salesforce.com/0014X00002VKCpwQAH", "0014X00002VKCpwQAH")</f>
        <v>0014X00002VKCpwQAH</v>
      </c>
      <c r="B167" s="2" t="s">
        <v>1940</v>
      </c>
      <c r="C167" s="2" t="s">
        <v>423</v>
      </c>
      <c r="D167" s="2" t="s">
        <v>2</v>
      </c>
      <c r="E167" s="2">
        <v>41.08</v>
      </c>
      <c r="F167" s="2">
        <v>0</v>
      </c>
      <c r="G167" s="2">
        <v>3</v>
      </c>
      <c r="H167" s="2">
        <v>4289056</v>
      </c>
      <c r="I167" s="2">
        <v>400</v>
      </c>
      <c r="J167" s="2" t="s">
        <v>1671</v>
      </c>
      <c r="K167" s="2">
        <v>63</v>
      </c>
      <c r="L167" s="2">
        <v>15</v>
      </c>
      <c r="M167" s="2">
        <v>0</v>
      </c>
      <c r="N167" s="2">
        <v>8</v>
      </c>
      <c r="O167" s="2">
        <v>25</v>
      </c>
      <c r="P167" s="2">
        <v>15</v>
      </c>
      <c r="Q167" s="2" t="s">
        <v>1941</v>
      </c>
      <c r="R167" s="2" t="s">
        <v>1942</v>
      </c>
      <c r="S167" s="4">
        <v>44837</v>
      </c>
    </row>
    <row r="168" spans="1:19" ht="12.5" x14ac:dyDescent="0.25">
      <c r="A168" s="14" t="str">
        <f>HYPERLINK("https://gerandofalcoes.my.salesforce.com/0014P00003YSp8AQAT", "0014P00003YSp8AQAT")</f>
        <v>0014P00003YSp8AQAT</v>
      </c>
      <c r="B168" s="2" t="s">
        <v>1943</v>
      </c>
      <c r="C168" s="2" t="s">
        <v>423</v>
      </c>
      <c r="D168" s="2" t="s">
        <v>2</v>
      </c>
      <c r="E168" s="2">
        <v>41.07</v>
      </c>
      <c r="F168" s="2">
        <v>15</v>
      </c>
      <c r="G168" s="2">
        <v>2</v>
      </c>
      <c r="H168" s="2">
        <v>50000</v>
      </c>
      <c r="I168" s="2">
        <v>200</v>
      </c>
      <c r="J168" s="2" t="s">
        <v>1671</v>
      </c>
      <c r="K168" s="2">
        <v>55</v>
      </c>
      <c r="L168" s="2">
        <v>15</v>
      </c>
      <c r="M168" s="2">
        <v>12</v>
      </c>
      <c r="N168" s="2">
        <v>6</v>
      </c>
      <c r="O168" s="2">
        <v>10</v>
      </c>
      <c r="P168" s="2">
        <v>12</v>
      </c>
      <c r="Q168" s="2" t="s">
        <v>1944</v>
      </c>
      <c r="R168" s="2" t="s">
        <v>1945</v>
      </c>
      <c r="S168" s="4">
        <v>44837</v>
      </c>
    </row>
    <row r="169" spans="1:19" ht="12.5" x14ac:dyDescent="0.25">
      <c r="A169" s="14" t="str">
        <f>HYPERLINK("https://gerandofalcoes.my.salesforce.com/0014P00003YSp8OQAT", "0014P00003YSp8OQAT")</f>
        <v>0014P00003YSp8OQAT</v>
      </c>
      <c r="B169" s="2" t="s">
        <v>1952</v>
      </c>
      <c r="C169" s="2" t="s">
        <v>1800</v>
      </c>
      <c r="D169" s="2" t="s">
        <v>2</v>
      </c>
      <c r="E169" s="2">
        <v>41</v>
      </c>
      <c r="F169" s="2">
        <v>1</v>
      </c>
      <c r="G169" s="2">
        <v>3</v>
      </c>
      <c r="H169" s="2">
        <v>25000</v>
      </c>
      <c r="I169" s="2">
        <v>90</v>
      </c>
      <c r="J169" s="2" t="s">
        <v>1671</v>
      </c>
      <c r="K169" s="2">
        <v>48</v>
      </c>
      <c r="L169" s="2">
        <v>15</v>
      </c>
      <c r="M169" s="2">
        <v>5</v>
      </c>
      <c r="N169" s="2">
        <v>8</v>
      </c>
      <c r="O169" s="2">
        <v>10</v>
      </c>
      <c r="P169" s="2">
        <v>10</v>
      </c>
      <c r="Q169" s="2" t="s">
        <v>1953</v>
      </c>
      <c r="R169" s="2" t="s">
        <v>1953</v>
      </c>
      <c r="S169" s="4">
        <v>44837</v>
      </c>
    </row>
    <row r="170" spans="1:19" ht="12.5" hidden="1" x14ac:dyDescent="0.25">
      <c r="A170" s="14" t="str">
        <f>HYPERLINK("https://gerandofalcoes.my.salesforce.com/0014X00002VKCsoQAH", "0014X00002VKCsoQAH")</f>
        <v>0014X00002VKCsoQAH</v>
      </c>
      <c r="B170" s="2" t="s">
        <v>1885</v>
      </c>
      <c r="C170" s="2" t="s">
        <v>1684</v>
      </c>
      <c r="D170" s="2" t="s">
        <v>2</v>
      </c>
      <c r="E170" s="2">
        <v>44</v>
      </c>
      <c r="F170" s="2">
        <v>0</v>
      </c>
      <c r="G170" s="2">
        <v>5</v>
      </c>
      <c r="H170" s="2">
        <v>35000</v>
      </c>
      <c r="I170" s="2">
        <v>240</v>
      </c>
      <c r="J170" s="2" t="s">
        <v>1671</v>
      </c>
      <c r="K170" s="2">
        <v>47</v>
      </c>
      <c r="L170" s="2">
        <v>15</v>
      </c>
      <c r="M170" s="2">
        <v>0</v>
      </c>
      <c r="N170" s="2">
        <v>10</v>
      </c>
      <c r="O170" s="2">
        <v>10</v>
      </c>
      <c r="P170" s="2">
        <v>12</v>
      </c>
      <c r="Q170" s="2" t="s">
        <v>1886</v>
      </c>
      <c r="R170" s="2" t="s">
        <v>1886</v>
      </c>
      <c r="S170" s="4">
        <v>44837</v>
      </c>
    </row>
    <row r="171" spans="1:19" ht="12.5" x14ac:dyDescent="0.25">
      <c r="A171" s="14" t="str">
        <f>HYPERLINK("https://gerandofalcoes.my.salesforce.com/0014X00002VKCtwQAH", "0014X00002VKCtwQAH")</f>
        <v>0014X00002VKCtwQAH</v>
      </c>
      <c r="B171" s="2" t="s">
        <v>1954</v>
      </c>
      <c r="C171" s="2" t="s">
        <v>1800</v>
      </c>
      <c r="D171" s="2" t="s">
        <v>2</v>
      </c>
      <c r="E171" s="2">
        <v>41</v>
      </c>
      <c r="F171" s="2">
        <v>4</v>
      </c>
      <c r="G171" s="2">
        <v>3</v>
      </c>
      <c r="H171" s="2">
        <v>186011</v>
      </c>
      <c r="I171" s="2">
        <v>0</v>
      </c>
      <c r="J171" s="2" t="s">
        <v>1671</v>
      </c>
      <c r="K171" s="2">
        <v>43</v>
      </c>
      <c r="L171" s="2">
        <v>15</v>
      </c>
      <c r="M171" s="2">
        <v>5</v>
      </c>
      <c r="N171" s="2">
        <v>8</v>
      </c>
      <c r="O171" s="2">
        <v>15</v>
      </c>
      <c r="P171" s="2">
        <v>0</v>
      </c>
      <c r="Q171" s="2" t="s">
        <v>1955</v>
      </c>
      <c r="R171" s="2" t="s">
        <v>1956</v>
      </c>
      <c r="S171" s="4">
        <v>44837</v>
      </c>
    </row>
    <row r="172" spans="1:19" ht="12.5" x14ac:dyDescent="0.25">
      <c r="A172" s="14" t="str">
        <f>HYPERLINK("https://gerandofalcoes.my.salesforce.com/0014X00002VKCusQAH", "0014X00002VKCusQAH")</f>
        <v>0014X00002VKCusQAH</v>
      </c>
      <c r="B172" s="2" t="s">
        <v>1946</v>
      </c>
      <c r="C172" s="2" t="s">
        <v>423</v>
      </c>
      <c r="D172" s="2" t="s">
        <v>2</v>
      </c>
      <c r="E172" s="2">
        <v>41</v>
      </c>
      <c r="F172" s="2">
        <v>0</v>
      </c>
      <c r="G172" s="2">
        <v>2</v>
      </c>
      <c r="H172" s="2">
        <v>3000</v>
      </c>
      <c r="I172" s="2">
        <v>262</v>
      </c>
      <c r="J172" s="2" t="s">
        <v>1779</v>
      </c>
      <c r="K172" s="2">
        <v>38</v>
      </c>
      <c r="L172" s="2">
        <v>15</v>
      </c>
      <c r="M172" s="2">
        <v>0</v>
      </c>
      <c r="N172" s="2">
        <v>6</v>
      </c>
      <c r="O172" s="2">
        <v>5</v>
      </c>
      <c r="P172" s="2">
        <v>12</v>
      </c>
      <c r="Q172" s="2" t="s">
        <v>1947</v>
      </c>
      <c r="R172" s="2" t="s">
        <v>1948</v>
      </c>
      <c r="S172" s="4">
        <v>44837</v>
      </c>
    </row>
    <row r="173" spans="1:19" ht="12.5" x14ac:dyDescent="0.25">
      <c r="A173" s="14" t="str">
        <f>HYPERLINK("https://gerandofalcoes.my.salesforce.com/0014X00002VKCqBQAX", "0014X00002VKCqBQAX")</f>
        <v>0014X00002VKCqBQAX</v>
      </c>
      <c r="B173" s="2" t="s">
        <v>1949</v>
      </c>
      <c r="C173" s="2" t="s">
        <v>423</v>
      </c>
      <c r="D173" s="2" t="s">
        <v>2</v>
      </c>
      <c r="E173" s="2">
        <v>41</v>
      </c>
      <c r="F173" s="2">
        <v>6</v>
      </c>
      <c r="G173" s="2">
        <v>1</v>
      </c>
      <c r="H173" s="2">
        <v>109000</v>
      </c>
      <c r="I173" s="2">
        <v>154</v>
      </c>
      <c r="J173" s="2" t="s">
        <v>1671</v>
      </c>
      <c r="K173" s="2">
        <v>56</v>
      </c>
      <c r="L173" s="2">
        <v>15</v>
      </c>
      <c r="M173" s="2">
        <v>10</v>
      </c>
      <c r="N173" s="2">
        <v>4</v>
      </c>
      <c r="O173" s="2">
        <v>15</v>
      </c>
      <c r="P173" s="2">
        <v>12</v>
      </c>
      <c r="Q173" s="2" t="s">
        <v>1950</v>
      </c>
      <c r="R173" s="2" t="s">
        <v>1951</v>
      </c>
      <c r="S173" s="4">
        <v>44837</v>
      </c>
    </row>
    <row r="174" spans="1:19" ht="12.5" x14ac:dyDescent="0.25">
      <c r="A174" s="14" t="str">
        <f>HYPERLINK("https://gerandofalcoes.my.salesforce.com/0014P00003YSp9AQAT", "0014P00003YSp9AQAT")</f>
        <v>0014P00003YSp9AQAT</v>
      </c>
      <c r="B174" s="2" t="s">
        <v>1957</v>
      </c>
      <c r="C174" s="2" t="s">
        <v>423</v>
      </c>
      <c r="D174" s="2" t="s">
        <v>2</v>
      </c>
      <c r="E174" s="2">
        <v>40.99</v>
      </c>
      <c r="F174" s="2">
        <v>0</v>
      </c>
      <c r="G174" s="2">
        <v>4</v>
      </c>
      <c r="H174" s="2">
        <v>45453</v>
      </c>
      <c r="I174" s="2">
        <v>355</v>
      </c>
      <c r="J174" s="2" t="s">
        <v>1671</v>
      </c>
      <c r="K174" s="2">
        <v>50</v>
      </c>
      <c r="L174" s="2">
        <v>15</v>
      </c>
      <c r="M174" s="2">
        <v>0</v>
      </c>
      <c r="N174" s="2">
        <v>10</v>
      </c>
      <c r="O174" s="2">
        <v>10</v>
      </c>
      <c r="P174" s="2">
        <v>15</v>
      </c>
      <c r="Q174" s="2" t="s">
        <v>1958</v>
      </c>
      <c r="R174" s="2" t="s">
        <v>1958</v>
      </c>
      <c r="S174" s="4">
        <v>44837</v>
      </c>
    </row>
    <row r="175" spans="1:19" ht="12.5" x14ac:dyDescent="0.25">
      <c r="A175" s="14" t="str">
        <f>HYPERLINK("https://gerandofalcoes.my.salesforce.com/0014X00002VKCtvQAH", "0014X00002VKCtvQAH")</f>
        <v>0014X00002VKCtvQAH</v>
      </c>
      <c r="B175" s="2" t="s">
        <v>1959</v>
      </c>
      <c r="C175" s="2" t="s">
        <v>423</v>
      </c>
      <c r="D175" s="2" t="s">
        <v>2</v>
      </c>
      <c r="E175" s="2">
        <v>40.53</v>
      </c>
      <c r="F175" s="2">
        <v>0</v>
      </c>
      <c r="G175" s="2">
        <v>3</v>
      </c>
      <c r="H175" s="2">
        <v>100000</v>
      </c>
      <c r="I175" s="2">
        <v>120</v>
      </c>
      <c r="J175" s="2" t="s">
        <v>1671</v>
      </c>
      <c r="K175" s="2">
        <v>48</v>
      </c>
      <c r="L175" s="2">
        <v>15</v>
      </c>
      <c r="M175" s="2">
        <v>0</v>
      </c>
      <c r="N175" s="2">
        <v>8</v>
      </c>
      <c r="O175" s="2">
        <v>15</v>
      </c>
      <c r="P175" s="2">
        <v>10</v>
      </c>
      <c r="Q175" s="2" t="s">
        <v>7153</v>
      </c>
      <c r="R175" s="2" t="s">
        <v>1960</v>
      </c>
      <c r="S175" s="4">
        <v>44837</v>
      </c>
    </row>
    <row r="176" spans="1:19" ht="12.5" x14ac:dyDescent="0.25">
      <c r="A176" s="14" t="str">
        <f>HYPERLINK("https://gerandofalcoes.my.salesforce.com/0014X00002YggiQQAR", "0014X00002YggiQQAR")</f>
        <v>0014X00002YggiQQAR</v>
      </c>
      <c r="B176" s="2" t="s">
        <v>3149</v>
      </c>
      <c r="C176" s="2" t="s">
        <v>423</v>
      </c>
      <c r="D176" s="2" t="s">
        <v>2</v>
      </c>
      <c r="E176" s="2">
        <v>40.299999999999997</v>
      </c>
      <c r="F176" s="2">
        <v>30</v>
      </c>
      <c r="G176" s="2">
        <v>5</v>
      </c>
      <c r="H176" s="2">
        <v>190000</v>
      </c>
      <c r="I176" s="2">
        <v>178</v>
      </c>
      <c r="J176" s="2" t="s">
        <v>1671</v>
      </c>
      <c r="K176" s="2">
        <v>64</v>
      </c>
      <c r="L176" s="2">
        <v>15</v>
      </c>
      <c r="M176" s="2">
        <v>12</v>
      </c>
      <c r="N176" s="2">
        <v>10</v>
      </c>
      <c r="O176" s="2">
        <v>15</v>
      </c>
      <c r="P176" s="2">
        <v>12</v>
      </c>
      <c r="Q176" s="2" t="s">
        <v>3150</v>
      </c>
      <c r="R176" s="2" t="s">
        <v>3151</v>
      </c>
      <c r="S176" s="4">
        <v>44950</v>
      </c>
    </row>
    <row r="177" spans="1:19" ht="12.5" hidden="1" x14ac:dyDescent="0.25">
      <c r="A177" s="14" t="str">
        <f>HYPERLINK("https://gerandofalcoes.my.salesforce.com/0014X00002YggkGQAR", "0014X00002YggkGQAR")</f>
        <v>0014X00002YggkGQAR</v>
      </c>
      <c r="B177" s="2" t="s">
        <v>3566</v>
      </c>
      <c r="C177" s="2" t="s">
        <v>1684</v>
      </c>
      <c r="D177" s="2" t="s">
        <v>2</v>
      </c>
      <c r="E177" s="2"/>
      <c r="F177" s="2">
        <v>5</v>
      </c>
      <c r="G177" s="2">
        <v>3</v>
      </c>
      <c r="H177" s="2">
        <v>6000</v>
      </c>
      <c r="I177" s="2">
        <v>230</v>
      </c>
      <c r="J177" s="2"/>
      <c r="K177" s="2">
        <v>30</v>
      </c>
      <c r="L177" s="2">
        <v>0</v>
      </c>
      <c r="M177" s="2">
        <v>5</v>
      </c>
      <c r="N177" s="2">
        <v>8</v>
      </c>
      <c r="O177" s="2">
        <v>5</v>
      </c>
      <c r="P177" s="2">
        <v>12</v>
      </c>
      <c r="Q177" s="2" t="s">
        <v>3567</v>
      </c>
      <c r="R177" s="2" t="s">
        <v>3568</v>
      </c>
      <c r="S177" s="4">
        <v>44960</v>
      </c>
    </row>
    <row r="178" spans="1:19" ht="12.5" x14ac:dyDescent="0.25">
      <c r="A178" s="14" t="str">
        <f>HYPERLINK("https://gerandofalcoes.my.salesforce.com/0014X00002VKCsaQAH", "0014X00002VKCsaQAH")</f>
        <v>0014X00002VKCsaQAH</v>
      </c>
      <c r="B178" s="2" t="s">
        <v>1961</v>
      </c>
      <c r="C178" s="2" t="s">
        <v>423</v>
      </c>
      <c r="D178" s="2" t="s">
        <v>2</v>
      </c>
      <c r="E178" s="2">
        <v>40.25</v>
      </c>
      <c r="F178" s="2">
        <v>0</v>
      </c>
      <c r="G178" s="2">
        <v>3</v>
      </c>
      <c r="H178" s="2">
        <v>10749</v>
      </c>
      <c r="I178" s="2">
        <v>15</v>
      </c>
      <c r="J178" s="2" t="s">
        <v>1779</v>
      </c>
      <c r="K178" s="2">
        <v>33</v>
      </c>
      <c r="L178" s="2">
        <v>15</v>
      </c>
      <c r="M178" s="2">
        <v>0</v>
      </c>
      <c r="N178" s="2">
        <v>8</v>
      </c>
      <c r="O178" s="2">
        <v>5</v>
      </c>
      <c r="P178" s="2">
        <v>5</v>
      </c>
      <c r="Q178" s="2" t="s">
        <v>1962</v>
      </c>
      <c r="R178" s="2" t="s">
        <v>1962</v>
      </c>
      <c r="S178" s="4">
        <v>44837</v>
      </c>
    </row>
    <row r="179" spans="1:19" ht="12.5" x14ac:dyDescent="0.25">
      <c r="A179" s="14" t="str">
        <f>HYPERLINK("https://gerandofalcoes.my.salesforce.com/0014X00002VKCtrQAH", "0014X00002VKCtrQAH")</f>
        <v>0014X00002VKCtrQAH</v>
      </c>
      <c r="B179" s="2" t="s">
        <v>1969</v>
      </c>
      <c r="C179" s="2" t="s">
        <v>1800</v>
      </c>
      <c r="D179" s="2" t="s">
        <v>2</v>
      </c>
      <c r="E179" s="2">
        <v>40</v>
      </c>
      <c r="F179" s="2">
        <v>0</v>
      </c>
      <c r="G179" s="2">
        <v>2</v>
      </c>
      <c r="H179" s="2">
        <v>0</v>
      </c>
      <c r="I179" s="2">
        <v>0</v>
      </c>
      <c r="J179" s="2" t="s">
        <v>1779</v>
      </c>
      <c r="K179" s="2">
        <v>21</v>
      </c>
      <c r="L179" s="2">
        <v>15</v>
      </c>
      <c r="M179" s="2">
        <v>0</v>
      </c>
      <c r="N179" s="2">
        <v>6</v>
      </c>
      <c r="O179" s="2">
        <v>0</v>
      </c>
      <c r="P179" s="2">
        <v>0</v>
      </c>
      <c r="Q179" s="2" t="s">
        <v>1970</v>
      </c>
      <c r="R179" s="2" t="s">
        <v>1971</v>
      </c>
      <c r="S179" s="4">
        <v>44837</v>
      </c>
    </row>
    <row r="180" spans="1:19" ht="12.5" x14ac:dyDescent="0.25">
      <c r="A180" s="14" t="str">
        <f>HYPERLINK("https://gerandofalcoes.my.salesforce.com/0014X00002VKCuNQAX", "0014X00002VKCuNQAX")</f>
        <v>0014X00002VKCuNQAX</v>
      </c>
      <c r="B180" s="2" t="s">
        <v>1963</v>
      </c>
      <c r="C180" s="2" t="s">
        <v>1800</v>
      </c>
      <c r="D180" s="2" t="s">
        <v>2</v>
      </c>
      <c r="E180" s="2">
        <v>40</v>
      </c>
      <c r="F180" s="2">
        <v>0</v>
      </c>
      <c r="G180" s="2">
        <v>4</v>
      </c>
      <c r="H180" s="2">
        <v>52814</v>
      </c>
      <c r="I180" s="2">
        <v>96</v>
      </c>
      <c r="J180" s="2" t="s">
        <v>1671</v>
      </c>
      <c r="K180" s="2">
        <v>45</v>
      </c>
      <c r="L180" s="2">
        <v>15</v>
      </c>
      <c r="M180" s="2">
        <v>0</v>
      </c>
      <c r="N180" s="2">
        <v>10</v>
      </c>
      <c r="O180" s="2">
        <v>10</v>
      </c>
      <c r="P180" s="2">
        <v>10</v>
      </c>
      <c r="Q180" s="2" t="s">
        <v>1964</v>
      </c>
      <c r="R180" s="2" t="s">
        <v>1965</v>
      </c>
      <c r="S180" s="4">
        <v>44837</v>
      </c>
    </row>
    <row r="181" spans="1:19" ht="12.5" x14ac:dyDescent="0.25">
      <c r="A181" s="14" t="str">
        <f>HYPERLINK("https://gerandofalcoes.my.salesforce.com/0014P00003YSp9FQAT", "0014P00003YSp9FQAT")</f>
        <v>0014P00003YSp9FQAT</v>
      </c>
      <c r="B181" s="2" t="s">
        <v>1972</v>
      </c>
      <c r="C181" s="2" t="s">
        <v>423</v>
      </c>
      <c r="D181" s="2" t="s">
        <v>2</v>
      </c>
      <c r="E181" s="2">
        <v>39.44</v>
      </c>
      <c r="F181" s="2">
        <v>7</v>
      </c>
      <c r="G181" s="2">
        <v>1</v>
      </c>
      <c r="H181" s="2">
        <v>43800</v>
      </c>
      <c r="I181" s="2">
        <v>60</v>
      </c>
      <c r="J181" s="2" t="s">
        <v>1671</v>
      </c>
      <c r="K181" s="2">
        <v>44</v>
      </c>
      <c r="L181" s="2">
        <v>15</v>
      </c>
      <c r="M181" s="2">
        <v>10</v>
      </c>
      <c r="N181" s="2">
        <v>4</v>
      </c>
      <c r="O181" s="2">
        <v>10</v>
      </c>
      <c r="P181" s="2">
        <v>5</v>
      </c>
      <c r="Q181" s="2" t="s">
        <v>1973</v>
      </c>
      <c r="R181" s="2" t="s">
        <v>1974</v>
      </c>
      <c r="S181" s="4">
        <v>44837</v>
      </c>
    </row>
    <row r="182" spans="1:19" ht="12.5" x14ac:dyDescent="0.25">
      <c r="A182" s="14" t="str">
        <f>HYPERLINK("https://gerandofalcoes.my.salesforce.com/0014X00002YggqsQAB", "0014X00002YggqsQAB")</f>
        <v>0014X00002YggqsQAB</v>
      </c>
      <c r="B182" s="2" t="s">
        <v>3395</v>
      </c>
      <c r="C182" s="2" t="s">
        <v>423</v>
      </c>
      <c r="D182" s="2" t="s">
        <v>2</v>
      </c>
      <c r="E182" s="2">
        <v>39.369999999999997</v>
      </c>
      <c r="F182" s="2">
        <v>230</v>
      </c>
      <c r="G182" s="2">
        <v>3</v>
      </c>
      <c r="H182" s="2">
        <v>10000</v>
      </c>
      <c r="I182" s="2">
        <v>180</v>
      </c>
      <c r="J182" s="2" t="s">
        <v>1671</v>
      </c>
      <c r="K182" s="2">
        <v>55</v>
      </c>
      <c r="L182" s="2">
        <v>15</v>
      </c>
      <c r="M182" s="2">
        <v>15</v>
      </c>
      <c r="N182" s="2">
        <v>8</v>
      </c>
      <c r="O182" s="2">
        <v>5</v>
      </c>
      <c r="P182" s="2">
        <v>12</v>
      </c>
      <c r="Q182" s="2" t="s">
        <v>3396</v>
      </c>
      <c r="R182" s="2" t="s">
        <v>3396</v>
      </c>
      <c r="S182" s="4">
        <v>44958</v>
      </c>
    </row>
    <row r="183" spans="1:19" ht="12.5" x14ac:dyDescent="0.25">
      <c r="A183" s="14" t="str">
        <f>HYPERLINK("https://gerandofalcoes.my.salesforce.com/0014X00002VKCt0QAH", "0014X00002VKCt0QAH")</f>
        <v>0014X00002VKCt0QAH</v>
      </c>
      <c r="B183" s="2" t="s">
        <v>1975</v>
      </c>
      <c r="C183" s="2" t="s">
        <v>423</v>
      </c>
      <c r="D183" s="2" t="s">
        <v>2</v>
      </c>
      <c r="E183" s="2">
        <v>39.24</v>
      </c>
      <c r="F183" s="2">
        <v>0</v>
      </c>
      <c r="G183" s="2">
        <v>4</v>
      </c>
      <c r="H183" s="2">
        <v>124243</v>
      </c>
      <c r="I183" s="2">
        <v>50</v>
      </c>
      <c r="J183" s="2" t="s">
        <v>1671</v>
      </c>
      <c r="K183" s="2">
        <v>45</v>
      </c>
      <c r="L183" s="2">
        <v>15</v>
      </c>
      <c r="M183" s="2">
        <v>0</v>
      </c>
      <c r="N183" s="2">
        <v>10</v>
      </c>
      <c r="O183" s="2">
        <v>15</v>
      </c>
      <c r="P183" s="2">
        <v>5</v>
      </c>
      <c r="Q183" s="2" t="s">
        <v>1976</v>
      </c>
      <c r="R183" s="2" t="s">
        <v>1976</v>
      </c>
      <c r="S183" s="4">
        <v>44837</v>
      </c>
    </row>
    <row r="184" spans="1:19" ht="12.5" x14ac:dyDescent="0.25">
      <c r="A184" s="14" t="str">
        <f>HYPERLINK("https://gerandofalcoes.my.salesforce.com/0014X00002VKCuEQAX", "0014X00002VKCuEQAX")</f>
        <v>0014X00002VKCuEQAX</v>
      </c>
      <c r="B184" s="2" t="s">
        <v>1977</v>
      </c>
      <c r="C184" s="2" t="s">
        <v>423</v>
      </c>
      <c r="D184" s="2" t="s">
        <v>2</v>
      </c>
      <c r="E184" s="2">
        <v>39.159999999999997</v>
      </c>
      <c r="F184" s="2">
        <v>5</v>
      </c>
      <c r="G184" s="2">
        <v>4</v>
      </c>
      <c r="H184" s="2">
        <v>120000</v>
      </c>
      <c r="I184" s="2">
        <v>5</v>
      </c>
      <c r="J184" s="2" t="s">
        <v>1671</v>
      </c>
      <c r="K184" s="2">
        <v>50</v>
      </c>
      <c r="L184" s="2">
        <v>15</v>
      </c>
      <c r="M184" s="2">
        <v>5</v>
      </c>
      <c r="N184" s="2">
        <v>10</v>
      </c>
      <c r="O184" s="2">
        <v>15</v>
      </c>
      <c r="P184" s="2">
        <v>5</v>
      </c>
      <c r="Q184" s="2" t="s">
        <v>1978</v>
      </c>
      <c r="R184" s="2" t="s">
        <v>1979</v>
      </c>
      <c r="S184" s="4">
        <v>44837</v>
      </c>
    </row>
    <row r="185" spans="1:19" ht="12.5" x14ac:dyDescent="0.25">
      <c r="A185" s="14" t="str">
        <f>HYPERLINK("https://gerandofalcoes.my.salesforce.com/0014X00002VKCqfQAH", "0014X00002VKCqfQAH")</f>
        <v>0014X00002VKCqfQAH</v>
      </c>
      <c r="B185" s="2" t="s">
        <v>1998</v>
      </c>
      <c r="C185" s="2" t="s">
        <v>1800</v>
      </c>
      <c r="D185" s="2" t="s">
        <v>2</v>
      </c>
      <c r="E185" s="2">
        <v>39</v>
      </c>
      <c r="F185" s="2">
        <v>0</v>
      </c>
      <c r="G185" s="2">
        <v>2</v>
      </c>
      <c r="H185" s="2">
        <v>14000</v>
      </c>
      <c r="I185" s="2">
        <v>0</v>
      </c>
      <c r="J185" s="2" t="s">
        <v>1779</v>
      </c>
      <c r="K185" s="2">
        <v>26</v>
      </c>
      <c r="L185" s="2">
        <v>15</v>
      </c>
      <c r="M185" s="2">
        <v>0</v>
      </c>
      <c r="N185" s="2">
        <v>6</v>
      </c>
      <c r="O185" s="2">
        <v>5</v>
      </c>
      <c r="P185" s="2">
        <v>0</v>
      </c>
      <c r="Q185" s="2" t="s">
        <v>1999</v>
      </c>
      <c r="R185" s="2" t="s">
        <v>2000</v>
      </c>
      <c r="S185" s="4">
        <v>44837</v>
      </c>
    </row>
    <row r="186" spans="1:19" ht="12.5" x14ac:dyDescent="0.25">
      <c r="A186" s="14" t="str">
        <f>HYPERLINK("https://gerandofalcoes.my.salesforce.com/0014P00003YSp8RQAT", "0014P00003YSp8RQAT")</f>
        <v>0014P00003YSp8RQAT</v>
      </c>
      <c r="B186" s="2" t="s">
        <v>1989</v>
      </c>
      <c r="C186" s="2" t="s">
        <v>1800</v>
      </c>
      <c r="D186" s="2" t="s">
        <v>2</v>
      </c>
      <c r="E186" s="2">
        <v>39</v>
      </c>
      <c r="F186" s="2">
        <v>1</v>
      </c>
      <c r="G186" s="2">
        <v>2</v>
      </c>
      <c r="H186" s="2">
        <v>11000</v>
      </c>
      <c r="I186" s="2">
        <v>200</v>
      </c>
      <c r="J186" s="2" t="s">
        <v>1671</v>
      </c>
      <c r="K186" s="2">
        <v>43</v>
      </c>
      <c r="L186" s="2">
        <v>15</v>
      </c>
      <c r="M186" s="2">
        <v>5</v>
      </c>
      <c r="N186" s="2">
        <v>6</v>
      </c>
      <c r="O186" s="2">
        <v>5</v>
      </c>
      <c r="P186" s="2">
        <v>12</v>
      </c>
      <c r="Q186" s="2" t="s">
        <v>1990</v>
      </c>
      <c r="R186" s="2" t="s">
        <v>1991</v>
      </c>
      <c r="S186" s="4">
        <v>44837</v>
      </c>
    </row>
    <row r="187" spans="1:19" ht="12.5" x14ac:dyDescent="0.25">
      <c r="A187" s="14" t="str">
        <f>HYPERLINK("https://gerandofalcoes.my.salesforce.com/0014P00003YSpA5QAL", "0014P00003YSpA5QAL")</f>
        <v>0014P00003YSpA5QAL</v>
      </c>
      <c r="B187" s="2" t="s">
        <v>1983</v>
      </c>
      <c r="C187" s="2" t="s">
        <v>423</v>
      </c>
      <c r="D187" s="2" t="s">
        <v>2</v>
      </c>
      <c r="E187" s="2">
        <v>39</v>
      </c>
      <c r="F187" s="2">
        <v>2</v>
      </c>
      <c r="G187" s="2">
        <v>5</v>
      </c>
      <c r="H187" s="2">
        <v>90000</v>
      </c>
      <c r="I187" s="2">
        <v>350</v>
      </c>
      <c r="J187" s="2" t="s">
        <v>1671</v>
      </c>
      <c r="K187" s="2">
        <v>55</v>
      </c>
      <c r="L187" s="2">
        <v>15</v>
      </c>
      <c r="M187" s="2">
        <v>5</v>
      </c>
      <c r="N187" s="2">
        <v>10</v>
      </c>
      <c r="O187" s="2">
        <v>10</v>
      </c>
      <c r="P187" s="2">
        <v>15</v>
      </c>
      <c r="Q187" s="2" t="s">
        <v>1984</v>
      </c>
      <c r="R187" s="2" t="s">
        <v>1985</v>
      </c>
      <c r="S187" s="4">
        <v>44837</v>
      </c>
    </row>
    <row r="188" spans="1:19" ht="12.5" x14ac:dyDescent="0.25">
      <c r="A188" s="14" t="str">
        <f>HYPERLINK("https://gerandofalcoes.my.salesforce.com/0014X00002VKCtOQAX", "0014X00002VKCtOQAX")</f>
        <v>0014X00002VKCtOQAX</v>
      </c>
      <c r="B188" s="2" t="s">
        <v>1986</v>
      </c>
      <c r="C188" s="2" t="s">
        <v>423</v>
      </c>
      <c r="D188" s="2" t="s">
        <v>2</v>
      </c>
      <c r="E188" s="2">
        <v>39</v>
      </c>
      <c r="F188" s="2">
        <v>0</v>
      </c>
      <c r="G188" s="2">
        <v>2</v>
      </c>
      <c r="H188" s="2">
        <v>4046</v>
      </c>
      <c r="I188" s="2">
        <v>240</v>
      </c>
      <c r="J188" s="2" t="s">
        <v>1779</v>
      </c>
      <c r="K188" s="2">
        <v>38</v>
      </c>
      <c r="L188" s="2">
        <v>15</v>
      </c>
      <c r="M188" s="2">
        <v>0</v>
      </c>
      <c r="N188" s="2">
        <v>6</v>
      </c>
      <c r="O188" s="2">
        <v>5</v>
      </c>
      <c r="P188" s="2">
        <v>12</v>
      </c>
      <c r="Q188" s="2" t="s">
        <v>1987</v>
      </c>
      <c r="R188" s="2" t="s">
        <v>1988</v>
      </c>
      <c r="S188" s="4">
        <v>44837</v>
      </c>
    </row>
    <row r="189" spans="1:19" ht="12.5" x14ac:dyDescent="0.25">
      <c r="A189" s="14" t="str">
        <f>HYPERLINK("https://gerandofalcoes.my.salesforce.com/0014X00002OEuawQAD", "0014X00002OEuawQAD")</f>
        <v>0014X00002OEuawQAD</v>
      </c>
      <c r="B189" s="2" t="s">
        <v>1995</v>
      </c>
      <c r="C189" s="2" t="s">
        <v>1800</v>
      </c>
      <c r="D189" s="2" t="s">
        <v>2</v>
      </c>
      <c r="E189" s="2">
        <v>39</v>
      </c>
      <c r="F189" s="2">
        <v>13</v>
      </c>
      <c r="G189" s="2">
        <v>3</v>
      </c>
      <c r="H189" s="2">
        <v>120000</v>
      </c>
      <c r="I189" s="2">
        <v>130</v>
      </c>
      <c r="J189" s="2" t="s">
        <v>1671</v>
      </c>
      <c r="K189" s="2">
        <v>60</v>
      </c>
      <c r="L189" s="2">
        <v>15</v>
      </c>
      <c r="M189" s="2">
        <v>12</v>
      </c>
      <c r="N189" s="2">
        <v>8</v>
      </c>
      <c r="O189" s="2">
        <v>15</v>
      </c>
      <c r="P189" s="2">
        <v>10</v>
      </c>
      <c r="Q189" s="2" t="s">
        <v>1996</v>
      </c>
      <c r="R189" s="2" t="s">
        <v>1997</v>
      </c>
      <c r="S189" s="4">
        <v>44837</v>
      </c>
    </row>
    <row r="190" spans="1:19" ht="12.5" x14ac:dyDescent="0.25">
      <c r="A190" s="14" t="str">
        <f>HYPERLINK("https://gerandofalcoes.my.salesforce.com/0014X00002VKCq4QAH", "0014X00002VKCq4QAH")</f>
        <v>0014X00002VKCq4QAH</v>
      </c>
      <c r="B190" s="2" t="s">
        <v>1980</v>
      </c>
      <c r="C190" s="2" t="s">
        <v>423</v>
      </c>
      <c r="D190" s="2" t="s">
        <v>2</v>
      </c>
      <c r="E190" s="2">
        <v>39</v>
      </c>
      <c r="F190" s="2">
        <v>0</v>
      </c>
      <c r="G190" s="2">
        <v>3</v>
      </c>
      <c r="H190" s="2">
        <v>30000</v>
      </c>
      <c r="I190" s="2">
        <v>700</v>
      </c>
      <c r="J190" s="2" t="s">
        <v>1671</v>
      </c>
      <c r="K190" s="2">
        <v>53</v>
      </c>
      <c r="L190" s="2">
        <v>15</v>
      </c>
      <c r="M190" s="2">
        <v>0</v>
      </c>
      <c r="N190" s="2">
        <v>8</v>
      </c>
      <c r="O190" s="2">
        <v>10</v>
      </c>
      <c r="P190" s="2">
        <v>20</v>
      </c>
      <c r="Q190" s="2" t="s">
        <v>1981</v>
      </c>
      <c r="R190" s="2" t="s">
        <v>1982</v>
      </c>
      <c r="S190" s="4">
        <v>44837</v>
      </c>
    </row>
    <row r="191" spans="1:19" ht="12.5" x14ac:dyDescent="0.25">
      <c r="A191" s="14" t="str">
        <f>HYPERLINK("https://gerandofalcoes.my.salesforce.com/0014P00003YSp81QAD", "0014P00003YSp81QAD")</f>
        <v>0014P00003YSp81QAD</v>
      </c>
      <c r="B191" s="2" t="s">
        <v>1992</v>
      </c>
      <c r="C191" s="2" t="s">
        <v>1800</v>
      </c>
      <c r="D191" s="2" t="s">
        <v>2</v>
      </c>
      <c r="E191" s="2">
        <v>39</v>
      </c>
      <c r="F191" s="2">
        <v>0</v>
      </c>
      <c r="G191" s="2">
        <v>2</v>
      </c>
      <c r="H191" s="2">
        <v>5000</v>
      </c>
      <c r="I191" s="2">
        <v>150</v>
      </c>
      <c r="J191" s="2" t="s">
        <v>1779</v>
      </c>
      <c r="K191" s="2">
        <v>38</v>
      </c>
      <c r="L191" s="2">
        <v>15</v>
      </c>
      <c r="M191" s="2">
        <v>0</v>
      </c>
      <c r="N191" s="2">
        <v>6</v>
      </c>
      <c r="O191" s="2">
        <v>5</v>
      </c>
      <c r="P191" s="2">
        <v>12</v>
      </c>
      <c r="Q191" s="2" t="s">
        <v>1993</v>
      </c>
      <c r="R191" s="2" t="s">
        <v>1994</v>
      </c>
      <c r="S191" s="4">
        <v>44837</v>
      </c>
    </row>
    <row r="192" spans="1:19" ht="12.5" x14ac:dyDescent="0.25">
      <c r="A192" s="14" t="str">
        <f>HYPERLINK("https://gerandofalcoes.my.salesforce.com/0014P00003SGWQ7QAP", "0014P00003SGWQ7QAP")</f>
        <v>0014P00003SGWQ7QAP</v>
      </c>
      <c r="B192" s="2" t="s">
        <v>226</v>
      </c>
      <c r="C192" s="2" t="s">
        <v>423</v>
      </c>
      <c r="D192" s="2" t="s">
        <v>27</v>
      </c>
      <c r="E192" s="2">
        <v>39</v>
      </c>
      <c r="F192" s="2">
        <v>6</v>
      </c>
      <c r="G192" s="2">
        <v>2</v>
      </c>
      <c r="H192" s="2">
        <v>9291.52</v>
      </c>
      <c r="I192" s="2">
        <v>150</v>
      </c>
      <c r="J192" s="2" t="s">
        <v>1671</v>
      </c>
      <c r="K192" s="2">
        <v>48</v>
      </c>
      <c r="L192" s="2">
        <v>15</v>
      </c>
      <c r="M192" s="2">
        <v>10</v>
      </c>
      <c r="N192" s="2">
        <v>6</v>
      </c>
      <c r="O192" s="2">
        <v>5</v>
      </c>
      <c r="P192" s="2">
        <v>12</v>
      </c>
      <c r="Q192" s="2" t="s">
        <v>227</v>
      </c>
      <c r="R192" s="2" t="s">
        <v>1159</v>
      </c>
      <c r="S192" s="4">
        <v>44837</v>
      </c>
    </row>
    <row r="193" spans="1:19" ht="12.5" x14ac:dyDescent="0.25">
      <c r="A193" s="14" t="str">
        <f>HYPERLINK("https://gerandofalcoes.my.salesforce.com/0014X00002YggjRQAR", "0014X00002YggjRQAR")</f>
        <v>0014X00002YggjRQAR</v>
      </c>
      <c r="B193" s="2" t="s">
        <v>3607</v>
      </c>
      <c r="C193" s="2" t="s">
        <v>423</v>
      </c>
      <c r="D193" s="2" t="s">
        <v>2</v>
      </c>
      <c r="E193" s="2">
        <v>38.9</v>
      </c>
      <c r="F193" s="2">
        <v>0</v>
      </c>
      <c r="G193" s="2">
        <v>4</v>
      </c>
      <c r="H193" s="2">
        <v>6000</v>
      </c>
      <c r="I193" s="2">
        <v>20</v>
      </c>
      <c r="J193" s="2" t="s">
        <v>1779</v>
      </c>
      <c r="K193" s="2">
        <v>35</v>
      </c>
      <c r="L193" s="2">
        <v>15</v>
      </c>
      <c r="M193" s="2">
        <v>0</v>
      </c>
      <c r="N193" s="2">
        <v>10</v>
      </c>
      <c r="O193" s="2">
        <v>5</v>
      </c>
      <c r="P193" s="2">
        <v>5</v>
      </c>
      <c r="Q193" s="2" t="s">
        <v>3608</v>
      </c>
      <c r="R193" s="2" t="s">
        <v>3609</v>
      </c>
      <c r="S193" s="4">
        <v>44963</v>
      </c>
    </row>
    <row r="194" spans="1:19" ht="12.5" x14ac:dyDescent="0.25">
      <c r="A194" s="14" t="str">
        <f>HYPERLINK("https://gerandofalcoes.my.salesforce.com/0014X00002VKCpQQAX", "0014X00002VKCpQQAX")</f>
        <v>0014X00002VKCpQQAX</v>
      </c>
      <c r="B194" s="2" t="s">
        <v>2004</v>
      </c>
      <c r="C194" s="2" t="s">
        <v>423</v>
      </c>
      <c r="D194" s="2" t="s">
        <v>2</v>
      </c>
      <c r="E194" s="2">
        <v>38.72</v>
      </c>
      <c r="F194" s="2">
        <v>0</v>
      </c>
      <c r="G194" s="2">
        <v>5</v>
      </c>
      <c r="H194" s="2">
        <v>90250</v>
      </c>
      <c r="I194" s="2">
        <v>125</v>
      </c>
      <c r="J194" s="2" t="s">
        <v>1671</v>
      </c>
      <c r="K194" s="2">
        <v>45</v>
      </c>
      <c r="L194" s="2">
        <v>15</v>
      </c>
      <c r="M194" s="2">
        <v>0</v>
      </c>
      <c r="N194" s="2">
        <v>10</v>
      </c>
      <c r="O194" s="2">
        <v>10</v>
      </c>
      <c r="P194" s="2">
        <v>10</v>
      </c>
      <c r="Q194" s="2" t="s">
        <v>2005</v>
      </c>
      <c r="R194" s="2" t="s">
        <v>2006</v>
      </c>
      <c r="S194" s="4">
        <v>44837</v>
      </c>
    </row>
    <row r="195" spans="1:19" ht="12.5" x14ac:dyDescent="0.25">
      <c r="A195" s="14" t="str">
        <f>HYPERLINK("https://gerandofalcoes.my.salesforce.com/0014P00003YSp8vQAD", "0014P00003YSp8vQAD")</f>
        <v>0014P00003YSp8vQAD</v>
      </c>
      <c r="B195" s="2" t="s">
        <v>2019</v>
      </c>
      <c r="C195" s="2" t="s">
        <v>1800</v>
      </c>
      <c r="D195" s="2" t="s">
        <v>2</v>
      </c>
      <c r="E195" s="2">
        <v>38</v>
      </c>
      <c r="F195" s="2">
        <v>2</v>
      </c>
      <c r="G195" s="2">
        <v>2</v>
      </c>
      <c r="H195" s="2">
        <v>5000</v>
      </c>
      <c r="I195" s="2">
        <v>0</v>
      </c>
      <c r="J195" s="2" t="s">
        <v>1779</v>
      </c>
      <c r="K195" s="2">
        <v>31</v>
      </c>
      <c r="L195" s="2">
        <v>15</v>
      </c>
      <c r="M195" s="2">
        <v>5</v>
      </c>
      <c r="N195" s="2">
        <v>6</v>
      </c>
      <c r="O195" s="2">
        <v>5</v>
      </c>
      <c r="P195" s="2">
        <v>0</v>
      </c>
      <c r="Q195" s="2" t="s">
        <v>2020</v>
      </c>
      <c r="R195" s="2" t="s">
        <v>2021</v>
      </c>
      <c r="S195" s="4">
        <v>44837</v>
      </c>
    </row>
    <row r="196" spans="1:19" ht="12.5" x14ac:dyDescent="0.25">
      <c r="A196" s="14" t="str">
        <f>HYPERLINK("https://gerandofalcoes.my.salesforce.com/0014P00003YSp9yQAD", "0014P00003YSp9yQAD")</f>
        <v>0014P00003YSp9yQAD</v>
      </c>
      <c r="B196" s="2" t="s">
        <v>2007</v>
      </c>
      <c r="C196" s="2" t="s">
        <v>1800</v>
      </c>
      <c r="D196" s="2" t="s">
        <v>2</v>
      </c>
      <c r="E196" s="2">
        <v>38</v>
      </c>
      <c r="F196" s="2">
        <v>63</v>
      </c>
      <c r="G196" s="2">
        <v>3</v>
      </c>
      <c r="H196" s="2">
        <v>750106</v>
      </c>
      <c r="I196" s="2">
        <v>900</v>
      </c>
      <c r="J196" s="2" t="s">
        <v>1650</v>
      </c>
      <c r="K196" s="2">
        <v>78</v>
      </c>
      <c r="L196" s="2">
        <v>15</v>
      </c>
      <c r="M196" s="2">
        <v>15</v>
      </c>
      <c r="N196" s="2">
        <v>8</v>
      </c>
      <c r="O196" s="2">
        <v>20</v>
      </c>
      <c r="P196" s="2">
        <v>20</v>
      </c>
      <c r="Q196" s="2" t="s">
        <v>2008</v>
      </c>
      <c r="R196" s="2" t="s">
        <v>2009</v>
      </c>
      <c r="S196" s="4">
        <v>44837</v>
      </c>
    </row>
    <row r="197" spans="1:19" ht="12.5" x14ac:dyDescent="0.25">
      <c r="A197" s="14" t="str">
        <f>HYPERLINK("https://gerandofalcoes.my.salesforce.com/0014P00003YSp97QAD", "0014P00003YSp97QAD")</f>
        <v>0014P00003YSp97QAD</v>
      </c>
      <c r="B197" s="2" t="s">
        <v>2013</v>
      </c>
      <c r="C197" s="2" t="s">
        <v>1800</v>
      </c>
      <c r="D197" s="2" t="s">
        <v>2</v>
      </c>
      <c r="E197" s="2">
        <v>38</v>
      </c>
      <c r="F197" s="2">
        <v>5</v>
      </c>
      <c r="G197" s="2">
        <v>3</v>
      </c>
      <c r="H197" s="2">
        <v>900000</v>
      </c>
      <c r="I197" s="2">
        <v>450</v>
      </c>
      <c r="J197" s="2" t="s">
        <v>1650</v>
      </c>
      <c r="K197" s="2">
        <v>73</v>
      </c>
      <c r="L197" s="2">
        <v>15</v>
      </c>
      <c r="M197" s="2">
        <v>5</v>
      </c>
      <c r="N197" s="2">
        <v>8</v>
      </c>
      <c r="O197" s="2">
        <v>25</v>
      </c>
      <c r="P197" s="2">
        <v>20</v>
      </c>
      <c r="Q197" s="2" t="s">
        <v>2014</v>
      </c>
      <c r="R197" s="2" t="s">
        <v>2015</v>
      </c>
      <c r="S197" s="4">
        <v>44837</v>
      </c>
    </row>
    <row r="198" spans="1:19" ht="12.5" x14ac:dyDescent="0.25">
      <c r="A198" s="14" t="str">
        <f>HYPERLINK("https://gerandofalcoes.my.salesforce.com/0014P00003YSp98QAD", "0014P00003YSp98QAD")</f>
        <v>0014P00003YSp98QAD</v>
      </c>
      <c r="B198" s="2" t="s">
        <v>2010</v>
      </c>
      <c r="C198" s="2" t="s">
        <v>423</v>
      </c>
      <c r="D198" s="2" t="s">
        <v>2</v>
      </c>
      <c r="E198" s="2">
        <v>38</v>
      </c>
      <c r="F198" s="2">
        <v>5</v>
      </c>
      <c r="G198" s="2">
        <v>2</v>
      </c>
      <c r="H198" s="2">
        <v>15000</v>
      </c>
      <c r="I198" s="2">
        <v>500</v>
      </c>
      <c r="J198" s="2" t="s">
        <v>1671</v>
      </c>
      <c r="K198" s="2">
        <v>51</v>
      </c>
      <c r="L198" s="2">
        <v>15</v>
      </c>
      <c r="M198" s="2">
        <v>5</v>
      </c>
      <c r="N198" s="2">
        <v>6</v>
      </c>
      <c r="O198" s="2">
        <v>5</v>
      </c>
      <c r="P198" s="2">
        <v>20</v>
      </c>
      <c r="Q198" s="2" t="s">
        <v>2011</v>
      </c>
      <c r="R198" s="2" t="s">
        <v>2012</v>
      </c>
      <c r="S198" s="4">
        <v>44837</v>
      </c>
    </row>
    <row r="199" spans="1:19" ht="12.5" x14ac:dyDescent="0.25">
      <c r="A199" s="14" t="str">
        <f>HYPERLINK("https://gerandofalcoes.my.salesforce.com/0014P00003YSp9bQAD", "0014P00003YSp9bQAD")</f>
        <v>0014P00003YSp9bQAD</v>
      </c>
      <c r="B199" s="2" t="s">
        <v>2016</v>
      </c>
      <c r="C199" s="2" t="s">
        <v>1800</v>
      </c>
      <c r="D199" s="2" t="s">
        <v>2</v>
      </c>
      <c r="E199" s="2">
        <v>38</v>
      </c>
      <c r="F199" s="2">
        <v>8</v>
      </c>
      <c r="G199" s="2">
        <v>3</v>
      </c>
      <c r="H199" s="2">
        <v>400216</v>
      </c>
      <c r="I199" s="2">
        <v>340</v>
      </c>
      <c r="J199" s="2" t="s">
        <v>1650</v>
      </c>
      <c r="K199" s="2">
        <v>68</v>
      </c>
      <c r="L199" s="2">
        <v>15</v>
      </c>
      <c r="M199" s="2">
        <v>10</v>
      </c>
      <c r="N199" s="2">
        <v>8</v>
      </c>
      <c r="O199" s="2">
        <v>20</v>
      </c>
      <c r="P199" s="2">
        <v>15</v>
      </c>
      <c r="Q199" s="2" t="s">
        <v>2017</v>
      </c>
      <c r="R199" s="2" t="s">
        <v>2018</v>
      </c>
      <c r="S199" s="4">
        <v>44837</v>
      </c>
    </row>
    <row r="200" spans="1:19" ht="12.5" x14ac:dyDescent="0.25">
      <c r="A200" s="14" t="str">
        <f>HYPERLINK("https://gerandofalcoes.my.salesforce.com/0014P00003SGWQCQA5", "0014P00003SGWQCQA5")</f>
        <v>0014P00003SGWQCQA5</v>
      </c>
      <c r="B200" s="2" t="s">
        <v>248</v>
      </c>
      <c r="C200" s="2" t="s">
        <v>423</v>
      </c>
      <c r="D200" s="2" t="s">
        <v>2</v>
      </c>
      <c r="E200" s="2">
        <v>37.9</v>
      </c>
      <c r="F200" s="2">
        <v>5</v>
      </c>
      <c r="G200" s="2">
        <v>3</v>
      </c>
      <c r="H200" s="2">
        <v>500000</v>
      </c>
      <c r="I200" s="2">
        <v>72</v>
      </c>
      <c r="J200" s="2" t="s">
        <v>1671</v>
      </c>
      <c r="K200" s="2">
        <v>53</v>
      </c>
      <c r="L200" s="2">
        <v>15</v>
      </c>
      <c r="M200" s="2">
        <v>5</v>
      </c>
      <c r="N200" s="2">
        <v>8</v>
      </c>
      <c r="O200" s="2">
        <v>20</v>
      </c>
      <c r="P200" s="2">
        <v>5</v>
      </c>
      <c r="Q200" s="2" t="s">
        <v>249</v>
      </c>
      <c r="R200" s="2" t="s">
        <v>2025</v>
      </c>
      <c r="S200" s="4">
        <v>44837</v>
      </c>
    </row>
    <row r="201" spans="1:19" ht="12.5" x14ac:dyDescent="0.25">
      <c r="A201" s="14" t="str">
        <f>HYPERLINK("https://gerandofalcoes.my.salesforce.com/0014X00002YggjJQAR", "0014X00002YggjJQAR")</f>
        <v>0014X00002YggjJQAR</v>
      </c>
      <c r="B201" s="2" t="s">
        <v>3011</v>
      </c>
      <c r="C201" s="2" t="s">
        <v>423</v>
      </c>
      <c r="D201" s="2" t="s">
        <v>2</v>
      </c>
      <c r="E201" s="2">
        <v>37.549999999999997</v>
      </c>
      <c r="F201" s="2">
        <v>24</v>
      </c>
      <c r="G201" s="2">
        <v>4</v>
      </c>
      <c r="H201" s="2">
        <v>89800000</v>
      </c>
      <c r="I201" s="2">
        <v>250</v>
      </c>
      <c r="J201" s="2" t="s">
        <v>1650</v>
      </c>
      <c r="K201" s="2">
        <v>74</v>
      </c>
      <c r="L201" s="2">
        <v>15</v>
      </c>
      <c r="M201" s="2">
        <v>12</v>
      </c>
      <c r="N201" s="2">
        <v>10</v>
      </c>
      <c r="O201" s="2">
        <v>25</v>
      </c>
      <c r="P201" s="2">
        <v>12</v>
      </c>
      <c r="Q201" s="2" t="s">
        <v>3012</v>
      </c>
      <c r="R201" s="2" t="s">
        <v>3012</v>
      </c>
      <c r="S201" s="4">
        <v>44945</v>
      </c>
    </row>
    <row r="202" spans="1:19" ht="12.5" x14ac:dyDescent="0.25">
      <c r="A202" s="14" t="str">
        <f>HYPERLINK("https://gerandofalcoes.my.salesforce.com/0014X00002YggjeQAB", "0014X00002YggjeQAB")</f>
        <v>0014X00002YggjeQAB</v>
      </c>
      <c r="B202" s="2" t="s">
        <v>3098</v>
      </c>
      <c r="C202" s="2" t="s">
        <v>423</v>
      </c>
      <c r="D202" s="2" t="s">
        <v>2</v>
      </c>
      <c r="E202" s="2">
        <v>37.43</v>
      </c>
      <c r="F202" s="2">
        <v>5</v>
      </c>
      <c r="G202" s="2">
        <v>3</v>
      </c>
      <c r="H202" s="2">
        <v>26000</v>
      </c>
      <c r="I202" s="2">
        <v>150</v>
      </c>
      <c r="J202" s="2" t="s">
        <v>1671</v>
      </c>
      <c r="K202" s="2">
        <v>50</v>
      </c>
      <c r="L202" s="2">
        <v>15</v>
      </c>
      <c r="M202" s="2">
        <v>5</v>
      </c>
      <c r="N202" s="2">
        <v>8</v>
      </c>
      <c r="O202" s="2">
        <v>10</v>
      </c>
      <c r="P202" s="2">
        <v>12</v>
      </c>
      <c r="Q202" s="2" t="s">
        <v>3099</v>
      </c>
      <c r="R202" s="2" t="s">
        <v>3100</v>
      </c>
      <c r="S202" s="4">
        <v>44948</v>
      </c>
    </row>
    <row r="203" spans="1:19" ht="12.5" x14ac:dyDescent="0.25">
      <c r="A203" s="14" t="str">
        <f>HYPERLINK("https://gerandofalcoes.my.salesforce.com/0014X00002Yggh5QAB", "0014X00002Yggh5QAB")</f>
        <v>0014X00002Yggh5QAB</v>
      </c>
      <c r="B203" s="2" t="s">
        <v>3397</v>
      </c>
      <c r="C203" s="2" t="s">
        <v>423</v>
      </c>
      <c r="D203" s="2" t="s">
        <v>2</v>
      </c>
      <c r="E203" s="2">
        <v>37.08</v>
      </c>
      <c r="F203" s="2">
        <v>0</v>
      </c>
      <c r="G203" s="2">
        <v>2</v>
      </c>
      <c r="H203" s="2">
        <v>300000</v>
      </c>
      <c r="I203" s="2">
        <v>500</v>
      </c>
      <c r="J203" s="2" t="s">
        <v>1671</v>
      </c>
      <c r="K203" s="2">
        <v>61</v>
      </c>
      <c r="L203" s="2">
        <v>15</v>
      </c>
      <c r="M203" s="2">
        <v>0</v>
      </c>
      <c r="N203" s="2">
        <v>6</v>
      </c>
      <c r="O203" s="2">
        <v>20</v>
      </c>
      <c r="P203" s="2">
        <v>20</v>
      </c>
      <c r="Q203" s="2" t="s">
        <v>3398</v>
      </c>
      <c r="R203" s="2" t="s">
        <v>3399</v>
      </c>
      <c r="S203" s="4">
        <v>44958</v>
      </c>
    </row>
    <row r="204" spans="1:19" ht="12.5" x14ac:dyDescent="0.25">
      <c r="A204" s="14" t="str">
        <f>HYPERLINK("https://gerandofalcoes.my.salesforce.com/0014X00002VKCr4QAH", "0014X00002VKCr4QAH")</f>
        <v>0014X00002VKCr4QAH</v>
      </c>
      <c r="B204" s="2" t="s">
        <v>2026</v>
      </c>
      <c r="C204" s="2" t="s">
        <v>423</v>
      </c>
      <c r="D204" s="2" t="s">
        <v>2</v>
      </c>
      <c r="E204" s="2">
        <v>37.01</v>
      </c>
      <c r="F204" s="2">
        <v>12</v>
      </c>
      <c r="G204" s="2">
        <v>5</v>
      </c>
      <c r="H204" s="2">
        <v>414092</v>
      </c>
      <c r="I204" s="2">
        <v>327</v>
      </c>
      <c r="J204" s="2" t="s">
        <v>1650</v>
      </c>
      <c r="K204" s="2">
        <v>72</v>
      </c>
      <c r="L204" s="2">
        <v>15</v>
      </c>
      <c r="M204" s="2">
        <v>12</v>
      </c>
      <c r="N204" s="2">
        <v>10</v>
      </c>
      <c r="O204" s="2">
        <v>20</v>
      </c>
      <c r="P204" s="2">
        <v>15</v>
      </c>
      <c r="Q204" s="2" t="s">
        <v>2027</v>
      </c>
      <c r="R204" s="2" t="s">
        <v>2027</v>
      </c>
      <c r="S204" s="4">
        <v>44837</v>
      </c>
    </row>
    <row r="205" spans="1:19" ht="12.5" x14ac:dyDescent="0.25">
      <c r="A205" s="14" t="str">
        <f>HYPERLINK("https://gerandofalcoes.my.salesforce.com/0014P00003YSp8nQAD", "0014P00003YSp8nQAD")</f>
        <v>0014P00003YSp8nQAD</v>
      </c>
      <c r="B205" s="2" t="s">
        <v>2028</v>
      </c>
      <c r="C205" s="2" t="s">
        <v>423</v>
      </c>
      <c r="D205" s="2" t="s">
        <v>2</v>
      </c>
      <c r="E205" s="2">
        <v>37.01</v>
      </c>
      <c r="F205" s="2">
        <v>6</v>
      </c>
      <c r="G205" s="2">
        <v>2</v>
      </c>
      <c r="H205" s="2">
        <v>7307750</v>
      </c>
      <c r="I205" s="2">
        <v>55</v>
      </c>
      <c r="J205" s="2" t="s">
        <v>1671</v>
      </c>
      <c r="K205" s="2">
        <v>61</v>
      </c>
      <c r="L205" s="2">
        <v>15</v>
      </c>
      <c r="M205" s="2">
        <v>10</v>
      </c>
      <c r="N205" s="2">
        <v>6</v>
      </c>
      <c r="O205" s="2">
        <v>25</v>
      </c>
      <c r="P205" s="2">
        <v>5</v>
      </c>
      <c r="Q205" s="2" t="s">
        <v>2029</v>
      </c>
      <c r="R205" s="2" t="s">
        <v>2030</v>
      </c>
      <c r="S205" s="4">
        <v>44837</v>
      </c>
    </row>
    <row r="206" spans="1:19" ht="12.5" x14ac:dyDescent="0.25">
      <c r="A206" s="14" t="str">
        <f>HYPERLINK("https://gerandofalcoes.my.salesforce.com/0014X00002VKCrNQAX", "0014X00002VKCrNQAX")</f>
        <v>0014X00002VKCrNQAX</v>
      </c>
      <c r="B206" s="2" t="s">
        <v>2035</v>
      </c>
      <c r="C206" s="2" t="s">
        <v>423</v>
      </c>
      <c r="D206" s="2" t="s">
        <v>2</v>
      </c>
      <c r="E206" s="2">
        <v>37</v>
      </c>
      <c r="F206" s="2">
        <v>10</v>
      </c>
      <c r="G206" s="2">
        <v>2</v>
      </c>
      <c r="H206" s="2">
        <v>20000</v>
      </c>
      <c r="I206" s="2">
        <v>130</v>
      </c>
      <c r="J206" s="2" t="s">
        <v>1671</v>
      </c>
      <c r="K206" s="2">
        <v>46</v>
      </c>
      <c r="L206" s="2">
        <v>15</v>
      </c>
      <c r="M206" s="2">
        <v>10</v>
      </c>
      <c r="N206" s="2">
        <v>6</v>
      </c>
      <c r="O206" s="2">
        <v>5</v>
      </c>
      <c r="P206" s="2">
        <v>10</v>
      </c>
      <c r="Q206" s="2" t="s">
        <v>2036</v>
      </c>
      <c r="R206" s="2" t="s">
        <v>2037</v>
      </c>
      <c r="S206" s="4">
        <v>44837</v>
      </c>
    </row>
    <row r="207" spans="1:19" ht="12.5" x14ac:dyDescent="0.25">
      <c r="A207" s="14" t="str">
        <f>HYPERLINK("https://gerandofalcoes.my.salesforce.com/0014X00002VKCqbQAH", "0014X00002VKCqbQAH")</f>
        <v>0014X00002VKCqbQAH</v>
      </c>
      <c r="B207" s="2" t="s">
        <v>2040</v>
      </c>
      <c r="C207" s="2" t="s">
        <v>423</v>
      </c>
      <c r="D207" s="2" t="s">
        <v>2</v>
      </c>
      <c r="E207" s="2">
        <v>37</v>
      </c>
      <c r="F207" s="2">
        <v>0</v>
      </c>
      <c r="G207" s="2">
        <v>3</v>
      </c>
      <c r="H207" s="2">
        <v>70000</v>
      </c>
      <c r="I207" s="2">
        <v>100</v>
      </c>
      <c r="J207" s="2" t="s">
        <v>1671</v>
      </c>
      <c r="K207" s="2">
        <v>43</v>
      </c>
      <c r="L207" s="2">
        <v>15</v>
      </c>
      <c r="M207" s="2">
        <v>0</v>
      </c>
      <c r="N207" s="2">
        <v>8</v>
      </c>
      <c r="O207" s="2">
        <v>10</v>
      </c>
      <c r="P207" s="2">
        <v>10</v>
      </c>
      <c r="Q207" s="2" t="s">
        <v>2041</v>
      </c>
      <c r="R207" s="2" t="s">
        <v>2042</v>
      </c>
      <c r="S207" s="4">
        <v>44837</v>
      </c>
    </row>
    <row r="208" spans="1:19" ht="12.5" x14ac:dyDescent="0.25">
      <c r="A208" s="14" t="str">
        <f>HYPERLINK("https://gerandofalcoes.my.salesforce.com/0014P00003SGWPaQAP", "0014P00003SGWPaQAP")</f>
        <v>0014P00003SGWPaQAP</v>
      </c>
      <c r="B208" s="2" t="s">
        <v>179</v>
      </c>
      <c r="C208" s="2" t="s">
        <v>423</v>
      </c>
      <c r="D208" s="2" t="s">
        <v>2</v>
      </c>
      <c r="E208" s="2">
        <v>37</v>
      </c>
      <c r="F208" s="2">
        <v>4</v>
      </c>
      <c r="G208" s="2">
        <v>3</v>
      </c>
      <c r="H208" s="2">
        <v>50000</v>
      </c>
      <c r="I208" s="2">
        <v>511</v>
      </c>
      <c r="J208" s="2" t="s">
        <v>1671</v>
      </c>
      <c r="K208" s="2">
        <v>58</v>
      </c>
      <c r="L208" s="2">
        <v>15</v>
      </c>
      <c r="M208" s="2">
        <v>5</v>
      </c>
      <c r="N208" s="2">
        <v>8</v>
      </c>
      <c r="O208" s="2">
        <v>10</v>
      </c>
      <c r="P208" s="2">
        <v>20</v>
      </c>
      <c r="Q208" s="2" t="s">
        <v>180</v>
      </c>
      <c r="R208" s="2" t="s">
        <v>2031</v>
      </c>
      <c r="S208" s="4">
        <v>44837</v>
      </c>
    </row>
    <row r="209" spans="1:19" ht="12.5" x14ac:dyDescent="0.25">
      <c r="A209" s="14" t="str">
        <f>HYPERLINK("https://gerandofalcoes.my.salesforce.com/0014X00002VKCtUQAX", "0014X00002VKCtUQAX")</f>
        <v>0014X00002VKCtUQAX</v>
      </c>
      <c r="B209" s="2" t="s">
        <v>3823</v>
      </c>
      <c r="C209" s="2" t="s">
        <v>423</v>
      </c>
      <c r="D209" s="2" t="s">
        <v>2</v>
      </c>
      <c r="E209" s="2">
        <v>37</v>
      </c>
      <c r="F209" s="2">
        <v>0</v>
      </c>
      <c r="G209" s="2">
        <v>0</v>
      </c>
      <c r="H209" s="2">
        <v>0</v>
      </c>
      <c r="I209" s="2">
        <v>51</v>
      </c>
      <c r="J209" s="2" t="s">
        <v>1779</v>
      </c>
      <c r="K209" s="2">
        <v>20</v>
      </c>
      <c r="L209" s="2">
        <v>15</v>
      </c>
      <c r="M209" s="2">
        <v>0</v>
      </c>
      <c r="N209" s="2">
        <v>0</v>
      </c>
      <c r="O209" s="2">
        <v>0</v>
      </c>
      <c r="P209" s="2">
        <v>5</v>
      </c>
      <c r="Q209" s="2" t="s">
        <v>3824</v>
      </c>
      <c r="R209" s="2" t="s">
        <v>3824</v>
      </c>
      <c r="S209" s="4">
        <v>45015</v>
      </c>
    </row>
    <row r="210" spans="1:19" ht="12.5" x14ac:dyDescent="0.25">
      <c r="A210" s="14" t="str">
        <f>HYPERLINK("https://gerandofalcoes.my.salesforce.com/0014X00002VKCp7QAH", "0014X00002VKCp7QAH")</f>
        <v>0014X00002VKCp7QAH</v>
      </c>
      <c r="B210" s="2" t="s">
        <v>2043</v>
      </c>
      <c r="C210" s="2" t="s">
        <v>423</v>
      </c>
      <c r="D210" s="2" t="s">
        <v>2</v>
      </c>
      <c r="E210" s="2">
        <v>37</v>
      </c>
      <c r="F210" s="2">
        <v>4</v>
      </c>
      <c r="G210" s="2">
        <v>3</v>
      </c>
      <c r="H210" s="2">
        <v>96000</v>
      </c>
      <c r="I210" s="2">
        <v>70</v>
      </c>
      <c r="J210" s="2" t="s">
        <v>1671</v>
      </c>
      <c r="K210" s="2">
        <v>43</v>
      </c>
      <c r="L210" s="2">
        <v>15</v>
      </c>
      <c r="M210" s="2">
        <v>5</v>
      </c>
      <c r="N210" s="2">
        <v>8</v>
      </c>
      <c r="O210" s="2">
        <v>10</v>
      </c>
      <c r="P210" s="2">
        <v>5</v>
      </c>
      <c r="Q210" s="2" t="s">
        <v>2044</v>
      </c>
      <c r="R210" s="2" t="s">
        <v>2045</v>
      </c>
      <c r="S210" s="4">
        <v>44837</v>
      </c>
    </row>
    <row r="211" spans="1:19" ht="12.5" x14ac:dyDescent="0.25">
      <c r="A211" s="14" t="str">
        <f>HYPERLINK("https://gerandofalcoes.my.salesforce.com/0014X00002VKCsEQAX", "0014X00002VKCsEQAX")</f>
        <v>0014X00002VKCsEQAX</v>
      </c>
      <c r="B211" s="2" t="s">
        <v>2051</v>
      </c>
      <c r="C211" s="2" t="s">
        <v>1800</v>
      </c>
      <c r="D211" s="2" t="s">
        <v>2</v>
      </c>
      <c r="E211" s="2">
        <v>37</v>
      </c>
      <c r="F211" s="2">
        <v>2</v>
      </c>
      <c r="G211" s="2">
        <v>3</v>
      </c>
      <c r="H211" s="2">
        <v>1000</v>
      </c>
      <c r="I211" s="2">
        <v>30</v>
      </c>
      <c r="J211" s="2" t="s">
        <v>1779</v>
      </c>
      <c r="K211" s="2">
        <v>38</v>
      </c>
      <c r="L211" s="2">
        <v>15</v>
      </c>
      <c r="M211" s="2">
        <v>5</v>
      </c>
      <c r="N211" s="2">
        <v>8</v>
      </c>
      <c r="O211" s="2">
        <v>5</v>
      </c>
      <c r="P211" s="2">
        <v>5</v>
      </c>
      <c r="Q211" s="2" t="s">
        <v>2052</v>
      </c>
      <c r="R211" s="2" t="s">
        <v>2053</v>
      </c>
      <c r="S211" s="4">
        <v>44837</v>
      </c>
    </row>
    <row r="212" spans="1:19" ht="12.5" x14ac:dyDescent="0.25">
      <c r="A212" s="14" t="str">
        <f>HYPERLINK("https://gerandofalcoes.my.salesforce.com/0014X00002VKCunQAH", "0014X00002VKCunQAH")</f>
        <v>0014X00002VKCunQAH</v>
      </c>
      <c r="B212" s="2" t="s">
        <v>2054</v>
      </c>
      <c r="C212" s="2" t="s">
        <v>423</v>
      </c>
      <c r="D212" s="2" t="s">
        <v>2</v>
      </c>
      <c r="E212" s="2">
        <v>37</v>
      </c>
      <c r="F212" s="2">
        <v>4</v>
      </c>
      <c r="G212" s="2">
        <v>6</v>
      </c>
      <c r="H212" s="2">
        <v>240</v>
      </c>
      <c r="I212" s="2">
        <v>12</v>
      </c>
      <c r="J212" s="2" t="s">
        <v>1671</v>
      </c>
      <c r="K212" s="2">
        <v>40</v>
      </c>
      <c r="L212" s="2">
        <v>15</v>
      </c>
      <c r="M212" s="2">
        <v>5</v>
      </c>
      <c r="N212" s="2">
        <v>10</v>
      </c>
      <c r="O212" s="2">
        <v>5</v>
      </c>
      <c r="P212" s="2">
        <v>5</v>
      </c>
      <c r="Q212" s="2" t="s">
        <v>2055</v>
      </c>
      <c r="R212" s="2" t="s">
        <v>2056</v>
      </c>
      <c r="S212" s="4">
        <v>44837</v>
      </c>
    </row>
    <row r="213" spans="1:19" ht="12.5" x14ac:dyDescent="0.25">
      <c r="A213" s="14" t="str">
        <f>HYPERLINK("https://gerandofalcoes.my.salesforce.com/0014P00003YSp7lQAD", "0014P00003YSp7lQAD")</f>
        <v>0014P00003YSp7lQAD</v>
      </c>
      <c r="B213" s="2" t="s">
        <v>2057</v>
      </c>
      <c r="C213" s="2" t="s">
        <v>423</v>
      </c>
      <c r="D213" s="2" t="s">
        <v>2</v>
      </c>
      <c r="E213" s="2">
        <v>37</v>
      </c>
      <c r="F213" s="2">
        <v>0</v>
      </c>
      <c r="G213" s="2">
        <v>2</v>
      </c>
      <c r="H213" s="2">
        <v>50000</v>
      </c>
      <c r="I213" s="2">
        <v>0</v>
      </c>
      <c r="J213" s="2" t="s">
        <v>1779</v>
      </c>
      <c r="K213" s="2">
        <v>31</v>
      </c>
      <c r="L213" s="2">
        <v>15</v>
      </c>
      <c r="M213" s="2">
        <v>0</v>
      </c>
      <c r="N213" s="2">
        <v>6</v>
      </c>
      <c r="O213" s="2">
        <v>10</v>
      </c>
      <c r="P213" s="2">
        <v>0</v>
      </c>
      <c r="Q213" s="2" t="s">
        <v>2058</v>
      </c>
      <c r="R213" s="2" t="s">
        <v>2059</v>
      </c>
      <c r="S213" s="4">
        <v>44837</v>
      </c>
    </row>
    <row r="214" spans="1:19" ht="12.5" x14ac:dyDescent="0.25">
      <c r="A214" s="14" t="str">
        <f>HYPERLINK("https://gerandofalcoes.my.salesforce.com/0014X00002VKCuBQAX", "0014X00002VKCuBQAX")</f>
        <v>0014X00002VKCuBQAX</v>
      </c>
      <c r="B214" s="2" t="s">
        <v>2038</v>
      </c>
      <c r="C214" s="2" t="s">
        <v>423</v>
      </c>
      <c r="D214" s="2" t="s">
        <v>2</v>
      </c>
      <c r="E214" s="2">
        <v>37</v>
      </c>
      <c r="F214" s="2">
        <v>0</v>
      </c>
      <c r="G214" s="2">
        <v>2</v>
      </c>
      <c r="H214" s="2">
        <v>10000</v>
      </c>
      <c r="I214" s="2">
        <v>102</v>
      </c>
      <c r="J214" s="2" t="s">
        <v>1779</v>
      </c>
      <c r="K214" s="2">
        <v>36</v>
      </c>
      <c r="L214" s="2">
        <v>15</v>
      </c>
      <c r="M214" s="2">
        <v>0</v>
      </c>
      <c r="N214" s="2">
        <v>6</v>
      </c>
      <c r="O214" s="2">
        <v>5</v>
      </c>
      <c r="P214" s="2">
        <v>10</v>
      </c>
      <c r="Q214" s="2" t="s">
        <v>2039</v>
      </c>
      <c r="R214" s="2" t="s">
        <v>2039</v>
      </c>
      <c r="S214" s="4">
        <v>44837</v>
      </c>
    </row>
    <row r="215" spans="1:19" ht="12.5" x14ac:dyDescent="0.25">
      <c r="A215" s="14" t="str">
        <f>HYPERLINK("https://gerandofalcoes.my.salesforce.com/0014P00003YSp9JQAT", "0014P00003YSp9JQAT")</f>
        <v>0014P00003YSp9JQAT</v>
      </c>
      <c r="B215" s="2" t="s">
        <v>2046</v>
      </c>
      <c r="C215" s="2" t="s">
        <v>423</v>
      </c>
      <c r="D215" s="2" t="s">
        <v>2</v>
      </c>
      <c r="E215" s="2">
        <v>37</v>
      </c>
      <c r="F215" s="2">
        <v>4</v>
      </c>
      <c r="G215" s="2">
        <v>4</v>
      </c>
      <c r="H215" s="2">
        <v>125000</v>
      </c>
      <c r="I215" s="2">
        <v>60</v>
      </c>
      <c r="J215" s="2" t="s">
        <v>1671</v>
      </c>
      <c r="K215" s="2">
        <v>50</v>
      </c>
      <c r="L215" s="2">
        <v>15</v>
      </c>
      <c r="M215" s="2">
        <v>5</v>
      </c>
      <c r="N215" s="2">
        <v>10</v>
      </c>
      <c r="O215" s="2">
        <v>15</v>
      </c>
      <c r="P215" s="2">
        <v>5</v>
      </c>
      <c r="Q215" s="2" t="s">
        <v>2047</v>
      </c>
      <c r="R215" s="2" t="s">
        <v>2048</v>
      </c>
      <c r="S215" s="4">
        <v>44837</v>
      </c>
    </row>
    <row r="216" spans="1:19" ht="12.5" x14ac:dyDescent="0.25">
      <c r="A216" s="14" t="str">
        <f>HYPERLINK("https://gerandofalcoes.my.salesforce.com/0014X00002VKCubQAH", "0014X00002VKCubQAH")</f>
        <v>0014X00002VKCubQAH</v>
      </c>
      <c r="B216" s="2" t="s">
        <v>2062</v>
      </c>
      <c r="C216" s="2" t="s">
        <v>423</v>
      </c>
      <c r="D216" s="2" t="s">
        <v>2</v>
      </c>
      <c r="E216" s="2">
        <v>37</v>
      </c>
      <c r="F216" s="2">
        <v>3</v>
      </c>
      <c r="G216" s="2">
        <v>3</v>
      </c>
      <c r="H216" s="2">
        <v>3000</v>
      </c>
      <c r="I216" s="2">
        <v>0</v>
      </c>
      <c r="J216" s="2" t="s">
        <v>1779</v>
      </c>
      <c r="K216" s="2">
        <v>33</v>
      </c>
      <c r="L216" s="2">
        <v>15</v>
      </c>
      <c r="M216" s="2">
        <v>5</v>
      </c>
      <c r="N216" s="2">
        <v>8</v>
      </c>
      <c r="O216" s="2">
        <v>5</v>
      </c>
      <c r="P216" s="2">
        <v>0</v>
      </c>
      <c r="Q216" s="2" t="s">
        <v>2063</v>
      </c>
      <c r="R216" s="2" t="s">
        <v>2064</v>
      </c>
      <c r="S216" s="4">
        <v>44837</v>
      </c>
    </row>
    <row r="217" spans="1:19" ht="12.5" x14ac:dyDescent="0.25">
      <c r="A217" s="14" t="str">
        <f>HYPERLINK("https://gerandofalcoes.my.salesforce.com/0014X00002VKCuYQAX", "0014X00002VKCuYQAX")</f>
        <v>0014X00002VKCuYQAX</v>
      </c>
      <c r="B217" s="2" t="s">
        <v>2049</v>
      </c>
      <c r="C217" s="2" t="s">
        <v>423</v>
      </c>
      <c r="D217" s="2" t="s">
        <v>2</v>
      </c>
      <c r="E217" s="2">
        <v>37</v>
      </c>
      <c r="F217" s="2">
        <v>0</v>
      </c>
      <c r="G217" s="2">
        <v>4</v>
      </c>
      <c r="H217" s="2">
        <v>2500</v>
      </c>
      <c r="I217" s="2">
        <v>55</v>
      </c>
      <c r="J217" s="2" t="s">
        <v>1779</v>
      </c>
      <c r="K217" s="2">
        <v>35</v>
      </c>
      <c r="L217" s="2">
        <v>15</v>
      </c>
      <c r="M217" s="2">
        <v>0</v>
      </c>
      <c r="N217" s="2">
        <v>10</v>
      </c>
      <c r="O217" s="2">
        <v>5</v>
      </c>
      <c r="P217" s="2">
        <v>5</v>
      </c>
      <c r="Q217" s="2" t="s">
        <v>2050</v>
      </c>
      <c r="R217" s="2" t="s">
        <v>2050</v>
      </c>
      <c r="S217" s="4">
        <v>44837</v>
      </c>
    </row>
    <row r="218" spans="1:19" ht="12.5" x14ac:dyDescent="0.25">
      <c r="A218" s="14" t="str">
        <f>HYPERLINK("https://gerandofalcoes.my.salesforce.com/0014X00002VKCqmQAH", "0014X00002VKCqmQAH")</f>
        <v>0014X00002VKCqmQAH</v>
      </c>
      <c r="B218" s="2" t="s">
        <v>2032</v>
      </c>
      <c r="C218" s="2" t="s">
        <v>423</v>
      </c>
      <c r="D218" s="2" t="s">
        <v>2</v>
      </c>
      <c r="E218" s="2">
        <v>37</v>
      </c>
      <c r="F218" s="2">
        <v>5</v>
      </c>
      <c r="G218" s="2">
        <v>1</v>
      </c>
      <c r="H218" s="2">
        <v>40000</v>
      </c>
      <c r="I218" s="2">
        <v>250</v>
      </c>
      <c r="J218" s="2" t="s">
        <v>1671</v>
      </c>
      <c r="K218" s="2">
        <v>46</v>
      </c>
      <c r="L218" s="2">
        <v>15</v>
      </c>
      <c r="M218" s="2">
        <v>5</v>
      </c>
      <c r="N218" s="2">
        <v>4</v>
      </c>
      <c r="O218" s="2">
        <v>10</v>
      </c>
      <c r="P218" s="2">
        <v>12</v>
      </c>
      <c r="Q218" s="2" t="s">
        <v>2033</v>
      </c>
      <c r="R218" s="2" t="s">
        <v>2034</v>
      </c>
      <c r="S218" s="4">
        <v>44837</v>
      </c>
    </row>
    <row r="219" spans="1:19" ht="12.5" x14ac:dyDescent="0.25">
      <c r="A219" s="14" t="str">
        <f>HYPERLINK("https://gerandofalcoes.my.salesforce.com/0014P00003YSpA6QAL", "0014P00003YSpA6QAL")</f>
        <v>0014P00003YSpA6QAL</v>
      </c>
      <c r="B219" s="2" t="s">
        <v>2060</v>
      </c>
      <c r="C219" s="2" t="s">
        <v>1800</v>
      </c>
      <c r="D219" s="2" t="s">
        <v>2</v>
      </c>
      <c r="E219" s="2">
        <v>37</v>
      </c>
      <c r="F219" s="2">
        <v>27</v>
      </c>
      <c r="G219" s="2">
        <v>3</v>
      </c>
      <c r="H219" s="2">
        <v>132000</v>
      </c>
      <c r="I219" s="2">
        <v>0</v>
      </c>
      <c r="J219" s="2" t="s">
        <v>1671</v>
      </c>
      <c r="K219" s="2">
        <v>50</v>
      </c>
      <c r="L219" s="2">
        <v>15</v>
      </c>
      <c r="M219" s="2">
        <v>12</v>
      </c>
      <c r="N219" s="2">
        <v>8</v>
      </c>
      <c r="O219" s="2">
        <v>15</v>
      </c>
      <c r="P219" s="2">
        <v>0</v>
      </c>
      <c r="Q219" s="2" t="s">
        <v>2061</v>
      </c>
      <c r="R219" s="2" t="s">
        <v>2061</v>
      </c>
      <c r="S219" s="4">
        <v>44837</v>
      </c>
    </row>
    <row r="220" spans="1:19" ht="12.5" x14ac:dyDescent="0.25">
      <c r="A220" s="14" t="str">
        <f>HYPERLINK("https://gerandofalcoes.my.salesforce.com/0014X00002PUObkQAH", "0014X00002PUObkQAH")</f>
        <v>0014X00002PUObkQAH</v>
      </c>
      <c r="B220" s="2" t="s">
        <v>2065</v>
      </c>
      <c r="C220" s="2" t="s">
        <v>423</v>
      </c>
      <c r="D220" s="2" t="s">
        <v>2</v>
      </c>
      <c r="E220" s="2">
        <v>36.840000000000003</v>
      </c>
      <c r="F220" s="2">
        <v>0</v>
      </c>
      <c r="G220" s="2">
        <v>2</v>
      </c>
      <c r="H220" s="2">
        <v>3520653</v>
      </c>
      <c r="I220" s="2">
        <v>313</v>
      </c>
      <c r="J220" s="2" t="s">
        <v>1671</v>
      </c>
      <c r="K220" s="2">
        <v>61</v>
      </c>
      <c r="L220" s="2">
        <v>15</v>
      </c>
      <c r="M220" s="2">
        <v>0</v>
      </c>
      <c r="N220" s="2">
        <v>6</v>
      </c>
      <c r="O220" s="2">
        <v>25</v>
      </c>
      <c r="P220" s="2">
        <v>15</v>
      </c>
      <c r="Q220" s="2" t="s">
        <v>2066</v>
      </c>
      <c r="R220" s="2" t="s">
        <v>477</v>
      </c>
      <c r="S220" s="4">
        <v>44837</v>
      </c>
    </row>
    <row r="221" spans="1:19" ht="12.5" x14ac:dyDescent="0.25">
      <c r="A221" s="14" t="str">
        <f>HYPERLINK("https://gerandofalcoes.my.salesforce.com/0014P00003YSm8CQAT", "0014P00003YSm8CQAT")</f>
        <v>0014P00003YSm8CQAT</v>
      </c>
      <c r="B221" s="2" t="s">
        <v>272</v>
      </c>
      <c r="C221" s="2" t="s">
        <v>423</v>
      </c>
      <c r="D221" s="2" t="s">
        <v>2</v>
      </c>
      <c r="E221" s="2">
        <v>36.67</v>
      </c>
      <c r="F221" s="2">
        <v>8</v>
      </c>
      <c r="G221" s="2">
        <v>0</v>
      </c>
      <c r="H221" s="2">
        <v>0</v>
      </c>
      <c r="I221" s="2">
        <v>98</v>
      </c>
      <c r="J221" s="2" t="s">
        <v>1779</v>
      </c>
      <c r="K221" s="2">
        <v>35</v>
      </c>
      <c r="L221" s="2">
        <v>15</v>
      </c>
      <c r="M221" s="2">
        <v>10</v>
      </c>
      <c r="N221" s="2">
        <v>0</v>
      </c>
      <c r="O221" s="2">
        <v>0</v>
      </c>
      <c r="P221" s="2">
        <v>10</v>
      </c>
      <c r="Q221" s="2" t="s">
        <v>273</v>
      </c>
      <c r="R221" s="2" t="s">
        <v>1518</v>
      </c>
      <c r="S221" s="4">
        <v>44837</v>
      </c>
    </row>
    <row r="222" spans="1:19" ht="12.5" x14ac:dyDescent="0.25">
      <c r="A222" s="14" t="str">
        <f>HYPERLINK("https://gerandofalcoes.my.salesforce.com/0014P00003SGWPTQA5", "0014P00003SGWPTQA5")</f>
        <v>0014P00003SGWPTQA5</v>
      </c>
      <c r="B222" s="2" t="s">
        <v>376</v>
      </c>
      <c r="C222" s="2" t="s">
        <v>423</v>
      </c>
      <c r="D222" s="2" t="s">
        <v>2</v>
      </c>
      <c r="E222" s="2">
        <v>36.65</v>
      </c>
      <c r="F222" s="2">
        <v>0</v>
      </c>
      <c r="G222" s="2">
        <v>1</v>
      </c>
      <c r="H222" s="2">
        <v>6000</v>
      </c>
      <c r="I222" s="2">
        <v>104</v>
      </c>
      <c r="J222" s="2" t="s">
        <v>1779</v>
      </c>
      <c r="K222" s="2">
        <v>34</v>
      </c>
      <c r="L222" s="2">
        <v>15</v>
      </c>
      <c r="M222" s="2">
        <v>0</v>
      </c>
      <c r="N222" s="2">
        <v>4</v>
      </c>
      <c r="O222" s="2">
        <v>5</v>
      </c>
      <c r="P222" s="2">
        <v>10</v>
      </c>
      <c r="Q222" s="2" t="s">
        <v>377</v>
      </c>
      <c r="R222" s="2" t="s">
        <v>1586</v>
      </c>
      <c r="S222" s="4">
        <v>44837</v>
      </c>
    </row>
    <row r="223" spans="1:19" ht="12.5" x14ac:dyDescent="0.25">
      <c r="A223" s="14" t="str">
        <f>HYPERLINK("https://gerandofalcoes.my.salesforce.com/0014X00002VKCr5QAH", "0014X00002VKCr5QAH")</f>
        <v>0014X00002VKCr5QAH</v>
      </c>
      <c r="B223" s="2" t="s">
        <v>2067</v>
      </c>
      <c r="C223" s="2" t="s">
        <v>423</v>
      </c>
      <c r="D223" s="2" t="s">
        <v>2</v>
      </c>
      <c r="E223" s="2">
        <v>36.520000000000003</v>
      </c>
      <c r="F223" s="2">
        <v>6</v>
      </c>
      <c r="G223" s="2">
        <v>2</v>
      </c>
      <c r="H223" s="2">
        <v>5356022</v>
      </c>
      <c r="I223" s="2">
        <v>0</v>
      </c>
      <c r="J223" s="2" t="s">
        <v>1671</v>
      </c>
      <c r="K223" s="2">
        <v>56</v>
      </c>
      <c r="L223" s="2">
        <v>15</v>
      </c>
      <c r="M223" s="2">
        <v>10</v>
      </c>
      <c r="N223" s="2">
        <v>6</v>
      </c>
      <c r="O223" s="2">
        <v>25</v>
      </c>
      <c r="P223" s="2">
        <v>0</v>
      </c>
      <c r="Q223" s="2" t="s">
        <v>2068</v>
      </c>
      <c r="R223" s="2" t="s">
        <v>2069</v>
      </c>
      <c r="S223" s="4">
        <v>44837</v>
      </c>
    </row>
    <row r="224" spans="1:19" ht="12.5" x14ac:dyDescent="0.25">
      <c r="A224" s="14" t="str">
        <f>HYPERLINK("https://gerandofalcoes.my.salesforce.com/0014P00003YSp9eQAD", "0014P00003YSp9eQAD")</f>
        <v>0014P00003YSp9eQAD</v>
      </c>
      <c r="B224" s="2" t="s">
        <v>2084</v>
      </c>
      <c r="C224" s="2" t="s">
        <v>1800</v>
      </c>
      <c r="D224" s="2" t="s">
        <v>2</v>
      </c>
      <c r="E224" s="2">
        <v>36</v>
      </c>
      <c r="F224" s="2">
        <v>4</v>
      </c>
      <c r="G224" s="2">
        <v>4</v>
      </c>
      <c r="H224" s="2">
        <v>270000</v>
      </c>
      <c r="I224" s="2">
        <v>0</v>
      </c>
      <c r="J224" s="2" t="s">
        <v>1671</v>
      </c>
      <c r="K224" s="2">
        <v>45</v>
      </c>
      <c r="L224" s="2">
        <v>15</v>
      </c>
      <c r="M224" s="2">
        <v>5</v>
      </c>
      <c r="N224" s="2">
        <v>10</v>
      </c>
      <c r="O224" s="2">
        <v>15</v>
      </c>
      <c r="P224" s="2">
        <v>0</v>
      </c>
      <c r="Q224" s="2" t="s">
        <v>2085</v>
      </c>
      <c r="R224" s="2" t="s">
        <v>2086</v>
      </c>
      <c r="S224" s="4">
        <v>44837</v>
      </c>
    </row>
    <row r="225" spans="1:19" ht="12.5" x14ac:dyDescent="0.25">
      <c r="A225" s="14" t="str">
        <f>HYPERLINK("https://gerandofalcoes.my.salesforce.com/0014X00002VKCqDQAX", "0014X00002VKCqDQAX")</f>
        <v>0014X00002VKCqDQAX</v>
      </c>
      <c r="B225" s="2" t="s">
        <v>2078</v>
      </c>
      <c r="C225" s="2" t="s">
        <v>423</v>
      </c>
      <c r="D225" s="2" t="s">
        <v>2</v>
      </c>
      <c r="E225" s="2">
        <v>36</v>
      </c>
      <c r="F225" s="2">
        <v>0</v>
      </c>
      <c r="G225" s="2">
        <v>2</v>
      </c>
      <c r="H225" s="2">
        <v>12000</v>
      </c>
      <c r="I225" s="2">
        <v>70</v>
      </c>
      <c r="J225" s="2" t="s">
        <v>1779</v>
      </c>
      <c r="K225" s="2">
        <v>31</v>
      </c>
      <c r="L225" s="2">
        <v>15</v>
      </c>
      <c r="M225" s="2">
        <v>0</v>
      </c>
      <c r="N225" s="2">
        <v>6</v>
      </c>
      <c r="O225" s="2">
        <v>5</v>
      </c>
      <c r="P225" s="2">
        <v>5</v>
      </c>
      <c r="Q225" s="2" t="s">
        <v>2079</v>
      </c>
      <c r="R225" s="2" t="s">
        <v>2080</v>
      </c>
      <c r="S225" s="4">
        <v>44837</v>
      </c>
    </row>
    <row r="226" spans="1:19" ht="12.5" x14ac:dyDescent="0.25">
      <c r="A226" s="14" t="str">
        <f>HYPERLINK("https://gerandofalcoes.my.salesforce.com/0014X00002VKCuJQAX", "0014X00002VKCuJQAX")</f>
        <v>0014X00002VKCuJQAX</v>
      </c>
      <c r="B226" s="2" t="s">
        <v>2073</v>
      </c>
      <c r="C226" s="2" t="s">
        <v>423</v>
      </c>
      <c r="D226" s="2" t="s">
        <v>2</v>
      </c>
      <c r="E226" s="2">
        <v>36</v>
      </c>
      <c r="F226" s="2">
        <v>0</v>
      </c>
      <c r="G226" s="2">
        <v>3</v>
      </c>
      <c r="H226" s="2">
        <v>3000</v>
      </c>
      <c r="I226" s="2">
        <v>100</v>
      </c>
      <c r="J226" s="2" t="s">
        <v>1779</v>
      </c>
      <c r="K226" s="2">
        <v>38</v>
      </c>
      <c r="L226" s="2">
        <v>15</v>
      </c>
      <c r="M226" s="2">
        <v>0</v>
      </c>
      <c r="N226" s="2">
        <v>8</v>
      </c>
      <c r="O226" s="2">
        <v>5</v>
      </c>
      <c r="P226" s="2">
        <v>10</v>
      </c>
      <c r="Q226" s="2" t="s">
        <v>2074</v>
      </c>
      <c r="R226" s="2" t="s">
        <v>2075</v>
      </c>
      <c r="S226" s="4">
        <v>44837</v>
      </c>
    </row>
    <row r="227" spans="1:19" ht="12.5" x14ac:dyDescent="0.25">
      <c r="A227" s="14" t="str">
        <f>HYPERLINK("https://gerandofalcoes.my.salesforce.com/0014P00003YSp9rQAD", "0014P00003YSp9rQAD")</f>
        <v>0014P00003YSp9rQAD</v>
      </c>
      <c r="B227" s="2" t="s">
        <v>2070</v>
      </c>
      <c r="C227" s="2" t="s">
        <v>1800</v>
      </c>
      <c r="D227" s="2" t="s">
        <v>2</v>
      </c>
      <c r="E227" s="2">
        <v>36</v>
      </c>
      <c r="F227" s="2">
        <v>7</v>
      </c>
      <c r="G227" s="2">
        <v>3</v>
      </c>
      <c r="H227" s="2">
        <v>0</v>
      </c>
      <c r="I227" s="2">
        <v>120</v>
      </c>
      <c r="J227" s="2" t="s">
        <v>1671</v>
      </c>
      <c r="K227" s="2">
        <v>43</v>
      </c>
      <c r="L227" s="2">
        <v>15</v>
      </c>
      <c r="M227" s="2">
        <v>10</v>
      </c>
      <c r="N227" s="2">
        <v>8</v>
      </c>
      <c r="O227" s="2">
        <v>0</v>
      </c>
      <c r="P227" s="2">
        <v>10</v>
      </c>
      <c r="Q227" s="2" t="s">
        <v>2071</v>
      </c>
      <c r="R227" s="2" t="s">
        <v>2072</v>
      </c>
      <c r="S227" s="4">
        <v>44837</v>
      </c>
    </row>
    <row r="228" spans="1:19" ht="12.5" x14ac:dyDescent="0.25">
      <c r="A228" s="14" t="str">
        <f>HYPERLINK("https://gerandofalcoes.my.salesforce.com/0014X00002VKCplQAH", "0014X00002VKCplQAH")</f>
        <v>0014X00002VKCplQAH</v>
      </c>
      <c r="B228" s="2" t="s">
        <v>2081</v>
      </c>
      <c r="C228" s="2" t="s">
        <v>1800</v>
      </c>
      <c r="D228" s="2" t="s">
        <v>2</v>
      </c>
      <c r="E228" s="2">
        <v>36</v>
      </c>
      <c r="F228" s="2">
        <v>20</v>
      </c>
      <c r="G228" s="2">
        <v>2</v>
      </c>
      <c r="H228" s="2">
        <v>300000</v>
      </c>
      <c r="I228" s="2">
        <v>50</v>
      </c>
      <c r="J228" s="2" t="s">
        <v>1671</v>
      </c>
      <c r="K228" s="2">
        <v>58</v>
      </c>
      <c r="L228" s="2">
        <v>15</v>
      </c>
      <c r="M228" s="2">
        <v>12</v>
      </c>
      <c r="N228" s="2">
        <v>6</v>
      </c>
      <c r="O228" s="2">
        <v>20</v>
      </c>
      <c r="P228" s="2">
        <v>5</v>
      </c>
      <c r="Q228" s="2" t="s">
        <v>2082</v>
      </c>
      <c r="R228" s="2" t="s">
        <v>2083</v>
      </c>
      <c r="S228" s="4">
        <v>44837</v>
      </c>
    </row>
    <row r="229" spans="1:19" ht="12.5" x14ac:dyDescent="0.25">
      <c r="A229" s="14" t="str">
        <f>HYPERLINK("https://gerandofalcoes.my.salesforce.com/0014X00002VKCqoQAH", "0014X00002VKCqoQAH")</f>
        <v>0014X00002VKCqoQAH</v>
      </c>
      <c r="B229" s="2" t="s">
        <v>2076</v>
      </c>
      <c r="C229" s="2" t="s">
        <v>1800</v>
      </c>
      <c r="D229" s="2" t="s">
        <v>2</v>
      </c>
      <c r="E229" s="2">
        <v>36</v>
      </c>
      <c r="F229" s="2">
        <v>1</v>
      </c>
      <c r="G229" s="2">
        <v>7</v>
      </c>
      <c r="H229" s="2">
        <v>13800</v>
      </c>
      <c r="I229" s="2">
        <v>100</v>
      </c>
      <c r="J229" s="2" t="s">
        <v>1671</v>
      </c>
      <c r="K229" s="2">
        <v>45</v>
      </c>
      <c r="L229" s="2">
        <v>15</v>
      </c>
      <c r="M229" s="2">
        <v>5</v>
      </c>
      <c r="N229" s="2">
        <v>10</v>
      </c>
      <c r="O229" s="2">
        <v>5</v>
      </c>
      <c r="P229" s="2">
        <v>10</v>
      </c>
      <c r="Q229" s="2" t="s">
        <v>2077</v>
      </c>
      <c r="R229" s="2" t="s">
        <v>2077</v>
      </c>
      <c r="S229" s="4">
        <v>44837</v>
      </c>
    </row>
    <row r="230" spans="1:19" ht="12.5" x14ac:dyDescent="0.25">
      <c r="A230" s="14" t="str">
        <f>HYPERLINK("https://gerandofalcoes.my.salesforce.com/0014X00002YggiDQAR", "0014X00002YggiDQAR")</f>
        <v>0014X00002YggiDQAR</v>
      </c>
      <c r="B230" s="2" t="s">
        <v>3400</v>
      </c>
      <c r="C230" s="2" t="s">
        <v>423</v>
      </c>
      <c r="D230" s="2" t="s">
        <v>2</v>
      </c>
      <c r="E230" s="2">
        <v>35.94</v>
      </c>
      <c r="F230" s="2">
        <v>3</v>
      </c>
      <c r="G230" s="2">
        <v>6</v>
      </c>
      <c r="H230" s="2">
        <v>315738</v>
      </c>
      <c r="I230" s="2">
        <v>8</v>
      </c>
      <c r="J230" s="2" t="s">
        <v>1671</v>
      </c>
      <c r="K230" s="2">
        <v>55</v>
      </c>
      <c r="L230" s="2">
        <v>15</v>
      </c>
      <c r="M230" s="2">
        <v>5</v>
      </c>
      <c r="N230" s="2">
        <v>10</v>
      </c>
      <c r="O230" s="2">
        <v>20</v>
      </c>
      <c r="P230" s="2">
        <v>5</v>
      </c>
      <c r="Q230" s="2" t="s">
        <v>3401</v>
      </c>
      <c r="R230" s="2" t="s">
        <v>3402</v>
      </c>
      <c r="S230" s="4">
        <v>44958</v>
      </c>
    </row>
    <row r="231" spans="1:19" ht="12.5" x14ac:dyDescent="0.25">
      <c r="A231" s="14" t="str">
        <f>HYPERLINK("https://gerandofalcoes.my.salesforce.com/0014P00003YSp8zQAD", "0014P00003YSp8zQAD")</f>
        <v>0014P00003YSp8zQAD</v>
      </c>
      <c r="B231" s="2" t="s">
        <v>2087</v>
      </c>
      <c r="C231" s="2" t="s">
        <v>423</v>
      </c>
      <c r="D231" s="2" t="s">
        <v>2</v>
      </c>
      <c r="E231" s="2">
        <v>35.69</v>
      </c>
      <c r="F231" s="2">
        <v>10</v>
      </c>
      <c r="G231" s="2">
        <v>2</v>
      </c>
      <c r="H231" s="2">
        <v>600000</v>
      </c>
      <c r="I231" s="2">
        <v>115</v>
      </c>
      <c r="J231" s="2" t="s">
        <v>1671</v>
      </c>
      <c r="K231" s="2">
        <v>61</v>
      </c>
      <c r="L231" s="2">
        <v>15</v>
      </c>
      <c r="M231" s="2">
        <v>10</v>
      </c>
      <c r="N231" s="2">
        <v>6</v>
      </c>
      <c r="O231" s="2">
        <v>20</v>
      </c>
      <c r="P231" s="2">
        <v>10</v>
      </c>
      <c r="Q231" s="2" t="s">
        <v>2088</v>
      </c>
      <c r="R231" s="2" t="s">
        <v>2089</v>
      </c>
      <c r="S231" s="4">
        <v>44837</v>
      </c>
    </row>
    <row r="232" spans="1:19" ht="12.5" x14ac:dyDescent="0.25">
      <c r="A232" s="14" t="str">
        <f>HYPERLINK("https://gerandofalcoes.my.salesforce.com/0014P00003SGWQ1QAP", "0014P00003SGWQ1QAP")</f>
        <v>0014P00003SGWQ1QAP</v>
      </c>
      <c r="B232" s="2" t="s">
        <v>205</v>
      </c>
      <c r="C232" s="2" t="s">
        <v>423</v>
      </c>
      <c r="D232" s="2" t="s">
        <v>2</v>
      </c>
      <c r="E232" s="2">
        <v>35.46</v>
      </c>
      <c r="F232" s="2">
        <v>6</v>
      </c>
      <c r="G232" s="2">
        <v>2</v>
      </c>
      <c r="H232" s="2">
        <v>926170</v>
      </c>
      <c r="I232" s="2">
        <v>600</v>
      </c>
      <c r="J232" s="2" t="s">
        <v>1650</v>
      </c>
      <c r="K232" s="2">
        <v>76</v>
      </c>
      <c r="L232" s="2">
        <v>15</v>
      </c>
      <c r="M232" s="2">
        <v>10</v>
      </c>
      <c r="N232" s="2">
        <v>6</v>
      </c>
      <c r="O232" s="2">
        <v>25</v>
      </c>
      <c r="P232" s="2">
        <v>20</v>
      </c>
      <c r="Q232" s="2" t="s">
        <v>206</v>
      </c>
      <c r="R232" s="2" t="s">
        <v>2090</v>
      </c>
      <c r="S232" s="4">
        <v>44837</v>
      </c>
    </row>
    <row r="233" spans="1:19" ht="12.5" x14ac:dyDescent="0.25">
      <c r="A233" s="14" t="str">
        <f>HYPERLINK("https://gerandofalcoes.my.salesforce.com/0014X00002VKCtTQAX", "0014X00002VKCtTQAX")</f>
        <v>0014X00002VKCtTQAX</v>
      </c>
      <c r="B233" s="2" t="s">
        <v>2091</v>
      </c>
      <c r="C233" s="2" t="s">
        <v>423</v>
      </c>
      <c r="D233" s="2" t="s">
        <v>2</v>
      </c>
      <c r="E233" s="2">
        <v>35.119999999999997</v>
      </c>
      <c r="F233" s="2">
        <v>0</v>
      </c>
      <c r="G233" s="2">
        <v>2</v>
      </c>
      <c r="H233" s="2">
        <v>21451</v>
      </c>
      <c r="I233" s="2">
        <v>56</v>
      </c>
      <c r="J233" s="2" t="s">
        <v>1779</v>
      </c>
      <c r="K233" s="2">
        <v>31</v>
      </c>
      <c r="L233" s="2">
        <v>15</v>
      </c>
      <c r="M233" s="2">
        <v>0</v>
      </c>
      <c r="N233" s="2">
        <v>6</v>
      </c>
      <c r="O233" s="2">
        <v>5</v>
      </c>
      <c r="P233" s="2">
        <v>5</v>
      </c>
      <c r="Q233" s="2" t="s">
        <v>2092</v>
      </c>
      <c r="R233" s="2" t="s">
        <v>2092</v>
      </c>
      <c r="S233" s="4">
        <v>44837</v>
      </c>
    </row>
    <row r="234" spans="1:19" ht="12.5" x14ac:dyDescent="0.25">
      <c r="A234" s="14" t="str">
        <f>HYPERLINK("https://gerandofalcoes.my.salesforce.com/0014X00002VKCrkQAH", "0014X00002VKCrkQAH")</f>
        <v>0014X00002VKCrkQAH</v>
      </c>
      <c r="B234" s="2" t="s">
        <v>2093</v>
      </c>
      <c r="C234" s="2" t="s">
        <v>423</v>
      </c>
      <c r="D234" s="2" t="s">
        <v>2</v>
      </c>
      <c r="E234" s="2">
        <v>35.049999999999997</v>
      </c>
      <c r="F234" s="2">
        <v>10</v>
      </c>
      <c r="G234" s="2">
        <v>3</v>
      </c>
      <c r="H234" s="2">
        <v>7986449</v>
      </c>
      <c r="I234" s="2">
        <v>30</v>
      </c>
      <c r="J234" s="2" t="s">
        <v>1671</v>
      </c>
      <c r="K234" s="2">
        <v>63</v>
      </c>
      <c r="L234" s="2">
        <v>15</v>
      </c>
      <c r="M234" s="2">
        <v>10</v>
      </c>
      <c r="N234" s="2">
        <v>8</v>
      </c>
      <c r="O234" s="2">
        <v>25</v>
      </c>
      <c r="P234" s="2">
        <v>5</v>
      </c>
      <c r="Q234" s="2" t="s">
        <v>2094</v>
      </c>
      <c r="R234" s="2" t="s">
        <v>2095</v>
      </c>
      <c r="S234" s="4">
        <v>44837</v>
      </c>
    </row>
    <row r="235" spans="1:19" ht="12.5" x14ac:dyDescent="0.25">
      <c r="A235" s="14" t="str">
        <f>HYPERLINK("https://gerandofalcoes.my.salesforce.com/0014P00003YSp7uQAD", "0014P00003YSp7uQAD")</f>
        <v>0014P00003YSp7uQAD</v>
      </c>
      <c r="B235" s="2" t="s">
        <v>2120</v>
      </c>
      <c r="C235" s="2" t="s">
        <v>423</v>
      </c>
      <c r="D235" s="2" t="s">
        <v>2</v>
      </c>
      <c r="E235" s="2">
        <v>35</v>
      </c>
      <c r="F235" s="2">
        <v>5</v>
      </c>
      <c r="G235" s="2">
        <v>2</v>
      </c>
      <c r="H235" s="2">
        <v>100000</v>
      </c>
      <c r="I235" s="2">
        <v>0</v>
      </c>
      <c r="J235" s="2" t="s">
        <v>1671</v>
      </c>
      <c r="K235" s="2">
        <v>41</v>
      </c>
      <c r="L235" s="2">
        <v>15</v>
      </c>
      <c r="M235" s="2">
        <v>5</v>
      </c>
      <c r="N235" s="2">
        <v>6</v>
      </c>
      <c r="O235" s="2">
        <v>15</v>
      </c>
      <c r="P235" s="2">
        <v>0</v>
      </c>
      <c r="Q235" s="2" t="s">
        <v>2121</v>
      </c>
      <c r="R235" s="2" t="s">
        <v>2121</v>
      </c>
      <c r="S235" s="4">
        <v>44837</v>
      </c>
    </row>
    <row r="236" spans="1:19" ht="12.5" x14ac:dyDescent="0.25">
      <c r="A236" s="14" t="str">
        <f>HYPERLINK("https://gerandofalcoes.my.salesforce.com/0014X00002VKCtFQAX", "0014X00002VKCtFQAX")</f>
        <v>0014X00002VKCtFQAX</v>
      </c>
      <c r="B236" s="2" t="s">
        <v>2112</v>
      </c>
      <c r="C236" s="2" t="s">
        <v>423</v>
      </c>
      <c r="D236" s="2" t="s">
        <v>2</v>
      </c>
      <c r="E236" s="2">
        <v>35</v>
      </c>
      <c r="F236" s="2">
        <v>12</v>
      </c>
      <c r="G236" s="2">
        <v>2</v>
      </c>
      <c r="H236" s="2">
        <v>100000</v>
      </c>
      <c r="I236" s="2">
        <v>40</v>
      </c>
      <c r="J236" s="2" t="s">
        <v>1671</v>
      </c>
      <c r="K236" s="2">
        <v>53</v>
      </c>
      <c r="L236" s="2">
        <v>15</v>
      </c>
      <c r="M236" s="2">
        <v>12</v>
      </c>
      <c r="N236" s="2">
        <v>6</v>
      </c>
      <c r="O236" s="2">
        <v>15</v>
      </c>
      <c r="P236" s="2">
        <v>5</v>
      </c>
      <c r="Q236" s="2" t="s">
        <v>2113</v>
      </c>
      <c r="R236" s="2" t="s">
        <v>2113</v>
      </c>
      <c r="S236" s="4">
        <v>44837</v>
      </c>
    </row>
    <row r="237" spans="1:19" ht="12.5" x14ac:dyDescent="0.25">
      <c r="A237" s="14" t="str">
        <f>HYPERLINK("https://gerandofalcoes.my.salesforce.com/0014X00002VKCqWQAX", "0014X00002VKCqWQAX")</f>
        <v>0014X00002VKCqWQAX</v>
      </c>
      <c r="B237" s="2" t="s">
        <v>2114</v>
      </c>
      <c r="C237" s="2" t="s">
        <v>1800</v>
      </c>
      <c r="D237" s="2" t="s">
        <v>2</v>
      </c>
      <c r="E237" s="2">
        <v>35</v>
      </c>
      <c r="F237" s="2">
        <v>2</v>
      </c>
      <c r="G237" s="2">
        <v>3</v>
      </c>
      <c r="H237" s="2">
        <v>11579</v>
      </c>
      <c r="I237" s="2">
        <v>20</v>
      </c>
      <c r="J237" s="2" t="s">
        <v>1779</v>
      </c>
      <c r="K237" s="2">
        <v>38</v>
      </c>
      <c r="L237" s="2">
        <v>15</v>
      </c>
      <c r="M237" s="2">
        <v>5</v>
      </c>
      <c r="N237" s="2">
        <v>8</v>
      </c>
      <c r="O237" s="2">
        <v>5</v>
      </c>
      <c r="P237" s="2">
        <v>5</v>
      </c>
      <c r="Q237" s="2" t="s">
        <v>2115</v>
      </c>
      <c r="R237" s="2" t="s">
        <v>2116</v>
      </c>
      <c r="S237" s="4">
        <v>44837</v>
      </c>
    </row>
    <row r="238" spans="1:19" ht="12.5" x14ac:dyDescent="0.25">
      <c r="A238" s="14" t="str">
        <f>HYPERLINK("https://gerandofalcoes.my.salesforce.com/0014X00002VKCuzQAH", "0014X00002VKCuzQAH")</f>
        <v>0014X00002VKCuzQAH</v>
      </c>
      <c r="B238" s="2" t="s">
        <v>2117</v>
      </c>
      <c r="C238" s="2" t="s">
        <v>423</v>
      </c>
      <c r="D238" s="2" t="s">
        <v>2</v>
      </c>
      <c r="E238" s="2">
        <v>35</v>
      </c>
      <c r="F238" s="2">
        <v>0</v>
      </c>
      <c r="G238" s="2">
        <v>3</v>
      </c>
      <c r="H238" s="2">
        <v>34878</v>
      </c>
      <c r="I238" s="2">
        <v>7</v>
      </c>
      <c r="J238" s="2" t="s">
        <v>1779</v>
      </c>
      <c r="K238" s="2">
        <v>38</v>
      </c>
      <c r="L238" s="2">
        <v>15</v>
      </c>
      <c r="M238" s="2">
        <v>0</v>
      </c>
      <c r="N238" s="2">
        <v>8</v>
      </c>
      <c r="O238" s="2">
        <v>10</v>
      </c>
      <c r="P238" s="2">
        <v>5</v>
      </c>
      <c r="Q238" s="2" t="s">
        <v>2118</v>
      </c>
      <c r="R238" s="2" t="s">
        <v>2119</v>
      </c>
      <c r="S238" s="4">
        <v>44837</v>
      </c>
    </row>
    <row r="239" spans="1:19" ht="12.5" x14ac:dyDescent="0.25">
      <c r="A239" s="14" t="str">
        <f>HYPERLINK("https://gerandofalcoes.my.salesforce.com/0014P00003YSpALQA1", "0014P00003YSpALQA1")</f>
        <v>0014P00003YSpALQA1</v>
      </c>
      <c r="B239" s="2" t="s">
        <v>2106</v>
      </c>
      <c r="C239" s="2" t="s">
        <v>423</v>
      </c>
      <c r="D239" s="2" t="s">
        <v>2</v>
      </c>
      <c r="E239" s="2">
        <v>35</v>
      </c>
      <c r="F239" s="2">
        <v>7</v>
      </c>
      <c r="G239" s="2">
        <v>6</v>
      </c>
      <c r="H239" s="2">
        <v>83455</v>
      </c>
      <c r="I239" s="2">
        <v>81</v>
      </c>
      <c r="J239" s="2" t="s">
        <v>1671</v>
      </c>
      <c r="K239" s="2">
        <v>55</v>
      </c>
      <c r="L239" s="2">
        <v>15</v>
      </c>
      <c r="M239" s="2">
        <v>10</v>
      </c>
      <c r="N239" s="2">
        <v>10</v>
      </c>
      <c r="O239" s="2">
        <v>10</v>
      </c>
      <c r="P239" s="2">
        <v>10</v>
      </c>
      <c r="Q239" s="2" t="s">
        <v>2107</v>
      </c>
      <c r="R239" s="2" t="s">
        <v>2108</v>
      </c>
      <c r="S239" s="4">
        <v>44837</v>
      </c>
    </row>
    <row r="240" spans="1:19" ht="12.5" x14ac:dyDescent="0.25">
      <c r="A240" s="14" t="str">
        <f>HYPERLINK("https://gerandofalcoes.my.salesforce.com/0014P00003YSp7mQAD", "0014P00003YSp7mQAD")</f>
        <v>0014P00003YSp7mQAD</v>
      </c>
      <c r="B240" s="2" t="s">
        <v>2109</v>
      </c>
      <c r="C240" s="2" t="s">
        <v>1800</v>
      </c>
      <c r="D240" s="2" t="s">
        <v>2</v>
      </c>
      <c r="E240" s="2">
        <v>35</v>
      </c>
      <c r="F240" s="2">
        <v>5</v>
      </c>
      <c r="G240" s="2">
        <v>4</v>
      </c>
      <c r="H240" s="2">
        <v>0</v>
      </c>
      <c r="I240" s="2">
        <v>53</v>
      </c>
      <c r="J240" s="2" t="s">
        <v>1779</v>
      </c>
      <c r="K240" s="2">
        <v>35</v>
      </c>
      <c r="L240" s="2">
        <v>15</v>
      </c>
      <c r="M240" s="2">
        <v>5</v>
      </c>
      <c r="N240" s="2">
        <v>10</v>
      </c>
      <c r="O240" s="2">
        <v>0</v>
      </c>
      <c r="P240" s="2">
        <v>5</v>
      </c>
      <c r="Q240" s="2" t="s">
        <v>2110</v>
      </c>
      <c r="R240" s="2" t="s">
        <v>2111</v>
      </c>
      <c r="S240" s="4">
        <v>44837</v>
      </c>
    </row>
    <row r="241" spans="1:19" ht="12.5" x14ac:dyDescent="0.25">
      <c r="A241" s="14" t="str">
        <f>HYPERLINK("https://gerandofalcoes.my.salesforce.com/0014P00003YSp9CQAT", "0014P00003YSp9CQAT")</f>
        <v>0014P00003YSp9CQAT</v>
      </c>
      <c r="B241" s="2" t="s">
        <v>2103</v>
      </c>
      <c r="C241" s="2" t="s">
        <v>1800</v>
      </c>
      <c r="D241" s="2" t="s">
        <v>2</v>
      </c>
      <c r="E241" s="2">
        <v>35</v>
      </c>
      <c r="F241" s="2">
        <v>1</v>
      </c>
      <c r="G241" s="2">
        <v>2</v>
      </c>
      <c r="H241" s="2">
        <v>120000</v>
      </c>
      <c r="I241" s="2">
        <v>100</v>
      </c>
      <c r="J241" s="2" t="s">
        <v>1671</v>
      </c>
      <c r="K241" s="2">
        <v>51</v>
      </c>
      <c r="L241" s="2">
        <v>15</v>
      </c>
      <c r="M241" s="2">
        <v>5</v>
      </c>
      <c r="N241" s="2">
        <v>6</v>
      </c>
      <c r="O241" s="2">
        <v>15</v>
      </c>
      <c r="P241" s="2">
        <v>10</v>
      </c>
      <c r="Q241" s="2" t="s">
        <v>2104</v>
      </c>
      <c r="R241" s="2" t="s">
        <v>2105</v>
      </c>
      <c r="S241" s="4">
        <v>44837</v>
      </c>
    </row>
    <row r="242" spans="1:19" ht="12.5" x14ac:dyDescent="0.25">
      <c r="A242" s="14" t="str">
        <f>HYPERLINK("https://gerandofalcoes.my.salesforce.com/0014X00002VKCpkQAH", "0014X00002VKCpkQAH")</f>
        <v>0014X00002VKCpkQAH</v>
      </c>
      <c r="B242" s="2" t="s">
        <v>2096</v>
      </c>
      <c r="C242" s="2" t="s">
        <v>423</v>
      </c>
      <c r="D242" s="2" t="s">
        <v>2</v>
      </c>
      <c r="E242" s="2">
        <v>35</v>
      </c>
      <c r="F242" s="2">
        <v>15</v>
      </c>
      <c r="G242" s="2">
        <v>4</v>
      </c>
      <c r="H242" s="2">
        <v>78000</v>
      </c>
      <c r="I242" s="2">
        <v>240</v>
      </c>
      <c r="J242" s="2" t="s">
        <v>1671</v>
      </c>
      <c r="K242" s="2">
        <v>59</v>
      </c>
      <c r="L242" s="2">
        <v>15</v>
      </c>
      <c r="M242" s="2">
        <v>12</v>
      </c>
      <c r="N242" s="2">
        <v>10</v>
      </c>
      <c r="O242" s="2">
        <v>10</v>
      </c>
      <c r="P242" s="2">
        <v>12</v>
      </c>
      <c r="Q242" s="2" t="s">
        <v>2097</v>
      </c>
      <c r="R242" s="2" t="s">
        <v>2097</v>
      </c>
      <c r="S242" s="4">
        <v>44837</v>
      </c>
    </row>
    <row r="243" spans="1:19" ht="12.5" x14ac:dyDescent="0.25">
      <c r="A243" s="14" t="str">
        <f>HYPERLINK("https://gerandofalcoes.my.salesforce.com/0014P00003YSp7UQAT", "0014P00003YSp7UQAT")</f>
        <v>0014P00003YSp7UQAT</v>
      </c>
      <c r="B243" s="2" t="s">
        <v>2098</v>
      </c>
      <c r="C243" s="2" t="s">
        <v>1800</v>
      </c>
      <c r="D243" s="2" t="s">
        <v>2</v>
      </c>
      <c r="E243" s="2">
        <v>35</v>
      </c>
      <c r="F243" s="2">
        <v>3</v>
      </c>
      <c r="G243" s="2">
        <v>0</v>
      </c>
      <c r="H243" s="2">
        <v>11000</v>
      </c>
      <c r="I243" s="2">
        <v>200</v>
      </c>
      <c r="J243" s="2" t="s">
        <v>1779</v>
      </c>
      <c r="K243" s="2">
        <v>37</v>
      </c>
      <c r="L243" s="2">
        <v>15</v>
      </c>
      <c r="M243" s="2">
        <v>5</v>
      </c>
      <c r="N243" s="2">
        <v>0</v>
      </c>
      <c r="O243" s="2">
        <v>5</v>
      </c>
      <c r="P243" s="2">
        <v>12</v>
      </c>
      <c r="Q243" s="2" t="s">
        <v>2099</v>
      </c>
      <c r="R243" s="2" t="s">
        <v>2099</v>
      </c>
      <c r="S243" s="4">
        <v>44837</v>
      </c>
    </row>
    <row r="244" spans="1:19" ht="12.5" x14ac:dyDescent="0.25">
      <c r="A244" s="14" t="str">
        <f>HYPERLINK("https://gerandofalcoes.my.salesforce.com/0014X00002VKCqPQAX", "0014X00002VKCqPQAX")</f>
        <v>0014X00002VKCqPQAX</v>
      </c>
      <c r="B244" s="2" t="s">
        <v>2122</v>
      </c>
      <c r="C244" s="2" t="s">
        <v>423</v>
      </c>
      <c r="D244" s="2" t="s">
        <v>2</v>
      </c>
      <c r="E244" s="2">
        <v>34.450000000000003</v>
      </c>
      <c r="F244" s="2">
        <v>5</v>
      </c>
      <c r="G244" s="2">
        <v>1</v>
      </c>
      <c r="H244" s="2">
        <v>0</v>
      </c>
      <c r="I244" s="2">
        <v>186</v>
      </c>
      <c r="J244" s="2" t="s">
        <v>1779</v>
      </c>
      <c r="K244" s="2">
        <v>36</v>
      </c>
      <c r="L244" s="2">
        <v>15</v>
      </c>
      <c r="M244" s="2">
        <v>5</v>
      </c>
      <c r="N244" s="2">
        <v>4</v>
      </c>
      <c r="O244" s="2">
        <v>0</v>
      </c>
      <c r="P244" s="2">
        <v>12</v>
      </c>
      <c r="Q244" s="2" t="s">
        <v>2123</v>
      </c>
      <c r="R244" s="2" t="s">
        <v>2124</v>
      </c>
      <c r="S244" s="4">
        <v>44837</v>
      </c>
    </row>
    <row r="245" spans="1:19" ht="12.5" x14ac:dyDescent="0.25">
      <c r="A245" s="14" t="str">
        <f>HYPERLINK("https://gerandofalcoes.my.salesforce.com/0014X00002VKCtYQAX", "0014X00002VKCtYQAX")</f>
        <v>0014X00002VKCtYQAX</v>
      </c>
      <c r="B245" s="2" t="s">
        <v>2125</v>
      </c>
      <c r="C245" s="2" t="s">
        <v>423</v>
      </c>
      <c r="D245" s="2" t="s">
        <v>2</v>
      </c>
      <c r="E245" s="2">
        <v>34.43</v>
      </c>
      <c r="F245" s="2">
        <v>3</v>
      </c>
      <c r="G245" s="2">
        <v>2</v>
      </c>
      <c r="H245" s="2">
        <v>7000</v>
      </c>
      <c r="I245" s="2">
        <v>70</v>
      </c>
      <c r="J245" s="2" t="s">
        <v>1779</v>
      </c>
      <c r="K245" s="2">
        <v>36</v>
      </c>
      <c r="L245" s="2">
        <v>15</v>
      </c>
      <c r="M245" s="2">
        <v>5</v>
      </c>
      <c r="N245" s="2">
        <v>6</v>
      </c>
      <c r="O245" s="2">
        <v>5</v>
      </c>
      <c r="P245" s="2">
        <v>5</v>
      </c>
      <c r="Q245" s="2" t="s">
        <v>2126</v>
      </c>
      <c r="R245" s="2" t="s">
        <v>2126</v>
      </c>
      <c r="S245" s="4">
        <v>44837</v>
      </c>
    </row>
    <row r="246" spans="1:19" ht="12.5" x14ac:dyDescent="0.25">
      <c r="A246" s="14" t="str">
        <f>HYPERLINK("https://gerandofalcoes.my.salesforce.com/0014X00002YgghAQAR", "0014X00002YgghAQAR")</f>
        <v>0014X00002YgghAQAR</v>
      </c>
      <c r="B246" s="2" t="s">
        <v>3695</v>
      </c>
      <c r="C246" s="2" t="s">
        <v>423</v>
      </c>
      <c r="D246" s="2" t="s">
        <v>2</v>
      </c>
      <c r="E246" s="2">
        <v>34.19</v>
      </c>
      <c r="F246" s="2">
        <v>36</v>
      </c>
      <c r="G246" s="2">
        <v>11</v>
      </c>
      <c r="H246" s="2">
        <v>237000</v>
      </c>
      <c r="I246" s="2">
        <v>450</v>
      </c>
      <c r="J246" s="2" t="s">
        <v>1650</v>
      </c>
      <c r="K246" s="2">
        <v>75</v>
      </c>
      <c r="L246" s="2">
        <v>15</v>
      </c>
      <c r="M246" s="2">
        <v>15</v>
      </c>
      <c r="N246" s="2">
        <v>10</v>
      </c>
      <c r="O246" s="2">
        <v>15</v>
      </c>
      <c r="P246" s="2">
        <v>20</v>
      </c>
      <c r="Q246" s="2" t="s">
        <v>3696</v>
      </c>
      <c r="R246" s="2" t="s">
        <v>3697</v>
      </c>
      <c r="S246" s="4">
        <v>44967</v>
      </c>
    </row>
    <row r="247" spans="1:19" ht="12.5" x14ac:dyDescent="0.25">
      <c r="A247" s="14" t="str">
        <f>HYPERLINK("https://gerandofalcoes.my.salesforce.com/0014P00003AN2FzQAL", "0014P00003AN2FzQAL")</f>
        <v>0014P00003AN2FzQAL</v>
      </c>
      <c r="B247" s="2" t="s">
        <v>2127</v>
      </c>
      <c r="C247" s="2" t="s">
        <v>423</v>
      </c>
      <c r="D247" s="2" t="s">
        <v>2</v>
      </c>
      <c r="E247" s="2">
        <v>34.17</v>
      </c>
      <c r="F247" s="2">
        <v>5</v>
      </c>
      <c r="G247" s="2">
        <v>5</v>
      </c>
      <c r="H247" s="2">
        <v>304000</v>
      </c>
      <c r="I247" s="2">
        <v>180</v>
      </c>
      <c r="J247" s="2" t="s">
        <v>1671</v>
      </c>
      <c r="K247" s="2">
        <v>62</v>
      </c>
      <c r="L247" s="2">
        <v>15</v>
      </c>
      <c r="M247" s="2">
        <v>5</v>
      </c>
      <c r="N247" s="2">
        <v>10</v>
      </c>
      <c r="O247" s="2">
        <v>20</v>
      </c>
      <c r="P247" s="2">
        <v>12</v>
      </c>
      <c r="Q247" s="2" t="s">
        <v>652</v>
      </c>
      <c r="R247" s="2" t="s">
        <v>652</v>
      </c>
      <c r="S247" s="4">
        <v>44837</v>
      </c>
    </row>
    <row r="248" spans="1:19" ht="12.5" x14ac:dyDescent="0.25">
      <c r="A248" s="14" t="str">
        <f>HYPERLINK("https://gerandofalcoes.my.salesforce.com/0014X00002VKCueQAH", "0014X00002VKCueQAH")</f>
        <v>0014X00002VKCueQAH</v>
      </c>
      <c r="B248" s="2" t="s">
        <v>2128</v>
      </c>
      <c r="C248" s="2" t="s">
        <v>423</v>
      </c>
      <c r="D248" s="2" t="s">
        <v>2</v>
      </c>
      <c r="E248" s="2">
        <v>34.020000000000003</v>
      </c>
      <c r="F248" s="2">
        <v>0</v>
      </c>
      <c r="G248" s="2">
        <v>3</v>
      </c>
      <c r="H248" s="2">
        <v>40000</v>
      </c>
      <c r="I248" s="2">
        <v>10</v>
      </c>
      <c r="J248" s="2" t="s">
        <v>1779</v>
      </c>
      <c r="K248" s="2">
        <v>38</v>
      </c>
      <c r="L248" s="2">
        <v>15</v>
      </c>
      <c r="M248" s="2">
        <v>0</v>
      </c>
      <c r="N248" s="2">
        <v>8</v>
      </c>
      <c r="O248" s="2">
        <v>10</v>
      </c>
      <c r="P248" s="2">
        <v>5</v>
      </c>
      <c r="Q248" s="2" t="s">
        <v>2129</v>
      </c>
      <c r="R248" s="2" t="s">
        <v>2130</v>
      </c>
      <c r="S248" s="4">
        <v>44837</v>
      </c>
    </row>
    <row r="249" spans="1:19" ht="12.5" x14ac:dyDescent="0.25">
      <c r="A249" s="14" t="str">
        <f>HYPERLINK("https://gerandofalcoes.my.salesforce.com/0014P00003YSp9UQAT", "0014P00003YSp9UQAT")</f>
        <v>0014P00003YSp9UQAT</v>
      </c>
      <c r="B249" s="2" t="s">
        <v>2133</v>
      </c>
      <c r="C249" s="2" t="s">
        <v>1800</v>
      </c>
      <c r="D249" s="2" t="s">
        <v>2</v>
      </c>
      <c r="E249" s="2">
        <v>34</v>
      </c>
      <c r="F249" s="2">
        <v>39</v>
      </c>
      <c r="G249" s="2">
        <v>2</v>
      </c>
      <c r="H249" s="2">
        <v>2000</v>
      </c>
      <c r="I249" s="2">
        <v>280</v>
      </c>
      <c r="J249" s="2" t="s">
        <v>1671</v>
      </c>
      <c r="K249" s="2">
        <v>53</v>
      </c>
      <c r="L249" s="2">
        <v>15</v>
      </c>
      <c r="M249" s="2">
        <v>15</v>
      </c>
      <c r="N249" s="2">
        <v>6</v>
      </c>
      <c r="O249" s="2">
        <v>5</v>
      </c>
      <c r="P249" s="2">
        <v>12</v>
      </c>
      <c r="Q249" s="2" t="s">
        <v>2134</v>
      </c>
      <c r="R249" s="2" t="s">
        <v>2135</v>
      </c>
      <c r="S249" s="4">
        <v>44837</v>
      </c>
    </row>
    <row r="250" spans="1:19" ht="12.5" x14ac:dyDescent="0.25">
      <c r="A250" s="14" t="str">
        <f>HYPERLINK("https://gerandofalcoes.my.salesforce.com/0014X00002VKCv3QAH", "0014X00002VKCv3QAH")</f>
        <v>0014X00002VKCv3QAH</v>
      </c>
      <c r="B250" s="2" t="s">
        <v>2141</v>
      </c>
      <c r="C250" s="2" t="s">
        <v>1800</v>
      </c>
      <c r="D250" s="2" t="s">
        <v>2</v>
      </c>
      <c r="E250" s="2">
        <v>34</v>
      </c>
      <c r="F250" s="2">
        <v>0</v>
      </c>
      <c r="G250" s="2">
        <v>3</v>
      </c>
      <c r="H250" s="2">
        <v>12000</v>
      </c>
      <c r="I250" s="2">
        <v>20</v>
      </c>
      <c r="J250" s="2" t="s">
        <v>1779</v>
      </c>
      <c r="K250" s="2">
        <v>33</v>
      </c>
      <c r="L250" s="2">
        <v>15</v>
      </c>
      <c r="M250" s="2">
        <v>0</v>
      </c>
      <c r="N250" s="2">
        <v>8</v>
      </c>
      <c r="O250" s="2">
        <v>5</v>
      </c>
      <c r="P250" s="2">
        <v>5</v>
      </c>
      <c r="Q250" s="2" t="s">
        <v>2142</v>
      </c>
      <c r="R250" s="2" t="s">
        <v>2143</v>
      </c>
      <c r="S250" s="4">
        <v>44837</v>
      </c>
    </row>
    <row r="251" spans="1:19" ht="12.5" x14ac:dyDescent="0.25">
      <c r="A251" s="14" t="str">
        <f>HYPERLINK("https://gerandofalcoes.my.salesforce.com/0014X00002VKCvDQAX", "0014X00002VKCvDQAX")</f>
        <v>0014X00002VKCvDQAX</v>
      </c>
      <c r="B251" s="2" t="s">
        <v>3835</v>
      </c>
      <c r="C251" s="2" t="s">
        <v>1800</v>
      </c>
      <c r="D251" s="2" t="s">
        <v>2</v>
      </c>
      <c r="E251" s="2">
        <v>34</v>
      </c>
      <c r="F251" s="2">
        <v>0</v>
      </c>
      <c r="G251" s="2">
        <v>1</v>
      </c>
      <c r="H251" s="2">
        <v>25000</v>
      </c>
      <c r="I251" s="2">
        <v>0</v>
      </c>
      <c r="J251" s="2" t="s">
        <v>1779</v>
      </c>
      <c r="K251" s="2">
        <v>29</v>
      </c>
      <c r="L251" s="2">
        <v>15</v>
      </c>
      <c r="M251" s="2">
        <v>0</v>
      </c>
      <c r="N251" s="2">
        <v>4</v>
      </c>
      <c r="O251" s="2">
        <v>10</v>
      </c>
      <c r="P251" s="2">
        <v>0</v>
      </c>
      <c r="Q251" s="2" t="s">
        <v>2463</v>
      </c>
      <c r="R251" s="2" t="s">
        <v>3836</v>
      </c>
      <c r="S251" s="4">
        <v>45112</v>
      </c>
    </row>
    <row r="252" spans="1:19" ht="12.5" x14ac:dyDescent="0.25">
      <c r="A252" s="14" t="str">
        <f>HYPERLINK("https://gerandofalcoes.my.salesforce.com/0014P00003YSp8CQAT", "0014P00003YSp8CQAT")</f>
        <v>0014P00003YSp8CQAT</v>
      </c>
      <c r="B252" s="2" t="s">
        <v>2139</v>
      </c>
      <c r="C252" s="2" t="s">
        <v>423</v>
      </c>
      <c r="D252" s="2" t="s">
        <v>2</v>
      </c>
      <c r="E252" s="2">
        <v>34</v>
      </c>
      <c r="F252" s="2">
        <v>11</v>
      </c>
      <c r="G252" s="2">
        <v>4</v>
      </c>
      <c r="H252" s="2">
        <v>309270</v>
      </c>
      <c r="I252" s="2">
        <v>200</v>
      </c>
      <c r="J252" s="2" t="s">
        <v>1650</v>
      </c>
      <c r="K252" s="2">
        <v>69</v>
      </c>
      <c r="L252" s="2">
        <v>15</v>
      </c>
      <c r="M252" s="2">
        <v>12</v>
      </c>
      <c r="N252" s="2">
        <v>10</v>
      </c>
      <c r="O252" s="2">
        <v>20</v>
      </c>
      <c r="P252" s="2">
        <v>12</v>
      </c>
      <c r="Q252" s="2" t="s">
        <v>2140</v>
      </c>
      <c r="R252" s="2" t="s">
        <v>2140</v>
      </c>
      <c r="S252" s="4">
        <v>44837</v>
      </c>
    </row>
    <row r="253" spans="1:19" ht="12.5" x14ac:dyDescent="0.25">
      <c r="A253" s="14" t="str">
        <f>HYPERLINK("https://gerandofalcoes.my.salesforce.com/0014P00003YSp94QAD", "0014P00003YSp94QAD")</f>
        <v>0014P00003YSp94QAD</v>
      </c>
      <c r="B253" s="2" t="s">
        <v>2131</v>
      </c>
      <c r="C253" s="2" t="s">
        <v>1800</v>
      </c>
      <c r="D253" s="2" t="s">
        <v>2</v>
      </c>
      <c r="E253" s="2">
        <v>34</v>
      </c>
      <c r="F253" s="2">
        <v>0</v>
      </c>
      <c r="G253" s="2">
        <v>2</v>
      </c>
      <c r="H253" s="2">
        <v>25000</v>
      </c>
      <c r="I253" s="2">
        <v>600</v>
      </c>
      <c r="J253" s="2" t="s">
        <v>1671</v>
      </c>
      <c r="K253" s="2">
        <v>51</v>
      </c>
      <c r="L253" s="2">
        <v>15</v>
      </c>
      <c r="M253" s="2">
        <v>0</v>
      </c>
      <c r="N253" s="2">
        <v>6</v>
      </c>
      <c r="O253" s="2">
        <v>10</v>
      </c>
      <c r="P253" s="2">
        <v>20</v>
      </c>
      <c r="Q253" s="2" t="s">
        <v>2132</v>
      </c>
      <c r="R253" s="2" t="s">
        <v>2132</v>
      </c>
      <c r="S253" s="4">
        <v>44837</v>
      </c>
    </row>
    <row r="254" spans="1:19" ht="12.5" x14ac:dyDescent="0.25">
      <c r="A254" s="14" t="str">
        <f>HYPERLINK("https://gerandofalcoes.my.salesforce.com/0014P00003YSp7ZQAT", "0014P00003YSp7ZQAT")</f>
        <v>0014P00003YSp7ZQAT</v>
      </c>
      <c r="B254" s="2" t="s">
        <v>2136</v>
      </c>
      <c r="C254" s="2" t="s">
        <v>423</v>
      </c>
      <c r="D254" s="2" t="s">
        <v>2</v>
      </c>
      <c r="E254" s="2">
        <v>34</v>
      </c>
      <c r="F254" s="2">
        <v>0</v>
      </c>
      <c r="G254" s="2">
        <v>2</v>
      </c>
      <c r="H254" s="2">
        <v>50000</v>
      </c>
      <c r="I254" s="2">
        <v>210</v>
      </c>
      <c r="J254" s="2" t="s">
        <v>1671</v>
      </c>
      <c r="K254" s="2">
        <v>43</v>
      </c>
      <c r="L254" s="2">
        <v>15</v>
      </c>
      <c r="M254" s="2">
        <v>0</v>
      </c>
      <c r="N254" s="2">
        <v>6</v>
      </c>
      <c r="O254" s="2">
        <v>10</v>
      </c>
      <c r="P254" s="2">
        <v>12</v>
      </c>
      <c r="Q254" s="2" t="s">
        <v>2137</v>
      </c>
      <c r="R254" s="2" t="s">
        <v>2138</v>
      </c>
      <c r="S254" s="4">
        <v>44837</v>
      </c>
    </row>
    <row r="255" spans="1:19" ht="12.5" x14ac:dyDescent="0.25">
      <c r="A255" s="14" t="str">
        <f>HYPERLINK("https://gerandofalcoes.my.salesforce.com/0014X00002Yggo5QAB", "0014X00002Yggo5QAB")</f>
        <v>0014X00002Yggo5QAB</v>
      </c>
      <c r="B255" s="2" t="s">
        <v>3837</v>
      </c>
      <c r="C255" s="2" t="s">
        <v>423</v>
      </c>
      <c r="D255" s="2" t="s">
        <v>2</v>
      </c>
      <c r="E255" s="2">
        <v>33.99</v>
      </c>
      <c r="F255" s="2">
        <v>0</v>
      </c>
      <c r="G255" s="2">
        <v>3</v>
      </c>
      <c r="H255" s="2">
        <v>60000</v>
      </c>
      <c r="I255" s="2">
        <v>50</v>
      </c>
      <c r="J255" s="2" t="s">
        <v>1779</v>
      </c>
      <c r="K255" s="2">
        <v>38</v>
      </c>
      <c r="L255" s="2">
        <v>15</v>
      </c>
      <c r="M255" s="2">
        <v>0</v>
      </c>
      <c r="N255" s="2">
        <v>8</v>
      </c>
      <c r="O255" s="2">
        <v>10</v>
      </c>
      <c r="P255" s="2">
        <v>5</v>
      </c>
      <c r="Q255" s="2" t="s">
        <v>3838</v>
      </c>
      <c r="R255" s="2" t="s">
        <v>3839</v>
      </c>
      <c r="S255" s="4">
        <v>45112</v>
      </c>
    </row>
    <row r="256" spans="1:19" ht="12.5" x14ac:dyDescent="0.25">
      <c r="A256" s="14" t="str">
        <f>HYPERLINK("https://gerandofalcoes.my.salesforce.com/0014X00002VKCtjQAH", "0014X00002VKCtjQAH")</f>
        <v>0014X00002VKCtjQAH</v>
      </c>
      <c r="B256" s="2" t="s">
        <v>2144</v>
      </c>
      <c r="C256" s="2" t="s">
        <v>423</v>
      </c>
      <c r="D256" s="2" t="s">
        <v>2</v>
      </c>
      <c r="E256" s="2">
        <v>33.86</v>
      </c>
      <c r="F256" s="2">
        <v>0</v>
      </c>
      <c r="G256" s="2">
        <v>5</v>
      </c>
      <c r="H256" s="2">
        <v>120000</v>
      </c>
      <c r="I256" s="2">
        <v>100</v>
      </c>
      <c r="J256" s="2" t="s">
        <v>1671</v>
      </c>
      <c r="K256" s="2">
        <v>50</v>
      </c>
      <c r="L256" s="2">
        <v>15</v>
      </c>
      <c r="M256" s="2">
        <v>0</v>
      </c>
      <c r="N256" s="2">
        <v>10</v>
      </c>
      <c r="O256" s="2">
        <v>15</v>
      </c>
      <c r="P256" s="2">
        <v>10</v>
      </c>
      <c r="Q256" s="2" t="s">
        <v>2145</v>
      </c>
      <c r="R256" s="2" t="s">
        <v>2146</v>
      </c>
      <c r="S256" s="4">
        <v>44837</v>
      </c>
    </row>
    <row r="257" spans="1:19" ht="12.5" x14ac:dyDescent="0.25">
      <c r="A257" s="14" t="str">
        <f>HYPERLINK("https://gerandofalcoes.my.salesforce.com/0014P00003YSp9HQAT", "0014P00003YSp9HQAT")</f>
        <v>0014P00003YSp9HQAT</v>
      </c>
      <c r="B257" s="2" t="s">
        <v>2147</v>
      </c>
      <c r="C257" s="2" t="s">
        <v>423</v>
      </c>
      <c r="D257" s="2" t="s">
        <v>2</v>
      </c>
      <c r="E257" s="2">
        <v>33.74</v>
      </c>
      <c r="F257" s="2">
        <v>0</v>
      </c>
      <c r="G257" s="2">
        <v>2</v>
      </c>
      <c r="H257" s="2">
        <v>6435</v>
      </c>
      <c r="I257" s="2">
        <v>0</v>
      </c>
      <c r="J257" s="2" t="s">
        <v>1779</v>
      </c>
      <c r="K257" s="2">
        <v>26</v>
      </c>
      <c r="L257" s="2">
        <v>15</v>
      </c>
      <c r="M257" s="2">
        <v>0</v>
      </c>
      <c r="N257" s="2">
        <v>6</v>
      </c>
      <c r="O257" s="2">
        <v>5</v>
      </c>
      <c r="P257" s="2">
        <v>0</v>
      </c>
      <c r="Q257" s="2" t="s">
        <v>2148</v>
      </c>
      <c r="R257" s="2" t="s">
        <v>2149</v>
      </c>
      <c r="S257" s="4">
        <v>44837</v>
      </c>
    </row>
    <row r="258" spans="1:19" ht="12.5" x14ac:dyDescent="0.25">
      <c r="A258" s="14" t="str">
        <f>HYPERLINK("https://gerandofalcoes.my.salesforce.com/0014X00002VKCpjQAH", "0014X00002VKCpjQAH")</f>
        <v>0014X00002VKCpjQAH</v>
      </c>
      <c r="B258" s="2" t="s">
        <v>2152</v>
      </c>
      <c r="C258" s="2" t="s">
        <v>423</v>
      </c>
      <c r="D258" s="2" t="s">
        <v>2</v>
      </c>
      <c r="E258" s="2">
        <v>33.44</v>
      </c>
      <c r="F258" s="2">
        <v>0</v>
      </c>
      <c r="G258" s="2">
        <v>2</v>
      </c>
      <c r="H258" s="2">
        <v>160028</v>
      </c>
      <c r="I258" s="2">
        <v>156</v>
      </c>
      <c r="J258" s="2" t="s">
        <v>1671</v>
      </c>
      <c r="K258" s="2">
        <v>48</v>
      </c>
      <c r="L258" s="2">
        <v>15</v>
      </c>
      <c r="M258" s="2">
        <v>0</v>
      </c>
      <c r="N258" s="2">
        <v>6</v>
      </c>
      <c r="O258" s="2">
        <v>15</v>
      </c>
      <c r="P258" s="2">
        <v>12</v>
      </c>
      <c r="Q258" s="2" t="s">
        <v>2153</v>
      </c>
      <c r="R258" s="2" t="s">
        <v>2154</v>
      </c>
      <c r="S258" s="4">
        <v>44837</v>
      </c>
    </row>
    <row r="259" spans="1:19" ht="12.5" x14ac:dyDescent="0.25">
      <c r="A259" s="14" t="str">
        <f>HYPERLINK("https://gerandofalcoes.my.salesforce.com/0014P00003AN2G2QAL", "0014P00003AN2G2QAL")</f>
        <v>0014P00003AN2G2QAL</v>
      </c>
      <c r="B259" s="2" t="s">
        <v>2150</v>
      </c>
      <c r="C259" s="2" t="s">
        <v>423</v>
      </c>
      <c r="D259" s="2" t="s">
        <v>2</v>
      </c>
      <c r="E259" s="2">
        <v>33.44</v>
      </c>
      <c r="F259" s="2">
        <v>10</v>
      </c>
      <c r="G259" s="2">
        <v>1</v>
      </c>
      <c r="H259" s="2">
        <v>30485954</v>
      </c>
      <c r="I259" s="2">
        <v>200</v>
      </c>
      <c r="J259" s="2" t="s">
        <v>1650</v>
      </c>
      <c r="K259" s="2">
        <v>66</v>
      </c>
      <c r="L259" s="2">
        <v>15</v>
      </c>
      <c r="M259" s="2">
        <v>10</v>
      </c>
      <c r="N259" s="2">
        <v>4</v>
      </c>
      <c r="O259" s="2">
        <v>25</v>
      </c>
      <c r="P259" s="2">
        <v>12</v>
      </c>
      <c r="Q259" s="2" t="s">
        <v>911</v>
      </c>
      <c r="R259" s="2" t="s">
        <v>2151</v>
      </c>
      <c r="S259" s="4">
        <v>44837</v>
      </c>
    </row>
    <row r="260" spans="1:19" ht="12.5" x14ac:dyDescent="0.25">
      <c r="A260" s="14" t="str">
        <f>HYPERLINK("https://gerandofalcoes.my.salesforce.com/0014X00002VKCuAQAX", "0014X00002VKCuAQAX")</f>
        <v>0014X00002VKCuAQAX</v>
      </c>
      <c r="B260" s="2" t="s">
        <v>2155</v>
      </c>
      <c r="C260" s="2" t="s">
        <v>423</v>
      </c>
      <c r="D260" s="2" t="s">
        <v>2</v>
      </c>
      <c r="E260" s="2">
        <v>33.15</v>
      </c>
      <c r="F260" s="2">
        <v>0</v>
      </c>
      <c r="G260" s="2">
        <v>2</v>
      </c>
      <c r="H260" s="2">
        <v>25000</v>
      </c>
      <c r="I260" s="2">
        <v>25</v>
      </c>
      <c r="J260" s="2" t="s">
        <v>1779</v>
      </c>
      <c r="K260" s="2">
        <v>36</v>
      </c>
      <c r="L260" s="2">
        <v>15</v>
      </c>
      <c r="M260" s="2">
        <v>0</v>
      </c>
      <c r="N260" s="2">
        <v>6</v>
      </c>
      <c r="O260" s="2">
        <v>10</v>
      </c>
      <c r="P260" s="2">
        <v>5</v>
      </c>
      <c r="Q260" s="2" t="s">
        <v>2156</v>
      </c>
      <c r="R260" s="2" t="s">
        <v>2157</v>
      </c>
      <c r="S260" s="4">
        <v>44837</v>
      </c>
    </row>
    <row r="261" spans="1:19" ht="12.5" x14ac:dyDescent="0.25">
      <c r="A261" s="14" t="str">
        <f>HYPERLINK("https://gerandofalcoes.my.salesforce.com/0014X00002VKCpCQAX", "0014X00002VKCpCQAX")</f>
        <v>0014X00002VKCpCQAX</v>
      </c>
      <c r="B261" s="2" t="s">
        <v>2182</v>
      </c>
      <c r="C261" s="2" t="s">
        <v>423</v>
      </c>
      <c r="D261" s="2" t="s">
        <v>2</v>
      </c>
      <c r="E261" s="2">
        <v>33</v>
      </c>
      <c r="F261" s="2">
        <v>0</v>
      </c>
      <c r="G261" s="2">
        <v>0</v>
      </c>
      <c r="H261" s="2">
        <v>0</v>
      </c>
      <c r="I261" s="2">
        <v>30</v>
      </c>
      <c r="J261" s="2" t="s">
        <v>1779</v>
      </c>
      <c r="K261" s="2">
        <v>20</v>
      </c>
      <c r="L261" s="2">
        <v>15</v>
      </c>
      <c r="M261" s="2">
        <v>0</v>
      </c>
      <c r="N261" s="2">
        <v>0</v>
      </c>
      <c r="O261" s="2">
        <v>0</v>
      </c>
      <c r="P261" s="2">
        <v>5</v>
      </c>
      <c r="Q261" s="2" t="s">
        <v>2183</v>
      </c>
      <c r="R261" s="2" t="s">
        <v>2184</v>
      </c>
      <c r="S261" s="4">
        <v>44837</v>
      </c>
    </row>
    <row r="262" spans="1:19" ht="12.5" x14ac:dyDescent="0.25">
      <c r="A262" s="14" t="str">
        <f>HYPERLINK("https://gerandofalcoes.my.salesforce.com/0014P00003YSp9TQAT", "0014P00003YSp9TQAT")</f>
        <v>0014P00003YSp9TQAT</v>
      </c>
      <c r="B262" s="2" t="s">
        <v>2194</v>
      </c>
      <c r="C262" s="2" t="s">
        <v>423</v>
      </c>
      <c r="D262" s="2" t="s">
        <v>2</v>
      </c>
      <c r="E262" s="2">
        <v>33</v>
      </c>
      <c r="F262" s="2">
        <v>0</v>
      </c>
      <c r="G262" s="2">
        <v>3</v>
      </c>
      <c r="H262" s="2">
        <v>55000</v>
      </c>
      <c r="I262" s="2">
        <v>0</v>
      </c>
      <c r="J262" s="2" t="s">
        <v>1779</v>
      </c>
      <c r="K262" s="2">
        <v>33</v>
      </c>
      <c r="L262" s="2">
        <v>15</v>
      </c>
      <c r="M262" s="2">
        <v>0</v>
      </c>
      <c r="N262" s="2">
        <v>8</v>
      </c>
      <c r="O262" s="2">
        <v>10</v>
      </c>
      <c r="P262" s="2">
        <v>0</v>
      </c>
      <c r="Q262" s="2" t="s">
        <v>2195</v>
      </c>
      <c r="R262" s="2" t="s">
        <v>2196</v>
      </c>
      <c r="S262" s="4">
        <v>44837</v>
      </c>
    </row>
    <row r="263" spans="1:19" ht="12.5" x14ac:dyDescent="0.25">
      <c r="A263" s="14" t="str">
        <f>HYPERLINK("https://gerandofalcoes.my.salesforce.com/0014P00003YSp8uQAD", "0014P00003YSp8uQAD")</f>
        <v>0014P00003YSp8uQAD</v>
      </c>
      <c r="B263" s="2" t="s">
        <v>2161</v>
      </c>
      <c r="C263" s="2" t="s">
        <v>1800</v>
      </c>
      <c r="D263" s="2" t="s">
        <v>2</v>
      </c>
      <c r="E263" s="2">
        <v>33</v>
      </c>
      <c r="F263" s="2">
        <v>38</v>
      </c>
      <c r="G263" s="2">
        <v>3</v>
      </c>
      <c r="H263" s="2">
        <v>1726721</v>
      </c>
      <c r="I263" s="2">
        <v>1200</v>
      </c>
      <c r="J263" s="2" t="s">
        <v>1654</v>
      </c>
      <c r="K263" s="2">
        <v>83</v>
      </c>
      <c r="L263" s="2">
        <v>15</v>
      </c>
      <c r="M263" s="2">
        <v>15</v>
      </c>
      <c r="N263" s="2">
        <v>8</v>
      </c>
      <c r="O263" s="2">
        <v>25</v>
      </c>
      <c r="P263" s="2">
        <v>20</v>
      </c>
      <c r="Q263" s="2" t="s">
        <v>2162</v>
      </c>
      <c r="R263" s="2" t="s">
        <v>2163</v>
      </c>
      <c r="S263" s="4">
        <v>44837</v>
      </c>
    </row>
    <row r="264" spans="1:19" ht="12.5" x14ac:dyDescent="0.25">
      <c r="A264" s="14" t="str">
        <f>HYPERLINK("https://gerandofalcoes.my.salesforce.com/0014X00002VKCtHQAX", "0014X00002VKCtHQAX")</f>
        <v>0014X00002VKCtHQAX</v>
      </c>
      <c r="B264" s="2" t="s">
        <v>2188</v>
      </c>
      <c r="C264" s="2" t="s">
        <v>423</v>
      </c>
      <c r="D264" s="2" t="s">
        <v>2</v>
      </c>
      <c r="E264" s="2">
        <v>33</v>
      </c>
      <c r="F264" s="2">
        <v>0</v>
      </c>
      <c r="G264" s="2">
        <v>3</v>
      </c>
      <c r="H264" s="2">
        <v>3000</v>
      </c>
      <c r="I264" s="2">
        <v>0</v>
      </c>
      <c r="J264" s="2" t="s">
        <v>1779</v>
      </c>
      <c r="K264" s="2">
        <v>28</v>
      </c>
      <c r="L264" s="2">
        <v>15</v>
      </c>
      <c r="M264" s="2">
        <v>0</v>
      </c>
      <c r="N264" s="2">
        <v>8</v>
      </c>
      <c r="O264" s="2">
        <v>5</v>
      </c>
      <c r="P264" s="2">
        <v>0</v>
      </c>
      <c r="Q264" s="2" t="s">
        <v>2189</v>
      </c>
      <c r="R264" s="2" t="s">
        <v>2190</v>
      </c>
      <c r="S264" s="4">
        <v>44837</v>
      </c>
    </row>
    <row r="265" spans="1:19" ht="12.5" x14ac:dyDescent="0.25">
      <c r="A265" s="14" t="str">
        <f>HYPERLINK("https://gerandofalcoes.my.salesforce.com/0014X00002VKCu1QAH", "0014X00002VKCu1QAH")</f>
        <v>0014X00002VKCu1QAH</v>
      </c>
      <c r="B265" s="2" t="s">
        <v>2158</v>
      </c>
      <c r="C265" s="2" t="s">
        <v>1800</v>
      </c>
      <c r="D265" s="2" t="s">
        <v>2</v>
      </c>
      <c r="E265" s="2">
        <v>33</v>
      </c>
      <c r="F265" s="2">
        <v>0</v>
      </c>
      <c r="G265" s="2">
        <v>3</v>
      </c>
      <c r="H265" s="2">
        <v>10000</v>
      </c>
      <c r="I265" s="2">
        <v>3500</v>
      </c>
      <c r="J265" s="2" t="s">
        <v>1671</v>
      </c>
      <c r="K265" s="2">
        <v>48</v>
      </c>
      <c r="L265" s="2">
        <v>15</v>
      </c>
      <c r="M265" s="2">
        <v>0</v>
      </c>
      <c r="N265" s="2">
        <v>8</v>
      </c>
      <c r="O265" s="2">
        <v>5</v>
      </c>
      <c r="P265" s="2">
        <v>20</v>
      </c>
      <c r="Q265" s="2" t="s">
        <v>2159</v>
      </c>
      <c r="R265" s="2" t="s">
        <v>2160</v>
      </c>
      <c r="S265" s="4">
        <v>44837</v>
      </c>
    </row>
    <row r="266" spans="1:19" ht="12.5" x14ac:dyDescent="0.25">
      <c r="A266" s="14" t="str">
        <f>HYPERLINK("https://gerandofalcoes.my.salesforce.com/0014P00003YSp90QAD", "0014P00003YSp90QAD")</f>
        <v>0014P00003YSp90QAD</v>
      </c>
      <c r="B266" s="2" t="s">
        <v>2175</v>
      </c>
      <c r="C266" s="2" t="s">
        <v>1800</v>
      </c>
      <c r="D266" s="2" t="s">
        <v>2</v>
      </c>
      <c r="E266" s="2">
        <v>33</v>
      </c>
      <c r="F266" s="2">
        <v>41</v>
      </c>
      <c r="G266" s="2">
        <v>4</v>
      </c>
      <c r="H266" s="2">
        <v>0</v>
      </c>
      <c r="I266" s="2">
        <v>98</v>
      </c>
      <c r="J266" s="2" t="s">
        <v>1671</v>
      </c>
      <c r="K266" s="2">
        <v>50</v>
      </c>
      <c r="L266" s="2">
        <v>15</v>
      </c>
      <c r="M266" s="2">
        <v>15</v>
      </c>
      <c r="N266" s="2">
        <v>10</v>
      </c>
      <c r="O266" s="2">
        <v>0</v>
      </c>
      <c r="P266" s="2">
        <v>10</v>
      </c>
      <c r="Q266" s="2" t="s">
        <v>2176</v>
      </c>
      <c r="R266" s="2" t="s">
        <v>2177</v>
      </c>
      <c r="S266" s="4">
        <v>44837</v>
      </c>
    </row>
    <row r="267" spans="1:19" ht="12.5" x14ac:dyDescent="0.25">
      <c r="A267" s="14" t="str">
        <f>HYPERLINK("https://gerandofalcoes.my.salesforce.com/0014X00002VKCpNQAX", "0014X00002VKCpNQAX")</f>
        <v>0014X00002VKCpNQAX</v>
      </c>
      <c r="B267" s="2" t="s">
        <v>2185</v>
      </c>
      <c r="C267" s="2" t="s">
        <v>1800</v>
      </c>
      <c r="D267" s="2" t="s">
        <v>2</v>
      </c>
      <c r="E267" s="2">
        <v>33</v>
      </c>
      <c r="F267" s="2">
        <v>0</v>
      </c>
      <c r="G267" s="2">
        <v>4</v>
      </c>
      <c r="H267" s="2">
        <v>800</v>
      </c>
      <c r="I267" s="2">
        <v>25</v>
      </c>
      <c r="J267" s="2" t="s">
        <v>1779</v>
      </c>
      <c r="K267" s="2">
        <v>35</v>
      </c>
      <c r="L267" s="2">
        <v>15</v>
      </c>
      <c r="M267" s="2">
        <v>0</v>
      </c>
      <c r="N267" s="2">
        <v>10</v>
      </c>
      <c r="O267" s="2">
        <v>5</v>
      </c>
      <c r="P267" s="2">
        <v>5</v>
      </c>
      <c r="Q267" s="2" t="s">
        <v>2186</v>
      </c>
      <c r="R267" s="2" t="s">
        <v>2187</v>
      </c>
      <c r="S267" s="4">
        <v>44837</v>
      </c>
    </row>
    <row r="268" spans="1:19" ht="12.5" x14ac:dyDescent="0.25">
      <c r="A268" s="14" t="str">
        <f>HYPERLINK("https://gerandofalcoes.my.salesforce.com/0014X00002VKCqSQAX", "0014X00002VKCqSQAX")</f>
        <v>0014X00002VKCqSQAX</v>
      </c>
      <c r="B268" s="2" t="s">
        <v>2197</v>
      </c>
      <c r="C268" s="2" t="s">
        <v>1800</v>
      </c>
      <c r="D268" s="2" t="s">
        <v>2</v>
      </c>
      <c r="E268" s="2">
        <v>33</v>
      </c>
      <c r="F268" s="2">
        <v>0</v>
      </c>
      <c r="G268" s="2">
        <v>3</v>
      </c>
      <c r="H268" s="2">
        <v>2160</v>
      </c>
      <c r="I268" s="2">
        <v>0</v>
      </c>
      <c r="J268" s="2" t="s">
        <v>1779</v>
      </c>
      <c r="K268" s="2">
        <v>28</v>
      </c>
      <c r="L268" s="2">
        <v>15</v>
      </c>
      <c r="M268" s="2">
        <v>0</v>
      </c>
      <c r="N268" s="2">
        <v>8</v>
      </c>
      <c r="O268" s="2">
        <v>5</v>
      </c>
      <c r="P268" s="2">
        <v>0</v>
      </c>
      <c r="Q268" s="2" t="s">
        <v>2198</v>
      </c>
      <c r="R268" s="2" t="s">
        <v>2199</v>
      </c>
      <c r="S268" s="4">
        <v>44837</v>
      </c>
    </row>
    <row r="269" spans="1:19" ht="12.5" x14ac:dyDescent="0.25">
      <c r="A269" s="14" t="str">
        <f>HYPERLINK("https://gerandofalcoes.my.salesforce.com/0014X00002VKCq1QAH", "0014X00002VKCq1QAH")</f>
        <v>0014X00002VKCq1QAH</v>
      </c>
      <c r="B269" s="2" t="s">
        <v>2164</v>
      </c>
      <c r="C269" s="2" t="s">
        <v>423</v>
      </c>
      <c r="D269" s="2" t="s">
        <v>2</v>
      </c>
      <c r="E269" s="2">
        <v>33</v>
      </c>
      <c r="F269" s="2">
        <v>0</v>
      </c>
      <c r="G269" s="2">
        <v>2</v>
      </c>
      <c r="H269" s="2">
        <v>5000</v>
      </c>
      <c r="I269" s="2">
        <v>250</v>
      </c>
      <c r="J269" s="2" t="s">
        <v>1779</v>
      </c>
      <c r="K269" s="2">
        <v>38</v>
      </c>
      <c r="L269" s="2">
        <v>15</v>
      </c>
      <c r="M269" s="2">
        <v>0</v>
      </c>
      <c r="N269" s="2">
        <v>6</v>
      </c>
      <c r="O269" s="2">
        <v>5</v>
      </c>
      <c r="P269" s="2">
        <v>12</v>
      </c>
      <c r="Q269" s="2" t="s">
        <v>2165</v>
      </c>
      <c r="R269" s="2" t="s">
        <v>2166</v>
      </c>
      <c r="S269" s="4">
        <v>44837</v>
      </c>
    </row>
    <row r="270" spans="1:19" ht="12.5" x14ac:dyDescent="0.25">
      <c r="A270" s="14" t="str">
        <f>HYPERLINK("https://gerandofalcoes.my.salesforce.com/0014P00003YSp8KQAT", "0014P00003YSp8KQAT")</f>
        <v>0014P00003YSp8KQAT</v>
      </c>
      <c r="B270" s="2" t="s">
        <v>2167</v>
      </c>
      <c r="C270" s="2" t="s">
        <v>1800</v>
      </c>
      <c r="D270" s="2" t="s">
        <v>2</v>
      </c>
      <c r="E270" s="2">
        <v>33</v>
      </c>
      <c r="F270" s="2">
        <v>2</v>
      </c>
      <c r="G270" s="2">
        <v>4</v>
      </c>
      <c r="H270" s="2">
        <v>400000</v>
      </c>
      <c r="I270" s="2">
        <v>250</v>
      </c>
      <c r="J270" s="2" t="s">
        <v>1671</v>
      </c>
      <c r="K270" s="2">
        <v>62</v>
      </c>
      <c r="L270" s="2">
        <v>15</v>
      </c>
      <c r="M270" s="2">
        <v>5</v>
      </c>
      <c r="N270" s="2">
        <v>10</v>
      </c>
      <c r="O270" s="2">
        <v>20</v>
      </c>
      <c r="P270" s="2">
        <v>12</v>
      </c>
      <c r="Q270" s="2" t="s">
        <v>2168</v>
      </c>
      <c r="R270" s="2" t="s">
        <v>2168</v>
      </c>
      <c r="S270" s="4">
        <v>44837</v>
      </c>
    </row>
    <row r="271" spans="1:19" ht="12.5" x14ac:dyDescent="0.25">
      <c r="A271" s="14" t="str">
        <f>HYPERLINK("https://gerandofalcoes.my.salesforce.com/0014X00002VKCrTQAX", "0014X00002VKCrTQAX")</f>
        <v>0014X00002VKCrTQAX</v>
      </c>
      <c r="B271" s="2" t="s">
        <v>2180</v>
      </c>
      <c r="C271" s="2" t="s">
        <v>423</v>
      </c>
      <c r="D271" s="2" t="s">
        <v>2</v>
      </c>
      <c r="E271" s="2">
        <v>33</v>
      </c>
      <c r="F271" s="2">
        <v>0</v>
      </c>
      <c r="G271" s="2">
        <v>5</v>
      </c>
      <c r="H271" s="2">
        <v>0</v>
      </c>
      <c r="I271" s="2">
        <v>40</v>
      </c>
      <c r="J271" s="2" t="s">
        <v>1779</v>
      </c>
      <c r="K271" s="2">
        <v>30</v>
      </c>
      <c r="L271" s="2">
        <v>15</v>
      </c>
      <c r="M271" s="2">
        <v>0</v>
      </c>
      <c r="N271" s="2">
        <v>10</v>
      </c>
      <c r="O271" s="2">
        <v>0</v>
      </c>
      <c r="P271" s="2">
        <v>5</v>
      </c>
      <c r="Q271" s="2" t="s">
        <v>2181</v>
      </c>
      <c r="R271" s="2" t="s">
        <v>2181</v>
      </c>
      <c r="S271" s="4">
        <v>44837</v>
      </c>
    </row>
    <row r="272" spans="1:19" ht="12.5" x14ac:dyDescent="0.25">
      <c r="A272" s="14" t="str">
        <f>HYPERLINK("https://gerandofalcoes.my.salesforce.com/0014X00002VKCu5QAH", "0014X00002VKCu5QAH")</f>
        <v>0014X00002VKCu5QAH</v>
      </c>
      <c r="B272" s="2" t="s">
        <v>2172</v>
      </c>
      <c r="C272" s="2" t="s">
        <v>423</v>
      </c>
      <c r="D272" s="2" t="s">
        <v>2</v>
      </c>
      <c r="E272" s="2">
        <v>33</v>
      </c>
      <c r="F272" s="2">
        <v>17</v>
      </c>
      <c r="G272" s="2">
        <v>1</v>
      </c>
      <c r="H272" s="2">
        <v>12000</v>
      </c>
      <c r="I272" s="2">
        <v>125</v>
      </c>
      <c r="J272" s="2" t="s">
        <v>1671</v>
      </c>
      <c r="K272" s="2">
        <v>46</v>
      </c>
      <c r="L272" s="2">
        <v>15</v>
      </c>
      <c r="M272" s="2">
        <v>12</v>
      </c>
      <c r="N272" s="2">
        <v>4</v>
      </c>
      <c r="O272" s="2">
        <v>5</v>
      </c>
      <c r="P272" s="2">
        <v>10</v>
      </c>
      <c r="Q272" s="2" t="s">
        <v>2173</v>
      </c>
      <c r="R272" s="2" t="s">
        <v>2174</v>
      </c>
      <c r="S272" s="4">
        <v>44837</v>
      </c>
    </row>
    <row r="273" spans="1:19" ht="12.5" x14ac:dyDescent="0.25">
      <c r="A273" s="14" t="str">
        <f>HYPERLINK("https://gerandofalcoes.my.salesforce.com/0014X00002VKCtkQAH", "0014X00002VKCtkQAH")</f>
        <v>0014X00002VKCtkQAH</v>
      </c>
      <c r="B273" s="2" t="s">
        <v>2200</v>
      </c>
      <c r="C273" s="2" t="s">
        <v>423</v>
      </c>
      <c r="D273" s="2" t="s">
        <v>2</v>
      </c>
      <c r="E273" s="2">
        <v>32.909999999999997</v>
      </c>
      <c r="F273" s="2">
        <v>14</v>
      </c>
      <c r="G273" s="2">
        <v>0</v>
      </c>
      <c r="H273" s="2">
        <v>345000</v>
      </c>
      <c r="I273" s="2">
        <v>300</v>
      </c>
      <c r="J273" s="2" t="s">
        <v>1671</v>
      </c>
      <c r="K273" s="2">
        <v>62</v>
      </c>
      <c r="L273" s="2">
        <v>15</v>
      </c>
      <c r="M273" s="2">
        <v>12</v>
      </c>
      <c r="N273" s="2">
        <v>0</v>
      </c>
      <c r="O273" s="2">
        <v>20</v>
      </c>
      <c r="P273" s="2">
        <v>15</v>
      </c>
      <c r="Q273" s="2" t="s">
        <v>2201</v>
      </c>
      <c r="R273" s="2" t="s">
        <v>2202</v>
      </c>
      <c r="S273" s="4">
        <v>44837</v>
      </c>
    </row>
    <row r="274" spans="1:19" ht="12.5" hidden="1" x14ac:dyDescent="0.25">
      <c r="A274" s="14" t="str">
        <f>HYPERLINK("https://gerandofalcoes.my.salesforce.com/0014P00003YSp7bQAD", "0014P00003YSp7bQAD")</f>
        <v>0014P00003YSp7bQAD</v>
      </c>
      <c r="B274" s="2" t="s">
        <v>2169</v>
      </c>
      <c r="C274" s="2" t="s">
        <v>1684</v>
      </c>
      <c r="D274" s="2" t="s">
        <v>2</v>
      </c>
      <c r="E274" s="2">
        <v>33</v>
      </c>
      <c r="F274" s="2">
        <v>40</v>
      </c>
      <c r="G274" s="2">
        <v>2</v>
      </c>
      <c r="H274" s="2">
        <v>50000</v>
      </c>
      <c r="I274" s="2">
        <v>150</v>
      </c>
      <c r="J274" s="2" t="s">
        <v>1671</v>
      </c>
      <c r="K274" s="2">
        <v>58</v>
      </c>
      <c r="L274" s="2">
        <v>15</v>
      </c>
      <c r="M274" s="2">
        <v>15</v>
      </c>
      <c r="N274" s="2">
        <v>6</v>
      </c>
      <c r="O274" s="2">
        <v>10</v>
      </c>
      <c r="P274" s="2">
        <v>12</v>
      </c>
      <c r="Q274" s="2" t="s">
        <v>2170</v>
      </c>
      <c r="R274" s="2" t="s">
        <v>2171</v>
      </c>
      <c r="S274" s="4">
        <v>44837</v>
      </c>
    </row>
    <row r="275" spans="1:19" ht="12.5" hidden="1" x14ac:dyDescent="0.25">
      <c r="A275" s="14" t="str">
        <f>HYPERLINK("https://gerandofalcoes.my.salesforce.com/0014X00002VKCt9QAH", "0014X00002VKCt9QAH")</f>
        <v>0014X00002VKCt9QAH</v>
      </c>
      <c r="B275" s="2" t="s">
        <v>2100</v>
      </c>
      <c r="C275" s="2" t="s">
        <v>1684</v>
      </c>
      <c r="D275" s="2" t="s">
        <v>2</v>
      </c>
      <c r="E275" s="2">
        <v>35</v>
      </c>
      <c r="F275" s="2">
        <v>0</v>
      </c>
      <c r="G275" s="2">
        <v>2</v>
      </c>
      <c r="H275" s="2">
        <v>600</v>
      </c>
      <c r="I275" s="2">
        <v>150</v>
      </c>
      <c r="J275" s="2" t="s">
        <v>1779</v>
      </c>
      <c r="K275" s="2">
        <v>38</v>
      </c>
      <c r="L275" s="2">
        <v>15</v>
      </c>
      <c r="M275" s="2">
        <v>0</v>
      </c>
      <c r="N275" s="2">
        <v>6</v>
      </c>
      <c r="O275" s="2">
        <v>5</v>
      </c>
      <c r="P275" s="2">
        <v>12</v>
      </c>
      <c r="Q275" s="2" t="s">
        <v>2101</v>
      </c>
      <c r="R275" s="2" t="s">
        <v>2102</v>
      </c>
      <c r="S275" s="4">
        <v>44837</v>
      </c>
    </row>
    <row r="276" spans="1:19" ht="12.5" x14ac:dyDescent="0.25">
      <c r="A276" s="14" t="str">
        <f>HYPERLINK("https://gerandofalcoes.my.salesforce.com/0014X00002YgglRQAR", "0014X00002YgglRQAR")</f>
        <v>0014X00002YgglRQAR</v>
      </c>
      <c r="B276" s="2" t="s">
        <v>3305</v>
      </c>
      <c r="C276" s="2" t="s">
        <v>423</v>
      </c>
      <c r="D276" s="2" t="s">
        <v>2</v>
      </c>
      <c r="E276" s="2">
        <v>32.869999999999997</v>
      </c>
      <c r="F276" s="2">
        <v>8</v>
      </c>
      <c r="G276" s="2">
        <v>2</v>
      </c>
      <c r="H276" s="2">
        <v>20000</v>
      </c>
      <c r="I276" s="2">
        <v>120</v>
      </c>
      <c r="J276" s="2" t="s">
        <v>1671</v>
      </c>
      <c r="K276" s="2">
        <v>46</v>
      </c>
      <c r="L276" s="2">
        <v>15</v>
      </c>
      <c r="M276" s="2">
        <v>10</v>
      </c>
      <c r="N276" s="2">
        <v>6</v>
      </c>
      <c r="O276" s="2">
        <v>5</v>
      </c>
      <c r="P276" s="2">
        <v>10</v>
      </c>
      <c r="Q276" s="2" t="s">
        <v>3306</v>
      </c>
      <c r="R276" s="2" t="s">
        <v>3307</v>
      </c>
      <c r="S276" s="4">
        <v>44953</v>
      </c>
    </row>
    <row r="277" spans="1:19" ht="12.5" x14ac:dyDescent="0.25">
      <c r="A277" s="14" t="str">
        <f>HYPERLINK("https://gerandofalcoes.my.salesforce.com/0014X00002YggqVQAR", "0014X00002YggqVQAR")</f>
        <v>0014X00002YggqVQAR</v>
      </c>
      <c r="B277" s="2" t="s">
        <v>3013</v>
      </c>
      <c r="C277" s="2" t="s">
        <v>423</v>
      </c>
      <c r="D277" s="2" t="s">
        <v>2</v>
      </c>
      <c r="E277" s="2">
        <v>32.76</v>
      </c>
      <c r="F277" s="2">
        <v>1</v>
      </c>
      <c r="G277" s="2">
        <v>3</v>
      </c>
      <c r="H277" s="2">
        <v>12000</v>
      </c>
      <c r="I277" s="2">
        <v>40</v>
      </c>
      <c r="J277" s="2" t="s">
        <v>1779</v>
      </c>
      <c r="K277" s="2">
        <v>38</v>
      </c>
      <c r="L277" s="2">
        <v>15</v>
      </c>
      <c r="M277" s="2">
        <v>5</v>
      </c>
      <c r="N277" s="2">
        <v>8</v>
      </c>
      <c r="O277" s="2">
        <v>5</v>
      </c>
      <c r="P277" s="2">
        <v>5</v>
      </c>
      <c r="Q277" s="2" t="s">
        <v>3014</v>
      </c>
      <c r="R277" s="2" t="s">
        <v>3015</v>
      </c>
      <c r="S277" s="4">
        <v>44945</v>
      </c>
    </row>
    <row r="278" spans="1:19" ht="12.5" x14ac:dyDescent="0.25">
      <c r="A278" s="14" t="str">
        <f>HYPERLINK("https://gerandofalcoes.my.salesforce.com/0014P00003YSp9YQAT", "0014P00003YSp9YQAT")</f>
        <v>0014P00003YSp9YQAT</v>
      </c>
      <c r="B278" s="2" t="s">
        <v>2203</v>
      </c>
      <c r="C278" s="2" t="s">
        <v>423</v>
      </c>
      <c r="D278" s="2" t="s">
        <v>2</v>
      </c>
      <c r="E278" s="2">
        <v>32.74</v>
      </c>
      <c r="F278" s="2">
        <v>0</v>
      </c>
      <c r="G278" s="2">
        <v>2</v>
      </c>
      <c r="H278" s="2">
        <v>25822</v>
      </c>
      <c r="I278" s="2">
        <v>300</v>
      </c>
      <c r="J278" s="2" t="s">
        <v>1671</v>
      </c>
      <c r="K278" s="2">
        <v>46</v>
      </c>
      <c r="L278" s="2">
        <v>15</v>
      </c>
      <c r="M278" s="2">
        <v>0</v>
      </c>
      <c r="N278" s="2">
        <v>6</v>
      </c>
      <c r="O278" s="2">
        <v>10</v>
      </c>
      <c r="P278" s="2">
        <v>15</v>
      </c>
      <c r="Q278" s="2" t="s">
        <v>2204</v>
      </c>
      <c r="R278" s="2" t="s">
        <v>2204</v>
      </c>
      <c r="S278" s="4">
        <v>44837</v>
      </c>
    </row>
    <row r="279" spans="1:19" ht="12.5" x14ac:dyDescent="0.25">
      <c r="A279" s="14" t="str">
        <f>HYPERLINK("https://gerandofalcoes.my.salesforce.com/0014X00002VKCutQAH", "0014X00002VKCutQAH")</f>
        <v>0014X00002VKCutQAH</v>
      </c>
      <c r="B279" s="2" t="s">
        <v>2205</v>
      </c>
      <c r="C279" s="2" t="s">
        <v>423</v>
      </c>
      <c r="D279" s="2" t="s">
        <v>2</v>
      </c>
      <c r="E279" s="2">
        <v>32.54</v>
      </c>
      <c r="F279" s="2">
        <v>8</v>
      </c>
      <c r="G279" s="2">
        <v>3</v>
      </c>
      <c r="H279" s="2">
        <v>60000</v>
      </c>
      <c r="I279" s="2">
        <v>120</v>
      </c>
      <c r="J279" s="2" t="s">
        <v>1671</v>
      </c>
      <c r="K279" s="2">
        <v>53</v>
      </c>
      <c r="L279" s="2">
        <v>15</v>
      </c>
      <c r="M279" s="2">
        <v>10</v>
      </c>
      <c r="N279" s="2">
        <v>8</v>
      </c>
      <c r="O279" s="2">
        <v>10</v>
      </c>
      <c r="P279" s="2">
        <v>10</v>
      </c>
      <c r="Q279" s="2" t="s">
        <v>2206</v>
      </c>
      <c r="R279" s="2" t="s">
        <v>2207</v>
      </c>
      <c r="S279" s="4">
        <v>44837</v>
      </c>
    </row>
    <row r="280" spans="1:19" ht="12.5" x14ac:dyDescent="0.25">
      <c r="A280" s="14" t="str">
        <f>HYPERLINK("https://gerandofalcoes.my.salesforce.com/0014X00002VKCp1QAH", "0014X00002VKCp1QAH")</f>
        <v>0014X00002VKCp1QAH</v>
      </c>
      <c r="B280" s="2" t="s">
        <v>2223</v>
      </c>
      <c r="C280" s="2" t="s">
        <v>423</v>
      </c>
      <c r="D280" s="2" t="s">
        <v>2</v>
      </c>
      <c r="E280" s="2">
        <v>32</v>
      </c>
      <c r="F280" s="2">
        <v>5</v>
      </c>
      <c r="G280" s="2">
        <v>9</v>
      </c>
      <c r="H280" s="2">
        <v>12000</v>
      </c>
      <c r="I280" s="2">
        <v>60</v>
      </c>
      <c r="J280" s="2" t="s">
        <v>1671</v>
      </c>
      <c r="K280" s="2">
        <v>40</v>
      </c>
      <c r="L280" s="2">
        <v>15</v>
      </c>
      <c r="M280" s="2">
        <v>5</v>
      </c>
      <c r="N280" s="2">
        <v>10</v>
      </c>
      <c r="O280" s="2">
        <v>5</v>
      </c>
      <c r="P280" s="2">
        <v>5</v>
      </c>
      <c r="Q280" s="2" t="s">
        <v>2224</v>
      </c>
      <c r="R280" s="2" t="s">
        <v>2224</v>
      </c>
      <c r="S280" s="4">
        <v>44837</v>
      </c>
    </row>
    <row r="281" spans="1:19" ht="12.5" x14ac:dyDescent="0.25">
      <c r="A281" s="14" t="str">
        <f>HYPERLINK("https://gerandofalcoes.my.salesforce.com/0014P00003YSp8GQAT", "0014P00003YSp8GQAT")</f>
        <v>0014P00003YSp8GQAT</v>
      </c>
      <c r="B281" s="2" t="s">
        <v>2214</v>
      </c>
      <c r="C281" s="2" t="s">
        <v>1800</v>
      </c>
      <c r="D281" s="2" t="s">
        <v>2</v>
      </c>
      <c r="E281" s="2">
        <v>32</v>
      </c>
      <c r="F281" s="2">
        <v>1</v>
      </c>
      <c r="G281" s="2">
        <v>2</v>
      </c>
      <c r="H281" s="2">
        <v>0</v>
      </c>
      <c r="I281" s="2">
        <v>600</v>
      </c>
      <c r="J281" s="2" t="s">
        <v>1671</v>
      </c>
      <c r="K281" s="2">
        <v>46</v>
      </c>
      <c r="L281" s="2">
        <v>15</v>
      </c>
      <c r="M281" s="2">
        <v>5</v>
      </c>
      <c r="N281" s="2">
        <v>6</v>
      </c>
      <c r="O281" s="2">
        <v>0</v>
      </c>
      <c r="P281" s="2">
        <v>20</v>
      </c>
      <c r="Q281" s="2" t="s">
        <v>2215</v>
      </c>
      <c r="R281" s="2" t="s">
        <v>2216</v>
      </c>
      <c r="S281" s="4">
        <v>44837</v>
      </c>
    </row>
    <row r="282" spans="1:19" ht="12.5" x14ac:dyDescent="0.25">
      <c r="A282" s="14" t="str">
        <f>HYPERLINK("https://gerandofalcoes.my.salesforce.com/0014P00003YSp7kQAD", "0014P00003YSp7kQAD")</f>
        <v>0014P00003YSp7kQAD</v>
      </c>
      <c r="B282" s="2" t="s">
        <v>2225</v>
      </c>
      <c r="C282" s="2" t="s">
        <v>1800</v>
      </c>
      <c r="D282" s="2" t="s">
        <v>2</v>
      </c>
      <c r="E282" s="2">
        <v>32</v>
      </c>
      <c r="F282" s="2">
        <v>0</v>
      </c>
      <c r="G282" s="2">
        <v>2</v>
      </c>
      <c r="H282" s="2">
        <v>0</v>
      </c>
      <c r="I282" s="2">
        <v>17</v>
      </c>
      <c r="J282" s="2" t="s">
        <v>1779</v>
      </c>
      <c r="K282" s="2">
        <v>26</v>
      </c>
      <c r="L282" s="2">
        <v>15</v>
      </c>
      <c r="M282" s="2">
        <v>0</v>
      </c>
      <c r="N282" s="2">
        <v>6</v>
      </c>
      <c r="O282" s="2">
        <v>0</v>
      </c>
      <c r="P282" s="2">
        <v>5</v>
      </c>
      <c r="Q282" s="2" t="s">
        <v>2226</v>
      </c>
      <c r="R282" s="2" t="s">
        <v>2227</v>
      </c>
      <c r="S282" s="4">
        <v>44837</v>
      </c>
    </row>
    <row r="283" spans="1:19" ht="12.5" x14ac:dyDescent="0.25">
      <c r="A283" s="14" t="str">
        <f>HYPERLINK("https://gerandofalcoes.my.salesforce.com/0014X00002VKCuIQAX", "0014X00002VKCuIQAX")</f>
        <v>0014X00002VKCuIQAX</v>
      </c>
      <c r="B283" s="2" t="s">
        <v>2217</v>
      </c>
      <c r="C283" s="2" t="s">
        <v>423</v>
      </c>
      <c r="D283" s="2" t="s">
        <v>2</v>
      </c>
      <c r="E283" s="2">
        <v>32</v>
      </c>
      <c r="F283" s="2">
        <v>0</v>
      </c>
      <c r="G283" s="2">
        <v>2</v>
      </c>
      <c r="H283" s="2">
        <v>10000</v>
      </c>
      <c r="I283" s="2">
        <v>300</v>
      </c>
      <c r="J283" s="2" t="s">
        <v>1671</v>
      </c>
      <c r="K283" s="2">
        <v>41</v>
      </c>
      <c r="L283" s="2">
        <v>15</v>
      </c>
      <c r="M283" s="2">
        <v>0</v>
      </c>
      <c r="N283" s="2">
        <v>6</v>
      </c>
      <c r="O283" s="2">
        <v>5</v>
      </c>
      <c r="P283" s="2">
        <v>15</v>
      </c>
      <c r="Q283" s="2" t="s">
        <v>2218</v>
      </c>
      <c r="R283" s="2" t="s">
        <v>2219</v>
      </c>
      <c r="S283" s="4">
        <v>44837</v>
      </c>
    </row>
    <row r="284" spans="1:19" ht="12.5" x14ac:dyDescent="0.25">
      <c r="A284" s="14" t="str">
        <f>HYPERLINK("https://gerandofalcoes.my.salesforce.com/0014X00002VKCsWQAX", "0014X00002VKCsWQAX")</f>
        <v>0014X00002VKCsWQAX</v>
      </c>
      <c r="B284" s="2" t="s">
        <v>2211</v>
      </c>
      <c r="C284" s="2" t="s">
        <v>423</v>
      </c>
      <c r="D284" s="2" t="s">
        <v>2</v>
      </c>
      <c r="E284" s="2">
        <v>32</v>
      </c>
      <c r="F284" s="2">
        <v>3</v>
      </c>
      <c r="G284" s="2">
        <v>2</v>
      </c>
      <c r="H284" s="2">
        <v>1000</v>
      </c>
      <c r="I284" s="2">
        <v>1200</v>
      </c>
      <c r="J284" s="2" t="s">
        <v>1671</v>
      </c>
      <c r="K284" s="2">
        <v>51</v>
      </c>
      <c r="L284" s="2">
        <v>15</v>
      </c>
      <c r="M284" s="2">
        <v>5</v>
      </c>
      <c r="N284" s="2">
        <v>6</v>
      </c>
      <c r="O284" s="2">
        <v>5</v>
      </c>
      <c r="P284" s="2">
        <v>20</v>
      </c>
      <c r="Q284" s="2" t="s">
        <v>2212</v>
      </c>
      <c r="R284" s="2" t="s">
        <v>2213</v>
      </c>
      <c r="S284" s="4">
        <v>44837</v>
      </c>
    </row>
    <row r="285" spans="1:19" ht="12.5" x14ac:dyDescent="0.25">
      <c r="A285" s="14" t="str">
        <f>HYPERLINK("https://gerandofalcoes.my.salesforce.com/0014X00002OEualQAD", "0014X00002OEualQAD")</f>
        <v>0014X00002OEualQAD</v>
      </c>
      <c r="B285" s="2" t="s">
        <v>2220</v>
      </c>
      <c r="C285" s="2" t="s">
        <v>1800</v>
      </c>
      <c r="D285" s="2" t="s">
        <v>2</v>
      </c>
      <c r="E285" s="2">
        <v>32</v>
      </c>
      <c r="F285" s="2">
        <v>2</v>
      </c>
      <c r="G285" s="2">
        <v>3</v>
      </c>
      <c r="H285" s="2">
        <v>40000</v>
      </c>
      <c r="I285" s="2">
        <v>80</v>
      </c>
      <c r="J285" s="2" t="s">
        <v>1671</v>
      </c>
      <c r="K285" s="2">
        <v>48</v>
      </c>
      <c r="L285" s="2">
        <v>15</v>
      </c>
      <c r="M285" s="2">
        <v>5</v>
      </c>
      <c r="N285" s="2">
        <v>8</v>
      </c>
      <c r="O285" s="2">
        <v>10</v>
      </c>
      <c r="P285" s="2">
        <v>10</v>
      </c>
      <c r="Q285" s="2" t="s">
        <v>2221</v>
      </c>
      <c r="R285" s="2" t="s">
        <v>2222</v>
      </c>
      <c r="S285" s="4">
        <v>44837</v>
      </c>
    </row>
    <row r="286" spans="1:19" ht="12.5" x14ac:dyDescent="0.25">
      <c r="A286" s="14" t="str">
        <f>HYPERLINK("https://gerandofalcoes.my.salesforce.com/0014P00003YSp9RQAT", "0014P00003YSp9RQAT")</f>
        <v>0014P00003YSp9RQAT</v>
      </c>
      <c r="B286" s="2" t="s">
        <v>2208</v>
      </c>
      <c r="C286" s="2" t="s">
        <v>1800</v>
      </c>
      <c r="D286" s="2" t="s">
        <v>2</v>
      </c>
      <c r="E286" s="2">
        <v>32</v>
      </c>
      <c r="F286" s="2">
        <v>0</v>
      </c>
      <c r="G286" s="2">
        <v>4</v>
      </c>
      <c r="H286" s="2">
        <v>45000</v>
      </c>
      <c r="I286" s="2">
        <v>1700</v>
      </c>
      <c r="J286" s="2" t="s">
        <v>1671</v>
      </c>
      <c r="K286" s="2">
        <v>55</v>
      </c>
      <c r="L286" s="2">
        <v>15</v>
      </c>
      <c r="M286" s="2">
        <v>0</v>
      </c>
      <c r="N286" s="2">
        <v>10</v>
      </c>
      <c r="O286" s="2">
        <v>10</v>
      </c>
      <c r="P286" s="2">
        <v>20</v>
      </c>
      <c r="Q286" s="2" t="s">
        <v>2209</v>
      </c>
      <c r="R286" s="2" t="s">
        <v>2210</v>
      </c>
      <c r="S286" s="4">
        <v>44837</v>
      </c>
    </row>
    <row r="287" spans="1:19" ht="12.5" x14ac:dyDescent="0.25">
      <c r="A287" s="14" t="str">
        <f>HYPERLINK("https://gerandofalcoes.my.salesforce.com/0014X00002YggouQAB", "0014X00002YggouQAB")</f>
        <v>0014X00002YggouQAB</v>
      </c>
      <c r="B287" s="2" t="s">
        <v>3176</v>
      </c>
      <c r="C287" s="2" t="s">
        <v>423</v>
      </c>
      <c r="D287" s="2" t="s">
        <v>2</v>
      </c>
      <c r="E287" s="2">
        <v>31.94</v>
      </c>
      <c r="F287" s="2">
        <v>0</v>
      </c>
      <c r="G287" s="2">
        <v>2</v>
      </c>
      <c r="H287" s="2">
        <v>15000</v>
      </c>
      <c r="I287" s="2">
        <v>100</v>
      </c>
      <c r="J287" s="2" t="s">
        <v>1779</v>
      </c>
      <c r="K287" s="2">
        <v>36</v>
      </c>
      <c r="L287" s="2">
        <v>15</v>
      </c>
      <c r="M287" s="2">
        <v>0</v>
      </c>
      <c r="N287" s="2">
        <v>6</v>
      </c>
      <c r="O287" s="2">
        <v>5</v>
      </c>
      <c r="P287" s="2">
        <v>10</v>
      </c>
      <c r="Q287" s="2" t="s">
        <v>3177</v>
      </c>
      <c r="R287" s="2" t="s">
        <v>3178</v>
      </c>
      <c r="S287" s="4">
        <v>44951</v>
      </c>
    </row>
    <row r="288" spans="1:19" ht="12.5" x14ac:dyDescent="0.25">
      <c r="A288" s="14" t="str">
        <f>HYPERLINK("https://gerandofalcoes.my.salesforce.com/0014P00003AN2GBQA1", "0014P00003AN2GBQA1")</f>
        <v>0014P00003AN2GBQA1</v>
      </c>
      <c r="B288" s="2" t="s">
        <v>2228</v>
      </c>
      <c r="C288" s="2" t="s">
        <v>423</v>
      </c>
      <c r="D288" s="2" t="s">
        <v>2</v>
      </c>
      <c r="E288" s="2">
        <v>31.57</v>
      </c>
      <c r="F288" s="2">
        <v>20</v>
      </c>
      <c r="G288" s="2">
        <v>2</v>
      </c>
      <c r="H288" s="2">
        <v>80000000</v>
      </c>
      <c r="I288" s="2">
        <v>60</v>
      </c>
      <c r="J288" s="2" t="s">
        <v>1671</v>
      </c>
      <c r="K288" s="2">
        <v>63</v>
      </c>
      <c r="L288" s="2">
        <v>15</v>
      </c>
      <c r="M288" s="2">
        <v>12</v>
      </c>
      <c r="N288" s="2">
        <v>6</v>
      </c>
      <c r="O288" s="2">
        <v>25</v>
      </c>
      <c r="P288" s="2">
        <v>5</v>
      </c>
      <c r="Q288" s="2" t="s">
        <v>2229</v>
      </c>
      <c r="R288" s="2" t="s">
        <v>2229</v>
      </c>
      <c r="S288" s="4">
        <v>44837</v>
      </c>
    </row>
    <row r="289" spans="1:19" ht="12.5" x14ac:dyDescent="0.25">
      <c r="A289" s="14" t="str">
        <f>HYPERLINK("https://gerandofalcoes.my.salesforce.com/0014X00002VKCptQAH", "0014X00002VKCptQAH")</f>
        <v>0014X00002VKCptQAH</v>
      </c>
      <c r="B289" s="2" t="s">
        <v>2230</v>
      </c>
      <c r="C289" s="2" t="s">
        <v>423</v>
      </c>
      <c r="D289" s="2" t="s">
        <v>2</v>
      </c>
      <c r="E289" s="2">
        <v>31.41</v>
      </c>
      <c r="F289" s="2">
        <v>8</v>
      </c>
      <c r="G289" s="2">
        <v>0</v>
      </c>
      <c r="H289" s="2">
        <v>0</v>
      </c>
      <c r="I289" s="2">
        <v>44</v>
      </c>
      <c r="J289" s="2" t="s">
        <v>1779</v>
      </c>
      <c r="K289" s="2">
        <v>30</v>
      </c>
      <c r="L289" s="2">
        <v>15</v>
      </c>
      <c r="M289" s="2">
        <v>10</v>
      </c>
      <c r="N289" s="2">
        <v>0</v>
      </c>
      <c r="O289" s="2">
        <v>0</v>
      </c>
      <c r="P289" s="2">
        <v>5</v>
      </c>
      <c r="Q289" s="2" t="s">
        <v>2231</v>
      </c>
      <c r="R289" s="2" t="s">
        <v>2232</v>
      </c>
      <c r="S289" s="4">
        <v>44837</v>
      </c>
    </row>
    <row r="290" spans="1:19" ht="12.5" x14ac:dyDescent="0.25">
      <c r="A290" s="14" t="str">
        <f>HYPERLINK("https://gerandofalcoes.my.salesforce.com/0014X00002VKCpKQAX", "0014X00002VKCpKQAX")</f>
        <v>0014X00002VKCpKQAX</v>
      </c>
      <c r="B290" s="2" t="s">
        <v>2225</v>
      </c>
      <c r="C290" s="2" t="s">
        <v>423</v>
      </c>
      <c r="D290" s="2" t="s">
        <v>2</v>
      </c>
      <c r="E290" s="2">
        <v>31.18</v>
      </c>
      <c r="F290" s="2">
        <v>0</v>
      </c>
      <c r="G290" s="2">
        <v>0</v>
      </c>
      <c r="H290" s="2">
        <v>0</v>
      </c>
      <c r="I290" s="2">
        <v>78</v>
      </c>
      <c r="J290" s="2" t="s">
        <v>1779</v>
      </c>
      <c r="K290" s="2">
        <v>20</v>
      </c>
      <c r="L290" s="2">
        <v>15</v>
      </c>
      <c r="M290" s="2">
        <v>0</v>
      </c>
      <c r="N290" s="2">
        <v>0</v>
      </c>
      <c r="O290" s="2">
        <v>0</v>
      </c>
      <c r="P290" s="2">
        <v>5</v>
      </c>
      <c r="Q290" s="2" t="s">
        <v>2233</v>
      </c>
      <c r="R290" s="2" t="s">
        <v>2234</v>
      </c>
      <c r="S290" s="4">
        <v>44837</v>
      </c>
    </row>
    <row r="291" spans="1:19" ht="12.5" x14ac:dyDescent="0.25">
      <c r="A291" s="14" t="str">
        <f>HYPERLINK("https://gerandofalcoes.my.salesforce.com/0014X00002VKCrWQAX", "0014X00002VKCrWQAX")</f>
        <v>0014X00002VKCrWQAX</v>
      </c>
      <c r="B291" s="2" t="s">
        <v>2235</v>
      </c>
      <c r="C291" s="2" t="s">
        <v>1800</v>
      </c>
      <c r="D291" s="2" t="s">
        <v>2</v>
      </c>
      <c r="E291" s="2">
        <v>31</v>
      </c>
      <c r="F291" s="2">
        <v>700</v>
      </c>
      <c r="G291" s="2">
        <v>3</v>
      </c>
      <c r="H291" s="2">
        <v>100000</v>
      </c>
      <c r="I291" s="2">
        <v>850</v>
      </c>
      <c r="J291" s="2" t="s">
        <v>1650</v>
      </c>
      <c r="K291" s="2">
        <v>73</v>
      </c>
      <c r="L291" s="2">
        <v>15</v>
      </c>
      <c r="M291" s="2">
        <v>15</v>
      </c>
      <c r="N291" s="2">
        <v>8</v>
      </c>
      <c r="O291" s="2">
        <v>15</v>
      </c>
      <c r="P291" s="2">
        <v>20</v>
      </c>
      <c r="Q291" s="2" t="s">
        <v>2236</v>
      </c>
      <c r="R291" s="2" t="s">
        <v>2237</v>
      </c>
      <c r="S291" s="4">
        <v>44837</v>
      </c>
    </row>
    <row r="292" spans="1:19" ht="12.5" x14ac:dyDescent="0.25">
      <c r="A292" s="14" t="str">
        <f>HYPERLINK("https://gerandofalcoes.my.salesforce.com/0014P00003YSpAMQA1", "0014P00003YSpAMQA1")</f>
        <v>0014P00003YSpAMQA1</v>
      </c>
      <c r="B292" s="2" t="s">
        <v>2240</v>
      </c>
      <c r="C292" s="2" t="s">
        <v>1800</v>
      </c>
      <c r="D292" s="2" t="s">
        <v>2</v>
      </c>
      <c r="E292" s="2">
        <v>31</v>
      </c>
      <c r="F292" s="2">
        <v>0</v>
      </c>
      <c r="G292" s="2">
        <v>2</v>
      </c>
      <c r="H292" s="2">
        <v>8000</v>
      </c>
      <c r="I292" s="2">
        <v>21</v>
      </c>
      <c r="J292" s="2" t="s">
        <v>1779</v>
      </c>
      <c r="K292" s="2">
        <v>31</v>
      </c>
      <c r="L292" s="2">
        <v>15</v>
      </c>
      <c r="M292" s="2">
        <v>0</v>
      </c>
      <c r="N292" s="2">
        <v>6</v>
      </c>
      <c r="O292" s="2">
        <v>5</v>
      </c>
      <c r="P292" s="2">
        <v>5</v>
      </c>
      <c r="Q292" s="2" t="s">
        <v>2241</v>
      </c>
      <c r="R292" s="2" t="s">
        <v>2242</v>
      </c>
      <c r="S292" s="4">
        <v>44837</v>
      </c>
    </row>
    <row r="293" spans="1:19" ht="12.5" x14ac:dyDescent="0.25">
      <c r="A293" s="14" t="str">
        <f>HYPERLINK("https://gerandofalcoes.my.salesforce.com/0014P00003YSpA1QAL", "0014P00003YSpA1QAL")</f>
        <v>0014P00003YSpA1QAL</v>
      </c>
      <c r="B293" s="2" t="s">
        <v>2238</v>
      </c>
      <c r="C293" s="2" t="s">
        <v>1800</v>
      </c>
      <c r="D293" s="2" t="s">
        <v>2</v>
      </c>
      <c r="E293" s="2">
        <v>31</v>
      </c>
      <c r="F293" s="2">
        <v>0</v>
      </c>
      <c r="G293" s="2">
        <v>2</v>
      </c>
      <c r="H293" s="2">
        <v>50000</v>
      </c>
      <c r="I293" s="2">
        <v>41</v>
      </c>
      <c r="J293" s="2" t="s">
        <v>1779</v>
      </c>
      <c r="K293" s="2">
        <v>36</v>
      </c>
      <c r="L293" s="2">
        <v>15</v>
      </c>
      <c r="M293" s="2">
        <v>0</v>
      </c>
      <c r="N293" s="2">
        <v>6</v>
      </c>
      <c r="O293" s="2">
        <v>10</v>
      </c>
      <c r="P293" s="2">
        <v>5</v>
      </c>
      <c r="Q293" s="2" t="s">
        <v>2239</v>
      </c>
      <c r="R293" s="2" t="s">
        <v>2239</v>
      </c>
      <c r="S293" s="4">
        <v>44837</v>
      </c>
    </row>
    <row r="294" spans="1:19" ht="12.5" x14ac:dyDescent="0.25">
      <c r="A294" s="14" t="str">
        <f>HYPERLINK("https://gerandofalcoes.my.salesforce.com/0014X00002VKCp3QAH", "0014X00002VKCp3QAH")</f>
        <v>0014X00002VKCp3QAH</v>
      </c>
      <c r="B294" s="2" t="s">
        <v>2247</v>
      </c>
      <c r="C294" s="2" t="s">
        <v>1800</v>
      </c>
      <c r="D294" s="2" t="s">
        <v>2</v>
      </c>
      <c r="E294" s="2">
        <v>31</v>
      </c>
      <c r="F294" s="2">
        <v>0</v>
      </c>
      <c r="G294" s="2">
        <v>3</v>
      </c>
      <c r="H294" s="2">
        <v>0</v>
      </c>
      <c r="I294" s="2">
        <v>0</v>
      </c>
      <c r="J294" s="2" t="s">
        <v>1779</v>
      </c>
      <c r="K294" s="2">
        <v>23</v>
      </c>
      <c r="L294" s="2">
        <v>15</v>
      </c>
      <c r="M294" s="2">
        <v>0</v>
      </c>
      <c r="N294" s="2">
        <v>8</v>
      </c>
      <c r="O294" s="2">
        <v>0</v>
      </c>
      <c r="P294" s="2">
        <v>0</v>
      </c>
      <c r="Q294" s="2" t="s">
        <v>2248</v>
      </c>
      <c r="R294" s="2" t="s">
        <v>2248</v>
      </c>
      <c r="S294" s="4">
        <v>44837</v>
      </c>
    </row>
    <row r="295" spans="1:19" ht="12.5" x14ac:dyDescent="0.25">
      <c r="A295" s="14" t="str">
        <f>HYPERLINK("https://gerandofalcoes.my.salesforce.com/0014X00002VKCuRQAX", "0014X00002VKCuRQAX")</f>
        <v>0014X00002VKCuRQAX</v>
      </c>
      <c r="B295" s="2" t="s">
        <v>2243</v>
      </c>
      <c r="C295" s="2" t="s">
        <v>423</v>
      </c>
      <c r="D295" s="2" t="s">
        <v>2</v>
      </c>
      <c r="E295" s="2">
        <v>31</v>
      </c>
      <c r="F295" s="2">
        <v>3</v>
      </c>
      <c r="G295" s="2">
        <v>6</v>
      </c>
      <c r="H295" s="2">
        <v>100000</v>
      </c>
      <c r="I295" s="2">
        <v>0</v>
      </c>
      <c r="J295" s="2" t="s">
        <v>1671</v>
      </c>
      <c r="K295" s="2">
        <v>45</v>
      </c>
      <c r="L295" s="2">
        <v>15</v>
      </c>
      <c r="M295" s="2">
        <v>5</v>
      </c>
      <c r="N295" s="2">
        <v>10</v>
      </c>
      <c r="O295" s="2">
        <v>15</v>
      </c>
      <c r="P295" s="2">
        <v>0</v>
      </c>
      <c r="Q295" s="2" t="s">
        <v>2244</v>
      </c>
      <c r="R295" s="2" t="s">
        <v>2244</v>
      </c>
      <c r="S295" s="4">
        <v>44837</v>
      </c>
    </row>
    <row r="296" spans="1:19" ht="12.5" x14ac:dyDescent="0.25">
      <c r="A296" s="14" t="str">
        <f>HYPERLINK("https://gerandofalcoes.my.salesforce.com/0014P00003YSp9aQAD", "0014P00003YSp9aQAD")</f>
        <v>0014P00003YSp9aQAD</v>
      </c>
      <c r="B296" s="2" t="s">
        <v>2249</v>
      </c>
      <c r="C296" s="2" t="s">
        <v>423</v>
      </c>
      <c r="D296" s="2" t="s">
        <v>2</v>
      </c>
      <c r="E296" s="2">
        <v>30.96</v>
      </c>
      <c r="F296" s="2">
        <v>0</v>
      </c>
      <c r="G296" s="2">
        <v>1</v>
      </c>
      <c r="H296" s="2">
        <v>2500</v>
      </c>
      <c r="I296" s="2">
        <v>50</v>
      </c>
      <c r="J296" s="2" t="s">
        <v>1779</v>
      </c>
      <c r="K296" s="2">
        <v>29</v>
      </c>
      <c r="L296" s="2">
        <v>15</v>
      </c>
      <c r="M296" s="2">
        <v>0</v>
      </c>
      <c r="N296" s="2">
        <v>4</v>
      </c>
      <c r="O296" s="2">
        <v>5</v>
      </c>
      <c r="P296" s="2">
        <v>5</v>
      </c>
      <c r="Q296" s="2" t="s">
        <v>2250</v>
      </c>
      <c r="R296" s="2" t="s">
        <v>2251</v>
      </c>
      <c r="S296" s="4">
        <v>44837</v>
      </c>
    </row>
    <row r="297" spans="1:19" ht="12.5" x14ac:dyDescent="0.25">
      <c r="A297" s="14" t="str">
        <f>HYPERLINK("https://gerandofalcoes.my.salesforce.com/0014X00002YgghvQAB", "0014X00002YgghvQAB")</f>
        <v>0014X00002YgghvQAB</v>
      </c>
      <c r="B297" s="2" t="s">
        <v>3179</v>
      </c>
      <c r="C297" s="2" t="s">
        <v>423</v>
      </c>
      <c r="D297" s="2" t="s">
        <v>2</v>
      </c>
      <c r="E297" s="2">
        <v>30.93</v>
      </c>
      <c r="F297" s="2">
        <v>18</v>
      </c>
      <c r="G297" s="2">
        <v>3</v>
      </c>
      <c r="H297" s="2">
        <v>100000</v>
      </c>
      <c r="I297" s="2">
        <v>850</v>
      </c>
      <c r="J297" s="2" t="s">
        <v>1650</v>
      </c>
      <c r="K297" s="2">
        <v>70</v>
      </c>
      <c r="L297" s="2">
        <v>15</v>
      </c>
      <c r="M297" s="2">
        <v>12</v>
      </c>
      <c r="N297" s="2">
        <v>8</v>
      </c>
      <c r="O297" s="2">
        <v>15</v>
      </c>
      <c r="P297" s="2">
        <v>20</v>
      </c>
      <c r="Q297" s="2" t="s">
        <v>3180</v>
      </c>
      <c r="R297" s="2" t="s">
        <v>3181</v>
      </c>
      <c r="S297" s="4">
        <v>44951</v>
      </c>
    </row>
    <row r="298" spans="1:19" ht="12.5" x14ac:dyDescent="0.25">
      <c r="A298" s="14" t="str">
        <f>HYPERLINK("https://gerandofalcoes.my.salesforce.com/0014X00002PUOUaQAP", "0014X00002PUOUaQAP")</f>
        <v>0014X00002PUOUaQAP</v>
      </c>
      <c r="B298" s="2" t="s">
        <v>8</v>
      </c>
      <c r="C298" s="2" t="s">
        <v>423</v>
      </c>
      <c r="D298" s="2" t="s">
        <v>2</v>
      </c>
      <c r="E298" s="2">
        <v>30.77</v>
      </c>
      <c r="F298" s="2">
        <v>2</v>
      </c>
      <c r="G298" s="2">
        <v>1</v>
      </c>
      <c r="H298" s="2">
        <v>24000</v>
      </c>
      <c r="I298" s="2">
        <v>200</v>
      </c>
      <c r="J298" s="2" t="s">
        <v>1671</v>
      </c>
      <c r="K298" s="2">
        <v>41</v>
      </c>
      <c r="L298" s="2">
        <v>15</v>
      </c>
      <c r="M298" s="2">
        <v>5</v>
      </c>
      <c r="N298" s="2">
        <v>4</v>
      </c>
      <c r="O298" s="2">
        <v>5</v>
      </c>
      <c r="P298" s="2">
        <v>12</v>
      </c>
      <c r="Q298" s="2" t="s">
        <v>2252</v>
      </c>
      <c r="R298" s="2" t="s">
        <v>2252</v>
      </c>
      <c r="S298" s="4">
        <v>44837</v>
      </c>
    </row>
    <row r="299" spans="1:19" ht="12.5" x14ac:dyDescent="0.25">
      <c r="A299" s="14" t="str">
        <f>HYPERLINK("https://gerandofalcoes.my.salesforce.com/0014P00003YSp9iQAD", "0014P00003YSp9iQAD")</f>
        <v>0014P00003YSp9iQAD</v>
      </c>
      <c r="B299" s="2" t="s">
        <v>2253</v>
      </c>
      <c r="C299" s="2" t="s">
        <v>423</v>
      </c>
      <c r="D299" s="2" t="s">
        <v>2</v>
      </c>
      <c r="E299" s="2">
        <v>30.76</v>
      </c>
      <c r="F299" s="2">
        <v>0</v>
      </c>
      <c r="G299" s="2">
        <v>3</v>
      </c>
      <c r="H299" s="2">
        <v>27240</v>
      </c>
      <c r="I299" s="2">
        <v>0</v>
      </c>
      <c r="J299" s="2" t="s">
        <v>1779</v>
      </c>
      <c r="K299" s="2">
        <v>33</v>
      </c>
      <c r="L299" s="2">
        <v>15</v>
      </c>
      <c r="M299" s="2">
        <v>0</v>
      </c>
      <c r="N299" s="2">
        <v>8</v>
      </c>
      <c r="O299" s="2">
        <v>10</v>
      </c>
      <c r="P299" s="2">
        <v>0</v>
      </c>
      <c r="Q299" s="2" t="s">
        <v>2254</v>
      </c>
      <c r="R299" s="2" t="s">
        <v>2255</v>
      </c>
      <c r="S299" s="4">
        <v>44837</v>
      </c>
    </row>
    <row r="300" spans="1:19" ht="12.5" x14ac:dyDescent="0.25">
      <c r="A300" s="14" t="str">
        <f>HYPERLINK("https://gerandofalcoes.my.salesforce.com/0014X00002VKCp6QAH", "0014X00002VKCp6QAH")</f>
        <v>0014X00002VKCp6QAH</v>
      </c>
      <c r="B300" s="2" t="s">
        <v>2256</v>
      </c>
      <c r="C300" s="2" t="s">
        <v>423</v>
      </c>
      <c r="D300" s="2" t="s">
        <v>2</v>
      </c>
      <c r="E300" s="2">
        <v>30.75</v>
      </c>
      <c r="F300" s="2">
        <v>0</v>
      </c>
      <c r="G300" s="2">
        <v>1</v>
      </c>
      <c r="H300" s="2">
        <v>155845</v>
      </c>
      <c r="I300" s="2">
        <v>50</v>
      </c>
      <c r="J300" s="2" t="s">
        <v>1779</v>
      </c>
      <c r="K300" s="2">
        <v>39</v>
      </c>
      <c r="L300" s="2">
        <v>15</v>
      </c>
      <c r="M300" s="2">
        <v>0</v>
      </c>
      <c r="N300" s="2">
        <v>4</v>
      </c>
      <c r="O300" s="2">
        <v>15</v>
      </c>
      <c r="P300" s="2">
        <v>5</v>
      </c>
      <c r="Q300" s="2" t="s">
        <v>2257</v>
      </c>
      <c r="R300" s="2" t="s">
        <v>2258</v>
      </c>
      <c r="S300" s="4">
        <v>44837</v>
      </c>
    </row>
    <row r="301" spans="1:19" ht="12.5" x14ac:dyDescent="0.25">
      <c r="A301" s="14" t="str">
        <f>HYPERLINK("https://gerandofalcoes.my.salesforce.com/0014X00002VKCstQAH", "0014X00002VKCstQAH")</f>
        <v>0014X00002VKCstQAH</v>
      </c>
      <c r="B301" s="2" t="s">
        <v>2259</v>
      </c>
      <c r="C301" s="2" t="s">
        <v>423</v>
      </c>
      <c r="D301" s="2" t="s">
        <v>2</v>
      </c>
      <c r="E301" s="2">
        <v>30.53</v>
      </c>
      <c r="F301" s="2">
        <v>2</v>
      </c>
      <c r="G301" s="2">
        <v>1</v>
      </c>
      <c r="H301" s="2">
        <v>5000</v>
      </c>
      <c r="I301" s="2">
        <v>50</v>
      </c>
      <c r="J301" s="2" t="s">
        <v>1779</v>
      </c>
      <c r="K301" s="2">
        <v>34</v>
      </c>
      <c r="L301" s="2">
        <v>15</v>
      </c>
      <c r="M301" s="2">
        <v>5</v>
      </c>
      <c r="N301" s="2">
        <v>4</v>
      </c>
      <c r="O301" s="2">
        <v>5</v>
      </c>
      <c r="P301" s="2">
        <v>5</v>
      </c>
      <c r="Q301" s="2" t="s">
        <v>2260</v>
      </c>
      <c r="R301" s="2" t="s">
        <v>2260</v>
      </c>
      <c r="S301" s="4">
        <v>44837</v>
      </c>
    </row>
    <row r="302" spans="1:19" ht="12.5" hidden="1" x14ac:dyDescent="0.25">
      <c r="A302" s="14" t="str">
        <f>HYPERLINK("https://gerandofalcoes.my.salesforce.com/0014P00003AN2h7QAD", "0014P00003AN2h7QAD")</f>
        <v>0014P00003AN2h7QAD</v>
      </c>
      <c r="B302" s="2" t="s">
        <v>2988</v>
      </c>
      <c r="C302" s="2" t="s">
        <v>1684</v>
      </c>
      <c r="D302" s="2" t="s">
        <v>2</v>
      </c>
      <c r="E302" s="2"/>
      <c r="F302" s="2">
        <v>0</v>
      </c>
      <c r="G302" s="2">
        <v>0</v>
      </c>
      <c r="H302" s="2">
        <v>0</v>
      </c>
      <c r="I302" s="2">
        <v>130</v>
      </c>
      <c r="J302" s="2" t="s">
        <v>1779</v>
      </c>
      <c r="K302" s="2">
        <v>10</v>
      </c>
      <c r="L302" s="2">
        <v>0</v>
      </c>
      <c r="M302" s="2">
        <v>0</v>
      </c>
      <c r="N302" s="2">
        <v>0</v>
      </c>
      <c r="O302" s="2">
        <v>0</v>
      </c>
      <c r="P302" s="2">
        <v>10</v>
      </c>
      <c r="Q302" s="2" t="s">
        <v>2989</v>
      </c>
      <c r="R302" s="2" t="s">
        <v>602</v>
      </c>
      <c r="S302" s="4">
        <v>44837</v>
      </c>
    </row>
    <row r="303" spans="1:19" ht="12.5" x14ac:dyDescent="0.25">
      <c r="A303" s="14" t="str">
        <f>HYPERLINK("https://gerandofalcoes.my.salesforce.com/0014P00003YSp9NQAT", "0014P00003YSp9NQAT")</f>
        <v>0014P00003YSp9NQAT</v>
      </c>
      <c r="B303" s="2" t="s">
        <v>2275</v>
      </c>
      <c r="C303" s="2" t="s">
        <v>423</v>
      </c>
      <c r="D303" s="2" t="s">
        <v>2</v>
      </c>
      <c r="E303" s="2">
        <v>30</v>
      </c>
      <c r="F303" s="2">
        <v>0</v>
      </c>
      <c r="G303" s="2">
        <v>2</v>
      </c>
      <c r="H303" s="2">
        <v>11000</v>
      </c>
      <c r="I303" s="2">
        <v>20</v>
      </c>
      <c r="J303" s="2" t="s">
        <v>1779</v>
      </c>
      <c r="K303" s="2">
        <v>31</v>
      </c>
      <c r="L303" s="2">
        <v>15</v>
      </c>
      <c r="M303" s="2">
        <v>0</v>
      </c>
      <c r="N303" s="2">
        <v>6</v>
      </c>
      <c r="O303" s="2">
        <v>5</v>
      </c>
      <c r="P303" s="2">
        <v>5</v>
      </c>
      <c r="Q303" s="2" t="s">
        <v>2276</v>
      </c>
      <c r="R303" s="2" t="s">
        <v>2276</v>
      </c>
      <c r="S303" s="4">
        <v>44837</v>
      </c>
    </row>
    <row r="304" spans="1:19" ht="12.5" x14ac:dyDescent="0.25">
      <c r="A304" s="14" t="str">
        <f>HYPERLINK("https://gerandofalcoes.my.salesforce.com/0014X00002VKCqvQAH", "0014X00002VKCqvQAH")</f>
        <v>0014X00002VKCqvQAH</v>
      </c>
      <c r="B304" s="2" t="s">
        <v>2261</v>
      </c>
      <c r="C304" s="2" t="s">
        <v>1800</v>
      </c>
      <c r="D304" s="2" t="s">
        <v>2</v>
      </c>
      <c r="E304" s="2">
        <v>30</v>
      </c>
      <c r="F304" s="2">
        <v>0</v>
      </c>
      <c r="G304" s="2">
        <v>3</v>
      </c>
      <c r="H304" s="2">
        <v>10000</v>
      </c>
      <c r="I304" s="2">
        <v>300</v>
      </c>
      <c r="J304" s="2" t="s">
        <v>1671</v>
      </c>
      <c r="K304" s="2">
        <v>43</v>
      </c>
      <c r="L304" s="2">
        <v>15</v>
      </c>
      <c r="M304" s="2">
        <v>0</v>
      </c>
      <c r="N304" s="2">
        <v>8</v>
      </c>
      <c r="O304" s="2">
        <v>5</v>
      </c>
      <c r="P304" s="2">
        <v>15</v>
      </c>
      <c r="Q304" s="2" t="s">
        <v>2262</v>
      </c>
      <c r="R304" s="2" t="s">
        <v>2263</v>
      </c>
      <c r="S304" s="4">
        <v>44837</v>
      </c>
    </row>
    <row r="305" spans="1:19" ht="12.5" x14ac:dyDescent="0.25">
      <c r="A305" s="14" t="str">
        <f>HYPERLINK("https://gerandofalcoes.my.salesforce.com/0014P00003YSp7RQAT", "0014P00003YSp7RQAT")</f>
        <v>0014P00003YSp7RQAT</v>
      </c>
      <c r="B305" s="2" t="s">
        <v>2272</v>
      </c>
      <c r="C305" s="2" t="s">
        <v>423</v>
      </c>
      <c r="D305" s="2" t="s">
        <v>2</v>
      </c>
      <c r="E305" s="2">
        <v>30</v>
      </c>
      <c r="F305" s="2">
        <v>1</v>
      </c>
      <c r="G305" s="2">
        <v>2</v>
      </c>
      <c r="H305" s="2">
        <v>25000</v>
      </c>
      <c r="I305" s="2">
        <v>60</v>
      </c>
      <c r="J305" s="2" t="s">
        <v>1671</v>
      </c>
      <c r="K305" s="2">
        <v>41</v>
      </c>
      <c r="L305" s="2">
        <v>15</v>
      </c>
      <c r="M305" s="2">
        <v>5</v>
      </c>
      <c r="N305" s="2">
        <v>6</v>
      </c>
      <c r="O305" s="2">
        <v>10</v>
      </c>
      <c r="P305" s="2">
        <v>5</v>
      </c>
      <c r="Q305" s="2" t="s">
        <v>2273</v>
      </c>
      <c r="R305" s="2" t="s">
        <v>2274</v>
      </c>
      <c r="S305" s="4">
        <v>44837</v>
      </c>
    </row>
    <row r="306" spans="1:19" ht="12.5" x14ac:dyDescent="0.25">
      <c r="A306" s="14" t="str">
        <f>HYPERLINK("https://gerandofalcoes.my.salesforce.com/0014X00002VKCtAQAX", "0014X00002VKCtAQAX")</f>
        <v>0014X00002VKCtAQAX</v>
      </c>
      <c r="B306" s="2" t="s">
        <v>2267</v>
      </c>
      <c r="C306" s="2" t="s">
        <v>1800</v>
      </c>
      <c r="D306" s="2" t="s">
        <v>2</v>
      </c>
      <c r="E306" s="2">
        <v>30</v>
      </c>
      <c r="F306" s="2">
        <v>0</v>
      </c>
      <c r="G306" s="2">
        <v>3</v>
      </c>
      <c r="H306" s="2">
        <v>12000</v>
      </c>
      <c r="I306" s="2">
        <v>140</v>
      </c>
      <c r="J306" s="2" t="s">
        <v>1779</v>
      </c>
      <c r="K306" s="2">
        <v>38</v>
      </c>
      <c r="L306" s="2">
        <v>15</v>
      </c>
      <c r="M306" s="2">
        <v>0</v>
      </c>
      <c r="N306" s="2">
        <v>8</v>
      </c>
      <c r="O306" s="2">
        <v>5</v>
      </c>
      <c r="P306" s="2">
        <v>10</v>
      </c>
      <c r="Q306" s="2" t="s">
        <v>2268</v>
      </c>
      <c r="R306" s="2" t="s">
        <v>2269</v>
      </c>
      <c r="S306" s="4">
        <v>44837</v>
      </c>
    </row>
    <row r="307" spans="1:19" ht="12.5" x14ac:dyDescent="0.25">
      <c r="A307" s="14" t="str">
        <f>HYPERLINK("https://gerandofalcoes.my.salesforce.com/0014P00003YSp9jQAD", "0014P00003YSp9jQAD")</f>
        <v>0014P00003YSp9jQAD</v>
      </c>
      <c r="B307" s="2" t="s">
        <v>2270</v>
      </c>
      <c r="C307" s="2" t="s">
        <v>423</v>
      </c>
      <c r="D307" s="2" t="s">
        <v>2</v>
      </c>
      <c r="E307" s="2">
        <v>30</v>
      </c>
      <c r="F307" s="2">
        <v>1</v>
      </c>
      <c r="G307" s="2">
        <v>1</v>
      </c>
      <c r="H307" s="2">
        <v>6000</v>
      </c>
      <c r="I307" s="2">
        <v>110</v>
      </c>
      <c r="J307" s="2" t="s">
        <v>1779</v>
      </c>
      <c r="K307" s="2">
        <v>39</v>
      </c>
      <c r="L307" s="2">
        <v>15</v>
      </c>
      <c r="M307" s="2">
        <v>5</v>
      </c>
      <c r="N307" s="2">
        <v>4</v>
      </c>
      <c r="O307" s="2">
        <v>5</v>
      </c>
      <c r="P307" s="2">
        <v>10</v>
      </c>
      <c r="Q307" s="2" t="s">
        <v>2271</v>
      </c>
      <c r="R307" s="2" t="s">
        <v>2271</v>
      </c>
      <c r="S307" s="4">
        <v>44837</v>
      </c>
    </row>
    <row r="308" spans="1:19" ht="12.5" x14ac:dyDescent="0.25">
      <c r="A308" s="14" t="str">
        <f>HYPERLINK("https://gerandofalcoes.my.salesforce.com/0014X00002VKCqaQAH", "0014X00002VKCqaQAH")</f>
        <v>0014X00002VKCqaQAH</v>
      </c>
      <c r="B308" s="2" t="s">
        <v>2277</v>
      </c>
      <c r="C308" s="2" t="s">
        <v>1800</v>
      </c>
      <c r="D308" s="2" t="s">
        <v>2</v>
      </c>
      <c r="E308" s="2">
        <v>30</v>
      </c>
      <c r="F308" s="2">
        <v>0</v>
      </c>
      <c r="G308" s="2">
        <v>2</v>
      </c>
      <c r="H308" s="2">
        <v>0</v>
      </c>
      <c r="I308" s="2">
        <v>10</v>
      </c>
      <c r="J308" s="2" t="s">
        <v>1779</v>
      </c>
      <c r="K308" s="2">
        <v>26</v>
      </c>
      <c r="L308" s="2">
        <v>15</v>
      </c>
      <c r="M308" s="2">
        <v>0</v>
      </c>
      <c r="N308" s="2">
        <v>6</v>
      </c>
      <c r="O308" s="2">
        <v>0</v>
      </c>
      <c r="P308" s="2">
        <v>5</v>
      </c>
      <c r="Q308" s="2" t="s">
        <v>2278</v>
      </c>
      <c r="R308" s="2" t="s">
        <v>2278</v>
      </c>
      <c r="S308" s="4">
        <v>44837</v>
      </c>
    </row>
    <row r="309" spans="1:19" ht="12.5" x14ac:dyDescent="0.25">
      <c r="A309" s="14" t="str">
        <f>HYPERLINK("https://gerandofalcoes.my.salesforce.com/0014X00002VKD05QAH", "0014X00002VKD05QAH")</f>
        <v>0014X00002VKD05QAH</v>
      </c>
      <c r="B309" s="2" t="s">
        <v>2264</v>
      </c>
      <c r="C309" s="2" t="s">
        <v>423</v>
      </c>
      <c r="D309" s="2" t="s">
        <v>2</v>
      </c>
      <c r="E309" s="2">
        <v>30</v>
      </c>
      <c r="F309" s="2">
        <v>0</v>
      </c>
      <c r="G309" s="2">
        <v>2</v>
      </c>
      <c r="H309" s="2">
        <v>199010</v>
      </c>
      <c r="I309" s="2">
        <v>240</v>
      </c>
      <c r="J309" s="2" t="s">
        <v>1671</v>
      </c>
      <c r="K309" s="2">
        <v>48</v>
      </c>
      <c r="L309" s="2">
        <v>15</v>
      </c>
      <c r="M309" s="2">
        <v>0</v>
      </c>
      <c r="N309" s="2">
        <v>6</v>
      </c>
      <c r="O309" s="2">
        <v>15</v>
      </c>
      <c r="P309" s="2">
        <v>12</v>
      </c>
      <c r="Q309" s="2" t="s">
        <v>2265</v>
      </c>
      <c r="R309" s="2" t="s">
        <v>2266</v>
      </c>
      <c r="S309" s="4">
        <v>44837</v>
      </c>
    </row>
    <row r="310" spans="1:19" ht="12.5" x14ac:dyDescent="0.25">
      <c r="A310" s="14" t="str">
        <f>HYPERLINK("https://gerandofalcoes.my.salesforce.com/0014P00003YSp9EQAT", "0014P00003YSp9EQAT")</f>
        <v>0014P00003YSp9EQAT</v>
      </c>
      <c r="B310" s="2" t="s">
        <v>2279</v>
      </c>
      <c r="C310" s="2" t="s">
        <v>423</v>
      </c>
      <c r="D310" s="2" t="s">
        <v>2</v>
      </c>
      <c r="E310" s="2">
        <v>29.85</v>
      </c>
      <c r="F310" s="2">
        <v>2</v>
      </c>
      <c r="G310" s="2">
        <v>0</v>
      </c>
      <c r="H310" s="2">
        <v>0</v>
      </c>
      <c r="I310" s="2">
        <v>30</v>
      </c>
      <c r="J310" s="2" t="s">
        <v>1779</v>
      </c>
      <c r="K310" s="2">
        <v>25</v>
      </c>
      <c r="L310" s="2">
        <v>15</v>
      </c>
      <c r="M310" s="2">
        <v>5</v>
      </c>
      <c r="N310" s="2">
        <v>0</v>
      </c>
      <c r="O310" s="2">
        <v>0</v>
      </c>
      <c r="P310" s="2">
        <v>5</v>
      </c>
      <c r="Q310" s="2" t="s">
        <v>2280</v>
      </c>
      <c r="R310" s="2" t="s">
        <v>2281</v>
      </c>
      <c r="S310" s="4">
        <v>44837</v>
      </c>
    </row>
    <row r="311" spans="1:19" ht="12.5" x14ac:dyDescent="0.25">
      <c r="A311" s="14" t="str">
        <f>HYPERLINK("https://gerandofalcoes.my.salesforce.com/0014X00002VKD04QAH", "0014X00002VKD04QAH")</f>
        <v>0014X00002VKD04QAH</v>
      </c>
      <c r="B311" s="2" t="s">
        <v>2282</v>
      </c>
      <c r="C311" s="2" t="s">
        <v>423</v>
      </c>
      <c r="D311" s="2" t="s">
        <v>2</v>
      </c>
      <c r="E311" s="2">
        <v>29.75</v>
      </c>
      <c r="F311" s="2">
        <v>24</v>
      </c>
      <c r="G311" s="2">
        <v>3</v>
      </c>
      <c r="H311" s="2">
        <v>1200000</v>
      </c>
      <c r="I311" s="2">
        <v>35</v>
      </c>
      <c r="J311" s="2" t="s">
        <v>1650</v>
      </c>
      <c r="K311" s="2">
        <v>65</v>
      </c>
      <c r="L311" s="2">
        <v>15</v>
      </c>
      <c r="M311" s="2">
        <v>12</v>
      </c>
      <c r="N311" s="2">
        <v>8</v>
      </c>
      <c r="O311" s="2">
        <v>25</v>
      </c>
      <c r="P311" s="2">
        <v>5</v>
      </c>
      <c r="Q311" s="2" t="s">
        <v>2283</v>
      </c>
      <c r="R311" s="2" t="s">
        <v>2284</v>
      </c>
      <c r="S311" s="4">
        <v>44837</v>
      </c>
    </row>
    <row r="312" spans="1:19" ht="12.5" x14ac:dyDescent="0.25">
      <c r="A312" s="14" t="str">
        <f>HYPERLINK("https://gerandofalcoes.my.salesforce.com/0014P00003SGWQ9QAP", "0014P00003SGWQ9QAP")</f>
        <v>0014P00003SGWQ9QAP</v>
      </c>
      <c r="B312" s="2" t="s">
        <v>232</v>
      </c>
      <c r="C312" s="2" t="s">
        <v>423</v>
      </c>
      <c r="D312" s="2" t="s">
        <v>2</v>
      </c>
      <c r="E312" s="2">
        <v>29.74</v>
      </c>
      <c r="F312" s="2">
        <v>5</v>
      </c>
      <c r="G312" s="2">
        <v>3</v>
      </c>
      <c r="H312" s="2">
        <v>191584</v>
      </c>
      <c r="I312" s="2">
        <v>245</v>
      </c>
      <c r="J312" s="2" t="s">
        <v>1671</v>
      </c>
      <c r="K312" s="2">
        <v>55</v>
      </c>
      <c r="L312" s="2">
        <v>15</v>
      </c>
      <c r="M312" s="2">
        <v>5</v>
      </c>
      <c r="N312" s="2">
        <v>8</v>
      </c>
      <c r="O312" s="2">
        <v>15</v>
      </c>
      <c r="P312" s="2">
        <v>12</v>
      </c>
      <c r="Q312" s="2" t="s">
        <v>233</v>
      </c>
      <c r="R312" s="2" t="s">
        <v>2285</v>
      </c>
      <c r="S312" s="4">
        <v>44837</v>
      </c>
    </row>
    <row r="313" spans="1:19" ht="12.5" x14ac:dyDescent="0.25">
      <c r="A313" s="14" t="str">
        <f>HYPERLINK("https://gerandofalcoes.my.salesforce.com/0014X00002PUOdWQAX", "0014X00002PUOdWQAX")</f>
        <v>0014X00002PUOdWQAX</v>
      </c>
      <c r="B313" s="2" t="s">
        <v>22</v>
      </c>
      <c r="C313" s="2" t="s">
        <v>423</v>
      </c>
      <c r="D313" s="2" t="s">
        <v>2</v>
      </c>
      <c r="E313" s="2">
        <v>29.59</v>
      </c>
      <c r="F313" s="2">
        <v>10</v>
      </c>
      <c r="G313" s="2">
        <v>0</v>
      </c>
      <c r="H313" s="2">
        <v>0</v>
      </c>
      <c r="I313" s="2">
        <v>100</v>
      </c>
      <c r="J313" s="2" t="s">
        <v>1779</v>
      </c>
      <c r="K313" s="2">
        <v>35</v>
      </c>
      <c r="L313" s="2">
        <v>15</v>
      </c>
      <c r="M313" s="2">
        <v>10</v>
      </c>
      <c r="N313" s="2">
        <v>0</v>
      </c>
      <c r="O313" s="2">
        <v>0</v>
      </c>
      <c r="P313" s="2">
        <v>10</v>
      </c>
      <c r="Q313" s="2" t="s">
        <v>485</v>
      </c>
      <c r="R313" s="2" t="s">
        <v>485</v>
      </c>
      <c r="S313" s="4">
        <v>44837</v>
      </c>
    </row>
    <row r="314" spans="1:19" ht="12.5" x14ac:dyDescent="0.25">
      <c r="A314" s="14" t="str">
        <f>HYPERLINK("https://gerandofalcoes.my.salesforce.com/0014P00003YSp9WQAT", "0014P00003YSp9WQAT")</f>
        <v>0014P00003YSp9WQAT</v>
      </c>
      <c r="B314" s="2" t="s">
        <v>2286</v>
      </c>
      <c r="C314" s="2" t="s">
        <v>423</v>
      </c>
      <c r="D314" s="2" t="s">
        <v>2</v>
      </c>
      <c r="E314" s="2">
        <v>29.45</v>
      </c>
      <c r="F314" s="2">
        <v>0</v>
      </c>
      <c r="G314" s="2">
        <v>2</v>
      </c>
      <c r="H314" s="2">
        <v>0</v>
      </c>
      <c r="I314" s="2">
        <v>353</v>
      </c>
      <c r="J314" s="2" t="s">
        <v>1779</v>
      </c>
      <c r="K314" s="2">
        <v>36</v>
      </c>
      <c r="L314" s="2">
        <v>15</v>
      </c>
      <c r="M314" s="2">
        <v>0</v>
      </c>
      <c r="N314" s="2">
        <v>6</v>
      </c>
      <c r="O314" s="2">
        <v>0</v>
      </c>
      <c r="P314" s="2">
        <v>15</v>
      </c>
      <c r="Q314" s="2" t="s">
        <v>2287</v>
      </c>
      <c r="R314" s="2" t="s">
        <v>2287</v>
      </c>
      <c r="S314" s="4">
        <v>44837</v>
      </c>
    </row>
    <row r="315" spans="1:19" ht="12.5" x14ac:dyDescent="0.25">
      <c r="A315" s="14" t="str">
        <f>HYPERLINK("https://gerandofalcoes.my.salesforce.com/0014P00003SGWQ0QAP", "0014P00003SGWQ0QAP")</f>
        <v>0014P00003SGWQ0QAP</v>
      </c>
      <c r="B315" s="2" t="s">
        <v>201</v>
      </c>
      <c r="C315" s="2" t="s">
        <v>423</v>
      </c>
      <c r="D315" s="2" t="s">
        <v>2</v>
      </c>
      <c r="E315" s="2">
        <v>29.44</v>
      </c>
      <c r="F315" s="2">
        <v>6</v>
      </c>
      <c r="G315" s="2">
        <v>3</v>
      </c>
      <c r="H315" s="2">
        <v>24338140</v>
      </c>
      <c r="I315" s="2">
        <v>90</v>
      </c>
      <c r="J315" s="2" t="s">
        <v>1650</v>
      </c>
      <c r="K315" s="2">
        <v>68</v>
      </c>
      <c r="L315" s="2">
        <v>15</v>
      </c>
      <c r="M315" s="2">
        <v>10</v>
      </c>
      <c r="N315" s="2">
        <v>8</v>
      </c>
      <c r="O315" s="2">
        <v>25</v>
      </c>
      <c r="P315" s="2">
        <v>10</v>
      </c>
      <c r="Q315" s="2" t="s">
        <v>202</v>
      </c>
      <c r="R315" s="2" t="s">
        <v>1077</v>
      </c>
      <c r="S315" s="4">
        <v>44837</v>
      </c>
    </row>
    <row r="316" spans="1:19" ht="12.5" x14ac:dyDescent="0.25">
      <c r="A316" s="14" t="str">
        <f>HYPERLINK("https://gerandofalcoes.my.salesforce.com/0014X00002YggqlQAB", "0014X00002YggqlQAB")</f>
        <v>0014X00002YggqlQAB</v>
      </c>
      <c r="B316" s="2" t="s">
        <v>3308</v>
      </c>
      <c r="C316" s="2" t="s">
        <v>423</v>
      </c>
      <c r="D316" s="2" t="s">
        <v>2</v>
      </c>
      <c r="E316" s="2">
        <v>29.41</v>
      </c>
      <c r="F316" s="2">
        <v>15</v>
      </c>
      <c r="G316" s="2">
        <v>2</v>
      </c>
      <c r="H316" s="2">
        <v>20000</v>
      </c>
      <c r="I316" s="2">
        <v>120</v>
      </c>
      <c r="J316" s="2" t="s">
        <v>1671</v>
      </c>
      <c r="K316" s="2">
        <v>48</v>
      </c>
      <c r="L316" s="2">
        <v>15</v>
      </c>
      <c r="M316" s="2">
        <v>12</v>
      </c>
      <c r="N316" s="2">
        <v>6</v>
      </c>
      <c r="O316" s="2">
        <v>5</v>
      </c>
      <c r="P316" s="2">
        <v>10</v>
      </c>
      <c r="Q316" s="2" t="s">
        <v>3309</v>
      </c>
      <c r="R316" s="2" t="s">
        <v>3310</v>
      </c>
      <c r="S316" s="4">
        <v>44953</v>
      </c>
    </row>
    <row r="317" spans="1:19" ht="12.5" x14ac:dyDescent="0.25">
      <c r="A317" s="14" t="str">
        <f>HYPERLINK("https://gerandofalcoes.my.salesforce.com/0014P00003AN2etQAD", "0014P00003AN2etQAD")</f>
        <v>0014P00003AN2etQAD</v>
      </c>
      <c r="B317" s="2" t="s">
        <v>2288</v>
      </c>
      <c r="C317" s="2" t="s">
        <v>423</v>
      </c>
      <c r="D317" s="2" t="s">
        <v>2</v>
      </c>
      <c r="E317" s="2">
        <v>29.3</v>
      </c>
      <c r="F317" s="2">
        <v>10</v>
      </c>
      <c r="G317" s="2">
        <v>4</v>
      </c>
      <c r="H317" s="2">
        <v>180000</v>
      </c>
      <c r="I317" s="2">
        <v>320</v>
      </c>
      <c r="J317" s="2" t="s">
        <v>1650</v>
      </c>
      <c r="K317" s="2">
        <v>65</v>
      </c>
      <c r="L317" s="2">
        <v>15</v>
      </c>
      <c r="M317" s="2">
        <v>10</v>
      </c>
      <c r="N317" s="2">
        <v>10</v>
      </c>
      <c r="O317" s="2">
        <v>15</v>
      </c>
      <c r="P317" s="2">
        <v>15</v>
      </c>
      <c r="Q317" s="2" t="s">
        <v>572</v>
      </c>
      <c r="R317" s="2" t="s">
        <v>572</v>
      </c>
      <c r="S317" s="4">
        <v>44837</v>
      </c>
    </row>
    <row r="318" spans="1:19" ht="12.5" x14ac:dyDescent="0.25">
      <c r="A318" s="14" t="str">
        <f>HYPERLINK("https://gerandofalcoes.my.salesforce.com/0014X00002VKCphQAH", "0014X00002VKCphQAH")</f>
        <v>0014X00002VKCphQAH</v>
      </c>
      <c r="B318" s="2" t="s">
        <v>2298</v>
      </c>
      <c r="C318" s="2" t="s">
        <v>1800</v>
      </c>
      <c r="D318" s="2" t="s">
        <v>2</v>
      </c>
      <c r="E318" s="2">
        <v>29</v>
      </c>
      <c r="F318" s="2">
        <v>0</v>
      </c>
      <c r="G318" s="2">
        <v>3</v>
      </c>
      <c r="H318" s="2">
        <v>30000</v>
      </c>
      <c r="I318" s="2">
        <v>150</v>
      </c>
      <c r="J318" s="2" t="s">
        <v>1671</v>
      </c>
      <c r="K318" s="2">
        <v>45</v>
      </c>
      <c r="L318" s="2">
        <v>15</v>
      </c>
      <c r="M318" s="2">
        <v>0</v>
      </c>
      <c r="N318" s="2">
        <v>8</v>
      </c>
      <c r="O318" s="2">
        <v>10</v>
      </c>
      <c r="P318" s="2">
        <v>12</v>
      </c>
      <c r="Q318" s="2" t="s">
        <v>2299</v>
      </c>
      <c r="R318" s="2" t="s">
        <v>2300</v>
      </c>
      <c r="S318" s="4">
        <v>44837</v>
      </c>
    </row>
    <row r="319" spans="1:19" ht="12.5" x14ac:dyDescent="0.25">
      <c r="A319" s="14" t="str">
        <f>HYPERLINK("https://gerandofalcoes.my.salesforce.com/0014X00002VKCq5QAH", "0014X00002VKCq5QAH")</f>
        <v>0014X00002VKCq5QAH</v>
      </c>
      <c r="B319" s="2" t="s">
        <v>2304</v>
      </c>
      <c r="C319" s="2" t="s">
        <v>423</v>
      </c>
      <c r="D319" s="2" t="s">
        <v>2</v>
      </c>
      <c r="E319" s="2">
        <v>29</v>
      </c>
      <c r="F319" s="2">
        <v>3</v>
      </c>
      <c r="G319" s="2">
        <v>3</v>
      </c>
      <c r="H319" s="2">
        <v>30000</v>
      </c>
      <c r="I319" s="2">
        <v>50</v>
      </c>
      <c r="J319" s="2" t="s">
        <v>1671</v>
      </c>
      <c r="K319" s="2">
        <v>43</v>
      </c>
      <c r="L319" s="2">
        <v>15</v>
      </c>
      <c r="M319" s="2">
        <v>5</v>
      </c>
      <c r="N319" s="2">
        <v>8</v>
      </c>
      <c r="O319" s="2">
        <v>10</v>
      </c>
      <c r="P319" s="2">
        <v>5</v>
      </c>
      <c r="Q319" s="2" t="s">
        <v>2305</v>
      </c>
      <c r="R319" s="2" t="s">
        <v>2306</v>
      </c>
      <c r="S319" s="4">
        <v>44837</v>
      </c>
    </row>
    <row r="320" spans="1:19" ht="12.5" x14ac:dyDescent="0.25">
      <c r="A320" s="14" t="str">
        <f>HYPERLINK("https://gerandofalcoes.my.salesforce.com/0014P00003YSp8kQAD", "0014P00003YSp8kQAD")</f>
        <v>0014P00003YSp8kQAD</v>
      </c>
      <c r="B320" s="2" t="s">
        <v>2295</v>
      </c>
      <c r="C320" s="2" t="s">
        <v>1800</v>
      </c>
      <c r="D320" s="2" t="s">
        <v>2</v>
      </c>
      <c r="E320" s="2">
        <v>29</v>
      </c>
      <c r="F320" s="2">
        <v>2</v>
      </c>
      <c r="G320" s="2">
        <v>2</v>
      </c>
      <c r="H320" s="2">
        <v>12000</v>
      </c>
      <c r="I320" s="2">
        <v>300</v>
      </c>
      <c r="J320" s="2" t="s">
        <v>1671</v>
      </c>
      <c r="K320" s="2">
        <v>46</v>
      </c>
      <c r="L320" s="2">
        <v>15</v>
      </c>
      <c r="M320" s="2">
        <v>5</v>
      </c>
      <c r="N320" s="2">
        <v>6</v>
      </c>
      <c r="O320" s="2">
        <v>5</v>
      </c>
      <c r="P320" s="2">
        <v>15</v>
      </c>
      <c r="Q320" s="2" t="s">
        <v>2296</v>
      </c>
      <c r="R320" s="2" t="s">
        <v>2297</v>
      </c>
      <c r="S320" s="4">
        <v>44837</v>
      </c>
    </row>
    <row r="321" spans="1:19" ht="12.5" x14ac:dyDescent="0.25">
      <c r="A321" s="14" t="str">
        <f>HYPERLINK("https://gerandofalcoes.my.salesforce.com/0014X00002VKCp5QAH", "0014X00002VKCp5QAH")</f>
        <v>0014X00002VKCp5QAH</v>
      </c>
      <c r="B321" s="2" t="s">
        <v>2289</v>
      </c>
      <c r="C321" s="2" t="s">
        <v>423</v>
      </c>
      <c r="D321" s="2" t="s">
        <v>2</v>
      </c>
      <c r="E321" s="2">
        <v>29</v>
      </c>
      <c r="F321" s="2">
        <v>0</v>
      </c>
      <c r="G321" s="2">
        <v>8</v>
      </c>
      <c r="H321" s="2">
        <v>52000</v>
      </c>
      <c r="I321" s="2">
        <v>2500</v>
      </c>
      <c r="J321" s="2" t="s">
        <v>1671</v>
      </c>
      <c r="K321" s="2">
        <v>55</v>
      </c>
      <c r="L321" s="2">
        <v>15</v>
      </c>
      <c r="M321" s="2">
        <v>0</v>
      </c>
      <c r="N321" s="2">
        <v>10</v>
      </c>
      <c r="O321" s="2">
        <v>10</v>
      </c>
      <c r="P321" s="2">
        <v>20</v>
      </c>
      <c r="Q321" s="2" t="s">
        <v>2290</v>
      </c>
      <c r="R321" s="2" t="s">
        <v>2291</v>
      </c>
      <c r="S321" s="4">
        <v>44837</v>
      </c>
    </row>
    <row r="322" spans="1:19" ht="12.5" x14ac:dyDescent="0.25">
      <c r="A322" s="14" t="str">
        <f>HYPERLINK("https://gerandofalcoes.my.salesforce.com/0014P00003YSp8NQAT", "0014P00003YSp8NQAT")</f>
        <v>0014P00003YSp8NQAT</v>
      </c>
      <c r="B322" s="2" t="s">
        <v>2292</v>
      </c>
      <c r="C322" s="2" t="s">
        <v>1800</v>
      </c>
      <c r="D322" s="2" t="s">
        <v>2</v>
      </c>
      <c r="E322" s="2">
        <v>29</v>
      </c>
      <c r="F322" s="2">
        <v>3</v>
      </c>
      <c r="G322" s="2">
        <v>2</v>
      </c>
      <c r="H322" s="2">
        <v>13121</v>
      </c>
      <c r="I322" s="2">
        <v>800</v>
      </c>
      <c r="J322" s="2" t="s">
        <v>1671</v>
      </c>
      <c r="K322" s="2">
        <v>51</v>
      </c>
      <c r="L322" s="2">
        <v>15</v>
      </c>
      <c r="M322" s="2">
        <v>5</v>
      </c>
      <c r="N322" s="2">
        <v>6</v>
      </c>
      <c r="O322" s="2">
        <v>5</v>
      </c>
      <c r="P322" s="2">
        <v>20</v>
      </c>
      <c r="Q322" s="2" t="s">
        <v>2293</v>
      </c>
      <c r="R322" s="2" t="s">
        <v>2294</v>
      </c>
      <c r="S322" s="4">
        <v>44837</v>
      </c>
    </row>
    <row r="323" spans="1:19" ht="12.5" x14ac:dyDescent="0.25">
      <c r="A323" s="14" t="str">
        <f>HYPERLINK("https://gerandofalcoes.my.salesforce.com/0014X00002VKCv1QAH", "0014X00002VKCv1QAH")</f>
        <v>0014X00002VKCv1QAH</v>
      </c>
      <c r="B323" s="2" t="s">
        <v>2307</v>
      </c>
      <c r="C323" s="2" t="s">
        <v>423</v>
      </c>
      <c r="D323" s="2" t="s">
        <v>2</v>
      </c>
      <c r="E323" s="2">
        <v>29</v>
      </c>
      <c r="F323" s="2">
        <v>0</v>
      </c>
      <c r="G323" s="2">
        <v>2</v>
      </c>
      <c r="H323" s="2">
        <v>10000</v>
      </c>
      <c r="I323" s="2">
        <v>20</v>
      </c>
      <c r="J323" s="2" t="s">
        <v>1779</v>
      </c>
      <c r="K323" s="2">
        <v>31</v>
      </c>
      <c r="L323" s="2">
        <v>15</v>
      </c>
      <c r="M323" s="2">
        <v>0</v>
      </c>
      <c r="N323" s="2">
        <v>6</v>
      </c>
      <c r="O323" s="2">
        <v>5</v>
      </c>
      <c r="P323" s="2">
        <v>5</v>
      </c>
      <c r="Q323" s="2" t="s">
        <v>2308</v>
      </c>
      <c r="R323" s="2" t="s">
        <v>2308</v>
      </c>
      <c r="S323" s="4">
        <v>44837</v>
      </c>
    </row>
    <row r="324" spans="1:19" ht="12.5" x14ac:dyDescent="0.25">
      <c r="A324" s="14" t="str">
        <f>HYPERLINK("https://gerandofalcoes.my.salesforce.com/0014P00003YSp8eQAD", "0014P00003YSp8eQAD")</f>
        <v>0014P00003YSp8eQAD</v>
      </c>
      <c r="B324" s="2" t="s">
        <v>2309</v>
      </c>
      <c r="C324" s="2" t="s">
        <v>1800</v>
      </c>
      <c r="D324" s="2" t="s">
        <v>2</v>
      </c>
      <c r="E324" s="2">
        <v>29</v>
      </c>
      <c r="F324" s="2">
        <v>0</v>
      </c>
      <c r="G324" s="2">
        <v>3</v>
      </c>
      <c r="H324" s="2">
        <v>350000</v>
      </c>
      <c r="I324" s="2">
        <v>0</v>
      </c>
      <c r="J324" s="2" t="s">
        <v>1671</v>
      </c>
      <c r="K324" s="2">
        <v>43</v>
      </c>
      <c r="L324" s="2">
        <v>15</v>
      </c>
      <c r="M324" s="2">
        <v>0</v>
      </c>
      <c r="N324" s="2">
        <v>8</v>
      </c>
      <c r="O324" s="2">
        <v>20</v>
      </c>
      <c r="P324" s="2">
        <v>0</v>
      </c>
      <c r="Q324" s="2" t="s">
        <v>2310</v>
      </c>
      <c r="R324" s="2" t="s">
        <v>2311</v>
      </c>
      <c r="S324" s="4">
        <v>44837</v>
      </c>
    </row>
    <row r="325" spans="1:19" ht="12.5" x14ac:dyDescent="0.25">
      <c r="A325" s="14" t="str">
        <f>HYPERLINK("https://gerandofalcoes.my.salesforce.com/0014P00003YSp9PQAT", "0014P00003YSp9PQAT")</f>
        <v>0014P00003YSp9PQAT</v>
      </c>
      <c r="B325" s="2" t="s">
        <v>2312</v>
      </c>
      <c r="C325" s="2" t="s">
        <v>423</v>
      </c>
      <c r="D325" s="2" t="s">
        <v>2</v>
      </c>
      <c r="E325" s="2">
        <v>28.92</v>
      </c>
      <c r="F325" s="2">
        <v>1</v>
      </c>
      <c r="G325" s="2">
        <v>2</v>
      </c>
      <c r="H325" s="2">
        <v>105000</v>
      </c>
      <c r="I325" s="2">
        <v>0</v>
      </c>
      <c r="J325" s="2" t="s">
        <v>1671</v>
      </c>
      <c r="K325" s="2">
        <v>41</v>
      </c>
      <c r="L325" s="2">
        <v>15</v>
      </c>
      <c r="M325" s="2">
        <v>5</v>
      </c>
      <c r="N325" s="2">
        <v>6</v>
      </c>
      <c r="O325" s="2">
        <v>15</v>
      </c>
      <c r="P325" s="2">
        <v>0</v>
      </c>
      <c r="Q325" s="2" t="s">
        <v>2313</v>
      </c>
      <c r="R325" s="2" t="s">
        <v>2313</v>
      </c>
      <c r="S325" s="4">
        <v>44837</v>
      </c>
    </row>
    <row r="326" spans="1:19" ht="12.5" x14ac:dyDescent="0.25">
      <c r="A326" s="14" t="str">
        <f>HYPERLINK("https://gerandofalcoes.my.salesforce.com/0014P00003SGWQ2QAP", "0014P00003SGWQ2QAP")</f>
        <v>0014P00003SGWQ2QAP</v>
      </c>
      <c r="B326" s="2" t="s">
        <v>194</v>
      </c>
      <c r="C326" s="2" t="s">
        <v>423</v>
      </c>
      <c r="D326" s="2" t="s">
        <v>2</v>
      </c>
      <c r="E326" s="2">
        <v>28.78</v>
      </c>
      <c r="F326" s="2">
        <v>0</v>
      </c>
      <c r="G326" s="2">
        <v>3</v>
      </c>
      <c r="H326" s="2">
        <v>0</v>
      </c>
      <c r="I326" s="2">
        <v>150</v>
      </c>
      <c r="J326" s="2" t="s">
        <v>1779</v>
      </c>
      <c r="K326" s="2">
        <v>35</v>
      </c>
      <c r="L326" s="2">
        <v>15</v>
      </c>
      <c r="M326" s="2">
        <v>0</v>
      </c>
      <c r="N326" s="2">
        <v>8</v>
      </c>
      <c r="O326" s="2">
        <v>0</v>
      </c>
      <c r="P326" s="2">
        <v>12</v>
      </c>
      <c r="Q326" s="2" t="s">
        <v>195</v>
      </c>
      <c r="R326" s="2" t="s">
        <v>1128</v>
      </c>
      <c r="S326" s="4">
        <v>44837</v>
      </c>
    </row>
    <row r="327" spans="1:19" ht="12.5" x14ac:dyDescent="0.25">
      <c r="A327" s="14" t="str">
        <f>HYPERLINK("https://gerandofalcoes.my.salesforce.com/0014X00002YggmAQAR", "0014X00002YggmAQAR")</f>
        <v>0014X00002YggmAQAR</v>
      </c>
      <c r="B327" s="2" t="s">
        <v>3311</v>
      </c>
      <c r="C327" s="2" t="s">
        <v>423</v>
      </c>
      <c r="D327" s="2" t="s">
        <v>2</v>
      </c>
      <c r="E327" s="2">
        <v>28.56</v>
      </c>
      <c r="F327" s="2">
        <v>0</v>
      </c>
      <c r="G327" s="2">
        <v>5</v>
      </c>
      <c r="H327" s="2">
        <v>469000</v>
      </c>
      <c r="I327" s="2">
        <v>0</v>
      </c>
      <c r="J327" s="2" t="s">
        <v>1671</v>
      </c>
      <c r="K327" s="2">
        <v>45</v>
      </c>
      <c r="L327" s="2">
        <v>15</v>
      </c>
      <c r="M327" s="2">
        <v>0</v>
      </c>
      <c r="N327" s="2">
        <v>10</v>
      </c>
      <c r="O327" s="2">
        <v>20</v>
      </c>
      <c r="P327" s="2">
        <v>0</v>
      </c>
      <c r="Q327" s="2" t="s">
        <v>3312</v>
      </c>
      <c r="R327" s="2" t="s">
        <v>3313</v>
      </c>
      <c r="S327" s="4">
        <v>44953</v>
      </c>
    </row>
    <row r="328" spans="1:19" ht="12.5" x14ac:dyDescent="0.25">
      <c r="A328" s="14" t="str">
        <f>HYPERLINK("https://gerandofalcoes.my.salesforce.com/0014P00003SGWPLQA5", "0014P00003SGWPLQA5")</f>
        <v>0014P00003SGWPLQA5</v>
      </c>
      <c r="B328" s="2" t="s">
        <v>356</v>
      </c>
      <c r="C328" s="2" t="s">
        <v>423</v>
      </c>
      <c r="D328" s="2" t="s">
        <v>2</v>
      </c>
      <c r="E328" s="2">
        <v>28.48</v>
      </c>
      <c r="F328" s="2">
        <v>0</v>
      </c>
      <c r="G328" s="2">
        <v>3</v>
      </c>
      <c r="H328" s="2">
        <v>43894</v>
      </c>
      <c r="I328" s="2">
        <v>100</v>
      </c>
      <c r="J328" s="2" t="s">
        <v>1671</v>
      </c>
      <c r="K328" s="2">
        <v>43</v>
      </c>
      <c r="L328" s="2">
        <v>15</v>
      </c>
      <c r="M328" s="2">
        <v>0</v>
      </c>
      <c r="N328" s="2">
        <v>8</v>
      </c>
      <c r="O328" s="2">
        <v>10</v>
      </c>
      <c r="P328" s="2">
        <v>10</v>
      </c>
      <c r="Q328" s="2" t="s">
        <v>357</v>
      </c>
      <c r="R328" s="2" t="s">
        <v>2314</v>
      </c>
      <c r="S328" s="4">
        <v>44837</v>
      </c>
    </row>
    <row r="329" spans="1:19" ht="12.5" x14ac:dyDescent="0.25">
      <c r="A329" s="14" t="str">
        <f>HYPERLINK("https://gerandofalcoes.my.salesforce.com/0014X00002VKCqZQAX", "0014X00002VKCqZQAX")</f>
        <v>0014X00002VKCqZQAX</v>
      </c>
      <c r="B329" s="2" t="s">
        <v>2315</v>
      </c>
      <c r="C329" s="2" t="s">
        <v>423</v>
      </c>
      <c r="D329" s="2" t="s">
        <v>2</v>
      </c>
      <c r="E329" s="2">
        <v>28.46</v>
      </c>
      <c r="F329" s="2">
        <v>0</v>
      </c>
      <c r="G329" s="2">
        <v>25</v>
      </c>
      <c r="H329" s="2">
        <v>31680</v>
      </c>
      <c r="I329" s="2">
        <v>30</v>
      </c>
      <c r="J329" s="2" t="s">
        <v>1671</v>
      </c>
      <c r="K329" s="2">
        <v>40</v>
      </c>
      <c r="L329" s="2">
        <v>15</v>
      </c>
      <c r="M329" s="2">
        <v>0</v>
      </c>
      <c r="N329" s="2">
        <v>10</v>
      </c>
      <c r="O329" s="2">
        <v>10</v>
      </c>
      <c r="P329" s="2">
        <v>5</v>
      </c>
      <c r="Q329" s="2" t="s">
        <v>2316</v>
      </c>
      <c r="R329" s="2" t="s">
        <v>2316</v>
      </c>
      <c r="S329" s="4">
        <v>44837</v>
      </c>
    </row>
    <row r="330" spans="1:19" ht="12.5" x14ac:dyDescent="0.25">
      <c r="A330" s="14" t="str">
        <f>HYPERLINK("https://gerandofalcoes.my.salesforce.com/0014X00002VKCq3QAH", "0014X00002VKCq3QAH")</f>
        <v>0014X00002VKCq3QAH</v>
      </c>
      <c r="B330" s="2" t="s">
        <v>3825</v>
      </c>
      <c r="C330" s="2" t="s">
        <v>423</v>
      </c>
      <c r="D330" s="2" t="s">
        <v>2</v>
      </c>
      <c r="E330" s="2">
        <v>28.4</v>
      </c>
      <c r="F330" s="2">
        <v>0</v>
      </c>
      <c r="G330" s="2">
        <v>0</v>
      </c>
      <c r="H330" s="2">
        <v>518799</v>
      </c>
      <c r="I330" s="2">
        <v>22</v>
      </c>
      <c r="J330" s="2" t="s">
        <v>1671</v>
      </c>
      <c r="K330" s="2">
        <v>40</v>
      </c>
      <c r="L330" s="2">
        <v>15</v>
      </c>
      <c r="M330" s="2">
        <v>0</v>
      </c>
      <c r="N330" s="2">
        <v>0</v>
      </c>
      <c r="O330" s="2">
        <v>20</v>
      </c>
      <c r="P330" s="2">
        <v>5</v>
      </c>
      <c r="Q330" s="2" t="s">
        <v>3826</v>
      </c>
      <c r="R330" s="2" t="s">
        <v>3826</v>
      </c>
      <c r="S330" s="4">
        <v>45015</v>
      </c>
    </row>
    <row r="331" spans="1:19" ht="12.5" x14ac:dyDescent="0.25">
      <c r="A331" s="14" t="str">
        <f>HYPERLINK("https://gerandofalcoes.my.salesforce.com/0014X00002VKCqYQAX", "0014X00002VKCqYQAX")</f>
        <v>0014X00002VKCqYQAX</v>
      </c>
      <c r="B331" s="2" t="s">
        <v>2322</v>
      </c>
      <c r="C331" s="2" t="s">
        <v>1800</v>
      </c>
      <c r="D331" s="2" t="s">
        <v>2</v>
      </c>
      <c r="E331" s="2">
        <v>28</v>
      </c>
      <c r="F331" s="2">
        <v>1</v>
      </c>
      <c r="G331" s="2">
        <v>6</v>
      </c>
      <c r="H331" s="2">
        <v>5000</v>
      </c>
      <c r="I331" s="2">
        <v>80</v>
      </c>
      <c r="J331" s="2" t="s">
        <v>1671</v>
      </c>
      <c r="K331" s="2">
        <v>45</v>
      </c>
      <c r="L331" s="2">
        <v>15</v>
      </c>
      <c r="M331" s="2">
        <v>5</v>
      </c>
      <c r="N331" s="2">
        <v>10</v>
      </c>
      <c r="O331" s="2">
        <v>5</v>
      </c>
      <c r="P331" s="2">
        <v>10</v>
      </c>
      <c r="Q331" s="2" t="s">
        <v>2323</v>
      </c>
      <c r="R331" s="2" t="s">
        <v>2324</v>
      </c>
      <c r="S331" s="4">
        <v>44837</v>
      </c>
    </row>
    <row r="332" spans="1:19" ht="12.5" x14ac:dyDescent="0.25">
      <c r="A332" s="14" t="str">
        <f>HYPERLINK("https://gerandofalcoes.my.salesforce.com/0014P00003AN2FbQAL", "0014P00003AN2FbQAL")</f>
        <v>0014P00003AN2FbQAL</v>
      </c>
      <c r="B332" s="2" t="s">
        <v>2318</v>
      </c>
      <c r="C332" s="2" t="s">
        <v>423</v>
      </c>
      <c r="D332" s="2" t="s">
        <v>2</v>
      </c>
      <c r="E332" s="2">
        <v>28</v>
      </c>
      <c r="F332" s="2">
        <v>0</v>
      </c>
      <c r="G332" s="2">
        <v>0</v>
      </c>
      <c r="H332" s="2">
        <v>20000</v>
      </c>
      <c r="I332" s="2">
        <v>330</v>
      </c>
      <c r="J332" s="2" t="s">
        <v>1779</v>
      </c>
      <c r="K332" s="2">
        <v>35</v>
      </c>
      <c r="L332" s="2">
        <v>15</v>
      </c>
      <c r="M332" s="2">
        <v>0</v>
      </c>
      <c r="N332" s="2">
        <v>0</v>
      </c>
      <c r="O332" s="2">
        <v>5</v>
      </c>
      <c r="P332" s="2">
        <v>15</v>
      </c>
      <c r="Q332" s="2" t="s">
        <v>88</v>
      </c>
      <c r="R332" s="2" t="s">
        <v>88</v>
      </c>
      <c r="S332" s="4">
        <v>44837</v>
      </c>
    </row>
    <row r="333" spans="1:19" ht="12.5" x14ac:dyDescent="0.25">
      <c r="A333" s="14" t="str">
        <f>HYPERLINK("https://gerandofalcoes.my.salesforce.com/0014P00003YSp8UQAT", "0014P00003YSp8UQAT")</f>
        <v>0014P00003YSp8UQAT</v>
      </c>
      <c r="B333" s="2" t="s">
        <v>2319</v>
      </c>
      <c r="C333" s="2" t="s">
        <v>423</v>
      </c>
      <c r="D333" s="2" t="s">
        <v>2</v>
      </c>
      <c r="E333" s="2">
        <v>28</v>
      </c>
      <c r="F333" s="2">
        <v>0</v>
      </c>
      <c r="G333" s="2">
        <v>3</v>
      </c>
      <c r="H333" s="2">
        <v>9994</v>
      </c>
      <c r="I333" s="2">
        <v>110</v>
      </c>
      <c r="J333" s="2" t="s">
        <v>1779</v>
      </c>
      <c r="K333" s="2">
        <v>38</v>
      </c>
      <c r="L333" s="2">
        <v>15</v>
      </c>
      <c r="M333" s="2">
        <v>0</v>
      </c>
      <c r="N333" s="2">
        <v>8</v>
      </c>
      <c r="O333" s="2">
        <v>5</v>
      </c>
      <c r="P333" s="2">
        <v>10</v>
      </c>
      <c r="Q333" s="2" t="s">
        <v>2321</v>
      </c>
      <c r="R333" s="2" t="s">
        <v>2321</v>
      </c>
      <c r="S333" s="4">
        <v>44837</v>
      </c>
    </row>
    <row r="334" spans="1:19" ht="12.5" x14ac:dyDescent="0.25">
      <c r="A334" s="14" t="str">
        <f>HYPERLINK("https://gerandofalcoes.my.salesforce.com/0014X00002VKCpRQAX", "0014X00002VKCpRQAX")</f>
        <v>0014X00002VKCpRQAX</v>
      </c>
      <c r="B334" s="2" t="s">
        <v>2332</v>
      </c>
      <c r="C334" s="2" t="s">
        <v>1800</v>
      </c>
      <c r="D334" s="2" t="s">
        <v>2</v>
      </c>
      <c r="E334" s="2">
        <v>28</v>
      </c>
      <c r="F334" s="2">
        <v>0</v>
      </c>
      <c r="G334" s="2">
        <v>2</v>
      </c>
      <c r="H334" s="2">
        <v>32500000</v>
      </c>
      <c r="I334" s="2">
        <v>0</v>
      </c>
      <c r="J334" s="2" t="s">
        <v>1671</v>
      </c>
      <c r="K334" s="2">
        <v>46</v>
      </c>
      <c r="L334" s="2">
        <v>15</v>
      </c>
      <c r="M334" s="2">
        <v>0</v>
      </c>
      <c r="N334" s="2">
        <v>6</v>
      </c>
      <c r="O334" s="2">
        <v>25</v>
      </c>
      <c r="P334" s="2">
        <v>0</v>
      </c>
      <c r="Q334" s="2" t="s">
        <v>2333</v>
      </c>
      <c r="R334" s="2" t="s">
        <v>2334</v>
      </c>
      <c r="S334" s="4">
        <v>44837</v>
      </c>
    </row>
    <row r="335" spans="1:19" ht="12.5" x14ac:dyDescent="0.25">
      <c r="A335" s="14" t="str">
        <f>HYPERLINK("https://gerandofalcoes.my.salesforce.com/0014P00003YSp88QAD", "0014P00003YSp88QAD")</f>
        <v>0014P00003YSp88QAD</v>
      </c>
      <c r="B335" s="2" t="s">
        <v>2325</v>
      </c>
      <c r="C335" s="2" t="s">
        <v>1800</v>
      </c>
      <c r="D335" s="2" t="s">
        <v>2</v>
      </c>
      <c r="E335" s="2">
        <v>28</v>
      </c>
      <c r="F335" s="2">
        <v>0</v>
      </c>
      <c r="G335" s="2">
        <v>2</v>
      </c>
      <c r="H335" s="2">
        <v>0</v>
      </c>
      <c r="I335" s="2">
        <v>80</v>
      </c>
      <c r="J335" s="2" t="s">
        <v>1779</v>
      </c>
      <c r="K335" s="2">
        <v>31</v>
      </c>
      <c r="L335" s="2">
        <v>15</v>
      </c>
      <c r="M335" s="2">
        <v>0</v>
      </c>
      <c r="N335" s="2">
        <v>6</v>
      </c>
      <c r="O335" s="2">
        <v>0</v>
      </c>
      <c r="P335" s="2">
        <v>10</v>
      </c>
      <c r="Q335" s="2" t="s">
        <v>2326</v>
      </c>
      <c r="R335" s="2" t="s">
        <v>2327</v>
      </c>
      <c r="S335" s="4">
        <v>44837</v>
      </c>
    </row>
    <row r="336" spans="1:19" ht="12.5" x14ac:dyDescent="0.25">
      <c r="A336" s="14" t="str">
        <f>HYPERLINK("https://gerandofalcoes.my.salesforce.com/0014X00002VKCpYQAX", "0014X00002VKCpYQAX")</f>
        <v>0014X00002VKCpYQAX</v>
      </c>
      <c r="B336" s="2" t="s">
        <v>2328</v>
      </c>
      <c r="C336" s="2" t="s">
        <v>423</v>
      </c>
      <c r="D336" s="2" t="s">
        <v>2</v>
      </c>
      <c r="E336" s="2">
        <v>28</v>
      </c>
      <c r="F336" s="2">
        <v>0</v>
      </c>
      <c r="G336" s="2">
        <v>5</v>
      </c>
      <c r="H336" s="2">
        <v>4000</v>
      </c>
      <c r="I336" s="2">
        <v>30</v>
      </c>
      <c r="J336" s="2" t="s">
        <v>1779</v>
      </c>
      <c r="K336" s="2">
        <v>35</v>
      </c>
      <c r="L336" s="2">
        <v>15</v>
      </c>
      <c r="M336" s="2">
        <v>0</v>
      </c>
      <c r="N336" s="2">
        <v>10</v>
      </c>
      <c r="O336" s="2">
        <v>5</v>
      </c>
      <c r="P336" s="2">
        <v>5</v>
      </c>
      <c r="Q336" s="2" t="s">
        <v>2329</v>
      </c>
      <c r="R336" s="2" t="s">
        <v>2329</v>
      </c>
      <c r="S336" s="4">
        <v>44837</v>
      </c>
    </row>
    <row r="337" spans="1:19" ht="12.5" x14ac:dyDescent="0.25">
      <c r="A337" s="14" t="str">
        <f>HYPERLINK("https://gerandofalcoes.my.salesforce.com/0014P00003YSp9xQAD", "0014P00003YSp9xQAD")</f>
        <v>0014P00003YSp9xQAD</v>
      </c>
      <c r="B337" s="2" t="s">
        <v>2330</v>
      </c>
      <c r="C337" s="2" t="s">
        <v>1800</v>
      </c>
      <c r="D337" s="2" t="s">
        <v>2</v>
      </c>
      <c r="E337" s="2">
        <v>28</v>
      </c>
      <c r="F337" s="2">
        <v>0</v>
      </c>
      <c r="G337" s="2">
        <v>2</v>
      </c>
      <c r="H337" s="2">
        <v>120000</v>
      </c>
      <c r="I337" s="2">
        <v>29</v>
      </c>
      <c r="J337" s="2" t="s">
        <v>1671</v>
      </c>
      <c r="K337" s="2">
        <v>41</v>
      </c>
      <c r="L337" s="2">
        <v>15</v>
      </c>
      <c r="M337" s="2">
        <v>0</v>
      </c>
      <c r="N337" s="2">
        <v>6</v>
      </c>
      <c r="O337" s="2">
        <v>15</v>
      </c>
      <c r="P337" s="2">
        <v>5</v>
      </c>
      <c r="Q337" s="2" t="s">
        <v>2331</v>
      </c>
      <c r="R337" s="2" t="s">
        <v>2331</v>
      </c>
      <c r="S337" s="4">
        <v>44837</v>
      </c>
    </row>
    <row r="338" spans="1:19" ht="12.5" x14ac:dyDescent="0.25">
      <c r="A338" s="14" t="str">
        <f>HYPERLINK("https://gerandofalcoes.my.salesforce.com/0014X00002PUOY7QAP", "0014X00002PUOY7QAP")</f>
        <v>0014X00002PUOY7QAP</v>
      </c>
      <c r="B338" s="2" t="s">
        <v>2317</v>
      </c>
      <c r="C338" s="2" t="s">
        <v>423</v>
      </c>
      <c r="D338" s="2" t="s">
        <v>2</v>
      </c>
      <c r="E338" s="2">
        <v>28</v>
      </c>
      <c r="F338" s="2">
        <v>28</v>
      </c>
      <c r="G338" s="2">
        <v>3</v>
      </c>
      <c r="H338" s="2">
        <v>200000</v>
      </c>
      <c r="I338" s="2">
        <v>500</v>
      </c>
      <c r="J338" s="2" t="s">
        <v>1650</v>
      </c>
      <c r="K338" s="2">
        <v>70</v>
      </c>
      <c r="L338" s="2">
        <v>15</v>
      </c>
      <c r="M338" s="2">
        <v>12</v>
      </c>
      <c r="N338" s="2">
        <v>8</v>
      </c>
      <c r="O338" s="2">
        <v>15</v>
      </c>
      <c r="P338" s="2">
        <v>20</v>
      </c>
      <c r="Q338" s="2" t="s">
        <v>448</v>
      </c>
      <c r="R338" s="2" t="s">
        <v>448</v>
      </c>
      <c r="S338" s="4">
        <v>44837</v>
      </c>
    </row>
    <row r="339" spans="1:19" ht="12.5" x14ac:dyDescent="0.25">
      <c r="A339" s="14" t="str">
        <f>HYPERLINK("https://gerandofalcoes.my.salesforce.com/0014P00003YSp8IQAT", "0014P00003YSp8IQAT")</f>
        <v>0014P00003YSp8IQAT</v>
      </c>
      <c r="B339" s="2" t="s">
        <v>2335</v>
      </c>
      <c r="C339" s="2" t="s">
        <v>423</v>
      </c>
      <c r="D339" s="2" t="s">
        <v>2</v>
      </c>
      <c r="E339" s="2">
        <v>27.89</v>
      </c>
      <c r="F339" s="2">
        <v>0</v>
      </c>
      <c r="G339" s="2">
        <v>3</v>
      </c>
      <c r="H339" s="2">
        <v>9000000</v>
      </c>
      <c r="I339" s="2">
        <v>250</v>
      </c>
      <c r="J339" s="2" t="s">
        <v>1671</v>
      </c>
      <c r="K339" s="2">
        <v>60</v>
      </c>
      <c r="L339" s="2">
        <v>15</v>
      </c>
      <c r="M339" s="2">
        <v>0</v>
      </c>
      <c r="N339" s="2">
        <v>8</v>
      </c>
      <c r="O339" s="2">
        <v>25</v>
      </c>
      <c r="P339" s="2">
        <v>12</v>
      </c>
      <c r="Q339" s="2" t="s">
        <v>2336</v>
      </c>
      <c r="R339" s="2" t="s">
        <v>2337</v>
      </c>
      <c r="S339" s="4">
        <v>44837</v>
      </c>
    </row>
    <row r="340" spans="1:19" ht="12.5" x14ac:dyDescent="0.25">
      <c r="A340" s="14" t="str">
        <f>HYPERLINK("https://gerandofalcoes.my.salesforce.com/0014X00002VKCqeQAH", "0014X00002VKCqeQAH")</f>
        <v>0014X00002VKCqeQAH</v>
      </c>
      <c r="B340" s="2" t="s">
        <v>2338</v>
      </c>
      <c r="C340" s="2" t="s">
        <v>423</v>
      </c>
      <c r="D340" s="2" t="s">
        <v>2</v>
      </c>
      <c r="E340" s="2">
        <v>27.33</v>
      </c>
      <c r="F340" s="2">
        <v>0</v>
      </c>
      <c r="G340" s="2">
        <v>0</v>
      </c>
      <c r="H340" s="2">
        <v>0</v>
      </c>
      <c r="I340" s="2">
        <v>120</v>
      </c>
      <c r="J340" s="2" t="s">
        <v>1779</v>
      </c>
      <c r="K340" s="2">
        <v>25</v>
      </c>
      <c r="L340" s="2">
        <v>15</v>
      </c>
      <c r="M340" s="2">
        <v>0</v>
      </c>
      <c r="N340" s="2">
        <v>0</v>
      </c>
      <c r="O340" s="2">
        <v>0</v>
      </c>
      <c r="P340" s="2">
        <v>10</v>
      </c>
      <c r="Q340" s="2" t="s">
        <v>2339</v>
      </c>
      <c r="R340" s="2" t="s">
        <v>2339</v>
      </c>
      <c r="S340" s="4">
        <v>44837</v>
      </c>
    </row>
    <row r="341" spans="1:19" ht="12.5" x14ac:dyDescent="0.25">
      <c r="A341" s="14" t="str">
        <f>HYPERLINK("https://gerandofalcoes.my.salesforce.com/0014X00002VKCpyQAH", "0014X00002VKCpyQAH")</f>
        <v>0014X00002VKCpyQAH</v>
      </c>
      <c r="B341" s="2" t="s">
        <v>2340</v>
      </c>
      <c r="C341" s="2" t="s">
        <v>423</v>
      </c>
      <c r="D341" s="2" t="s">
        <v>2</v>
      </c>
      <c r="E341" s="2">
        <v>27.22</v>
      </c>
      <c r="F341" s="2">
        <v>0</v>
      </c>
      <c r="G341" s="2">
        <v>3</v>
      </c>
      <c r="H341" s="2">
        <v>20030</v>
      </c>
      <c r="I341" s="2">
        <v>294</v>
      </c>
      <c r="J341" s="2" t="s">
        <v>1671</v>
      </c>
      <c r="K341" s="2">
        <v>40</v>
      </c>
      <c r="L341" s="2">
        <v>15</v>
      </c>
      <c r="M341" s="2">
        <v>0</v>
      </c>
      <c r="N341" s="2">
        <v>8</v>
      </c>
      <c r="O341" s="2">
        <v>5</v>
      </c>
      <c r="P341" s="2">
        <v>12</v>
      </c>
      <c r="Q341" s="2" t="s">
        <v>2341</v>
      </c>
      <c r="R341" s="2" t="s">
        <v>2342</v>
      </c>
      <c r="S341" s="4">
        <v>44837</v>
      </c>
    </row>
    <row r="342" spans="1:19" ht="12.5" x14ac:dyDescent="0.25">
      <c r="A342" s="14" t="str">
        <f>HYPERLINK("https://gerandofalcoes.my.salesforce.com/0014X00002VKCv8QAH", "0014X00002VKCv8QAH")</f>
        <v>0014X00002VKCv8QAH</v>
      </c>
      <c r="B342" s="2" t="s">
        <v>2343</v>
      </c>
      <c r="C342" s="2" t="s">
        <v>423</v>
      </c>
      <c r="D342" s="2" t="s">
        <v>2</v>
      </c>
      <c r="E342" s="2">
        <v>27.08</v>
      </c>
      <c r="F342" s="2">
        <v>0</v>
      </c>
      <c r="G342" s="2">
        <v>0</v>
      </c>
      <c r="H342" s="2">
        <v>0</v>
      </c>
      <c r="I342" s="2">
        <v>400</v>
      </c>
      <c r="J342" s="2" t="s">
        <v>1779</v>
      </c>
      <c r="K342" s="2">
        <v>30</v>
      </c>
      <c r="L342" s="2">
        <v>15</v>
      </c>
      <c r="M342" s="2">
        <v>0</v>
      </c>
      <c r="N342" s="2">
        <v>0</v>
      </c>
      <c r="O342" s="2">
        <v>0</v>
      </c>
      <c r="P342" s="2">
        <v>15</v>
      </c>
      <c r="Q342" s="2" t="s">
        <v>2344</v>
      </c>
      <c r="R342" s="2" t="s">
        <v>2345</v>
      </c>
      <c r="S342" s="4">
        <v>44837</v>
      </c>
    </row>
    <row r="343" spans="1:19" ht="12.5" x14ac:dyDescent="0.25">
      <c r="A343" s="14" t="str">
        <f>HYPERLINK("https://gerandofalcoes.my.salesforce.com/0014X00002VKCpzQAH", "0014X00002VKCpzQAH")</f>
        <v>0014X00002VKCpzQAH</v>
      </c>
      <c r="B343" s="2" t="s">
        <v>2346</v>
      </c>
      <c r="C343" s="2" t="s">
        <v>423</v>
      </c>
      <c r="D343" s="2" t="s">
        <v>2</v>
      </c>
      <c r="E343" s="2">
        <v>27.04</v>
      </c>
      <c r="F343" s="2">
        <v>0</v>
      </c>
      <c r="G343" s="2">
        <v>2</v>
      </c>
      <c r="H343" s="2">
        <v>38315</v>
      </c>
      <c r="I343" s="2">
        <v>120</v>
      </c>
      <c r="J343" s="2" t="s">
        <v>1671</v>
      </c>
      <c r="K343" s="2">
        <v>41</v>
      </c>
      <c r="L343" s="2">
        <v>15</v>
      </c>
      <c r="M343" s="2">
        <v>0</v>
      </c>
      <c r="N343" s="2">
        <v>6</v>
      </c>
      <c r="O343" s="2">
        <v>10</v>
      </c>
      <c r="P343" s="2">
        <v>10</v>
      </c>
      <c r="Q343" s="2" t="s">
        <v>2347</v>
      </c>
      <c r="R343" s="2" t="s">
        <v>2348</v>
      </c>
      <c r="S343" s="4">
        <v>44837</v>
      </c>
    </row>
    <row r="344" spans="1:19" ht="12.5" x14ac:dyDescent="0.25">
      <c r="A344" s="14" t="str">
        <f>HYPERLINK("https://gerandofalcoes.my.salesforce.com/0014X00002YggmHQAR", "0014X00002YggmHQAR")</f>
        <v>0014X00002YggmHQAR</v>
      </c>
      <c r="B344" s="2" t="s">
        <v>3016</v>
      </c>
      <c r="C344" s="2" t="s">
        <v>423</v>
      </c>
      <c r="D344" s="2" t="s">
        <v>2</v>
      </c>
      <c r="E344" s="2">
        <v>27.03</v>
      </c>
      <c r="F344" s="2">
        <v>0</v>
      </c>
      <c r="G344" s="2">
        <v>5</v>
      </c>
      <c r="H344" s="2">
        <v>280524</v>
      </c>
      <c r="I344" s="2">
        <v>100</v>
      </c>
      <c r="J344" s="2" t="s">
        <v>1671</v>
      </c>
      <c r="K344" s="2">
        <v>50</v>
      </c>
      <c r="L344" s="2">
        <v>15</v>
      </c>
      <c r="M344" s="2">
        <v>0</v>
      </c>
      <c r="N344" s="2">
        <v>10</v>
      </c>
      <c r="O344" s="2">
        <v>15</v>
      </c>
      <c r="P344" s="2">
        <v>10</v>
      </c>
      <c r="Q344" s="2" t="s">
        <v>3017</v>
      </c>
      <c r="R344" s="2" t="s">
        <v>3018</v>
      </c>
      <c r="S344" s="4">
        <v>44945</v>
      </c>
    </row>
    <row r="345" spans="1:19" ht="12.5" x14ac:dyDescent="0.25">
      <c r="A345" s="14" t="str">
        <f>HYPERLINK("https://gerandofalcoes.my.salesforce.com/0014X00002VKCqEQAX", "0014X00002VKCqEQAX")</f>
        <v>0014X00002VKCqEQAX</v>
      </c>
      <c r="B345" s="2" t="s">
        <v>2349</v>
      </c>
      <c r="C345" s="2" t="s">
        <v>1800</v>
      </c>
      <c r="D345" s="2" t="s">
        <v>2</v>
      </c>
      <c r="E345" s="2">
        <v>27</v>
      </c>
      <c r="F345" s="2">
        <v>0</v>
      </c>
      <c r="G345" s="2">
        <v>6</v>
      </c>
      <c r="H345" s="2">
        <v>18500</v>
      </c>
      <c r="I345" s="2">
        <v>116</v>
      </c>
      <c r="J345" s="2" t="s">
        <v>1671</v>
      </c>
      <c r="K345" s="2">
        <v>40</v>
      </c>
      <c r="L345" s="2">
        <v>15</v>
      </c>
      <c r="M345" s="2">
        <v>0</v>
      </c>
      <c r="N345" s="2">
        <v>10</v>
      </c>
      <c r="O345" s="2">
        <v>5</v>
      </c>
      <c r="P345" s="2">
        <v>10</v>
      </c>
      <c r="Q345" s="2" t="s">
        <v>2350</v>
      </c>
      <c r="R345" s="2" t="s">
        <v>2351</v>
      </c>
      <c r="S345" s="4">
        <v>44837</v>
      </c>
    </row>
    <row r="346" spans="1:19" ht="12.5" x14ac:dyDescent="0.25">
      <c r="A346" s="14" t="str">
        <f>HYPERLINK("https://gerandofalcoes.my.salesforce.com/0014X00002VKCuoQAH", "0014X00002VKCuoQAH")</f>
        <v>0014X00002VKCuoQAH</v>
      </c>
      <c r="B346" s="2" t="s">
        <v>3840</v>
      </c>
      <c r="C346" s="2" t="s">
        <v>1800</v>
      </c>
      <c r="D346" s="2" t="s">
        <v>2</v>
      </c>
      <c r="E346" s="2">
        <v>27</v>
      </c>
      <c r="F346" s="2">
        <v>0</v>
      </c>
      <c r="G346" s="2">
        <v>2</v>
      </c>
      <c r="H346" s="2">
        <v>0</v>
      </c>
      <c r="I346" s="2">
        <v>0</v>
      </c>
      <c r="J346" s="2" t="s">
        <v>1779</v>
      </c>
      <c r="K346" s="2">
        <v>21</v>
      </c>
      <c r="L346" s="2">
        <v>15</v>
      </c>
      <c r="M346" s="2">
        <v>0</v>
      </c>
      <c r="N346" s="2">
        <v>6</v>
      </c>
      <c r="O346" s="2">
        <v>0</v>
      </c>
      <c r="P346" s="2">
        <v>0</v>
      </c>
      <c r="Q346" s="2" t="s">
        <v>3841</v>
      </c>
      <c r="R346" s="2" t="s">
        <v>3841</v>
      </c>
      <c r="S346" s="4">
        <v>45112</v>
      </c>
    </row>
    <row r="347" spans="1:19" ht="12.5" x14ac:dyDescent="0.25">
      <c r="A347" s="14" t="str">
        <f>HYPERLINK("https://gerandofalcoes.my.salesforce.com/0014X00002VKCsSQAX", "0014X00002VKCsSQAX")</f>
        <v>0014X00002VKCsSQAX</v>
      </c>
      <c r="B347" s="2" t="s">
        <v>2354</v>
      </c>
      <c r="C347" s="2" t="s">
        <v>423</v>
      </c>
      <c r="D347" s="2" t="s">
        <v>2</v>
      </c>
      <c r="E347" s="2">
        <v>27</v>
      </c>
      <c r="F347" s="2">
        <v>0</v>
      </c>
      <c r="G347" s="2">
        <v>3</v>
      </c>
      <c r="H347" s="2">
        <v>28800</v>
      </c>
      <c r="I347" s="2">
        <v>65</v>
      </c>
      <c r="J347" s="2" t="s">
        <v>1779</v>
      </c>
      <c r="K347" s="2">
        <v>38</v>
      </c>
      <c r="L347" s="2">
        <v>15</v>
      </c>
      <c r="M347" s="2">
        <v>0</v>
      </c>
      <c r="N347" s="2">
        <v>8</v>
      </c>
      <c r="O347" s="2">
        <v>10</v>
      </c>
      <c r="P347" s="2">
        <v>5</v>
      </c>
      <c r="Q347" s="2" t="s">
        <v>2355</v>
      </c>
      <c r="R347" s="2" t="s">
        <v>2356</v>
      </c>
      <c r="S347" s="4">
        <v>44837</v>
      </c>
    </row>
    <row r="348" spans="1:19" ht="12.5" x14ac:dyDescent="0.25">
      <c r="A348" s="14" t="str">
        <f>HYPERLINK("https://gerandofalcoes.my.salesforce.com/0014X00002VKCr9QAH", "0014X00002VKCr9QAH")</f>
        <v>0014X00002VKCr9QAH</v>
      </c>
      <c r="B348" s="2" t="s">
        <v>2357</v>
      </c>
      <c r="C348" s="2" t="s">
        <v>423</v>
      </c>
      <c r="D348" s="2" t="s">
        <v>2</v>
      </c>
      <c r="E348" s="2">
        <v>27</v>
      </c>
      <c r="F348" s="2">
        <v>0</v>
      </c>
      <c r="G348" s="2">
        <v>2</v>
      </c>
      <c r="H348" s="2">
        <v>0</v>
      </c>
      <c r="I348" s="2">
        <v>30</v>
      </c>
      <c r="J348" s="2" t="s">
        <v>1779</v>
      </c>
      <c r="K348" s="2">
        <v>26</v>
      </c>
      <c r="L348" s="2">
        <v>15</v>
      </c>
      <c r="M348" s="2">
        <v>0</v>
      </c>
      <c r="N348" s="2">
        <v>6</v>
      </c>
      <c r="O348" s="2">
        <v>0</v>
      </c>
      <c r="P348" s="2">
        <v>5</v>
      </c>
      <c r="Q348" s="2" t="s">
        <v>2358</v>
      </c>
      <c r="R348" s="2" t="s">
        <v>2358</v>
      </c>
      <c r="S348" s="4">
        <v>44837</v>
      </c>
    </row>
    <row r="349" spans="1:19" ht="12.5" hidden="1" x14ac:dyDescent="0.25">
      <c r="A349" s="14" t="str">
        <f>HYPERLINK("https://gerandofalcoes.my.salesforce.com/0014P00003AN2FmQAL", "0014P00003AN2FmQAL")</f>
        <v>0014P00003AN2FmQAL</v>
      </c>
      <c r="B349" s="2" t="s">
        <v>1683</v>
      </c>
      <c r="C349" s="2" t="s">
        <v>1684</v>
      </c>
      <c r="D349" s="2" t="s">
        <v>27</v>
      </c>
      <c r="E349" s="2">
        <v>86</v>
      </c>
      <c r="F349" s="2">
        <v>30</v>
      </c>
      <c r="G349" s="2">
        <v>5</v>
      </c>
      <c r="H349" s="2">
        <v>969799.69</v>
      </c>
      <c r="I349" s="2">
        <v>111</v>
      </c>
      <c r="J349" s="2" t="s">
        <v>1654</v>
      </c>
      <c r="K349" s="2">
        <v>82</v>
      </c>
      <c r="L349" s="2">
        <v>25</v>
      </c>
      <c r="M349" s="2">
        <v>12</v>
      </c>
      <c r="N349" s="2">
        <v>10</v>
      </c>
      <c r="O349" s="2">
        <v>25</v>
      </c>
      <c r="P349" s="2">
        <v>10</v>
      </c>
      <c r="Q349" s="2" t="s">
        <v>127</v>
      </c>
      <c r="R349" s="2" t="s">
        <v>127</v>
      </c>
      <c r="S349" s="4">
        <v>44837</v>
      </c>
    </row>
    <row r="350" spans="1:19" ht="12.5" x14ac:dyDescent="0.25">
      <c r="A350" s="14" t="str">
        <f>HYPERLINK("https://gerandofalcoes.my.salesforce.com/0014P00003YSp8HQAT", "0014P00003YSp8HQAT")</f>
        <v>0014P00003YSp8HQAT</v>
      </c>
      <c r="B350" s="2" t="s">
        <v>2359</v>
      </c>
      <c r="C350" s="2" t="s">
        <v>423</v>
      </c>
      <c r="D350" s="2" t="s">
        <v>2</v>
      </c>
      <c r="E350" s="2">
        <v>26.96</v>
      </c>
      <c r="F350" s="2">
        <v>2</v>
      </c>
      <c r="G350" s="2">
        <v>1</v>
      </c>
      <c r="H350" s="2">
        <v>35000</v>
      </c>
      <c r="I350" s="2">
        <v>729</v>
      </c>
      <c r="J350" s="2" t="s">
        <v>1671</v>
      </c>
      <c r="K350" s="2">
        <v>54</v>
      </c>
      <c r="L350" s="2">
        <v>15</v>
      </c>
      <c r="M350" s="2">
        <v>5</v>
      </c>
      <c r="N350" s="2">
        <v>4</v>
      </c>
      <c r="O350" s="2">
        <v>10</v>
      </c>
      <c r="P350" s="2">
        <v>20</v>
      </c>
      <c r="Q350" s="2" t="s">
        <v>2360</v>
      </c>
      <c r="R350" s="2" t="s">
        <v>2361</v>
      </c>
      <c r="S350" s="4">
        <v>44837</v>
      </c>
    </row>
    <row r="351" spans="1:19" ht="12.5" x14ac:dyDescent="0.25">
      <c r="A351" s="14" t="str">
        <f>HYPERLINK("https://gerandofalcoes.my.salesforce.com/0014P00003YSp82QAD", "0014P00003YSp82QAD")</f>
        <v>0014P00003YSp82QAD</v>
      </c>
      <c r="B351" s="2" t="s">
        <v>2362</v>
      </c>
      <c r="C351" s="2" t="s">
        <v>423</v>
      </c>
      <c r="D351" s="2" t="s">
        <v>2</v>
      </c>
      <c r="E351" s="2">
        <v>26.88</v>
      </c>
      <c r="F351" s="2">
        <v>9</v>
      </c>
      <c r="G351" s="2">
        <v>5</v>
      </c>
      <c r="H351" s="2">
        <v>5224158</v>
      </c>
      <c r="I351" s="2">
        <v>80</v>
      </c>
      <c r="J351" s="2" t="s">
        <v>1650</v>
      </c>
      <c r="K351" s="2">
        <v>70</v>
      </c>
      <c r="L351" s="2">
        <v>15</v>
      </c>
      <c r="M351" s="2">
        <v>10</v>
      </c>
      <c r="N351" s="2">
        <v>10</v>
      </c>
      <c r="O351" s="2">
        <v>25</v>
      </c>
      <c r="P351" s="2">
        <v>10</v>
      </c>
      <c r="Q351" s="2" t="s">
        <v>2363</v>
      </c>
      <c r="R351" s="2" t="s">
        <v>2364</v>
      </c>
      <c r="S351" s="4">
        <v>44837</v>
      </c>
    </row>
    <row r="352" spans="1:19" ht="12.5" x14ac:dyDescent="0.25">
      <c r="A352" s="14" t="str">
        <f>HYPERLINK("https://gerandofalcoes.my.salesforce.com/0014X00002YgggxQAB", "0014X00002YgggxQAB")</f>
        <v>0014X00002YgggxQAB</v>
      </c>
      <c r="B352" s="2" t="s">
        <v>3698</v>
      </c>
      <c r="C352" s="2" t="s">
        <v>423</v>
      </c>
      <c r="D352" s="2" t="s">
        <v>2</v>
      </c>
      <c r="E352" s="2">
        <v>26.65</v>
      </c>
      <c r="F352" s="2">
        <v>0</v>
      </c>
      <c r="G352" s="2">
        <v>2</v>
      </c>
      <c r="H352" s="2">
        <v>131802.91</v>
      </c>
      <c r="I352" s="2">
        <v>50</v>
      </c>
      <c r="J352" s="2" t="s">
        <v>1671</v>
      </c>
      <c r="K352" s="2">
        <v>41</v>
      </c>
      <c r="L352" s="2">
        <v>15</v>
      </c>
      <c r="M352" s="2">
        <v>0</v>
      </c>
      <c r="N352" s="2">
        <v>6</v>
      </c>
      <c r="O352" s="2">
        <v>15</v>
      </c>
      <c r="P352" s="2">
        <v>5</v>
      </c>
      <c r="Q352" s="2" t="s">
        <v>3699</v>
      </c>
      <c r="R352" s="2" t="s">
        <v>3700</v>
      </c>
      <c r="S352" s="4">
        <v>44967</v>
      </c>
    </row>
    <row r="353" spans="1:19" ht="12.5" x14ac:dyDescent="0.25">
      <c r="A353" s="14" t="str">
        <f>HYPERLINK("https://gerandofalcoes.my.salesforce.com/0014X00002YggniQAB", "0014X00002YggniQAB")</f>
        <v>0014X00002YggniQAB</v>
      </c>
      <c r="B353" s="2" t="s">
        <v>3647</v>
      </c>
      <c r="C353" s="2" t="s">
        <v>423</v>
      </c>
      <c r="D353" s="2" t="s">
        <v>2</v>
      </c>
      <c r="E353" s="2">
        <v>26.49</v>
      </c>
      <c r="F353" s="2">
        <v>30</v>
      </c>
      <c r="G353" s="2">
        <v>7</v>
      </c>
      <c r="H353" s="2">
        <v>1235895</v>
      </c>
      <c r="I353" s="2">
        <v>0</v>
      </c>
      <c r="J353" s="2" t="s">
        <v>1671</v>
      </c>
      <c r="K353" s="2">
        <v>62</v>
      </c>
      <c r="L353" s="2">
        <v>15</v>
      </c>
      <c r="M353" s="2">
        <v>12</v>
      </c>
      <c r="N353" s="2">
        <v>10</v>
      </c>
      <c r="O353" s="2">
        <v>25</v>
      </c>
      <c r="P353" s="2">
        <v>0</v>
      </c>
      <c r="Q353" s="2" t="s">
        <v>3648</v>
      </c>
      <c r="R353" s="2" t="s">
        <v>3649</v>
      </c>
      <c r="S353" s="4">
        <v>44964</v>
      </c>
    </row>
    <row r="354" spans="1:19" ht="12.5" x14ac:dyDescent="0.25">
      <c r="A354" s="14" t="str">
        <f>HYPERLINK("https://gerandofalcoes.my.salesforce.com/0014X00002Yggj7QAB", "0014X00002Yggj7QAB")</f>
        <v>0014X00002Yggj7QAB</v>
      </c>
      <c r="B354" s="2" t="s">
        <v>3650</v>
      </c>
      <c r="C354" s="2" t="s">
        <v>423</v>
      </c>
      <c r="D354" s="2" t="s">
        <v>2</v>
      </c>
      <c r="E354" s="2">
        <v>26.38</v>
      </c>
      <c r="F354" s="2">
        <v>0</v>
      </c>
      <c r="G354" s="2">
        <v>2</v>
      </c>
      <c r="H354" s="2">
        <v>90000</v>
      </c>
      <c r="I354" s="2">
        <v>40</v>
      </c>
      <c r="J354" s="2" t="s">
        <v>1779</v>
      </c>
      <c r="K354" s="2">
        <v>36</v>
      </c>
      <c r="L354" s="2">
        <v>15</v>
      </c>
      <c r="M354" s="2">
        <v>0</v>
      </c>
      <c r="N354" s="2">
        <v>6</v>
      </c>
      <c r="O354" s="2">
        <v>10</v>
      </c>
      <c r="P354" s="2">
        <v>5</v>
      </c>
      <c r="Q354" s="2" t="s">
        <v>3651</v>
      </c>
      <c r="R354" s="2" t="s">
        <v>3651</v>
      </c>
      <c r="S354" s="4">
        <v>44964</v>
      </c>
    </row>
    <row r="355" spans="1:19" ht="12.5" x14ac:dyDescent="0.25">
      <c r="A355" s="14" t="str">
        <f>HYPERLINK("https://gerandofalcoes.my.salesforce.com/0014P00003YSp8rQAD", "0014P00003YSp8rQAD")</f>
        <v>0014P00003YSp8rQAD</v>
      </c>
      <c r="B355" s="2" t="s">
        <v>2365</v>
      </c>
      <c r="C355" s="2" t="s">
        <v>423</v>
      </c>
      <c r="D355" s="2" t="s">
        <v>2</v>
      </c>
      <c r="E355" s="2">
        <v>26.07</v>
      </c>
      <c r="F355" s="2">
        <v>2</v>
      </c>
      <c r="G355" s="2">
        <v>3</v>
      </c>
      <c r="H355" s="2">
        <v>60000</v>
      </c>
      <c r="I355" s="2">
        <v>120</v>
      </c>
      <c r="J355" s="2" t="s">
        <v>1671</v>
      </c>
      <c r="K355" s="2">
        <v>48</v>
      </c>
      <c r="L355" s="2">
        <v>15</v>
      </c>
      <c r="M355" s="2">
        <v>5</v>
      </c>
      <c r="N355" s="2">
        <v>8</v>
      </c>
      <c r="O355" s="2">
        <v>10</v>
      </c>
      <c r="P355" s="2">
        <v>10</v>
      </c>
      <c r="Q355" s="2" t="s">
        <v>2366</v>
      </c>
      <c r="R355" s="2" t="s">
        <v>2367</v>
      </c>
      <c r="S355" s="4">
        <v>44837</v>
      </c>
    </row>
    <row r="356" spans="1:19" ht="12.5" x14ac:dyDescent="0.25">
      <c r="A356" s="14" t="str">
        <f>HYPERLINK("https://gerandofalcoes.my.salesforce.com/0014X00002VKCqGQAX", "0014X00002VKCqGQAX")</f>
        <v>0014X00002VKCqGQAX</v>
      </c>
      <c r="B356" s="2" t="s">
        <v>2372</v>
      </c>
      <c r="C356" s="2" t="s">
        <v>423</v>
      </c>
      <c r="D356" s="2" t="s">
        <v>2</v>
      </c>
      <c r="E356" s="2">
        <v>26</v>
      </c>
      <c r="F356" s="2">
        <v>0</v>
      </c>
      <c r="G356" s="2">
        <v>2</v>
      </c>
      <c r="H356" s="2">
        <v>0</v>
      </c>
      <c r="I356" s="2">
        <v>0</v>
      </c>
      <c r="J356" s="2" t="s">
        <v>1779</v>
      </c>
      <c r="K356" s="2">
        <v>21</v>
      </c>
      <c r="L356" s="2">
        <v>15</v>
      </c>
      <c r="M356" s="2">
        <v>0</v>
      </c>
      <c r="N356" s="2">
        <v>6</v>
      </c>
      <c r="O356" s="2">
        <v>0</v>
      </c>
      <c r="P356" s="2">
        <v>0</v>
      </c>
      <c r="Q356" s="2" t="s">
        <v>2373</v>
      </c>
      <c r="R356" s="2" t="s">
        <v>2374</v>
      </c>
      <c r="S356" s="4">
        <v>44837</v>
      </c>
    </row>
    <row r="357" spans="1:19" ht="12.5" x14ac:dyDescent="0.25">
      <c r="A357" s="14" t="str">
        <f>HYPERLINK("https://gerandofalcoes.my.salesforce.com/0014X00002VKCteQAH", "0014X00002VKCteQAH")</f>
        <v>0014X00002VKCteQAH</v>
      </c>
      <c r="B357" s="2" t="s">
        <v>2368</v>
      </c>
      <c r="C357" s="2" t="s">
        <v>423</v>
      </c>
      <c r="D357" s="2" t="s">
        <v>2</v>
      </c>
      <c r="E357" s="2">
        <v>26</v>
      </c>
      <c r="F357" s="2">
        <v>0</v>
      </c>
      <c r="G357" s="2">
        <v>4</v>
      </c>
      <c r="H357" s="2">
        <v>120000</v>
      </c>
      <c r="I357" s="2">
        <v>60</v>
      </c>
      <c r="J357" s="2" t="s">
        <v>1671</v>
      </c>
      <c r="K357" s="2">
        <v>45</v>
      </c>
      <c r="L357" s="2">
        <v>15</v>
      </c>
      <c r="M357" s="2">
        <v>0</v>
      </c>
      <c r="N357" s="2">
        <v>10</v>
      </c>
      <c r="O357" s="2">
        <v>15</v>
      </c>
      <c r="P357" s="2">
        <v>5</v>
      </c>
      <c r="Q357" s="2" t="s">
        <v>2369</v>
      </c>
      <c r="R357" s="2" t="s">
        <v>2369</v>
      </c>
      <c r="S357" s="4">
        <v>44837</v>
      </c>
    </row>
    <row r="358" spans="1:19" ht="12.5" x14ac:dyDescent="0.25">
      <c r="A358" s="14" t="str">
        <f>HYPERLINK("https://gerandofalcoes.my.salesforce.com/0014X00002VKCuwQAH", "0014X00002VKCuwQAH")</f>
        <v>0014X00002VKCuwQAH</v>
      </c>
      <c r="B358" s="2" t="s">
        <v>2378</v>
      </c>
      <c r="C358" s="2" t="s">
        <v>1800</v>
      </c>
      <c r="D358" s="2" t="s">
        <v>2</v>
      </c>
      <c r="E358" s="2">
        <v>26</v>
      </c>
      <c r="F358" s="2">
        <v>0</v>
      </c>
      <c r="G358" s="2">
        <v>2</v>
      </c>
      <c r="H358" s="2">
        <v>50000</v>
      </c>
      <c r="I358" s="2">
        <v>0</v>
      </c>
      <c r="J358" s="2" t="s">
        <v>1779</v>
      </c>
      <c r="K358" s="2">
        <v>31</v>
      </c>
      <c r="L358" s="2">
        <v>15</v>
      </c>
      <c r="M358" s="2">
        <v>0</v>
      </c>
      <c r="N358" s="2">
        <v>6</v>
      </c>
      <c r="O358" s="2">
        <v>10</v>
      </c>
      <c r="P358" s="2">
        <v>0</v>
      </c>
      <c r="Q358" s="2" t="s">
        <v>2379</v>
      </c>
      <c r="R358" s="2" t="s">
        <v>2380</v>
      </c>
      <c r="S358" s="4">
        <v>44837</v>
      </c>
    </row>
    <row r="359" spans="1:19" ht="12.5" x14ac:dyDescent="0.25">
      <c r="A359" s="14" t="str">
        <f>HYPERLINK("https://gerandofalcoes.my.salesforce.com/0014P00003YSp9ZQAT", "0014P00003YSp9ZQAT")</f>
        <v>0014P00003YSp9ZQAT</v>
      </c>
      <c r="B359" s="2" t="s">
        <v>2381</v>
      </c>
      <c r="C359" s="2" t="s">
        <v>1800</v>
      </c>
      <c r="D359" s="2" t="s">
        <v>2</v>
      </c>
      <c r="E359" s="2">
        <v>26</v>
      </c>
      <c r="F359" s="2">
        <v>2</v>
      </c>
      <c r="G359" s="2">
        <v>0</v>
      </c>
      <c r="H359" s="2">
        <v>0</v>
      </c>
      <c r="I359" s="2">
        <v>0</v>
      </c>
      <c r="J359" s="2" t="s">
        <v>1779</v>
      </c>
      <c r="K359" s="2">
        <v>20</v>
      </c>
      <c r="L359" s="2">
        <v>15</v>
      </c>
      <c r="M359" s="2">
        <v>5</v>
      </c>
      <c r="N359" s="2">
        <v>0</v>
      </c>
      <c r="O359" s="2">
        <v>0</v>
      </c>
      <c r="P359" s="2">
        <v>0</v>
      </c>
      <c r="Q359" s="2" t="s">
        <v>2382</v>
      </c>
      <c r="R359" s="2" t="s">
        <v>2383</v>
      </c>
      <c r="S359" s="4">
        <v>44837</v>
      </c>
    </row>
    <row r="360" spans="1:19" ht="12.5" x14ac:dyDescent="0.25">
      <c r="A360" s="14" t="str">
        <f>HYPERLINK("https://gerandofalcoes.my.salesforce.com/0014X00002VKCsmQAH", "0014X00002VKCsmQAH")</f>
        <v>0014X00002VKCsmQAH</v>
      </c>
      <c r="B360" s="2" t="s">
        <v>2370</v>
      </c>
      <c r="C360" s="2" t="s">
        <v>423</v>
      </c>
      <c r="D360" s="2" t="s">
        <v>2</v>
      </c>
      <c r="E360" s="2">
        <v>26</v>
      </c>
      <c r="F360" s="2">
        <v>0</v>
      </c>
      <c r="G360" s="2">
        <v>2</v>
      </c>
      <c r="H360" s="2">
        <v>8000</v>
      </c>
      <c r="I360" s="2">
        <v>20</v>
      </c>
      <c r="J360" s="2" t="s">
        <v>1779</v>
      </c>
      <c r="K360" s="2">
        <v>31</v>
      </c>
      <c r="L360" s="2">
        <v>15</v>
      </c>
      <c r="M360" s="2">
        <v>0</v>
      </c>
      <c r="N360" s="2">
        <v>6</v>
      </c>
      <c r="O360" s="2">
        <v>5</v>
      </c>
      <c r="P360" s="2">
        <v>5</v>
      </c>
      <c r="Q360" s="2" t="s">
        <v>2371</v>
      </c>
      <c r="R360" s="2" t="s">
        <v>2371</v>
      </c>
      <c r="S360" s="4">
        <v>44837</v>
      </c>
    </row>
    <row r="361" spans="1:19" ht="12.5" x14ac:dyDescent="0.25">
      <c r="A361" s="14" t="str">
        <f>HYPERLINK("https://gerandofalcoes.my.salesforce.com/0014X00002VKCp9QAH", "0014X00002VKCp9QAH")</f>
        <v>0014X00002VKCp9QAH</v>
      </c>
      <c r="B361" s="2" t="s">
        <v>2384</v>
      </c>
      <c r="C361" s="2" t="s">
        <v>423</v>
      </c>
      <c r="D361" s="2" t="s">
        <v>2</v>
      </c>
      <c r="E361" s="2">
        <v>26</v>
      </c>
      <c r="F361" s="2">
        <v>17</v>
      </c>
      <c r="G361" s="2">
        <v>5</v>
      </c>
      <c r="H361" s="2">
        <v>0</v>
      </c>
      <c r="I361" s="2">
        <v>0</v>
      </c>
      <c r="J361" s="2" t="s">
        <v>1779</v>
      </c>
      <c r="K361" s="2">
        <v>37</v>
      </c>
      <c r="L361" s="2">
        <v>15</v>
      </c>
      <c r="M361" s="2">
        <v>12</v>
      </c>
      <c r="N361" s="2">
        <v>10</v>
      </c>
      <c r="O361" s="2">
        <v>0</v>
      </c>
      <c r="P361" s="2">
        <v>0</v>
      </c>
      <c r="Q361" s="2" t="s">
        <v>2385</v>
      </c>
      <c r="R361" s="2" t="s">
        <v>2386</v>
      </c>
      <c r="S361" s="4">
        <v>44837</v>
      </c>
    </row>
    <row r="362" spans="1:19" ht="12.5" x14ac:dyDescent="0.25">
      <c r="A362" s="14" t="str">
        <f>HYPERLINK("https://gerandofalcoes.my.salesforce.com/0014X00002VKCpuQAH", "0014X00002VKCpuQAH")</f>
        <v>0014X00002VKCpuQAH</v>
      </c>
      <c r="B362" s="2" t="s">
        <v>2387</v>
      </c>
      <c r="C362" s="2" t="s">
        <v>423</v>
      </c>
      <c r="D362" s="2" t="s">
        <v>2</v>
      </c>
      <c r="E362" s="2">
        <v>25.71</v>
      </c>
      <c r="F362" s="2">
        <v>0</v>
      </c>
      <c r="G362" s="2">
        <v>2</v>
      </c>
      <c r="H362" s="2">
        <v>40000</v>
      </c>
      <c r="I362" s="2">
        <v>50</v>
      </c>
      <c r="J362" s="2" t="s">
        <v>1779</v>
      </c>
      <c r="K362" s="2">
        <v>36</v>
      </c>
      <c r="L362" s="2">
        <v>15</v>
      </c>
      <c r="M362" s="2">
        <v>0</v>
      </c>
      <c r="N362" s="2">
        <v>6</v>
      </c>
      <c r="O362" s="2">
        <v>10</v>
      </c>
      <c r="P362" s="2">
        <v>5</v>
      </c>
      <c r="Q362" s="2" t="s">
        <v>2388</v>
      </c>
      <c r="R362" s="2" t="s">
        <v>2389</v>
      </c>
      <c r="S362" s="4">
        <v>44837</v>
      </c>
    </row>
    <row r="363" spans="1:19" ht="12.5" x14ac:dyDescent="0.25">
      <c r="A363" s="14" t="str">
        <f>HYPERLINK("https://gerandofalcoes.my.salesforce.com/0014X00002YggpmQAB", "0014X00002YggpmQAB")</f>
        <v>0014X00002YggpmQAB</v>
      </c>
      <c r="B363" s="2" t="s">
        <v>3244</v>
      </c>
      <c r="C363" s="2" t="s">
        <v>423</v>
      </c>
      <c r="D363" s="2" t="s">
        <v>2</v>
      </c>
      <c r="E363" s="2">
        <v>25.41</v>
      </c>
      <c r="F363" s="2">
        <v>0</v>
      </c>
      <c r="G363" s="2">
        <v>3</v>
      </c>
      <c r="H363" s="2">
        <v>20000</v>
      </c>
      <c r="I363" s="2">
        <v>190</v>
      </c>
      <c r="J363" s="2" t="s">
        <v>1671</v>
      </c>
      <c r="K363" s="2">
        <v>40</v>
      </c>
      <c r="L363" s="2">
        <v>15</v>
      </c>
      <c r="M363" s="2">
        <v>0</v>
      </c>
      <c r="N363" s="2">
        <v>8</v>
      </c>
      <c r="O363" s="2">
        <v>5</v>
      </c>
      <c r="P363" s="2">
        <v>12</v>
      </c>
      <c r="Q363" s="2" t="s">
        <v>3245</v>
      </c>
      <c r="R363" s="2" t="s">
        <v>3246</v>
      </c>
      <c r="S363" s="4">
        <v>44952</v>
      </c>
    </row>
    <row r="364" spans="1:19" ht="12.5" x14ac:dyDescent="0.25">
      <c r="A364" s="14" t="str">
        <f>HYPERLINK("https://gerandofalcoes.my.salesforce.com/0014X00002VKCq2QAH", "0014X00002VKCq2QAH")</f>
        <v>0014X00002VKCq2QAH</v>
      </c>
      <c r="B364" s="2" t="s">
        <v>2390</v>
      </c>
      <c r="C364" s="2" t="s">
        <v>423</v>
      </c>
      <c r="D364" s="2" t="s">
        <v>2</v>
      </c>
      <c r="E364" s="2">
        <v>25.27</v>
      </c>
      <c r="F364" s="2">
        <v>0</v>
      </c>
      <c r="G364" s="2">
        <v>0</v>
      </c>
      <c r="H364" s="2">
        <v>0</v>
      </c>
      <c r="I364" s="2">
        <v>312</v>
      </c>
      <c r="J364" s="2" t="s">
        <v>1779</v>
      </c>
      <c r="K364" s="2">
        <v>30</v>
      </c>
      <c r="L364" s="2">
        <v>15</v>
      </c>
      <c r="M364" s="2">
        <v>0</v>
      </c>
      <c r="N364" s="2">
        <v>0</v>
      </c>
      <c r="O364" s="2">
        <v>0</v>
      </c>
      <c r="P364" s="2">
        <v>15</v>
      </c>
      <c r="Q364" s="2" t="s">
        <v>2391</v>
      </c>
      <c r="R364" s="2" t="s">
        <v>2392</v>
      </c>
      <c r="S364" s="4">
        <v>44837</v>
      </c>
    </row>
    <row r="365" spans="1:19" ht="12.5" x14ac:dyDescent="0.25">
      <c r="A365" s="14" t="str">
        <f>HYPERLINK("https://gerandofalcoes.my.salesforce.com/0014P00003YSp8JQAT", "0014P00003YSp8JQAT")</f>
        <v>0014P00003YSp8JQAT</v>
      </c>
      <c r="B365" s="2" t="s">
        <v>2393</v>
      </c>
      <c r="C365" s="2" t="s">
        <v>423</v>
      </c>
      <c r="D365" s="2" t="s">
        <v>2</v>
      </c>
      <c r="E365" s="2">
        <v>25.23</v>
      </c>
      <c r="F365" s="2">
        <v>9</v>
      </c>
      <c r="G365" s="2">
        <v>2</v>
      </c>
      <c r="H365" s="2">
        <v>85000000</v>
      </c>
      <c r="I365" s="2">
        <v>309</v>
      </c>
      <c r="J365" s="2" t="s">
        <v>1650</v>
      </c>
      <c r="K365" s="2">
        <v>71</v>
      </c>
      <c r="L365" s="2">
        <v>15</v>
      </c>
      <c r="M365" s="2">
        <v>10</v>
      </c>
      <c r="N365" s="2">
        <v>6</v>
      </c>
      <c r="O365" s="2">
        <v>25</v>
      </c>
      <c r="P365" s="2">
        <v>15</v>
      </c>
      <c r="Q365" s="2" t="s">
        <v>2394</v>
      </c>
      <c r="R365" s="2" t="s">
        <v>2394</v>
      </c>
      <c r="S365" s="4">
        <v>44837</v>
      </c>
    </row>
    <row r="366" spans="1:19" ht="12.5" x14ac:dyDescent="0.25">
      <c r="A366" s="14" t="str">
        <f>HYPERLINK("https://gerandofalcoes.my.salesforce.com/0014P00003AN2FWQA1", "0014P00003AN2FWQA1")</f>
        <v>0014P00003AN2FWQA1</v>
      </c>
      <c r="B366" s="2" t="s">
        <v>2395</v>
      </c>
      <c r="C366" s="2" t="s">
        <v>423</v>
      </c>
      <c r="D366" s="2" t="s">
        <v>2</v>
      </c>
      <c r="E366" s="2">
        <v>25.16</v>
      </c>
      <c r="F366" s="2">
        <v>2</v>
      </c>
      <c r="G366" s="2">
        <v>1</v>
      </c>
      <c r="H366" s="2">
        <v>300000</v>
      </c>
      <c r="I366" s="2">
        <v>280</v>
      </c>
      <c r="J366" s="2" t="s">
        <v>1671</v>
      </c>
      <c r="K366" s="2">
        <v>56</v>
      </c>
      <c r="L366" s="2">
        <v>15</v>
      </c>
      <c r="M366" s="2">
        <v>5</v>
      </c>
      <c r="N366" s="2">
        <v>4</v>
      </c>
      <c r="O366" s="2">
        <v>20</v>
      </c>
      <c r="P366" s="2">
        <v>12</v>
      </c>
      <c r="Q366" s="2" t="s">
        <v>2396</v>
      </c>
      <c r="R366" s="2" t="s">
        <v>2396</v>
      </c>
      <c r="S366" s="4">
        <v>44837</v>
      </c>
    </row>
    <row r="367" spans="1:19" ht="12.5" x14ac:dyDescent="0.25">
      <c r="A367" s="14" t="str">
        <f>HYPERLINK("https://gerandofalcoes.my.salesforce.com/0014P00003YSp7nQAD", "0014P00003YSp7nQAD")</f>
        <v>0014P00003YSp7nQAD</v>
      </c>
      <c r="B367" s="2" t="s">
        <v>2401</v>
      </c>
      <c r="C367" s="2" t="s">
        <v>1800</v>
      </c>
      <c r="D367" s="2" t="s">
        <v>2</v>
      </c>
      <c r="E367" s="2">
        <v>25</v>
      </c>
      <c r="F367" s="2">
        <v>7</v>
      </c>
      <c r="G367" s="2">
        <v>6</v>
      </c>
      <c r="H367" s="2">
        <v>200000</v>
      </c>
      <c r="I367" s="2">
        <v>350</v>
      </c>
      <c r="J367" s="2" t="s">
        <v>1650</v>
      </c>
      <c r="K367" s="2">
        <v>65</v>
      </c>
      <c r="L367" s="2">
        <v>15</v>
      </c>
      <c r="M367" s="2">
        <v>10</v>
      </c>
      <c r="N367" s="2">
        <v>10</v>
      </c>
      <c r="O367" s="2">
        <v>15</v>
      </c>
      <c r="P367" s="2">
        <v>15</v>
      </c>
      <c r="Q367" s="2" t="s">
        <v>2402</v>
      </c>
      <c r="R367" s="2" t="s">
        <v>2403</v>
      </c>
      <c r="S367" s="4">
        <v>44837</v>
      </c>
    </row>
    <row r="368" spans="1:19" ht="12.5" x14ac:dyDescent="0.25">
      <c r="A368" s="14" t="str">
        <f>HYPERLINK("https://gerandofalcoes.my.salesforce.com/0014P00003SGWPdQAP", "0014P00003SGWPdQAP")</f>
        <v>0014P00003SGWPdQAP</v>
      </c>
      <c r="B368" s="2" t="s">
        <v>2397</v>
      </c>
      <c r="C368" s="2" t="s">
        <v>423</v>
      </c>
      <c r="D368" s="2" t="s">
        <v>2</v>
      </c>
      <c r="E368" s="2">
        <v>25</v>
      </c>
      <c r="F368" s="2">
        <v>1</v>
      </c>
      <c r="G368" s="2">
        <v>5</v>
      </c>
      <c r="H368" s="2">
        <v>22850</v>
      </c>
      <c r="I368" s="2">
        <v>1500</v>
      </c>
      <c r="J368" s="2" t="s">
        <v>1671</v>
      </c>
      <c r="K368" s="2">
        <v>55</v>
      </c>
      <c r="L368" s="2">
        <v>15</v>
      </c>
      <c r="M368" s="2">
        <v>5</v>
      </c>
      <c r="N368" s="2">
        <v>10</v>
      </c>
      <c r="O368" s="2">
        <v>5</v>
      </c>
      <c r="P368" s="2">
        <v>20</v>
      </c>
      <c r="Q368" s="2" t="s">
        <v>283</v>
      </c>
      <c r="R368" s="2" t="s">
        <v>2398</v>
      </c>
      <c r="S368" s="4">
        <v>44837</v>
      </c>
    </row>
    <row r="369" spans="1:19" ht="12.5" x14ac:dyDescent="0.25">
      <c r="A369" s="14" t="str">
        <f>HYPERLINK("https://gerandofalcoes.my.salesforce.com/0014X00002VKCuhQAH", "0014X00002VKCuhQAH")</f>
        <v>0014X00002VKCuhQAH</v>
      </c>
      <c r="B369" s="2" t="s">
        <v>2423</v>
      </c>
      <c r="C369" s="2" t="s">
        <v>1800</v>
      </c>
      <c r="D369" s="2" t="s">
        <v>2</v>
      </c>
      <c r="E369" s="2">
        <v>25</v>
      </c>
      <c r="F369" s="2">
        <v>0</v>
      </c>
      <c r="G369" s="2">
        <v>3</v>
      </c>
      <c r="H369" s="2">
        <v>12000</v>
      </c>
      <c r="I369" s="2">
        <v>0</v>
      </c>
      <c r="J369" s="2" t="s">
        <v>1779</v>
      </c>
      <c r="K369" s="2">
        <v>28</v>
      </c>
      <c r="L369" s="2">
        <v>15</v>
      </c>
      <c r="M369" s="2">
        <v>0</v>
      </c>
      <c r="N369" s="2">
        <v>8</v>
      </c>
      <c r="O369" s="2">
        <v>5</v>
      </c>
      <c r="P369" s="2">
        <v>0</v>
      </c>
      <c r="Q369" s="2" t="s">
        <v>2424</v>
      </c>
      <c r="R369" s="2" t="s">
        <v>2424</v>
      </c>
      <c r="S369" s="4">
        <v>44837</v>
      </c>
    </row>
    <row r="370" spans="1:19" ht="12.5" x14ac:dyDescent="0.25">
      <c r="A370" s="14" t="str">
        <f>HYPERLINK("https://gerandofalcoes.my.salesforce.com/0014P00003YSp8EQAT", "0014P00003YSp8EQAT")</f>
        <v>0014P00003YSp8EQAT</v>
      </c>
      <c r="B370" s="2" t="s">
        <v>2407</v>
      </c>
      <c r="C370" s="2" t="s">
        <v>423</v>
      </c>
      <c r="D370" s="2" t="s">
        <v>2</v>
      </c>
      <c r="E370" s="2">
        <v>25</v>
      </c>
      <c r="F370" s="2">
        <v>0</v>
      </c>
      <c r="G370" s="2">
        <v>2</v>
      </c>
      <c r="H370" s="2">
        <v>6300</v>
      </c>
      <c r="I370" s="2">
        <v>250</v>
      </c>
      <c r="J370" s="2" t="s">
        <v>1779</v>
      </c>
      <c r="K370" s="2">
        <v>38</v>
      </c>
      <c r="L370" s="2">
        <v>15</v>
      </c>
      <c r="M370" s="2">
        <v>0</v>
      </c>
      <c r="N370" s="2">
        <v>6</v>
      </c>
      <c r="O370" s="2">
        <v>5</v>
      </c>
      <c r="P370" s="2">
        <v>12</v>
      </c>
      <c r="Q370" s="2" t="s">
        <v>2408</v>
      </c>
      <c r="R370" s="2" t="s">
        <v>2409</v>
      </c>
      <c r="S370" s="4">
        <v>44837</v>
      </c>
    </row>
    <row r="371" spans="1:19" ht="12.5" x14ac:dyDescent="0.25">
      <c r="A371" s="14" t="str">
        <f>HYPERLINK("https://gerandofalcoes.my.salesforce.com/0014X00002OEuasQAD", "0014X00002OEuasQAD")</f>
        <v>0014X00002OEuasQAD</v>
      </c>
      <c r="B371" s="2" t="s">
        <v>2420</v>
      </c>
      <c r="C371" s="2" t="s">
        <v>423</v>
      </c>
      <c r="D371" s="2" t="s">
        <v>2</v>
      </c>
      <c r="E371" s="2">
        <v>25</v>
      </c>
      <c r="F371" s="2">
        <v>0</v>
      </c>
      <c r="G371" s="2">
        <v>4</v>
      </c>
      <c r="H371" s="2">
        <v>20000</v>
      </c>
      <c r="I371" s="2">
        <v>0</v>
      </c>
      <c r="J371" s="2" t="s">
        <v>1779</v>
      </c>
      <c r="K371" s="2">
        <v>30</v>
      </c>
      <c r="L371" s="2">
        <v>15</v>
      </c>
      <c r="M371" s="2">
        <v>0</v>
      </c>
      <c r="N371" s="2">
        <v>10</v>
      </c>
      <c r="O371" s="2">
        <v>5</v>
      </c>
      <c r="P371" s="2">
        <v>0</v>
      </c>
      <c r="Q371" s="2" t="s">
        <v>2421</v>
      </c>
      <c r="R371" s="2" t="s">
        <v>2422</v>
      </c>
      <c r="S371" s="4">
        <v>44837</v>
      </c>
    </row>
    <row r="372" spans="1:19" ht="12.5" x14ac:dyDescent="0.25">
      <c r="A372" s="14" t="str">
        <f>HYPERLINK("https://gerandofalcoes.my.salesforce.com/0014X00002VKCvEQAX", "0014X00002VKCvEQAX")</f>
        <v>0014X00002VKCvEQAX</v>
      </c>
      <c r="B372" s="2" t="s">
        <v>3842</v>
      </c>
      <c r="C372" s="2" t="s">
        <v>1800</v>
      </c>
      <c r="D372" s="2" t="s">
        <v>2</v>
      </c>
      <c r="E372" s="2">
        <v>25</v>
      </c>
      <c r="F372" s="2">
        <v>0</v>
      </c>
      <c r="G372" s="2">
        <v>2</v>
      </c>
      <c r="H372" s="2">
        <v>10</v>
      </c>
      <c r="I372" s="2">
        <v>0</v>
      </c>
      <c r="J372" s="2" t="s">
        <v>1779</v>
      </c>
      <c r="K372" s="2">
        <v>26</v>
      </c>
      <c r="L372" s="2">
        <v>15</v>
      </c>
      <c r="M372" s="2">
        <v>0</v>
      </c>
      <c r="N372" s="2">
        <v>6</v>
      </c>
      <c r="O372" s="2">
        <v>5</v>
      </c>
      <c r="P372" s="2">
        <v>0</v>
      </c>
      <c r="Q372" s="2" t="s">
        <v>3843</v>
      </c>
      <c r="R372" s="2" t="s">
        <v>3844</v>
      </c>
      <c r="S372" s="4">
        <v>45112</v>
      </c>
    </row>
    <row r="373" spans="1:19" ht="12.5" x14ac:dyDescent="0.25">
      <c r="A373" s="14" t="str">
        <f>HYPERLINK("https://gerandofalcoes.my.salesforce.com/0014P00003YSp7tQAD", "0014P00003YSp7tQAD")</f>
        <v>0014P00003YSp7tQAD</v>
      </c>
      <c r="B373" s="2" t="s">
        <v>2418</v>
      </c>
      <c r="C373" s="2" t="s">
        <v>1800</v>
      </c>
      <c r="D373" s="2" t="s">
        <v>2</v>
      </c>
      <c r="E373" s="2">
        <v>25</v>
      </c>
      <c r="F373" s="2">
        <v>8</v>
      </c>
      <c r="G373" s="2">
        <v>2</v>
      </c>
      <c r="H373" s="2">
        <v>0</v>
      </c>
      <c r="I373" s="2">
        <v>0</v>
      </c>
      <c r="J373" s="2" t="s">
        <v>1779</v>
      </c>
      <c r="K373" s="2">
        <v>31</v>
      </c>
      <c r="L373" s="2">
        <v>15</v>
      </c>
      <c r="M373" s="2">
        <v>10</v>
      </c>
      <c r="N373" s="2">
        <v>6</v>
      </c>
      <c r="O373" s="2">
        <v>0</v>
      </c>
      <c r="P373" s="2">
        <v>0</v>
      </c>
      <c r="Q373" s="2" t="s">
        <v>2419</v>
      </c>
      <c r="R373" s="2" t="s">
        <v>2419</v>
      </c>
      <c r="S373" s="4">
        <v>44837</v>
      </c>
    </row>
    <row r="374" spans="1:19" ht="12.5" x14ac:dyDescent="0.25">
      <c r="A374" s="14" t="str">
        <f>HYPERLINK("https://gerandofalcoes.my.salesforce.com/0014X00002VKCsYQAX", "0014X00002VKCsYQAX")</f>
        <v>0014X00002VKCsYQAX</v>
      </c>
      <c r="B374" s="2" t="s">
        <v>2413</v>
      </c>
      <c r="C374" s="2" t="s">
        <v>423</v>
      </c>
      <c r="D374" s="2" t="s">
        <v>2</v>
      </c>
      <c r="E374" s="2">
        <v>25</v>
      </c>
      <c r="F374" s="2">
        <v>0</v>
      </c>
      <c r="G374" s="2">
        <v>1</v>
      </c>
      <c r="H374" s="2">
        <v>0</v>
      </c>
      <c r="I374" s="2">
        <v>64</v>
      </c>
      <c r="J374" s="2" t="s">
        <v>1779</v>
      </c>
      <c r="K374" s="2">
        <v>24</v>
      </c>
      <c r="L374" s="2">
        <v>15</v>
      </c>
      <c r="M374" s="2">
        <v>0</v>
      </c>
      <c r="N374" s="2">
        <v>4</v>
      </c>
      <c r="O374" s="2">
        <v>0</v>
      </c>
      <c r="P374" s="2">
        <v>5</v>
      </c>
      <c r="Q374" s="2" t="s">
        <v>2414</v>
      </c>
      <c r="R374" s="2" t="s">
        <v>2414</v>
      </c>
      <c r="S374" s="4">
        <v>44837</v>
      </c>
    </row>
    <row r="375" spans="1:19" ht="12.5" x14ac:dyDescent="0.25">
      <c r="A375" s="14" t="str">
        <f>HYPERLINK("https://gerandofalcoes.my.salesforce.com/0014X00002VKCt7QAH", "0014X00002VKCt7QAH")</f>
        <v>0014X00002VKCt7QAH</v>
      </c>
      <c r="B375" s="2" t="s">
        <v>2410</v>
      </c>
      <c r="C375" s="2" t="s">
        <v>1800</v>
      </c>
      <c r="D375" s="2" t="s">
        <v>2</v>
      </c>
      <c r="E375" s="2">
        <v>25</v>
      </c>
      <c r="F375" s="2">
        <v>0</v>
      </c>
      <c r="G375" s="2">
        <v>3</v>
      </c>
      <c r="H375" s="2">
        <v>11000</v>
      </c>
      <c r="I375" s="2">
        <v>100</v>
      </c>
      <c r="J375" s="2" t="s">
        <v>1779</v>
      </c>
      <c r="K375" s="2">
        <v>38</v>
      </c>
      <c r="L375" s="2">
        <v>15</v>
      </c>
      <c r="M375" s="2">
        <v>0</v>
      </c>
      <c r="N375" s="2">
        <v>8</v>
      </c>
      <c r="O375" s="2">
        <v>5</v>
      </c>
      <c r="P375" s="2">
        <v>10</v>
      </c>
      <c r="Q375" s="2" t="s">
        <v>2411</v>
      </c>
      <c r="R375" s="2" t="s">
        <v>2412</v>
      </c>
      <c r="S375" s="4">
        <v>44837</v>
      </c>
    </row>
    <row r="376" spans="1:19" ht="12.5" x14ac:dyDescent="0.25">
      <c r="A376" s="14" t="str">
        <f>HYPERLINK("https://gerandofalcoes.my.salesforce.com/0014P00003SGWPbQAP", "0014P00003SGWPbQAP")</f>
        <v>0014P00003SGWPbQAP</v>
      </c>
      <c r="B376" s="2" t="s">
        <v>276</v>
      </c>
      <c r="C376" s="2" t="s">
        <v>423</v>
      </c>
      <c r="D376" s="2" t="s">
        <v>2</v>
      </c>
      <c r="E376" s="2">
        <v>25</v>
      </c>
      <c r="F376" s="2">
        <v>21</v>
      </c>
      <c r="G376" s="2">
        <v>8</v>
      </c>
      <c r="H376" s="2">
        <v>1406000</v>
      </c>
      <c r="I376" s="2">
        <v>121</v>
      </c>
      <c r="J376" s="2" t="s">
        <v>1650</v>
      </c>
      <c r="K376" s="2">
        <v>72</v>
      </c>
      <c r="L376" s="2">
        <v>15</v>
      </c>
      <c r="M376" s="2">
        <v>12</v>
      </c>
      <c r="N376" s="2">
        <v>10</v>
      </c>
      <c r="O376" s="2">
        <v>25</v>
      </c>
      <c r="P376" s="2">
        <v>10</v>
      </c>
      <c r="Q376" s="2" t="s">
        <v>277</v>
      </c>
      <c r="R376" s="2" t="s">
        <v>1257</v>
      </c>
      <c r="S376" s="4">
        <v>44837</v>
      </c>
    </row>
    <row r="377" spans="1:19" ht="12.5" x14ac:dyDescent="0.25">
      <c r="A377" s="14" t="str">
        <f>HYPERLINK("https://gerandofalcoes.my.salesforce.com/0014X00002VKCr3QAH", "0014X00002VKCr3QAH")</f>
        <v>0014X00002VKCr3QAH</v>
      </c>
      <c r="B377" s="2" t="s">
        <v>2399</v>
      </c>
      <c r="C377" s="2" t="s">
        <v>423</v>
      </c>
      <c r="D377" s="2" t="s">
        <v>2</v>
      </c>
      <c r="E377" s="2">
        <v>25</v>
      </c>
      <c r="F377" s="2">
        <v>0</v>
      </c>
      <c r="G377" s="2">
        <v>0</v>
      </c>
      <c r="H377" s="2">
        <v>0</v>
      </c>
      <c r="I377" s="2">
        <v>700</v>
      </c>
      <c r="J377" s="2" t="s">
        <v>1779</v>
      </c>
      <c r="K377" s="2">
        <v>35</v>
      </c>
      <c r="L377" s="2">
        <v>15</v>
      </c>
      <c r="M377" s="2">
        <v>0</v>
      </c>
      <c r="N377" s="2">
        <v>0</v>
      </c>
      <c r="O377" s="2">
        <v>0</v>
      </c>
      <c r="P377" s="2">
        <v>20</v>
      </c>
      <c r="Q377" s="2" t="s">
        <v>2400</v>
      </c>
      <c r="R377" s="2" t="s">
        <v>2400</v>
      </c>
      <c r="S377" s="4">
        <v>44837</v>
      </c>
    </row>
    <row r="378" spans="1:19" ht="12.5" x14ac:dyDescent="0.25">
      <c r="A378" s="14" t="str">
        <f>HYPERLINK("https://gerandofalcoes.my.salesforce.com/0014X00002VKCpEQAX", "0014X00002VKCpEQAX")</f>
        <v>0014X00002VKCpEQAX</v>
      </c>
      <c r="B378" s="2" t="s">
        <v>2404</v>
      </c>
      <c r="C378" s="2" t="s">
        <v>423</v>
      </c>
      <c r="D378" s="2" t="s">
        <v>2</v>
      </c>
      <c r="E378" s="2">
        <v>25</v>
      </c>
      <c r="F378" s="2">
        <v>11</v>
      </c>
      <c r="G378" s="2">
        <v>2</v>
      </c>
      <c r="H378" s="2">
        <v>40000</v>
      </c>
      <c r="I378" s="2">
        <v>276</v>
      </c>
      <c r="J378" s="2" t="s">
        <v>1671</v>
      </c>
      <c r="K378" s="2">
        <v>55</v>
      </c>
      <c r="L378" s="2">
        <v>15</v>
      </c>
      <c r="M378" s="2">
        <v>12</v>
      </c>
      <c r="N378" s="2">
        <v>6</v>
      </c>
      <c r="O378" s="2">
        <v>10</v>
      </c>
      <c r="P378" s="2">
        <v>12</v>
      </c>
      <c r="Q378" s="2" t="s">
        <v>2405</v>
      </c>
      <c r="R378" s="2" t="s">
        <v>2406</v>
      </c>
      <c r="S378" s="4">
        <v>44837</v>
      </c>
    </row>
    <row r="379" spans="1:19" ht="12.5" x14ac:dyDescent="0.25">
      <c r="A379" s="14" t="str">
        <f>HYPERLINK("https://gerandofalcoes.my.salesforce.com/0014X00002VKCvCQAX", "0014X00002VKCvCQAX")</f>
        <v>0014X00002VKCvCQAX</v>
      </c>
      <c r="B379" s="2" t="s">
        <v>2415</v>
      </c>
      <c r="C379" s="2" t="s">
        <v>423</v>
      </c>
      <c r="D379" s="2" t="s">
        <v>2</v>
      </c>
      <c r="E379" s="2">
        <v>25</v>
      </c>
      <c r="F379" s="2">
        <v>0</v>
      </c>
      <c r="G379" s="2">
        <v>4</v>
      </c>
      <c r="H379" s="2">
        <v>25000</v>
      </c>
      <c r="I379" s="2">
        <v>0</v>
      </c>
      <c r="J379" s="2" t="s">
        <v>1779</v>
      </c>
      <c r="K379" s="2">
        <v>35</v>
      </c>
      <c r="L379" s="2">
        <v>15</v>
      </c>
      <c r="M379" s="2">
        <v>0</v>
      </c>
      <c r="N379" s="2">
        <v>10</v>
      </c>
      <c r="O379" s="2">
        <v>10</v>
      </c>
      <c r="P379" s="2">
        <v>0</v>
      </c>
      <c r="Q379" s="2" t="s">
        <v>2416</v>
      </c>
      <c r="R379" s="2" t="s">
        <v>2417</v>
      </c>
      <c r="S379" s="4">
        <v>44837</v>
      </c>
    </row>
    <row r="380" spans="1:19" ht="12.5" x14ac:dyDescent="0.25">
      <c r="A380" s="14" t="str">
        <f>HYPERLINK("https://gerandofalcoes.my.salesforce.com/0014X00002VKCqTQAX", "0014X00002VKCqTQAX")</f>
        <v>0014X00002VKCqTQAX</v>
      </c>
      <c r="B380" s="2" t="s">
        <v>2431</v>
      </c>
      <c r="C380" s="2" t="s">
        <v>423</v>
      </c>
      <c r="D380" s="2" t="s">
        <v>2</v>
      </c>
      <c r="E380" s="2">
        <v>24.9</v>
      </c>
      <c r="F380" s="2">
        <v>0</v>
      </c>
      <c r="G380" s="2">
        <v>1</v>
      </c>
      <c r="H380" s="2">
        <v>7500</v>
      </c>
      <c r="I380" s="2">
        <v>250</v>
      </c>
      <c r="J380" s="2" t="s">
        <v>1779</v>
      </c>
      <c r="K380" s="2">
        <v>31</v>
      </c>
      <c r="L380" s="2">
        <v>10</v>
      </c>
      <c r="M380" s="2">
        <v>0</v>
      </c>
      <c r="N380" s="2">
        <v>4</v>
      </c>
      <c r="O380" s="2">
        <v>5</v>
      </c>
      <c r="P380" s="2">
        <v>12</v>
      </c>
      <c r="Q380" s="2" t="s">
        <v>2432</v>
      </c>
      <c r="R380" s="2" t="s">
        <v>2432</v>
      </c>
      <c r="S380" s="4">
        <v>44837</v>
      </c>
    </row>
    <row r="381" spans="1:19" ht="12.5" x14ac:dyDescent="0.25">
      <c r="A381" s="14" t="str">
        <f>HYPERLINK("https://gerandofalcoes.my.salesforce.com/0014P00003YSp9hQAD", "0014P00003YSp9hQAD")</f>
        <v>0014P00003YSp9hQAD</v>
      </c>
      <c r="B381" s="2" t="s">
        <v>2433</v>
      </c>
      <c r="C381" s="2" t="s">
        <v>423</v>
      </c>
      <c r="D381" s="2" t="s">
        <v>2</v>
      </c>
      <c r="E381" s="2">
        <v>24.36</v>
      </c>
      <c r="F381" s="2">
        <v>15</v>
      </c>
      <c r="G381" s="2">
        <v>5</v>
      </c>
      <c r="H381" s="2">
        <v>3886816</v>
      </c>
      <c r="I381" s="2">
        <v>100</v>
      </c>
      <c r="J381" s="2" t="s">
        <v>1650</v>
      </c>
      <c r="K381" s="2">
        <v>67</v>
      </c>
      <c r="L381" s="2">
        <v>10</v>
      </c>
      <c r="M381" s="2">
        <v>12</v>
      </c>
      <c r="N381" s="2">
        <v>10</v>
      </c>
      <c r="O381" s="2">
        <v>25</v>
      </c>
      <c r="P381" s="2">
        <v>10</v>
      </c>
      <c r="Q381" s="2" t="s">
        <v>2434</v>
      </c>
      <c r="R381" s="2" t="s">
        <v>2435</v>
      </c>
      <c r="S381" s="4">
        <v>44837</v>
      </c>
    </row>
    <row r="382" spans="1:19" ht="12.5" hidden="1" x14ac:dyDescent="0.25">
      <c r="A382" s="14" t="str">
        <f>HYPERLINK("https://gerandofalcoes.my.salesforce.com/0014X00002VKCqXQAX", "0014X00002VKCqXQAX")</f>
        <v>0014X00002VKCqXQAX</v>
      </c>
      <c r="B382" s="2" t="s">
        <v>2301</v>
      </c>
      <c r="C382" s="2" t="s">
        <v>1684</v>
      </c>
      <c r="D382" s="2" t="s">
        <v>2</v>
      </c>
      <c r="E382" s="2">
        <v>29</v>
      </c>
      <c r="F382" s="2">
        <v>0</v>
      </c>
      <c r="G382" s="2">
        <v>5</v>
      </c>
      <c r="H382" s="2">
        <v>70000</v>
      </c>
      <c r="I382" s="2">
        <v>100</v>
      </c>
      <c r="J382" s="2" t="s">
        <v>1671</v>
      </c>
      <c r="K382" s="2">
        <v>45</v>
      </c>
      <c r="L382" s="2">
        <v>15</v>
      </c>
      <c r="M382" s="2">
        <v>0</v>
      </c>
      <c r="N382" s="2">
        <v>10</v>
      </c>
      <c r="O382" s="2">
        <v>10</v>
      </c>
      <c r="P382" s="2">
        <v>10</v>
      </c>
      <c r="Q382" s="2" t="s">
        <v>2302</v>
      </c>
      <c r="R382" s="2" t="s">
        <v>2303</v>
      </c>
      <c r="S382" s="4">
        <v>44837</v>
      </c>
    </row>
    <row r="383" spans="1:19" ht="12.5" x14ac:dyDescent="0.25">
      <c r="A383" s="14" t="str">
        <f>HYPERLINK("https://gerandofalcoes.my.salesforce.com/0014X00002YggnNQAR", "0014X00002YggnNQAR")</f>
        <v>0014X00002YggnNQAR</v>
      </c>
      <c r="B383" s="2" t="s">
        <v>3403</v>
      </c>
      <c r="C383" s="2" t="s">
        <v>423</v>
      </c>
      <c r="D383" s="2" t="s">
        <v>2</v>
      </c>
      <c r="E383" s="2">
        <v>24.27</v>
      </c>
      <c r="F383" s="2">
        <v>5</v>
      </c>
      <c r="G383" s="2">
        <v>2</v>
      </c>
      <c r="H383" s="2">
        <v>5400</v>
      </c>
      <c r="I383" s="2">
        <v>0</v>
      </c>
      <c r="J383" s="2" t="s">
        <v>1779</v>
      </c>
      <c r="K383" s="2">
        <v>26</v>
      </c>
      <c r="L383" s="2">
        <v>10</v>
      </c>
      <c r="M383" s="2">
        <v>5</v>
      </c>
      <c r="N383" s="2">
        <v>6</v>
      </c>
      <c r="O383" s="2">
        <v>5</v>
      </c>
      <c r="P383" s="2">
        <v>0</v>
      </c>
      <c r="Q383" s="2" t="s">
        <v>3404</v>
      </c>
      <c r="R383" s="2" t="s">
        <v>3404</v>
      </c>
      <c r="S383" s="4">
        <v>44958</v>
      </c>
    </row>
    <row r="384" spans="1:19" ht="12.5" x14ac:dyDescent="0.25">
      <c r="A384" s="14" t="str">
        <f>HYPERLINK("https://gerandofalcoes.my.salesforce.com/0014P00003YSp9fQAD", "0014P00003YSp9fQAD")</f>
        <v>0014P00003YSp9fQAD</v>
      </c>
      <c r="B384" s="2" t="s">
        <v>2436</v>
      </c>
      <c r="C384" s="2" t="s">
        <v>1800</v>
      </c>
      <c r="D384" s="2" t="s">
        <v>2</v>
      </c>
      <c r="E384" s="2">
        <v>24.24</v>
      </c>
      <c r="F384" s="2">
        <v>0</v>
      </c>
      <c r="G384" s="2">
        <v>0</v>
      </c>
      <c r="H384" s="2">
        <v>0</v>
      </c>
      <c r="I384" s="2">
        <v>114</v>
      </c>
      <c r="J384" s="2" t="s">
        <v>1779</v>
      </c>
      <c r="K384" s="2">
        <v>20</v>
      </c>
      <c r="L384" s="2">
        <v>10</v>
      </c>
      <c r="M384" s="2">
        <v>0</v>
      </c>
      <c r="N384" s="2">
        <v>0</v>
      </c>
      <c r="O384" s="2">
        <v>0</v>
      </c>
      <c r="P384" s="2">
        <v>10</v>
      </c>
      <c r="Q384" s="2" t="s">
        <v>2437</v>
      </c>
      <c r="R384" s="2" t="s">
        <v>2437</v>
      </c>
      <c r="S384" s="4">
        <v>44837</v>
      </c>
    </row>
    <row r="385" spans="1:19" ht="12.5" x14ac:dyDescent="0.25">
      <c r="A385" s="14" t="str">
        <f>HYPERLINK("https://gerandofalcoes.my.salesforce.com/0014X00002VKCv2QAH", "0014X00002VKCv2QAH")</f>
        <v>0014X00002VKCv2QAH</v>
      </c>
      <c r="B385" s="2" t="s">
        <v>2450</v>
      </c>
      <c r="C385" s="2" t="s">
        <v>423</v>
      </c>
      <c r="D385" s="2" t="s">
        <v>2</v>
      </c>
      <c r="E385" s="2">
        <v>24</v>
      </c>
      <c r="F385" s="2">
        <v>5</v>
      </c>
      <c r="G385" s="2">
        <v>3</v>
      </c>
      <c r="H385" s="2">
        <v>500</v>
      </c>
      <c r="I385" s="2">
        <v>0</v>
      </c>
      <c r="J385" s="2" t="s">
        <v>1779</v>
      </c>
      <c r="K385" s="2">
        <v>28</v>
      </c>
      <c r="L385" s="2">
        <v>10</v>
      </c>
      <c r="M385" s="2">
        <v>5</v>
      </c>
      <c r="N385" s="2">
        <v>8</v>
      </c>
      <c r="O385" s="2">
        <v>5</v>
      </c>
      <c r="P385" s="2">
        <v>0</v>
      </c>
      <c r="Q385" s="2" t="s">
        <v>2451</v>
      </c>
      <c r="R385" s="2" t="s">
        <v>2451</v>
      </c>
      <c r="S385" s="4">
        <v>44837</v>
      </c>
    </row>
    <row r="386" spans="1:19" ht="12.5" x14ac:dyDescent="0.25">
      <c r="A386" s="14" t="str">
        <f>HYPERLINK("https://gerandofalcoes.my.salesforce.com/0014P00003YSp7zQAD", "0014P00003YSp7zQAD")</f>
        <v>0014P00003YSp7zQAD</v>
      </c>
      <c r="B386" s="2" t="s">
        <v>2441</v>
      </c>
      <c r="C386" s="2" t="s">
        <v>423</v>
      </c>
      <c r="D386" s="2" t="s">
        <v>2</v>
      </c>
      <c r="E386" s="2">
        <v>24</v>
      </c>
      <c r="F386" s="2">
        <v>1</v>
      </c>
      <c r="G386" s="2">
        <v>0</v>
      </c>
      <c r="H386" s="2">
        <v>380000</v>
      </c>
      <c r="I386" s="2">
        <v>780</v>
      </c>
      <c r="J386" s="2" t="s">
        <v>1671</v>
      </c>
      <c r="K386" s="2">
        <v>55</v>
      </c>
      <c r="L386" s="2">
        <v>10</v>
      </c>
      <c r="M386" s="2">
        <v>5</v>
      </c>
      <c r="N386" s="2">
        <v>0</v>
      </c>
      <c r="O386" s="2">
        <v>20</v>
      </c>
      <c r="P386" s="2">
        <v>20</v>
      </c>
      <c r="Q386" s="2" t="s">
        <v>2442</v>
      </c>
      <c r="R386" s="2" t="s">
        <v>2443</v>
      </c>
      <c r="S386" s="4">
        <v>44837</v>
      </c>
    </row>
    <row r="387" spans="1:19" ht="12.5" x14ac:dyDescent="0.25">
      <c r="A387" s="14" t="str">
        <f>HYPERLINK("https://gerandofalcoes.my.salesforce.com/0014P00003YSp8aQAD", "0014P00003YSp8aQAD")</f>
        <v>0014P00003YSp8aQAD</v>
      </c>
      <c r="B387" s="2" t="s">
        <v>2447</v>
      </c>
      <c r="C387" s="2" t="s">
        <v>423</v>
      </c>
      <c r="D387" s="2" t="s">
        <v>2</v>
      </c>
      <c r="E387" s="2">
        <v>24</v>
      </c>
      <c r="F387" s="2">
        <v>0</v>
      </c>
      <c r="G387" s="2">
        <v>2</v>
      </c>
      <c r="H387" s="2">
        <v>40000</v>
      </c>
      <c r="I387" s="2">
        <v>200</v>
      </c>
      <c r="J387" s="2" t="s">
        <v>1779</v>
      </c>
      <c r="K387" s="2">
        <v>38</v>
      </c>
      <c r="L387" s="2">
        <v>10</v>
      </c>
      <c r="M387" s="2">
        <v>0</v>
      </c>
      <c r="N387" s="2">
        <v>6</v>
      </c>
      <c r="O387" s="2">
        <v>10</v>
      </c>
      <c r="P387" s="2">
        <v>12</v>
      </c>
      <c r="Q387" s="2" t="s">
        <v>2448</v>
      </c>
      <c r="R387" s="2" t="s">
        <v>2449</v>
      </c>
      <c r="S387" s="4">
        <v>44837</v>
      </c>
    </row>
    <row r="388" spans="1:19" ht="12.5" x14ac:dyDescent="0.25">
      <c r="A388" s="14" t="str">
        <f>HYPERLINK("https://gerandofalcoes.my.salesforce.com/0014P00003YSp7qQAD", "0014P00003YSp7qQAD")</f>
        <v>0014P00003YSp7qQAD</v>
      </c>
      <c r="B388" s="2" t="s">
        <v>2438</v>
      </c>
      <c r="C388" s="2" t="s">
        <v>423</v>
      </c>
      <c r="D388" s="2" t="s">
        <v>2</v>
      </c>
      <c r="E388" s="2">
        <v>24</v>
      </c>
      <c r="F388" s="2">
        <v>5</v>
      </c>
      <c r="G388" s="2">
        <v>2</v>
      </c>
      <c r="H388" s="2">
        <v>7000</v>
      </c>
      <c r="I388" s="2">
        <v>1250</v>
      </c>
      <c r="J388" s="2" t="s">
        <v>1671</v>
      </c>
      <c r="K388" s="2">
        <v>46</v>
      </c>
      <c r="L388" s="2">
        <v>10</v>
      </c>
      <c r="M388" s="2">
        <v>5</v>
      </c>
      <c r="N388" s="2">
        <v>6</v>
      </c>
      <c r="O388" s="2">
        <v>5</v>
      </c>
      <c r="P388" s="2">
        <v>20</v>
      </c>
      <c r="Q388" s="2" t="s">
        <v>2439</v>
      </c>
      <c r="R388" s="2" t="s">
        <v>2440</v>
      </c>
      <c r="S388" s="4">
        <v>44837</v>
      </c>
    </row>
    <row r="389" spans="1:19" ht="12.5" x14ac:dyDescent="0.25">
      <c r="A389" s="14" t="str">
        <f>HYPERLINK("https://gerandofalcoes.my.salesforce.com/0014X00002VKCuSQAX", "0014X00002VKCuSQAX")</f>
        <v>0014X00002VKCuSQAX</v>
      </c>
      <c r="B389" s="2" t="s">
        <v>2444</v>
      </c>
      <c r="C389" s="2" t="s">
        <v>1800</v>
      </c>
      <c r="D389" s="2" t="s">
        <v>2</v>
      </c>
      <c r="E389" s="2">
        <v>24</v>
      </c>
      <c r="F389" s="2">
        <v>6</v>
      </c>
      <c r="G389" s="2">
        <v>2</v>
      </c>
      <c r="H389" s="2">
        <v>15000</v>
      </c>
      <c r="I389" s="2">
        <v>336</v>
      </c>
      <c r="J389" s="2" t="s">
        <v>1671</v>
      </c>
      <c r="K389" s="2">
        <v>46</v>
      </c>
      <c r="L389" s="2">
        <v>10</v>
      </c>
      <c r="M389" s="2">
        <v>10</v>
      </c>
      <c r="N389" s="2">
        <v>6</v>
      </c>
      <c r="O389" s="2">
        <v>5</v>
      </c>
      <c r="P389" s="2">
        <v>15</v>
      </c>
      <c r="Q389" s="2" t="s">
        <v>2445</v>
      </c>
      <c r="R389" s="2" t="s">
        <v>2446</v>
      </c>
      <c r="S389" s="4">
        <v>44837</v>
      </c>
    </row>
    <row r="390" spans="1:19" ht="12.5" x14ac:dyDescent="0.25">
      <c r="A390" s="14" t="str">
        <f>HYPERLINK("https://gerandofalcoes.my.salesforce.com/0014X00002VKCt1QAH", "0014X00002VKCt1QAH")</f>
        <v>0014X00002VKCt1QAH</v>
      </c>
      <c r="B390" s="2" t="s">
        <v>2452</v>
      </c>
      <c r="C390" s="2" t="s">
        <v>423</v>
      </c>
      <c r="D390" s="2" t="s">
        <v>2</v>
      </c>
      <c r="E390" s="2">
        <v>23.64</v>
      </c>
      <c r="F390" s="2">
        <v>0</v>
      </c>
      <c r="G390" s="2">
        <v>1</v>
      </c>
      <c r="H390" s="2">
        <v>48000</v>
      </c>
      <c r="I390" s="2">
        <v>125</v>
      </c>
      <c r="J390" s="2" t="s">
        <v>1779</v>
      </c>
      <c r="K390" s="2">
        <v>34</v>
      </c>
      <c r="L390" s="2">
        <v>10</v>
      </c>
      <c r="M390" s="2">
        <v>0</v>
      </c>
      <c r="N390" s="2">
        <v>4</v>
      </c>
      <c r="O390" s="2">
        <v>10</v>
      </c>
      <c r="P390" s="2">
        <v>10</v>
      </c>
      <c r="Q390" s="2" t="s">
        <v>2453</v>
      </c>
      <c r="R390" s="2" t="s">
        <v>2453</v>
      </c>
      <c r="S390" s="4">
        <v>44837</v>
      </c>
    </row>
    <row r="391" spans="1:19" ht="12.5" x14ac:dyDescent="0.25">
      <c r="A391" s="14" t="str">
        <f>HYPERLINK("https://gerandofalcoes.my.salesforce.com/0014P00003YSp84QAD", "0014P00003YSp84QAD")</f>
        <v>0014P00003YSp84QAD</v>
      </c>
      <c r="B391" s="2" t="s">
        <v>2454</v>
      </c>
      <c r="C391" s="2" t="s">
        <v>423</v>
      </c>
      <c r="D391" s="2" t="s">
        <v>2</v>
      </c>
      <c r="E391" s="2">
        <v>23.19</v>
      </c>
      <c r="F391" s="2">
        <v>0</v>
      </c>
      <c r="G391" s="2">
        <v>0</v>
      </c>
      <c r="H391" s="2">
        <v>0</v>
      </c>
      <c r="I391" s="2">
        <v>203</v>
      </c>
      <c r="J391" s="2" t="s">
        <v>1779</v>
      </c>
      <c r="K391" s="2">
        <v>22</v>
      </c>
      <c r="L391" s="2">
        <v>10</v>
      </c>
      <c r="M391" s="2">
        <v>0</v>
      </c>
      <c r="N391" s="2">
        <v>0</v>
      </c>
      <c r="O391" s="2">
        <v>0</v>
      </c>
      <c r="P391" s="2">
        <v>12</v>
      </c>
      <c r="Q391" s="2" t="s">
        <v>2455</v>
      </c>
      <c r="R391" s="2" t="s">
        <v>2456</v>
      </c>
      <c r="S391" s="4">
        <v>44837</v>
      </c>
    </row>
    <row r="392" spans="1:19" ht="12.5" x14ac:dyDescent="0.25">
      <c r="A392" s="14" t="str">
        <f>HYPERLINK("https://gerandofalcoes.my.salesforce.com/0014P00003YSpA2QAL", "0014P00003YSpA2QAL")</f>
        <v>0014P00003YSpA2QAL</v>
      </c>
      <c r="B392" s="2" t="s">
        <v>2469</v>
      </c>
      <c r="C392" s="2" t="s">
        <v>423</v>
      </c>
      <c r="D392" s="2" t="s">
        <v>2</v>
      </c>
      <c r="E392" s="2">
        <v>23</v>
      </c>
      <c r="F392" s="2">
        <v>0</v>
      </c>
      <c r="G392" s="2">
        <v>2</v>
      </c>
      <c r="H392" s="2">
        <v>12000</v>
      </c>
      <c r="I392" s="2">
        <v>0</v>
      </c>
      <c r="J392" s="2" t="s">
        <v>1779</v>
      </c>
      <c r="K392" s="2">
        <v>21</v>
      </c>
      <c r="L392" s="2">
        <v>10</v>
      </c>
      <c r="M392" s="2">
        <v>0</v>
      </c>
      <c r="N392" s="2">
        <v>6</v>
      </c>
      <c r="O392" s="2">
        <v>5</v>
      </c>
      <c r="P392" s="2">
        <v>0</v>
      </c>
      <c r="Q392" s="2" t="s">
        <v>2470</v>
      </c>
      <c r="R392" s="2" t="s">
        <v>2471</v>
      </c>
      <c r="S392" s="4">
        <v>44837</v>
      </c>
    </row>
    <row r="393" spans="1:19" ht="12.5" x14ac:dyDescent="0.25">
      <c r="A393" s="14" t="str">
        <f>HYPERLINK("https://gerandofalcoes.my.salesforce.com/0014X00002VKCtXQAX", "0014X00002VKCtXQAX")</f>
        <v>0014X00002VKCtXQAX</v>
      </c>
      <c r="B393" s="2" t="s">
        <v>2462</v>
      </c>
      <c r="C393" s="2" t="s">
        <v>423</v>
      </c>
      <c r="D393" s="2" t="s">
        <v>2</v>
      </c>
      <c r="E393" s="2">
        <v>23</v>
      </c>
      <c r="F393" s="2">
        <v>0</v>
      </c>
      <c r="G393" s="2">
        <v>2</v>
      </c>
      <c r="H393" s="2">
        <v>25000</v>
      </c>
      <c r="I393" s="2">
        <v>60</v>
      </c>
      <c r="J393" s="2" t="s">
        <v>1779</v>
      </c>
      <c r="K393" s="2">
        <v>31</v>
      </c>
      <c r="L393" s="2">
        <v>10</v>
      </c>
      <c r="M393" s="2">
        <v>0</v>
      </c>
      <c r="N393" s="2">
        <v>6</v>
      </c>
      <c r="O393" s="2">
        <v>10</v>
      </c>
      <c r="P393" s="2">
        <v>5</v>
      </c>
      <c r="Q393" s="2" t="s">
        <v>2463</v>
      </c>
      <c r="R393" s="2" t="s">
        <v>2464</v>
      </c>
      <c r="S393" s="4">
        <v>44837</v>
      </c>
    </row>
    <row r="394" spans="1:19" ht="12.5" x14ac:dyDescent="0.25">
      <c r="A394" s="14" t="str">
        <f>HYPERLINK("https://gerandofalcoes.my.salesforce.com/0014X00002VKCtGQAX", "0014X00002VKCtGQAX")</f>
        <v>0014X00002VKCtGQAX</v>
      </c>
      <c r="B394" s="2" t="s">
        <v>2459</v>
      </c>
      <c r="C394" s="2" t="s">
        <v>423</v>
      </c>
      <c r="D394" s="2" t="s">
        <v>2</v>
      </c>
      <c r="E394" s="2">
        <v>23</v>
      </c>
      <c r="F394" s="2">
        <v>0</v>
      </c>
      <c r="G394" s="2">
        <v>4</v>
      </c>
      <c r="H394" s="2">
        <v>2000</v>
      </c>
      <c r="I394" s="2">
        <v>90</v>
      </c>
      <c r="J394" s="2" t="s">
        <v>1779</v>
      </c>
      <c r="K394" s="2">
        <v>35</v>
      </c>
      <c r="L394" s="2">
        <v>10</v>
      </c>
      <c r="M394" s="2">
        <v>0</v>
      </c>
      <c r="N394" s="2">
        <v>10</v>
      </c>
      <c r="O394" s="2">
        <v>5</v>
      </c>
      <c r="P394" s="2">
        <v>10</v>
      </c>
      <c r="Q394" s="2" t="s">
        <v>2460</v>
      </c>
      <c r="R394" s="2" t="s">
        <v>2461</v>
      </c>
      <c r="S394" s="4">
        <v>44837</v>
      </c>
    </row>
    <row r="395" spans="1:19" ht="12.5" x14ac:dyDescent="0.25">
      <c r="A395" s="14" t="str">
        <f>HYPERLINK("https://gerandofalcoes.my.salesforce.com/0014X00002VKCu0QAH", "0014X00002VKCu0QAH")</f>
        <v>0014X00002VKCu0QAH</v>
      </c>
      <c r="B395" s="2" t="s">
        <v>2457</v>
      </c>
      <c r="C395" s="2" t="s">
        <v>423</v>
      </c>
      <c r="D395" s="2" t="s">
        <v>2</v>
      </c>
      <c r="E395" s="2">
        <v>23</v>
      </c>
      <c r="F395" s="2">
        <v>0</v>
      </c>
      <c r="G395" s="2">
        <v>2</v>
      </c>
      <c r="H395" s="2">
        <v>2500</v>
      </c>
      <c r="I395" s="2">
        <v>120</v>
      </c>
      <c r="J395" s="2" t="s">
        <v>1779</v>
      </c>
      <c r="K395" s="2">
        <v>31</v>
      </c>
      <c r="L395" s="2">
        <v>10</v>
      </c>
      <c r="M395" s="2">
        <v>0</v>
      </c>
      <c r="N395" s="2">
        <v>6</v>
      </c>
      <c r="O395" s="2">
        <v>5</v>
      </c>
      <c r="P395" s="2">
        <v>10</v>
      </c>
      <c r="Q395" s="2" t="s">
        <v>2458</v>
      </c>
      <c r="R395" s="2" t="s">
        <v>2458</v>
      </c>
      <c r="S395" s="4">
        <v>44837</v>
      </c>
    </row>
    <row r="396" spans="1:19" ht="12.5" x14ac:dyDescent="0.25">
      <c r="A396" s="14" t="str">
        <f>HYPERLINK("https://gerandofalcoes.my.salesforce.com/0014P00003YSp7fQAD", "0014P00003YSp7fQAD")</f>
        <v>0014P00003YSp7fQAD</v>
      </c>
      <c r="B396" s="2" t="s">
        <v>2465</v>
      </c>
      <c r="C396" s="2" t="s">
        <v>423</v>
      </c>
      <c r="D396" s="2" t="s">
        <v>2</v>
      </c>
      <c r="E396" s="2">
        <v>23</v>
      </c>
      <c r="F396" s="2">
        <v>0</v>
      </c>
      <c r="G396" s="2">
        <v>2</v>
      </c>
      <c r="H396" s="2">
        <v>5000</v>
      </c>
      <c r="I396" s="2">
        <v>50</v>
      </c>
      <c r="J396" s="2" t="s">
        <v>1779</v>
      </c>
      <c r="K396" s="2">
        <v>26</v>
      </c>
      <c r="L396" s="2">
        <v>10</v>
      </c>
      <c r="M396" s="2">
        <v>0</v>
      </c>
      <c r="N396" s="2">
        <v>6</v>
      </c>
      <c r="O396" s="2">
        <v>5</v>
      </c>
      <c r="P396" s="2">
        <v>5</v>
      </c>
      <c r="Q396" s="2" t="s">
        <v>6552</v>
      </c>
      <c r="R396" s="2" t="s">
        <v>6552</v>
      </c>
      <c r="S396" s="4">
        <v>44837</v>
      </c>
    </row>
    <row r="397" spans="1:19" ht="12.5" x14ac:dyDescent="0.25">
      <c r="A397" s="14" t="str">
        <f>HYPERLINK("https://gerandofalcoes.my.salesforce.com/0014X00002VKCsvQAH", "0014X00002VKCsvQAH")</f>
        <v>0014X00002VKCsvQAH</v>
      </c>
      <c r="B397" s="2" t="s">
        <v>2467</v>
      </c>
      <c r="C397" s="2" t="s">
        <v>423</v>
      </c>
      <c r="D397" s="2" t="s">
        <v>2</v>
      </c>
      <c r="E397" s="2">
        <v>23</v>
      </c>
      <c r="F397" s="2">
        <v>4</v>
      </c>
      <c r="G397" s="2">
        <v>0</v>
      </c>
      <c r="H397" s="2">
        <v>15000</v>
      </c>
      <c r="I397" s="2">
        <v>0</v>
      </c>
      <c r="J397" s="2" t="s">
        <v>1779</v>
      </c>
      <c r="K397" s="2">
        <v>20</v>
      </c>
      <c r="L397" s="2">
        <v>10</v>
      </c>
      <c r="M397" s="2">
        <v>5</v>
      </c>
      <c r="N397" s="2">
        <v>0</v>
      </c>
      <c r="O397" s="2">
        <v>5</v>
      </c>
      <c r="P397" s="2">
        <v>0</v>
      </c>
      <c r="Q397" s="2" t="s">
        <v>2468</v>
      </c>
      <c r="R397" s="2" t="s">
        <v>2468</v>
      </c>
      <c r="S397" s="4">
        <v>44837</v>
      </c>
    </row>
    <row r="398" spans="1:19" ht="12.5" x14ac:dyDescent="0.25">
      <c r="A398" s="14" t="str">
        <f>HYPERLINK("https://gerandofalcoes.my.salesforce.com/0014P00003AN2FeQAL", "0014P00003AN2FeQAL")</f>
        <v>0014P00003AN2FeQAL</v>
      </c>
      <c r="B398" s="2" t="s">
        <v>100</v>
      </c>
      <c r="C398" s="2" t="s">
        <v>423</v>
      </c>
      <c r="D398" s="2" t="s">
        <v>2</v>
      </c>
      <c r="E398" s="2">
        <v>22.95</v>
      </c>
      <c r="F398" s="2">
        <v>10</v>
      </c>
      <c r="G398" s="2">
        <v>3</v>
      </c>
      <c r="H398" s="2">
        <v>105000</v>
      </c>
      <c r="I398" s="2">
        <v>64</v>
      </c>
      <c r="J398" s="2" t="s">
        <v>1671</v>
      </c>
      <c r="K398" s="2">
        <v>48</v>
      </c>
      <c r="L398" s="2">
        <v>10</v>
      </c>
      <c r="M398" s="2">
        <v>10</v>
      </c>
      <c r="N398" s="2">
        <v>8</v>
      </c>
      <c r="O398" s="2">
        <v>15</v>
      </c>
      <c r="P398" s="2">
        <v>5</v>
      </c>
      <c r="Q398" s="2" t="s">
        <v>101</v>
      </c>
      <c r="R398" s="2" t="s">
        <v>2472</v>
      </c>
      <c r="S398" s="4">
        <v>44837</v>
      </c>
    </row>
    <row r="399" spans="1:19" ht="12.5" x14ac:dyDescent="0.25">
      <c r="A399" s="14" t="str">
        <f>HYPERLINK("https://gerandofalcoes.my.salesforce.com/0014X00002YggnnQAB", "0014X00002YggnnQAB")</f>
        <v>0014X00002YggnnQAB</v>
      </c>
      <c r="B399" s="2" t="s">
        <v>3405</v>
      </c>
      <c r="C399" s="2" t="s">
        <v>423</v>
      </c>
      <c r="D399" s="2" t="s">
        <v>2</v>
      </c>
      <c r="E399" s="2">
        <v>22.7</v>
      </c>
      <c r="F399" s="2">
        <v>0</v>
      </c>
      <c r="G399" s="2">
        <v>3</v>
      </c>
      <c r="H399" s="2">
        <v>135000</v>
      </c>
      <c r="I399" s="2">
        <v>50</v>
      </c>
      <c r="J399" s="2" t="s">
        <v>1779</v>
      </c>
      <c r="K399" s="2">
        <v>38</v>
      </c>
      <c r="L399" s="2">
        <v>10</v>
      </c>
      <c r="M399" s="2">
        <v>0</v>
      </c>
      <c r="N399" s="2">
        <v>8</v>
      </c>
      <c r="O399" s="2">
        <v>15</v>
      </c>
      <c r="P399" s="2">
        <v>5</v>
      </c>
      <c r="Q399" s="2" t="s">
        <v>3406</v>
      </c>
      <c r="R399" s="2" t="s">
        <v>3407</v>
      </c>
      <c r="S399" s="4">
        <v>44958</v>
      </c>
    </row>
    <row r="400" spans="1:19" ht="12.5" x14ac:dyDescent="0.25">
      <c r="A400" s="14" t="str">
        <f>HYPERLINK("https://gerandofalcoes.my.salesforce.com/0014X00002VKCszQAH", "0014X00002VKCszQAH")</f>
        <v>0014X00002VKCszQAH</v>
      </c>
      <c r="B400" s="2" t="s">
        <v>2473</v>
      </c>
      <c r="C400" s="2" t="s">
        <v>423</v>
      </c>
      <c r="D400" s="2" t="s">
        <v>2</v>
      </c>
      <c r="E400" s="2">
        <v>22.35</v>
      </c>
      <c r="F400" s="2">
        <v>0</v>
      </c>
      <c r="G400" s="2">
        <v>3</v>
      </c>
      <c r="H400" s="2">
        <v>116114</v>
      </c>
      <c r="I400" s="2">
        <v>35</v>
      </c>
      <c r="J400" s="2" t="s">
        <v>1779</v>
      </c>
      <c r="K400" s="2">
        <v>38</v>
      </c>
      <c r="L400" s="2">
        <v>10</v>
      </c>
      <c r="M400" s="2">
        <v>0</v>
      </c>
      <c r="N400" s="2">
        <v>8</v>
      </c>
      <c r="O400" s="2">
        <v>15</v>
      </c>
      <c r="P400" s="2">
        <v>5</v>
      </c>
      <c r="Q400" s="2" t="s">
        <v>2474</v>
      </c>
      <c r="R400" s="2" t="s">
        <v>2475</v>
      </c>
      <c r="S400" s="4">
        <v>44837</v>
      </c>
    </row>
    <row r="401" spans="1:19" ht="12.5" x14ac:dyDescent="0.25">
      <c r="A401" s="14" t="str">
        <f>HYPERLINK("https://gerandofalcoes.my.salesforce.com/0014X00002Yggi2QAB", "0014X00002Yggi2QAB")</f>
        <v>0014X00002Yggi2QAB</v>
      </c>
      <c r="B401" s="2" t="s">
        <v>3152</v>
      </c>
      <c r="C401" s="2" t="s">
        <v>423</v>
      </c>
      <c r="D401" s="2" t="s">
        <v>2</v>
      </c>
      <c r="E401" s="2">
        <v>22.16</v>
      </c>
      <c r="F401" s="2">
        <v>0</v>
      </c>
      <c r="G401" s="2">
        <v>2</v>
      </c>
      <c r="H401" s="2">
        <v>1200</v>
      </c>
      <c r="I401" s="2">
        <v>320</v>
      </c>
      <c r="J401" s="2" t="s">
        <v>1779</v>
      </c>
      <c r="K401" s="2">
        <v>36</v>
      </c>
      <c r="L401" s="2">
        <v>10</v>
      </c>
      <c r="M401" s="2">
        <v>0</v>
      </c>
      <c r="N401" s="2">
        <v>6</v>
      </c>
      <c r="O401" s="2">
        <v>5</v>
      </c>
      <c r="P401" s="2">
        <v>15</v>
      </c>
      <c r="Q401" s="2" t="s">
        <v>3153</v>
      </c>
      <c r="R401" s="2" t="s">
        <v>3153</v>
      </c>
      <c r="S401" s="4">
        <v>44950</v>
      </c>
    </row>
    <row r="402" spans="1:19" ht="12.5" x14ac:dyDescent="0.25">
      <c r="A402" s="14" t="str">
        <f>HYPERLINK("https://gerandofalcoes.my.salesforce.com/0014P00003SGWQJQA5", "0014P00003SGWQJQA5")</f>
        <v>0014P00003SGWQJQA5</v>
      </c>
      <c r="B402" s="2" t="s">
        <v>2480</v>
      </c>
      <c r="C402" s="2" t="s">
        <v>423</v>
      </c>
      <c r="D402" s="2" t="s">
        <v>2</v>
      </c>
      <c r="E402" s="2">
        <v>22</v>
      </c>
      <c r="F402" s="2">
        <v>2</v>
      </c>
      <c r="G402" s="2">
        <v>2</v>
      </c>
      <c r="H402" s="2">
        <v>11000</v>
      </c>
      <c r="I402" s="2">
        <v>103</v>
      </c>
      <c r="J402" s="2" t="s">
        <v>1779</v>
      </c>
      <c r="K402" s="2">
        <v>36</v>
      </c>
      <c r="L402" s="2">
        <v>10</v>
      </c>
      <c r="M402" s="2">
        <v>5</v>
      </c>
      <c r="N402" s="2">
        <v>6</v>
      </c>
      <c r="O402" s="2">
        <v>5</v>
      </c>
      <c r="P402" s="2">
        <v>10</v>
      </c>
      <c r="Q402" s="2" t="s">
        <v>269</v>
      </c>
      <c r="R402" s="2" t="s">
        <v>1248</v>
      </c>
      <c r="S402" s="4">
        <v>44837</v>
      </c>
    </row>
    <row r="403" spans="1:19" ht="12.5" x14ac:dyDescent="0.25">
      <c r="A403" s="14" t="str">
        <f>HYPERLINK("https://gerandofalcoes.my.salesforce.com/0014X00002VKCrHQAX", "0014X00002VKCrHQAX")</f>
        <v>0014X00002VKCrHQAX</v>
      </c>
      <c r="B403" s="2" t="s">
        <v>2478</v>
      </c>
      <c r="C403" s="2" t="s">
        <v>423</v>
      </c>
      <c r="D403" s="2" t="s">
        <v>2</v>
      </c>
      <c r="E403" s="2">
        <v>22</v>
      </c>
      <c r="F403" s="2">
        <v>0</v>
      </c>
      <c r="G403" s="2">
        <v>3</v>
      </c>
      <c r="H403" s="2">
        <v>500</v>
      </c>
      <c r="I403" s="2">
        <v>114</v>
      </c>
      <c r="J403" s="2" t="s">
        <v>1779</v>
      </c>
      <c r="K403" s="2">
        <v>33</v>
      </c>
      <c r="L403" s="2">
        <v>10</v>
      </c>
      <c r="M403" s="2">
        <v>0</v>
      </c>
      <c r="N403" s="2">
        <v>8</v>
      </c>
      <c r="O403" s="2">
        <v>5</v>
      </c>
      <c r="P403" s="2">
        <v>10</v>
      </c>
      <c r="Q403" s="2" t="s">
        <v>2479</v>
      </c>
      <c r="R403" s="2" t="s">
        <v>2479</v>
      </c>
      <c r="S403" s="4">
        <v>44837</v>
      </c>
    </row>
    <row r="404" spans="1:19" ht="12.5" x14ac:dyDescent="0.25">
      <c r="A404" s="14" t="str">
        <f>HYPERLINK("https://gerandofalcoes.my.salesforce.com/0014X00002VKCqzQAH", "0014X00002VKCqzQAH")</f>
        <v>0014X00002VKCqzQAH</v>
      </c>
      <c r="B404" s="2" t="s">
        <v>2490</v>
      </c>
      <c r="C404" s="2" t="s">
        <v>1800</v>
      </c>
      <c r="D404" s="2" t="s">
        <v>2</v>
      </c>
      <c r="E404" s="2">
        <v>22</v>
      </c>
      <c r="F404" s="2">
        <v>0</v>
      </c>
      <c r="G404" s="2">
        <v>3</v>
      </c>
      <c r="H404" s="2">
        <v>3000</v>
      </c>
      <c r="I404" s="2">
        <v>0</v>
      </c>
      <c r="J404" s="2" t="s">
        <v>1779</v>
      </c>
      <c r="K404" s="2">
        <v>23</v>
      </c>
      <c r="L404" s="2">
        <v>10</v>
      </c>
      <c r="M404" s="2">
        <v>0</v>
      </c>
      <c r="N404" s="2">
        <v>8</v>
      </c>
      <c r="O404" s="2">
        <v>5</v>
      </c>
      <c r="P404" s="2">
        <v>0</v>
      </c>
      <c r="Q404" s="2" t="s">
        <v>2491</v>
      </c>
      <c r="R404" s="2" t="s">
        <v>2491</v>
      </c>
      <c r="S404" s="4">
        <v>44837</v>
      </c>
    </row>
    <row r="405" spans="1:19" ht="12.5" x14ac:dyDescent="0.25">
      <c r="A405" s="14" t="str">
        <f>HYPERLINK("https://gerandofalcoes.my.salesforce.com/0014X00002VKCs4QAH", "0014X00002VKCs4QAH")</f>
        <v>0014X00002VKCs4QAH</v>
      </c>
      <c r="B405" s="2" t="s">
        <v>2487</v>
      </c>
      <c r="C405" s="2" t="s">
        <v>1800</v>
      </c>
      <c r="D405" s="2" t="s">
        <v>2</v>
      </c>
      <c r="E405" s="2">
        <v>22</v>
      </c>
      <c r="F405" s="2">
        <v>0</v>
      </c>
      <c r="G405" s="2">
        <v>2</v>
      </c>
      <c r="H405" s="2">
        <v>0</v>
      </c>
      <c r="I405" s="2">
        <v>10</v>
      </c>
      <c r="J405" s="2" t="s">
        <v>1779</v>
      </c>
      <c r="K405" s="2">
        <v>21</v>
      </c>
      <c r="L405" s="2">
        <v>10</v>
      </c>
      <c r="M405" s="2">
        <v>0</v>
      </c>
      <c r="N405" s="2">
        <v>6</v>
      </c>
      <c r="O405" s="2">
        <v>0</v>
      </c>
      <c r="P405" s="2">
        <v>5</v>
      </c>
      <c r="Q405" s="2" t="s">
        <v>2488</v>
      </c>
      <c r="R405" s="2" t="s">
        <v>2489</v>
      </c>
      <c r="S405" s="4">
        <v>44837</v>
      </c>
    </row>
    <row r="406" spans="1:19" ht="12.5" x14ac:dyDescent="0.25">
      <c r="A406" s="14" t="str">
        <f>HYPERLINK("https://gerandofalcoes.my.salesforce.com/0014X00002VKCurQAH", "0014X00002VKCurQAH")</f>
        <v>0014X00002VKCurQAH</v>
      </c>
      <c r="B406" s="2" t="s">
        <v>2484</v>
      </c>
      <c r="C406" s="2" t="s">
        <v>423</v>
      </c>
      <c r="D406" s="2" t="s">
        <v>2</v>
      </c>
      <c r="E406" s="2">
        <v>22</v>
      </c>
      <c r="F406" s="2">
        <v>0</v>
      </c>
      <c r="G406" s="2">
        <v>2</v>
      </c>
      <c r="H406" s="2">
        <v>30000</v>
      </c>
      <c r="I406" s="2">
        <v>90</v>
      </c>
      <c r="J406" s="2" t="s">
        <v>1779</v>
      </c>
      <c r="K406" s="2">
        <v>36</v>
      </c>
      <c r="L406" s="2">
        <v>10</v>
      </c>
      <c r="M406" s="2">
        <v>0</v>
      </c>
      <c r="N406" s="2">
        <v>6</v>
      </c>
      <c r="O406" s="2">
        <v>10</v>
      </c>
      <c r="P406" s="2">
        <v>10</v>
      </c>
      <c r="Q406" s="2" t="s">
        <v>2485</v>
      </c>
      <c r="R406" s="2" t="s">
        <v>2486</v>
      </c>
      <c r="S406" s="4">
        <v>44837</v>
      </c>
    </row>
    <row r="407" spans="1:19" ht="12.5" x14ac:dyDescent="0.25">
      <c r="A407" s="14" t="str">
        <f>HYPERLINK("https://gerandofalcoes.my.salesforce.com/0014P00003YSp8SQAT", "0014P00003YSp8SQAT")</f>
        <v>0014P00003YSp8SQAT</v>
      </c>
      <c r="B407" s="2" t="s">
        <v>2476</v>
      </c>
      <c r="C407" s="2" t="s">
        <v>423</v>
      </c>
      <c r="D407" s="2" t="s">
        <v>2</v>
      </c>
      <c r="E407" s="2">
        <v>22</v>
      </c>
      <c r="F407" s="2">
        <v>0</v>
      </c>
      <c r="G407" s="2">
        <v>2</v>
      </c>
      <c r="H407" s="2">
        <v>150000</v>
      </c>
      <c r="I407" s="2">
        <v>382</v>
      </c>
      <c r="J407" s="2" t="s">
        <v>1671</v>
      </c>
      <c r="K407" s="2">
        <v>46</v>
      </c>
      <c r="L407" s="2">
        <v>10</v>
      </c>
      <c r="M407" s="2">
        <v>0</v>
      </c>
      <c r="N407" s="2">
        <v>6</v>
      </c>
      <c r="O407" s="2">
        <v>15</v>
      </c>
      <c r="P407" s="2">
        <v>15</v>
      </c>
      <c r="Q407" s="2" t="s">
        <v>2477</v>
      </c>
      <c r="R407" s="2" t="s">
        <v>2477</v>
      </c>
      <c r="S407" s="4">
        <v>44837</v>
      </c>
    </row>
    <row r="408" spans="1:19" ht="12.5" x14ac:dyDescent="0.25">
      <c r="A408" s="14" t="str">
        <f>HYPERLINK("https://gerandofalcoes.my.salesforce.com/0014P00003YSp8bQAD", "0014P00003YSp8bQAD")</f>
        <v>0014P00003YSp8bQAD</v>
      </c>
      <c r="B408" s="2" t="s">
        <v>2481</v>
      </c>
      <c r="C408" s="2" t="s">
        <v>423</v>
      </c>
      <c r="D408" s="2" t="s">
        <v>2</v>
      </c>
      <c r="E408" s="2">
        <v>22</v>
      </c>
      <c r="F408" s="2">
        <v>4</v>
      </c>
      <c r="G408" s="2">
        <v>2</v>
      </c>
      <c r="H408" s="2">
        <v>80000</v>
      </c>
      <c r="I408" s="2">
        <v>100</v>
      </c>
      <c r="J408" s="2" t="s">
        <v>1671</v>
      </c>
      <c r="K408" s="2">
        <v>41</v>
      </c>
      <c r="L408" s="2">
        <v>10</v>
      </c>
      <c r="M408" s="2">
        <v>5</v>
      </c>
      <c r="N408" s="2">
        <v>6</v>
      </c>
      <c r="O408" s="2">
        <v>10</v>
      </c>
      <c r="P408" s="2">
        <v>10</v>
      </c>
      <c r="Q408" s="2" t="s">
        <v>2482</v>
      </c>
      <c r="R408" s="2" t="s">
        <v>2483</v>
      </c>
      <c r="S408" s="4">
        <v>44837</v>
      </c>
    </row>
    <row r="409" spans="1:19" ht="12.5" x14ac:dyDescent="0.25">
      <c r="A409" s="14" t="str">
        <f>HYPERLINK("https://gerandofalcoes.my.salesforce.com/0014P00003YSp7vQAD", "0014P00003YSp7vQAD")</f>
        <v>0014P00003YSp7vQAD</v>
      </c>
      <c r="B409" s="2" t="s">
        <v>2492</v>
      </c>
      <c r="C409" s="2" t="s">
        <v>423</v>
      </c>
      <c r="D409" s="2" t="s">
        <v>2</v>
      </c>
      <c r="E409" s="2">
        <v>21.77</v>
      </c>
      <c r="F409" s="2">
        <v>2</v>
      </c>
      <c r="G409" s="2">
        <v>1</v>
      </c>
      <c r="H409" s="2">
        <v>42000</v>
      </c>
      <c r="I409" s="2">
        <v>71</v>
      </c>
      <c r="J409" s="2" t="s">
        <v>1779</v>
      </c>
      <c r="K409" s="2">
        <v>34</v>
      </c>
      <c r="L409" s="2">
        <v>10</v>
      </c>
      <c r="M409" s="2">
        <v>5</v>
      </c>
      <c r="N409" s="2">
        <v>4</v>
      </c>
      <c r="O409" s="2">
        <v>10</v>
      </c>
      <c r="P409" s="2">
        <v>5</v>
      </c>
      <c r="Q409" s="2" t="s">
        <v>2493</v>
      </c>
      <c r="R409" s="2" t="s">
        <v>2493</v>
      </c>
      <c r="S409" s="4">
        <v>44837</v>
      </c>
    </row>
    <row r="410" spans="1:19" ht="12.5" x14ac:dyDescent="0.25">
      <c r="A410" s="14" t="str">
        <f>HYPERLINK("https://gerandofalcoes.my.salesforce.com/0014X00002VKCr1QAH", "0014X00002VKCr1QAH")</f>
        <v>0014X00002VKCr1QAH</v>
      </c>
      <c r="B410" s="2" t="s">
        <v>2494</v>
      </c>
      <c r="C410" s="2" t="s">
        <v>423</v>
      </c>
      <c r="D410" s="2" t="s">
        <v>2</v>
      </c>
      <c r="E410" s="2">
        <v>21.76</v>
      </c>
      <c r="F410" s="2">
        <v>5</v>
      </c>
      <c r="G410" s="2">
        <v>3</v>
      </c>
      <c r="H410" s="2">
        <v>92000</v>
      </c>
      <c r="I410" s="2">
        <v>0</v>
      </c>
      <c r="J410" s="2" t="s">
        <v>1779</v>
      </c>
      <c r="K410" s="2">
        <v>33</v>
      </c>
      <c r="L410" s="2">
        <v>10</v>
      </c>
      <c r="M410" s="2">
        <v>5</v>
      </c>
      <c r="N410" s="2">
        <v>8</v>
      </c>
      <c r="O410" s="2">
        <v>10</v>
      </c>
      <c r="P410" s="2">
        <v>0</v>
      </c>
      <c r="Q410" s="2" t="s">
        <v>2495</v>
      </c>
      <c r="R410" s="2" t="s">
        <v>2496</v>
      </c>
      <c r="S410" s="4">
        <v>44837</v>
      </c>
    </row>
    <row r="411" spans="1:19" ht="12.5" x14ac:dyDescent="0.25">
      <c r="A411" s="14" t="str">
        <f>HYPERLINK("https://gerandofalcoes.my.salesforce.com/0014P00003YSp9wQAD", "0014P00003YSp9wQAD")</f>
        <v>0014P00003YSp9wQAD</v>
      </c>
      <c r="B411" s="2" t="s">
        <v>2497</v>
      </c>
      <c r="C411" s="2" t="s">
        <v>423</v>
      </c>
      <c r="D411" s="2" t="s">
        <v>2</v>
      </c>
      <c r="E411" s="2">
        <v>21.74</v>
      </c>
      <c r="F411" s="2">
        <v>6</v>
      </c>
      <c r="G411" s="2">
        <v>2</v>
      </c>
      <c r="H411" s="2">
        <v>2600000</v>
      </c>
      <c r="I411" s="2">
        <v>200</v>
      </c>
      <c r="J411" s="2" t="s">
        <v>1671</v>
      </c>
      <c r="K411" s="2">
        <v>63</v>
      </c>
      <c r="L411" s="2">
        <v>10</v>
      </c>
      <c r="M411" s="2">
        <v>10</v>
      </c>
      <c r="N411" s="2">
        <v>6</v>
      </c>
      <c r="O411" s="2">
        <v>25</v>
      </c>
      <c r="P411" s="2">
        <v>12</v>
      </c>
      <c r="Q411" s="2" t="s">
        <v>2498</v>
      </c>
      <c r="R411" s="2" t="s">
        <v>2498</v>
      </c>
      <c r="S411" s="4">
        <v>44837</v>
      </c>
    </row>
    <row r="412" spans="1:19" ht="12.5" x14ac:dyDescent="0.25">
      <c r="A412" s="14" t="str">
        <f>HYPERLINK("https://gerandofalcoes.my.salesforce.com/0014X00002YggkRQAR", "0014X00002YggkRQAR")</f>
        <v>0014X00002YggkRQAR</v>
      </c>
      <c r="B412" s="2" t="s">
        <v>3652</v>
      </c>
      <c r="C412" s="2" t="s">
        <v>423</v>
      </c>
      <c r="D412" s="2" t="s">
        <v>2</v>
      </c>
      <c r="E412" s="2">
        <v>21.68</v>
      </c>
      <c r="F412" s="2">
        <v>0</v>
      </c>
      <c r="G412" s="2">
        <v>3</v>
      </c>
      <c r="H412" s="2">
        <v>20000</v>
      </c>
      <c r="I412" s="2">
        <v>80</v>
      </c>
      <c r="J412" s="2" t="s">
        <v>1779</v>
      </c>
      <c r="K412" s="2">
        <v>33</v>
      </c>
      <c r="L412" s="2">
        <v>10</v>
      </c>
      <c r="M412" s="2">
        <v>0</v>
      </c>
      <c r="N412" s="2">
        <v>8</v>
      </c>
      <c r="O412" s="2">
        <v>5</v>
      </c>
      <c r="P412" s="2">
        <v>10</v>
      </c>
      <c r="Q412" s="2" t="s">
        <v>3653</v>
      </c>
      <c r="R412" s="2" t="s">
        <v>3653</v>
      </c>
      <c r="S412" s="4">
        <v>44964</v>
      </c>
    </row>
    <row r="413" spans="1:19" ht="12.5" x14ac:dyDescent="0.25">
      <c r="A413" s="14" t="str">
        <f>HYPERLINK("https://gerandofalcoes.my.salesforce.com/0014P00003SGWPvQAP", "0014P00003SGWPvQAP")</f>
        <v>0014P00003SGWPvQAP</v>
      </c>
      <c r="B413" s="2" t="s">
        <v>2499</v>
      </c>
      <c r="C413" s="2" t="s">
        <v>423</v>
      </c>
      <c r="D413" s="2" t="s">
        <v>2</v>
      </c>
      <c r="E413" s="2">
        <v>21.55</v>
      </c>
      <c r="F413" s="2">
        <v>0</v>
      </c>
      <c r="G413" s="2">
        <v>1</v>
      </c>
      <c r="H413" s="2">
        <v>33000</v>
      </c>
      <c r="I413" s="2">
        <v>100</v>
      </c>
      <c r="J413" s="2" t="s">
        <v>1779</v>
      </c>
      <c r="K413" s="2">
        <v>34</v>
      </c>
      <c r="L413" s="2">
        <v>10</v>
      </c>
      <c r="M413" s="2">
        <v>0</v>
      </c>
      <c r="N413" s="2">
        <v>4</v>
      </c>
      <c r="O413" s="2">
        <v>10</v>
      </c>
      <c r="P413" s="2">
        <v>10</v>
      </c>
      <c r="Q413" s="2" t="s">
        <v>189</v>
      </c>
      <c r="R413" s="2" t="s">
        <v>189</v>
      </c>
      <c r="S413" s="4">
        <v>44837</v>
      </c>
    </row>
    <row r="414" spans="1:19" ht="12.5" x14ac:dyDescent="0.25">
      <c r="A414" s="14" t="str">
        <f>HYPERLINK("https://gerandofalcoes.my.salesforce.com/0014X00002VKCsxQAH", "0014X00002VKCsxQAH")</f>
        <v>0014X00002VKCsxQAH</v>
      </c>
      <c r="B414" s="2" t="s">
        <v>2500</v>
      </c>
      <c r="C414" s="2" t="s">
        <v>423</v>
      </c>
      <c r="D414" s="2" t="s">
        <v>2</v>
      </c>
      <c r="E414" s="2">
        <v>21.32</v>
      </c>
      <c r="F414" s="2">
        <v>0</v>
      </c>
      <c r="G414" s="2">
        <v>1</v>
      </c>
      <c r="H414" s="2">
        <v>3500000</v>
      </c>
      <c r="I414" s="2">
        <v>150</v>
      </c>
      <c r="J414" s="2" t="s">
        <v>1671</v>
      </c>
      <c r="K414" s="2">
        <v>51</v>
      </c>
      <c r="L414" s="2">
        <v>10</v>
      </c>
      <c r="M414" s="2">
        <v>0</v>
      </c>
      <c r="N414" s="2">
        <v>4</v>
      </c>
      <c r="O414" s="2">
        <v>25</v>
      </c>
      <c r="P414" s="2">
        <v>12</v>
      </c>
      <c r="Q414" s="2" t="s">
        <v>2501</v>
      </c>
      <c r="R414" s="2" t="s">
        <v>2502</v>
      </c>
      <c r="S414" s="4">
        <v>44837</v>
      </c>
    </row>
    <row r="415" spans="1:19" ht="12.5" x14ac:dyDescent="0.25">
      <c r="A415" s="14" t="str">
        <f>HYPERLINK("https://gerandofalcoes.my.salesforce.com/0014P00003AN2GHQA1", "0014P00003AN2GHQA1")</f>
        <v>0014P00003AN2GHQA1</v>
      </c>
      <c r="B415" s="2" t="s">
        <v>2503</v>
      </c>
      <c r="C415" s="2" t="s">
        <v>423</v>
      </c>
      <c r="D415" s="2" t="s">
        <v>2</v>
      </c>
      <c r="E415" s="2">
        <v>21.22</v>
      </c>
      <c r="F415" s="2">
        <v>2</v>
      </c>
      <c r="G415" s="2">
        <v>3</v>
      </c>
      <c r="H415" s="2">
        <v>165000</v>
      </c>
      <c r="I415" s="2">
        <v>90</v>
      </c>
      <c r="J415" s="2" t="s">
        <v>1671</v>
      </c>
      <c r="K415" s="2">
        <v>48</v>
      </c>
      <c r="L415" s="2">
        <v>10</v>
      </c>
      <c r="M415" s="2">
        <v>5</v>
      </c>
      <c r="N415" s="2">
        <v>8</v>
      </c>
      <c r="O415" s="2">
        <v>15</v>
      </c>
      <c r="P415" s="2">
        <v>10</v>
      </c>
      <c r="Q415" s="2" t="s">
        <v>1010</v>
      </c>
      <c r="R415" s="2" t="s">
        <v>1010</v>
      </c>
      <c r="S415" s="4">
        <v>44837</v>
      </c>
    </row>
    <row r="416" spans="1:19" ht="12.5" x14ac:dyDescent="0.25">
      <c r="A416" s="14" t="str">
        <f>HYPERLINK("https://gerandofalcoes.my.salesforce.com/0014X00002VKCpBQAX", "0014X00002VKCpBQAX")</f>
        <v>0014X00002VKCpBQAX</v>
      </c>
      <c r="B416" s="2" t="s">
        <v>2504</v>
      </c>
      <c r="C416" s="2" t="s">
        <v>423</v>
      </c>
      <c r="D416" s="2" t="s">
        <v>2</v>
      </c>
      <c r="E416" s="2">
        <v>21.13</v>
      </c>
      <c r="F416" s="2">
        <v>0</v>
      </c>
      <c r="G416" s="2">
        <v>3</v>
      </c>
      <c r="H416" s="2">
        <v>128350</v>
      </c>
      <c r="I416" s="2">
        <v>160</v>
      </c>
      <c r="J416" s="2" t="s">
        <v>1671</v>
      </c>
      <c r="K416" s="2">
        <v>45</v>
      </c>
      <c r="L416" s="2">
        <v>10</v>
      </c>
      <c r="M416" s="2">
        <v>0</v>
      </c>
      <c r="N416" s="2">
        <v>8</v>
      </c>
      <c r="O416" s="2">
        <v>15</v>
      </c>
      <c r="P416" s="2">
        <v>12</v>
      </c>
      <c r="Q416" s="2" t="s">
        <v>2505</v>
      </c>
      <c r="R416" s="2" t="s">
        <v>2505</v>
      </c>
      <c r="S416" s="4">
        <v>44837</v>
      </c>
    </row>
    <row r="417" spans="1:19" ht="12.5" x14ac:dyDescent="0.25">
      <c r="A417" s="14" t="str">
        <f>HYPERLINK("https://gerandofalcoes.my.salesforce.com/0014X00002VKCspQAH", "0014X00002VKCspQAH")</f>
        <v>0014X00002VKCspQAH</v>
      </c>
      <c r="B417" s="2" t="s">
        <v>2506</v>
      </c>
      <c r="C417" s="2" t="s">
        <v>423</v>
      </c>
      <c r="D417" s="2" t="s">
        <v>2</v>
      </c>
      <c r="E417" s="2">
        <v>21.12</v>
      </c>
      <c r="F417" s="2">
        <v>0</v>
      </c>
      <c r="G417" s="2">
        <v>0</v>
      </c>
      <c r="H417" s="2">
        <v>0</v>
      </c>
      <c r="I417" s="2">
        <v>100</v>
      </c>
      <c r="J417" s="2" t="s">
        <v>1779</v>
      </c>
      <c r="K417" s="2">
        <v>20</v>
      </c>
      <c r="L417" s="2">
        <v>10</v>
      </c>
      <c r="M417" s="2">
        <v>0</v>
      </c>
      <c r="N417" s="2">
        <v>0</v>
      </c>
      <c r="O417" s="2">
        <v>0</v>
      </c>
      <c r="P417" s="2">
        <v>10</v>
      </c>
      <c r="Q417" s="2" t="s">
        <v>2507</v>
      </c>
      <c r="R417" s="2" t="s">
        <v>2508</v>
      </c>
      <c r="S417" s="4">
        <v>44837</v>
      </c>
    </row>
    <row r="418" spans="1:19" ht="12.5" x14ac:dyDescent="0.25">
      <c r="A418" s="14" t="str">
        <f>HYPERLINK("https://gerandofalcoes.my.salesforce.com/0014X00002VKCseQAH", "0014X00002VKCseQAH")</f>
        <v>0014X00002VKCseQAH</v>
      </c>
      <c r="B418" s="2" t="s">
        <v>2516</v>
      </c>
      <c r="C418" s="2" t="s">
        <v>423</v>
      </c>
      <c r="D418" s="2" t="s">
        <v>2</v>
      </c>
      <c r="E418" s="2">
        <v>21</v>
      </c>
      <c r="F418" s="2">
        <v>0</v>
      </c>
      <c r="G418" s="2">
        <v>4</v>
      </c>
      <c r="H418" s="2">
        <v>6000</v>
      </c>
      <c r="I418" s="2">
        <v>100</v>
      </c>
      <c r="J418" s="2" t="s">
        <v>1779</v>
      </c>
      <c r="K418" s="2">
        <v>35</v>
      </c>
      <c r="L418" s="2">
        <v>10</v>
      </c>
      <c r="M418" s="2">
        <v>0</v>
      </c>
      <c r="N418" s="2">
        <v>10</v>
      </c>
      <c r="O418" s="2">
        <v>5</v>
      </c>
      <c r="P418" s="2">
        <v>10</v>
      </c>
      <c r="Q418" s="2" t="s">
        <v>2517</v>
      </c>
      <c r="R418" s="2" t="s">
        <v>2517</v>
      </c>
      <c r="S418" s="4">
        <v>44837</v>
      </c>
    </row>
    <row r="419" spans="1:19" ht="12.5" x14ac:dyDescent="0.25">
      <c r="A419" s="14" t="str">
        <f>HYPERLINK("https://gerandofalcoes.my.salesforce.com/0014P00003YSp7rQAD", "0014P00003YSp7rQAD")</f>
        <v>0014P00003YSp7rQAD</v>
      </c>
      <c r="B419" s="2" t="s">
        <v>2509</v>
      </c>
      <c r="C419" s="2" t="s">
        <v>1800</v>
      </c>
      <c r="D419" s="2" t="s">
        <v>2</v>
      </c>
      <c r="E419" s="2">
        <v>21</v>
      </c>
      <c r="F419" s="2">
        <v>1</v>
      </c>
      <c r="G419" s="2">
        <v>2</v>
      </c>
      <c r="H419" s="2">
        <v>11000</v>
      </c>
      <c r="I419" s="2">
        <v>320</v>
      </c>
      <c r="J419" s="2" t="s">
        <v>1671</v>
      </c>
      <c r="K419" s="2">
        <v>41</v>
      </c>
      <c r="L419" s="2">
        <v>10</v>
      </c>
      <c r="M419" s="2">
        <v>5</v>
      </c>
      <c r="N419" s="2">
        <v>6</v>
      </c>
      <c r="O419" s="2">
        <v>5</v>
      </c>
      <c r="P419" s="2">
        <v>15</v>
      </c>
      <c r="Q419" s="2" t="s">
        <v>2510</v>
      </c>
      <c r="R419" s="2" t="s">
        <v>2510</v>
      </c>
      <c r="S419" s="4">
        <v>44837</v>
      </c>
    </row>
    <row r="420" spans="1:19" ht="12.5" x14ac:dyDescent="0.25">
      <c r="A420" s="14" t="str">
        <f>HYPERLINK("https://gerandofalcoes.my.salesforce.com/0014P00003YSp7XQAT", "0014P00003YSp7XQAT")</f>
        <v>0014P00003YSp7XQAT</v>
      </c>
      <c r="B420" s="2" t="s">
        <v>2511</v>
      </c>
      <c r="C420" s="2" t="s">
        <v>423</v>
      </c>
      <c r="D420" s="2" t="s">
        <v>2</v>
      </c>
      <c r="E420" s="2">
        <v>21</v>
      </c>
      <c r="F420" s="2">
        <v>0</v>
      </c>
      <c r="G420" s="2">
        <v>3</v>
      </c>
      <c r="H420" s="2">
        <v>8200</v>
      </c>
      <c r="I420" s="2">
        <v>109</v>
      </c>
      <c r="J420" s="2" t="s">
        <v>1779</v>
      </c>
      <c r="K420" s="2">
        <v>33</v>
      </c>
      <c r="L420" s="2">
        <v>10</v>
      </c>
      <c r="M420" s="2">
        <v>0</v>
      </c>
      <c r="N420" s="2">
        <v>8</v>
      </c>
      <c r="O420" s="2">
        <v>5</v>
      </c>
      <c r="P420" s="2">
        <v>10</v>
      </c>
      <c r="Q420" s="2" t="s">
        <v>2512</v>
      </c>
      <c r="R420" s="2" t="s">
        <v>2513</v>
      </c>
      <c r="S420" s="4">
        <v>44837</v>
      </c>
    </row>
    <row r="421" spans="1:19" ht="12.5" x14ac:dyDescent="0.25">
      <c r="A421" s="14" t="str">
        <f>HYPERLINK("https://gerandofalcoes.my.salesforce.com/0014X00002VKCp4QAH", "0014X00002VKCp4QAH")</f>
        <v>0014X00002VKCp4QAH</v>
      </c>
      <c r="B421" s="2" t="s">
        <v>2518</v>
      </c>
      <c r="C421" s="2" t="s">
        <v>1800</v>
      </c>
      <c r="D421" s="2" t="s">
        <v>2</v>
      </c>
      <c r="E421" s="2">
        <v>21</v>
      </c>
      <c r="F421" s="2">
        <v>0</v>
      </c>
      <c r="G421" s="2">
        <v>2</v>
      </c>
      <c r="H421" s="2">
        <v>0</v>
      </c>
      <c r="I421" s="2">
        <v>70</v>
      </c>
      <c r="J421" s="2" t="s">
        <v>1779</v>
      </c>
      <c r="K421" s="2">
        <v>21</v>
      </c>
      <c r="L421" s="2">
        <v>10</v>
      </c>
      <c r="M421" s="2">
        <v>0</v>
      </c>
      <c r="N421" s="2">
        <v>6</v>
      </c>
      <c r="O421" s="2">
        <v>0</v>
      </c>
      <c r="P421" s="2">
        <v>5</v>
      </c>
      <c r="Q421" s="2" t="s">
        <v>2519</v>
      </c>
      <c r="R421" s="2" t="s">
        <v>2520</v>
      </c>
      <c r="S421" s="4">
        <v>44837</v>
      </c>
    </row>
    <row r="422" spans="1:19" ht="12.5" x14ac:dyDescent="0.25">
      <c r="A422" s="14" t="str">
        <f>HYPERLINK("https://gerandofalcoes.my.salesforce.com/0014X00002VKCt6QAH", "0014X00002VKCt6QAH")</f>
        <v>0014X00002VKCt6QAH</v>
      </c>
      <c r="B422" s="2" t="s">
        <v>2531</v>
      </c>
      <c r="C422" s="2" t="s">
        <v>1800</v>
      </c>
      <c r="D422" s="2" t="s">
        <v>2</v>
      </c>
      <c r="E422" s="2">
        <v>21</v>
      </c>
      <c r="F422" s="2">
        <v>15</v>
      </c>
      <c r="G422" s="2">
        <v>3</v>
      </c>
      <c r="H422" s="2">
        <v>4500</v>
      </c>
      <c r="I422" s="2">
        <v>10</v>
      </c>
      <c r="J422" s="2" t="s">
        <v>1671</v>
      </c>
      <c r="K422" s="2">
        <v>40</v>
      </c>
      <c r="L422" s="2">
        <v>10</v>
      </c>
      <c r="M422" s="2">
        <v>12</v>
      </c>
      <c r="N422" s="2">
        <v>8</v>
      </c>
      <c r="O422" s="2">
        <v>5</v>
      </c>
      <c r="P422" s="2">
        <v>5</v>
      </c>
      <c r="Q422" s="2" t="s">
        <v>2532</v>
      </c>
      <c r="R422" s="2" t="s">
        <v>2533</v>
      </c>
      <c r="S422" s="4">
        <v>44837</v>
      </c>
    </row>
    <row r="423" spans="1:19" ht="12.5" x14ac:dyDescent="0.25">
      <c r="A423" s="14" t="str">
        <f>HYPERLINK("https://gerandofalcoes.my.salesforce.com/0014P00003YSp86QAD", "0014P00003YSp86QAD")</f>
        <v>0014P00003YSp86QAD</v>
      </c>
      <c r="B423" s="2" t="s">
        <v>2514</v>
      </c>
      <c r="C423" s="2" t="s">
        <v>423</v>
      </c>
      <c r="D423" s="2" t="s">
        <v>2</v>
      </c>
      <c r="E423" s="2">
        <v>21</v>
      </c>
      <c r="F423" s="2">
        <v>0</v>
      </c>
      <c r="G423" s="2">
        <v>2</v>
      </c>
      <c r="H423" s="2">
        <v>10000</v>
      </c>
      <c r="I423" s="2">
        <v>100</v>
      </c>
      <c r="J423" s="2" t="s">
        <v>1779</v>
      </c>
      <c r="K423" s="2">
        <v>31</v>
      </c>
      <c r="L423" s="2">
        <v>10</v>
      </c>
      <c r="M423" s="2">
        <v>0</v>
      </c>
      <c r="N423" s="2">
        <v>6</v>
      </c>
      <c r="O423" s="2">
        <v>5</v>
      </c>
      <c r="P423" s="2">
        <v>10</v>
      </c>
      <c r="Q423" s="2" t="s">
        <v>2515</v>
      </c>
      <c r="R423" s="2" t="s">
        <v>2515</v>
      </c>
      <c r="S423" s="4">
        <v>44837</v>
      </c>
    </row>
    <row r="424" spans="1:19" ht="12.5" x14ac:dyDescent="0.25">
      <c r="A424" s="14" t="str">
        <f>HYPERLINK("https://gerandofalcoes.my.salesforce.com/0014P00003YSp8XQAT", "0014P00003YSp8XQAT")</f>
        <v>0014P00003YSp8XQAT</v>
      </c>
      <c r="B424" s="2" t="s">
        <v>2526</v>
      </c>
      <c r="C424" s="2" t="s">
        <v>423</v>
      </c>
      <c r="D424" s="2" t="s">
        <v>2</v>
      </c>
      <c r="E424" s="2">
        <v>21</v>
      </c>
      <c r="F424" s="2">
        <v>0</v>
      </c>
      <c r="G424" s="2">
        <v>1</v>
      </c>
      <c r="H424" s="2">
        <v>250</v>
      </c>
      <c r="I424" s="2">
        <v>50</v>
      </c>
      <c r="J424" s="2" t="s">
        <v>1779</v>
      </c>
      <c r="K424" s="2">
        <v>24</v>
      </c>
      <c r="L424" s="2">
        <v>10</v>
      </c>
      <c r="M424" s="2">
        <v>0</v>
      </c>
      <c r="N424" s="2">
        <v>4</v>
      </c>
      <c r="O424" s="2">
        <v>5</v>
      </c>
      <c r="P424" s="2">
        <v>5</v>
      </c>
      <c r="Q424" s="2" t="s">
        <v>2527</v>
      </c>
      <c r="R424" s="2" t="s">
        <v>2528</v>
      </c>
      <c r="S424" s="4">
        <v>44837</v>
      </c>
    </row>
    <row r="425" spans="1:19" ht="12.5" x14ac:dyDescent="0.25">
      <c r="A425" s="14" t="str">
        <f>HYPERLINK("https://gerandofalcoes.my.salesforce.com/0014P00003YSp8yQAD", "0014P00003YSp8yQAD")</f>
        <v>0014P00003YSp8yQAD</v>
      </c>
      <c r="B425" s="2" t="s">
        <v>2536</v>
      </c>
      <c r="C425" s="2" t="s">
        <v>1800</v>
      </c>
      <c r="D425" s="2" t="s">
        <v>2</v>
      </c>
      <c r="E425" s="2">
        <v>21</v>
      </c>
      <c r="F425" s="2">
        <v>2</v>
      </c>
      <c r="G425" s="2">
        <v>2</v>
      </c>
      <c r="H425" s="2">
        <v>0</v>
      </c>
      <c r="I425" s="2">
        <v>0</v>
      </c>
      <c r="J425" s="2" t="s">
        <v>1779</v>
      </c>
      <c r="K425" s="2">
        <v>21</v>
      </c>
      <c r="L425" s="2">
        <v>10</v>
      </c>
      <c r="M425" s="2">
        <v>5</v>
      </c>
      <c r="N425" s="2">
        <v>6</v>
      </c>
      <c r="O425" s="2">
        <v>0</v>
      </c>
      <c r="P425" s="2">
        <v>0</v>
      </c>
      <c r="Q425" s="2" t="s">
        <v>2537</v>
      </c>
      <c r="R425" s="2" t="s">
        <v>2538</v>
      </c>
      <c r="S425" s="4">
        <v>44837</v>
      </c>
    </row>
    <row r="426" spans="1:19" ht="12.5" x14ac:dyDescent="0.25">
      <c r="A426" s="14" t="str">
        <f>HYPERLINK("https://gerandofalcoes.my.salesforce.com/0014X00002VKCqFQAX", "0014X00002VKCqFQAX")</f>
        <v>0014X00002VKCqFQAX</v>
      </c>
      <c r="B426" s="2" t="s">
        <v>3827</v>
      </c>
      <c r="C426" s="2" t="s">
        <v>423</v>
      </c>
      <c r="D426" s="2" t="s">
        <v>2</v>
      </c>
      <c r="E426" s="2">
        <v>21</v>
      </c>
      <c r="F426" s="2">
        <v>0</v>
      </c>
      <c r="G426" s="2">
        <v>0</v>
      </c>
      <c r="H426" s="2">
        <v>0</v>
      </c>
      <c r="I426" s="2">
        <v>0</v>
      </c>
      <c r="J426" s="2" t="s">
        <v>1779</v>
      </c>
      <c r="K426" s="2">
        <v>10</v>
      </c>
      <c r="L426" s="2">
        <v>10</v>
      </c>
      <c r="M426" s="2">
        <v>0</v>
      </c>
      <c r="N426" s="2">
        <v>0</v>
      </c>
      <c r="O426" s="2">
        <v>0</v>
      </c>
      <c r="P426" s="2">
        <v>0</v>
      </c>
      <c r="Q426" s="2" t="s">
        <v>2968</v>
      </c>
      <c r="R426" s="2" t="s">
        <v>2968</v>
      </c>
      <c r="S426" s="4">
        <v>45015</v>
      </c>
    </row>
    <row r="427" spans="1:19" ht="12.5" x14ac:dyDescent="0.25">
      <c r="A427" s="14" t="str">
        <f>HYPERLINK("https://gerandofalcoes.my.salesforce.com/0014X00002VKCtRQAX", "0014X00002VKCtRQAX")</f>
        <v>0014X00002VKCtRQAX</v>
      </c>
      <c r="B427" s="2" t="s">
        <v>2529</v>
      </c>
      <c r="C427" s="2" t="s">
        <v>1800</v>
      </c>
      <c r="D427" s="2" t="s">
        <v>2</v>
      </c>
      <c r="E427" s="2">
        <v>21</v>
      </c>
      <c r="F427" s="2">
        <v>1</v>
      </c>
      <c r="G427" s="2">
        <v>6</v>
      </c>
      <c r="H427" s="2">
        <v>300</v>
      </c>
      <c r="I427" s="2">
        <v>30</v>
      </c>
      <c r="J427" s="2" t="s">
        <v>1779</v>
      </c>
      <c r="K427" s="2">
        <v>35</v>
      </c>
      <c r="L427" s="2">
        <v>10</v>
      </c>
      <c r="M427" s="2">
        <v>5</v>
      </c>
      <c r="N427" s="2">
        <v>10</v>
      </c>
      <c r="O427" s="2">
        <v>5</v>
      </c>
      <c r="P427" s="2">
        <v>5</v>
      </c>
      <c r="Q427" s="2" t="s">
        <v>2530</v>
      </c>
      <c r="R427" s="2" t="s">
        <v>2530</v>
      </c>
      <c r="S427" s="4">
        <v>44837</v>
      </c>
    </row>
    <row r="428" spans="1:19" ht="12.5" x14ac:dyDescent="0.25">
      <c r="A428" s="14" t="str">
        <f>HYPERLINK("https://gerandofalcoes.my.salesforce.com/0014X00002VKCqOQAX", "0014X00002VKCqOQAX")</f>
        <v>0014X00002VKCqOQAX</v>
      </c>
      <c r="B428" s="2" t="s">
        <v>2521</v>
      </c>
      <c r="C428" s="2" t="s">
        <v>423</v>
      </c>
      <c r="D428" s="2" t="s">
        <v>2</v>
      </c>
      <c r="E428" s="2">
        <v>21</v>
      </c>
      <c r="F428" s="2">
        <v>2</v>
      </c>
      <c r="G428" s="2">
        <v>2</v>
      </c>
      <c r="H428" s="2">
        <v>0</v>
      </c>
      <c r="I428" s="2">
        <v>70</v>
      </c>
      <c r="J428" s="2" t="s">
        <v>1779</v>
      </c>
      <c r="K428" s="2">
        <v>26</v>
      </c>
      <c r="L428" s="2">
        <v>10</v>
      </c>
      <c r="M428" s="2">
        <v>5</v>
      </c>
      <c r="N428" s="2">
        <v>6</v>
      </c>
      <c r="O428" s="2">
        <v>0</v>
      </c>
      <c r="P428" s="2">
        <v>5</v>
      </c>
      <c r="Q428" s="2" t="s">
        <v>2522</v>
      </c>
      <c r="R428" s="2" t="s">
        <v>2522</v>
      </c>
      <c r="S428" s="4">
        <v>44837</v>
      </c>
    </row>
    <row r="429" spans="1:19" ht="12.5" x14ac:dyDescent="0.25">
      <c r="A429" s="14" t="str">
        <f>HYPERLINK("https://gerandofalcoes.my.salesforce.com/0014X00002VKCpIQAX", "0014X00002VKCpIQAX")</f>
        <v>0014X00002VKCpIQAX</v>
      </c>
      <c r="B429" s="2" t="s">
        <v>2523</v>
      </c>
      <c r="C429" s="2" t="s">
        <v>423</v>
      </c>
      <c r="D429" s="2" t="s">
        <v>2</v>
      </c>
      <c r="E429" s="2">
        <v>21</v>
      </c>
      <c r="F429" s="2">
        <v>0</v>
      </c>
      <c r="G429" s="2">
        <v>4</v>
      </c>
      <c r="H429" s="2">
        <v>300</v>
      </c>
      <c r="I429" s="2">
        <v>50</v>
      </c>
      <c r="J429" s="2" t="s">
        <v>1779</v>
      </c>
      <c r="K429" s="2">
        <v>30</v>
      </c>
      <c r="L429" s="2">
        <v>10</v>
      </c>
      <c r="M429" s="2">
        <v>0</v>
      </c>
      <c r="N429" s="2">
        <v>10</v>
      </c>
      <c r="O429" s="2">
        <v>5</v>
      </c>
      <c r="P429" s="2">
        <v>5</v>
      </c>
      <c r="Q429" s="2" t="s">
        <v>2524</v>
      </c>
      <c r="R429" s="2" t="s">
        <v>2525</v>
      </c>
      <c r="S429" s="4">
        <v>44837</v>
      </c>
    </row>
    <row r="430" spans="1:19" ht="12.5" x14ac:dyDescent="0.25">
      <c r="A430" s="14" t="str">
        <f>HYPERLINK("https://gerandofalcoes.my.salesforce.com/0014P00003AN2FiQAL", "0014P00003AN2FiQAL")</f>
        <v>0014P00003AN2FiQAL</v>
      </c>
      <c r="B430" s="2" t="s">
        <v>2541</v>
      </c>
      <c r="C430" s="2" t="s">
        <v>423</v>
      </c>
      <c r="D430" s="2" t="s">
        <v>2</v>
      </c>
      <c r="E430" s="2">
        <v>20.92</v>
      </c>
      <c r="F430" s="2">
        <v>2</v>
      </c>
      <c r="G430" s="2">
        <v>3</v>
      </c>
      <c r="H430" s="2">
        <v>230600</v>
      </c>
      <c r="I430" s="2">
        <v>170</v>
      </c>
      <c r="J430" s="2" t="s">
        <v>1671</v>
      </c>
      <c r="K430" s="2">
        <v>50</v>
      </c>
      <c r="L430" s="2">
        <v>10</v>
      </c>
      <c r="M430" s="2">
        <v>5</v>
      </c>
      <c r="N430" s="2">
        <v>8</v>
      </c>
      <c r="O430" s="2">
        <v>15</v>
      </c>
      <c r="P430" s="2">
        <v>12</v>
      </c>
      <c r="Q430" s="2" t="s">
        <v>2542</v>
      </c>
      <c r="R430" s="2" t="s">
        <v>2542</v>
      </c>
      <c r="S430" s="4">
        <v>44837</v>
      </c>
    </row>
    <row r="431" spans="1:19" ht="12.5" x14ac:dyDescent="0.25">
      <c r="A431" s="14" t="str">
        <f>HYPERLINK("https://gerandofalcoes.my.salesforce.com/0014X00002YgghEQAR", "0014X00002YgghEQAR")</f>
        <v>0014X00002YgghEQAR</v>
      </c>
      <c r="B431" s="2" t="s">
        <v>3314</v>
      </c>
      <c r="C431" s="2" t="s">
        <v>423</v>
      </c>
      <c r="D431" s="2" t="s">
        <v>2</v>
      </c>
      <c r="E431" s="2">
        <v>20.88</v>
      </c>
      <c r="F431" s="2">
        <v>22</v>
      </c>
      <c r="G431" s="2">
        <v>5</v>
      </c>
      <c r="H431" s="2">
        <v>100000</v>
      </c>
      <c r="I431" s="2">
        <v>150</v>
      </c>
      <c r="J431" s="2" t="s">
        <v>1671</v>
      </c>
      <c r="K431" s="2">
        <v>59</v>
      </c>
      <c r="L431" s="2">
        <v>10</v>
      </c>
      <c r="M431" s="2">
        <v>12</v>
      </c>
      <c r="N431" s="2">
        <v>10</v>
      </c>
      <c r="O431" s="2">
        <v>15</v>
      </c>
      <c r="P431" s="2">
        <v>12</v>
      </c>
      <c r="Q431" s="2" t="s">
        <v>3315</v>
      </c>
      <c r="R431" s="2" t="s">
        <v>3315</v>
      </c>
      <c r="S431" s="4">
        <v>44953</v>
      </c>
    </row>
    <row r="432" spans="1:19" ht="12.5" x14ac:dyDescent="0.25">
      <c r="A432" s="14" t="str">
        <f>HYPERLINK("https://gerandofalcoes.my.salesforce.com/0014X00002YggmkQAB", "0014X00002YggmkQAB")</f>
        <v>0014X00002YggmkQAB</v>
      </c>
      <c r="B432" s="2" t="s">
        <v>3408</v>
      </c>
      <c r="C432" s="2" t="s">
        <v>423</v>
      </c>
      <c r="D432" s="2" t="s">
        <v>2</v>
      </c>
      <c r="E432" s="2">
        <v>20.69</v>
      </c>
      <c r="F432" s="2">
        <v>8</v>
      </c>
      <c r="G432" s="2">
        <v>6</v>
      </c>
      <c r="H432" s="2">
        <v>30000</v>
      </c>
      <c r="I432" s="2">
        <v>80</v>
      </c>
      <c r="J432" s="2" t="s">
        <v>1671</v>
      </c>
      <c r="K432" s="2">
        <v>50</v>
      </c>
      <c r="L432" s="2">
        <v>10</v>
      </c>
      <c r="M432" s="2">
        <v>10</v>
      </c>
      <c r="N432" s="2">
        <v>10</v>
      </c>
      <c r="O432" s="2">
        <v>10</v>
      </c>
      <c r="P432" s="2">
        <v>10</v>
      </c>
      <c r="Q432" s="2" t="s">
        <v>3409</v>
      </c>
      <c r="R432" s="2" t="s">
        <v>3409</v>
      </c>
      <c r="S432" s="4">
        <v>44958</v>
      </c>
    </row>
    <row r="433" spans="1:19" ht="12.5" x14ac:dyDescent="0.25">
      <c r="A433" s="14" t="str">
        <f>HYPERLINK("https://gerandofalcoes.my.salesforce.com/0014X00002YggiHQAR", "0014X00002YggiHQAR")</f>
        <v>0014X00002YggiHQAR</v>
      </c>
      <c r="B433" s="2" t="s">
        <v>3410</v>
      </c>
      <c r="C433" s="2" t="s">
        <v>423</v>
      </c>
      <c r="D433" s="2" t="s">
        <v>2</v>
      </c>
      <c r="E433" s="2">
        <v>20.63</v>
      </c>
      <c r="F433" s="2">
        <v>3</v>
      </c>
      <c r="G433" s="2">
        <v>2</v>
      </c>
      <c r="H433" s="2">
        <v>198540</v>
      </c>
      <c r="I433" s="2">
        <v>30</v>
      </c>
      <c r="J433" s="2" t="s">
        <v>1671</v>
      </c>
      <c r="K433" s="2">
        <v>41</v>
      </c>
      <c r="L433" s="2">
        <v>10</v>
      </c>
      <c r="M433" s="2">
        <v>5</v>
      </c>
      <c r="N433" s="2">
        <v>6</v>
      </c>
      <c r="O433" s="2">
        <v>15</v>
      </c>
      <c r="P433" s="2">
        <v>5</v>
      </c>
      <c r="Q433" s="2" t="s">
        <v>3411</v>
      </c>
      <c r="R433" s="2" t="s">
        <v>3412</v>
      </c>
      <c r="S433" s="4">
        <v>44958</v>
      </c>
    </row>
    <row r="434" spans="1:19" ht="12.5" x14ac:dyDescent="0.25">
      <c r="A434" s="14" t="str">
        <f>HYPERLINK("https://gerandofalcoes.my.salesforce.com/0014X00002YggmvQAB", "0014X00002YggmvQAB")</f>
        <v>0014X00002YggmvQAB</v>
      </c>
      <c r="B434" s="2" t="s">
        <v>3654</v>
      </c>
      <c r="C434" s="2" t="s">
        <v>423</v>
      </c>
      <c r="D434" s="2" t="s">
        <v>2</v>
      </c>
      <c r="E434" s="2">
        <v>20.39</v>
      </c>
      <c r="F434" s="2">
        <v>0</v>
      </c>
      <c r="G434" s="2">
        <v>2</v>
      </c>
      <c r="H434" s="2">
        <v>17500000</v>
      </c>
      <c r="I434" s="2">
        <v>84</v>
      </c>
      <c r="J434" s="2" t="s">
        <v>1671</v>
      </c>
      <c r="K434" s="2">
        <v>51</v>
      </c>
      <c r="L434" s="2">
        <v>10</v>
      </c>
      <c r="M434" s="2">
        <v>0</v>
      </c>
      <c r="N434" s="2">
        <v>6</v>
      </c>
      <c r="O434" s="2">
        <v>25</v>
      </c>
      <c r="P434" s="2">
        <v>10</v>
      </c>
      <c r="Q434" s="2" t="s">
        <v>3655</v>
      </c>
      <c r="R434" s="2" t="s">
        <v>3656</v>
      </c>
      <c r="S434" s="4">
        <v>44964</v>
      </c>
    </row>
    <row r="435" spans="1:19" ht="12.5" x14ac:dyDescent="0.25">
      <c r="A435" s="14" t="str">
        <f>HYPERLINK("https://gerandofalcoes.my.salesforce.com/0014X00002VKCqtQAH", "0014X00002VKCqtQAH")</f>
        <v>0014X00002VKCqtQAH</v>
      </c>
      <c r="B435" s="2" t="s">
        <v>2543</v>
      </c>
      <c r="C435" s="2" t="s">
        <v>423</v>
      </c>
      <c r="D435" s="2" t="s">
        <v>2</v>
      </c>
      <c r="E435" s="2">
        <v>20.38</v>
      </c>
      <c r="F435" s="2">
        <v>0</v>
      </c>
      <c r="G435" s="2">
        <v>1</v>
      </c>
      <c r="H435" s="2">
        <v>5</v>
      </c>
      <c r="I435" s="2">
        <v>105</v>
      </c>
      <c r="J435" s="2" t="s">
        <v>1779</v>
      </c>
      <c r="K435" s="2">
        <v>29</v>
      </c>
      <c r="L435" s="2">
        <v>10</v>
      </c>
      <c r="M435" s="2">
        <v>0</v>
      </c>
      <c r="N435" s="2">
        <v>4</v>
      </c>
      <c r="O435" s="2">
        <v>5</v>
      </c>
      <c r="P435" s="2">
        <v>10</v>
      </c>
      <c r="Q435" s="2" t="s">
        <v>2544</v>
      </c>
      <c r="R435" s="2" t="s">
        <v>2545</v>
      </c>
      <c r="S435" s="4">
        <v>44837</v>
      </c>
    </row>
    <row r="436" spans="1:19" ht="12.5" x14ac:dyDescent="0.25">
      <c r="A436" s="14" t="str">
        <f>HYPERLINK("https://gerandofalcoes.my.salesforce.com/0014X00002YgghFQAR", "0014X00002YgghFQAR")</f>
        <v>0014X00002YgghFQAR</v>
      </c>
      <c r="B436" s="2" t="s">
        <v>3247</v>
      </c>
      <c r="C436" s="2" t="s">
        <v>423</v>
      </c>
      <c r="D436" s="2" t="s">
        <v>2</v>
      </c>
      <c r="E436" s="2">
        <v>20.23</v>
      </c>
      <c r="F436" s="2">
        <v>0</v>
      </c>
      <c r="G436" s="2">
        <v>2</v>
      </c>
      <c r="H436" s="2">
        <v>5000</v>
      </c>
      <c r="I436" s="2">
        <v>27</v>
      </c>
      <c r="J436" s="2" t="s">
        <v>1779</v>
      </c>
      <c r="K436" s="2">
        <v>26</v>
      </c>
      <c r="L436" s="2">
        <v>10</v>
      </c>
      <c r="M436" s="2">
        <v>0</v>
      </c>
      <c r="N436" s="2">
        <v>6</v>
      </c>
      <c r="O436" s="2">
        <v>5</v>
      </c>
      <c r="P436" s="2">
        <v>5</v>
      </c>
      <c r="Q436" s="2" t="s">
        <v>3248</v>
      </c>
      <c r="R436" s="2" t="s">
        <v>3249</v>
      </c>
      <c r="S436" s="4">
        <v>44952</v>
      </c>
    </row>
    <row r="437" spans="1:19" ht="12.5" x14ac:dyDescent="0.25">
      <c r="A437" s="14" t="str">
        <f>HYPERLINK("https://gerandofalcoes.my.salesforce.com/0014P00003YSp7VQAT", "0014P00003YSp7VQAT")</f>
        <v>0014P00003YSp7VQAT</v>
      </c>
      <c r="B437" s="2" t="s">
        <v>2546</v>
      </c>
      <c r="C437" s="2" t="s">
        <v>423</v>
      </c>
      <c r="D437" s="2" t="s">
        <v>2</v>
      </c>
      <c r="E437" s="2">
        <v>20.14</v>
      </c>
      <c r="F437" s="2">
        <v>0</v>
      </c>
      <c r="G437" s="2">
        <v>2</v>
      </c>
      <c r="H437" s="2">
        <v>12700</v>
      </c>
      <c r="I437" s="2">
        <v>50</v>
      </c>
      <c r="J437" s="2" t="s">
        <v>1779</v>
      </c>
      <c r="K437" s="2">
        <v>26</v>
      </c>
      <c r="L437" s="2">
        <v>10</v>
      </c>
      <c r="M437" s="2">
        <v>0</v>
      </c>
      <c r="N437" s="2">
        <v>6</v>
      </c>
      <c r="O437" s="2">
        <v>5</v>
      </c>
      <c r="P437" s="2">
        <v>5</v>
      </c>
      <c r="Q437" s="2" t="s">
        <v>2547</v>
      </c>
      <c r="R437" s="2" t="s">
        <v>2548</v>
      </c>
      <c r="S437" s="4">
        <v>44837</v>
      </c>
    </row>
    <row r="438" spans="1:19" ht="12.5" x14ac:dyDescent="0.25">
      <c r="A438" s="14" t="str">
        <f>HYPERLINK("https://gerandofalcoes.my.salesforce.com/0014X00002VKCowQAH", "0014X00002VKCowQAH")</f>
        <v>0014X00002VKCowQAH</v>
      </c>
      <c r="B438" s="2" t="s">
        <v>2549</v>
      </c>
      <c r="C438" s="2" t="s">
        <v>423</v>
      </c>
      <c r="D438" s="2" t="s">
        <v>2</v>
      </c>
      <c r="E438" s="2">
        <v>20.059999999999999</v>
      </c>
      <c r="F438" s="2">
        <v>0</v>
      </c>
      <c r="G438" s="2">
        <v>0</v>
      </c>
      <c r="H438" s="2">
        <v>0</v>
      </c>
      <c r="I438" s="2">
        <v>100</v>
      </c>
      <c r="J438" s="2" t="s">
        <v>1779</v>
      </c>
      <c r="K438" s="2">
        <v>20</v>
      </c>
      <c r="L438" s="2">
        <v>10</v>
      </c>
      <c r="M438" s="2">
        <v>0</v>
      </c>
      <c r="N438" s="2">
        <v>0</v>
      </c>
      <c r="O438" s="2">
        <v>0</v>
      </c>
      <c r="P438" s="2">
        <v>10</v>
      </c>
      <c r="Q438" s="2" t="s">
        <v>2550</v>
      </c>
      <c r="R438" s="2" t="s">
        <v>2550</v>
      </c>
      <c r="S438" s="4">
        <v>44837</v>
      </c>
    </row>
    <row r="439" spans="1:19" ht="12.5" x14ac:dyDescent="0.25">
      <c r="A439" s="14" t="str">
        <f>HYPERLINK("https://gerandofalcoes.my.salesforce.com/0014P00003YSp9lQAD", "0014P00003YSp9lQAD")</f>
        <v>0014P00003YSp9lQAD</v>
      </c>
      <c r="B439" s="2" t="s">
        <v>2573</v>
      </c>
      <c r="C439" s="2" t="s">
        <v>423</v>
      </c>
      <c r="D439" s="2" t="s">
        <v>2</v>
      </c>
      <c r="E439" s="2">
        <v>20</v>
      </c>
      <c r="F439" s="2">
        <v>8</v>
      </c>
      <c r="G439" s="2">
        <v>2</v>
      </c>
      <c r="H439" s="2">
        <v>12000</v>
      </c>
      <c r="I439" s="2">
        <v>0</v>
      </c>
      <c r="J439" s="2" t="s">
        <v>1779</v>
      </c>
      <c r="K439" s="2">
        <v>31</v>
      </c>
      <c r="L439" s="2">
        <v>10</v>
      </c>
      <c r="M439" s="2">
        <v>10</v>
      </c>
      <c r="N439" s="2">
        <v>6</v>
      </c>
      <c r="O439" s="2">
        <v>5</v>
      </c>
      <c r="P439" s="2">
        <v>0</v>
      </c>
      <c r="Q439" s="2" t="s">
        <v>2574</v>
      </c>
      <c r="R439" s="2" t="s">
        <v>2575</v>
      </c>
      <c r="S439" s="4">
        <v>44837</v>
      </c>
    </row>
    <row r="440" spans="1:19" ht="12.5" x14ac:dyDescent="0.25">
      <c r="A440" s="14" t="str">
        <f>HYPERLINK("https://gerandofalcoes.my.salesforce.com/0014X00002VKCtzQAH", "0014X00002VKCtzQAH")</f>
        <v>0014X00002VKCtzQAH</v>
      </c>
      <c r="B440" s="2" t="s">
        <v>2557</v>
      </c>
      <c r="C440" s="2" t="s">
        <v>423</v>
      </c>
      <c r="D440" s="2" t="s">
        <v>2</v>
      </c>
      <c r="E440" s="2">
        <v>20</v>
      </c>
      <c r="F440" s="2">
        <v>0</v>
      </c>
      <c r="G440" s="2">
        <v>2</v>
      </c>
      <c r="H440" s="2">
        <v>55000</v>
      </c>
      <c r="I440" s="2">
        <v>50</v>
      </c>
      <c r="J440" s="2" t="s">
        <v>1779</v>
      </c>
      <c r="K440" s="2">
        <v>31</v>
      </c>
      <c r="L440" s="2">
        <v>10</v>
      </c>
      <c r="M440" s="2">
        <v>0</v>
      </c>
      <c r="N440" s="2">
        <v>6</v>
      </c>
      <c r="O440" s="2">
        <v>10</v>
      </c>
      <c r="P440" s="2">
        <v>5</v>
      </c>
      <c r="Q440" s="2" t="s">
        <v>2558</v>
      </c>
      <c r="R440" s="2" t="s">
        <v>2558</v>
      </c>
      <c r="S440" s="4">
        <v>44837</v>
      </c>
    </row>
    <row r="441" spans="1:19" ht="12.5" x14ac:dyDescent="0.25">
      <c r="A441" s="14" t="str">
        <f>HYPERLINK("https://gerandofalcoes.my.salesforce.com/0014P00003AN2FfQAL", "0014P00003AN2FfQAL")</f>
        <v>0014P00003AN2FfQAL</v>
      </c>
      <c r="B441" s="2" t="s">
        <v>105</v>
      </c>
      <c r="C441" s="2" t="s">
        <v>423</v>
      </c>
      <c r="D441" s="2" t="s">
        <v>2</v>
      </c>
      <c r="E441" s="2">
        <v>20</v>
      </c>
      <c r="F441" s="2">
        <v>0</v>
      </c>
      <c r="G441" s="2">
        <v>1</v>
      </c>
      <c r="H441" s="2">
        <v>10000</v>
      </c>
      <c r="I441" s="2">
        <v>120</v>
      </c>
      <c r="J441" s="2" t="s">
        <v>1779</v>
      </c>
      <c r="K441" s="2">
        <v>29</v>
      </c>
      <c r="L441" s="2">
        <v>10</v>
      </c>
      <c r="M441" s="2">
        <v>0</v>
      </c>
      <c r="N441" s="2">
        <v>4</v>
      </c>
      <c r="O441" s="2">
        <v>5</v>
      </c>
      <c r="P441" s="2">
        <v>10</v>
      </c>
      <c r="Q441" s="2" t="s">
        <v>2554</v>
      </c>
      <c r="R441" s="2" t="s">
        <v>2554</v>
      </c>
      <c r="S441" s="4">
        <v>44837</v>
      </c>
    </row>
    <row r="442" spans="1:19" ht="12.5" x14ac:dyDescent="0.25">
      <c r="A442" s="14" t="str">
        <f>HYPERLINK("https://gerandofalcoes.my.salesforce.com/0014P00003YSp9gQAD", "0014P00003YSp9gQAD")</f>
        <v>0014P00003YSp9gQAD</v>
      </c>
      <c r="B442" s="2" t="s">
        <v>2559</v>
      </c>
      <c r="C442" s="2" t="s">
        <v>1800</v>
      </c>
      <c r="D442" s="2" t="s">
        <v>2</v>
      </c>
      <c r="E442" s="2">
        <v>20</v>
      </c>
      <c r="F442" s="2">
        <v>5</v>
      </c>
      <c r="G442" s="2">
        <v>2</v>
      </c>
      <c r="H442" s="2">
        <v>2000</v>
      </c>
      <c r="I442" s="2">
        <v>50</v>
      </c>
      <c r="J442" s="2" t="s">
        <v>1779</v>
      </c>
      <c r="K442" s="2">
        <v>31</v>
      </c>
      <c r="L442" s="2">
        <v>10</v>
      </c>
      <c r="M442" s="2">
        <v>5</v>
      </c>
      <c r="N442" s="2">
        <v>6</v>
      </c>
      <c r="O442" s="2">
        <v>5</v>
      </c>
      <c r="P442" s="2">
        <v>5</v>
      </c>
      <c r="Q442" s="2" t="s">
        <v>2560</v>
      </c>
      <c r="R442" s="2" t="s">
        <v>2561</v>
      </c>
      <c r="S442" s="4">
        <v>44837</v>
      </c>
    </row>
    <row r="443" spans="1:19" ht="12.5" x14ac:dyDescent="0.25">
      <c r="A443" s="14" t="str">
        <f>HYPERLINK("https://gerandofalcoes.my.salesforce.com/0014X00002Yggk5QAB", "0014X00002Yggk5QAB")</f>
        <v>0014X00002Yggk5QAB</v>
      </c>
      <c r="B443" s="2" t="s">
        <v>3413</v>
      </c>
      <c r="C443" s="2" t="s">
        <v>423</v>
      </c>
      <c r="D443" s="2" t="s">
        <v>2</v>
      </c>
      <c r="E443" s="2">
        <v>20</v>
      </c>
      <c r="F443" s="2">
        <v>27</v>
      </c>
      <c r="G443" s="2">
        <v>4</v>
      </c>
      <c r="H443" s="2">
        <v>30000</v>
      </c>
      <c r="I443" s="2">
        <v>25</v>
      </c>
      <c r="J443" s="2" t="s">
        <v>1671</v>
      </c>
      <c r="K443" s="2">
        <v>47</v>
      </c>
      <c r="L443" s="2">
        <v>10</v>
      </c>
      <c r="M443" s="2">
        <v>12</v>
      </c>
      <c r="N443" s="2">
        <v>10</v>
      </c>
      <c r="O443" s="2">
        <v>10</v>
      </c>
      <c r="P443" s="2">
        <v>5</v>
      </c>
      <c r="Q443" s="2" t="s">
        <v>3414</v>
      </c>
      <c r="R443" s="2" t="s">
        <v>3415</v>
      </c>
      <c r="S443" s="4">
        <v>44958</v>
      </c>
    </row>
    <row r="444" spans="1:19" ht="12.5" x14ac:dyDescent="0.25">
      <c r="A444" s="14" t="str">
        <f>HYPERLINK("https://gerandofalcoes.my.salesforce.com/0014X00002VKCrKQAX", "0014X00002VKCrKQAX")</f>
        <v>0014X00002VKCrKQAX</v>
      </c>
      <c r="B444" s="2" t="s">
        <v>2562</v>
      </c>
      <c r="C444" s="2" t="s">
        <v>1800</v>
      </c>
      <c r="D444" s="2" t="s">
        <v>2</v>
      </c>
      <c r="E444" s="2">
        <v>20</v>
      </c>
      <c r="F444" s="2">
        <v>7</v>
      </c>
      <c r="G444" s="2">
        <v>5</v>
      </c>
      <c r="H444" s="2">
        <v>2000</v>
      </c>
      <c r="I444" s="2">
        <v>20</v>
      </c>
      <c r="J444" s="2" t="s">
        <v>1671</v>
      </c>
      <c r="K444" s="2">
        <v>40</v>
      </c>
      <c r="L444" s="2">
        <v>10</v>
      </c>
      <c r="M444" s="2">
        <v>10</v>
      </c>
      <c r="N444" s="2">
        <v>10</v>
      </c>
      <c r="O444" s="2">
        <v>5</v>
      </c>
      <c r="P444" s="2">
        <v>5</v>
      </c>
      <c r="Q444" s="2" t="s">
        <v>2563</v>
      </c>
      <c r="R444" s="2" t="s">
        <v>2564</v>
      </c>
      <c r="S444" s="4">
        <v>44837</v>
      </c>
    </row>
    <row r="445" spans="1:19" ht="12.5" x14ac:dyDescent="0.25">
      <c r="A445" s="14" t="str">
        <f>HYPERLINK("https://gerandofalcoes.my.salesforce.com/0014X00002VKCpxQAH", "0014X00002VKCpxQAH")</f>
        <v>0014X00002VKCpxQAH</v>
      </c>
      <c r="B445" s="2" t="s">
        <v>2551</v>
      </c>
      <c r="C445" s="2" t="s">
        <v>1800</v>
      </c>
      <c r="D445" s="2" t="s">
        <v>2</v>
      </c>
      <c r="E445" s="2">
        <v>20</v>
      </c>
      <c r="F445" s="2">
        <v>5</v>
      </c>
      <c r="G445" s="2">
        <v>7</v>
      </c>
      <c r="H445" s="2">
        <v>21530</v>
      </c>
      <c r="I445" s="2">
        <v>387</v>
      </c>
      <c r="J445" s="2" t="s">
        <v>1671</v>
      </c>
      <c r="K445" s="2">
        <v>45</v>
      </c>
      <c r="L445" s="2">
        <v>10</v>
      </c>
      <c r="M445" s="2">
        <v>5</v>
      </c>
      <c r="N445" s="2">
        <v>10</v>
      </c>
      <c r="O445" s="2">
        <v>5</v>
      </c>
      <c r="P445" s="2">
        <v>15</v>
      </c>
      <c r="Q445" s="2" t="s">
        <v>2552</v>
      </c>
      <c r="R445" s="2" t="s">
        <v>2553</v>
      </c>
      <c r="S445" s="4">
        <v>44837</v>
      </c>
    </row>
    <row r="446" spans="1:19" ht="12.5" x14ac:dyDescent="0.25">
      <c r="A446" s="14" t="str">
        <f>HYPERLINK("https://gerandofalcoes.my.salesforce.com/0014X00002VKCpXQAX", "0014X00002VKCpXQAX")</f>
        <v>0014X00002VKCpXQAX</v>
      </c>
      <c r="B446" s="2" t="s">
        <v>2565</v>
      </c>
      <c r="C446" s="2" t="s">
        <v>1800</v>
      </c>
      <c r="D446" s="2" t="s">
        <v>2</v>
      </c>
      <c r="E446" s="2">
        <v>20</v>
      </c>
      <c r="F446" s="2">
        <v>6</v>
      </c>
      <c r="G446" s="2">
        <v>4</v>
      </c>
      <c r="H446" s="2">
        <v>0</v>
      </c>
      <c r="I446" s="2">
        <v>0</v>
      </c>
      <c r="J446" s="2" t="s">
        <v>1779</v>
      </c>
      <c r="K446" s="2">
        <v>30</v>
      </c>
      <c r="L446" s="2">
        <v>10</v>
      </c>
      <c r="M446" s="2">
        <v>10</v>
      </c>
      <c r="N446" s="2">
        <v>10</v>
      </c>
      <c r="O446" s="2">
        <v>0</v>
      </c>
      <c r="P446" s="2">
        <v>0</v>
      </c>
      <c r="Q446" s="2" t="s">
        <v>2566</v>
      </c>
      <c r="R446" s="2" t="s">
        <v>2567</v>
      </c>
      <c r="S446" s="4">
        <v>44837</v>
      </c>
    </row>
    <row r="447" spans="1:19" ht="12.5" x14ac:dyDescent="0.25">
      <c r="A447" s="14" t="str">
        <f>HYPERLINK("https://gerandofalcoes.my.salesforce.com/0014X00002VKCtmQAH", "0014X00002VKCtmQAH")</f>
        <v>0014X00002VKCtmQAH</v>
      </c>
      <c r="B447" s="2" t="s">
        <v>2571</v>
      </c>
      <c r="C447" s="2" t="s">
        <v>1800</v>
      </c>
      <c r="D447" s="2" t="s">
        <v>2</v>
      </c>
      <c r="E447" s="2">
        <v>20</v>
      </c>
      <c r="F447" s="2">
        <v>0</v>
      </c>
      <c r="G447" s="2">
        <v>2</v>
      </c>
      <c r="H447" s="2">
        <v>30000</v>
      </c>
      <c r="I447" s="2">
        <v>0</v>
      </c>
      <c r="J447" s="2" t="s">
        <v>1779</v>
      </c>
      <c r="K447" s="2">
        <v>26</v>
      </c>
      <c r="L447" s="2">
        <v>10</v>
      </c>
      <c r="M447" s="2">
        <v>0</v>
      </c>
      <c r="N447" s="2">
        <v>6</v>
      </c>
      <c r="O447" s="2">
        <v>10</v>
      </c>
      <c r="P447" s="2">
        <v>0</v>
      </c>
      <c r="Q447" s="2" t="s">
        <v>2572</v>
      </c>
      <c r="R447" s="2" t="s">
        <v>2572</v>
      </c>
      <c r="S447" s="4">
        <v>44837</v>
      </c>
    </row>
    <row r="448" spans="1:19" ht="12.5" x14ac:dyDescent="0.25">
      <c r="A448" s="14" t="str">
        <f>HYPERLINK("https://gerandofalcoes.my.salesforce.com/0014X00002VKCpmQAH", "0014X00002VKCpmQAH")</f>
        <v>0014X00002VKCpmQAH</v>
      </c>
      <c r="B448" s="2" t="s">
        <v>2555</v>
      </c>
      <c r="C448" s="2" t="s">
        <v>1800</v>
      </c>
      <c r="D448" s="2" t="s">
        <v>2</v>
      </c>
      <c r="E448" s="2">
        <v>20</v>
      </c>
      <c r="F448" s="2">
        <v>0</v>
      </c>
      <c r="G448" s="2">
        <v>3</v>
      </c>
      <c r="H448" s="2">
        <v>7000</v>
      </c>
      <c r="I448" s="2">
        <v>80</v>
      </c>
      <c r="J448" s="2" t="s">
        <v>1779</v>
      </c>
      <c r="K448" s="2">
        <v>33</v>
      </c>
      <c r="L448" s="2">
        <v>10</v>
      </c>
      <c r="M448" s="2">
        <v>0</v>
      </c>
      <c r="N448" s="2">
        <v>8</v>
      </c>
      <c r="O448" s="2">
        <v>5</v>
      </c>
      <c r="P448" s="2">
        <v>10</v>
      </c>
      <c r="Q448" s="2" t="s">
        <v>2556</v>
      </c>
      <c r="R448" s="2" t="s">
        <v>2556</v>
      </c>
      <c r="S448" s="4">
        <v>44837</v>
      </c>
    </row>
    <row r="449" spans="1:19" ht="12.5" x14ac:dyDescent="0.25">
      <c r="A449" s="14" t="str">
        <f>HYPERLINK("https://gerandofalcoes.my.salesforce.com/0014X00002VKCv7QAH", "0014X00002VKCv7QAH")</f>
        <v>0014X00002VKCv7QAH</v>
      </c>
      <c r="B449" s="2" t="s">
        <v>2568</v>
      </c>
      <c r="C449" s="2" t="s">
        <v>1800</v>
      </c>
      <c r="D449" s="2" t="s">
        <v>2</v>
      </c>
      <c r="E449" s="2">
        <v>20</v>
      </c>
      <c r="F449" s="2">
        <v>0</v>
      </c>
      <c r="G449" s="2">
        <v>3</v>
      </c>
      <c r="H449" s="2">
        <v>2000</v>
      </c>
      <c r="I449" s="2">
        <v>0</v>
      </c>
      <c r="J449" s="2" t="s">
        <v>1779</v>
      </c>
      <c r="K449" s="2">
        <v>23</v>
      </c>
      <c r="L449" s="2">
        <v>10</v>
      </c>
      <c r="M449" s="2">
        <v>0</v>
      </c>
      <c r="N449" s="2">
        <v>8</v>
      </c>
      <c r="O449" s="2">
        <v>5</v>
      </c>
      <c r="P449" s="2">
        <v>0</v>
      </c>
      <c r="Q449" s="2" t="s">
        <v>2569</v>
      </c>
      <c r="R449" s="2" t="s">
        <v>2570</v>
      </c>
      <c r="S449" s="4">
        <v>44837</v>
      </c>
    </row>
    <row r="450" spans="1:19" ht="12.5" x14ac:dyDescent="0.25">
      <c r="A450" s="14" t="str">
        <f>HYPERLINK("https://gerandofalcoes.my.salesforce.com/0014X00002VKCumQAH", "0014X00002VKCumQAH")</f>
        <v>0014X00002VKCumQAH</v>
      </c>
      <c r="B450" s="2" t="s">
        <v>3845</v>
      </c>
      <c r="C450" s="2" t="s">
        <v>1800</v>
      </c>
      <c r="D450" s="2" t="s">
        <v>2</v>
      </c>
      <c r="E450" s="2">
        <v>20</v>
      </c>
      <c r="F450" s="2">
        <v>0</v>
      </c>
      <c r="G450" s="2">
        <v>1</v>
      </c>
      <c r="H450" s="2">
        <v>1000000</v>
      </c>
      <c r="I450" s="2">
        <v>0</v>
      </c>
      <c r="J450" s="2" t="s">
        <v>1779</v>
      </c>
      <c r="K450" s="2">
        <v>39</v>
      </c>
      <c r="L450" s="2">
        <v>10</v>
      </c>
      <c r="M450" s="2">
        <v>0</v>
      </c>
      <c r="N450" s="2">
        <v>4</v>
      </c>
      <c r="O450" s="2">
        <v>25</v>
      </c>
      <c r="P450" s="2">
        <v>0</v>
      </c>
      <c r="Q450" s="2" t="s">
        <v>3846</v>
      </c>
      <c r="R450" s="2" t="s">
        <v>3846</v>
      </c>
      <c r="S450" s="4">
        <v>45112</v>
      </c>
    </row>
    <row r="451" spans="1:19" ht="12.5" x14ac:dyDescent="0.25">
      <c r="A451" s="14" t="str">
        <f>HYPERLINK("https://gerandofalcoes.my.salesforce.com/0014X00002VKCsjQAH", "0014X00002VKCsjQAH")</f>
        <v>0014X00002VKCsjQAH</v>
      </c>
      <c r="B451" s="2" t="s">
        <v>2576</v>
      </c>
      <c r="C451" s="2" t="s">
        <v>423</v>
      </c>
      <c r="D451" s="2" t="s">
        <v>2</v>
      </c>
      <c r="E451" s="2">
        <v>19.98</v>
      </c>
      <c r="F451" s="2">
        <v>0</v>
      </c>
      <c r="G451" s="2">
        <v>1</v>
      </c>
      <c r="H451" s="2">
        <v>1251382</v>
      </c>
      <c r="I451" s="2">
        <v>0</v>
      </c>
      <c r="J451" s="2" t="s">
        <v>1779</v>
      </c>
      <c r="K451" s="2">
        <v>39</v>
      </c>
      <c r="L451" s="2">
        <v>10</v>
      </c>
      <c r="M451" s="2">
        <v>0</v>
      </c>
      <c r="N451" s="2">
        <v>4</v>
      </c>
      <c r="O451" s="2">
        <v>25</v>
      </c>
      <c r="P451" s="2">
        <v>0</v>
      </c>
      <c r="Q451" s="2" t="s">
        <v>2577</v>
      </c>
      <c r="R451" s="2" t="s">
        <v>2578</v>
      </c>
      <c r="S451" s="4">
        <v>44837</v>
      </c>
    </row>
    <row r="452" spans="1:19" ht="12.5" x14ac:dyDescent="0.25">
      <c r="A452" s="14" t="str">
        <f>HYPERLINK("https://gerandofalcoes.my.salesforce.com/0014X00002VKCrtQAH", "0014X00002VKCrtQAH")</f>
        <v>0014X00002VKCrtQAH</v>
      </c>
      <c r="B452" s="2" t="s">
        <v>2579</v>
      </c>
      <c r="C452" s="2" t="s">
        <v>423</v>
      </c>
      <c r="D452" s="2" t="s">
        <v>2</v>
      </c>
      <c r="E452" s="2">
        <v>19.850000000000001</v>
      </c>
      <c r="F452" s="2">
        <v>0</v>
      </c>
      <c r="G452" s="2">
        <v>2</v>
      </c>
      <c r="H452" s="2">
        <v>6000</v>
      </c>
      <c r="I452" s="2">
        <v>33</v>
      </c>
      <c r="J452" s="2" t="s">
        <v>1779</v>
      </c>
      <c r="K452" s="2">
        <v>26</v>
      </c>
      <c r="L452" s="2">
        <v>10</v>
      </c>
      <c r="M452" s="2">
        <v>0</v>
      </c>
      <c r="N452" s="2">
        <v>6</v>
      </c>
      <c r="O452" s="2">
        <v>5</v>
      </c>
      <c r="P452" s="2">
        <v>5</v>
      </c>
      <c r="Q452" s="2" t="s">
        <v>2580</v>
      </c>
      <c r="R452" s="2" t="s">
        <v>2581</v>
      </c>
      <c r="S452" s="4">
        <v>44837</v>
      </c>
    </row>
    <row r="453" spans="1:19" ht="12.5" x14ac:dyDescent="0.25">
      <c r="A453" s="14" t="str">
        <f>HYPERLINK("https://gerandofalcoes.my.salesforce.com/0014X00002VKCoxQAH", "0014X00002VKCoxQAH")</f>
        <v>0014X00002VKCoxQAH</v>
      </c>
      <c r="B453" s="2" t="s">
        <v>2582</v>
      </c>
      <c r="C453" s="2" t="s">
        <v>423</v>
      </c>
      <c r="D453" s="2" t="s">
        <v>2</v>
      </c>
      <c r="E453" s="2">
        <v>19.68</v>
      </c>
      <c r="F453" s="2">
        <v>6</v>
      </c>
      <c r="G453" s="2">
        <v>1</v>
      </c>
      <c r="H453" s="2">
        <v>550</v>
      </c>
      <c r="I453" s="2">
        <v>0</v>
      </c>
      <c r="J453" s="2" t="s">
        <v>1779</v>
      </c>
      <c r="K453" s="2">
        <v>29</v>
      </c>
      <c r="L453" s="2">
        <v>10</v>
      </c>
      <c r="M453" s="2">
        <v>10</v>
      </c>
      <c r="N453" s="2">
        <v>4</v>
      </c>
      <c r="O453" s="2">
        <v>5</v>
      </c>
      <c r="P453" s="2">
        <v>0</v>
      </c>
      <c r="Q453" s="2" t="s">
        <v>2583</v>
      </c>
      <c r="R453" s="2" t="s">
        <v>2584</v>
      </c>
      <c r="S453" s="4">
        <v>44837</v>
      </c>
    </row>
    <row r="454" spans="1:19" ht="12.5" x14ac:dyDescent="0.25">
      <c r="A454" s="14" t="str">
        <f>HYPERLINK("https://gerandofalcoes.my.salesforce.com/0014X00002VKCsIQAX", "0014X00002VKCsIQAX")</f>
        <v>0014X00002VKCsIQAX</v>
      </c>
      <c r="B454" s="2" t="s">
        <v>2585</v>
      </c>
      <c r="C454" s="2" t="s">
        <v>423</v>
      </c>
      <c r="D454" s="2" t="s">
        <v>2</v>
      </c>
      <c r="E454" s="2">
        <v>19.5</v>
      </c>
      <c r="F454" s="2">
        <v>0</v>
      </c>
      <c r="G454" s="2">
        <v>890</v>
      </c>
      <c r="H454" s="2">
        <v>14400</v>
      </c>
      <c r="I454" s="2">
        <v>80</v>
      </c>
      <c r="J454" s="2" t="s">
        <v>1779</v>
      </c>
      <c r="K454" s="2">
        <v>35</v>
      </c>
      <c r="L454" s="2">
        <v>10</v>
      </c>
      <c r="M454" s="2">
        <v>0</v>
      </c>
      <c r="N454" s="2">
        <v>10</v>
      </c>
      <c r="O454" s="2">
        <v>5</v>
      </c>
      <c r="P454" s="2">
        <v>10</v>
      </c>
      <c r="Q454" s="2" t="s">
        <v>2586</v>
      </c>
      <c r="R454" s="2" t="s">
        <v>2587</v>
      </c>
      <c r="S454" s="4">
        <v>44837</v>
      </c>
    </row>
    <row r="455" spans="1:19" ht="12.5" x14ac:dyDescent="0.25">
      <c r="A455" s="14" t="str">
        <f>HYPERLINK("https://gerandofalcoes.my.salesforce.com/0014X00002YggoEQAR", "0014X00002YggoEQAR")</f>
        <v>0014X00002YggoEQAR</v>
      </c>
      <c r="B455" s="2" t="s">
        <v>3701</v>
      </c>
      <c r="C455" s="2" t="s">
        <v>423</v>
      </c>
      <c r="D455" s="2" t="s">
        <v>2</v>
      </c>
      <c r="E455" s="2">
        <v>19.47</v>
      </c>
      <c r="F455" s="2">
        <v>0</v>
      </c>
      <c r="G455" s="2">
        <v>2</v>
      </c>
      <c r="H455" s="2">
        <v>1000</v>
      </c>
      <c r="I455" s="2">
        <v>30</v>
      </c>
      <c r="J455" s="2" t="s">
        <v>1779</v>
      </c>
      <c r="K455" s="2">
        <v>26</v>
      </c>
      <c r="L455" s="2">
        <v>10</v>
      </c>
      <c r="M455" s="2">
        <v>0</v>
      </c>
      <c r="N455" s="2">
        <v>6</v>
      </c>
      <c r="O455" s="2">
        <v>5</v>
      </c>
      <c r="P455" s="2">
        <v>5</v>
      </c>
      <c r="Q455" s="2" t="s">
        <v>3702</v>
      </c>
      <c r="R455" s="2" t="s">
        <v>3702</v>
      </c>
      <c r="S455" s="4">
        <v>44967</v>
      </c>
    </row>
    <row r="456" spans="1:19" ht="12.5" x14ac:dyDescent="0.25">
      <c r="A456" s="14" t="str">
        <f>HYPERLINK("https://gerandofalcoes.my.salesforce.com/0014X00002VKCs5QAH", "0014X00002VKCs5QAH")</f>
        <v>0014X00002VKCs5QAH</v>
      </c>
      <c r="B456" s="2" t="s">
        <v>2588</v>
      </c>
      <c r="C456" s="2" t="s">
        <v>423</v>
      </c>
      <c r="D456" s="2" t="s">
        <v>2</v>
      </c>
      <c r="E456" s="2">
        <v>19.38</v>
      </c>
      <c r="F456" s="2">
        <v>0</v>
      </c>
      <c r="G456" s="2">
        <v>3</v>
      </c>
      <c r="H456" s="2">
        <v>140000</v>
      </c>
      <c r="I456" s="2">
        <v>0</v>
      </c>
      <c r="J456" s="2" t="s">
        <v>1779</v>
      </c>
      <c r="K456" s="2">
        <v>33</v>
      </c>
      <c r="L456" s="2">
        <v>10</v>
      </c>
      <c r="M456" s="2">
        <v>0</v>
      </c>
      <c r="N456" s="2">
        <v>8</v>
      </c>
      <c r="O456" s="2">
        <v>15</v>
      </c>
      <c r="P456" s="2">
        <v>0</v>
      </c>
      <c r="Q456" s="2" t="s">
        <v>2589</v>
      </c>
      <c r="R456" s="2" t="s">
        <v>2590</v>
      </c>
      <c r="S456" s="4">
        <v>44837</v>
      </c>
    </row>
    <row r="457" spans="1:19" ht="12.5" x14ac:dyDescent="0.25">
      <c r="A457" s="14" t="str">
        <f>HYPERLINK("https://gerandofalcoes.my.salesforce.com/0014X00002VKCpPQAX", "0014X00002VKCpPQAX")</f>
        <v>0014X00002VKCpPQAX</v>
      </c>
      <c r="B457" s="2" t="s">
        <v>2591</v>
      </c>
      <c r="C457" s="2" t="s">
        <v>423</v>
      </c>
      <c r="D457" s="2" t="s">
        <v>2</v>
      </c>
      <c r="E457" s="2">
        <v>19.07</v>
      </c>
      <c r="F457" s="2">
        <v>0</v>
      </c>
      <c r="G457" s="2">
        <v>3</v>
      </c>
      <c r="H457" s="2">
        <v>75000</v>
      </c>
      <c r="I457" s="2">
        <v>0</v>
      </c>
      <c r="J457" s="2" t="s">
        <v>1779</v>
      </c>
      <c r="K457" s="2">
        <v>28</v>
      </c>
      <c r="L457" s="2">
        <v>10</v>
      </c>
      <c r="M457" s="2">
        <v>0</v>
      </c>
      <c r="N457" s="2">
        <v>8</v>
      </c>
      <c r="O457" s="2">
        <v>10</v>
      </c>
      <c r="P457" s="2">
        <v>0</v>
      </c>
      <c r="Q457" s="2" t="s">
        <v>2592</v>
      </c>
      <c r="R457" s="2" t="s">
        <v>2592</v>
      </c>
      <c r="S457" s="4">
        <v>44837</v>
      </c>
    </row>
    <row r="458" spans="1:19" ht="12.5" x14ac:dyDescent="0.25">
      <c r="A458" s="14" t="str">
        <f>HYPERLINK("https://gerandofalcoes.my.salesforce.com/0014X00002VKCuHQAX", "0014X00002VKCuHQAX")</f>
        <v>0014X00002VKCuHQAX</v>
      </c>
      <c r="B458" s="2" t="s">
        <v>2606</v>
      </c>
      <c r="C458" s="2" t="s">
        <v>423</v>
      </c>
      <c r="D458" s="2" t="s">
        <v>2</v>
      </c>
      <c r="E458" s="2">
        <v>19</v>
      </c>
      <c r="F458" s="2">
        <v>0</v>
      </c>
      <c r="G458" s="2">
        <v>2</v>
      </c>
      <c r="H458" s="2">
        <v>25500</v>
      </c>
      <c r="I458" s="2">
        <v>30</v>
      </c>
      <c r="J458" s="2" t="s">
        <v>1779</v>
      </c>
      <c r="K458" s="2">
        <v>31</v>
      </c>
      <c r="L458" s="2">
        <v>10</v>
      </c>
      <c r="M458" s="2">
        <v>0</v>
      </c>
      <c r="N458" s="2">
        <v>6</v>
      </c>
      <c r="O458" s="2">
        <v>10</v>
      </c>
      <c r="P458" s="2">
        <v>5</v>
      </c>
      <c r="Q458" s="2" t="s">
        <v>2607</v>
      </c>
      <c r="R458" s="2" t="s">
        <v>2608</v>
      </c>
      <c r="S458" s="4">
        <v>44837</v>
      </c>
    </row>
    <row r="459" spans="1:19" ht="12.5" x14ac:dyDescent="0.25">
      <c r="A459" s="14" t="str">
        <f>HYPERLINK("https://gerandofalcoes.my.salesforce.com/0014X00002VKCp2QAH", "0014X00002VKCp2QAH")</f>
        <v>0014X00002VKCp2QAH</v>
      </c>
      <c r="B459" s="2" t="s">
        <v>3828</v>
      </c>
      <c r="C459" s="2" t="s">
        <v>423</v>
      </c>
      <c r="D459" s="2" t="s">
        <v>2</v>
      </c>
      <c r="E459" s="2">
        <v>19</v>
      </c>
      <c r="F459" s="2">
        <v>10</v>
      </c>
      <c r="G459" s="2">
        <v>1</v>
      </c>
      <c r="H459" s="2">
        <v>3300000</v>
      </c>
      <c r="I459" s="2">
        <v>0</v>
      </c>
      <c r="J459" s="2" t="s">
        <v>1671</v>
      </c>
      <c r="K459" s="2">
        <v>49</v>
      </c>
      <c r="L459" s="2">
        <v>10</v>
      </c>
      <c r="M459" s="2">
        <v>10</v>
      </c>
      <c r="N459" s="2">
        <v>4</v>
      </c>
      <c r="O459" s="2">
        <v>25</v>
      </c>
      <c r="P459" s="2">
        <v>0</v>
      </c>
      <c r="Q459" s="2" t="s">
        <v>2917</v>
      </c>
      <c r="R459" s="2" t="s">
        <v>2917</v>
      </c>
      <c r="S459" s="4">
        <v>45015</v>
      </c>
    </row>
    <row r="460" spans="1:19" ht="12.5" x14ac:dyDescent="0.25">
      <c r="A460" s="14" t="str">
        <f>HYPERLINK("https://gerandofalcoes.my.salesforce.com/0014P00003YSp7TQAT", "0014P00003YSp7TQAT")</f>
        <v>0014P00003YSp7TQAT</v>
      </c>
      <c r="B460" s="2" t="s">
        <v>2614</v>
      </c>
      <c r="C460" s="2" t="s">
        <v>1800</v>
      </c>
      <c r="D460" s="2" t="s">
        <v>2</v>
      </c>
      <c r="E460" s="2">
        <v>19</v>
      </c>
      <c r="F460" s="2">
        <v>0</v>
      </c>
      <c r="G460" s="2">
        <v>0</v>
      </c>
      <c r="H460" s="2">
        <v>0</v>
      </c>
      <c r="I460" s="2">
        <v>0</v>
      </c>
      <c r="J460" s="2" t="s">
        <v>1779</v>
      </c>
      <c r="K460" s="2">
        <v>10</v>
      </c>
      <c r="L460" s="2">
        <v>10</v>
      </c>
      <c r="M460" s="2">
        <v>0</v>
      </c>
      <c r="N460" s="2">
        <v>0</v>
      </c>
      <c r="O460" s="2">
        <v>0</v>
      </c>
      <c r="P460" s="2">
        <v>0</v>
      </c>
      <c r="Q460" s="2" t="s">
        <v>2615</v>
      </c>
      <c r="R460" s="2" t="s">
        <v>2615</v>
      </c>
      <c r="S460" s="4">
        <v>44837</v>
      </c>
    </row>
    <row r="461" spans="1:19" ht="12.5" x14ac:dyDescent="0.25">
      <c r="A461" s="14" t="str">
        <f>HYPERLINK("https://gerandofalcoes.my.salesforce.com/0014P00003YSp9OQAT", "0014P00003YSp9OQAT")</f>
        <v>0014P00003YSp9OQAT</v>
      </c>
      <c r="B461" s="2" t="s">
        <v>2593</v>
      </c>
      <c r="C461" s="2" t="s">
        <v>1800</v>
      </c>
      <c r="D461" s="2" t="s">
        <v>2</v>
      </c>
      <c r="E461" s="2">
        <v>19</v>
      </c>
      <c r="F461" s="2">
        <v>0</v>
      </c>
      <c r="G461" s="2">
        <v>8</v>
      </c>
      <c r="H461" s="2">
        <v>15000</v>
      </c>
      <c r="I461" s="2">
        <v>958</v>
      </c>
      <c r="J461" s="2" t="s">
        <v>1671</v>
      </c>
      <c r="K461" s="2">
        <v>45</v>
      </c>
      <c r="L461" s="2">
        <v>10</v>
      </c>
      <c r="M461" s="2">
        <v>0</v>
      </c>
      <c r="N461" s="2">
        <v>10</v>
      </c>
      <c r="O461" s="2">
        <v>5</v>
      </c>
      <c r="P461" s="2">
        <v>20</v>
      </c>
      <c r="Q461" s="2" t="s">
        <v>2594</v>
      </c>
      <c r="R461" s="2" t="s">
        <v>2595</v>
      </c>
      <c r="S461" s="4">
        <v>44837</v>
      </c>
    </row>
    <row r="462" spans="1:19" ht="12.5" x14ac:dyDescent="0.25">
      <c r="A462" s="14" t="str">
        <f>HYPERLINK("https://gerandofalcoes.my.salesforce.com/0014X00002VKCuZQAX", "0014X00002VKCuZQAX")</f>
        <v>0014X00002VKCuZQAX</v>
      </c>
      <c r="B462" s="2" t="s">
        <v>3847</v>
      </c>
      <c r="C462" s="2" t="s">
        <v>1800</v>
      </c>
      <c r="D462" s="2" t="s">
        <v>2</v>
      </c>
      <c r="E462" s="2">
        <v>19</v>
      </c>
      <c r="F462" s="2">
        <v>0</v>
      </c>
      <c r="G462" s="2">
        <v>0</v>
      </c>
      <c r="H462" s="2">
        <v>0</v>
      </c>
      <c r="I462" s="2">
        <v>0</v>
      </c>
      <c r="J462" s="2" t="s">
        <v>1779</v>
      </c>
      <c r="K462" s="2">
        <v>10</v>
      </c>
      <c r="L462" s="2">
        <v>10</v>
      </c>
      <c r="M462" s="2">
        <v>0</v>
      </c>
      <c r="N462" s="2">
        <v>0</v>
      </c>
      <c r="O462" s="2">
        <v>0</v>
      </c>
      <c r="P462" s="2">
        <v>0</v>
      </c>
      <c r="Q462" s="2" t="s">
        <v>3848</v>
      </c>
      <c r="R462" s="2" t="s">
        <v>3848</v>
      </c>
      <c r="S462" s="4">
        <v>45112</v>
      </c>
    </row>
    <row r="463" spans="1:19" ht="12.5" x14ac:dyDescent="0.25">
      <c r="A463" s="14" t="str">
        <f>HYPERLINK("https://gerandofalcoes.my.salesforce.com/0014X00002VKCtpQAH", "0014X00002VKCtpQAH")</f>
        <v>0014X00002VKCtpQAH</v>
      </c>
      <c r="B463" s="2" t="s">
        <v>2616</v>
      </c>
      <c r="C463" s="2" t="s">
        <v>423</v>
      </c>
      <c r="D463" s="2" t="s">
        <v>2</v>
      </c>
      <c r="E463" s="2">
        <v>19</v>
      </c>
      <c r="F463" s="2">
        <v>0</v>
      </c>
      <c r="G463" s="2">
        <v>2</v>
      </c>
      <c r="H463" s="2">
        <v>0</v>
      </c>
      <c r="I463" s="2">
        <v>0</v>
      </c>
      <c r="J463" s="2" t="s">
        <v>1779</v>
      </c>
      <c r="K463" s="2">
        <v>16</v>
      </c>
      <c r="L463" s="2">
        <v>10</v>
      </c>
      <c r="M463" s="2">
        <v>0</v>
      </c>
      <c r="N463" s="2">
        <v>6</v>
      </c>
      <c r="O463" s="2">
        <v>0</v>
      </c>
      <c r="P463" s="2">
        <v>0</v>
      </c>
      <c r="Q463" s="2" t="s">
        <v>2617</v>
      </c>
      <c r="R463" s="2" t="s">
        <v>2618</v>
      </c>
      <c r="S463" s="4">
        <v>44837</v>
      </c>
    </row>
    <row r="464" spans="1:19" ht="12.5" x14ac:dyDescent="0.25">
      <c r="A464" s="14" t="str">
        <f>HYPERLINK("https://gerandofalcoes.my.salesforce.com/0014P00003YSpACQA1", "0014P00003YSpACQA1")</f>
        <v>0014P00003YSpACQA1</v>
      </c>
      <c r="B464" s="2" t="s">
        <v>2601</v>
      </c>
      <c r="C464" s="2" t="s">
        <v>1800</v>
      </c>
      <c r="D464" s="2" t="s">
        <v>2</v>
      </c>
      <c r="E464" s="2">
        <v>19</v>
      </c>
      <c r="F464" s="2">
        <v>2</v>
      </c>
      <c r="G464" s="2">
        <v>2</v>
      </c>
      <c r="H464" s="2">
        <v>0</v>
      </c>
      <c r="I464" s="2">
        <v>120</v>
      </c>
      <c r="J464" s="2" t="s">
        <v>1779</v>
      </c>
      <c r="K464" s="2">
        <v>31</v>
      </c>
      <c r="L464" s="2">
        <v>10</v>
      </c>
      <c r="M464" s="2">
        <v>5</v>
      </c>
      <c r="N464" s="2">
        <v>6</v>
      </c>
      <c r="O464" s="2">
        <v>0</v>
      </c>
      <c r="P464" s="2">
        <v>10</v>
      </c>
      <c r="Q464" s="2" t="s">
        <v>2602</v>
      </c>
      <c r="R464" s="2" t="s">
        <v>2602</v>
      </c>
      <c r="S464" s="4">
        <v>44837</v>
      </c>
    </row>
    <row r="465" spans="1:19" ht="12.5" x14ac:dyDescent="0.25">
      <c r="A465" s="14" t="str">
        <f>HYPERLINK("https://gerandofalcoes.my.salesforce.com/0014P00003YSp8mQAD", "0014P00003YSp8mQAD")</f>
        <v>0014P00003YSp8mQAD</v>
      </c>
      <c r="B465" s="2" t="s">
        <v>2599</v>
      </c>
      <c r="C465" s="2" t="s">
        <v>1800</v>
      </c>
      <c r="D465" s="2" t="s">
        <v>2</v>
      </c>
      <c r="E465" s="2">
        <v>19</v>
      </c>
      <c r="F465" s="2">
        <v>11</v>
      </c>
      <c r="G465" s="2">
        <v>4</v>
      </c>
      <c r="H465" s="2">
        <v>700</v>
      </c>
      <c r="I465" s="2">
        <v>160</v>
      </c>
      <c r="J465" s="2" t="s">
        <v>1671</v>
      </c>
      <c r="K465" s="2">
        <v>49</v>
      </c>
      <c r="L465" s="2">
        <v>10</v>
      </c>
      <c r="M465" s="2">
        <v>12</v>
      </c>
      <c r="N465" s="2">
        <v>10</v>
      </c>
      <c r="O465" s="2">
        <v>5</v>
      </c>
      <c r="P465" s="2">
        <v>12</v>
      </c>
      <c r="Q465" s="2" t="s">
        <v>2600</v>
      </c>
      <c r="R465" s="2" t="s">
        <v>2600</v>
      </c>
      <c r="S465" s="4">
        <v>44837</v>
      </c>
    </row>
    <row r="466" spans="1:19" ht="12.5" x14ac:dyDescent="0.25">
      <c r="A466" s="14" t="str">
        <f>HYPERLINK("https://gerandofalcoes.my.salesforce.com/0014X00002VKCrcQAH", "0014X00002VKCrcQAH")</f>
        <v>0014X00002VKCrcQAH</v>
      </c>
      <c r="B466" s="2" t="s">
        <v>2609</v>
      </c>
      <c r="C466" s="2" t="s">
        <v>423</v>
      </c>
      <c r="D466" s="2" t="s">
        <v>2</v>
      </c>
      <c r="E466" s="2">
        <v>19</v>
      </c>
      <c r="F466" s="2">
        <v>0</v>
      </c>
      <c r="G466" s="2">
        <v>3</v>
      </c>
      <c r="H466" s="2">
        <v>2000</v>
      </c>
      <c r="I466" s="2">
        <v>0</v>
      </c>
      <c r="J466" s="2" t="s">
        <v>1779</v>
      </c>
      <c r="K466" s="2">
        <v>23</v>
      </c>
      <c r="L466" s="2">
        <v>10</v>
      </c>
      <c r="M466" s="2">
        <v>0</v>
      </c>
      <c r="N466" s="2">
        <v>8</v>
      </c>
      <c r="O466" s="2">
        <v>5</v>
      </c>
      <c r="P466" s="2">
        <v>0</v>
      </c>
      <c r="Q466" s="2" t="s">
        <v>2610</v>
      </c>
      <c r="R466" s="2" t="s">
        <v>2611</v>
      </c>
      <c r="S466" s="4">
        <v>44837</v>
      </c>
    </row>
    <row r="467" spans="1:19" ht="12.5" x14ac:dyDescent="0.25">
      <c r="A467" s="14" t="str">
        <f>HYPERLINK("https://gerandofalcoes.my.salesforce.com/0014P00003YSp9cQAD", "0014P00003YSp9cQAD")</f>
        <v>0014P00003YSp9cQAD</v>
      </c>
      <c r="B467" s="2" t="s">
        <v>2603</v>
      </c>
      <c r="C467" s="2" t="s">
        <v>1800</v>
      </c>
      <c r="D467" s="2" t="s">
        <v>2</v>
      </c>
      <c r="E467" s="2">
        <v>19</v>
      </c>
      <c r="F467" s="2">
        <v>2</v>
      </c>
      <c r="G467" s="2">
        <v>4</v>
      </c>
      <c r="H467" s="2">
        <v>2000</v>
      </c>
      <c r="I467" s="2">
        <v>60</v>
      </c>
      <c r="J467" s="2" t="s">
        <v>1779</v>
      </c>
      <c r="K467" s="2">
        <v>35</v>
      </c>
      <c r="L467" s="2">
        <v>10</v>
      </c>
      <c r="M467" s="2">
        <v>5</v>
      </c>
      <c r="N467" s="2">
        <v>10</v>
      </c>
      <c r="O467" s="2">
        <v>5</v>
      </c>
      <c r="P467" s="2">
        <v>5</v>
      </c>
      <c r="Q467" s="2" t="s">
        <v>2604</v>
      </c>
      <c r="R467" s="2" t="s">
        <v>2605</v>
      </c>
      <c r="S467" s="4">
        <v>44837</v>
      </c>
    </row>
    <row r="468" spans="1:19" ht="12.5" x14ac:dyDescent="0.25">
      <c r="A468" s="14" t="str">
        <f>HYPERLINK("https://gerandofalcoes.my.salesforce.com/0014X00002OEuamQAD", "0014X00002OEuamQAD")</f>
        <v>0014X00002OEuamQAD</v>
      </c>
      <c r="B468" s="2" t="s">
        <v>2612</v>
      </c>
      <c r="C468" s="2" t="s">
        <v>1800</v>
      </c>
      <c r="D468" s="2" t="s">
        <v>2</v>
      </c>
      <c r="E468" s="2">
        <v>19</v>
      </c>
      <c r="F468" s="2">
        <v>0</v>
      </c>
      <c r="G468" s="2">
        <v>4</v>
      </c>
      <c r="H468" s="2">
        <v>7000</v>
      </c>
      <c r="I468" s="2">
        <v>0</v>
      </c>
      <c r="J468" s="2" t="s">
        <v>1779</v>
      </c>
      <c r="K468" s="2">
        <v>25</v>
      </c>
      <c r="L468" s="2">
        <v>10</v>
      </c>
      <c r="M468" s="2">
        <v>0</v>
      </c>
      <c r="N468" s="2">
        <v>10</v>
      </c>
      <c r="O468" s="2">
        <v>5</v>
      </c>
      <c r="P468" s="2">
        <v>0</v>
      </c>
      <c r="Q468" s="2" t="s">
        <v>2613</v>
      </c>
      <c r="R468" s="2" t="s">
        <v>2613</v>
      </c>
      <c r="S468" s="4">
        <v>44837</v>
      </c>
    </row>
    <row r="469" spans="1:19" ht="12.5" x14ac:dyDescent="0.25">
      <c r="A469" s="14" t="str">
        <f>HYPERLINK("https://gerandofalcoes.my.salesforce.com/0014P00003YSp7pQAD", "0014P00003YSp7pQAD")</f>
        <v>0014P00003YSp7pQAD</v>
      </c>
      <c r="B469" s="2" t="s">
        <v>2596</v>
      </c>
      <c r="C469" s="2" t="s">
        <v>1800</v>
      </c>
      <c r="D469" s="2" t="s">
        <v>2</v>
      </c>
      <c r="E469" s="2">
        <v>19</v>
      </c>
      <c r="F469" s="2">
        <v>0</v>
      </c>
      <c r="G469" s="2">
        <v>3</v>
      </c>
      <c r="H469" s="2">
        <v>150000</v>
      </c>
      <c r="I469" s="2">
        <v>190</v>
      </c>
      <c r="J469" s="2" t="s">
        <v>1671</v>
      </c>
      <c r="K469" s="2">
        <v>45</v>
      </c>
      <c r="L469" s="2">
        <v>10</v>
      </c>
      <c r="M469" s="2">
        <v>0</v>
      </c>
      <c r="N469" s="2">
        <v>8</v>
      </c>
      <c r="O469" s="2">
        <v>15</v>
      </c>
      <c r="P469" s="2">
        <v>12</v>
      </c>
      <c r="Q469" s="2" t="s">
        <v>2597</v>
      </c>
      <c r="R469" s="2" t="s">
        <v>2598</v>
      </c>
      <c r="S469" s="4">
        <v>44837</v>
      </c>
    </row>
    <row r="470" spans="1:19" ht="12.5" x14ac:dyDescent="0.25">
      <c r="A470" s="14" t="str">
        <f>HYPERLINK("https://gerandofalcoes.my.salesforce.com/0014X00002Yggj6QAB", "0014X00002Yggj6QAB")</f>
        <v>0014X00002Yggj6QAB</v>
      </c>
      <c r="B470" s="2" t="s">
        <v>3535</v>
      </c>
      <c r="C470" s="2" t="s">
        <v>423</v>
      </c>
      <c r="D470" s="2" t="s">
        <v>2</v>
      </c>
      <c r="E470" s="2">
        <v>18.829999999999998</v>
      </c>
      <c r="F470" s="2">
        <v>1</v>
      </c>
      <c r="G470" s="2">
        <v>2</v>
      </c>
      <c r="H470" s="2">
        <v>4000</v>
      </c>
      <c r="I470" s="2">
        <v>50</v>
      </c>
      <c r="J470" s="2" t="s">
        <v>1779</v>
      </c>
      <c r="K470" s="2">
        <v>31</v>
      </c>
      <c r="L470" s="2">
        <v>10</v>
      </c>
      <c r="M470" s="2">
        <v>5</v>
      </c>
      <c r="N470" s="2">
        <v>6</v>
      </c>
      <c r="O470" s="2">
        <v>5</v>
      </c>
      <c r="P470" s="2">
        <v>5</v>
      </c>
      <c r="Q470" s="2" t="s">
        <v>3536</v>
      </c>
      <c r="R470" s="2" t="s">
        <v>3536</v>
      </c>
      <c r="S470" s="4">
        <v>44959</v>
      </c>
    </row>
    <row r="471" spans="1:19" ht="12.5" x14ac:dyDescent="0.25">
      <c r="A471" s="14" t="str">
        <f>HYPERLINK("https://gerandofalcoes.my.salesforce.com/0014X00002YggpjQAB", "0014X00002YggpjQAB")</f>
        <v>0014X00002YggpjQAB</v>
      </c>
      <c r="B471" s="2" t="s">
        <v>3703</v>
      </c>
      <c r="C471" s="2" t="s">
        <v>423</v>
      </c>
      <c r="D471" s="2" t="s">
        <v>2</v>
      </c>
      <c r="E471" s="2">
        <v>18.75</v>
      </c>
      <c r="F471" s="2">
        <v>0</v>
      </c>
      <c r="G471" s="2">
        <v>3</v>
      </c>
      <c r="H471" s="2">
        <v>2000</v>
      </c>
      <c r="I471" s="2">
        <v>0</v>
      </c>
      <c r="J471" s="2" t="s">
        <v>1779</v>
      </c>
      <c r="K471" s="2">
        <v>23</v>
      </c>
      <c r="L471" s="2">
        <v>10</v>
      </c>
      <c r="M471" s="2">
        <v>0</v>
      </c>
      <c r="N471" s="2">
        <v>8</v>
      </c>
      <c r="O471" s="2">
        <v>5</v>
      </c>
      <c r="P471" s="2">
        <v>0</v>
      </c>
      <c r="Q471" s="2" t="s">
        <v>3704</v>
      </c>
      <c r="R471" s="2" t="s">
        <v>3704</v>
      </c>
      <c r="S471" s="4">
        <v>44967</v>
      </c>
    </row>
    <row r="472" spans="1:19" ht="12.5" x14ac:dyDescent="0.25">
      <c r="A472" s="14" t="str">
        <f>HYPERLINK("https://gerandofalcoes.my.salesforce.com/0014P00003SGWQ4QAP", "0014P00003SGWQ4QAP")</f>
        <v>0014P00003SGWQ4QAP</v>
      </c>
      <c r="B472" s="2" t="s">
        <v>217</v>
      </c>
      <c r="C472" s="2" t="s">
        <v>423</v>
      </c>
      <c r="D472" s="2" t="s">
        <v>2</v>
      </c>
      <c r="E472" s="2">
        <v>18.579999999999998</v>
      </c>
      <c r="F472" s="2">
        <v>0</v>
      </c>
      <c r="G472" s="2">
        <v>2</v>
      </c>
      <c r="H472" s="2">
        <v>8324</v>
      </c>
      <c r="I472" s="2">
        <v>117</v>
      </c>
      <c r="J472" s="2" t="s">
        <v>1779</v>
      </c>
      <c r="K472" s="2">
        <v>31</v>
      </c>
      <c r="L472" s="2">
        <v>10</v>
      </c>
      <c r="M472" s="2">
        <v>0</v>
      </c>
      <c r="N472" s="2">
        <v>6</v>
      </c>
      <c r="O472" s="2">
        <v>5</v>
      </c>
      <c r="P472" s="2">
        <v>10</v>
      </c>
      <c r="Q472" s="2" t="s">
        <v>218</v>
      </c>
      <c r="R472" s="2" t="s">
        <v>1140</v>
      </c>
      <c r="S472" s="4">
        <v>44837</v>
      </c>
    </row>
    <row r="473" spans="1:19" ht="12.5" x14ac:dyDescent="0.25">
      <c r="A473" s="14" t="str">
        <f>HYPERLINK("https://gerandofalcoes.my.salesforce.com/0014P00003YSp7SQAT", "0014P00003YSp7SQAT")</f>
        <v>0014P00003YSp7SQAT</v>
      </c>
      <c r="B473" s="2" t="s">
        <v>2619</v>
      </c>
      <c r="C473" s="2" t="s">
        <v>423</v>
      </c>
      <c r="D473" s="2" t="s">
        <v>2</v>
      </c>
      <c r="E473" s="2">
        <v>18.54</v>
      </c>
      <c r="F473" s="2">
        <v>0</v>
      </c>
      <c r="G473" s="2">
        <v>4</v>
      </c>
      <c r="H473" s="2">
        <v>39200</v>
      </c>
      <c r="I473" s="2">
        <v>1</v>
      </c>
      <c r="J473" s="2" t="s">
        <v>1779</v>
      </c>
      <c r="K473" s="2">
        <v>35</v>
      </c>
      <c r="L473" s="2">
        <v>10</v>
      </c>
      <c r="M473" s="2">
        <v>0</v>
      </c>
      <c r="N473" s="2">
        <v>10</v>
      </c>
      <c r="O473" s="2">
        <v>10</v>
      </c>
      <c r="P473" s="2">
        <v>5</v>
      </c>
      <c r="Q473" s="2" t="s">
        <v>2620</v>
      </c>
      <c r="R473" s="2" t="s">
        <v>2621</v>
      </c>
      <c r="S473" s="4">
        <v>44837</v>
      </c>
    </row>
    <row r="474" spans="1:19" ht="12.5" x14ac:dyDescent="0.25">
      <c r="A474" s="14" t="str">
        <f>HYPERLINK("https://gerandofalcoes.my.salesforce.com/0014X00002YggkTQAR", "0014X00002YggkTQAR")</f>
        <v>0014X00002YggkTQAR</v>
      </c>
      <c r="B474" s="2" t="s">
        <v>3777</v>
      </c>
      <c r="C474" s="2" t="s">
        <v>423</v>
      </c>
      <c r="D474" s="2" t="s">
        <v>2</v>
      </c>
      <c r="E474" s="2">
        <v>18.39</v>
      </c>
      <c r="F474" s="2">
        <v>1</v>
      </c>
      <c r="G474" s="2">
        <v>4</v>
      </c>
      <c r="H474" s="2">
        <v>7134525</v>
      </c>
      <c r="I474" s="2">
        <v>20</v>
      </c>
      <c r="J474" s="2" t="s">
        <v>1671</v>
      </c>
      <c r="K474" s="2">
        <v>55</v>
      </c>
      <c r="L474" s="2">
        <v>10</v>
      </c>
      <c r="M474" s="2">
        <v>5</v>
      </c>
      <c r="N474" s="2">
        <v>10</v>
      </c>
      <c r="O474" s="2">
        <v>25</v>
      </c>
      <c r="P474" s="2">
        <v>5</v>
      </c>
      <c r="Q474" s="2" t="s">
        <v>3778</v>
      </c>
      <c r="R474" s="2" t="s">
        <v>3778</v>
      </c>
      <c r="S474" s="4">
        <v>44968</v>
      </c>
    </row>
    <row r="475" spans="1:19" ht="12.5" x14ac:dyDescent="0.25">
      <c r="A475" s="14" t="str">
        <f>HYPERLINK("https://gerandofalcoes.my.salesforce.com/0014X00002YgggQQAR", "0014X00002YgggQQAR")</f>
        <v>0014X00002YgggQQAR</v>
      </c>
      <c r="B475" s="2" t="s">
        <v>3111</v>
      </c>
      <c r="C475" s="2" t="s">
        <v>423</v>
      </c>
      <c r="D475" s="2" t="s">
        <v>2</v>
      </c>
      <c r="E475" s="2">
        <v>18.39</v>
      </c>
      <c r="F475" s="2">
        <v>2</v>
      </c>
      <c r="G475" s="2">
        <v>2</v>
      </c>
      <c r="H475" s="2">
        <v>55000</v>
      </c>
      <c r="I475" s="2">
        <v>20</v>
      </c>
      <c r="J475" s="2" t="s">
        <v>1779</v>
      </c>
      <c r="K475" s="2">
        <v>36</v>
      </c>
      <c r="L475" s="2">
        <v>10</v>
      </c>
      <c r="M475" s="2">
        <v>5</v>
      </c>
      <c r="N475" s="2">
        <v>6</v>
      </c>
      <c r="O475" s="2">
        <v>10</v>
      </c>
      <c r="P475" s="2">
        <v>5</v>
      </c>
      <c r="Q475" s="2" t="s">
        <v>3112</v>
      </c>
      <c r="R475" s="2" t="s">
        <v>3113</v>
      </c>
      <c r="S475" s="4">
        <v>44949</v>
      </c>
    </row>
    <row r="476" spans="1:19" ht="12.5" x14ac:dyDescent="0.25">
      <c r="A476" s="14" t="str">
        <f>HYPERLINK("https://gerandofalcoes.my.salesforce.com/0014P00003YSp8tQAD", "0014P00003YSp8tQAD")</f>
        <v>0014P00003YSp8tQAD</v>
      </c>
      <c r="B476" s="2" t="s">
        <v>2622</v>
      </c>
      <c r="C476" s="2" t="s">
        <v>423</v>
      </c>
      <c r="D476" s="2" t="s">
        <v>2</v>
      </c>
      <c r="E476" s="2">
        <v>18.18</v>
      </c>
      <c r="F476" s="2">
        <v>0</v>
      </c>
      <c r="G476" s="2">
        <v>1</v>
      </c>
      <c r="H476" s="2">
        <v>420000</v>
      </c>
      <c r="I476" s="2">
        <v>0</v>
      </c>
      <c r="J476" s="2" t="s">
        <v>1779</v>
      </c>
      <c r="K476" s="2">
        <v>34</v>
      </c>
      <c r="L476" s="2">
        <v>10</v>
      </c>
      <c r="M476" s="2">
        <v>0</v>
      </c>
      <c r="N476" s="2">
        <v>4</v>
      </c>
      <c r="O476" s="2">
        <v>20</v>
      </c>
      <c r="P476" s="2">
        <v>0</v>
      </c>
      <c r="Q476" s="2" t="s">
        <v>2623</v>
      </c>
      <c r="R476" s="2" t="s">
        <v>2624</v>
      </c>
      <c r="S476" s="4">
        <v>44837</v>
      </c>
    </row>
    <row r="477" spans="1:19" ht="12.5" x14ac:dyDescent="0.25">
      <c r="A477" s="14" t="str">
        <f>HYPERLINK("https://gerandofalcoes.my.salesforce.com/0014X00002VKCsFQAX", "0014X00002VKCsFQAX")</f>
        <v>0014X00002VKCsFQAX</v>
      </c>
      <c r="B477" s="2" t="s">
        <v>2625</v>
      </c>
      <c r="C477" s="2" t="s">
        <v>423</v>
      </c>
      <c r="D477" s="2" t="s">
        <v>2</v>
      </c>
      <c r="E477" s="2">
        <v>18.13</v>
      </c>
      <c r="F477" s="2">
        <v>0</v>
      </c>
      <c r="G477" s="2">
        <v>1</v>
      </c>
      <c r="H477" s="2">
        <v>998</v>
      </c>
      <c r="I477" s="2">
        <v>70</v>
      </c>
      <c r="J477" s="2" t="s">
        <v>1779</v>
      </c>
      <c r="K477" s="2">
        <v>24</v>
      </c>
      <c r="L477" s="2">
        <v>10</v>
      </c>
      <c r="M477" s="2">
        <v>0</v>
      </c>
      <c r="N477" s="2">
        <v>4</v>
      </c>
      <c r="O477" s="2">
        <v>5</v>
      </c>
      <c r="P477" s="2">
        <v>5</v>
      </c>
      <c r="Q477" s="2" t="s">
        <v>2626</v>
      </c>
      <c r="R477" s="2" t="s">
        <v>2627</v>
      </c>
      <c r="S477" s="4">
        <v>44837</v>
      </c>
    </row>
    <row r="478" spans="1:19" ht="12.5" x14ac:dyDescent="0.25">
      <c r="A478" s="14" t="str">
        <f>HYPERLINK("https://gerandofalcoes.my.salesforce.com/0014X00002YggqEQAR", "0014X00002YggqEQAR")</f>
        <v>0014X00002YggqEQAR</v>
      </c>
      <c r="B478" s="2" t="s">
        <v>3577</v>
      </c>
      <c r="C478" s="2" t="s">
        <v>423</v>
      </c>
      <c r="D478" s="2" t="s">
        <v>2</v>
      </c>
      <c r="E478" s="2">
        <v>18.04</v>
      </c>
      <c r="F478" s="2">
        <v>16</v>
      </c>
      <c r="G478" s="2">
        <v>2</v>
      </c>
      <c r="H478" s="2">
        <v>450000</v>
      </c>
      <c r="I478" s="2">
        <v>300</v>
      </c>
      <c r="J478" s="2" t="s">
        <v>1671</v>
      </c>
      <c r="K478" s="2">
        <v>63</v>
      </c>
      <c r="L478" s="2">
        <v>10</v>
      </c>
      <c r="M478" s="2">
        <v>12</v>
      </c>
      <c r="N478" s="2">
        <v>6</v>
      </c>
      <c r="O478" s="2">
        <v>20</v>
      </c>
      <c r="P478" s="2">
        <v>15</v>
      </c>
      <c r="Q478" s="2" t="s">
        <v>3578</v>
      </c>
      <c r="R478" s="2" t="s">
        <v>3579</v>
      </c>
      <c r="S478" s="4">
        <v>44961</v>
      </c>
    </row>
    <row r="479" spans="1:19" ht="12.5" x14ac:dyDescent="0.25">
      <c r="A479" s="14" t="str">
        <f>HYPERLINK("https://gerandofalcoes.my.salesforce.com/0014P00003SGWPtQAP", "0014P00003SGWPtQAP")</f>
        <v>0014P00003SGWPtQAP</v>
      </c>
      <c r="B479" s="2" t="s">
        <v>2628</v>
      </c>
      <c r="C479" s="2" t="s">
        <v>423</v>
      </c>
      <c r="D479" s="2" t="s">
        <v>2</v>
      </c>
      <c r="E479" s="2">
        <v>18.04</v>
      </c>
      <c r="F479" s="2">
        <v>3</v>
      </c>
      <c r="G479" s="2">
        <v>0</v>
      </c>
      <c r="H479" s="2">
        <v>400000</v>
      </c>
      <c r="I479" s="2">
        <v>134</v>
      </c>
      <c r="J479" s="2" t="s">
        <v>1671</v>
      </c>
      <c r="K479" s="2">
        <v>45</v>
      </c>
      <c r="L479" s="2">
        <v>10</v>
      </c>
      <c r="M479" s="2">
        <v>5</v>
      </c>
      <c r="N479" s="2">
        <v>0</v>
      </c>
      <c r="O479" s="2">
        <v>20</v>
      </c>
      <c r="P479" s="2">
        <v>10</v>
      </c>
      <c r="Q479" s="2" t="s">
        <v>336</v>
      </c>
      <c r="R479" s="2" t="s">
        <v>336</v>
      </c>
      <c r="S479" s="4">
        <v>44837</v>
      </c>
    </row>
    <row r="480" spans="1:19" ht="12.5" x14ac:dyDescent="0.25">
      <c r="A480" s="14" t="str">
        <f>HYPERLINK("https://gerandofalcoes.my.salesforce.com/0014X00002OEuaqQAD", "0014X00002OEuaqQAD")</f>
        <v>0014X00002OEuaqQAD</v>
      </c>
      <c r="B480" s="2" t="s">
        <v>2629</v>
      </c>
      <c r="C480" s="2" t="s">
        <v>423</v>
      </c>
      <c r="D480" s="2" t="s">
        <v>2</v>
      </c>
      <c r="E480" s="2">
        <v>18</v>
      </c>
      <c r="F480" s="2">
        <v>20</v>
      </c>
      <c r="G480" s="2">
        <v>2</v>
      </c>
      <c r="H480" s="2">
        <v>3000</v>
      </c>
      <c r="I480" s="2">
        <v>300</v>
      </c>
      <c r="J480" s="2" t="s">
        <v>1671</v>
      </c>
      <c r="K480" s="2">
        <v>48</v>
      </c>
      <c r="L480" s="2">
        <v>10</v>
      </c>
      <c r="M480" s="2">
        <v>12</v>
      </c>
      <c r="N480" s="2">
        <v>6</v>
      </c>
      <c r="O480" s="2">
        <v>5</v>
      </c>
      <c r="P480" s="2">
        <v>15</v>
      </c>
      <c r="Q480" s="2" t="s">
        <v>2630</v>
      </c>
      <c r="R480" s="2" t="s">
        <v>2631</v>
      </c>
      <c r="S480" s="4">
        <v>44837</v>
      </c>
    </row>
    <row r="481" spans="1:19" ht="12.5" x14ac:dyDescent="0.25">
      <c r="A481" s="14" t="str">
        <f>HYPERLINK("https://gerandofalcoes.my.salesforce.com/0014P00003YSpA8QAL", "0014P00003YSpA8QAL")</f>
        <v>0014P00003YSpA8QAL</v>
      </c>
      <c r="B481" s="2" t="s">
        <v>2647</v>
      </c>
      <c r="C481" s="2" t="s">
        <v>1800</v>
      </c>
      <c r="D481" s="2" t="s">
        <v>2</v>
      </c>
      <c r="E481" s="2">
        <v>18</v>
      </c>
      <c r="F481" s="2">
        <v>0</v>
      </c>
      <c r="G481" s="2">
        <v>2</v>
      </c>
      <c r="H481" s="2">
        <v>0</v>
      </c>
      <c r="I481" s="2">
        <v>0</v>
      </c>
      <c r="J481" s="2" t="s">
        <v>1779</v>
      </c>
      <c r="K481" s="2">
        <v>16</v>
      </c>
      <c r="L481" s="2">
        <v>10</v>
      </c>
      <c r="M481" s="2">
        <v>0</v>
      </c>
      <c r="N481" s="2">
        <v>6</v>
      </c>
      <c r="O481" s="2">
        <v>0</v>
      </c>
      <c r="P481" s="2">
        <v>0</v>
      </c>
      <c r="Q481" s="2" t="s">
        <v>2648</v>
      </c>
      <c r="R481" s="2" t="s">
        <v>2648</v>
      </c>
      <c r="S481" s="4">
        <v>44837</v>
      </c>
    </row>
    <row r="482" spans="1:19" ht="12.5" x14ac:dyDescent="0.25">
      <c r="A482" s="14" t="str">
        <f>HYPERLINK("https://gerandofalcoes.my.salesforce.com/0014P00003YSp8pQAD", "0014P00003YSp8pQAD")</f>
        <v>0014P00003YSp8pQAD</v>
      </c>
      <c r="B482" s="2" t="s">
        <v>2644</v>
      </c>
      <c r="C482" s="2" t="s">
        <v>423</v>
      </c>
      <c r="D482" s="2" t="s">
        <v>2</v>
      </c>
      <c r="E482" s="2">
        <v>18</v>
      </c>
      <c r="F482" s="2">
        <v>0</v>
      </c>
      <c r="G482" s="2">
        <v>2</v>
      </c>
      <c r="H482" s="2">
        <v>3000</v>
      </c>
      <c r="I482" s="2">
        <v>0</v>
      </c>
      <c r="J482" s="2" t="s">
        <v>1779</v>
      </c>
      <c r="K482" s="2">
        <v>21</v>
      </c>
      <c r="L482" s="2">
        <v>10</v>
      </c>
      <c r="M482" s="2">
        <v>0</v>
      </c>
      <c r="N482" s="2">
        <v>6</v>
      </c>
      <c r="O482" s="2">
        <v>5</v>
      </c>
      <c r="P482" s="2">
        <v>0</v>
      </c>
      <c r="Q482" s="2" t="s">
        <v>2645</v>
      </c>
      <c r="R482" s="2" t="s">
        <v>2646</v>
      </c>
      <c r="S482" s="4">
        <v>44837</v>
      </c>
    </row>
    <row r="483" spans="1:19" ht="12.5" hidden="1" x14ac:dyDescent="0.25">
      <c r="A483" s="14" t="str">
        <f>HYPERLINK("https://gerandofalcoes.my.salesforce.com/0014P00003SGWPVQA5", "0014P00003SGWPVQA5")</f>
        <v>0014P00003SGWPVQA5</v>
      </c>
      <c r="B483" s="2" t="s">
        <v>2352</v>
      </c>
      <c r="C483" s="2" t="s">
        <v>1684</v>
      </c>
      <c r="D483" s="2" t="s">
        <v>2</v>
      </c>
      <c r="E483" s="2">
        <v>27</v>
      </c>
      <c r="F483" s="2">
        <v>0</v>
      </c>
      <c r="G483" s="2">
        <v>1</v>
      </c>
      <c r="H483" s="2">
        <v>2000</v>
      </c>
      <c r="I483" s="2">
        <v>70</v>
      </c>
      <c r="J483" s="2" t="s">
        <v>1779</v>
      </c>
      <c r="K483" s="2">
        <v>29</v>
      </c>
      <c r="L483" s="2">
        <v>15</v>
      </c>
      <c r="M483" s="2">
        <v>0</v>
      </c>
      <c r="N483" s="2">
        <v>4</v>
      </c>
      <c r="O483" s="2">
        <v>5</v>
      </c>
      <c r="P483" s="2">
        <v>5</v>
      </c>
      <c r="Q483" s="2" t="s">
        <v>381</v>
      </c>
      <c r="R483" s="2" t="s">
        <v>2353</v>
      </c>
      <c r="S483" s="4">
        <v>44837</v>
      </c>
    </row>
    <row r="484" spans="1:19" ht="12.5" x14ac:dyDescent="0.25">
      <c r="A484" s="14" t="str">
        <f>HYPERLINK("https://gerandofalcoes.my.salesforce.com/0014X00002VKCrLQAX", "0014X00002VKCrLQAX")</f>
        <v>0014X00002VKCrLQAX</v>
      </c>
      <c r="B484" s="2" t="s">
        <v>2637</v>
      </c>
      <c r="C484" s="2" t="s">
        <v>1800</v>
      </c>
      <c r="D484" s="2" t="s">
        <v>2</v>
      </c>
      <c r="E484" s="2">
        <v>18</v>
      </c>
      <c r="F484" s="2">
        <v>0</v>
      </c>
      <c r="G484" s="2">
        <v>4</v>
      </c>
      <c r="H484" s="2">
        <v>6.5</v>
      </c>
      <c r="I484" s="2">
        <v>45</v>
      </c>
      <c r="J484" s="2" t="s">
        <v>1779</v>
      </c>
      <c r="K484" s="2">
        <v>30</v>
      </c>
      <c r="L484" s="2">
        <v>10</v>
      </c>
      <c r="M484" s="2">
        <v>0</v>
      </c>
      <c r="N484" s="2">
        <v>10</v>
      </c>
      <c r="O484" s="2">
        <v>5</v>
      </c>
      <c r="P484" s="2">
        <v>5</v>
      </c>
      <c r="Q484" s="2" t="s">
        <v>2638</v>
      </c>
      <c r="R484" s="2" t="s">
        <v>2638</v>
      </c>
      <c r="S484" s="4">
        <v>44837</v>
      </c>
    </row>
    <row r="485" spans="1:19" ht="12.5" x14ac:dyDescent="0.25">
      <c r="A485" s="14" t="str">
        <f>HYPERLINK("https://gerandofalcoes.my.salesforce.com/0014X00002VKCouQAH", "0014X00002VKCouQAH")</f>
        <v>0014X00002VKCouQAH</v>
      </c>
      <c r="B485" s="2" t="s">
        <v>2642</v>
      </c>
      <c r="C485" s="2" t="s">
        <v>1800</v>
      </c>
      <c r="D485" s="2" t="s">
        <v>2</v>
      </c>
      <c r="E485" s="2">
        <v>18</v>
      </c>
      <c r="F485" s="2">
        <v>0</v>
      </c>
      <c r="G485" s="2">
        <v>2</v>
      </c>
      <c r="H485" s="2">
        <v>11000</v>
      </c>
      <c r="I485" s="2">
        <v>0</v>
      </c>
      <c r="J485" s="2" t="s">
        <v>1779</v>
      </c>
      <c r="K485" s="2">
        <v>21</v>
      </c>
      <c r="L485" s="2">
        <v>10</v>
      </c>
      <c r="M485" s="2">
        <v>0</v>
      </c>
      <c r="N485" s="2">
        <v>6</v>
      </c>
      <c r="O485" s="2">
        <v>5</v>
      </c>
      <c r="P485" s="2">
        <v>0</v>
      </c>
      <c r="Q485" s="2" t="s">
        <v>2643</v>
      </c>
      <c r="R485" s="2" t="s">
        <v>2643</v>
      </c>
      <c r="S485" s="4">
        <v>44837</v>
      </c>
    </row>
    <row r="486" spans="1:19" ht="12.5" hidden="1" x14ac:dyDescent="0.25">
      <c r="A486" s="14" t="str">
        <f>HYPERLINK("https://gerandofalcoes.my.salesforce.com/0014P00003YSp8gQAD", "0014P00003YSp8gQAD")</f>
        <v>0014P00003YSp8gQAD</v>
      </c>
      <c r="B486" s="2" t="s">
        <v>2635</v>
      </c>
      <c r="C486" s="2" t="s">
        <v>1684</v>
      </c>
      <c r="D486" s="2" t="s">
        <v>2</v>
      </c>
      <c r="E486" s="2">
        <v>18</v>
      </c>
      <c r="F486" s="2">
        <v>4</v>
      </c>
      <c r="G486" s="2">
        <v>2</v>
      </c>
      <c r="H486" s="2">
        <v>2000</v>
      </c>
      <c r="I486" s="2">
        <v>70</v>
      </c>
      <c r="J486" s="2" t="s">
        <v>1779</v>
      </c>
      <c r="K486" s="2">
        <v>31</v>
      </c>
      <c r="L486" s="2">
        <v>10</v>
      </c>
      <c r="M486" s="2">
        <v>5</v>
      </c>
      <c r="N486" s="2">
        <v>6</v>
      </c>
      <c r="O486" s="2">
        <v>5</v>
      </c>
      <c r="P486" s="2">
        <v>5</v>
      </c>
      <c r="Q486" s="2" t="s">
        <v>2636</v>
      </c>
      <c r="R486" s="2" t="s">
        <v>2636</v>
      </c>
      <c r="S486" s="4">
        <v>44837</v>
      </c>
    </row>
    <row r="487" spans="1:19" ht="12.5" x14ac:dyDescent="0.25">
      <c r="A487" s="14" t="str">
        <f>HYPERLINK("https://gerandofalcoes.my.salesforce.com/0014X00002VKCroQAH", "0014X00002VKCroQAH")</f>
        <v>0014X00002VKCroQAH</v>
      </c>
      <c r="B487" s="2" t="s">
        <v>2632</v>
      </c>
      <c r="C487" s="2" t="s">
        <v>1800</v>
      </c>
      <c r="D487" s="2" t="s">
        <v>2</v>
      </c>
      <c r="E487" s="2">
        <v>18</v>
      </c>
      <c r="F487" s="2">
        <v>0</v>
      </c>
      <c r="G487" s="2">
        <v>3</v>
      </c>
      <c r="H487" s="2">
        <v>8400</v>
      </c>
      <c r="I487" s="2">
        <v>100</v>
      </c>
      <c r="J487" s="2" t="s">
        <v>1779</v>
      </c>
      <c r="K487" s="2">
        <v>33</v>
      </c>
      <c r="L487" s="2">
        <v>10</v>
      </c>
      <c r="M487" s="2">
        <v>0</v>
      </c>
      <c r="N487" s="2">
        <v>8</v>
      </c>
      <c r="O487" s="2">
        <v>5</v>
      </c>
      <c r="P487" s="2">
        <v>10</v>
      </c>
      <c r="Q487" s="2" t="s">
        <v>2633</v>
      </c>
      <c r="R487" s="2" t="s">
        <v>2634</v>
      </c>
      <c r="S487" s="4">
        <v>44837</v>
      </c>
    </row>
    <row r="488" spans="1:19" ht="12.5" x14ac:dyDescent="0.25">
      <c r="A488" s="14" t="str">
        <f>HYPERLINK("https://gerandofalcoes.my.salesforce.com/0014X00002OEuauQAD", "0014X00002OEuauQAD")</f>
        <v>0014X00002OEuauQAD</v>
      </c>
      <c r="B488" s="2" t="s">
        <v>2639</v>
      </c>
      <c r="C488" s="2" t="s">
        <v>423</v>
      </c>
      <c r="D488" s="2" t="s">
        <v>2</v>
      </c>
      <c r="E488" s="2">
        <v>18</v>
      </c>
      <c r="F488" s="2">
        <v>2</v>
      </c>
      <c r="G488" s="2">
        <v>2</v>
      </c>
      <c r="H488" s="2">
        <v>5000</v>
      </c>
      <c r="I488" s="2">
        <v>14</v>
      </c>
      <c r="J488" s="2" t="s">
        <v>1779</v>
      </c>
      <c r="K488" s="2">
        <v>31</v>
      </c>
      <c r="L488" s="2">
        <v>10</v>
      </c>
      <c r="M488" s="2">
        <v>5</v>
      </c>
      <c r="N488" s="2">
        <v>6</v>
      </c>
      <c r="O488" s="2">
        <v>5</v>
      </c>
      <c r="P488" s="2">
        <v>5</v>
      </c>
      <c r="Q488" s="2" t="s">
        <v>2640</v>
      </c>
      <c r="R488" s="2" t="s">
        <v>2641</v>
      </c>
      <c r="S488" s="4">
        <v>44837</v>
      </c>
    </row>
    <row r="489" spans="1:19" ht="12.5" x14ac:dyDescent="0.25">
      <c r="A489" s="14" t="str">
        <f>HYPERLINK("https://gerandofalcoes.my.salesforce.com/0014X00002YkLeFQAV", "0014X00002YkLeFQAV")</f>
        <v>0014X00002YkLeFQAV</v>
      </c>
      <c r="B489" s="2" t="s">
        <v>3829</v>
      </c>
      <c r="C489" s="2" t="s">
        <v>423</v>
      </c>
      <c r="D489" s="2" t="s">
        <v>2</v>
      </c>
      <c r="E489" s="2">
        <v>17.97</v>
      </c>
      <c r="F489" s="2">
        <v>1</v>
      </c>
      <c r="G489" s="2">
        <v>0</v>
      </c>
      <c r="H489" s="2">
        <v>0</v>
      </c>
      <c r="I489" s="2">
        <v>1</v>
      </c>
      <c r="J489" s="2" t="s">
        <v>1779</v>
      </c>
      <c r="K489" s="2">
        <v>20</v>
      </c>
      <c r="L489" s="2">
        <v>10</v>
      </c>
      <c r="M489" s="2">
        <v>5</v>
      </c>
      <c r="N489" s="2">
        <v>0</v>
      </c>
      <c r="O489" s="2">
        <v>0</v>
      </c>
      <c r="P489" s="2">
        <v>5</v>
      </c>
      <c r="Q489" s="2" t="s">
        <v>3830</v>
      </c>
      <c r="R489" s="2" t="s">
        <v>3830</v>
      </c>
      <c r="S489" s="4">
        <v>45015</v>
      </c>
    </row>
    <row r="490" spans="1:19" ht="12.5" x14ac:dyDescent="0.25">
      <c r="A490" s="14" t="str">
        <f>HYPERLINK("https://gerandofalcoes.my.salesforce.com/0014X00002YggiVQAR", "0014X00002YggiVQAR")</f>
        <v>0014X00002YggiVQAR</v>
      </c>
      <c r="B490" s="2" t="s">
        <v>3182</v>
      </c>
      <c r="C490" s="2" t="s">
        <v>423</v>
      </c>
      <c r="D490" s="2" t="s">
        <v>2</v>
      </c>
      <c r="E490" s="2">
        <v>17.91</v>
      </c>
      <c r="F490" s="2">
        <v>10</v>
      </c>
      <c r="G490" s="2">
        <v>2</v>
      </c>
      <c r="H490" s="2">
        <v>8000</v>
      </c>
      <c r="I490" s="2">
        <v>40</v>
      </c>
      <c r="J490" s="2" t="s">
        <v>1779</v>
      </c>
      <c r="K490" s="2">
        <v>36</v>
      </c>
      <c r="L490" s="2">
        <v>10</v>
      </c>
      <c r="M490" s="2">
        <v>10</v>
      </c>
      <c r="N490" s="2">
        <v>6</v>
      </c>
      <c r="O490" s="2">
        <v>5</v>
      </c>
      <c r="P490" s="2">
        <v>5</v>
      </c>
      <c r="Q490" s="2" t="s">
        <v>3183</v>
      </c>
      <c r="R490" s="2" t="s">
        <v>3184</v>
      </c>
      <c r="S490" s="4">
        <v>44951</v>
      </c>
    </row>
    <row r="491" spans="1:19" ht="12.5" x14ac:dyDescent="0.25">
      <c r="A491" s="14" t="str">
        <f>HYPERLINK("https://gerandofalcoes.my.salesforce.com/0014X00002YggjsQAB", "0014X00002YggjsQAB")</f>
        <v>0014X00002YggjsQAB</v>
      </c>
      <c r="B491" s="2" t="s">
        <v>3610</v>
      </c>
      <c r="C491" s="2" t="s">
        <v>423</v>
      </c>
      <c r="D491" s="2" t="s">
        <v>2</v>
      </c>
      <c r="E491" s="2">
        <v>17.89</v>
      </c>
      <c r="F491" s="2">
        <v>10</v>
      </c>
      <c r="G491" s="2">
        <v>2</v>
      </c>
      <c r="H491" s="2">
        <v>40000</v>
      </c>
      <c r="I491" s="2">
        <v>65</v>
      </c>
      <c r="J491" s="2" t="s">
        <v>1671</v>
      </c>
      <c r="K491" s="2">
        <v>41</v>
      </c>
      <c r="L491" s="2">
        <v>10</v>
      </c>
      <c r="M491" s="2">
        <v>10</v>
      </c>
      <c r="N491" s="2">
        <v>6</v>
      </c>
      <c r="O491" s="2">
        <v>10</v>
      </c>
      <c r="P491" s="2">
        <v>5</v>
      </c>
      <c r="Q491" s="2" t="s">
        <v>3611</v>
      </c>
      <c r="R491" s="2" t="s">
        <v>3611</v>
      </c>
      <c r="S491" s="4">
        <v>44963</v>
      </c>
    </row>
    <row r="492" spans="1:19" ht="12.5" x14ac:dyDescent="0.25">
      <c r="A492" s="14" t="str">
        <f>HYPERLINK("https://gerandofalcoes.my.salesforce.com/0014X00002YggpAQAR", "0014X00002YggpAQAR")</f>
        <v>0014X00002YggpAQAR</v>
      </c>
      <c r="B492" s="2" t="s">
        <v>3591</v>
      </c>
      <c r="C492" s="2" t="s">
        <v>423</v>
      </c>
      <c r="D492" s="2" t="s">
        <v>2</v>
      </c>
      <c r="E492" s="2">
        <v>17.55</v>
      </c>
      <c r="F492" s="2">
        <v>17</v>
      </c>
      <c r="G492" s="2">
        <v>5</v>
      </c>
      <c r="H492" s="2">
        <v>586443</v>
      </c>
      <c r="I492" s="2">
        <v>0</v>
      </c>
      <c r="J492" s="2" t="s">
        <v>1671</v>
      </c>
      <c r="K492" s="2">
        <v>52</v>
      </c>
      <c r="L492" s="2">
        <v>10</v>
      </c>
      <c r="M492" s="2">
        <v>12</v>
      </c>
      <c r="N492" s="2">
        <v>10</v>
      </c>
      <c r="O492" s="2">
        <v>20</v>
      </c>
      <c r="P492" s="2">
        <v>0</v>
      </c>
      <c r="Q492" s="2" t="s">
        <v>3592</v>
      </c>
      <c r="R492" s="2" t="s">
        <v>3593</v>
      </c>
      <c r="S492" s="4">
        <v>44962</v>
      </c>
    </row>
    <row r="493" spans="1:19" ht="12.5" x14ac:dyDescent="0.25">
      <c r="A493" s="14" t="str">
        <f>HYPERLINK("https://gerandofalcoes.my.salesforce.com/0014X00002VKCuqQAH", "0014X00002VKCuqQAH")</f>
        <v>0014X00002VKCuqQAH</v>
      </c>
      <c r="B493" s="2" t="s">
        <v>2649</v>
      </c>
      <c r="C493" s="2" t="s">
        <v>423</v>
      </c>
      <c r="D493" s="2" t="s">
        <v>2</v>
      </c>
      <c r="E493" s="2">
        <v>17.440000000000001</v>
      </c>
      <c r="F493" s="2">
        <v>0</v>
      </c>
      <c r="G493" s="2">
        <v>3</v>
      </c>
      <c r="H493" s="2">
        <v>7019</v>
      </c>
      <c r="I493" s="2">
        <v>100</v>
      </c>
      <c r="J493" s="2" t="s">
        <v>1779</v>
      </c>
      <c r="K493" s="2">
        <v>33</v>
      </c>
      <c r="L493" s="2">
        <v>10</v>
      </c>
      <c r="M493" s="2">
        <v>0</v>
      </c>
      <c r="N493" s="2">
        <v>8</v>
      </c>
      <c r="O493" s="2">
        <v>5</v>
      </c>
      <c r="P493" s="2">
        <v>10</v>
      </c>
      <c r="Q493" s="2" t="s">
        <v>2650</v>
      </c>
      <c r="R493" s="2" t="s">
        <v>2650</v>
      </c>
      <c r="S493" s="4">
        <v>44837</v>
      </c>
    </row>
    <row r="494" spans="1:19" ht="12.5" x14ac:dyDescent="0.25">
      <c r="A494" s="14" t="str">
        <f>HYPERLINK("https://gerandofalcoes.my.salesforce.com/0014X00002VKCtWQAX", "0014X00002VKCtWQAX")</f>
        <v>0014X00002VKCtWQAX</v>
      </c>
      <c r="B494" s="2" t="s">
        <v>2651</v>
      </c>
      <c r="C494" s="2" t="s">
        <v>423</v>
      </c>
      <c r="D494" s="2" t="s">
        <v>2</v>
      </c>
      <c r="E494" s="2">
        <v>17.36</v>
      </c>
      <c r="F494" s="2">
        <v>0</v>
      </c>
      <c r="G494" s="2">
        <v>0</v>
      </c>
      <c r="H494" s="2">
        <v>1000</v>
      </c>
      <c r="I494" s="2">
        <v>150</v>
      </c>
      <c r="J494" s="2" t="s">
        <v>1779</v>
      </c>
      <c r="K494" s="2">
        <v>27</v>
      </c>
      <c r="L494" s="2">
        <v>10</v>
      </c>
      <c r="M494" s="2">
        <v>0</v>
      </c>
      <c r="N494" s="2">
        <v>0</v>
      </c>
      <c r="O494" s="2">
        <v>5</v>
      </c>
      <c r="P494" s="2">
        <v>12</v>
      </c>
      <c r="Q494" s="2" t="s">
        <v>2652</v>
      </c>
      <c r="R494" s="2" t="s">
        <v>2653</v>
      </c>
      <c r="S494" s="4">
        <v>44837</v>
      </c>
    </row>
    <row r="495" spans="1:19" ht="12.5" x14ac:dyDescent="0.25">
      <c r="A495" s="14" t="str">
        <f>HYPERLINK("https://gerandofalcoes.my.salesforce.com/0014X00002YgglwQAB", "0014X00002YgglwQAB")</f>
        <v>0014X00002YgglwQAB</v>
      </c>
      <c r="B495" s="2" t="s">
        <v>3416</v>
      </c>
      <c r="C495" s="2" t="s">
        <v>423</v>
      </c>
      <c r="D495" s="2" t="s">
        <v>2</v>
      </c>
      <c r="E495" s="2">
        <v>17.32</v>
      </c>
      <c r="F495" s="2">
        <v>6</v>
      </c>
      <c r="G495" s="2">
        <v>6</v>
      </c>
      <c r="H495" s="2">
        <v>60000</v>
      </c>
      <c r="I495" s="2">
        <v>30</v>
      </c>
      <c r="J495" s="2" t="s">
        <v>1671</v>
      </c>
      <c r="K495" s="2">
        <v>45</v>
      </c>
      <c r="L495" s="2">
        <v>10</v>
      </c>
      <c r="M495" s="2">
        <v>10</v>
      </c>
      <c r="N495" s="2">
        <v>10</v>
      </c>
      <c r="O495" s="2">
        <v>10</v>
      </c>
      <c r="P495" s="2">
        <v>5</v>
      </c>
      <c r="Q495" s="2" t="s">
        <v>3417</v>
      </c>
      <c r="R495" s="2" t="s">
        <v>3418</v>
      </c>
      <c r="S495" s="4">
        <v>44958</v>
      </c>
    </row>
    <row r="496" spans="1:19" ht="12.5" x14ac:dyDescent="0.25">
      <c r="A496" s="14" t="str">
        <f>HYPERLINK("https://gerandofalcoes.my.salesforce.com/0014X00002YggjDQAR", "0014X00002YggjDQAR")</f>
        <v>0014X00002YggjDQAR</v>
      </c>
      <c r="B496" s="2" t="s">
        <v>3419</v>
      </c>
      <c r="C496" s="2" t="s">
        <v>423</v>
      </c>
      <c r="D496" s="2" t="s">
        <v>2</v>
      </c>
      <c r="E496" s="2">
        <v>17.29</v>
      </c>
      <c r="F496" s="2">
        <v>6</v>
      </c>
      <c r="G496" s="2">
        <v>4</v>
      </c>
      <c r="H496" s="2">
        <v>2000</v>
      </c>
      <c r="I496" s="2">
        <v>60</v>
      </c>
      <c r="J496" s="2" t="s">
        <v>1671</v>
      </c>
      <c r="K496" s="2">
        <v>40</v>
      </c>
      <c r="L496" s="2">
        <v>10</v>
      </c>
      <c r="M496" s="2">
        <v>10</v>
      </c>
      <c r="N496" s="2">
        <v>10</v>
      </c>
      <c r="O496" s="2">
        <v>5</v>
      </c>
      <c r="P496" s="2">
        <v>5</v>
      </c>
      <c r="Q496" s="2" t="s">
        <v>3420</v>
      </c>
      <c r="R496" s="2" t="s">
        <v>3420</v>
      </c>
      <c r="S496" s="4">
        <v>44958</v>
      </c>
    </row>
    <row r="497" spans="1:19" ht="12.5" x14ac:dyDescent="0.25">
      <c r="A497" s="14" t="str">
        <f>HYPERLINK("https://gerandofalcoes.my.salesforce.com/0014X00002YggonQAB", "0014X00002YggonQAB")</f>
        <v>0014X00002YggonQAB</v>
      </c>
      <c r="B497" s="2" t="s">
        <v>3705</v>
      </c>
      <c r="C497" s="2" t="s">
        <v>423</v>
      </c>
      <c r="D497" s="2" t="s">
        <v>2</v>
      </c>
      <c r="E497" s="2">
        <v>17.29</v>
      </c>
      <c r="F497" s="2">
        <v>0</v>
      </c>
      <c r="G497" s="2">
        <v>2</v>
      </c>
      <c r="H497" s="2">
        <v>0</v>
      </c>
      <c r="I497" s="2">
        <v>10</v>
      </c>
      <c r="J497" s="2" t="s">
        <v>1779</v>
      </c>
      <c r="K497" s="2">
        <v>21</v>
      </c>
      <c r="L497" s="2">
        <v>10</v>
      </c>
      <c r="M497" s="2">
        <v>0</v>
      </c>
      <c r="N497" s="2">
        <v>6</v>
      </c>
      <c r="O497" s="2">
        <v>0</v>
      </c>
      <c r="P497" s="2">
        <v>5</v>
      </c>
      <c r="Q497" s="2" t="s">
        <v>3706</v>
      </c>
      <c r="R497" s="2" t="s">
        <v>3706</v>
      </c>
      <c r="S497" s="4">
        <v>44967</v>
      </c>
    </row>
    <row r="498" spans="1:19" ht="12.5" x14ac:dyDescent="0.25">
      <c r="A498" s="14" t="str">
        <f>HYPERLINK("https://gerandofalcoes.my.salesforce.com/0014X00002Yggp7QAB", "0014X00002Yggp7QAB")</f>
        <v>0014X00002Yggp7QAB</v>
      </c>
      <c r="B498" s="2" t="s">
        <v>3250</v>
      </c>
      <c r="C498" s="2" t="s">
        <v>423</v>
      </c>
      <c r="D498" s="2" t="s">
        <v>2</v>
      </c>
      <c r="E498" s="2">
        <v>17.11</v>
      </c>
      <c r="F498" s="2">
        <v>0</v>
      </c>
      <c r="G498" s="2">
        <v>3</v>
      </c>
      <c r="H498" s="2">
        <v>45500</v>
      </c>
      <c r="I498" s="2">
        <v>500</v>
      </c>
      <c r="J498" s="2" t="s">
        <v>1671</v>
      </c>
      <c r="K498" s="2">
        <v>48</v>
      </c>
      <c r="L498" s="2">
        <v>10</v>
      </c>
      <c r="M498" s="2">
        <v>0</v>
      </c>
      <c r="N498" s="2">
        <v>8</v>
      </c>
      <c r="O498" s="2">
        <v>10</v>
      </c>
      <c r="P498" s="2">
        <v>20</v>
      </c>
      <c r="Q498" s="2" t="s">
        <v>3251</v>
      </c>
      <c r="R498" s="2" t="s">
        <v>3252</v>
      </c>
      <c r="S498" s="4">
        <v>44952</v>
      </c>
    </row>
    <row r="499" spans="1:19" ht="12.5" x14ac:dyDescent="0.25">
      <c r="A499" s="14" t="str">
        <f>HYPERLINK("https://gerandofalcoes.my.salesforce.com/0014X00002UGqWjQAL", "0014X00002UGqWjQAL")</f>
        <v>0014X00002UGqWjQAL</v>
      </c>
      <c r="B499" s="2" t="s">
        <v>2654</v>
      </c>
      <c r="C499" s="2" t="s">
        <v>423</v>
      </c>
      <c r="D499" s="2" t="s">
        <v>2</v>
      </c>
      <c r="E499" s="2">
        <v>17</v>
      </c>
      <c r="F499" s="2">
        <v>0</v>
      </c>
      <c r="G499" s="2">
        <v>2</v>
      </c>
      <c r="H499" s="2">
        <v>2000</v>
      </c>
      <c r="I499" s="2">
        <v>150</v>
      </c>
      <c r="J499" s="2" t="s">
        <v>1779</v>
      </c>
      <c r="K499" s="2">
        <v>33</v>
      </c>
      <c r="L499" s="2">
        <v>10</v>
      </c>
      <c r="M499" s="2">
        <v>0</v>
      </c>
      <c r="N499" s="2">
        <v>6</v>
      </c>
      <c r="O499" s="2">
        <v>5</v>
      </c>
      <c r="P499" s="2">
        <v>12</v>
      </c>
      <c r="Q499" s="2" t="s">
        <v>2655</v>
      </c>
      <c r="R499" s="2" t="s">
        <v>2656</v>
      </c>
      <c r="S499" s="4">
        <v>44837</v>
      </c>
    </row>
    <row r="500" spans="1:19" ht="12.5" x14ac:dyDescent="0.25">
      <c r="A500" s="14" t="str">
        <f>HYPERLINK("https://gerandofalcoes.my.salesforce.com/0014X00002QTWZVQA5", "0014X00002QTWZVQA5")</f>
        <v>0014X00002QTWZVQA5</v>
      </c>
      <c r="B500" s="2" t="s">
        <v>2662</v>
      </c>
      <c r="C500" s="2" t="s">
        <v>1800</v>
      </c>
      <c r="D500" s="2" t="s">
        <v>2</v>
      </c>
      <c r="E500" s="2">
        <v>17</v>
      </c>
      <c r="F500" s="2">
        <v>4</v>
      </c>
      <c r="G500" s="2">
        <v>3</v>
      </c>
      <c r="H500" s="2">
        <v>69000</v>
      </c>
      <c r="I500" s="2">
        <v>35</v>
      </c>
      <c r="J500" s="2" t="s">
        <v>1779</v>
      </c>
      <c r="K500" s="2">
        <v>38</v>
      </c>
      <c r="L500" s="2">
        <v>10</v>
      </c>
      <c r="M500" s="2">
        <v>5</v>
      </c>
      <c r="N500" s="2">
        <v>8</v>
      </c>
      <c r="O500" s="2">
        <v>10</v>
      </c>
      <c r="P500" s="2">
        <v>5</v>
      </c>
      <c r="Q500" s="2" t="s">
        <v>2663</v>
      </c>
      <c r="R500" s="2" t="s">
        <v>2664</v>
      </c>
      <c r="S500" s="4">
        <v>44837</v>
      </c>
    </row>
    <row r="501" spans="1:19" ht="12.5" x14ac:dyDescent="0.25">
      <c r="A501" s="14" t="str">
        <f>HYPERLINK("https://gerandofalcoes.my.salesforce.com/0014X00002VKCtJQAX", "0014X00002VKCtJQAX")</f>
        <v>0014X00002VKCtJQAX</v>
      </c>
      <c r="B501" s="2" t="s">
        <v>2672</v>
      </c>
      <c r="C501" s="2" t="s">
        <v>423</v>
      </c>
      <c r="D501" s="2" t="s">
        <v>2</v>
      </c>
      <c r="E501" s="2">
        <v>17</v>
      </c>
      <c r="F501" s="2">
        <v>0</v>
      </c>
      <c r="G501" s="2">
        <v>3</v>
      </c>
      <c r="H501" s="2">
        <v>0</v>
      </c>
      <c r="I501" s="2">
        <v>0</v>
      </c>
      <c r="J501" s="2" t="s">
        <v>1779</v>
      </c>
      <c r="K501" s="2">
        <v>18</v>
      </c>
      <c r="L501" s="2">
        <v>10</v>
      </c>
      <c r="M501" s="2">
        <v>0</v>
      </c>
      <c r="N501" s="2">
        <v>8</v>
      </c>
      <c r="O501" s="2">
        <v>0</v>
      </c>
      <c r="P501" s="2">
        <v>0</v>
      </c>
      <c r="Q501" s="2" t="s">
        <v>2673</v>
      </c>
      <c r="R501" s="2" t="s">
        <v>2674</v>
      </c>
      <c r="S501" s="4">
        <v>44837</v>
      </c>
    </row>
    <row r="502" spans="1:19" ht="12.5" x14ac:dyDescent="0.25">
      <c r="A502" s="14" t="str">
        <f>HYPERLINK("https://gerandofalcoes.my.salesforce.com/0014X00002VKCsGQAX", "0014X00002VKCsGQAX")</f>
        <v>0014X00002VKCsGQAX</v>
      </c>
      <c r="B502" s="2" t="s">
        <v>2657</v>
      </c>
      <c r="C502" s="2" t="s">
        <v>423</v>
      </c>
      <c r="D502" s="2" t="s">
        <v>2</v>
      </c>
      <c r="E502" s="2">
        <v>17</v>
      </c>
      <c r="F502" s="2">
        <v>0</v>
      </c>
      <c r="G502" s="2">
        <v>2</v>
      </c>
      <c r="H502" s="2">
        <v>50</v>
      </c>
      <c r="I502" s="2">
        <v>100</v>
      </c>
      <c r="J502" s="2" t="s">
        <v>1779</v>
      </c>
      <c r="K502" s="2">
        <v>31</v>
      </c>
      <c r="L502" s="2">
        <v>10</v>
      </c>
      <c r="M502" s="2">
        <v>0</v>
      </c>
      <c r="N502" s="2">
        <v>6</v>
      </c>
      <c r="O502" s="2">
        <v>5</v>
      </c>
      <c r="P502" s="2">
        <v>10</v>
      </c>
      <c r="Q502" s="2" t="s">
        <v>2658</v>
      </c>
      <c r="R502" s="2" t="s">
        <v>2659</v>
      </c>
      <c r="S502" s="4">
        <v>44837</v>
      </c>
    </row>
    <row r="503" spans="1:19" ht="12.5" x14ac:dyDescent="0.25">
      <c r="A503" s="14" t="str">
        <f>HYPERLINK("https://gerandofalcoes.my.salesforce.com/0014X00002VKCslQAH", "0014X00002VKCslQAH")</f>
        <v>0014X00002VKCslQAH</v>
      </c>
      <c r="B503" s="2" t="s">
        <v>2667</v>
      </c>
      <c r="C503" s="2" t="s">
        <v>423</v>
      </c>
      <c r="D503" s="2" t="s">
        <v>2</v>
      </c>
      <c r="E503" s="2">
        <v>17</v>
      </c>
      <c r="F503" s="2">
        <v>0</v>
      </c>
      <c r="G503" s="2">
        <v>2</v>
      </c>
      <c r="H503" s="2">
        <v>18000</v>
      </c>
      <c r="I503" s="2">
        <v>10</v>
      </c>
      <c r="J503" s="2" t="s">
        <v>1779</v>
      </c>
      <c r="K503" s="2">
        <v>26</v>
      </c>
      <c r="L503" s="2">
        <v>10</v>
      </c>
      <c r="M503" s="2">
        <v>0</v>
      </c>
      <c r="N503" s="2">
        <v>6</v>
      </c>
      <c r="O503" s="2">
        <v>5</v>
      </c>
      <c r="P503" s="2">
        <v>5</v>
      </c>
      <c r="Q503" s="2" t="s">
        <v>2668</v>
      </c>
      <c r="R503" s="2" t="s">
        <v>2669</v>
      </c>
      <c r="S503" s="4">
        <v>44837</v>
      </c>
    </row>
    <row r="504" spans="1:19" ht="12.5" x14ac:dyDescent="0.25">
      <c r="A504" s="14" t="str">
        <f>HYPERLINK("https://gerandofalcoes.my.salesforce.com/0014X00002VKCtVQAX", "0014X00002VKCtVQAX")</f>
        <v>0014X00002VKCtVQAX</v>
      </c>
      <c r="B504" s="2" t="s">
        <v>2665</v>
      </c>
      <c r="C504" s="2" t="s">
        <v>1800</v>
      </c>
      <c r="D504" s="2" t="s">
        <v>2</v>
      </c>
      <c r="E504" s="2">
        <v>17</v>
      </c>
      <c r="F504" s="2">
        <v>8</v>
      </c>
      <c r="G504" s="2">
        <v>2</v>
      </c>
      <c r="H504" s="2">
        <v>8000</v>
      </c>
      <c r="I504" s="2">
        <v>16</v>
      </c>
      <c r="J504" s="2" t="s">
        <v>1779</v>
      </c>
      <c r="K504" s="2">
        <v>36</v>
      </c>
      <c r="L504" s="2">
        <v>10</v>
      </c>
      <c r="M504" s="2">
        <v>10</v>
      </c>
      <c r="N504" s="2">
        <v>6</v>
      </c>
      <c r="O504" s="2">
        <v>5</v>
      </c>
      <c r="P504" s="2">
        <v>5</v>
      </c>
      <c r="Q504" s="2" t="s">
        <v>2666</v>
      </c>
      <c r="R504" s="2" t="s">
        <v>2666</v>
      </c>
      <c r="S504" s="4">
        <v>44837</v>
      </c>
    </row>
    <row r="505" spans="1:19" ht="12.5" x14ac:dyDescent="0.25">
      <c r="A505" s="14" t="str">
        <f>HYPERLINK("https://gerandofalcoes.my.salesforce.com/0014X00002VKCuVQAX", "0014X00002VKCuVQAX")</f>
        <v>0014X00002VKCuVQAX</v>
      </c>
      <c r="B505" s="2" t="s">
        <v>2675</v>
      </c>
      <c r="C505" s="2" t="s">
        <v>1800</v>
      </c>
      <c r="D505" s="2" t="s">
        <v>2</v>
      </c>
      <c r="E505" s="2">
        <v>17</v>
      </c>
      <c r="F505" s="2">
        <v>0</v>
      </c>
      <c r="G505" s="2">
        <v>2</v>
      </c>
      <c r="H505" s="2">
        <v>12000</v>
      </c>
      <c r="I505" s="2">
        <v>0</v>
      </c>
      <c r="J505" s="2" t="s">
        <v>1779</v>
      </c>
      <c r="K505" s="2">
        <v>21</v>
      </c>
      <c r="L505" s="2">
        <v>10</v>
      </c>
      <c r="M505" s="2">
        <v>0</v>
      </c>
      <c r="N505" s="2">
        <v>6</v>
      </c>
      <c r="O505" s="2">
        <v>5</v>
      </c>
      <c r="P505" s="2">
        <v>0</v>
      </c>
      <c r="Q505" s="2" t="s">
        <v>2676</v>
      </c>
      <c r="R505" s="2" t="s">
        <v>2676</v>
      </c>
      <c r="S505" s="4">
        <v>44837</v>
      </c>
    </row>
    <row r="506" spans="1:19" ht="12.5" x14ac:dyDescent="0.25">
      <c r="A506" s="14" t="str">
        <f>HYPERLINK("https://gerandofalcoes.my.salesforce.com/0014X00002VKCpMQAX", "0014X00002VKCpMQAX")</f>
        <v>0014X00002VKCpMQAX</v>
      </c>
      <c r="B506" s="2" t="s">
        <v>2660</v>
      </c>
      <c r="C506" s="2" t="s">
        <v>1800</v>
      </c>
      <c r="D506" s="2" t="s">
        <v>2</v>
      </c>
      <c r="E506" s="2">
        <v>17</v>
      </c>
      <c r="F506" s="2">
        <v>0</v>
      </c>
      <c r="G506" s="2">
        <v>2</v>
      </c>
      <c r="H506" s="2">
        <v>6000</v>
      </c>
      <c r="I506" s="2">
        <v>90</v>
      </c>
      <c r="J506" s="2" t="s">
        <v>1779</v>
      </c>
      <c r="K506" s="2">
        <v>31</v>
      </c>
      <c r="L506" s="2">
        <v>10</v>
      </c>
      <c r="M506" s="2">
        <v>0</v>
      </c>
      <c r="N506" s="2">
        <v>6</v>
      </c>
      <c r="O506" s="2">
        <v>5</v>
      </c>
      <c r="P506" s="2">
        <v>10</v>
      </c>
      <c r="Q506" s="2" t="s">
        <v>2661</v>
      </c>
      <c r="R506" s="2" t="s">
        <v>2661</v>
      </c>
      <c r="S506" s="4">
        <v>44837</v>
      </c>
    </row>
    <row r="507" spans="1:19" ht="12.5" x14ac:dyDescent="0.25">
      <c r="A507" s="14" t="str">
        <f>HYPERLINK("https://gerandofalcoes.my.salesforce.com/0014X00002VKCrgQAH", "0014X00002VKCrgQAH")</f>
        <v>0014X00002VKCrgQAH</v>
      </c>
      <c r="B507" s="2" t="s">
        <v>3831</v>
      </c>
      <c r="C507" s="2" t="s">
        <v>423</v>
      </c>
      <c r="D507" s="2" t="s">
        <v>2</v>
      </c>
      <c r="E507" s="2">
        <v>17</v>
      </c>
      <c r="F507" s="2">
        <v>0</v>
      </c>
      <c r="G507" s="2">
        <v>1</v>
      </c>
      <c r="H507" s="2">
        <v>0</v>
      </c>
      <c r="I507" s="2">
        <v>22</v>
      </c>
      <c r="J507" s="2" t="s">
        <v>1779</v>
      </c>
      <c r="K507" s="2">
        <v>19</v>
      </c>
      <c r="L507" s="2">
        <v>10</v>
      </c>
      <c r="M507" s="2">
        <v>0</v>
      </c>
      <c r="N507" s="2">
        <v>4</v>
      </c>
      <c r="O507" s="2">
        <v>0</v>
      </c>
      <c r="P507" s="2">
        <v>5</v>
      </c>
      <c r="Q507" s="2" t="s">
        <v>3832</v>
      </c>
      <c r="R507" s="2" t="s">
        <v>3832</v>
      </c>
      <c r="S507" s="4">
        <v>45015</v>
      </c>
    </row>
    <row r="508" spans="1:19" ht="12.5" x14ac:dyDescent="0.25">
      <c r="A508" s="14" t="str">
        <f>HYPERLINK("https://gerandofalcoes.my.salesforce.com/0014X00002VKD06QAH", "0014X00002VKD06QAH")</f>
        <v>0014X00002VKD06QAH</v>
      </c>
      <c r="B508" s="2" t="s">
        <v>2677</v>
      </c>
      <c r="C508" s="2" t="s">
        <v>423</v>
      </c>
      <c r="D508" s="2" t="s">
        <v>2</v>
      </c>
      <c r="E508" s="2">
        <v>16.739999999999998</v>
      </c>
      <c r="F508" s="2">
        <v>17</v>
      </c>
      <c r="G508" s="2">
        <v>4</v>
      </c>
      <c r="H508" s="2">
        <v>56138481</v>
      </c>
      <c r="I508" s="2">
        <v>74</v>
      </c>
      <c r="J508" s="2" t="s">
        <v>1671</v>
      </c>
      <c r="K508" s="2">
        <v>62</v>
      </c>
      <c r="L508" s="2">
        <v>10</v>
      </c>
      <c r="M508" s="2">
        <v>12</v>
      </c>
      <c r="N508" s="2">
        <v>10</v>
      </c>
      <c r="O508" s="2">
        <v>25</v>
      </c>
      <c r="P508" s="2">
        <v>5</v>
      </c>
      <c r="Q508" s="2" t="s">
        <v>2678</v>
      </c>
      <c r="R508" s="2" t="s">
        <v>2679</v>
      </c>
      <c r="S508" s="4">
        <v>44837</v>
      </c>
    </row>
    <row r="509" spans="1:19" ht="12.5" x14ac:dyDescent="0.25">
      <c r="A509" s="14" t="str">
        <f>HYPERLINK("https://gerandofalcoes.my.salesforce.com/0014X00002YggkaQAB", "0014X00002YggkaQAB")</f>
        <v>0014X00002YggkaQAB</v>
      </c>
      <c r="B509" s="2" t="s">
        <v>3253</v>
      </c>
      <c r="C509" s="2" t="s">
        <v>423</v>
      </c>
      <c r="D509" s="2" t="s">
        <v>2</v>
      </c>
      <c r="E509" s="2">
        <v>16.440000000000001</v>
      </c>
      <c r="F509" s="2">
        <v>0</v>
      </c>
      <c r="G509" s="2">
        <v>2</v>
      </c>
      <c r="H509" s="2">
        <v>0</v>
      </c>
      <c r="I509" s="2">
        <v>40</v>
      </c>
      <c r="J509" s="2" t="s">
        <v>1779</v>
      </c>
      <c r="K509" s="2">
        <v>21</v>
      </c>
      <c r="L509" s="2">
        <v>10</v>
      </c>
      <c r="M509" s="2">
        <v>0</v>
      </c>
      <c r="N509" s="2">
        <v>6</v>
      </c>
      <c r="O509" s="2">
        <v>0</v>
      </c>
      <c r="P509" s="2">
        <v>5</v>
      </c>
      <c r="Q509" s="2" t="s">
        <v>3254</v>
      </c>
      <c r="R509" s="2" t="s">
        <v>3254</v>
      </c>
      <c r="S509" s="4">
        <v>44952</v>
      </c>
    </row>
    <row r="510" spans="1:19" ht="12.5" x14ac:dyDescent="0.25">
      <c r="A510" s="14" t="str">
        <f>HYPERLINK("https://gerandofalcoes.my.salesforce.com/0014P00003YSp7iQAD", "0014P00003YSp7iQAD")</f>
        <v>0014P00003YSp7iQAD</v>
      </c>
      <c r="B510" s="2" t="s">
        <v>2680</v>
      </c>
      <c r="C510" s="2" t="s">
        <v>423</v>
      </c>
      <c r="D510" s="2" t="s">
        <v>2</v>
      </c>
      <c r="E510" s="2">
        <v>16.309999999999999</v>
      </c>
      <c r="F510" s="2">
        <v>0</v>
      </c>
      <c r="G510" s="2">
        <v>1</v>
      </c>
      <c r="H510" s="2">
        <v>2000</v>
      </c>
      <c r="I510" s="2">
        <v>300</v>
      </c>
      <c r="J510" s="2" t="s">
        <v>1779</v>
      </c>
      <c r="K510" s="2">
        <v>34</v>
      </c>
      <c r="L510" s="2">
        <v>10</v>
      </c>
      <c r="M510" s="2">
        <v>0</v>
      </c>
      <c r="N510" s="2">
        <v>4</v>
      </c>
      <c r="O510" s="2">
        <v>5</v>
      </c>
      <c r="P510" s="2">
        <v>15</v>
      </c>
      <c r="Q510" s="2" t="s">
        <v>2681</v>
      </c>
      <c r="R510" s="2" t="s">
        <v>2682</v>
      </c>
      <c r="S510" s="4">
        <v>44837</v>
      </c>
    </row>
    <row r="511" spans="1:19" ht="12.5" x14ac:dyDescent="0.25">
      <c r="A511" s="14" t="str">
        <f>HYPERLINK("https://gerandofalcoes.my.salesforce.com/0014X00002VKCqjQAH", "0014X00002VKCqjQAH")</f>
        <v>0014X00002VKCqjQAH</v>
      </c>
      <c r="B511" s="2" t="s">
        <v>2683</v>
      </c>
      <c r="C511" s="2" t="s">
        <v>423</v>
      </c>
      <c r="D511" s="2" t="s">
        <v>2</v>
      </c>
      <c r="E511" s="2">
        <v>16.13</v>
      </c>
      <c r="F511" s="2">
        <v>0</v>
      </c>
      <c r="G511" s="2">
        <v>3</v>
      </c>
      <c r="H511" s="2">
        <v>8000</v>
      </c>
      <c r="I511" s="2">
        <v>200</v>
      </c>
      <c r="J511" s="2" t="s">
        <v>1779</v>
      </c>
      <c r="K511" s="2">
        <v>35</v>
      </c>
      <c r="L511" s="2">
        <v>10</v>
      </c>
      <c r="M511" s="2">
        <v>0</v>
      </c>
      <c r="N511" s="2">
        <v>8</v>
      </c>
      <c r="O511" s="2">
        <v>5</v>
      </c>
      <c r="P511" s="2">
        <v>12</v>
      </c>
      <c r="Q511" s="2" t="s">
        <v>2684</v>
      </c>
      <c r="R511" s="2" t="s">
        <v>2685</v>
      </c>
      <c r="S511" s="4">
        <v>44837</v>
      </c>
    </row>
    <row r="512" spans="1:19" ht="12.5" x14ac:dyDescent="0.25">
      <c r="A512" s="14" t="str">
        <f>HYPERLINK("https://gerandofalcoes.my.salesforce.com/0014X00002Yggr1QAB", "0014X00002Yggr1QAB")</f>
        <v>0014X00002Yggr1QAB</v>
      </c>
      <c r="B512" s="2" t="s">
        <v>3002</v>
      </c>
      <c r="C512" s="2" t="s">
        <v>423</v>
      </c>
      <c r="D512" s="2" t="s">
        <v>2</v>
      </c>
      <c r="E512" s="2">
        <v>16.079999999999998</v>
      </c>
      <c r="F512" s="2">
        <v>24</v>
      </c>
      <c r="G512" s="2">
        <v>5</v>
      </c>
      <c r="H512" s="2">
        <v>35000</v>
      </c>
      <c r="I512" s="2">
        <v>85</v>
      </c>
      <c r="J512" s="2" t="s">
        <v>1671</v>
      </c>
      <c r="K512" s="2">
        <v>52</v>
      </c>
      <c r="L512" s="2">
        <v>10</v>
      </c>
      <c r="M512" s="2">
        <v>12</v>
      </c>
      <c r="N512" s="2">
        <v>10</v>
      </c>
      <c r="O512" s="2">
        <v>10</v>
      </c>
      <c r="P512" s="2">
        <v>10</v>
      </c>
      <c r="Q512" s="2" t="s">
        <v>3003</v>
      </c>
      <c r="R512" s="2" t="s">
        <v>3004</v>
      </c>
      <c r="S512" s="4">
        <v>44944</v>
      </c>
    </row>
    <row r="513" spans="1:19" ht="12.5" x14ac:dyDescent="0.25">
      <c r="A513" s="14" t="str">
        <f>HYPERLINK("https://gerandofalcoes.my.salesforce.com/0014X00002VKCpcQAH", "0014X00002VKCpcQAH")</f>
        <v>0014X00002VKCpcQAH</v>
      </c>
      <c r="B513" s="2" t="s">
        <v>2689</v>
      </c>
      <c r="C513" s="2" t="s">
        <v>1800</v>
      </c>
      <c r="D513" s="2" t="s">
        <v>2</v>
      </c>
      <c r="E513" s="2">
        <v>16</v>
      </c>
      <c r="F513" s="2">
        <v>0</v>
      </c>
      <c r="G513" s="2">
        <v>2</v>
      </c>
      <c r="H513" s="2">
        <v>98000</v>
      </c>
      <c r="I513" s="2">
        <v>20</v>
      </c>
      <c r="J513" s="2" t="s">
        <v>1779</v>
      </c>
      <c r="K513" s="2">
        <v>31</v>
      </c>
      <c r="L513" s="2">
        <v>10</v>
      </c>
      <c r="M513" s="2">
        <v>0</v>
      </c>
      <c r="N513" s="2">
        <v>6</v>
      </c>
      <c r="O513" s="2">
        <v>10</v>
      </c>
      <c r="P513" s="2">
        <v>5</v>
      </c>
      <c r="Q513" s="2" t="s">
        <v>2690</v>
      </c>
      <c r="R513" s="2" t="s">
        <v>2690</v>
      </c>
      <c r="S513" s="4">
        <v>44837</v>
      </c>
    </row>
    <row r="514" spans="1:19" ht="12.5" x14ac:dyDescent="0.25">
      <c r="A514" s="14" t="str">
        <f>HYPERLINK("https://gerandofalcoes.my.salesforce.com/0014P00003YSp8wQAD", "0014P00003YSp8wQAD")</f>
        <v>0014P00003YSp8wQAD</v>
      </c>
      <c r="B514" s="2" t="s">
        <v>2686</v>
      </c>
      <c r="C514" s="2" t="s">
        <v>423</v>
      </c>
      <c r="D514" s="2" t="s">
        <v>2</v>
      </c>
      <c r="E514" s="2">
        <v>16</v>
      </c>
      <c r="F514" s="2">
        <v>8</v>
      </c>
      <c r="G514" s="2">
        <v>2</v>
      </c>
      <c r="H514" s="2">
        <v>55000</v>
      </c>
      <c r="I514" s="2">
        <v>3000</v>
      </c>
      <c r="J514" s="2" t="s">
        <v>1671</v>
      </c>
      <c r="K514" s="2">
        <v>56</v>
      </c>
      <c r="L514" s="2">
        <v>10</v>
      </c>
      <c r="M514" s="2">
        <v>10</v>
      </c>
      <c r="N514" s="2">
        <v>6</v>
      </c>
      <c r="O514" s="2">
        <v>10</v>
      </c>
      <c r="P514" s="2">
        <v>20</v>
      </c>
      <c r="Q514" s="2" t="s">
        <v>2687</v>
      </c>
      <c r="R514" s="2" t="s">
        <v>2688</v>
      </c>
      <c r="S514" s="4">
        <v>44837</v>
      </c>
    </row>
    <row r="515" spans="1:19" ht="12.5" hidden="1" x14ac:dyDescent="0.25">
      <c r="A515" s="14" t="str">
        <f>HYPERLINK("https://gerandofalcoes.my.salesforce.com/0014P00003SGWPUQA5", "0014P00003SGWPUQA5")</f>
        <v>0014P00003SGWPUQA5</v>
      </c>
      <c r="B515" s="2" t="s">
        <v>379</v>
      </c>
      <c r="C515" s="2" t="s">
        <v>1684</v>
      </c>
      <c r="D515" s="2" t="s">
        <v>2</v>
      </c>
      <c r="E515" s="2">
        <v>48.28</v>
      </c>
      <c r="F515" s="2">
        <v>0</v>
      </c>
      <c r="G515" s="2">
        <v>3</v>
      </c>
      <c r="H515" s="2">
        <v>88255</v>
      </c>
      <c r="I515" s="2">
        <v>60</v>
      </c>
      <c r="J515" s="2" t="s">
        <v>1779</v>
      </c>
      <c r="K515" s="2">
        <v>38</v>
      </c>
      <c r="L515" s="2">
        <v>15</v>
      </c>
      <c r="M515" s="2">
        <v>0</v>
      </c>
      <c r="N515" s="2">
        <v>8</v>
      </c>
      <c r="O515" s="2">
        <v>10</v>
      </c>
      <c r="P515" s="2">
        <v>5</v>
      </c>
      <c r="Q515" s="2" t="s">
        <v>380</v>
      </c>
      <c r="R515" s="2" t="s">
        <v>1595</v>
      </c>
      <c r="S515" s="4">
        <v>44837</v>
      </c>
    </row>
    <row r="516" spans="1:19" ht="12.5" x14ac:dyDescent="0.25">
      <c r="A516" s="14" t="str">
        <f>HYPERLINK("https://gerandofalcoes.my.salesforce.com/0014P00003YSp7OQAT", "0014P00003YSp7OQAT")</f>
        <v>0014P00003YSp7OQAT</v>
      </c>
      <c r="B516" s="2" t="s">
        <v>2694</v>
      </c>
      <c r="C516" s="2" t="s">
        <v>423</v>
      </c>
      <c r="D516" s="2" t="s">
        <v>2</v>
      </c>
      <c r="E516" s="2">
        <v>15.95</v>
      </c>
      <c r="F516" s="2">
        <v>5</v>
      </c>
      <c r="G516" s="2">
        <v>1</v>
      </c>
      <c r="H516" s="2">
        <v>20785</v>
      </c>
      <c r="I516" s="2">
        <v>20</v>
      </c>
      <c r="J516" s="2" t="s">
        <v>1779</v>
      </c>
      <c r="K516" s="2">
        <v>29</v>
      </c>
      <c r="L516" s="2">
        <v>10</v>
      </c>
      <c r="M516" s="2">
        <v>5</v>
      </c>
      <c r="N516" s="2">
        <v>4</v>
      </c>
      <c r="O516" s="2">
        <v>5</v>
      </c>
      <c r="P516" s="2">
        <v>5</v>
      </c>
      <c r="Q516" s="2" t="s">
        <v>2695</v>
      </c>
      <c r="R516" s="2" t="s">
        <v>2696</v>
      </c>
      <c r="S516" s="4">
        <v>44837</v>
      </c>
    </row>
    <row r="517" spans="1:19" ht="12.5" x14ac:dyDescent="0.25">
      <c r="A517" s="14" t="str">
        <f>HYPERLINK("https://gerandofalcoes.my.salesforce.com/0014X00002YggoVQAR", "0014X00002YggoVQAR")</f>
        <v>0014X00002YggoVQAR</v>
      </c>
      <c r="B517" s="2" t="s">
        <v>3101</v>
      </c>
      <c r="C517" s="2" t="s">
        <v>423</v>
      </c>
      <c r="D517" s="2" t="s">
        <v>2</v>
      </c>
      <c r="E517" s="2">
        <v>15.74</v>
      </c>
      <c r="F517" s="2">
        <v>0</v>
      </c>
      <c r="G517" s="2">
        <v>4</v>
      </c>
      <c r="H517" s="2">
        <v>300</v>
      </c>
      <c r="I517" s="2">
        <v>30</v>
      </c>
      <c r="J517" s="2" t="s">
        <v>1779</v>
      </c>
      <c r="K517" s="2">
        <v>30</v>
      </c>
      <c r="L517" s="2">
        <v>10</v>
      </c>
      <c r="M517" s="2">
        <v>0</v>
      </c>
      <c r="N517" s="2">
        <v>10</v>
      </c>
      <c r="O517" s="2">
        <v>5</v>
      </c>
      <c r="P517" s="2">
        <v>5</v>
      </c>
      <c r="Q517" s="2" t="s">
        <v>3102</v>
      </c>
      <c r="R517" s="2" t="s">
        <v>3102</v>
      </c>
      <c r="S517" s="4">
        <v>44948</v>
      </c>
    </row>
    <row r="518" spans="1:19" ht="12.5" x14ac:dyDescent="0.25">
      <c r="A518" s="14" t="str">
        <f>HYPERLINK("https://gerandofalcoes.my.salesforce.com/0014X00002YgghyQAB", "0014X00002YgghyQAB")</f>
        <v>0014X00002YgghyQAB</v>
      </c>
      <c r="B518" s="2" t="s">
        <v>3421</v>
      </c>
      <c r="C518" s="2" t="s">
        <v>423</v>
      </c>
      <c r="D518" s="2" t="s">
        <v>2</v>
      </c>
      <c r="E518" s="2">
        <v>15.72</v>
      </c>
      <c r="F518" s="2">
        <v>3</v>
      </c>
      <c r="G518" s="2">
        <v>4</v>
      </c>
      <c r="H518" s="2">
        <v>50000</v>
      </c>
      <c r="I518" s="2">
        <v>100</v>
      </c>
      <c r="J518" s="2" t="s">
        <v>1671</v>
      </c>
      <c r="K518" s="2">
        <v>45</v>
      </c>
      <c r="L518" s="2">
        <v>10</v>
      </c>
      <c r="M518" s="2">
        <v>5</v>
      </c>
      <c r="N518" s="2">
        <v>10</v>
      </c>
      <c r="O518" s="2">
        <v>10</v>
      </c>
      <c r="P518" s="2">
        <v>10</v>
      </c>
      <c r="Q518" s="2" t="s">
        <v>3422</v>
      </c>
      <c r="R518" s="2" t="s">
        <v>3423</v>
      </c>
      <c r="S518" s="4">
        <v>44958</v>
      </c>
    </row>
    <row r="519" spans="1:19" ht="12.5" x14ac:dyDescent="0.25">
      <c r="A519" s="14" t="str">
        <f>HYPERLINK("https://gerandofalcoes.my.salesforce.com/0014P00003YSp91QAD", "0014P00003YSp91QAD")</f>
        <v>0014P00003YSp91QAD</v>
      </c>
      <c r="B519" s="2" t="s">
        <v>2697</v>
      </c>
      <c r="C519" s="2" t="s">
        <v>423</v>
      </c>
      <c r="D519" s="2" t="s">
        <v>2</v>
      </c>
      <c r="E519" s="2">
        <v>15.63</v>
      </c>
      <c r="F519" s="2">
        <v>8</v>
      </c>
      <c r="G519" s="2">
        <v>1</v>
      </c>
      <c r="H519" s="2">
        <v>24000</v>
      </c>
      <c r="I519" s="2">
        <v>200</v>
      </c>
      <c r="J519" s="2" t="s">
        <v>1671</v>
      </c>
      <c r="K519" s="2">
        <v>41</v>
      </c>
      <c r="L519" s="2">
        <v>10</v>
      </c>
      <c r="M519" s="2">
        <v>10</v>
      </c>
      <c r="N519" s="2">
        <v>4</v>
      </c>
      <c r="O519" s="2">
        <v>5</v>
      </c>
      <c r="P519" s="2">
        <v>12</v>
      </c>
      <c r="Q519" s="2" t="s">
        <v>2698</v>
      </c>
      <c r="R519" s="2" t="s">
        <v>2699</v>
      </c>
      <c r="S519" s="4">
        <v>44837</v>
      </c>
    </row>
    <row r="520" spans="1:19" ht="12.5" hidden="1" x14ac:dyDescent="0.25">
      <c r="A520" s="14" t="str">
        <f>HYPERLINK("https://gerandofalcoes.my.salesforce.com/0014P00003YSp8FQAT", "0014P00003YSp8FQAT")</f>
        <v>0014P00003YSp8FQAT</v>
      </c>
      <c r="B520" s="2" t="s">
        <v>2178</v>
      </c>
      <c r="C520" s="2" t="s">
        <v>1684</v>
      </c>
      <c r="D520" s="2" t="s">
        <v>2</v>
      </c>
      <c r="E520" s="2">
        <v>33</v>
      </c>
      <c r="F520" s="2">
        <v>10</v>
      </c>
      <c r="G520" s="2">
        <v>0</v>
      </c>
      <c r="H520" s="2">
        <v>0</v>
      </c>
      <c r="I520" s="2">
        <v>60</v>
      </c>
      <c r="J520" s="2" t="s">
        <v>1779</v>
      </c>
      <c r="K520" s="2">
        <v>30</v>
      </c>
      <c r="L520" s="2">
        <v>15</v>
      </c>
      <c r="M520" s="2">
        <v>10</v>
      </c>
      <c r="N520" s="2">
        <v>0</v>
      </c>
      <c r="O520" s="2">
        <v>0</v>
      </c>
      <c r="P520" s="2">
        <v>5</v>
      </c>
      <c r="Q520" s="2" t="s">
        <v>2179</v>
      </c>
      <c r="R520" s="2" t="s">
        <v>2179</v>
      </c>
      <c r="S520" s="4">
        <v>44837</v>
      </c>
    </row>
    <row r="521" spans="1:19" ht="12.5" x14ac:dyDescent="0.25">
      <c r="A521" s="14" t="str">
        <f>HYPERLINK("https://gerandofalcoes.my.salesforce.com/0014X00002YggqaQAB", "0014X00002YggqaQAB")</f>
        <v>0014X00002YggqaQAB</v>
      </c>
      <c r="B521" s="2" t="s">
        <v>3424</v>
      </c>
      <c r="C521" s="2" t="s">
        <v>423</v>
      </c>
      <c r="D521" s="2" t="s">
        <v>2</v>
      </c>
      <c r="E521" s="2">
        <v>15.51</v>
      </c>
      <c r="F521" s="2">
        <v>0</v>
      </c>
      <c r="G521" s="2">
        <v>2</v>
      </c>
      <c r="H521" s="2">
        <v>2000</v>
      </c>
      <c r="I521" s="2">
        <v>400</v>
      </c>
      <c r="J521" s="2" t="s">
        <v>1779</v>
      </c>
      <c r="K521" s="2">
        <v>36</v>
      </c>
      <c r="L521" s="2">
        <v>10</v>
      </c>
      <c r="M521" s="2">
        <v>0</v>
      </c>
      <c r="N521" s="2">
        <v>6</v>
      </c>
      <c r="O521" s="2">
        <v>5</v>
      </c>
      <c r="P521" s="2">
        <v>15</v>
      </c>
      <c r="Q521" s="2" t="s">
        <v>3425</v>
      </c>
      <c r="R521" s="2" t="s">
        <v>3426</v>
      </c>
      <c r="S521" s="4">
        <v>44958</v>
      </c>
    </row>
    <row r="522" spans="1:19" ht="12.5" x14ac:dyDescent="0.25">
      <c r="A522" s="14" t="str">
        <f>HYPERLINK("https://gerandofalcoes.my.salesforce.com/0014X00002VKCqsQAH", "0014X00002VKCqsQAH")</f>
        <v>0014X00002VKCqsQAH</v>
      </c>
      <c r="B522" s="2" t="s">
        <v>2700</v>
      </c>
      <c r="C522" s="2" t="s">
        <v>423</v>
      </c>
      <c r="D522" s="2" t="s">
        <v>2</v>
      </c>
      <c r="E522" s="2">
        <v>15.37</v>
      </c>
      <c r="F522" s="2">
        <v>8</v>
      </c>
      <c r="G522" s="2">
        <v>2</v>
      </c>
      <c r="H522" s="2">
        <v>47000</v>
      </c>
      <c r="I522" s="2">
        <v>100</v>
      </c>
      <c r="J522" s="2" t="s">
        <v>1671</v>
      </c>
      <c r="K522" s="2">
        <v>46</v>
      </c>
      <c r="L522" s="2">
        <v>10</v>
      </c>
      <c r="M522" s="2">
        <v>10</v>
      </c>
      <c r="N522" s="2">
        <v>6</v>
      </c>
      <c r="O522" s="2">
        <v>10</v>
      </c>
      <c r="P522" s="2">
        <v>10</v>
      </c>
      <c r="Q522" s="2" t="s">
        <v>2701</v>
      </c>
      <c r="R522" s="2" t="s">
        <v>2702</v>
      </c>
      <c r="S522" s="4">
        <v>44837</v>
      </c>
    </row>
    <row r="523" spans="1:19" ht="12.5" x14ac:dyDescent="0.25">
      <c r="A523" s="14" t="str">
        <f>HYPERLINK("https://gerandofalcoes.my.salesforce.com/0014X00002VKCtNQAX", "0014X00002VKCtNQAX")</f>
        <v>0014X00002VKCtNQAX</v>
      </c>
      <c r="B523" s="2" t="s">
        <v>2703</v>
      </c>
      <c r="C523" s="2" t="s">
        <v>423</v>
      </c>
      <c r="D523" s="2" t="s">
        <v>2</v>
      </c>
      <c r="E523" s="2">
        <v>15.28</v>
      </c>
      <c r="F523" s="2">
        <v>0</v>
      </c>
      <c r="G523" s="2">
        <v>2</v>
      </c>
      <c r="H523" s="2">
        <v>2014715</v>
      </c>
      <c r="I523" s="2">
        <v>50</v>
      </c>
      <c r="J523" s="2" t="s">
        <v>1671</v>
      </c>
      <c r="K523" s="2">
        <v>46</v>
      </c>
      <c r="L523" s="2">
        <v>10</v>
      </c>
      <c r="M523" s="2">
        <v>0</v>
      </c>
      <c r="N523" s="2">
        <v>6</v>
      </c>
      <c r="O523" s="2">
        <v>25</v>
      </c>
      <c r="P523" s="2">
        <v>5</v>
      </c>
      <c r="Q523" s="2" t="s">
        <v>2704</v>
      </c>
      <c r="R523" s="2" t="s">
        <v>2705</v>
      </c>
      <c r="S523" s="4">
        <v>44837</v>
      </c>
    </row>
    <row r="524" spans="1:19" ht="12.5" x14ac:dyDescent="0.25">
      <c r="A524" s="14" t="str">
        <f>HYPERLINK("https://gerandofalcoes.my.salesforce.com/0014X00002Yggr5QAB", "0014X00002Yggr5QAB")</f>
        <v>0014X00002Yggr5QAB</v>
      </c>
      <c r="B524" s="2" t="s">
        <v>3779</v>
      </c>
      <c r="C524" s="2" t="s">
        <v>423</v>
      </c>
      <c r="D524" s="2" t="s">
        <v>2</v>
      </c>
      <c r="E524" s="2">
        <v>15.28</v>
      </c>
      <c r="F524" s="2">
        <v>3</v>
      </c>
      <c r="G524" s="2">
        <v>2</v>
      </c>
      <c r="H524" s="2">
        <v>24000</v>
      </c>
      <c r="I524" s="2">
        <v>0</v>
      </c>
      <c r="J524" s="2" t="s">
        <v>1779</v>
      </c>
      <c r="K524" s="2">
        <v>26</v>
      </c>
      <c r="L524" s="2">
        <v>10</v>
      </c>
      <c r="M524" s="2">
        <v>5</v>
      </c>
      <c r="N524" s="2">
        <v>6</v>
      </c>
      <c r="O524" s="2">
        <v>5</v>
      </c>
      <c r="P524" s="2">
        <v>0</v>
      </c>
      <c r="Q524" s="2" t="s">
        <v>3780</v>
      </c>
      <c r="R524" s="2" t="s">
        <v>3780</v>
      </c>
      <c r="S524" s="4">
        <v>44968</v>
      </c>
    </row>
    <row r="525" spans="1:19" ht="12.5" x14ac:dyDescent="0.25">
      <c r="A525" s="14" t="str">
        <f>HYPERLINK("https://gerandofalcoes.my.salesforce.com/0014X00002VKCt3QAH", "0014X00002VKCt3QAH")</f>
        <v>0014X00002VKCt3QAH</v>
      </c>
      <c r="B525" s="2" t="s">
        <v>2706</v>
      </c>
      <c r="C525" s="2" t="s">
        <v>423</v>
      </c>
      <c r="D525" s="2" t="s">
        <v>2</v>
      </c>
      <c r="E525" s="2">
        <v>15.21</v>
      </c>
      <c r="F525" s="2">
        <v>0</v>
      </c>
      <c r="G525" s="2">
        <v>0</v>
      </c>
      <c r="H525" s="2">
        <v>0</v>
      </c>
      <c r="I525" s="2">
        <v>100</v>
      </c>
      <c r="J525" s="2" t="s">
        <v>1779</v>
      </c>
      <c r="K525" s="2">
        <v>20</v>
      </c>
      <c r="L525" s="2">
        <v>10</v>
      </c>
      <c r="M525" s="2">
        <v>0</v>
      </c>
      <c r="N525" s="2">
        <v>0</v>
      </c>
      <c r="O525" s="2">
        <v>0</v>
      </c>
      <c r="P525" s="2">
        <v>10</v>
      </c>
      <c r="Q525" s="2" t="s">
        <v>2707</v>
      </c>
      <c r="R525" s="2" t="s">
        <v>2708</v>
      </c>
      <c r="S525" s="4">
        <v>44837</v>
      </c>
    </row>
    <row r="526" spans="1:19" ht="12.5" x14ac:dyDescent="0.25">
      <c r="A526" s="14" t="str">
        <f>HYPERLINK("https://gerandofalcoes.my.salesforce.com/0014P00003YSp80QAD", "0014P00003YSp80QAD")</f>
        <v>0014P00003YSp80QAD</v>
      </c>
      <c r="B526" s="2" t="s">
        <v>2709</v>
      </c>
      <c r="C526" s="2" t="s">
        <v>423</v>
      </c>
      <c r="D526" s="2" t="s">
        <v>2</v>
      </c>
      <c r="E526" s="2">
        <v>15.15</v>
      </c>
      <c r="F526" s="2">
        <v>1</v>
      </c>
      <c r="G526" s="2">
        <v>4</v>
      </c>
      <c r="H526" s="2">
        <v>17400</v>
      </c>
      <c r="I526" s="2">
        <v>87</v>
      </c>
      <c r="J526" s="2" t="s">
        <v>1671</v>
      </c>
      <c r="K526" s="2">
        <v>40</v>
      </c>
      <c r="L526" s="2">
        <v>10</v>
      </c>
      <c r="M526" s="2">
        <v>5</v>
      </c>
      <c r="N526" s="2">
        <v>10</v>
      </c>
      <c r="O526" s="2">
        <v>5</v>
      </c>
      <c r="P526" s="2">
        <v>10</v>
      </c>
      <c r="Q526" s="2" t="s">
        <v>2710</v>
      </c>
      <c r="R526" s="2" t="s">
        <v>2710</v>
      </c>
      <c r="S526" s="4">
        <v>44837</v>
      </c>
    </row>
    <row r="527" spans="1:19" ht="12.5" x14ac:dyDescent="0.25">
      <c r="A527" s="14" t="str">
        <f>HYPERLINK("https://gerandofalcoes.my.salesforce.com/0014P00003AN2GGQA1", "0014P00003AN2GGQA1")</f>
        <v>0014P00003AN2GGQA1</v>
      </c>
      <c r="B527" s="2" t="s">
        <v>2711</v>
      </c>
      <c r="C527" s="2" t="s">
        <v>423</v>
      </c>
      <c r="D527" s="2" t="s">
        <v>2</v>
      </c>
      <c r="E527" s="2">
        <v>15.14</v>
      </c>
      <c r="F527" s="2">
        <v>5</v>
      </c>
      <c r="G527" s="2">
        <v>1</v>
      </c>
      <c r="H527" s="2">
        <v>0</v>
      </c>
      <c r="I527" s="2">
        <v>25</v>
      </c>
      <c r="J527" s="2" t="s">
        <v>1779</v>
      </c>
      <c r="K527" s="2">
        <v>24</v>
      </c>
      <c r="L527" s="2">
        <v>10</v>
      </c>
      <c r="M527" s="2">
        <v>5</v>
      </c>
      <c r="N527" s="2">
        <v>4</v>
      </c>
      <c r="O527" s="2">
        <v>0</v>
      </c>
      <c r="P527" s="2">
        <v>5</v>
      </c>
      <c r="Q527" s="2" t="s">
        <v>2712</v>
      </c>
      <c r="R527" s="2" t="s">
        <v>2712</v>
      </c>
      <c r="S527" s="4">
        <v>44837</v>
      </c>
    </row>
    <row r="528" spans="1:19" ht="12.5" x14ac:dyDescent="0.25">
      <c r="A528" s="14" t="str">
        <f>HYPERLINK("https://gerandofalcoes.my.salesforce.com/0014X00002VKCq8QAH", "0014X00002VKCq8QAH")</f>
        <v>0014X00002VKCq8QAH</v>
      </c>
      <c r="B528" s="2" t="s">
        <v>2721</v>
      </c>
      <c r="C528" s="2" t="s">
        <v>1800</v>
      </c>
      <c r="D528" s="2" t="s">
        <v>2</v>
      </c>
      <c r="E528" s="2">
        <v>15</v>
      </c>
      <c r="F528" s="2">
        <v>0</v>
      </c>
      <c r="G528" s="2">
        <v>3</v>
      </c>
      <c r="H528" s="2">
        <v>7000</v>
      </c>
      <c r="I528" s="2">
        <v>70</v>
      </c>
      <c r="J528" s="2" t="s">
        <v>1779</v>
      </c>
      <c r="K528" s="2">
        <v>28</v>
      </c>
      <c r="L528" s="2">
        <v>10</v>
      </c>
      <c r="M528" s="2">
        <v>0</v>
      </c>
      <c r="N528" s="2">
        <v>8</v>
      </c>
      <c r="O528" s="2">
        <v>5</v>
      </c>
      <c r="P528" s="2">
        <v>5</v>
      </c>
      <c r="Q528" s="2" t="s">
        <v>2722</v>
      </c>
      <c r="R528" s="2" t="s">
        <v>2723</v>
      </c>
      <c r="S528" s="4">
        <v>44837</v>
      </c>
    </row>
    <row r="529" spans="1:19" ht="12.5" x14ac:dyDescent="0.25">
      <c r="A529" s="14" t="str">
        <f>HYPERLINK("https://gerandofalcoes.my.salesforce.com/0014P00003SGWPeQAP", "0014P00003SGWPeQAP")</f>
        <v>0014P00003SGWPeQAP</v>
      </c>
      <c r="B529" s="2" t="s">
        <v>2720</v>
      </c>
      <c r="C529" s="2" t="s">
        <v>423</v>
      </c>
      <c r="D529" s="2" t="s">
        <v>2</v>
      </c>
      <c r="E529" s="2">
        <v>15</v>
      </c>
      <c r="F529" s="2">
        <v>0</v>
      </c>
      <c r="G529" s="2">
        <v>1</v>
      </c>
      <c r="H529" s="2">
        <v>12000</v>
      </c>
      <c r="I529" s="2">
        <v>70</v>
      </c>
      <c r="J529" s="2" t="s">
        <v>1779</v>
      </c>
      <c r="K529" s="2">
        <v>24</v>
      </c>
      <c r="L529" s="2">
        <v>10</v>
      </c>
      <c r="M529" s="2">
        <v>0</v>
      </c>
      <c r="N529" s="2">
        <v>4</v>
      </c>
      <c r="O529" s="2">
        <v>5</v>
      </c>
      <c r="P529" s="2">
        <v>5</v>
      </c>
      <c r="Q529" s="2" t="s">
        <v>291</v>
      </c>
      <c r="R529" s="2" t="s">
        <v>1288</v>
      </c>
      <c r="S529" s="4">
        <v>44837</v>
      </c>
    </row>
    <row r="530" spans="1:19" ht="12.5" x14ac:dyDescent="0.25">
      <c r="A530" s="14" t="str">
        <f>HYPERLINK("https://gerandofalcoes.my.salesforce.com/0014X00002VKCtCQAX", "0014X00002VKCtCQAX")</f>
        <v>0014X00002VKCtCQAX</v>
      </c>
      <c r="B530" s="2" t="s">
        <v>2724</v>
      </c>
      <c r="C530" s="2" t="s">
        <v>423</v>
      </c>
      <c r="D530" s="2" t="s">
        <v>2</v>
      </c>
      <c r="E530" s="2">
        <v>15</v>
      </c>
      <c r="F530" s="2">
        <v>0</v>
      </c>
      <c r="G530" s="2">
        <v>1</v>
      </c>
      <c r="H530" s="2">
        <v>6000</v>
      </c>
      <c r="I530" s="2">
        <v>40</v>
      </c>
      <c r="J530" s="2" t="s">
        <v>1779</v>
      </c>
      <c r="K530" s="2">
        <v>24</v>
      </c>
      <c r="L530" s="2">
        <v>10</v>
      </c>
      <c r="M530" s="2">
        <v>0</v>
      </c>
      <c r="N530" s="2">
        <v>4</v>
      </c>
      <c r="O530" s="2">
        <v>5</v>
      </c>
      <c r="P530" s="2">
        <v>5</v>
      </c>
      <c r="Q530" s="2" t="s">
        <v>2725</v>
      </c>
      <c r="R530" s="2" t="s">
        <v>2726</v>
      </c>
      <c r="S530" s="4">
        <v>44837</v>
      </c>
    </row>
    <row r="531" spans="1:19" ht="12.5" x14ac:dyDescent="0.25">
      <c r="A531" s="14" t="str">
        <f>HYPERLINK("https://gerandofalcoes.my.salesforce.com/0014P00003YSp7hQAD", "0014P00003YSp7hQAD")</f>
        <v>0014P00003YSp7hQAD</v>
      </c>
      <c r="B531" s="2" t="s">
        <v>2713</v>
      </c>
      <c r="C531" s="2" t="s">
        <v>423</v>
      </c>
      <c r="D531" s="2" t="s">
        <v>2</v>
      </c>
      <c r="E531" s="2">
        <v>15</v>
      </c>
      <c r="F531" s="2">
        <v>4</v>
      </c>
      <c r="G531" s="2">
        <v>3</v>
      </c>
      <c r="H531" s="2">
        <v>89000</v>
      </c>
      <c r="I531" s="2">
        <v>820</v>
      </c>
      <c r="J531" s="2" t="s">
        <v>1671</v>
      </c>
      <c r="K531" s="2">
        <v>53</v>
      </c>
      <c r="L531" s="2">
        <v>10</v>
      </c>
      <c r="M531" s="2">
        <v>5</v>
      </c>
      <c r="N531" s="2">
        <v>8</v>
      </c>
      <c r="O531" s="2">
        <v>10</v>
      </c>
      <c r="P531" s="2">
        <v>20</v>
      </c>
      <c r="Q531" s="2" t="s">
        <v>2714</v>
      </c>
      <c r="R531" s="2" t="s">
        <v>2714</v>
      </c>
      <c r="S531" s="4">
        <v>44837</v>
      </c>
    </row>
    <row r="532" spans="1:19" ht="12.5" x14ac:dyDescent="0.25">
      <c r="A532" s="14" t="str">
        <f>HYPERLINK("https://gerandofalcoes.my.salesforce.com/0014X00002VKCrOQAX", "0014X00002VKCrOQAX")</f>
        <v>0014X00002VKCrOQAX</v>
      </c>
      <c r="B532" s="2" t="s">
        <v>2715</v>
      </c>
      <c r="C532" s="2" t="s">
        <v>1800</v>
      </c>
      <c r="D532" s="2" t="s">
        <v>2</v>
      </c>
      <c r="E532" s="2">
        <v>15</v>
      </c>
      <c r="F532" s="2">
        <v>0</v>
      </c>
      <c r="G532" s="2">
        <v>3</v>
      </c>
      <c r="H532" s="2">
        <v>15000</v>
      </c>
      <c r="I532" s="2">
        <v>255</v>
      </c>
      <c r="J532" s="2" t="s">
        <v>1779</v>
      </c>
      <c r="K532" s="2">
        <v>35</v>
      </c>
      <c r="L532" s="2">
        <v>10</v>
      </c>
      <c r="M532" s="2">
        <v>0</v>
      </c>
      <c r="N532" s="2">
        <v>8</v>
      </c>
      <c r="O532" s="2">
        <v>5</v>
      </c>
      <c r="P532" s="2">
        <v>12</v>
      </c>
      <c r="Q532" s="2" t="s">
        <v>2716</v>
      </c>
      <c r="R532" s="2" t="s">
        <v>2716</v>
      </c>
      <c r="S532" s="4">
        <v>44837</v>
      </c>
    </row>
    <row r="533" spans="1:19" ht="12.5" x14ac:dyDescent="0.25">
      <c r="A533" s="14" t="str">
        <f>HYPERLINK("https://gerandofalcoes.my.salesforce.com/0014X00002VKCr7QAH", "0014X00002VKCr7QAH")</f>
        <v>0014X00002VKCr7QAH</v>
      </c>
      <c r="B533" s="2" t="s">
        <v>2730</v>
      </c>
      <c r="C533" s="2" t="s">
        <v>423</v>
      </c>
      <c r="D533" s="2" t="s">
        <v>2</v>
      </c>
      <c r="E533" s="2">
        <v>15</v>
      </c>
      <c r="F533" s="2">
        <v>0</v>
      </c>
      <c r="G533" s="2">
        <v>2</v>
      </c>
      <c r="H533" s="2">
        <v>0</v>
      </c>
      <c r="I533" s="2">
        <v>0</v>
      </c>
      <c r="J533" s="2" t="s">
        <v>1779</v>
      </c>
      <c r="K533" s="2">
        <v>16</v>
      </c>
      <c r="L533" s="2">
        <v>10</v>
      </c>
      <c r="M533" s="2">
        <v>0</v>
      </c>
      <c r="N533" s="2">
        <v>6</v>
      </c>
      <c r="O533" s="2">
        <v>0</v>
      </c>
      <c r="P533" s="2">
        <v>0</v>
      </c>
      <c r="Q533" s="2" t="s">
        <v>2731</v>
      </c>
      <c r="R533" s="2" t="s">
        <v>2731</v>
      </c>
      <c r="S533" s="4">
        <v>44837</v>
      </c>
    </row>
    <row r="534" spans="1:19" ht="12.5" x14ac:dyDescent="0.25">
      <c r="A534" s="14" t="str">
        <f>HYPERLINK("https://gerandofalcoes.my.salesforce.com/0014X00002VKCtEQAX", "0014X00002VKCtEQAX")</f>
        <v>0014X00002VKCtEQAX</v>
      </c>
      <c r="B534" s="2" t="s">
        <v>2717</v>
      </c>
      <c r="C534" s="2" t="s">
        <v>423</v>
      </c>
      <c r="D534" s="2" t="s">
        <v>2</v>
      </c>
      <c r="E534" s="2">
        <v>15</v>
      </c>
      <c r="F534" s="2">
        <v>0</v>
      </c>
      <c r="G534" s="2">
        <v>3</v>
      </c>
      <c r="H534" s="2">
        <v>0</v>
      </c>
      <c r="I534" s="2">
        <v>187</v>
      </c>
      <c r="J534" s="2" t="s">
        <v>1779</v>
      </c>
      <c r="K534" s="2">
        <v>30</v>
      </c>
      <c r="L534" s="2">
        <v>10</v>
      </c>
      <c r="M534" s="2">
        <v>0</v>
      </c>
      <c r="N534" s="2">
        <v>8</v>
      </c>
      <c r="O534" s="2">
        <v>0</v>
      </c>
      <c r="P534" s="2">
        <v>12</v>
      </c>
      <c r="Q534" s="2" t="s">
        <v>2718</v>
      </c>
      <c r="R534" s="2" t="s">
        <v>2719</v>
      </c>
      <c r="S534" s="4">
        <v>44837</v>
      </c>
    </row>
    <row r="535" spans="1:19" ht="12.5" x14ac:dyDescent="0.25">
      <c r="A535" s="14" t="str">
        <f>HYPERLINK("https://gerandofalcoes.my.salesforce.com/0014X00002Yggo4QAB", "0014X00002Yggo4QAB")</f>
        <v>0014X00002Yggo4QAB</v>
      </c>
      <c r="B535" s="2" t="s">
        <v>3707</v>
      </c>
      <c r="C535" s="2" t="s">
        <v>423</v>
      </c>
      <c r="D535" s="2" t="s">
        <v>2</v>
      </c>
      <c r="E535" s="2">
        <v>15</v>
      </c>
      <c r="F535" s="2">
        <v>0</v>
      </c>
      <c r="G535" s="2">
        <v>3</v>
      </c>
      <c r="H535" s="2">
        <v>3000</v>
      </c>
      <c r="I535" s="2">
        <v>0</v>
      </c>
      <c r="J535" s="2" t="s">
        <v>1779</v>
      </c>
      <c r="K535" s="2">
        <v>23</v>
      </c>
      <c r="L535" s="2">
        <v>10</v>
      </c>
      <c r="M535" s="2">
        <v>0</v>
      </c>
      <c r="N535" s="2">
        <v>8</v>
      </c>
      <c r="O535" s="2">
        <v>5</v>
      </c>
      <c r="P535" s="2">
        <v>0</v>
      </c>
      <c r="Q535" s="2" t="s">
        <v>3708</v>
      </c>
      <c r="R535" s="2" t="s">
        <v>3708</v>
      </c>
      <c r="S535" s="4">
        <v>44967</v>
      </c>
    </row>
    <row r="536" spans="1:19" ht="12.5" x14ac:dyDescent="0.25">
      <c r="A536" s="14" t="str">
        <f>HYPERLINK("https://gerandofalcoes.my.salesforce.com/0014X00002VKCs2QAH", "0014X00002VKCs2QAH")</f>
        <v>0014X00002VKCs2QAH</v>
      </c>
      <c r="B536" s="2" t="s">
        <v>2727</v>
      </c>
      <c r="C536" s="2" t="s">
        <v>1800</v>
      </c>
      <c r="D536" s="2" t="s">
        <v>2</v>
      </c>
      <c r="E536" s="2">
        <v>15</v>
      </c>
      <c r="F536" s="2">
        <v>0</v>
      </c>
      <c r="G536" s="2">
        <v>2</v>
      </c>
      <c r="H536" s="2">
        <v>2500</v>
      </c>
      <c r="I536" s="2">
        <v>0</v>
      </c>
      <c r="J536" s="2" t="s">
        <v>1779</v>
      </c>
      <c r="K536" s="2">
        <v>21</v>
      </c>
      <c r="L536" s="2">
        <v>10</v>
      </c>
      <c r="M536" s="2">
        <v>0</v>
      </c>
      <c r="N536" s="2">
        <v>6</v>
      </c>
      <c r="O536" s="2">
        <v>5</v>
      </c>
      <c r="P536" s="2">
        <v>0</v>
      </c>
      <c r="Q536" s="2" t="s">
        <v>2728</v>
      </c>
      <c r="R536" s="2" t="s">
        <v>2729</v>
      </c>
      <c r="S536" s="4">
        <v>44837</v>
      </c>
    </row>
    <row r="537" spans="1:19" ht="12.5" x14ac:dyDescent="0.25">
      <c r="A537" s="14" t="str">
        <f>HYPERLINK("https://gerandofalcoes.my.salesforce.com/0014X00002OEuapQAD", "0014X00002OEuapQAD")</f>
        <v>0014X00002OEuapQAD</v>
      </c>
      <c r="B537" s="2" t="s">
        <v>2732</v>
      </c>
      <c r="C537" s="2" t="s">
        <v>1800</v>
      </c>
      <c r="D537" s="2" t="s">
        <v>2</v>
      </c>
      <c r="E537" s="2">
        <v>15</v>
      </c>
      <c r="F537" s="2">
        <v>0</v>
      </c>
      <c r="G537" s="2">
        <v>0</v>
      </c>
      <c r="H537" s="2">
        <v>0</v>
      </c>
      <c r="I537" s="2">
        <v>0</v>
      </c>
      <c r="J537" s="2" t="s">
        <v>1779</v>
      </c>
      <c r="K537" s="2">
        <v>10</v>
      </c>
      <c r="L537" s="2">
        <v>10</v>
      </c>
      <c r="M537" s="2">
        <v>0</v>
      </c>
      <c r="N537" s="2">
        <v>0</v>
      </c>
      <c r="O537" s="2">
        <v>0</v>
      </c>
      <c r="P537" s="2">
        <v>0</v>
      </c>
      <c r="Q537" s="2" t="s">
        <v>2733</v>
      </c>
      <c r="R537" s="2" t="s">
        <v>2733</v>
      </c>
      <c r="S537" s="4">
        <v>44837</v>
      </c>
    </row>
    <row r="538" spans="1:19" ht="12.5" x14ac:dyDescent="0.25">
      <c r="A538" s="14" t="str">
        <f>HYPERLINK("https://gerandofalcoes.my.salesforce.com/0014X00002YggnCQAR", "0014X00002YggnCQAR")</f>
        <v>0014X00002YggnCQAR</v>
      </c>
      <c r="B538" s="2" t="s">
        <v>3427</v>
      </c>
      <c r="C538" s="2" t="s">
        <v>423</v>
      </c>
      <c r="D538" s="2" t="s">
        <v>2</v>
      </c>
      <c r="E538" s="2">
        <v>14.93</v>
      </c>
      <c r="F538" s="2">
        <v>10</v>
      </c>
      <c r="G538" s="2">
        <v>6</v>
      </c>
      <c r="H538" s="2">
        <v>11000</v>
      </c>
      <c r="I538" s="2">
        <v>30</v>
      </c>
      <c r="J538" s="2" t="s">
        <v>1671</v>
      </c>
      <c r="K538" s="2">
        <v>40</v>
      </c>
      <c r="L538" s="2">
        <v>10</v>
      </c>
      <c r="M538" s="2">
        <v>10</v>
      </c>
      <c r="N538" s="2">
        <v>10</v>
      </c>
      <c r="O538" s="2">
        <v>5</v>
      </c>
      <c r="P538" s="2">
        <v>5</v>
      </c>
      <c r="Q538" s="2" t="s">
        <v>3428</v>
      </c>
      <c r="R538" s="2" t="s">
        <v>3428</v>
      </c>
      <c r="S538" s="4">
        <v>44958</v>
      </c>
    </row>
    <row r="539" spans="1:19" ht="12.5" x14ac:dyDescent="0.25">
      <c r="A539" s="14" t="str">
        <f>HYPERLINK("https://gerandofalcoes.my.salesforce.com/0014P00003SGWFsQAP", "0014P00003SGWFsQAP")</f>
        <v>0014P00003SGWFsQAP</v>
      </c>
      <c r="B539" s="2" t="s">
        <v>339</v>
      </c>
      <c r="C539" s="2" t="s">
        <v>423</v>
      </c>
      <c r="D539" s="2" t="s">
        <v>2</v>
      </c>
      <c r="E539" s="2">
        <v>14.9</v>
      </c>
      <c r="F539" s="2">
        <v>0</v>
      </c>
      <c r="G539" s="2">
        <v>0</v>
      </c>
      <c r="H539" s="2">
        <v>0</v>
      </c>
      <c r="I539" s="2">
        <v>106</v>
      </c>
      <c r="J539" s="2" t="s">
        <v>1779</v>
      </c>
      <c r="K539" s="2">
        <v>20</v>
      </c>
      <c r="L539" s="2">
        <v>10</v>
      </c>
      <c r="M539" s="2">
        <v>0</v>
      </c>
      <c r="N539" s="2">
        <v>0</v>
      </c>
      <c r="O539" s="2">
        <v>0</v>
      </c>
      <c r="P539" s="2">
        <v>10</v>
      </c>
      <c r="Q539" s="2" t="s">
        <v>340</v>
      </c>
      <c r="R539" s="2" t="s">
        <v>340</v>
      </c>
      <c r="S539" s="4">
        <v>44837</v>
      </c>
    </row>
    <row r="540" spans="1:19" ht="12.5" x14ac:dyDescent="0.25">
      <c r="A540" s="14" t="str">
        <f>HYPERLINK("https://gerandofalcoes.my.salesforce.com/0014P00003YSpA0QAL", "0014P00003YSpA0QAL")</f>
        <v>0014P00003YSpA0QAL</v>
      </c>
      <c r="B540" s="2" t="s">
        <v>2734</v>
      </c>
      <c r="C540" s="2" t="s">
        <v>423</v>
      </c>
      <c r="D540" s="2" t="s">
        <v>2</v>
      </c>
      <c r="E540" s="2">
        <v>14.83</v>
      </c>
      <c r="F540" s="2">
        <v>10</v>
      </c>
      <c r="G540" s="2">
        <v>0</v>
      </c>
      <c r="H540" s="2">
        <v>0</v>
      </c>
      <c r="I540" s="2">
        <v>52</v>
      </c>
      <c r="J540" s="2" t="s">
        <v>1779</v>
      </c>
      <c r="K540" s="2">
        <v>25</v>
      </c>
      <c r="L540" s="2">
        <v>10</v>
      </c>
      <c r="M540" s="2">
        <v>10</v>
      </c>
      <c r="N540" s="2">
        <v>0</v>
      </c>
      <c r="O540" s="2">
        <v>0</v>
      </c>
      <c r="P540" s="2">
        <v>5</v>
      </c>
      <c r="Q540" s="2" t="s">
        <v>2735</v>
      </c>
      <c r="R540" s="2" t="s">
        <v>2736</v>
      </c>
      <c r="S540" s="4">
        <v>44837</v>
      </c>
    </row>
    <row r="541" spans="1:19" ht="12.5" x14ac:dyDescent="0.25">
      <c r="A541" s="14" t="str">
        <f>HYPERLINK("https://gerandofalcoes.my.salesforce.com/0014X00002YggmxQAB", "0014X00002YggmxQAB")</f>
        <v>0014X00002YggmxQAB</v>
      </c>
      <c r="B541" s="2" t="s">
        <v>3429</v>
      </c>
      <c r="C541" s="2" t="s">
        <v>423</v>
      </c>
      <c r="D541" s="2" t="s">
        <v>2</v>
      </c>
      <c r="E541" s="2">
        <v>14.79</v>
      </c>
      <c r="F541" s="2">
        <v>0</v>
      </c>
      <c r="G541" s="2">
        <v>2</v>
      </c>
      <c r="H541" s="2">
        <v>30000</v>
      </c>
      <c r="I541" s="2">
        <v>120</v>
      </c>
      <c r="J541" s="2" t="s">
        <v>1779</v>
      </c>
      <c r="K541" s="2">
        <v>36</v>
      </c>
      <c r="L541" s="2">
        <v>10</v>
      </c>
      <c r="M541" s="2">
        <v>0</v>
      </c>
      <c r="N541" s="2">
        <v>6</v>
      </c>
      <c r="O541" s="2">
        <v>10</v>
      </c>
      <c r="P541" s="2">
        <v>10</v>
      </c>
      <c r="Q541" s="2" t="s">
        <v>3430</v>
      </c>
      <c r="R541" s="2" t="s">
        <v>3431</v>
      </c>
      <c r="S541" s="4">
        <v>44958</v>
      </c>
    </row>
    <row r="542" spans="1:19" ht="12.5" x14ac:dyDescent="0.25">
      <c r="A542" s="14" t="str">
        <f>HYPERLINK("https://gerandofalcoes.my.salesforce.com/0014X00002VKCqMQAX", "0014X00002VKCqMQAX")</f>
        <v>0014X00002VKCqMQAX</v>
      </c>
      <c r="B542" s="2" t="s">
        <v>2737</v>
      </c>
      <c r="C542" s="2" t="s">
        <v>423</v>
      </c>
      <c r="D542" s="2" t="s">
        <v>2</v>
      </c>
      <c r="E542" s="2">
        <v>14.66</v>
      </c>
      <c r="F542" s="2">
        <v>2</v>
      </c>
      <c r="G542" s="2">
        <v>3</v>
      </c>
      <c r="H542" s="2">
        <v>5010380</v>
      </c>
      <c r="I542" s="2">
        <v>86</v>
      </c>
      <c r="J542" s="2" t="s">
        <v>1671</v>
      </c>
      <c r="K542" s="2">
        <v>58</v>
      </c>
      <c r="L542" s="2">
        <v>10</v>
      </c>
      <c r="M542" s="2">
        <v>5</v>
      </c>
      <c r="N542" s="2">
        <v>8</v>
      </c>
      <c r="O542" s="2">
        <v>25</v>
      </c>
      <c r="P542" s="2">
        <v>10</v>
      </c>
      <c r="Q542" s="2" t="s">
        <v>2738</v>
      </c>
      <c r="R542" s="2" t="s">
        <v>2739</v>
      </c>
      <c r="S542" s="4">
        <v>44837</v>
      </c>
    </row>
    <row r="543" spans="1:19" ht="12.5" x14ac:dyDescent="0.25">
      <c r="A543" s="14" t="str">
        <f>HYPERLINK("https://gerandofalcoes.my.salesforce.com/0014X00002VKCsBQAX", "0014X00002VKCsBQAX")</f>
        <v>0014X00002VKCsBQAX</v>
      </c>
      <c r="B543" s="2" t="s">
        <v>2740</v>
      </c>
      <c r="C543" s="2" t="s">
        <v>423</v>
      </c>
      <c r="D543" s="2" t="s">
        <v>2</v>
      </c>
      <c r="E543" s="2">
        <v>14.54</v>
      </c>
      <c r="F543" s="2">
        <v>1</v>
      </c>
      <c r="G543" s="2">
        <v>1</v>
      </c>
      <c r="H543" s="2">
        <v>68583</v>
      </c>
      <c r="I543" s="2">
        <v>120</v>
      </c>
      <c r="J543" s="2" t="s">
        <v>1779</v>
      </c>
      <c r="K543" s="2">
        <v>39</v>
      </c>
      <c r="L543" s="2">
        <v>10</v>
      </c>
      <c r="M543" s="2">
        <v>5</v>
      </c>
      <c r="N543" s="2">
        <v>4</v>
      </c>
      <c r="O543" s="2">
        <v>10</v>
      </c>
      <c r="P543" s="2">
        <v>10</v>
      </c>
      <c r="Q543" s="2" t="s">
        <v>2741</v>
      </c>
      <c r="R543" s="2" t="s">
        <v>2742</v>
      </c>
      <c r="S543" s="4">
        <v>44837</v>
      </c>
    </row>
    <row r="544" spans="1:19" ht="12.5" x14ac:dyDescent="0.25">
      <c r="A544" s="14" t="str">
        <f>HYPERLINK("https://gerandofalcoes.my.salesforce.com/0014X00002YggnOQAR", "0014X00002YggnOQAR")</f>
        <v>0014X00002YggnOQAR</v>
      </c>
      <c r="B544" s="2" t="s">
        <v>3316</v>
      </c>
      <c r="C544" s="2" t="s">
        <v>423</v>
      </c>
      <c r="D544" s="2" t="s">
        <v>2</v>
      </c>
      <c r="E544" s="2">
        <v>14.5</v>
      </c>
      <c r="F544" s="2">
        <v>0</v>
      </c>
      <c r="G544" s="2">
        <v>2</v>
      </c>
      <c r="H544" s="2">
        <v>0</v>
      </c>
      <c r="I544" s="2">
        <v>128</v>
      </c>
      <c r="J544" s="2" t="s">
        <v>1779</v>
      </c>
      <c r="K544" s="2">
        <v>26</v>
      </c>
      <c r="L544" s="2">
        <v>10</v>
      </c>
      <c r="M544" s="2">
        <v>0</v>
      </c>
      <c r="N544" s="2">
        <v>6</v>
      </c>
      <c r="O544" s="2">
        <v>0</v>
      </c>
      <c r="P544" s="2">
        <v>10</v>
      </c>
      <c r="Q544" s="2" t="s">
        <v>3317</v>
      </c>
      <c r="R544" s="2" t="s">
        <v>3318</v>
      </c>
      <c r="S544" s="4">
        <v>44953</v>
      </c>
    </row>
    <row r="545" spans="1:19" ht="12.5" x14ac:dyDescent="0.25">
      <c r="A545" s="14" t="str">
        <f>HYPERLINK("https://gerandofalcoes.my.salesforce.com/0014X00002YggnHQAR", "0014X00002YggnHQAR")</f>
        <v>0014X00002YggnHQAR</v>
      </c>
      <c r="B545" s="2" t="s">
        <v>3612</v>
      </c>
      <c r="C545" s="2" t="s">
        <v>423</v>
      </c>
      <c r="D545" s="2" t="s">
        <v>2</v>
      </c>
      <c r="E545" s="2">
        <v>14.33</v>
      </c>
      <c r="F545" s="2">
        <v>0</v>
      </c>
      <c r="G545" s="2">
        <v>2</v>
      </c>
      <c r="H545" s="2">
        <v>10</v>
      </c>
      <c r="I545" s="2">
        <v>0</v>
      </c>
      <c r="J545" s="2" t="s">
        <v>1779</v>
      </c>
      <c r="K545" s="2">
        <v>21</v>
      </c>
      <c r="L545" s="2">
        <v>10</v>
      </c>
      <c r="M545" s="2">
        <v>0</v>
      </c>
      <c r="N545" s="2">
        <v>6</v>
      </c>
      <c r="O545" s="2">
        <v>5</v>
      </c>
      <c r="P545" s="2">
        <v>0</v>
      </c>
      <c r="Q545" s="2" t="s">
        <v>3613</v>
      </c>
      <c r="R545" s="2" t="s">
        <v>3613</v>
      </c>
      <c r="S545" s="4">
        <v>44963</v>
      </c>
    </row>
    <row r="546" spans="1:19" ht="12.5" x14ac:dyDescent="0.25">
      <c r="A546" s="14" t="str">
        <f>HYPERLINK("https://gerandofalcoes.my.salesforce.com/0014X00002Yggq4QAB", "0014X00002Yggq4QAB")</f>
        <v>0014X00002Yggq4QAB</v>
      </c>
      <c r="B546" s="2" t="s">
        <v>3594</v>
      </c>
      <c r="C546" s="2" t="s">
        <v>423</v>
      </c>
      <c r="D546" s="2" t="s">
        <v>2</v>
      </c>
      <c r="E546" s="2">
        <v>14.31</v>
      </c>
      <c r="F546" s="2">
        <v>4</v>
      </c>
      <c r="G546" s="2">
        <v>5</v>
      </c>
      <c r="H546" s="2">
        <v>57800</v>
      </c>
      <c r="I546" s="2">
        <v>60</v>
      </c>
      <c r="J546" s="2" t="s">
        <v>1671</v>
      </c>
      <c r="K546" s="2">
        <v>40</v>
      </c>
      <c r="L546" s="2">
        <v>10</v>
      </c>
      <c r="M546" s="2">
        <v>5</v>
      </c>
      <c r="N546" s="2">
        <v>10</v>
      </c>
      <c r="O546" s="2">
        <v>10</v>
      </c>
      <c r="P546" s="2">
        <v>5</v>
      </c>
      <c r="Q546" s="2" t="s">
        <v>3595</v>
      </c>
      <c r="R546" s="2" t="s">
        <v>3596</v>
      </c>
      <c r="S546" s="4">
        <v>44962</v>
      </c>
    </row>
    <row r="547" spans="1:19" ht="12.5" x14ac:dyDescent="0.25">
      <c r="A547" s="14" t="str">
        <f>HYPERLINK("https://gerandofalcoes.my.salesforce.com/0014X00002bCkLgQAK", "0014X00002bCkLgQAK")</f>
        <v>0014X00002bCkLgQAK</v>
      </c>
      <c r="B547" s="2" t="s">
        <v>3657</v>
      </c>
      <c r="C547" s="2" t="s">
        <v>423</v>
      </c>
      <c r="D547" s="2" t="s">
        <v>2</v>
      </c>
      <c r="E547" s="2">
        <v>14.24</v>
      </c>
      <c r="F547" s="2">
        <v>6</v>
      </c>
      <c r="G547" s="2">
        <v>7</v>
      </c>
      <c r="H547" s="2">
        <v>20000</v>
      </c>
      <c r="I547" s="2">
        <v>0</v>
      </c>
      <c r="J547" s="2" t="s">
        <v>1779</v>
      </c>
      <c r="K547" s="2">
        <v>35</v>
      </c>
      <c r="L547" s="2">
        <v>10</v>
      </c>
      <c r="M547" s="2">
        <v>10</v>
      </c>
      <c r="N547" s="2">
        <v>10</v>
      </c>
      <c r="O547" s="2">
        <v>5</v>
      </c>
      <c r="P547" s="2">
        <v>0</v>
      </c>
      <c r="Q547" s="2" t="s">
        <v>3658</v>
      </c>
      <c r="R547" s="2" t="s">
        <v>3659</v>
      </c>
      <c r="S547" s="4">
        <v>44964</v>
      </c>
    </row>
    <row r="548" spans="1:19" ht="12.5" x14ac:dyDescent="0.25">
      <c r="A548" s="14" t="str">
        <f>HYPERLINK("https://gerandofalcoes.my.salesforce.com/0014X00002YggopQAB", "0014X00002YggopQAB")</f>
        <v>0014X00002YggopQAB</v>
      </c>
      <c r="B548" s="2" t="s">
        <v>3614</v>
      </c>
      <c r="C548" s="2" t="s">
        <v>423</v>
      </c>
      <c r="D548" s="2" t="s">
        <v>2</v>
      </c>
      <c r="E548" s="2">
        <v>14.19</v>
      </c>
      <c r="F548" s="2">
        <v>10</v>
      </c>
      <c r="G548" s="2">
        <v>2</v>
      </c>
      <c r="H548" s="2">
        <v>900</v>
      </c>
      <c r="I548" s="2">
        <v>20</v>
      </c>
      <c r="J548" s="2" t="s">
        <v>1779</v>
      </c>
      <c r="K548" s="2">
        <v>36</v>
      </c>
      <c r="L548" s="2">
        <v>10</v>
      </c>
      <c r="M548" s="2">
        <v>10</v>
      </c>
      <c r="N548" s="2">
        <v>6</v>
      </c>
      <c r="O548" s="2">
        <v>5</v>
      </c>
      <c r="P548" s="2">
        <v>5</v>
      </c>
      <c r="Q548" s="2" t="s">
        <v>3615</v>
      </c>
      <c r="R548" s="2" t="s">
        <v>3616</v>
      </c>
      <c r="S548" s="4">
        <v>44963</v>
      </c>
    </row>
    <row r="549" spans="1:19" ht="12.5" x14ac:dyDescent="0.25">
      <c r="A549" s="14" t="str">
        <f>HYPERLINK("https://gerandofalcoes.my.salesforce.com/0014X00002VKCqnQAH", "0014X00002VKCqnQAH")</f>
        <v>0014X00002VKCqnQAH</v>
      </c>
      <c r="B549" s="2" t="s">
        <v>2743</v>
      </c>
      <c r="C549" s="2" t="s">
        <v>423</v>
      </c>
      <c r="D549" s="2" t="s">
        <v>2</v>
      </c>
      <c r="E549" s="2">
        <v>14.17</v>
      </c>
      <c r="F549" s="2">
        <v>0</v>
      </c>
      <c r="G549" s="2">
        <v>4</v>
      </c>
      <c r="H549" s="2">
        <v>99683</v>
      </c>
      <c r="I549" s="2">
        <v>180</v>
      </c>
      <c r="J549" s="2" t="s">
        <v>1671</v>
      </c>
      <c r="K549" s="2">
        <v>42</v>
      </c>
      <c r="L549" s="2">
        <v>10</v>
      </c>
      <c r="M549" s="2">
        <v>0</v>
      </c>
      <c r="N549" s="2">
        <v>10</v>
      </c>
      <c r="O549" s="2">
        <v>10</v>
      </c>
      <c r="P549" s="2">
        <v>12</v>
      </c>
      <c r="Q549" s="2" t="s">
        <v>2744</v>
      </c>
      <c r="R549" s="2" t="s">
        <v>2745</v>
      </c>
      <c r="S549" s="4">
        <v>44837</v>
      </c>
    </row>
    <row r="550" spans="1:19" ht="12.5" x14ac:dyDescent="0.25">
      <c r="A550" s="14" t="str">
        <f>HYPERLINK("https://gerandofalcoes.my.salesforce.com/0014P00003YSp7oQAD", "0014P00003YSp7oQAD")</f>
        <v>0014P00003YSp7oQAD</v>
      </c>
      <c r="B550" s="2" t="s">
        <v>2746</v>
      </c>
      <c r="C550" s="2" t="s">
        <v>1800</v>
      </c>
      <c r="D550" s="2" t="s">
        <v>2</v>
      </c>
      <c r="E550" s="2">
        <v>14</v>
      </c>
      <c r="F550" s="2">
        <v>30</v>
      </c>
      <c r="G550" s="2">
        <v>2</v>
      </c>
      <c r="H550" s="2">
        <v>10000</v>
      </c>
      <c r="I550" s="2">
        <v>350</v>
      </c>
      <c r="J550" s="2" t="s">
        <v>1671</v>
      </c>
      <c r="K550" s="2">
        <v>48</v>
      </c>
      <c r="L550" s="2">
        <v>10</v>
      </c>
      <c r="M550" s="2">
        <v>12</v>
      </c>
      <c r="N550" s="2">
        <v>6</v>
      </c>
      <c r="O550" s="2">
        <v>5</v>
      </c>
      <c r="P550" s="2">
        <v>15</v>
      </c>
      <c r="Q550" s="2" t="s">
        <v>2747</v>
      </c>
      <c r="R550" s="2" t="s">
        <v>2748</v>
      </c>
      <c r="S550" s="4">
        <v>44837</v>
      </c>
    </row>
    <row r="551" spans="1:19" ht="12.5" x14ac:dyDescent="0.25">
      <c r="A551" s="14" t="str">
        <f>HYPERLINK("https://gerandofalcoes.my.salesforce.com/0014X00002VKCpFQAX", "0014X00002VKCpFQAX")</f>
        <v>0014X00002VKCpFQAX</v>
      </c>
      <c r="B551" s="2" t="s">
        <v>2757</v>
      </c>
      <c r="C551" s="2" t="s">
        <v>423</v>
      </c>
      <c r="D551" s="2" t="s">
        <v>2</v>
      </c>
      <c r="E551" s="2">
        <v>14</v>
      </c>
      <c r="F551" s="2">
        <v>0</v>
      </c>
      <c r="G551" s="2">
        <v>2</v>
      </c>
      <c r="H551" s="2">
        <v>5000</v>
      </c>
      <c r="I551" s="2">
        <v>30</v>
      </c>
      <c r="J551" s="2" t="s">
        <v>1779</v>
      </c>
      <c r="K551" s="2">
        <v>26</v>
      </c>
      <c r="L551" s="2">
        <v>10</v>
      </c>
      <c r="M551" s="2">
        <v>0</v>
      </c>
      <c r="N551" s="2">
        <v>6</v>
      </c>
      <c r="O551" s="2">
        <v>5</v>
      </c>
      <c r="P551" s="2">
        <v>5</v>
      </c>
      <c r="Q551" s="2" t="s">
        <v>2758</v>
      </c>
      <c r="R551" s="2" t="s">
        <v>2758</v>
      </c>
      <c r="S551" s="4">
        <v>44837</v>
      </c>
    </row>
    <row r="552" spans="1:19" ht="12.5" x14ac:dyDescent="0.25">
      <c r="A552" s="14" t="str">
        <f>HYPERLINK("https://gerandofalcoes.my.salesforce.com/0014X00002OEuaoQAD", "0014X00002OEuaoQAD")</f>
        <v>0014X00002OEuaoQAD</v>
      </c>
      <c r="B552" s="2" t="s">
        <v>2749</v>
      </c>
      <c r="C552" s="2" t="s">
        <v>1800</v>
      </c>
      <c r="D552" s="2" t="s">
        <v>2</v>
      </c>
      <c r="E552" s="2">
        <v>14</v>
      </c>
      <c r="F552" s="2">
        <v>0</v>
      </c>
      <c r="G552" s="2">
        <v>2</v>
      </c>
      <c r="H552" s="2">
        <v>0</v>
      </c>
      <c r="I552" s="2">
        <v>230</v>
      </c>
      <c r="J552" s="2" t="s">
        <v>1779</v>
      </c>
      <c r="K552" s="2">
        <v>28</v>
      </c>
      <c r="L552" s="2">
        <v>10</v>
      </c>
      <c r="M552" s="2">
        <v>0</v>
      </c>
      <c r="N552" s="2">
        <v>6</v>
      </c>
      <c r="O552" s="2">
        <v>0</v>
      </c>
      <c r="P552" s="2">
        <v>12</v>
      </c>
      <c r="Q552" s="2" t="s">
        <v>2750</v>
      </c>
      <c r="R552" s="2" t="s">
        <v>2751</v>
      </c>
      <c r="S552" s="4">
        <v>44837</v>
      </c>
    </row>
    <row r="553" spans="1:19" ht="12.5" x14ac:dyDescent="0.25">
      <c r="A553" s="14" t="str">
        <f>HYPERLINK("https://gerandofalcoes.my.salesforce.com/0014P00003YSpP9QAL", "0014P00003YSpP9QAL")</f>
        <v>0014P00003YSpP9QAL</v>
      </c>
      <c r="B553" s="2" t="s">
        <v>2752</v>
      </c>
      <c r="C553" s="2" t="s">
        <v>423</v>
      </c>
      <c r="D553" s="2" t="s">
        <v>2</v>
      </c>
      <c r="E553" s="2">
        <v>14</v>
      </c>
      <c r="F553" s="2">
        <v>0</v>
      </c>
      <c r="G553" s="2">
        <v>12</v>
      </c>
      <c r="H553" s="2">
        <v>13000</v>
      </c>
      <c r="I553" s="2">
        <v>208</v>
      </c>
      <c r="J553" s="2" t="s">
        <v>1779</v>
      </c>
      <c r="K553" s="2">
        <v>37</v>
      </c>
      <c r="L553" s="2">
        <v>10</v>
      </c>
      <c r="M553" s="2">
        <v>0</v>
      </c>
      <c r="N553" s="2">
        <v>10</v>
      </c>
      <c r="O553" s="2">
        <v>5</v>
      </c>
      <c r="P553" s="2">
        <v>12</v>
      </c>
      <c r="Q553" s="2" t="s">
        <v>2753</v>
      </c>
      <c r="R553" s="2" t="s">
        <v>2754</v>
      </c>
      <c r="S553" s="4">
        <v>44837</v>
      </c>
    </row>
    <row r="554" spans="1:19" ht="12.5" x14ac:dyDescent="0.25">
      <c r="A554" s="14" t="str">
        <f>HYPERLINK("https://gerandofalcoes.my.salesforce.com/0014X00002VKCqVQAX", "0014X00002VKCqVQAX")</f>
        <v>0014X00002VKCqVQAX</v>
      </c>
      <c r="B554" s="2" t="s">
        <v>2759</v>
      </c>
      <c r="C554" s="2" t="s">
        <v>423</v>
      </c>
      <c r="D554" s="2" t="s">
        <v>2</v>
      </c>
      <c r="E554" s="2">
        <v>14</v>
      </c>
      <c r="F554" s="2">
        <v>0</v>
      </c>
      <c r="G554" s="2">
        <v>15</v>
      </c>
      <c r="H554" s="2">
        <v>1850078</v>
      </c>
      <c r="I554" s="2">
        <v>20</v>
      </c>
      <c r="J554" s="2" t="s">
        <v>1671</v>
      </c>
      <c r="K554" s="2">
        <v>50</v>
      </c>
      <c r="L554" s="2">
        <v>10</v>
      </c>
      <c r="M554" s="2">
        <v>0</v>
      </c>
      <c r="N554" s="2">
        <v>10</v>
      </c>
      <c r="O554" s="2">
        <v>25</v>
      </c>
      <c r="P554" s="2">
        <v>5</v>
      </c>
      <c r="Q554" s="2" t="s">
        <v>2760</v>
      </c>
      <c r="R554" s="2" t="s">
        <v>2761</v>
      </c>
      <c r="S554" s="4">
        <v>44837</v>
      </c>
    </row>
    <row r="555" spans="1:19" ht="12.5" x14ac:dyDescent="0.25">
      <c r="A555" s="14" t="str">
        <f>HYPERLINK("https://gerandofalcoes.my.salesforce.com/0014X00002VKCtMQAX", "0014X00002VKCtMQAX")</f>
        <v>0014X00002VKCtMQAX</v>
      </c>
      <c r="B555" s="2" t="s">
        <v>2762</v>
      </c>
      <c r="C555" s="2" t="s">
        <v>1800</v>
      </c>
      <c r="D555" s="2" t="s">
        <v>2</v>
      </c>
      <c r="E555" s="2">
        <v>14</v>
      </c>
      <c r="F555" s="2">
        <v>5</v>
      </c>
      <c r="G555" s="2">
        <v>2</v>
      </c>
      <c r="H555" s="2">
        <v>500</v>
      </c>
      <c r="I555" s="2">
        <v>0</v>
      </c>
      <c r="J555" s="2" t="s">
        <v>1779</v>
      </c>
      <c r="K555" s="2">
        <v>26</v>
      </c>
      <c r="L555" s="2">
        <v>10</v>
      </c>
      <c r="M555" s="2">
        <v>5</v>
      </c>
      <c r="N555" s="2">
        <v>6</v>
      </c>
      <c r="O555" s="2">
        <v>5</v>
      </c>
      <c r="P555" s="2">
        <v>0</v>
      </c>
      <c r="Q555" s="2" t="s">
        <v>2763</v>
      </c>
      <c r="R555" s="2" t="s">
        <v>2764</v>
      </c>
      <c r="S555" s="4">
        <v>44837</v>
      </c>
    </row>
    <row r="556" spans="1:19" ht="12.5" x14ac:dyDescent="0.25">
      <c r="A556" s="14" t="str">
        <f>HYPERLINK("https://gerandofalcoes.my.salesforce.com/0014X00002VKCrDQAX", "0014X00002VKCrDQAX")</f>
        <v>0014X00002VKCrDQAX</v>
      </c>
      <c r="B556" s="2" t="s">
        <v>2755</v>
      </c>
      <c r="C556" s="2" t="s">
        <v>423</v>
      </c>
      <c r="D556" s="2" t="s">
        <v>2</v>
      </c>
      <c r="E556" s="2">
        <v>14</v>
      </c>
      <c r="F556" s="2">
        <v>2</v>
      </c>
      <c r="G556" s="2">
        <v>0</v>
      </c>
      <c r="H556" s="2">
        <v>0</v>
      </c>
      <c r="I556" s="2">
        <v>60</v>
      </c>
      <c r="J556" s="2" t="s">
        <v>1779</v>
      </c>
      <c r="K556" s="2">
        <v>20</v>
      </c>
      <c r="L556" s="2">
        <v>10</v>
      </c>
      <c r="M556" s="2">
        <v>5</v>
      </c>
      <c r="N556" s="2">
        <v>0</v>
      </c>
      <c r="O556" s="2">
        <v>0</v>
      </c>
      <c r="P556" s="2">
        <v>5</v>
      </c>
      <c r="Q556" s="2" t="s">
        <v>2756</v>
      </c>
      <c r="R556" s="2" t="s">
        <v>2756</v>
      </c>
      <c r="S556" s="4">
        <v>44837</v>
      </c>
    </row>
    <row r="557" spans="1:19" ht="12.5" x14ac:dyDescent="0.25">
      <c r="A557" s="14" t="str">
        <f>HYPERLINK("https://gerandofalcoes.my.salesforce.com/0014X00002VKCrQQAX", "0014X00002VKCrQQAX")</f>
        <v>0014X00002VKCrQQAX</v>
      </c>
      <c r="B557" s="2" t="s">
        <v>2765</v>
      </c>
      <c r="C557" s="2" t="s">
        <v>1800</v>
      </c>
      <c r="D557" s="2" t="s">
        <v>2</v>
      </c>
      <c r="E557" s="2">
        <v>14</v>
      </c>
      <c r="F557" s="2">
        <v>0</v>
      </c>
      <c r="G557" s="2">
        <v>2</v>
      </c>
      <c r="H557" s="2">
        <v>40000</v>
      </c>
      <c r="I557" s="2">
        <v>0</v>
      </c>
      <c r="J557" s="2" t="s">
        <v>1779</v>
      </c>
      <c r="K557" s="2">
        <v>26</v>
      </c>
      <c r="L557" s="2">
        <v>10</v>
      </c>
      <c r="M557" s="2">
        <v>0</v>
      </c>
      <c r="N557" s="2">
        <v>6</v>
      </c>
      <c r="O557" s="2">
        <v>10</v>
      </c>
      <c r="P557" s="2">
        <v>0</v>
      </c>
      <c r="Q557" s="2" t="s">
        <v>2766</v>
      </c>
      <c r="R557" s="2" t="s">
        <v>2767</v>
      </c>
      <c r="S557" s="4">
        <v>44837</v>
      </c>
    </row>
    <row r="558" spans="1:19" ht="12.5" x14ac:dyDescent="0.25">
      <c r="A558" s="14" t="str">
        <f>HYPERLINK("https://gerandofalcoes.my.salesforce.com/0014X00002VKCtuQAH", "0014X00002VKCtuQAH")</f>
        <v>0014X00002VKCtuQAH</v>
      </c>
      <c r="B558" s="2" t="s">
        <v>2768</v>
      </c>
      <c r="C558" s="2" t="s">
        <v>423</v>
      </c>
      <c r="D558" s="2" t="s">
        <v>2</v>
      </c>
      <c r="E558" s="2">
        <v>13.78</v>
      </c>
      <c r="F558" s="2">
        <v>0</v>
      </c>
      <c r="G558" s="2">
        <v>2</v>
      </c>
      <c r="H558" s="2">
        <v>254344</v>
      </c>
      <c r="I558" s="2">
        <v>0</v>
      </c>
      <c r="J558" s="2" t="s">
        <v>1779</v>
      </c>
      <c r="K558" s="2">
        <v>31</v>
      </c>
      <c r="L558" s="2">
        <v>10</v>
      </c>
      <c r="M558" s="2">
        <v>0</v>
      </c>
      <c r="N558" s="2">
        <v>6</v>
      </c>
      <c r="O558" s="2">
        <v>15</v>
      </c>
      <c r="P558" s="2">
        <v>0</v>
      </c>
      <c r="Q558" s="2" t="s">
        <v>2769</v>
      </c>
      <c r="R558" s="2" t="s">
        <v>2770</v>
      </c>
      <c r="S558" s="4">
        <v>44837</v>
      </c>
    </row>
    <row r="559" spans="1:19" ht="12.5" x14ac:dyDescent="0.25">
      <c r="A559" s="14" t="str">
        <f>HYPERLINK("https://gerandofalcoes.my.salesforce.com/0014X00002VKCscQAH", "0014X00002VKCscQAH")</f>
        <v>0014X00002VKCscQAH</v>
      </c>
      <c r="B559" s="2" t="s">
        <v>2771</v>
      </c>
      <c r="C559" s="2" t="s">
        <v>423</v>
      </c>
      <c r="D559" s="2" t="s">
        <v>2</v>
      </c>
      <c r="E559" s="2">
        <v>13.67</v>
      </c>
      <c r="F559" s="2">
        <v>6</v>
      </c>
      <c r="G559" s="2">
        <v>0</v>
      </c>
      <c r="H559" s="2">
        <v>0</v>
      </c>
      <c r="I559" s="2">
        <v>150</v>
      </c>
      <c r="J559" s="2" t="s">
        <v>1779</v>
      </c>
      <c r="K559" s="2">
        <v>32</v>
      </c>
      <c r="L559" s="2">
        <v>10</v>
      </c>
      <c r="M559" s="2">
        <v>10</v>
      </c>
      <c r="N559" s="2">
        <v>0</v>
      </c>
      <c r="O559" s="2">
        <v>0</v>
      </c>
      <c r="P559" s="2">
        <v>12</v>
      </c>
      <c r="Q559" s="2" t="s">
        <v>2772</v>
      </c>
      <c r="R559" s="2" t="s">
        <v>2773</v>
      </c>
      <c r="S559" s="4">
        <v>44837</v>
      </c>
    </row>
    <row r="560" spans="1:19" ht="12.5" x14ac:dyDescent="0.25">
      <c r="A560" s="14" t="str">
        <f>HYPERLINK("https://gerandofalcoes.my.salesforce.com/0014P00003SGWPrQAP", "0014P00003SGWPrQAP")</f>
        <v>0014P00003SGWPrQAP</v>
      </c>
      <c r="B560" s="2" t="s">
        <v>2774</v>
      </c>
      <c r="C560" s="2" t="s">
        <v>423</v>
      </c>
      <c r="D560" s="2" t="s">
        <v>2</v>
      </c>
      <c r="E560" s="2">
        <v>13.4</v>
      </c>
      <c r="F560" s="2">
        <v>0</v>
      </c>
      <c r="G560" s="2">
        <v>2</v>
      </c>
      <c r="H560" s="2">
        <v>50000</v>
      </c>
      <c r="I560" s="2">
        <v>52</v>
      </c>
      <c r="J560" s="2" t="s">
        <v>1779</v>
      </c>
      <c r="K560" s="2">
        <v>31</v>
      </c>
      <c r="L560" s="2">
        <v>10</v>
      </c>
      <c r="M560" s="2">
        <v>0</v>
      </c>
      <c r="N560" s="2">
        <v>6</v>
      </c>
      <c r="O560" s="2">
        <v>10</v>
      </c>
      <c r="P560" s="2">
        <v>5</v>
      </c>
      <c r="Q560" s="2" t="s">
        <v>329</v>
      </c>
      <c r="R560" s="2" t="s">
        <v>1419</v>
      </c>
      <c r="S560" s="4">
        <v>44837</v>
      </c>
    </row>
    <row r="561" spans="1:19" ht="12.5" x14ac:dyDescent="0.25">
      <c r="A561" s="14" t="str">
        <f>HYPERLINK("https://gerandofalcoes.my.salesforce.com/0014P00003YSp8lQAD", "0014P00003YSp8lQAD")</f>
        <v>0014P00003YSp8lQAD</v>
      </c>
      <c r="B561" s="2" t="s">
        <v>2775</v>
      </c>
      <c r="C561" s="2" t="s">
        <v>423</v>
      </c>
      <c r="D561" s="2" t="s">
        <v>2</v>
      </c>
      <c r="E561" s="2">
        <v>13.27</v>
      </c>
      <c r="F561" s="2">
        <v>0</v>
      </c>
      <c r="G561" s="2">
        <v>5</v>
      </c>
      <c r="H561" s="2">
        <v>111840</v>
      </c>
      <c r="I561" s="2">
        <v>30</v>
      </c>
      <c r="J561" s="2" t="s">
        <v>1671</v>
      </c>
      <c r="K561" s="2">
        <v>40</v>
      </c>
      <c r="L561" s="2">
        <v>10</v>
      </c>
      <c r="M561" s="2">
        <v>0</v>
      </c>
      <c r="N561" s="2">
        <v>10</v>
      </c>
      <c r="O561" s="2">
        <v>15</v>
      </c>
      <c r="P561" s="2">
        <v>5</v>
      </c>
      <c r="Q561" s="2" t="s">
        <v>2776</v>
      </c>
      <c r="R561" s="2" t="s">
        <v>2776</v>
      </c>
      <c r="S561" s="4">
        <v>44837</v>
      </c>
    </row>
    <row r="562" spans="1:19" ht="12.5" x14ac:dyDescent="0.25">
      <c r="A562" s="14" t="str">
        <f>HYPERLINK("https://gerandofalcoes.my.salesforce.com/0014X00002YgglYQAR", "0014X00002YgglYQAR")</f>
        <v>0014X00002YgglYQAR</v>
      </c>
      <c r="B562" s="2" t="s">
        <v>3154</v>
      </c>
      <c r="C562" s="2" t="s">
        <v>423</v>
      </c>
      <c r="D562" s="2" t="s">
        <v>2</v>
      </c>
      <c r="E562" s="2">
        <v>13.07</v>
      </c>
      <c r="F562" s="2">
        <v>0</v>
      </c>
      <c r="G562" s="2">
        <v>2</v>
      </c>
      <c r="H562" s="2">
        <v>5000</v>
      </c>
      <c r="I562" s="2">
        <v>30</v>
      </c>
      <c r="J562" s="2" t="s">
        <v>1779</v>
      </c>
      <c r="K562" s="2">
        <v>26</v>
      </c>
      <c r="L562" s="2">
        <v>10</v>
      </c>
      <c r="M562" s="2">
        <v>0</v>
      </c>
      <c r="N562" s="2">
        <v>6</v>
      </c>
      <c r="O562" s="2">
        <v>5</v>
      </c>
      <c r="P562" s="2">
        <v>5</v>
      </c>
      <c r="Q562" s="2" t="s">
        <v>3155</v>
      </c>
      <c r="R562" s="2" t="s">
        <v>3156</v>
      </c>
      <c r="S562" s="4">
        <v>44950</v>
      </c>
    </row>
    <row r="563" spans="1:19" ht="12.5" x14ac:dyDescent="0.25">
      <c r="A563" s="14" t="str">
        <f>HYPERLINK("https://gerandofalcoes.my.salesforce.com/0014X00002VKCu7QAH", "0014X00002VKCu7QAH")</f>
        <v>0014X00002VKCu7QAH</v>
      </c>
      <c r="B563" s="2" t="s">
        <v>2777</v>
      </c>
      <c r="C563" s="2" t="s">
        <v>423</v>
      </c>
      <c r="D563" s="2" t="s">
        <v>2</v>
      </c>
      <c r="E563" s="2">
        <v>13.06</v>
      </c>
      <c r="F563" s="2">
        <v>4</v>
      </c>
      <c r="G563" s="2">
        <v>2</v>
      </c>
      <c r="H563" s="2">
        <v>64700000</v>
      </c>
      <c r="I563" s="2">
        <v>210</v>
      </c>
      <c r="J563" s="2" t="s">
        <v>1671</v>
      </c>
      <c r="K563" s="2">
        <v>58</v>
      </c>
      <c r="L563" s="2">
        <v>10</v>
      </c>
      <c r="M563" s="2">
        <v>5</v>
      </c>
      <c r="N563" s="2">
        <v>6</v>
      </c>
      <c r="O563" s="2">
        <v>25</v>
      </c>
      <c r="P563" s="2">
        <v>12</v>
      </c>
      <c r="Q563" s="2" t="s">
        <v>2778</v>
      </c>
      <c r="R563" s="2" t="s">
        <v>2779</v>
      </c>
      <c r="S563" s="4">
        <v>44837</v>
      </c>
    </row>
    <row r="564" spans="1:19" ht="12.5" x14ac:dyDescent="0.25">
      <c r="A564" s="14" t="str">
        <f>HYPERLINK("https://gerandofalcoes.my.salesforce.com/0014X00002YggqwQAB", "0014X00002YggqwQAB")</f>
        <v>0014X00002YggqwQAB</v>
      </c>
      <c r="B564" s="2" t="s">
        <v>3319</v>
      </c>
      <c r="C564" s="2" t="s">
        <v>423</v>
      </c>
      <c r="D564" s="2" t="s">
        <v>2</v>
      </c>
      <c r="E564" s="2">
        <v>13.02</v>
      </c>
      <c r="F564" s="2">
        <v>4</v>
      </c>
      <c r="G564" s="2">
        <v>2</v>
      </c>
      <c r="H564" s="2">
        <v>6082</v>
      </c>
      <c r="I564" s="2">
        <v>50</v>
      </c>
      <c r="J564" s="2" t="s">
        <v>1779</v>
      </c>
      <c r="K564" s="2">
        <v>31</v>
      </c>
      <c r="L564" s="2">
        <v>10</v>
      </c>
      <c r="M564" s="2">
        <v>5</v>
      </c>
      <c r="N564" s="2">
        <v>6</v>
      </c>
      <c r="O564" s="2">
        <v>5</v>
      </c>
      <c r="P564" s="2">
        <v>5</v>
      </c>
      <c r="Q564" s="2" t="s">
        <v>3320</v>
      </c>
      <c r="R564" s="2" t="s">
        <v>3321</v>
      </c>
      <c r="S564" s="4">
        <v>44953</v>
      </c>
    </row>
    <row r="565" spans="1:19" ht="12.5" x14ac:dyDescent="0.25">
      <c r="A565" s="14" t="str">
        <f>HYPERLINK("https://gerandofalcoes.my.salesforce.com/0014X00002VKCqhQAH", "0014X00002VKCqhQAH")</f>
        <v>0014X00002VKCqhQAH</v>
      </c>
      <c r="B565" s="2" t="s">
        <v>2786</v>
      </c>
      <c r="C565" s="2" t="s">
        <v>423</v>
      </c>
      <c r="D565" s="2" t="s">
        <v>2</v>
      </c>
      <c r="E565" s="2">
        <v>13</v>
      </c>
      <c r="F565" s="2">
        <v>0</v>
      </c>
      <c r="G565" s="2">
        <v>0</v>
      </c>
      <c r="H565" s="2">
        <v>0</v>
      </c>
      <c r="I565" s="2">
        <v>300</v>
      </c>
      <c r="J565" s="2" t="s">
        <v>1779</v>
      </c>
      <c r="K565" s="2">
        <v>25</v>
      </c>
      <c r="L565" s="2">
        <v>10</v>
      </c>
      <c r="M565" s="2">
        <v>0</v>
      </c>
      <c r="N565" s="2">
        <v>0</v>
      </c>
      <c r="O565" s="2">
        <v>0</v>
      </c>
      <c r="P565" s="2">
        <v>15</v>
      </c>
      <c r="Q565" s="2" t="s">
        <v>2787</v>
      </c>
      <c r="R565" s="2" t="s">
        <v>2788</v>
      </c>
      <c r="S565" s="4">
        <v>44837</v>
      </c>
    </row>
    <row r="566" spans="1:19" ht="12.5" x14ac:dyDescent="0.25">
      <c r="A566" s="14" t="str">
        <f>HYPERLINK("https://gerandofalcoes.my.salesforce.com/0014P00003YSp7xQAD", "0014P00003YSp7xQAD")</f>
        <v>0014P00003YSp7xQAD</v>
      </c>
      <c r="B566" s="2" t="s">
        <v>2801</v>
      </c>
      <c r="C566" s="2" t="s">
        <v>1800</v>
      </c>
      <c r="D566" s="2" t="s">
        <v>2</v>
      </c>
      <c r="E566" s="2">
        <v>13</v>
      </c>
      <c r="F566" s="2">
        <v>7</v>
      </c>
      <c r="G566" s="2">
        <v>3</v>
      </c>
      <c r="H566" s="2">
        <v>1000</v>
      </c>
      <c r="I566" s="2">
        <v>30</v>
      </c>
      <c r="J566" s="2" t="s">
        <v>1779</v>
      </c>
      <c r="K566" s="2">
        <v>38</v>
      </c>
      <c r="L566" s="2">
        <v>10</v>
      </c>
      <c r="M566" s="2">
        <v>10</v>
      </c>
      <c r="N566" s="2">
        <v>8</v>
      </c>
      <c r="O566" s="2">
        <v>5</v>
      </c>
      <c r="P566" s="2">
        <v>5</v>
      </c>
      <c r="Q566" s="2" t="s">
        <v>2802</v>
      </c>
      <c r="R566" s="2" t="s">
        <v>2803</v>
      </c>
      <c r="S566" s="4">
        <v>44837</v>
      </c>
    </row>
    <row r="567" spans="1:19" ht="12.5" x14ac:dyDescent="0.25">
      <c r="A567" s="14" t="str">
        <f>HYPERLINK("https://gerandofalcoes.my.salesforce.com/0014X00002VKCqUQAX", "0014X00002VKCqUQAX")</f>
        <v>0014X00002VKCqUQAX</v>
      </c>
      <c r="B567" s="2" t="s">
        <v>2807</v>
      </c>
      <c r="C567" s="2" t="s">
        <v>1800</v>
      </c>
      <c r="D567" s="2" t="s">
        <v>2</v>
      </c>
      <c r="E567" s="2">
        <v>13</v>
      </c>
      <c r="F567" s="2">
        <v>0</v>
      </c>
      <c r="G567" s="2">
        <v>3</v>
      </c>
      <c r="H567" s="2">
        <v>10000</v>
      </c>
      <c r="I567" s="2">
        <v>0</v>
      </c>
      <c r="J567" s="2" t="s">
        <v>1779</v>
      </c>
      <c r="K567" s="2">
        <v>23</v>
      </c>
      <c r="L567" s="2">
        <v>10</v>
      </c>
      <c r="M567" s="2">
        <v>0</v>
      </c>
      <c r="N567" s="2">
        <v>8</v>
      </c>
      <c r="O567" s="2">
        <v>5</v>
      </c>
      <c r="P567" s="2">
        <v>0</v>
      </c>
      <c r="Q567" s="2" t="s">
        <v>2808</v>
      </c>
      <c r="R567" s="2" t="s">
        <v>2808</v>
      </c>
      <c r="S567" s="4">
        <v>44837</v>
      </c>
    </row>
    <row r="568" spans="1:19" ht="12.5" x14ac:dyDescent="0.25">
      <c r="A568" s="14" t="str">
        <f>HYPERLINK("https://gerandofalcoes.my.salesforce.com/0014P00003YSp9qQAD", "0014P00003YSp9qQAD")</f>
        <v>0014P00003YSp9qQAD</v>
      </c>
      <c r="B568" s="2" t="s">
        <v>2792</v>
      </c>
      <c r="C568" s="2" t="s">
        <v>1800</v>
      </c>
      <c r="D568" s="2" t="s">
        <v>2</v>
      </c>
      <c r="E568" s="2">
        <v>13</v>
      </c>
      <c r="F568" s="2">
        <v>0</v>
      </c>
      <c r="G568" s="2">
        <v>4</v>
      </c>
      <c r="H568" s="2">
        <v>3000</v>
      </c>
      <c r="I568" s="2">
        <v>60</v>
      </c>
      <c r="J568" s="2" t="s">
        <v>1779</v>
      </c>
      <c r="K568" s="2">
        <v>30</v>
      </c>
      <c r="L568" s="2">
        <v>10</v>
      </c>
      <c r="M568" s="2">
        <v>0</v>
      </c>
      <c r="N568" s="2">
        <v>10</v>
      </c>
      <c r="O568" s="2">
        <v>5</v>
      </c>
      <c r="P568" s="2">
        <v>5</v>
      </c>
      <c r="Q568" s="2" t="s">
        <v>2793</v>
      </c>
      <c r="R568" s="2" t="s">
        <v>2794</v>
      </c>
      <c r="S568" s="4">
        <v>44837</v>
      </c>
    </row>
    <row r="569" spans="1:19" ht="12.5" x14ac:dyDescent="0.25">
      <c r="A569" s="14" t="str">
        <f>HYPERLINK("https://gerandofalcoes.my.salesforce.com/0014X00002VKCqNQAX", "0014X00002VKCqNQAX")</f>
        <v>0014X00002VKCqNQAX</v>
      </c>
      <c r="B569" s="2" t="s">
        <v>2783</v>
      </c>
      <c r="C569" s="2" t="s">
        <v>423</v>
      </c>
      <c r="D569" s="2" t="s">
        <v>2</v>
      </c>
      <c r="E569" s="2">
        <v>13</v>
      </c>
      <c r="F569" s="2">
        <v>10</v>
      </c>
      <c r="G569" s="2">
        <v>10</v>
      </c>
      <c r="H569" s="2">
        <v>275000</v>
      </c>
      <c r="I569" s="2">
        <v>348</v>
      </c>
      <c r="J569" s="2" t="s">
        <v>1671</v>
      </c>
      <c r="K569" s="2">
        <v>60</v>
      </c>
      <c r="L569" s="2">
        <v>10</v>
      </c>
      <c r="M569" s="2">
        <v>10</v>
      </c>
      <c r="N569" s="2">
        <v>10</v>
      </c>
      <c r="O569" s="2">
        <v>15</v>
      </c>
      <c r="P569" s="2">
        <v>15</v>
      </c>
      <c r="Q569" s="2" t="s">
        <v>2784</v>
      </c>
      <c r="R569" s="2" t="s">
        <v>2785</v>
      </c>
      <c r="S569" s="4">
        <v>44837</v>
      </c>
    </row>
    <row r="570" spans="1:19" ht="12.5" x14ac:dyDescent="0.25">
      <c r="A570" s="14" t="str">
        <f>HYPERLINK("https://gerandofalcoes.my.salesforce.com/0014X00002VKCrfQAH", "0014X00002VKCrfQAH")</f>
        <v>0014X00002VKCrfQAH</v>
      </c>
      <c r="B570" s="2" t="s">
        <v>2804</v>
      </c>
      <c r="C570" s="2" t="s">
        <v>1800</v>
      </c>
      <c r="D570" s="2" t="s">
        <v>2</v>
      </c>
      <c r="E570" s="2">
        <v>13</v>
      </c>
      <c r="F570" s="2">
        <v>0</v>
      </c>
      <c r="G570" s="2">
        <v>4</v>
      </c>
      <c r="H570" s="2">
        <v>10000</v>
      </c>
      <c r="I570" s="2">
        <v>2</v>
      </c>
      <c r="J570" s="2" t="s">
        <v>1779</v>
      </c>
      <c r="K570" s="2">
        <v>30</v>
      </c>
      <c r="L570" s="2">
        <v>10</v>
      </c>
      <c r="M570" s="2">
        <v>0</v>
      </c>
      <c r="N570" s="2">
        <v>10</v>
      </c>
      <c r="O570" s="2">
        <v>5</v>
      </c>
      <c r="P570" s="2">
        <v>5</v>
      </c>
      <c r="Q570" s="2" t="s">
        <v>2805</v>
      </c>
      <c r="R570" s="2" t="s">
        <v>2806</v>
      </c>
      <c r="S570" s="4">
        <v>44837</v>
      </c>
    </row>
    <row r="571" spans="1:19" ht="12.5" x14ac:dyDescent="0.25">
      <c r="A571" s="14" t="str">
        <f>HYPERLINK("https://gerandofalcoes.my.salesforce.com/0014X00002VKCsQQAX", "0014X00002VKCsQQAX")</f>
        <v>0014X00002VKCsQQAX</v>
      </c>
      <c r="B571" s="2" t="s">
        <v>2780</v>
      </c>
      <c r="C571" s="2" t="s">
        <v>423</v>
      </c>
      <c r="D571" s="2" t="s">
        <v>2</v>
      </c>
      <c r="E571" s="2">
        <v>13</v>
      </c>
      <c r="F571" s="2">
        <v>0</v>
      </c>
      <c r="G571" s="2">
        <v>2</v>
      </c>
      <c r="H571" s="2">
        <v>0</v>
      </c>
      <c r="I571" s="2">
        <v>585</v>
      </c>
      <c r="J571" s="2" t="s">
        <v>1779</v>
      </c>
      <c r="K571" s="2">
        <v>36</v>
      </c>
      <c r="L571" s="2">
        <v>10</v>
      </c>
      <c r="M571" s="2">
        <v>0</v>
      </c>
      <c r="N571" s="2">
        <v>6</v>
      </c>
      <c r="O571" s="2">
        <v>0</v>
      </c>
      <c r="P571" s="2">
        <v>20</v>
      </c>
      <c r="Q571" s="2" t="s">
        <v>2781</v>
      </c>
      <c r="R571" s="2" t="s">
        <v>2782</v>
      </c>
      <c r="S571" s="4">
        <v>44837</v>
      </c>
    </row>
    <row r="572" spans="1:19" ht="12.5" x14ac:dyDescent="0.25">
      <c r="A572" s="14" t="str">
        <f>HYPERLINK("https://gerandofalcoes.my.salesforce.com/0014X00002VKCpUQAX", "0014X00002VKCpUQAX")</f>
        <v>0014X00002VKCpUQAX</v>
      </c>
      <c r="B572" s="2" t="s">
        <v>2795</v>
      </c>
      <c r="C572" s="2" t="s">
        <v>423</v>
      </c>
      <c r="D572" s="2" t="s">
        <v>2</v>
      </c>
      <c r="E572" s="2">
        <v>13</v>
      </c>
      <c r="F572" s="2">
        <v>3</v>
      </c>
      <c r="G572" s="2">
        <v>1</v>
      </c>
      <c r="H572" s="2">
        <v>1200</v>
      </c>
      <c r="I572" s="2">
        <v>50</v>
      </c>
      <c r="J572" s="2" t="s">
        <v>1779</v>
      </c>
      <c r="K572" s="2">
        <v>29</v>
      </c>
      <c r="L572" s="2">
        <v>10</v>
      </c>
      <c r="M572" s="2">
        <v>5</v>
      </c>
      <c r="N572" s="2">
        <v>4</v>
      </c>
      <c r="O572" s="2">
        <v>5</v>
      </c>
      <c r="P572" s="2">
        <v>5</v>
      </c>
      <c r="Q572" s="2" t="s">
        <v>2796</v>
      </c>
      <c r="R572" s="2" t="s">
        <v>2797</v>
      </c>
      <c r="S572" s="4">
        <v>44837</v>
      </c>
    </row>
    <row r="573" spans="1:19" ht="12.5" x14ac:dyDescent="0.25">
      <c r="A573" s="14" t="str">
        <f>HYPERLINK("https://gerandofalcoes.my.salesforce.com/0014X00002VKCsLQAX", "0014X00002VKCsLQAX")</f>
        <v>0014X00002VKCsLQAX</v>
      </c>
      <c r="B573" s="2" t="s">
        <v>2798</v>
      </c>
      <c r="C573" s="2" t="s">
        <v>1800</v>
      </c>
      <c r="D573" s="2" t="s">
        <v>2</v>
      </c>
      <c r="E573" s="2">
        <v>13</v>
      </c>
      <c r="F573" s="2">
        <v>0</v>
      </c>
      <c r="G573" s="2">
        <v>3</v>
      </c>
      <c r="H573" s="2">
        <v>500</v>
      </c>
      <c r="I573" s="2">
        <v>30</v>
      </c>
      <c r="J573" s="2" t="s">
        <v>1779</v>
      </c>
      <c r="K573" s="2">
        <v>28</v>
      </c>
      <c r="L573" s="2">
        <v>10</v>
      </c>
      <c r="M573" s="2">
        <v>0</v>
      </c>
      <c r="N573" s="2">
        <v>8</v>
      </c>
      <c r="O573" s="2">
        <v>5</v>
      </c>
      <c r="P573" s="2">
        <v>5</v>
      </c>
      <c r="Q573" s="2" t="s">
        <v>2799</v>
      </c>
      <c r="R573" s="2" t="s">
        <v>2800</v>
      </c>
      <c r="S573" s="4">
        <v>44837</v>
      </c>
    </row>
    <row r="574" spans="1:19" ht="12.5" x14ac:dyDescent="0.25">
      <c r="A574" s="14" t="str">
        <f>HYPERLINK("https://gerandofalcoes.my.salesforce.com/0014X00002VKCsDQAX", "0014X00002VKCsDQAX")</f>
        <v>0014X00002VKCsDQAX</v>
      </c>
      <c r="B574" s="2" t="s">
        <v>2789</v>
      </c>
      <c r="C574" s="2" t="s">
        <v>423</v>
      </c>
      <c r="D574" s="2" t="s">
        <v>2</v>
      </c>
      <c r="E574" s="2">
        <v>13</v>
      </c>
      <c r="F574" s="2">
        <v>0</v>
      </c>
      <c r="G574" s="2">
        <v>2</v>
      </c>
      <c r="H574" s="2">
        <v>14000</v>
      </c>
      <c r="I574" s="2">
        <v>60</v>
      </c>
      <c r="J574" s="2" t="s">
        <v>1779</v>
      </c>
      <c r="K574" s="2">
        <v>26</v>
      </c>
      <c r="L574" s="2">
        <v>10</v>
      </c>
      <c r="M574" s="2">
        <v>0</v>
      </c>
      <c r="N574" s="2">
        <v>6</v>
      </c>
      <c r="O574" s="2">
        <v>5</v>
      </c>
      <c r="P574" s="2">
        <v>5</v>
      </c>
      <c r="Q574" s="2" t="s">
        <v>2790</v>
      </c>
      <c r="R574" s="2" t="s">
        <v>2791</v>
      </c>
      <c r="S574" s="4">
        <v>44837</v>
      </c>
    </row>
    <row r="575" spans="1:19" ht="12.5" x14ac:dyDescent="0.25">
      <c r="A575" s="14" t="str">
        <f>HYPERLINK("https://gerandofalcoes.my.salesforce.com/0014X00002YggiyQAB", "0014X00002YggiyQAB")</f>
        <v>0014X00002YggiyQAB</v>
      </c>
      <c r="B575" s="2" t="s">
        <v>3815</v>
      </c>
      <c r="C575" s="2" t="s">
        <v>423</v>
      </c>
      <c r="D575" s="2" t="s">
        <v>2</v>
      </c>
      <c r="E575" s="2">
        <v>12.99</v>
      </c>
      <c r="F575" s="2">
        <v>1</v>
      </c>
      <c r="G575" s="2">
        <v>3</v>
      </c>
      <c r="H575" s="2">
        <v>29000</v>
      </c>
      <c r="I575" s="2">
        <v>120</v>
      </c>
      <c r="J575" s="2" t="s">
        <v>1671</v>
      </c>
      <c r="K575" s="2">
        <v>43</v>
      </c>
      <c r="L575" s="2">
        <v>10</v>
      </c>
      <c r="M575" s="2">
        <v>5</v>
      </c>
      <c r="N575" s="2">
        <v>8</v>
      </c>
      <c r="O575" s="2">
        <v>10</v>
      </c>
      <c r="P575" s="2">
        <v>10</v>
      </c>
      <c r="Q575" s="2" t="s">
        <v>3816</v>
      </c>
      <c r="R575" s="2" t="s">
        <v>3817</v>
      </c>
      <c r="S575" s="4">
        <v>44992</v>
      </c>
    </row>
    <row r="576" spans="1:19" ht="12.5" x14ac:dyDescent="0.25">
      <c r="A576" s="14" t="str">
        <f>HYPERLINK("https://gerandofalcoes.my.salesforce.com/0014P00003Ck7X8QAJ", "0014P00003Ck7X8QAJ")</f>
        <v>0014P00003Ck7X8QAJ</v>
      </c>
      <c r="B576" s="2" t="s">
        <v>2809</v>
      </c>
      <c r="C576" s="2" t="s">
        <v>423</v>
      </c>
      <c r="D576" s="2" t="s">
        <v>2</v>
      </c>
      <c r="E576" s="2">
        <v>12.87</v>
      </c>
      <c r="F576" s="2">
        <v>0</v>
      </c>
      <c r="G576" s="2">
        <v>0</v>
      </c>
      <c r="H576" s="2">
        <v>12550</v>
      </c>
      <c r="I576" s="2">
        <v>50</v>
      </c>
      <c r="J576" s="2" t="s">
        <v>1779</v>
      </c>
      <c r="K576" s="2">
        <v>20</v>
      </c>
      <c r="L576" s="2">
        <v>10</v>
      </c>
      <c r="M576" s="2">
        <v>0</v>
      </c>
      <c r="N576" s="2">
        <v>0</v>
      </c>
      <c r="O576" s="2">
        <v>5</v>
      </c>
      <c r="P576" s="2">
        <v>5</v>
      </c>
      <c r="Q576" s="2" t="s">
        <v>891</v>
      </c>
      <c r="R576" s="2" t="s">
        <v>891</v>
      </c>
      <c r="S576" s="4">
        <v>44837</v>
      </c>
    </row>
    <row r="577" spans="1:19" ht="12.5" x14ac:dyDescent="0.25">
      <c r="A577" s="14" t="str">
        <f>HYPERLINK("https://gerandofalcoes.my.salesforce.com/0014X00002VKCu2QAH", "0014X00002VKCu2QAH")</f>
        <v>0014X00002VKCu2QAH</v>
      </c>
      <c r="B577" s="2" t="s">
        <v>2810</v>
      </c>
      <c r="C577" s="2" t="s">
        <v>423</v>
      </c>
      <c r="D577" s="2" t="s">
        <v>2</v>
      </c>
      <c r="E577" s="2">
        <v>12.84</v>
      </c>
      <c r="F577" s="2">
        <v>0</v>
      </c>
      <c r="G577" s="2">
        <v>2</v>
      </c>
      <c r="H577" s="2">
        <v>3</v>
      </c>
      <c r="I577" s="2">
        <v>300</v>
      </c>
      <c r="J577" s="2" t="s">
        <v>1779</v>
      </c>
      <c r="K577" s="2">
        <v>36</v>
      </c>
      <c r="L577" s="2">
        <v>10</v>
      </c>
      <c r="M577" s="2">
        <v>0</v>
      </c>
      <c r="N577" s="2">
        <v>6</v>
      </c>
      <c r="O577" s="2">
        <v>5</v>
      </c>
      <c r="P577" s="2">
        <v>15</v>
      </c>
      <c r="Q577" s="2" t="s">
        <v>2811</v>
      </c>
      <c r="R577" s="2" t="s">
        <v>2812</v>
      </c>
      <c r="S577" s="4">
        <v>44837</v>
      </c>
    </row>
    <row r="578" spans="1:19" ht="12.5" x14ac:dyDescent="0.25">
      <c r="A578" s="14" t="str">
        <f>HYPERLINK("https://gerandofalcoes.my.salesforce.com/0014P00003SGWQ8QAP", "0014P00003SGWQ8QAP")</f>
        <v>0014P00003SGWQ8QAP</v>
      </c>
      <c r="B578" s="2" t="s">
        <v>213</v>
      </c>
      <c r="C578" s="2" t="s">
        <v>423</v>
      </c>
      <c r="D578" s="2" t="s">
        <v>2</v>
      </c>
      <c r="E578" s="2">
        <v>12.73</v>
      </c>
      <c r="F578" s="2">
        <v>0</v>
      </c>
      <c r="G578" s="2">
        <v>2</v>
      </c>
      <c r="H578" s="2">
        <v>300000</v>
      </c>
      <c r="I578" s="2">
        <v>0</v>
      </c>
      <c r="J578" s="2" t="s">
        <v>1779</v>
      </c>
      <c r="K578" s="2">
        <v>36</v>
      </c>
      <c r="L578" s="2">
        <v>10</v>
      </c>
      <c r="M578" s="2">
        <v>0</v>
      </c>
      <c r="N578" s="2">
        <v>6</v>
      </c>
      <c r="O578" s="2">
        <v>20</v>
      </c>
      <c r="P578" s="2">
        <v>0</v>
      </c>
      <c r="Q578" s="2" t="s">
        <v>214</v>
      </c>
      <c r="R578" s="2" t="s">
        <v>1170</v>
      </c>
      <c r="S578" s="4">
        <v>44837</v>
      </c>
    </row>
    <row r="579" spans="1:19" ht="12.5" x14ac:dyDescent="0.25">
      <c r="A579" s="14" t="str">
        <f>HYPERLINK("https://gerandofalcoes.my.salesforce.com/0014P00003YSp8BQAT", "0014P00003YSp8BQAT")</f>
        <v>0014P00003YSp8BQAT</v>
      </c>
      <c r="B579" s="2" t="s">
        <v>2813</v>
      </c>
      <c r="C579" s="2" t="s">
        <v>423</v>
      </c>
      <c r="D579" s="2" t="s">
        <v>2</v>
      </c>
      <c r="E579" s="2">
        <v>12.55</v>
      </c>
      <c r="F579" s="2">
        <v>0</v>
      </c>
      <c r="G579" s="2">
        <v>0</v>
      </c>
      <c r="H579" s="2">
        <v>0</v>
      </c>
      <c r="I579" s="2">
        <v>239</v>
      </c>
      <c r="J579" s="2" t="s">
        <v>1779</v>
      </c>
      <c r="K579" s="2">
        <v>22</v>
      </c>
      <c r="L579" s="2">
        <v>10</v>
      </c>
      <c r="M579" s="2">
        <v>0</v>
      </c>
      <c r="N579" s="2">
        <v>0</v>
      </c>
      <c r="O579" s="2">
        <v>0</v>
      </c>
      <c r="P579" s="2">
        <v>12</v>
      </c>
      <c r="Q579" s="2" t="s">
        <v>2814</v>
      </c>
      <c r="R579" s="2" t="s">
        <v>2815</v>
      </c>
      <c r="S579" s="4">
        <v>44837</v>
      </c>
    </row>
    <row r="580" spans="1:19" ht="12.5" x14ac:dyDescent="0.25">
      <c r="A580" s="14" t="str">
        <f>HYPERLINK("https://gerandofalcoes.my.salesforce.com/0014X00002VKCrvQAH", "0014X00002VKCrvQAH")</f>
        <v>0014X00002VKCrvQAH</v>
      </c>
      <c r="B580" s="2" t="s">
        <v>2816</v>
      </c>
      <c r="C580" s="2" t="s">
        <v>423</v>
      </c>
      <c r="D580" s="2" t="s">
        <v>2</v>
      </c>
      <c r="E580" s="2">
        <v>12.54</v>
      </c>
      <c r="F580" s="2">
        <v>4</v>
      </c>
      <c r="G580" s="2">
        <v>1</v>
      </c>
      <c r="H580" s="2">
        <v>1200</v>
      </c>
      <c r="I580" s="2">
        <v>150</v>
      </c>
      <c r="J580" s="2" t="s">
        <v>1779</v>
      </c>
      <c r="K580" s="2">
        <v>36</v>
      </c>
      <c r="L580" s="2">
        <v>10</v>
      </c>
      <c r="M580" s="2">
        <v>5</v>
      </c>
      <c r="N580" s="2">
        <v>4</v>
      </c>
      <c r="O580" s="2">
        <v>5</v>
      </c>
      <c r="P580" s="2">
        <v>12</v>
      </c>
      <c r="Q580" s="2" t="s">
        <v>2817</v>
      </c>
      <c r="R580" s="2" t="s">
        <v>2817</v>
      </c>
      <c r="S580" s="4">
        <v>44837</v>
      </c>
    </row>
    <row r="581" spans="1:19" ht="12.5" x14ac:dyDescent="0.25">
      <c r="A581" s="14" t="str">
        <f>HYPERLINK("https://gerandofalcoes.my.salesforce.com/0014X00002YgglcQAB", "0014X00002YgglcQAB")</f>
        <v>0014X00002YgglcQAB</v>
      </c>
      <c r="B581" s="2" t="s">
        <v>3709</v>
      </c>
      <c r="C581" s="2" t="s">
        <v>423</v>
      </c>
      <c r="D581" s="2" t="s">
        <v>2</v>
      </c>
      <c r="E581" s="2">
        <v>12.12</v>
      </c>
      <c r="F581" s="2">
        <v>0</v>
      </c>
      <c r="G581" s="2">
        <v>2</v>
      </c>
      <c r="H581" s="2">
        <v>60000</v>
      </c>
      <c r="I581" s="2">
        <v>0</v>
      </c>
      <c r="J581" s="2" t="s">
        <v>1779</v>
      </c>
      <c r="K581" s="2">
        <v>26</v>
      </c>
      <c r="L581" s="2">
        <v>10</v>
      </c>
      <c r="M581" s="2">
        <v>0</v>
      </c>
      <c r="N581" s="2">
        <v>6</v>
      </c>
      <c r="O581" s="2">
        <v>10</v>
      </c>
      <c r="P581" s="2">
        <v>0</v>
      </c>
      <c r="Q581" s="2" t="s">
        <v>3710</v>
      </c>
      <c r="R581" s="2" t="s">
        <v>3710</v>
      </c>
      <c r="S581" s="4">
        <v>44967</v>
      </c>
    </row>
    <row r="582" spans="1:19" ht="12.5" x14ac:dyDescent="0.25">
      <c r="A582" s="14" t="str">
        <f>HYPERLINK("https://gerandofalcoes.my.salesforce.com/0014P00003YSpA7QAL", "0014P00003YSpA7QAL")</f>
        <v>0014P00003YSpA7QAL</v>
      </c>
      <c r="B582" s="2" t="s">
        <v>2818</v>
      </c>
      <c r="C582" s="2" t="s">
        <v>423</v>
      </c>
      <c r="D582" s="2" t="s">
        <v>2</v>
      </c>
      <c r="E582" s="2">
        <v>12.03</v>
      </c>
      <c r="F582" s="2">
        <v>1</v>
      </c>
      <c r="G582" s="2">
        <v>1</v>
      </c>
      <c r="H582" s="2">
        <v>200000</v>
      </c>
      <c r="I582" s="2">
        <v>120</v>
      </c>
      <c r="J582" s="2" t="s">
        <v>1671</v>
      </c>
      <c r="K582" s="2">
        <v>44</v>
      </c>
      <c r="L582" s="2">
        <v>10</v>
      </c>
      <c r="M582" s="2">
        <v>5</v>
      </c>
      <c r="N582" s="2">
        <v>4</v>
      </c>
      <c r="O582" s="2">
        <v>15</v>
      </c>
      <c r="P582" s="2">
        <v>10</v>
      </c>
      <c r="Q582" s="2" t="s">
        <v>2819</v>
      </c>
      <c r="R582" s="2" t="s">
        <v>2819</v>
      </c>
      <c r="S582" s="4">
        <v>44837</v>
      </c>
    </row>
    <row r="583" spans="1:19" ht="12.5" x14ac:dyDescent="0.25">
      <c r="A583" s="14" t="str">
        <f>HYPERLINK("https://gerandofalcoes.my.salesforce.com/0014P00003YSp7yQAD", "0014P00003YSp7yQAD")</f>
        <v>0014P00003YSp7yQAD</v>
      </c>
      <c r="B583" s="2" t="s">
        <v>2823</v>
      </c>
      <c r="C583" s="2" t="s">
        <v>423</v>
      </c>
      <c r="D583" s="2" t="s">
        <v>2</v>
      </c>
      <c r="E583" s="2">
        <v>12</v>
      </c>
      <c r="F583" s="2">
        <v>0</v>
      </c>
      <c r="G583" s="2">
        <v>3</v>
      </c>
      <c r="H583" s="2">
        <v>10000</v>
      </c>
      <c r="I583" s="2">
        <v>200</v>
      </c>
      <c r="J583" s="2" t="s">
        <v>1779</v>
      </c>
      <c r="K583" s="2">
        <v>35</v>
      </c>
      <c r="L583" s="2">
        <v>10</v>
      </c>
      <c r="M583" s="2">
        <v>0</v>
      </c>
      <c r="N583" s="2">
        <v>8</v>
      </c>
      <c r="O583" s="2">
        <v>5</v>
      </c>
      <c r="P583" s="2">
        <v>12</v>
      </c>
      <c r="Q583" s="2" t="s">
        <v>2824</v>
      </c>
      <c r="R583" s="2" t="s">
        <v>2825</v>
      </c>
      <c r="S583" s="4">
        <v>44837</v>
      </c>
    </row>
    <row r="584" spans="1:19" ht="12.5" x14ac:dyDescent="0.25">
      <c r="A584" s="14" t="str">
        <f>HYPERLINK("https://gerandofalcoes.my.salesforce.com/0014X00002VKCrbQAH", "0014X00002VKCrbQAH")</f>
        <v>0014X00002VKCrbQAH</v>
      </c>
      <c r="B584" s="2" t="s">
        <v>2820</v>
      </c>
      <c r="C584" s="2" t="s">
        <v>423</v>
      </c>
      <c r="D584" s="2" t="s">
        <v>2</v>
      </c>
      <c r="E584" s="2">
        <v>12</v>
      </c>
      <c r="F584" s="2">
        <v>0</v>
      </c>
      <c r="G584" s="2">
        <v>0</v>
      </c>
      <c r="H584" s="2">
        <v>0</v>
      </c>
      <c r="I584" s="2">
        <v>300</v>
      </c>
      <c r="J584" s="2" t="s">
        <v>1779</v>
      </c>
      <c r="K584" s="2">
        <v>25</v>
      </c>
      <c r="L584" s="2">
        <v>10</v>
      </c>
      <c r="M584" s="2">
        <v>0</v>
      </c>
      <c r="N584" s="2">
        <v>0</v>
      </c>
      <c r="O584" s="2">
        <v>0</v>
      </c>
      <c r="P584" s="2">
        <v>15</v>
      </c>
      <c r="Q584" s="2" t="s">
        <v>2821</v>
      </c>
      <c r="R584" s="2" t="s">
        <v>2822</v>
      </c>
      <c r="S584" s="4">
        <v>44837</v>
      </c>
    </row>
    <row r="585" spans="1:19" ht="12.5" x14ac:dyDescent="0.25">
      <c r="A585" s="14" t="str">
        <f>HYPERLINK("https://gerandofalcoes.my.salesforce.com/0014X00002YgglkQAB", "0014X00002YgglkQAB")</f>
        <v>0014X00002YgglkQAB</v>
      </c>
      <c r="B585" s="2" t="s">
        <v>3711</v>
      </c>
      <c r="C585" s="2" t="s">
        <v>423</v>
      </c>
      <c r="D585" s="2" t="s">
        <v>2</v>
      </c>
      <c r="E585" s="2">
        <v>11.84</v>
      </c>
      <c r="F585" s="2">
        <v>2</v>
      </c>
      <c r="G585" s="2">
        <v>4</v>
      </c>
      <c r="H585" s="2">
        <v>95000</v>
      </c>
      <c r="I585" s="2">
        <v>15</v>
      </c>
      <c r="J585" s="2" t="s">
        <v>1671</v>
      </c>
      <c r="K585" s="2">
        <v>40</v>
      </c>
      <c r="L585" s="2">
        <v>10</v>
      </c>
      <c r="M585" s="2">
        <v>5</v>
      </c>
      <c r="N585" s="2">
        <v>10</v>
      </c>
      <c r="O585" s="2">
        <v>10</v>
      </c>
      <c r="P585" s="2">
        <v>5</v>
      </c>
      <c r="Q585" s="2" t="s">
        <v>3712</v>
      </c>
      <c r="R585" s="2" t="s">
        <v>3713</v>
      </c>
      <c r="S585" s="4">
        <v>44967</v>
      </c>
    </row>
    <row r="586" spans="1:19" ht="12.5" x14ac:dyDescent="0.25">
      <c r="A586" s="14" t="str">
        <f>HYPERLINK("https://gerandofalcoes.my.salesforce.com/0014X00002YggmgQAB", "0014X00002YggmgQAB")</f>
        <v>0014X00002YggmgQAB</v>
      </c>
      <c r="B586" s="2" t="s">
        <v>3005</v>
      </c>
      <c r="C586" s="2" t="s">
        <v>423</v>
      </c>
      <c r="D586" s="2" t="s">
        <v>2</v>
      </c>
      <c r="E586" s="2">
        <v>11.72</v>
      </c>
      <c r="F586" s="2">
        <v>0</v>
      </c>
      <c r="G586" s="2">
        <v>4</v>
      </c>
      <c r="H586" s="2">
        <v>600</v>
      </c>
      <c r="I586" s="2">
        <v>150</v>
      </c>
      <c r="J586" s="2" t="s">
        <v>1779</v>
      </c>
      <c r="K586" s="2">
        <v>37</v>
      </c>
      <c r="L586" s="2">
        <v>10</v>
      </c>
      <c r="M586" s="2">
        <v>0</v>
      </c>
      <c r="N586" s="2">
        <v>10</v>
      </c>
      <c r="O586" s="2">
        <v>5</v>
      </c>
      <c r="P586" s="2">
        <v>12</v>
      </c>
      <c r="Q586" s="2" t="s">
        <v>2987</v>
      </c>
      <c r="R586" s="2" t="s">
        <v>2987</v>
      </c>
      <c r="S586" s="4">
        <v>44944</v>
      </c>
    </row>
    <row r="587" spans="1:19" ht="12.5" x14ac:dyDescent="0.25">
      <c r="A587" s="14" t="str">
        <f>HYPERLINK("https://gerandofalcoes.my.salesforce.com/0014X00002VKCsCQAX", "0014X00002VKCsCQAX")</f>
        <v>0014X00002VKCsCQAX</v>
      </c>
      <c r="B587" s="2" t="s">
        <v>2826</v>
      </c>
      <c r="C587" s="2" t="s">
        <v>423</v>
      </c>
      <c r="D587" s="2" t="s">
        <v>2</v>
      </c>
      <c r="E587" s="2">
        <v>11.65</v>
      </c>
      <c r="F587" s="2">
        <v>0</v>
      </c>
      <c r="G587" s="2">
        <v>2</v>
      </c>
      <c r="H587" s="2">
        <v>30000</v>
      </c>
      <c r="I587" s="2">
        <v>70</v>
      </c>
      <c r="J587" s="2" t="s">
        <v>1779</v>
      </c>
      <c r="K587" s="2">
        <v>31</v>
      </c>
      <c r="L587" s="2">
        <v>10</v>
      </c>
      <c r="M587" s="2">
        <v>0</v>
      </c>
      <c r="N587" s="2">
        <v>6</v>
      </c>
      <c r="O587" s="2">
        <v>10</v>
      </c>
      <c r="P587" s="2">
        <v>5</v>
      </c>
      <c r="Q587" s="2" t="s">
        <v>2827</v>
      </c>
      <c r="R587" s="2" t="s">
        <v>2827</v>
      </c>
      <c r="S587" s="4">
        <v>44837</v>
      </c>
    </row>
    <row r="588" spans="1:19" ht="12.5" x14ac:dyDescent="0.25">
      <c r="A588" s="14" t="str">
        <f>HYPERLINK("https://gerandofalcoes.my.salesforce.com/0014X00002YggjqQAB", "0014X00002YggjqQAB")</f>
        <v>0014X00002YggjqQAB</v>
      </c>
      <c r="B588" s="2" t="s">
        <v>3617</v>
      </c>
      <c r="C588" s="2" t="s">
        <v>423</v>
      </c>
      <c r="D588" s="2" t="s">
        <v>2</v>
      </c>
      <c r="E588" s="2">
        <v>11.59</v>
      </c>
      <c r="F588" s="2">
        <v>2</v>
      </c>
      <c r="G588" s="2">
        <v>7</v>
      </c>
      <c r="H588" s="2">
        <v>100000</v>
      </c>
      <c r="I588" s="2">
        <v>120</v>
      </c>
      <c r="J588" s="2" t="s">
        <v>1671</v>
      </c>
      <c r="K588" s="2">
        <v>50</v>
      </c>
      <c r="L588" s="2">
        <v>10</v>
      </c>
      <c r="M588" s="2">
        <v>5</v>
      </c>
      <c r="N588" s="2">
        <v>10</v>
      </c>
      <c r="O588" s="2">
        <v>15</v>
      </c>
      <c r="P588" s="2">
        <v>10</v>
      </c>
      <c r="Q588" s="2" t="s">
        <v>3618</v>
      </c>
      <c r="R588" s="2" t="s">
        <v>3619</v>
      </c>
      <c r="S588" s="4">
        <v>44963</v>
      </c>
    </row>
    <row r="589" spans="1:19" ht="12.5" x14ac:dyDescent="0.25">
      <c r="A589" s="14" t="str">
        <f>HYPERLINK("https://gerandofalcoes.my.salesforce.com/0014X00002VKCtKQAX", "0014X00002VKCtKQAX")</f>
        <v>0014X00002VKCtKQAX</v>
      </c>
      <c r="B589" s="2" t="s">
        <v>2828</v>
      </c>
      <c r="C589" s="2" t="s">
        <v>423</v>
      </c>
      <c r="D589" s="2" t="s">
        <v>2</v>
      </c>
      <c r="E589" s="2">
        <v>11.48</v>
      </c>
      <c r="F589" s="2">
        <v>8</v>
      </c>
      <c r="G589" s="2">
        <v>12</v>
      </c>
      <c r="H589" s="2">
        <v>5479</v>
      </c>
      <c r="I589" s="2">
        <v>80</v>
      </c>
      <c r="J589" s="2" t="s">
        <v>1671</v>
      </c>
      <c r="K589" s="2">
        <v>45</v>
      </c>
      <c r="L589" s="2">
        <v>10</v>
      </c>
      <c r="M589" s="2">
        <v>10</v>
      </c>
      <c r="N589" s="2">
        <v>10</v>
      </c>
      <c r="O589" s="2">
        <v>5</v>
      </c>
      <c r="P589" s="2">
        <v>10</v>
      </c>
      <c r="Q589" s="2" t="s">
        <v>2829</v>
      </c>
      <c r="R589" s="2" t="s">
        <v>2829</v>
      </c>
      <c r="S589" s="4">
        <v>44837</v>
      </c>
    </row>
    <row r="590" spans="1:19" ht="12.5" x14ac:dyDescent="0.25">
      <c r="A590" s="14" t="str">
        <f>HYPERLINK("https://gerandofalcoes.my.salesforce.com/0014X00002VKCr8QAH", "0014X00002VKCr8QAH")</f>
        <v>0014X00002VKCr8QAH</v>
      </c>
      <c r="B590" s="2" t="s">
        <v>2830</v>
      </c>
      <c r="C590" s="2" t="s">
        <v>423</v>
      </c>
      <c r="D590" s="2" t="s">
        <v>2</v>
      </c>
      <c r="E590" s="2">
        <v>11.33</v>
      </c>
      <c r="F590" s="2">
        <v>9</v>
      </c>
      <c r="G590" s="2">
        <v>3</v>
      </c>
      <c r="H590" s="2">
        <v>56000000</v>
      </c>
      <c r="I590" s="2">
        <v>0</v>
      </c>
      <c r="J590" s="2" t="s">
        <v>1671</v>
      </c>
      <c r="K590" s="2">
        <v>53</v>
      </c>
      <c r="L590" s="2">
        <v>10</v>
      </c>
      <c r="M590" s="2">
        <v>10</v>
      </c>
      <c r="N590" s="2">
        <v>8</v>
      </c>
      <c r="O590" s="2">
        <v>25</v>
      </c>
      <c r="P590" s="2">
        <v>0</v>
      </c>
      <c r="Q590" s="2" t="s">
        <v>2831</v>
      </c>
      <c r="R590" s="2" t="s">
        <v>2831</v>
      </c>
      <c r="S590" s="4">
        <v>44837</v>
      </c>
    </row>
    <row r="591" spans="1:19" ht="12.5" x14ac:dyDescent="0.25">
      <c r="A591" s="14" t="str">
        <f>HYPERLINK("https://gerandofalcoes.my.salesforce.com/0014X00002YggooQAB", "0014X00002YggooQAB")</f>
        <v>0014X00002YggooQAB</v>
      </c>
      <c r="B591" s="2" t="s">
        <v>3047</v>
      </c>
      <c r="C591" s="2" t="s">
        <v>423</v>
      </c>
      <c r="D591" s="2" t="s">
        <v>2</v>
      </c>
      <c r="E591" s="2">
        <v>11.06</v>
      </c>
      <c r="F591" s="2">
        <v>1</v>
      </c>
      <c r="G591" s="2">
        <v>3</v>
      </c>
      <c r="H591" s="2">
        <v>19000</v>
      </c>
      <c r="I591" s="2">
        <v>30</v>
      </c>
      <c r="J591" s="2" t="s">
        <v>1779</v>
      </c>
      <c r="K591" s="2">
        <v>33</v>
      </c>
      <c r="L591" s="2">
        <v>10</v>
      </c>
      <c r="M591" s="2">
        <v>5</v>
      </c>
      <c r="N591" s="2">
        <v>8</v>
      </c>
      <c r="O591" s="2">
        <v>5</v>
      </c>
      <c r="P591" s="2">
        <v>5</v>
      </c>
      <c r="Q591" s="2" t="s">
        <v>3048</v>
      </c>
      <c r="R591" s="2" t="s">
        <v>3049</v>
      </c>
      <c r="S591" s="4">
        <v>44946</v>
      </c>
    </row>
    <row r="592" spans="1:19" ht="12.5" x14ac:dyDescent="0.25">
      <c r="A592" s="14" t="str">
        <f>HYPERLINK("https://gerandofalcoes.my.salesforce.com/0014P00003SGWPqQAP", "0014P00003SGWPqQAP")</f>
        <v>0014P00003SGWPqQAP</v>
      </c>
      <c r="B592" s="2" t="s">
        <v>2835</v>
      </c>
      <c r="C592" s="2" t="s">
        <v>1800</v>
      </c>
      <c r="D592" s="2" t="s">
        <v>2</v>
      </c>
      <c r="E592" s="2">
        <v>11</v>
      </c>
      <c r="F592" s="2">
        <v>2</v>
      </c>
      <c r="G592" s="2">
        <v>0</v>
      </c>
      <c r="H592" s="2">
        <v>140000</v>
      </c>
      <c r="I592" s="2">
        <v>200</v>
      </c>
      <c r="J592" s="2" t="s">
        <v>1671</v>
      </c>
      <c r="K592" s="2">
        <v>42</v>
      </c>
      <c r="L592" s="2">
        <v>10</v>
      </c>
      <c r="M592" s="2">
        <v>5</v>
      </c>
      <c r="N592" s="2">
        <v>0</v>
      </c>
      <c r="O592" s="2">
        <v>15</v>
      </c>
      <c r="P592" s="2">
        <v>12</v>
      </c>
      <c r="Q592" s="2" t="s">
        <v>327</v>
      </c>
      <c r="R592" s="2" t="s">
        <v>1409</v>
      </c>
      <c r="S592" s="4">
        <v>44837</v>
      </c>
    </row>
    <row r="593" spans="1:19" ht="12.5" x14ac:dyDescent="0.25">
      <c r="A593" s="14" t="str">
        <f>HYPERLINK("https://gerandofalcoes.my.salesforce.com/0014P00003YSp8hQAD", "0014P00003YSp8hQAD")</f>
        <v>0014P00003YSp8hQAD</v>
      </c>
      <c r="B593" s="2" t="s">
        <v>2842</v>
      </c>
      <c r="C593" s="2" t="s">
        <v>423</v>
      </c>
      <c r="D593" s="2" t="s">
        <v>2</v>
      </c>
      <c r="E593" s="2">
        <v>11</v>
      </c>
      <c r="F593" s="2">
        <v>10</v>
      </c>
      <c r="G593" s="2">
        <v>2</v>
      </c>
      <c r="H593" s="2">
        <v>90000</v>
      </c>
      <c r="I593" s="2">
        <v>0</v>
      </c>
      <c r="J593" s="2" t="s">
        <v>1779</v>
      </c>
      <c r="K593" s="2">
        <v>36</v>
      </c>
      <c r="L593" s="2">
        <v>10</v>
      </c>
      <c r="M593" s="2">
        <v>10</v>
      </c>
      <c r="N593" s="2">
        <v>6</v>
      </c>
      <c r="O593" s="2">
        <v>10</v>
      </c>
      <c r="P593" s="2">
        <v>0</v>
      </c>
      <c r="Q593" s="2" t="s">
        <v>2843</v>
      </c>
      <c r="R593" s="2" t="s">
        <v>2843</v>
      </c>
      <c r="S593" s="4">
        <v>44837</v>
      </c>
    </row>
    <row r="594" spans="1:19" ht="12.5" x14ac:dyDescent="0.25">
      <c r="A594" s="14" t="str">
        <f>HYPERLINK("https://gerandofalcoes.my.salesforce.com/0014P00003YSp9BQAT", "0014P00003YSp9BQAT")</f>
        <v>0014P00003YSp9BQAT</v>
      </c>
      <c r="B594" s="2" t="s">
        <v>2839</v>
      </c>
      <c r="C594" s="2" t="s">
        <v>1800</v>
      </c>
      <c r="D594" s="2" t="s">
        <v>2</v>
      </c>
      <c r="E594" s="2">
        <v>11</v>
      </c>
      <c r="F594" s="2">
        <v>24</v>
      </c>
      <c r="G594" s="2">
        <v>4</v>
      </c>
      <c r="H594" s="2">
        <v>200</v>
      </c>
      <c r="I594" s="2">
        <v>112</v>
      </c>
      <c r="J594" s="2" t="s">
        <v>1671</v>
      </c>
      <c r="K594" s="2">
        <v>47</v>
      </c>
      <c r="L594" s="2">
        <v>10</v>
      </c>
      <c r="M594" s="2">
        <v>12</v>
      </c>
      <c r="N594" s="2">
        <v>10</v>
      </c>
      <c r="O594" s="2">
        <v>5</v>
      </c>
      <c r="P594" s="2">
        <v>10</v>
      </c>
      <c r="Q594" s="2" t="s">
        <v>2840</v>
      </c>
      <c r="R594" s="2" t="s">
        <v>2841</v>
      </c>
      <c r="S594" s="4">
        <v>44837</v>
      </c>
    </row>
    <row r="595" spans="1:19" ht="12.5" x14ac:dyDescent="0.25">
      <c r="A595" s="14" t="str">
        <f>HYPERLINK("https://gerandofalcoes.my.salesforce.com/0014X00002VKCraQAH", "0014X00002VKCraQAH")</f>
        <v>0014X00002VKCraQAH</v>
      </c>
      <c r="B595" s="2" t="s">
        <v>2836</v>
      </c>
      <c r="C595" s="2" t="s">
        <v>423</v>
      </c>
      <c r="D595" s="2" t="s">
        <v>2</v>
      </c>
      <c r="E595" s="2">
        <v>11</v>
      </c>
      <c r="F595" s="2">
        <v>0</v>
      </c>
      <c r="G595" s="2">
        <v>1</v>
      </c>
      <c r="H595" s="2">
        <v>970224</v>
      </c>
      <c r="I595" s="2">
        <v>150</v>
      </c>
      <c r="J595" s="2" t="s">
        <v>1671</v>
      </c>
      <c r="K595" s="2">
        <v>51</v>
      </c>
      <c r="L595" s="2">
        <v>10</v>
      </c>
      <c r="M595" s="2">
        <v>0</v>
      </c>
      <c r="N595" s="2">
        <v>4</v>
      </c>
      <c r="O595" s="2">
        <v>25</v>
      </c>
      <c r="P595" s="2">
        <v>12</v>
      </c>
      <c r="Q595" s="2" t="s">
        <v>2837</v>
      </c>
      <c r="R595" s="2" t="s">
        <v>2838</v>
      </c>
      <c r="S595" s="4">
        <v>44837</v>
      </c>
    </row>
    <row r="596" spans="1:19" ht="12.5" x14ac:dyDescent="0.25">
      <c r="A596" s="14" t="str">
        <f>HYPERLINK("https://gerandofalcoes.my.salesforce.com/0014X00002YggoKQAR", "0014X00002YggoKQAR")</f>
        <v>0014X00002YggoKQAR</v>
      </c>
      <c r="B596" s="2" t="s">
        <v>3019</v>
      </c>
      <c r="C596" s="2" t="s">
        <v>423</v>
      </c>
      <c r="D596" s="2" t="s">
        <v>2</v>
      </c>
      <c r="E596" s="2">
        <v>10.95</v>
      </c>
      <c r="F596" s="2">
        <v>1</v>
      </c>
      <c r="G596" s="2">
        <v>2</v>
      </c>
      <c r="H596" s="2">
        <v>7000</v>
      </c>
      <c r="I596" s="2">
        <v>0</v>
      </c>
      <c r="J596" s="2" t="s">
        <v>1779</v>
      </c>
      <c r="K596" s="2">
        <v>26</v>
      </c>
      <c r="L596" s="2">
        <v>10</v>
      </c>
      <c r="M596" s="2">
        <v>5</v>
      </c>
      <c r="N596" s="2">
        <v>6</v>
      </c>
      <c r="O596" s="2">
        <v>5</v>
      </c>
      <c r="P596" s="2">
        <v>0</v>
      </c>
      <c r="Q596" s="2" t="s">
        <v>3020</v>
      </c>
      <c r="R596" s="2" t="s">
        <v>3020</v>
      </c>
      <c r="S596" s="4">
        <v>44945</v>
      </c>
    </row>
    <row r="597" spans="1:19" ht="12.5" x14ac:dyDescent="0.25">
      <c r="A597" s="14" t="str">
        <f>HYPERLINK("https://gerandofalcoes.my.salesforce.com/0014X00002YgbkdQAB", "0014X00002YgbkdQAB")</f>
        <v>0014X00002YgbkdQAB</v>
      </c>
      <c r="B597" s="2" t="s">
        <v>3157</v>
      </c>
      <c r="C597" s="2" t="s">
        <v>423</v>
      </c>
      <c r="D597" s="2" t="s">
        <v>2</v>
      </c>
      <c r="E597" s="2">
        <v>10.9</v>
      </c>
      <c r="F597" s="2">
        <v>0</v>
      </c>
      <c r="G597" s="2">
        <v>0</v>
      </c>
      <c r="H597" s="2">
        <v>0</v>
      </c>
      <c r="I597" s="2">
        <v>0</v>
      </c>
      <c r="J597" s="2" t="s">
        <v>1779</v>
      </c>
      <c r="K597" s="2">
        <v>10</v>
      </c>
      <c r="L597" s="2">
        <v>10</v>
      </c>
      <c r="M597" s="2">
        <v>0</v>
      </c>
      <c r="N597" s="2">
        <v>0</v>
      </c>
      <c r="O597" s="2">
        <v>0</v>
      </c>
      <c r="P597" s="2">
        <v>0</v>
      </c>
      <c r="Q597" s="2" t="s">
        <v>3158</v>
      </c>
      <c r="R597" s="2" t="s">
        <v>3159</v>
      </c>
      <c r="S597" s="4">
        <v>44950</v>
      </c>
    </row>
    <row r="598" spans="1:19" ht="12.5" x14ac:dyDescent="0.25">
      <c r="A598" s="14" t="str">
        <f>HYPERLINK("https://gerandofalcoes.my.salesforce.com/0014X00002Yggp5QAB", "0014X00002Yggp5QAB")</f>
        <v>0014X00002Yggp5QAB</v>
      </c>
      <c r="B598" s="2" t="s">
        <v>3050</v>
      </c>
      <c r="C598" s="2" t="s">
        <v>423</v>
      </c>
      <c r="D598" s="2" t="s">
        <v>2</v>
      </c>
      <c r="E598" s="2">
        <v>10.88</v>
      </c>
      <c r="F598" s="2">
        <v>0</v>
      </c>
      <c r="G598" s="2">
        <v>2</v>
      </c>
      <c r="H598" s="2">
        <v>0</v>
      </c>
      <c r="I598" s="2">
        <v>0</v>
      </c>
      <c r="J598" s="2" t="s">
        <v>1779</v>
      </c>
      <c r="K598" s="2">
        <v>16</v>
      </c>
      <c r="L598" s="2">
        <v>10</v>
      </c>
      <c r="M598" s="2">
        <v>0</v>
      </c>
      <c r="N598" s="2">
        <v>6</v>
      </c>
      <c r="O598" s="2">
        <v>0</v>
      </c>
      <c r="P598" s="2">
        <v>0</v>
      </c>
      <c r="Q598" s="2" t="s">
        <v>3051</v>
      </c>
      <c r="R598" s="2" t="s">
        <v>3052</v>
      </c>
      <c r="S598" s="4">
        <v>44946</v>
      </c>
    </row>
    <row r="599" spans="1:19" ht="12.5" x14ac:dyDescent="0.25">
      <c r="A599" s="14" t="str">
        <f>HYPERLINK("https://gerandofalcoes.my.salesforce.com/0014X00002YggiBQAR", "0014X00002YggiBQAR")</f>
        <v>0014X00002YggiBQAR</v>
      </c>
      <c r="B599" s="2" t="s">
        <v>3322</v>
      </c>
      <c r="C599" s="2" t="s">
        <v>423</v>
      </c>
      <c r="D599" s="2" t="s">
        <v>2</v>
      </c>
      <c r="E599" s="2">
        <v>10.75</v>
      </c>
      <c r="F599" s="2">
        <v>123</v>
      </c>
      <c r="G599" s="2">
        <v>5</v>
      </c>
      <c r="H599" s="2">
        <v>20000</v>
      </c>
      <c r="I599" s="2">
        <v>100</v>
      </c>
      <c r="J599" s="2" t="s">
        <v>1671</v>
      </c>
      <c r="K599" s="2">
        <v>50</v>
      </c>
      <c r="L599" s="2">
        <v>10</v>
      </c>
      <c r="M599" s="2">
        <v>15</v>
      </c>
      <c r="N599" s="2">
        <v>10</v>
      </c>
      <c r="O599" s="2">
        <v>5</v>
      </c>
      <c r="P599" s="2">
        <v>10</v>
      </c>
      <c r="Q599" s="2" t="s">
        <v>3323</v>
      </c>
      <c r="R599" s="2" t="s">
        <v>3324</v>
      </c>
      <c r="S599" s="4">
        <v>44953</v>
      </c>
    </row>
    <row r="600" spans="1:19" ht="12.5" x14ac:dyDescent="0.25">
      <c r="A600" s="14" t="str">
        <f>HYPERLINK("https://gerandofalcoes.my.salesforce.com/0014X00002YggqSQAR", "0014X00002YggqSQAR")</f>
        <v>0014X00002YggqSQAR</v>
      </c>
      <c r="B600" s="2" t="s">
        <v>3021</v>
      </c>
      <c r="C600" s="2" t="s">
        <v>423</v>
      </c>
      <c r="D600" s="2" t="s">
        <v>2</v>
      </c>
      <c r="E600" s="2">
        <v>10.71</v>
      </c>
      <c r="F600" s="2">
        <v>0</v>
      </c>
      <c r="G600" s="2">
        <v>3</v>
      </c>
      <c r="H600" s="2">
        <v>7000</v>
      </c>
      <c r="I600" s="2">
        <v>100</v>
      </c>
      <c r="J600" s="2" t="s">
        <v>1779</v>
      </c>
      <c r="K600" s="2">
        <v>33</v>
      </c>
      <c r="L600" s="2">
        <v>10</v>
      </c>
      <c r="M600" s="2">
        <v>0</v>
      </c>
      <c r="N600" s="2">
        <v>8</v>
      </c>
      <c r="O600" s="2">
        <v>5</v>
      </c>
      <c r="P600" s="2">
        <v>10</v>
      </c>
      <c r="Q600" s="2" t="s">
        <v>3022</v>
      </c>
      <c r="R600" s="2" t="s">
        <v>3022</v>
      </c>
      <c r="S600" s="4">
        <v>44945</v>
      </c>
    </row>
    <row r="601" spans="1:19" ht="12.5" x14ac:dyDescent="0.25">
      <c r="A601" s="14" t="str">
        <f>HYPERLINK("https://gerandofalcoes.my.salesforce.com/0014X00002VKCpWQAX", "0014X00002VKCpWQAX")</f>
        <v>0014X00002VKCpWQAX</v>
      </c>
      <c r="B601" s="2" t="s">
        <v>2844</v>
      </c>
      <c r="C601" s="2" t="s">
        <v>423</v>
      </c>
      <c r="D601" s="2" t="s">
        <v>2</v>
      </c>
      <c r="E601" s="2">
        <v>10.64</v>
      </c>
      <c r="F601" s="2">
        <v>5</v>
      </c>
      <c r="G601" s="2">
        <v>1</v>
      </c>
      <c r="H601" s="2">
        <v>35619</v>
      </c>
      <c r="I601" s="2">
        <v>500</v>
      </c>
      <c r="J601" s="2" t="s">
        <v>1671</v>
      </c>
      <c r="K601" s="2">
        <v>49</v>
      </c>
      <c r="L601" s="2">
        <v>10</v>
      </c>
      <c r="M601" s="2">
        <v>5</v>
      </c>
      <c r="N601" s="2">
        <v>4</v>
      </c>
      <c r="O601" s="2">
        <v>10</v>
      </c>
      <c r="P601" s="2">
        <v>20</v>
      </c>
      <c r="Q601" s="2" t="s">
        <v>2845</v>
      </c>
      <c r="R601" s="2" t="s">
        <v>2846</v>
      </c>
      <c r="S601" s="4">
        <v>44837</v>
      </c>
    </row>
    <row r="602" spans="1:19" ht="12.5" x14ac:dyDescent="0.25">
      <c r="A602" s="14" t="str">
        <f>HYPERLINK("https://gerandofalcoes.my.salesforce.com/0014X00002VKCqkQAH", "0014X00002VKCqkQAH")</f>
        <v>0014X00002VKCqkQAH</v>
      </c>
      <c r="B602" s="2" t="s">
        <v>2847</v>
      </c>
      <c r="C602" s="2" t="s">
        <v>1800</v>
      </c>
      <c r="D602" s="2" t="s">
        <v>2</v>
      </c>
      <c r="E602" s="2">
        <v>10.39</v>
      </c>
      <c r="F602" s="2">
        <v>0</v>
      </c>
      <c r="G602" s="2">
        <v>2</v>
      </c>
      <c r="H602" s="2">
        <v>12000</v>
      </c>
      <c r="I602" s="2">
        <v>500</v>
      </c>
      <c r="J602" s="2" t="s">
        <v>1671</v>
      </c>
      <c r="K602" s="2">
        <v>41</v>
      </c>
      <c r="L602" s="2">
        <v>10</v>
      </c>
      <c r="M602" s="2">
        <v>0</v>
      </c>
      <c r="N602" s="2">
        <v>6</v>
      </c>
      <c r="O602" s="2">
        <v>5</v>
      </c>
      <c r="P602" s="2">
        <v>20</v>
      </c>
      <c r="Q602" s="2" t="s">
        <v>2848</v>
      </c>
      <c r="R602" s="2" t="s">
        <v>2849</v>
      </c>
      <c r="S602" s="4">
        <v>44837</v>
      </c>
    </row>
    <row r="603" spans="1:19" ht="12.5" x14ac:dyDescent="0.25">
      <c r="A603" s="14" t="str">
        <f>HYPERLINK("https://gerandofalcoes.my.salesforce.com/0014X00002YggisQAB", "0014X00002YggisQAB")</f>
        <v>0014X00002YggisQAB</v>
      </c>
      <c r="B603" s="2" t="s">
        <v>3537</v>
      </c>
      <c r="C603" s="2" t="s">
        <v>423</v>
      </c>
      <c r="D603" s="2" t="s">
        <v>2</v>
      </c>
      <c r="E603" s="2">
        <v>10.34</v>
      </c>
      <c r="F603" s="2">
        <v>0</v>
      </c>
      <c r="G603" s="2">
        <v>2</v>
      </c>
      <c r="H603" s="2">
        <v>25000</v>
      </c>
      <c r="I603" s="2">
        <v>0</v>
      </c>
      <c r="J603" s="2" t="s">
        <v>1779</v>
      </c>
      <c r="K603" s="2">
        <v>26</v>
      </c>
      <c r="L603" s="2">
        <v>10</v>
      </c>
      <c r="M603" s="2">
        <v>0</v>
      </c>
      <c r="N603" s="2">
        <v>6</v>
      </c>
      <c r="O603" s="2">
        <v>10</v>
      </c>
      <c r="P603" s="2">
        <v>0</v>
      </c>
      <c r="Q603" s="2" t="s">
        <v>3538</v>
      </c>
      <c r="R603" s="2" t="s">
        <v>3539</v>
      </c>
      <c r="S603" s="4">
        <v>44959</v>
      </c>
    </row>
    <row r="604" spans="1:19" ht="12.5" x14ac:dyDescent="0.25">
      <c r="A604" s="14" t="str">
        <f>HYPERLINK("https://gerandofalcoes.my.salesforce.com/0014X00002YggocQAB", "0014X00002YggocQAB")</f>
        <v>0014X00002YggocQAB</v>
      </c>
      <c r="B604" s="2" t="s">
        <v>3432</v>
      </c>
      <c r="C604" s="2" t="s">
        <v>423</v>
      </c>
      <c r="D604" s="2" t="s">
        <v>2</v>
      </c>
      <c r="E604" s="2">
        <v>10.29</v>
      </c>
      <c r="F604" s="2">
        <v>0</v>
      </c>
      <c r="G604" s="2">
        <v>3</v>
      </c>
      <c r="H604" s="2">
        <v>5000</v>
      </c>
      <c r="I604" s="2">
        <v>150</v>
      </c>
      <c r="J604" s="2" t="s">
        <v>1779</v>
      </c>
      <c r="K604" s="2">
        <v>35</v>
      </c>
      <c r="L604" s="2">
        <v>10</v>
      </c>
      <c r="M604" s="2">
        <v>0</v>
      </c>
      <c r="N604" s="2">
        <v>8</v>
      </c>
      <c r="O604" s="2">
        <v>5</v>
      </c>
      <c r="P604" s="2">
        <v>12</v>
      </c>
      <c r="Q604" s="2" t="s">
        <v>3433</v>
      </c>
      <c r="R604" s="2" t="s">
        <v>3434</v>
      </c>
      <c r="S604" s="4">
        <v>44958</v>
      </c>
    </row>
    <row r="605" spans="1:19" ht="12.5" x14ac:dyDescent="0.25">
      <c r="A605" s="14" t="str">
        <f>HYPERLINK("https://gerandofalcoes.my.salesforce.com/0014X00002YggmUQAR", "0014X00002YggmUQAR")</f>
        <v>0014X00002YggmUQAR</v>
      </c>
      <c r="B605" s="2" t="s">
        <v>3160</v>
      </c>
      <c r="C605" s="2" t="s">
        <v>423</v>
      </c>
      <c r="D605" s="2" t="s">
        <v>2</v>
      </c>
      <c r="E605" s="2">
        <v>10.23</v>
      </c>
      <c r="F605" s="2">
        <v>2</v>
      </c>
      <c r="G605" s="2">
        <v>2</v>
      </c>
      <c r="H605" s="2">
        <v>24750</v>
      </c>
      <c r="I605" s="2">
        <v>190</v>
      </c>
      <c r="J605" s="2" t="s">
        <v>1779</v>
      </c>
      <c r="K605" s="2">
        <v>38</v>
      </c>
      <c r="L605" s="2">
        <v>10</v>
      </c>
      <c r="M605" s="2">
        <v>5</v>
      </c>
      <c r="N605" s="2">
        <v>6</v>
      </c>
      <c r="O605" s="2">
        <v>5</v>
      </c>
      <c r="P605" s="2">
        <v>12</v>
      </c>
      <c r="Q605" s="2" t="s">
        <v>3161</v>
      </c>
      <c r="R605" s="2" t="s">
        <v>3162</v>
      </c>
      <c r="S605" s="4">
        <v>44950</v>
      </c>
    </row>
    <row r="606" spans="1:19" ht="12.5" x14ac:dyDescent="0.25">
      <c r="A606" s="14" t="str">
        <f>HYPERLINK("https://gerandofalcoes.my.salesforce.com/0014P00003YSpAGQA1", "0014P00003YSpAGQA1")</f>
        <v>0014P00003YSpAGQA1</v>
      </c>
      <c r="B606" s="2" t="s">
        <v>2850</v>
      </c>
      <c r="C606" s="2" t="s">
        <v>423</v>
      </c>
      <c r="D606" s="2" t="s">
        <v>2</v>
      </c>
      <c r="E606" s="2">
        <v>10.220000000000001</v>
      </c>
      <c r="F606" s="2">
        <v>0</v>
      </c>
      <c r="G606" s="2">
        <v>2</v>
      </c>
      <c r="H606" s="2">
        <v>3156570</v>
      </c>
      <c r="I606" s="2">
        <v>120</v>
      </c>
      <c r="J606" s="2" t="s">
        <v>1671</v>
      </c>
      <c r="K606" s="2">
        <v>51</v>
      </c>
      <c r="L606" s="2">
        <v>10</v>
      </c>
      <c r="M606" s="2">
        <v>0</v>
      </c>
      <c r="N606" s="2">
        <v>6</v>
      </c>
      <c r="O606" s="2">
        <v>25</v>
      </c>
      <c r="P606" s="2">
        <v>10</v>
      </c>
      <c r="Q606" s="2" t="s">
        <v>2851</v>
      </c>
      <c r="R606" s="2" t="s">
        <v>2852</v>
      </c>
      <c r="S606" s="4">
        <v>44837</v>
      </c>
    </row>
    <row r="607" spans="1:19" ht="12.5" x14ac:dyDescent="0.25">
      <c r="A607" s="14" t="str">
        <f>HYPERLINK("https://gerandofalcoes.my.salesforce.com/0014X00002VKCqCQAX", "0014X00002VKCqCQAX")</f>
        <v>0014X00002VKCqCQAX</v>
      </c>
      <c r="B607" s="2" t="s">
        <v>2853</v>
      </c>
      <c r="C607" s="2" t="s">
        <v>423</v>
      </c>
      <c r="D607" s="2" t="s">
        <v>2</v>
      </c>
      <c r="E607" s="2">
        <v>10.18</v>
      </c>
      <c r="F607" s="2">
        <v>0</v>
      </c>
      <c r="G607" s="2">
        <v>0</v>
      </c>
      <c r="H607" s="2">
        <v>63000</v>
      </c>
      <c r="I607" s="2">
        <v>49</v>
      </c>
      <c r="J607" s="2" t="s">
        <v>1779</v>
      </c>
      <c r="K607" s="2">
        <v>25</v>
      </c>
      <c r="L607" s="2">
        <v>10</v>
      </c>
      <c r="M607" s="2">
        <v>0</v>
      </c>
      <c r="N607" s="2">
        <v>0</v>
      </c>
      <c r="O607" s="2">
        <v>10</v>
      </c>
      <c r="P607" s="2">
        <v>5</v>
      </c>
      <c r="Q607" s="2" t="s">
        <v>2854</v>
      </c>
      <c r="R607" s="2" t="s">
        <v>2855</v>
      </c>
      <c r="S607" s="4">
        <v>44837</v>
      </c>
    </row>
    <row r="608" spans="1:19" ht="12.5" x14ac:dyDescent="0.25">
      <c r="A608" s="14" t="str">
        <f>HYPERLINK("https://gerandofalcoes.my.salesforce.com/0014X00002VKCulQAH", "0014X00002VKCulQAH")</f>
        <v>0014X00002VKCulQAH</v>
      </c>
      <c r="B608" s="2" t="s">
        <v>3849</v>
      </c>
      <c r="C608" s="2" t="s">
        <v>1800</v>
      </c>
      <c r="D608" s="2" t="s">
        <v>2</v>
      </c>
      <c r="E608" s="2">
        <v>10</v>
      </c>
      <c r="F608" s="2">
        <v>0</v>
      </c>
      <c r="G608" s="2">
        <v>1</v>
      </c>
      <c r="H608" s="2">
        <v>0</v>
      </c>
      <c r="I608" s="2">
        <v>0</v>
      </c>
      <c r="J608" s="2" t="s">
        <v>1779</v>
      </c>
      <c r="K608" s="2">
        <v>14</v>
      </c>
      <c r="L608" s="2">
        <v>10</v>
      </c>
      <c r="M608" s="2">
        <v>0</v>
      </c>
      <c r="N608" s="2">
        <v>4</v>
      </c>
      <c r="O608" s="2">
        <v>0</v>
      </c>
      <c r="P608" s="2">
        <v>0</v>
      </c>
      <c r="Q608" s="2" t="s">
        <v>3850</v>
      </c>
      <c r="R608" s="2" t="s">
        <v>3851</v>
      </c>
      <c r="S608" s="4">
        <v>45112</v>
      </c>
    </row>
    <row r="609" spans="1:19" ht="12.5" x14ac:dyDescent="0.25">
      <c r="A609" s="14" t="str">
        <f>HYPERLINK("https://gerandofalcoes.my.salesforce.com/0014X00002YggkAQAR", "0014X00002YggkAQAR")</f>
        <v>0014X00002YggkAQAR</v>
      </c>
      <c r="B609" s="2" t="s">
        <v>3255</v>
      </c>
      <c r="C609" s="2" t="s">
        <v>423</v>
      </c>
      <c r="D609" s="2" t="s">
        <v>2</v>
      </c>
      <c r="E609" s="2">
        <v>10</v>
      </c>
      <c r="F609" s="2">
        <v>12</v>
      </c>
      <c r="G609" s="2">
        <v>2</v>
      </c>
      <c r="H609" s="2">
        <v>4000</v>
      </c>
      <c r="I609" s="2">
        <v>0</v>
      </c>
      <c r="J609" s="2" t="s">
        <v>1779</v>
      </c>
      <c r="K609" s="2">
        <v>33</v>
      </c>
      <c r="L609" s="2">
        <v>10</v>
      </c>
      <c r="M609" s="2">
        <v>12</v>
      </c>
      <c r="N609" s="2">
        <v>6</v>
      </c>
      <c r="O609" s="2">
        <v>5</v>
      </c>
      <c r="P609" s="2">
        <v>0</v>
      </c>
      <c r="Q609" s="2" t="s">
        <v>3256</v>
      </c>
      <c r="R609" s="2" t="s">
        <v>3257</v>
      </c>
      <c r="S609" s="4">
        <v>44952</v>
      </c>
    </row>
    <row r="610" spans="1:19" ht="12.5" x14ac:dyDescent="0.25">
      <c r="A610" s="14" t="str">
        <f>HYPERLINK("https://gerandofalcoes.my.salesforce.com/0014X00002VKCsdQAH", "0014X00002VKCsdQAH")</f>
        <v>0014X00002VKCsdQAH</v>
      </c>
      <c r="B610" s="2" t="s">
        <v>2857</v>
      </c>
      <c r="C610" s="2" t="s">
        <v>1800</v>
      </c>
      <c r="D610" s="2" t="s">
        <v>2</v>
      </c>
      <c r="E610" s="2">
        <v>10</v>
      </c>
      <c r="F610" s="2">
        <v>0</v>
      </c>
      <c r="G610" s="2">
        <v>2</v>
      </c>
      <c r="H610" s="2">
        <v>24000</v>
      </c>
      <c r="I610" s="2">
        <v>95</v>
      </c>
      <c r="J610" s="2" t="s">
        <v>1779</v>
      </c>
      <c r="K610" s="2">
        <v>31</v>
      </c>
      <c r="L610" s="2">
        <v>10</v>
      </c>
      <c r="M610" s="2">
        <v>0</v>
      </c>
      <c r="N610" s="2">
        <v>6</v>
      </c>
      <c r="O610" s="2">
        <v>5</v>
      </c>
      <c r="P610" s="2">
        <v>10</v>
      </c>
      <c r="Q610" s="2" t="s">
        <v>2858</v>
      </c>
      <c r="R610" s="2" t="s">
        <v>2859</v>
      </c>
      <c r="S610" s="4">
        <v>44837</v>
      </c>
    </row>
    <row r="611" spans="1:19" ht="12.5" x14ac:dyDescent="0.25">
      <c r="A611" s="14" t="str">
        <f>HYPERLINK("https://gerandofalcoes.my.salesforce.com/0014P00003YSp8VQAT", "0014P00003YSp8VQAT")</f>
        <v>0014P00003YSp8VQAT</v>
      </c>
      <c r="B611" s="2" t="s">
        <v>2865</v>
      </c>
      <c r="C611" s="2" t="s">
        <v>1800</v>
      </c>
      <c r="D611" s="2" t="s">
        <v>2</v>
      </c>
      <c r="E611" s="2">
        <v>10</v>
      </c>
      <c r="F611" s="2">
        <v>0</v>
      </c>
      <c r="G611" s="2">
        <v>0</v>
      </c>
      <c r="H611" s="2">
        <v>0</v>
      </c>
      <c r="I611" s="2">
        <v>0</v>
      </c>
      <c r="J611" s="2" t="s">
        <v>1779</v>
      </c>
      <c r="K611" s="2">
        <v>10</v>
      </c>
      <c r="L611" s="2">
        <v>10</v>
      </c>
      <c r="M611" s="2">
        <v>0</v>
      </c>
      <c r="N611" s="2">
        <v>0</v>
      </c>
      <c r="O611" s="2">
        <v>0</v>
      </c>
      <c r="P611" s="2">
        <v>0</v>
      </c>
      <c r="Q611" s="2" t="s">
        <v>2866</v>
      </c>
      <c r="R611" s="2" t="s">
        <v>2867</v>
      </c>
      <c r="S611" s="4">
        <v>44837</v>
      </c>
    </row>
    <row r="612" spans="1:19" ht="12.5" x14ac:dyDescent="0.25">
      <c r="A612" s="14" t="str">
        <f>HYPERLINK("https://gerandofalcoes.my.salesforce.com/0014X00002VKCuUQAX", "0014X00002VKCuUQAX")</f>
        <v>0014X00002VKCuUQAX</v>
      </c>
      <c r="B612" s="2" t="s">
        <v>2860</v>
      </c>
      <c r="C612" s="2" t="s">
        <v>1800</v>
      </c>
      <c r="D612" s="2" t="s">
        <v>2</v>
      </c>
      <c r="E612" s="2">
        <v>10</v>
      </c>
      <c r="F612" s="2">
        <v>83</v>
      </c>
      <c r="G612" s="2">
        <v>8</v>
      </c>
      <c r="H612" s="2">
        <v>0</v>
      </c>
      <c r="I612" s="2">
        <v>5</v>
      </c>
      <c r="J612" s="2" t="s">
        <v>1671</v>
      </c>
      <c r="K612" s="2">
        <v>40</v>
      </c>
      <c r="L612" s="2">
        <v>10</v>
      </c>
      <c r="M612" s="2">
        <v>15</v>
      </c>
      <c r="N612" s="2">
        <v>10</v>
      </c>
      <c r="O612" s="2">
        <v>0</v>
      </c>
      <c r="P612" s="2">
        <v>5</v>
      </c>
      <c r="Q612" s="2" t="s">
        <v>2861</v>
      </c>
      <c r="R612" s="2" t="s">
        <v>2862</v>
      </c>
      <c r="S612" s="4">
        <v>44837</v>
      </c>
    </row>
    <row r="613" spans="1:19" ht="12.5" x14ac:dyDescent="0.25">
      <c r="A613" s="14" t="str">
        <f>HYPERLINK("https://gerandofalcoes.my.salesforce.com/0014X00002VKCtZQAX", "0014X00002VKCtZQAX")</f>
        <v>0014X00002VKCtZQAX</v>
      </c>
      <c r="B613" s="2" t="s">
        <v>3833</v>
      </c>
      <c r="C613" s="2" t="s">
        <v>423</v>
      </c>
      <c r="D613" s="2" t="s">
        <v>2</v>
      </c>
      <c r="E613" s="2">
        <v>10</v>
      </c>
      <c r="F613" s="2">
        <v>0</v>
      </c>
      <c r="G613" s="2">
        <v>0</v>
      </c>
      <c r="H613" s="2">
        <v>200000000</v>
      </c>
      <c r="I613" s="2">
        <v>150</v>
      </c>
      <c r="J613" s="2" t="s">
        <v>1671</v>
      </c>
      <c r="K613" s="2">
        <v>47</v>
      </c>
      <c r="L613" s="2">
        <v>10</v>
      </c>
      <c r="M613" s="2">
        <v>0</v>
      </c>
      <c r="N613" s="2">
        <v>0</v>
      </c>
      <c r="O613" s="2">
        <v>25</v>
      </c>
      <c r="P613" s="2">
        <v>12</v>
      </c>
      <c r="Q613" s="2" t="s">
        <v>3834</v>
      </c>
      <c r="R613" s="2" t="s">
        <v>3834</v>
      </c>
      <c r="S613" s="4">
        <v>45015</v>
      </c>
    </row>
    <row r="614" spans="1:19" ht="12.5" x14ac:dyDescent="0.25">
      <c r="A614" s="14" t="str">
        <f>HYPERLINK("https://gerandofalcoes.my.salesforce.com/0014X00002cUXt4QAG", "0014X00002cUXt4QAG")</f>
        <v>0014X00002cUXt4QAG</v>
      </c>
      <c r="B614" s="2" t="s">
        <v>3812</v>
      </c>
      <c r="C614" s="2" t="s">
        <v>423</v>
      </c>
      <c r="D614" s="2" t="s">
        <v>2</v>
      </c>
      <c r="E614" s="2">
        <v>10</v>
      </c>
      <c r="F614" s="2">
        <v>0</v>
      </c>
      <c r="G614" s="2">
        <v>0</v>
      </c>
      <c r="H614" s="2">
        <v>0</v>
      </c>
      <c r="I614" s="2">
        <v>10</v>
      </c>
      <c r="J614" s="2" t="s">
        <v>1671</v>
      </c>
      <c r="K614" s="2">
        <v>15</v>
      </c>
      <c r="L614" s="2">
        <v>10</v>
      </c>
      <c r="M614" s="2">
        <v>0</v>
      </c>
      <c r="N614" s="2">
        <v>0</v>
      </c>
      <c r="O614" s="2">
        <v>0</v>
      </c>
      <c r="P614" s="2">
        <v>5</v>
      </c>
      <c r="Q614" s="2" t="s">
        <v>3813</v>
      </c>
      <c r="R614" s="2" t="s">
        <v>3814</v>
      </c>
      <c r="S614" s="4">
        <v>44991</v>
      </c>
    </row>
    <row r="615" spans="1:19" ht="12.5" x14ac:dyDescent="0.25">
      <c r="A615" s="14" t="str">
        <f>HYPERLINK("https://gerandofalcoes.my.salesforce.com/0014X00002VKCpLQAX", "0014X00002VKCpLQAX")</f>
        <v>0014X00002VKCpLQAX</v>
      </c>
      <c r="B615" s="2" t="s">
        <v>2335</v>
      </c>
      <c r="C615" s="2" t="s">
        <v>1800</v>
      </c>
      <c r="D615" s="2" t="s">
        <v>2</v>
      </c>
      <c r="E615" s="2">
        <v>10</v>
      </c>
      <c r="F615" s="2">
        <v>0</v>
      </c>
      <c r="G615" s="2">
        <v>3</v>
      </c>
      <c r="H615" s="2">
        <v>5000</v>
      </c>
      <c r="I615" s="2">
        <v>0</v>
      </c>
      <c r="J615" s="2" t="s">
        <v>1779</v>
      </c>
      <c r="K615" s="2">
        <v>23</v>
      </c>
      <c r="L615" s="2">
        <v>10</v>
      </c>
      <c r="M615" s="2">
        <v>0</v>
      </c>
      <c r="N615" s="2">
        <v>8</v>
      </c>
      <c r="O615" s="2">
        <v>5</v>
      </c>
      <c r="P615" s="2">
        <v>0</v>
      </c>
      <c r="Q615" s="2" t="s">
        <v>2863</v>
      </c>
      <c r="R615" s="2" t="s">
        <v>2864</v>
      </c>
      <c r="S615" s="4">
        <v>44837</v>
      </c>
    </row>
    <row r="616" spans="1:19" ht="12.5" x14ac:dyDescent="0.25">
      <c r="A616" s="14" t="str">
        <f>HYPERLINK("https://gerandofalcoes.my.salesforce.com/0014P00003SGWQFQA5", "0014P00003SGWQFQA5")</f>
        <v>0014P00003SGWQFQA5</v>
      </c>
      <c r="B616" s="2" t="s">
        <v>2856</v>
      </c>
      <c r="C616" s="2" t="s">
        <v>423</v>
      </c>
      <c r="D616" s="2" t="s">
        <v>2</v>
      </c>
      <c r="E616" s="2">
        <v>10</v>
      </c>
      <c r="F616" s="2">
        <v>2</v>
      </c>
      <c r="G616" s="2">
        <v>1</v>
      </c>
      <c r="H616" s="2">
        <v>8000</v>
      </c>
      <c r="I616" s="2">
        <v>210</v>
      </c>
      <c r="J616" s="2" t="s">
        <v>1779</v>
      </c>
      <c r="K616" s="2">
        <v>36</v>
      </c>
      <c r="L616" s="2">
        <v>10</v>
      </c>
      <c r="M616" s="2">
        <v>5</v>
      </c>
      <c r="N616" s="2">
        <v>4</v>
      </c>
      <c r="O616" s="2">
        <v>5</v>
      </c>
      <c r="P616" s="2">
        <v>12</v>
      </c>
      <c r="Q616" s="2" t="s">
        <v>256</v>
      </c>
      <c r="R616" s="2" t="s">
        <v>1221</v>
      </c>
      <c r="S616" s="4">
        <v>44837</v>
      </c>
    </row>
    <row r="617" spans="1:19" ht="12.5" x14ac:dyDescent="0.25">
      <c r="A617" s="14" t="str">
        <f>HYPERLINK("https://gerandofalcoes.my.salesforce.com/0014X00002VKCqJQAX", "0014X00002VKCqJQAX")</f>
        <v>0014X00002VKCqJQAX</v>
      </c>
      <c r="B617" s="2" t="s">
        <v>2868</v>
      </c>
      <c r="C617" s="2" t="s">
        <v>423</v>
      </c>
      <c r="D617" s="2" t="s">
        <v>2</v>
      </c>
      <c r="E617" s="2">
        <v>9.99</v>
      </c>
      <c r="F617" s="2">
        <v>0</v>
      </c>
      <c r="G617" s="2">
        <v>1</v>
      </c>
      <c r="H617" s="2">
        <v>16278</v>
      </c>
      <c r="I617" s="2">
        <v>100</v>
      </c>
      <c r="J617" s="2" t="s">
        <v>1779</v>
      </c>
      <c r="K617" s="2">
        <v>29</v>
      </c>
      <c r="L617" s="2">
        <v>10</v>
      </c>
      <c r="M617" s="2">
        <v>0</v>
      </c>
      <c r="N617" s="2">
        <v>4</v>
      </c>
      <c r="O617" s="2">
        <v>5</v>
      </c>
      <c r="P617" s="2">
        <v>10</v>
      </c>
      <c r="Q617" s="2" t="s">
        <v>2869</v>
      </c>
      <c r="R617" s="2" t="s">
        <v>2870</v>
      </c>
      <c r="S617" s="4">
        <v>44837</v>
      </c>
    </row>
    <row r="618" spans="1:19" ht="12.5" x14ac:dyDescent="0.25">
      <c r="A618" s="14" t="str">
        <f>HYPERLINK("https://gerandofalcoes.my.salesforce.com/0014X00002VKCtbQAH", "0014X00002VKCtbQAH")</f>
        <v>0014X00002VKCtbQAH</v>
      </c>
      <c r="B618" s="2" t="s">
        <v>2871</v>
      </c>
      <c r="C618" s="2" t="s">
        <v>423</v>
      </c>
      <c r="D618" s="2" t="s">
        <v>2</v>
      </c>
      <c r="E618" s="2">
        <v>9.98</v>
      </c>
      <c r="F618" s="2">
        <v>11</v>
      </c>
      <c r="G618" s="2">
        <v>0</v>
      </c>
      <c r="H618" s="2">
        <v>0</v>
      </c>
      <c r="I618" s="2">
        <v>80</v>
      </c>
      <c r="J618" s="2" t="s">
        <v>1779</v>
      </c>
      <c r="K618" s="2">
        <v>32</v>
      </c>
      <c r="L618" s="2">
        <v>10</v>
      </c>
      <c r="M618" s="2">
        <v>12</v>
      </c>
      <c r="N618" s="2">
        <v>0</v>
      </c>
      <c r="O618" s="2">
        <v>0</v>
      </c>
      <c r="P618" s="2">
        <v>10</v>
      </c>
      <c r="Q618" s="2" t="s">
        <v>2872</v>
      </c>
      <c r="R618" s="2" t="s">
        <v>2873</v>
      </c>
      <c r="S618" s="4">
        <v>44837</v>
      </c>
    </row>
    <row r="619" spans="1:19" ht="12.5" x14ac:dyDescent="0.25">
      <c r="A619" s="14" t="str">
        <f>HYPERLINK("https://gerandofalcoes.my.salesforce.com/0014X00002VKCv9QAH", "0014X00002VKCv9QAH")</f>
        <v>0014X00002VKCv9QAH</v>
      </c>
      <c r="B619" s="2" t="s">
        <v>2874</v>
      </c>
      <c r="C619" s="2" t="s">
        <v>423</v>
      </c>
      <c r="D619" s="2" t="s">
        <v>2</v>
      </c>
      <c r="E619" s="2">
        <v>9.92</v>
      </c>
      <c r="F619" s="2">
        <v>0</v>
      </c>
      <c r="G619" s="2">
        <v>0</v>
      </c>
      <c r="H619" s="2">
        <v>0</v>
      </c>
      <c r="I619" s="2">
        <v>200</v>
      </c>
      <c r="J619" s="2" t="s">
        <v>1779</v>
      </c>
      <c r="K619" s="2">
        <v>22</v>
      </c>
      <c r="L619" s="2">
        <v>10</v>
      </c>
      <c r="M619" s="2">
        <v>0</v>
      </c>
      <c r="N619" s="2">
        <v>0</v>
      </c>
      <c r="O619" s="2">
        <v>0</v>
      </c>
      <c r="P619" s="2">
        <v>12</v>
      </c>
      <c r="Q619" s="2" t="s">
        <v>2875</v>
      </c>
      <c r="R619" s="2" t="s">
        <v>2875</v>
      </c>
      <c r="S619" s="4">
        <v>44837</v>
      </c>
    </row>
    <row r="620" spans="1:19" ht="12.5" x14ac:dyDescent="0.25">
      <c r="A620" s="14" t="str">
        <f>HYPERLINK("https://gerandofalcoes.my.salesforce.com/0014P00003SGWPlQAP", "0014P00003SGWPlQAP")</f>
        <v>0014P00003SGWPlQAP</v>
      </c>
      <c r="B620" s="2" t="s">
        <v>311</v>
      </c>
      <c r="C620" s="2" t="s">
        <v>423</v>
      </c>
      <c r="D620" s="2" t="s">
        <v>2</v>
      </c>
      <c r="E620" s="2">
        <v>9.83</v>
      </c>
      <c r="F620" s="2">
        <v>0</v>
      </c>
      <c r="G620" s="2">
        <v>2</v>
      </c>
      <c r="H620" s="2">
        <v>30000</v>
      </c>
      <c r="I620" s="2">
        <v>120</v>
      </c>
      <c r="J620" s="2" t="s">
        <v>1779</v>
      </c>
      <c r="K620" s="2">
        <v>36</v>
      </c>
      <c r="L620" s="2">
        <v>10</v>
      </c>
      <c r="M620" s="2">
        <v>0</v>
      </c>
      <c r="N620" s="2">
        <v>6</v>
      </c>
      <c r="O620" s="2">
        <v>10</v>
      </c>
      <c r="P620" s="2">
        <v>10</v>
      </c>
      <c r="Q620" s="2" t="s">
        <v>312</v>
      </c>
      <c r="R620" s="2" t="s">
        <v>312</v>
      </c>
      <c r="S620" s="4">
        <v>44837</v>
      </c>
    </row>
    <row r="621" spans="1:19" ht="12.5" hidden="1" x14ac:dyDescent="0.25">
      <c r="A621" s="14" t="str">
        <f>HYPERLINK("https://gerandofalcoes.my.salesforce.com/0014X00002Yggo6QAB", "0014X00002Yggo6QAB")</f>
        <v>0014X00002Yggo6QAB</v>
      </c>
      <c r="B621" s="2" t="s">
        <v>3560</v>
      </c>
      <c r="C621" s="2" t="s">
        <v>1684</v>
      </c>
      <c r="D621" s="2" t="s">
        <v>2</v>
      </c>
      <c r="E621" s="2">
        <v>26.16</v>
      </c>
      <c r="F621" s="2">
        <v>2</v>
      </c>
      <c r="G621" s="2">
        <v>4</v>
      </c>
      <c r="H621" s="2">
        <v>38000</v>
      </c>
      <c r="I621" s="2">
        <v>30</v>
      </c>
      <c r="J621" s="2" t="s">
        <v>1671</v>
      </c>
      <c r="K621" s="2">
        <v>45</v>
      </c>
      <c r="L621" s="2">
        <v>15</v>
      </c>
      <c r="M621" s="2">
        <v>5</v>
      </c>
      <c r="N621" s="2">
        <v>10</v>
      </c>
      <c r="O621" s="2">
        <v>10</v>
      </c>
      <c r="P621" s="2">
        <v>5</v>
      </c>
      <c r="Q621" s="2" t="s">
        <v>3561</v>
      </c>
      <c r="R621" s="2" t="s">
        <v>3562</v>
      </c>
      <c r="S621" s="4">
        <v>44960</v>
      </c>
    </row>
    <row r="622" spans="1:19" ht="12.5" x14ac:dyDescent="0.25">
      <c r="A622" s="14" t="str">
        <f>HYPERLINK("https://gerandofalcoes.my.salesforce.com/0014X00002Yggk3QAB", "0014X00002Yggk3QAB")</f>
        <v>0014X00002Yggk3QAB</v>
      </c>
      <c r="B622" s="2" t="s">
        <v>3325</v>
      </c>
      <c r="C622" s="2" t="s">
        <v>423</v>
      </c>
      <c r="D622" s="2" t="s">
        <v>2</v>
      </c>
      <c r="E622" s="2">
        <v>9.67</v>
      </c>
      <c r="F622" s="2">
        <v>0</v>
      </c>
      <c r="G622" s="2">
        <v>3</v>
      </c>
      <c r="H622" s="2">
        <v>8386</v>
      </c>
      <c r="I622" s="2">
        <v>0</v>
      </c>
      <c r="J622" s="2" t="s">
        <v>1779</v>
      </c>
      <c r="K622" s="2">
        <v>23</v>
      </c>
      <c r="L622" s="2">
        <v>10</v>
      </c>
      <c r="M622" s="2">
        <v>0</v>
      </c>
      <c r="N622" s="2">
        <v>8</v>
      </c>
      <c r="O622" s="2">
        <v>5</v>
      </c>
      <c r="P622" s="2">
        <v>0</v>
      </c>
      <c r="Q622" s="2" t="s">
        <v>3326</v>
      </c>
      <c r="R622" s="2" t="s">
        <v>3327</v>
      </c>
      <c r="S622" s="4">
        <v>44953</v>
      </c>
    </row>
    <row r="623" spans="1:19" ht="12.5" x14ac:dyDescent="0.25">
      <c r="A623" s="14" t="str">
        <f>HYPERLINK("https://gerandofalcoes.my.salesforce.com/0014P00003AN2FyQAL", "0014P00003AN2FyQAL")</f>
        <v>0014P00003AN2FyQAL</v>
      </c>
      <c r="B623" s="2" t="s">
        <v>2876</v>
      </c>
      <c r="C623" s="2" t="s">
        <v>423</v>
      </c>
      <c r="D623" s="2" t="s">
        <v>2</v>
      </c>
      <c r="E623" s="2">
        <v>9.58</v>
      </c>
      <c r="F623" s="2">
        <v>0</v>
      </c>
      <c r="G623" s="2">
        <v>3</v>
      </c>
      <c r="H623" s="2">
        <v>90000</v>
      </c>
      <c r="I623" s="2">
        <v>200</v>
      </c>
      <c r="J623" s="2" t="s">
        <v>1671</v>
      </c>
      <c r="K623" s="2">
        <v>40</v>
      </c>
      <c r="L623" s="2">
        <v>10</v>
      </c>
      <c r="M623" s="2">
        <v>0</v>
      </c>
      <c r="N623" s="2">
        <v>8</v>
      </c>
      <c r="O623" s="2">
        <v>10</v>
      </c>
      <c r="P623" s="2">
        <v>12</v>
      </c>
      <c r="Q623" s="2" t="s">
        <v>2877</v>
      </c>
      <c r="R623" s="2" t="s">
        <v>2877</v>
      </c>
      <c r="S623" s="4">
        <v>44837</v>
      </c>
    </row>
    <row r="624" spans="1:19" ht="12.5" x14ac:dyDescent="0.25">
      <c r="A624" s="14" t="str">
        <f>HYPERLINK("https://gerandofalcoes.my.salesforce.com/0014X00002Yggl2QAB", "0014X00002Yggl2QAB")</f>
        <v>0014X00002Yggl2QAB</v>
      </c>
      <c r="B624" s="2" t="s">
        <v>3540</v>
      </c>
      <c r="C624" s="2" t="s">
        <v>423</v>
      </c>
      <c r="D624" s="2" t="s">
        <v>2</v>
      </c>
      <c r="E624" s="2">
        <v>9.41</v>
      </c>
      <c r="F624" s="2">
        <v>0</v>
      </c>
      <c r="G624" s="2">
        <v>2</v>
      </c>
      <c r="H624" s="2">
        <v>0</v>
      </c>
      <c r="I624" s="2">
        <v>0</v>
      </c>
      <c r="J624" s="2" t="s">
        <v>1779</v>
      </c>
      <c r="K624" s="2">
        <v>16</v>
      </c>
      <c r="L624" s="2">
        <v>10</v>
      </c>
      <c r="M624" s="2">
        <v>0</v>
      </c>
      <c r="N624" s="2">
        <v>6</v>
      </c>
      <c r="O624" s="2">
        <v>0</v>
      </c>
      <c r="P624" s="2">
        <v>0</v>
      </c>
      <c r="Q624" s="2" t="s">
        <v>3541</v>
      </c>
      <c r="R624" s="2" t="s">
        <v>3541</v>
      </c>
      <c r="S624" s="4">
        <v>44959</v>
      </c>
    </row>
    <row r="625" spans="1:19" ht="12.5" x14ac:dyDescent="0.25">
      <c r="A625" s="14" t="str">
        <f>HYPERLINK("https://gerandofalcoes.my.salesforce.com/0014X00002YggkDQAR", "0014X00002YggkDQAR")</f>
        <v>0014X00002YggkDQAR</v>
      </c>
      <c r="B625" s="2" t="s">
        <v>3023</v>
      </c>
      <c r="C625" s="2" t="s">
        <v>423</v>
      </c>
      <c r="D625" s="2" t="s">
        <v>2</v>
      </c>
      <c r="E625" s="2">
        <v>9.2100000000000009</v>
      </c>
      <c r="F625" s="2">
        <v>0</v>
      </c>
      <c r="G625" s="2">
        <v>4</v>
      </c>
      <c r="H625" s="2">
        <v>78654</v>
      </c>
      <c r="I625" s="2">
        <v>0</v>
      </c>
      <c r="J625" s="2" t="s">
        <v>1779</v>
      </c>
      <c r="K625" s="2">
        <v>30</v>
      </c>
      <c r="L625" s="2">
        <v>10</v>
      </c>
      <c r="M625" s="2">
        <v>0</v>
      </c>
      <c r="N625" s="2">
        <v>10</v>
      </c>
      <c r="O625" s="2">
        <v>10</v>
      </c>
      <c r="P625" s="2">
        <v>0</v>
      </c>
      <c r="Q625" s="2" t="s">
        <v>3024</v>
      </c>
      <c r="R625" s="2" t="s">
        <v>3025</v>
      </c>
      <c r="S625" s="4">
        <v>44945</v>
      </c>
    </row>
    <row r="626" spans="1:19" ht="12.5" x14ac:dyDescent="0.25">
      <c r="A626" s="14" t="str">
        <f>HYPERLINK("https://gerandofalcoes.my.salesforce.com/0014X00002YggqvQAB", "0014X00002YggqvQAB")</f>
        <v>0014X00002YggqvQAB</v>
      </c>
      <c r="B626" s="2" t="s">
        <v>3435</v>
      </c>
      <c r="C626" s="2" t="s">
        <v>423</v>
      </c>
      <c r="D626" s="2" t="s">
        <v>2</v>
      </c>
      <c r="E626" s="2">
        <v>9.1300000000000008</v>
      </c>
      <c r="F626" s="2">
        <v>0</v>
      </c>
      <c r="G626" s="2">
        <v>3</v>
      </c>
      <c r="H626" s="2">
        <v>24000</v>
      </c>
      <c r="I626" s="2">
        <v>0</v>
      </c>
      <c r="J626" s="2" t="s">
        <v>1779</v>
      </c>
      <c r="K626" s="2">
        <v>23</v>
      </c>
      <c r="L626" s="2">
        <v>10</v>
      </c>
      <c r="M626" s="2">
        <v>0</v>
      </c>
      <c r="N626" s="2">
        <v>8</v>
      </c>
      <c r="O626" s="2">
        <v>5</v>
      </c>
      <c r="P626" s="2">
        <v>0</v>
      </c>
      <c r="Q626" s="2" t="s">
        <v>3436</v>
      </c>
      <c r="R626" s="2" t="s">
        <v>3437</v>
      </c>
      <c r="S626" s="4">
        <v>44958</v>
      </c>
    </row>
    <row r="627" spans="1:19" ht="12.5" x14ac:dyDescent="0.25">
      <c r="A627" s="14" t="str">
        <f>HYPERLINK("https://gerandofalcoes.my.salesforce.com/0014X00002YggkeQAB", "0014X00002YggkeQAB")</f>
        <v>0014X00002YggkeQAB</v>
      </c>
      <c r="B627" s="2" t="s">
        <v>3660</v>
      </c>
      <c r="C627" s="2" t="s">
        <v>423</v>
      </c>
      <c r="D627" s="2" t="s">
        <v>2</v>
      </c>
      <c r="E627" s="2">
        <v>9.09</v>
      </c>
      <c r="F627" s="2">
        <v>1</v>
      </c>
      <c r="G627" s="2">
        <v>2</v>
      </c>
      <c r="H627" s="2">
        <v>0</v>
      </c>
      <c r="I627" s="2">
        <v>80</v>
      </c>
      <c r="J627" s="2" t="s">
        <v>1779</v>
      </c>
      <c r="K627" s="2">
        <v>31</v>
      </c>
      <c r="L627" s="2">
        <v>10</v>
      </c>
      <c r="M627" s="2">
        <v>5</v>
      </c>
      <c r="N627" s="2">
        <v>6</v>
      </c>
      <c r="O627" s="2">
        <v>0</v>
      </c>
      <c r="P627" s="2">
        <v>10</v>
      </c>
      <c r="Q627" s="2" t="s">
        <v>3661</v>
      </c>
      <c r="R627" s="2" t="s">
        <v>3661</v>
      </c>
      <c r="S627" s="4">
        <v>44964</v>
      </c>
    </row>
    <row r="628" spans="1:19" ht="12.5" x14ac:dyDescent="0.25">
      <c r="A628" s="14" t="str">
        <f>HYPERLINK("https://gerandofalcoes.my.salesforce.com/0014X00002VKCsRQAX", "0014X00002VKCsRQAX")</f>
        <v>0014X00002VKCsRQAX</v>
      </c>
      <c r="B628" s="2" t="s">
        <v>2878</v>
      </c>
      <c r="C628" s="2" t="s">
        <v>423</v>
      </c>
      <c r="D628" s="2" t="s">
        <v>2</v>
      </c>
      <c r="E628" s="2">
        <v>9.08</v>
      </c>
      <c r="F628" s="2">
        <v>0</v>
      </c>
      <c r="G628" s="2">
        <v>1</v>
      </c>
      <c r="H628" s="2">
        <v>15000</v>
      </c>
      <c r="I628" s="2">
        <v>250</v>
      </c>
      <c r="J628" s="2" t="s">
        <v>1779</v>
      </c>
      <c r="K628" s="2">
        <v>31</v>
      </c>
      <c r="L628" s="2">
        <v>10</v>
      </c>
      <c r="M628" s="2">
        <v>0</v>
      </c>
      <c r="N628" s="2">
        <v>4</v>
      </c>
      <c r="O628" s="2">
        <v>5</v>
      </c>
      <c r="P628" s="2">
        <v>12</v>
      </c>
      <c r="Q628" s="2" t="s">
        <v>2879</v>
      </c>
      <c r="R628" s="2" t="s">
        <v>2880</v>
      </c>
      <c r="S628" s="4">
        <v>44837</v>
      </c>
    </row>
    <row r="629" spans="1:19" ht="12.5" x14ac:dyDescent="0.25">
      <c r="A629" s="14" t="str">
        <f>HYPERLINK("https://gerandofalcoes.my.salesforce.com/0014X00002YggitQAB", "0014X00002YggitQAB")</f>
        <v>0014X00002YggitQAB</v>
      </c>
      <c r="B629" s="2" t="s">
        <v>3781</v>
      </c>
      <c r="C629" s="2" t="s">
        <v>423</v>
      </c>
      <c r="D629" s="2" t="s">
        <v>2</v>
      </c>
      <c r="E629" s="2">
        <v>9.0500000000000007</v>
      </c>
      <c r="F629" s="2">
        <v>0</v>
      </c>
      <c r="G629" s="2">
        <v>2</v>
      </c>
      <c r="H629" s="2">
        <v>0</v>
      </c>
      <c r="I629" s="2">
        <v>40</v>
      </c>
      <c r="J629" s="2" t="s">
        <v>1779</v>
      </c>
      <c r="K629" s="2">
        <v>21</v>
      </c>
      <c r="L629" s="2">
        <v>10</v>
      </c>
      <c r="M629" s="2">
        <v>0</v>
      </c>
      <c r="N629" s="2">
        <v>6</v>
      </c>
      <c r="O629" s="2">
        <v>0</v>
      </c>
      <c r="P629" s="2">
        <v>5</v>
      </c>
      <c r="Q629" s="2" t="s">
        <v>3782</v>
      </c>
      <c r="R629" s="2" t="s">
        <v>3783</v>
      </c>
      <c r="S629" s="4">
        <v>44968</v>
      </c>
    </row>
    <row r="630" spans="1:19" ht="12.5" x14ac:dyDescent="0.25">
      <c r="A630" s="14" t="str">
        <f>HYPERLINK("https://gerandofalcoes.my.salesforce.com/0014X00002VKCrMQAX", "0014X00002VKCrMQAX")</f>
        <v>0014X00002VKCrMQAX</v>
      </c>
      <c r="B630" s="2" t="s">
        <v>2881</v>
      </c>
      <c r="C630" s="2" t="s">
        <v>423</v>
      </c>
      <c r="D630" s="2" t="s">
        <v>2</v>
      </c>
      <c r="E630" s="2">
        <v>9.0299999999999994</v>
      </c>
      <c r="F630" s="2">
        <v>0</v>
      </c>
      <c r="G630" s="2">
        <v>6</v>
      </c>
      <c r="H630" s="2">
        <v>3057</v>
      </c>
      <c r="I630" s="2">
        <v>3</v>
      </c>
      <c r="J630" s="2" t="s">
        <v>1779</v>
      </c>
      <c r="K630" s="2">
        <v>30</v>
      </c>
      <c r="L630" s="2">
        <v>10</v>
      </c>
      <c r="M630" s="2">
        <v>0</v>
      </c>
      <c r="N630" s="2">
        <v>10</v>
      </c>
      <c r="O630" s="2">
        <v>5</v>
      </c>
      <c r="P630" s="2">
        <v>5</v>
      </c>
      <c r="Q630" s="2" t="s">
        <v>2882</v>
      </c>
      <c r="R630" s="2" t="s">
        <v>2883</v>
      </c>
      <c r="S630" s="4">
        <v>44837</v>
      </c>
    </row>
    <row r="631" spans="1:19" ht="12.5" hidden="1" x14ac:dyDescent="0.25">
      <c r="A631" s="14" t="str">
        <f>HYPERLINK("https://gerandofalcoes.my.salesforce.com/0014X00002VKCuDQAX", "0014X00002VKCuDQAX")</f>
        <v>0014X00002VKCuDQAX</v>
      </c>
      <c r="B631" s="2" t="s">
        <v>2900</v>
      </c>
      <c r="C631" s="2" t="s">
        <v>1684</v>
      </c>
      <c r="D631" s="2" t="s">
        <v>2</v>
      </c>
      <c r="E631" s="2">
        <v>8.27</v>
      </c>
      <c r="F631" s="2">
        <v>0</v>
      </c>
      <c r="G631" s="2">
        <v>1</v>
      </c>
      <c r="H631" s="2">
        <v>20000</v>
      </c>
      <c r="I631" s="2">
        <v>30</v>
      </c>
      <c r="J631" s="2" t="s">
        <v>1779</v>
      </c>
      <c r="K631" s="2">
        <v>24</v>
      </c>
      <c r="L631" s="2">
        <v>10</v>
      </c>
      <c r="M631" s="2">
        <v>0</v>
      </c>
      <c r="N631" s="2">
        <v>4</v>
      </c>
      <c r="O631" s="2">
        <v>5</v>
      </c>
      <c r="P631" s="2">
        <v>5</v>
      </c>
      <c r="Q631" s="2" t="s">
        <v>2901</v>
      </c>
      <c r="R631" s="2" t="s">
        <v>2901</v>
      </c>
      <c r="S631" s="4">
        <v>44837</v>
      </c>
    </row>
    <row r="632" spans="1:19" ht="12.5" x14ac:dyDescent="0.25">
      <c r="A632" s="14" t="str">
        <f>HYPERLINK("https://gerandofalcoes.my.salesforce.com/0014P00003YSp9vQAD", "0014P00003YSp9vQAD")</f>
        <v>0014P00003YSp9vQAD</v>
      </c>
      <c r="B632" s="2" t="s">
        <v>2884</v>
      </c>
      <c r="C632" s="2" t="s">
        <v>423</v>
      </c>
      <c r="D632" s="2" t="s">
        <v>2</v>
      </c>
      <c r="E632" s="2">
        <v>9</v>
      </c>
      <c r="F632" s="2">
        <v>0</v>
      </c>
      <c r="G632" s="2">
        <v>2</v>
      </c>
      <c r="H632" s="2">
        <v>11000</v>
      </c>
      <c r="I632" s="2">
        <v>759</v>
      </c>
      <c r="J632" s="2" t="s">
        <v>1671</v>
      </c>
      <c r="K632" s="2">
        <v>41</v>
      </c>
      <c r="L632" s="2">
        <v>10</v>
      </c>
      <c r="M632" s="2">
        <v>0</v>
      </c>
      <c r="N632" s="2">
        <v>6</v>
      </c>
      <c r="O632" s="2">
        <v>5</v>
      </c>
      <c r="P632" s="2">
        <v>20</v>
      </c>
      <c r="Q632" s="2" t="s">
        <v>2885</v>
      </c>
      <c r="R632" s="2" t="s">
        <v>2886</v>
      </c>
      <c r="S632" s="4">
        <v>44837</v>
      </c>
    </row>
    <row r="633" spans="1:19" ht="12.5" x14ac:dyDescent="0.25">
      <c r="A633" s="14" t="str">
        <f>HYPERLINK("https://gerandofalcoes.my.salesforce.com/0014X00002VKCrpQAH", "0014X00002VKCrpQAH")</f>
        <v>0014X00002VKCrpQAH</v>
      </c>
      <c r="B633" s="2" t="s">
        <v>2887</v>
      </c>
      <c r="C633" s="2" t="s">
        <v>1800</v>
      </c>
      <c r="D633" s="2" t="s">
        <v>2</v>
      </c>
      <c r="E633" s="2">
        <v>9</v>
      </c>
      <c r="F633" s="2">
        <v>0</v>
      </c>
      <c r="G633" s="2">
        <v>4</v>
      </c>
      <c r="H633" s="2">
        <v>2700</v>
      </c>
      <c r="I633" s="2">
        <v>80</v>
      </c>
      <c r="J633" s="2" t="s">
        <v>1779</v>
      </c>
      <c r="K633" s="2">
        <v>35</v>
      </c>
      <c r="L633" s="2">
        <v>10</v>
      </c>
      <c r="M633" s="2">
        <v>0</v>
      </c>
      <c r="N633" s="2">
        <v>10</v>
      </c>
      <c r="O633" s="2">
        <v>5</v>
      </c>
      <c r="P633" s="2">
        <v>10</v>
      </c>
      <c r="Q633" s="2" t="s">
        <v>2888</v>
      </c>
      <c r="R633" s="2" t="s">
        <v>2889</v>
      </c>
      <c r="S633" s="4">
        <v>44837</v>
      </c>
    </row>
    <row r="634" spans="1:19" ht="12.5" x14ac:dyDescent="0.25">
      <c r="A634" s="14" t="str">
        <f>HYPERLINK("https://gerandofalcoes.my.salesforce.com/0014P00003YSp8qQAD", "0014P00003YSp8qQAD")</f>
        <v>0014P00003YSp8qQAD</v>
      </c>
      <c r="B634" s="2" t="s">
        <v>2890</v>
      </c>
      <c r="C634" s="2" t="s">
        <v>423</v>
      </c>
      <c r="D634" s="2" t="s">
        <v>2</v>
      </c>
      <c r="E634" s="2">
        <v>8.92</v>
      </c>
      <c r="F634" s="2">
        <v>0</v>
      </c>
      <c r="G634" s="2">
        <v>1</v>
      </c>
      <c r="H634" s="2">
        <v>1500</v>
      </c>
      <c r="I634" s="2">
        <v>80</v>
      </c>
      <c r="J634" s="2" t="s">
        <v>1779</v>
      </c>
      <c r="K634" s="2">
        <v>29</v>
      </c>
      <c r="L634" s="2">
        <v>10</v>
      </c>
      <c r="M634" s="2">
        <v>0</v>
      </c>
      <c r="N634" s="2">
        <v>4</v>
      </c>
      <c r="O634" s="2">
        <v>5</v>
      </c>
      <c r="P634" s="2">
        <v>10</v>
      </c>
      <c r="Q634" s="2" t="s">
        <v>2891</v>
      </c>
      <c r="R634" s="2" t="s">
        <v>2892</v>
      </c>
      <c r="S634" s="4">
        <v>44837</v>
      </c>
    </row>
    <row r="635" spans="1:19" ht="12.5" x14ac:dyDescent="0.25">
      <c r="A635" s="14" t="str">
        <f>HYPERLINK("https://gerandofalcoes.my.salesforce.com/0014X00002VKCshQAH", "0014X00002VKCshQAH")</f>
        <v>0014X00002VKCshQAH</v>
      </c>
      <c r="B635" s="2" t="s">
        <v>2893</v>
      </c>
      <c r="C635" s="2" t="s">
        <v>423</v>
      </c>
      <c r="D635" s="2" t="s">
        <v>2</v>
      </c>
      <c r="E635" s="2">
        <v>8.9</v>
      </c>
      <c r="F635" s="2">
        <v>0</v>
      </c>
      <c r="G635" s="2">
        <v>2</v>
      </c>
      <c r="H635" s="2">
        <v>25000</v>
      </c>
      <c r="I635" s="2">
        <v>83</v>
      </c>
      <c r="J635" s="2" t="s">
        <v>1779</v>
      </c>
      <c r="K635" s="2">
        <v>36</v>
      </c>
      <c r="L635" s="2">
        <v>10</v>
      </c>
      <c r="M635" s="2">
        <v>0</v>
      </c>
      <c r="N635" s="2">
        <v>6</v>
      </c>
      <c r="O635" s="2">
        <v>10</v>
      </c>
      <c r="P635" s="2">
        <v>10</v>
      </c>
      <c r="Q635" s="2" t="s">
        <v>2894</v>
      </c>
      <c r="R635" s="2" t="s">
        <v>2895</v>
      </c>
      <c r="S635" s="4">
        <v>44837</v>
      </c>
    </row>
    <row r="636" spans="1:19" ht="12.5" x14ac:dyDescent="0.25">
      <c r="A636" s="14" t="str">
        <f>HYPERLINK("https://gerandofalcoes.my.salesforce.com/0014P00003SGWPcQAP", "0014P00003SGWPcQAP")</f>
        <v>0014P00003SGWPcQAP</v>
      </c>
      <c r="B636" s="2" t="s">
        <v>2896</v>
      </c>
      <c r="C636" s="2" t="s">
        <v>1800</v>
      </c>
      <c r="D636" s="2" t="s">
        <v>2</v>
      </c>
      <c r="E636" s="2">
        <v>8.81</v>
      </c>
      <c r="F636" s="2">
        <v>0</v>
      </c>
      <c r="G636" s="2">
        <v>0</v>
      </c>
      <c r="H636" s="2">
        <v>0</v>
      </c>
      <c r="I636" s="2">
        <v>-25</v>
      </c>
      <c r="J636" s="2" t="s">
        <v>1779</v>
      </c>
      <c r="K636" s="2">
        <v>10</v>
      </c>
      <c r="L636" s="2">
        <v>10</v>
      </c>
      <c r="M636" s="2">
        <v>0</v>
      </c>
      <c r="N636" s="2">
        <v>0</v>
      </c>
      <c r="O636" s="2">
        <v>0</v>
      </c>
      <c r="P636" s="2">
        <v>0</v>
      </c>
      <c r="Q636" s="2" t="s">
        <v>282</v>
      </c>
      <c r="R636" s="2" t="s">
        <v>2897</v>
      </c>
      <c r="S636" s="4">
        <v>44837</v>
      </c>
    </row>
    <row r="637" spans="1:19" ht="12.5" x14ac:dyDescent="0.25">
      <c r="A637" s="14" t="str">
        <f>HYPERLINK("https://gerandofalcoes.my.salesforce.com/0014X00002Yggj5QAB", "0014X00002Yggj5QAB")</f>
        <v>0014X00002Yggj5QAB</v>
      </c>
      <c r="B637" s="2" t="s">
        <v>3714</v>
      </c>
      <c r="C637" s="2" t="s">
        <v>423</v>
      </c>
      <c r="D637" s="2" t="s">
        <v>2</v>
      </c>
      <c r="E637" s="2">
        <v>8.77</v>
      </c>
      <c r="F637" s="2">
        <v>0</v>
      </c>
      <c r="G637" s="2">
        <v>2</v>
      </c>
      <c r="H637" s="2">
        <v>3000</v>
      </c>
      <c r="I637" s="2">
        <v>0</v>
      </c>
      <c r="J637" s="2" t="s">
        <v>1779</v>
      </c>
      <c r="K637" s="2">
        <v>21</v>
      </c>
      <c r="L637" s="2">
        <v>10</v>
      </c>
      <c r="M637" s="2">
        <v>0</v>
      </c>
      <c r="N637" s="2">
        <v>6</v>
      </c>
      <c r="O637" s="2">
        <v>5</v>
      </c>
      <c r="P637" s="2">
        <v>0</v>
      </c>
      <c r="Q637" s="2" t="s">
        <v>3715</v>
      </c>
      <c r="R637" s="2" t="s">
        <v>3715</v>
      </c>
      <c r="S637" s="4">
        <v>44967</v>
      </c>
    </row>
    <row r="638" spans="1:19" ht="12.5" x14ac:dyDescent="0.25">
      <c r="A638" s="14" t="str">
        <f>HYPERLINK("https://gerandofalcoes.my.salesforce.com/0014X00002YgghXQAR", "0014X00002YgghXQAR")</f>
        <v>0014X00002YgghXQAR</v>
      </c>
      <c r="B638" s="2" t="s">
        <v>3258</v>
      </c>
      <c r="C638" s="2" t="s">
        <v>423</v>
      </c>
      <c r="D638" s="2" t="s">
        <v>2</v>
      </c>
      <c r="E638" s="2">
        <v>8.65</v>
      </c>
      <c r="F638" s="2">
        <v>20</v>
      </c>
      <c r="G638" s="2">
        <v>4</v>
      </c>
      <c r="H638" s="2">
        <v>5000</v>
      </c>
      <c r="I638" s="2">
        <v>75</v>
      </c>
      <c r="J638" s="2" t="s">
        <v>1671</v>
      </c>
      <c r="K638" s="2">
        <v>42</v>
      </c>
      <c r="L638" s="2">
        <v>10</v>
      </c>
      <c r="M638" s="2">
        <v>12</v>
      </c>
      <c r="N638" s="2">
        <v>10</v>
      </c>
      <c r="O638" s="2">
        <v>5</v>
      </c>
      <c r="P638" s="2">
        <v>5</v>
      </c>
      <c r="Q638" s="2" t="s">
        <v>3259</v>
      </c>
      <c r="R638" s="2" t="s">
        <v>3260</v>
      </c>
      <c r="S638" s="4">
        <v>44952</v>
      </c>
    </row>
    <row r="639" spans="1:19" ht="12.5" hidden="1" x14ac:dyDescent="0.25">
      <c r="A639" s="14" t="str">
        <f>HYPERLINK("https://gerandofalcoes.my.salesforce.com/0014X00002VKCttQAH", "0014X00002VKCttQAH")</f>
        <v>0014X00002VKCttQAH</v>
      </c>
      <c r="B639" s="2" t="s">
        <v>1966</v>
      </c>
      <c r="C639" s="2" t="s">
        <v>1684</v>
      </c>
      <c r="D639" s="2" t="s">
        <v>2</v>
      </c>
      <c r="E639" s="2">
        <v>40</v>
      </c>
      <c r="F639" s="2">
        <v>5</v>
      </c>
      <c r="G639" s="2">
        <v>3</v>
      </c>
      <c r="H639" s="2">
        <v>20</v>
      </c>
      <c r="I639" s="2">
        <v>30</v>
      </c>
      <c r="J639" s="2" t="s">
        <v>1779</v>
      </c>
      <c r="K639" s="2">
        <v>38</v>
      </c>
      <c r="L639" s="2">
        <v>15</v>
      </c>
      <c r="M639" s="2">
        <v>5</v>
      </c>
      <c r="N639" s="2">
        <v>8</v>
      </c>
      <c r="O639" s="2">
        <v>5</v>
      </c>
      <c r="P639" s="2">
        <v>5</v>
      </c>
      <c r="Q639" s="2" t="s">
        <v>1967</v>
      </c>
      <c r="R639" s="2" t="s">
        <v>1968</v>
      </c>
      <c r="S639" s="4">
        <v>44837</v>
      </c>
    </row>
    <row r="640" spans="1:19" ht="12.5" x14ac:dyDescent="0.25">
      <c r="A640" s="14" t="str">
        <f>HYPERLINK("https://gerandofalcoes.my.salesforce.com/0014X00002VKCpgQAH", "0014X00002VKCpgQAH")</f>
        <v>0014X00002VKCpgQAH</v>
      </c>
      <c r="B640" s="2" t="s">
        <v>2898</v>
      </c>
      <c r="C640" s="2" t="s">
        <v>423</v>
      </c>
      <c r="D640" s="2" t="s">
        <v>2</v>
      </c>
      <c r="E640" s="2">
        <v>8.61</v>
      </c>
      <c r="F640" s="2">
        <v>1</v>
      </c>
      <c r="G640" s="2">
        <v>1</v>
      </c>
      <c r="H640" s="2">
        <v>1224</v>
      </c>
      <c r="I640" s="2">
        <v>25</v>
      </c>
      <c r="J640" s="2" t="s">
        <v>1779</v>
      </c>
      <c r="K640" s="2">
        <v>29</v>
      </c>
      <c r="L640" s="2">
        <v>10</v>
      </c>
      <c r="M640" s="2">
        <v>5</v>
      </c>
      <c r="N640" s="2">
        <v>4</v>
      </c>
      <c r="O640" s="2">
        <v>5</v>
      </c>
      <c r="P640" s="2">
        <v>5</v>
      </c>
      <c r="Q640" s="2" t="s">
        <v>2899</v>
      </c>
      <c r="R640" s="2" t="s">
        <v>2899</v>
      </c>
      <c r="S640" s="4">
        <v>44837</v>
      </c>
    </row>
    <row r="641" spans="1:19" ht="12.5" x14ac:dyDescent="0.25">
      <c r="A641" s="14" t="str">
        <f>HYPERLINK("https://gerandofalcoes.my.salesforce.com/0014X00002Yggq6QAB", "0014X00002Yggq6QAB")</f>
        <v>0014X00002Yggq6QAB</v>
      </c>
      <c r="B641" s="2" t="s">
        <v>3328</v>
      </c>
      <c r="C641" s="2" t="s">
        <v>423</v>
      </c>
      <c r="D641" s="2" t="s">
        <v>2</v>
      </c>
      <c r="E641" s="2">
        <v>8.6</v>
      </c>
      <c r="F641" s="2">
        <v>0</v>
      </c>
      <c r="G641" s="2">
        <v>3</v>
      </c>
      <c r="H641" s="2">
        <v>3500</v>
      </c>
      <c r="I641" s="2">
        <v>30</v>
      </c>
      <c r="J641" s="2" t="s">
        <v>1779</v>
      </c>
      <c r="K641" s="2">
        <v>28</v>
      </c>
      <c r="L641" s="2">
        <v>10</v>
      </c>
      <c r="M641" s="2">
        <v>0</v>
      </c>
      <c r="N641" s="2">
        <v>8</v>
      </c>
      <c r="O641" s="2">
        <v>5</v>
      </c>
      <c r="P641" s="2">
        <v>5</v>
      </c>
      <c r="Q641" s="2" t="s">
        <v>3329</v>
      </c>
      <c r="R641" s="2" t="s">
        <v>3330</v>
      </c>
      <c r="S641" s="4">
        <v>44953</v>
      </c>
    </row>
    <row r="642" spans="1:19" ht="12.5" x14ac:dyDescent="0.25">
      <c r="A642" s="14" t="str">
        <f>HYPERLINK("https://gerandofalcoes.my.salesforce.com/0014X00002YgghWQAR", "0014X00002YgghWQAR")</f>
        <v>0014X00002YgghWQAR</v>
      </c>
      <c r="B642" s="2" t="s">
        <v>3331</v>
      </c>
      <c r="C642" s="2" t="s">
        <v>423</v>
      </c>
      <c r="D642" s="2" t="s">
        <v>2</v>
      </c>
      <c r="E642" s="2">
        <v>8.49</v>
      </c>
      <c r="F642" s="2">
        <v>0</v>
      </c>
      <c r="G642" s="2">
        <v>2</v>
      </c>
      <c r="H642" s="2">
        <v>8000</v>
      </c>
      <c r="I642" s="2">
        <v>0</v>
      </c>
      <c r="J642" s="2" t="s">
        <v>1779</v>
      </c>
      <c r="K642" s="2">
        <v>21</v>
      </c>
      <c r="L642" s="2">
        <v>10</v>
      </c>
      <c r="M642" s="2">
        <v>0</v>
      </c>
      <c r="N642" s="2">
        <v>6</v>
      </c>
      <c r="O642" s="2">
        <v>5</v>
      </c>
      <c r="P642" s="2">
        <v>0</v>
      </c>
      <c r="Q642" s="2" t="s">
        <v>3332</v>
      </c>
      <c r="R642" s="2" t="s">
        <v>3333</v>
      </c>
      <c r="S642" s="4">
        <v>44953</v>
      </c>
    </row>
    <row r="643" spans="1:19" ht="12.5" x14ac:dyDescent="0.25">
      <c r="A643" s="14" t="str">
        <f>HYPERLINK("https://gerandofalcoes.my.salesforce.com/0014P00003SGWQGQA5", "0014P00003SGWQGQA5")</f>
        <v>0014P00003SGWQGQA5</v>
      </c>
      <c r="B643" s="2" t="s">
        <v>259</v>
      </c>
      <c r="C643" s="2" t="s">
        <v>423</v>
      </c>
      <c r="D643" s="2" t="s">
        <v>2</v>
      </c>
      <c r="E643" s="2">
        <v>8.2899999999999991</v>
      </c>
      <c r="F643" s="2">
        <v>7</v>
      </c>
      <c r="G643" s="2">
        <v>1</v>
      </c>
      <c r="H643" s="2">
        <v>32000</v>
      </c>
      <c r="I643" s="2">
        <v>30</v>
      </c>
      <c r="J643" s="2" t="s">
        <v>1779</v>
      </c>
      <c r="K643" s="2">
        <v>39</v>
      </c>
      <c r="L643" s="2">
        <v>10</v>
      </c>
      <c r="M643" s="2">
        <v>10</v>
      </c>
      <c r="N643" s="2">
        <v>4</v>
      </c>
      <c r="O643" s="2">
        <v>10</v>
      </c>
      <c r="P643" s="2">
        <v>5</v>
      </c>
      <c r="Q643" s="2" t="s">
        <v>260</v>
      </c>
      <c r="R643" s="2" t="s">
        <v>1232</v>
      </c>
      <c r="S643" s="4">
        <v>44837</v>
      </c>
    </row>
    <row r="644" spans="1:19" ht="12.5" x14ac:dyDescent="0.25">
      <c r="A644" s="14" t="str">
        <f>HYPERLINK("https://gerandofalcoes.my.salesforce.com/0014X00002YggpOQAR", "0014X00002YggpOQAR")</f>
        <v>0014X00002YggpOQAR</v>
      </c>
      <c r="B644" s="2" t="s">
        <v>3053</v>
      </c>
      <c r="C644" s="2" t="s">
        <v>423</v>
      </c>
      <c r="D644" s="2" t="s">
        <v>2</v>
      </c>
      <c r="E644" s="2">
        <v>8.25</v>
      </c>
      <c r="F644" s="2">
        <v>34</v>
      </c>
      <c r="G644" s="2">
        <v>2</v>
      </c>
      <c r="H644" s="2">
        <v>343</v>
      </c>
      <c r="I644" s="2">
        <v>64</v>
      </c>
      <c r="J644" s="2" t="s">
        <v>1671</v>
      </c>
      <c r="K644" s="2">
        <v>41</v>
      </c>
      <c r="L644" s="2">
        <v>10</v>
      </c>
      <c r="M644" s="2">
        <v>15</v>
      </c>
      <c r="N644" s="2">
        <v>6</v>
      </c>
      <c r="O644" s="2">
        <v>5</v>
      </c>
      <c r="P644" s="2">
        <v>5</v>
      </c>
      <c r="Q644" s="2" t="s">
        <v>3054</v>
      </c>
      <c r="R644" s="2" t="s">
        <v>3055</v>
      </c>
      <c r="S644" s="4">
        <v>44946</v>
      </c>
    </row>
    <row r="645" spans="1:19" ht="12.5" x14ac:dyDescent="0.25">
      <c r="A645" s="14" t="str">
        <f>HYPERLINK("https://gerandofalcoes.my.salesforce.com/0014X00002VKCpOQAX", "0014X00002VKCpOQAX")</f>
        <v>0014X00002VKCpOQAX</v>
      </c>
      <c r="B645" s="2" t="s">
        <v>2905</v>
      </c>
      <c r="C645" s="2" t="s">
        <v>423</v>
      </c>
      <c r="D645" s="2" t="s">
        <v>2</v>
      </c>
      <c r="E645" s="2">
        <v>8</v>
      </c>
      <c r="F645" s="2">
        <v>4</v>
      </c>
      <c r="G645" s="2">
        <v>10</v>
      </c>
      <c r="H645" s="2">
        <v>0</v>
      </c>
      <c r="I645" s="2">
        <v>100</v>
      </c>
      <c r="J645" s="2" t="s">
        <v>1779</v>
      </c>
      <c r="K645" s="2">
        <v>35</v>
      </c>
      <c r="L645" s="2">
        <v>10</v>
      </c>
      <c r="M645" s="2">
        <v>5</v>
      </c>
      <c r="N645" s="2">
        <v>10</v>
      </c>
      <c r="O645" s="2">
        <v>0</v>
      </c>
      <c r="P645" s="2">
        <v>10</v>
      </c>
      <c r="Q645" s="2" t="s">
        <v>2906</v>
      </c>
      <c r="R645" s="2" t="s">
        <v>2906</v>
      </c>
      <c r="S645" s="4">
        <v>44837</v>
      </c>
    </row>
    <row r="646" spans="1:19" ht="12.5" x14ac:dyDescent="0.25">
      <c r="A646" s="14" t="str">
        <f>HYPERLINK("https://gerandofalcoes.my.salesforce.com/0014X00002VKCsMQAX", "0014X00002VKCsMQAX")</f>
        <v>0014X00002VKCsMQAX</v>
      </c>
      <c r="B646" s="2" t="s">
        <v>2902</v>
      </c>
      <c r="C646" s="2" t="s">
        <v>423</v>
      </c>
      <c r="D646" s="2" t="s">
        <v>2</v>
      </c>
      <c r="E646" s="2">
        <v>8</v>
      </c>
      <c r="F646" s="2">
        <v>10</v>
      </c>
      <c r="G646" s="2">
        <v>2</v>
      </c>
      <c r="H646" s="2">
        <v>5000</v>
      </c>
      <c r="I646" s="2">
        <v>106</v>
      </c>
      <c r="J646" s="2" t="s">
        <v>1671</v>
      </c>
      <c r="K646" s="2">
        <v>41</v>
      </c>
      <c r="L646" s="2">
        <v>10</v>
      </c>
      <c r="M646" s="2">
        <v>10</v>
      </c>
      <c r="N646" s="2">
        <v>6</v>
      </c>
      <c r="O646" s="2">
        <v>5</v>
      </c>
      <c r="P646" s="2">
        <v>10</v>
      </c>
      <c r="Q646" s="2" t="s">
        <v>2903</v>
      </c>
      <c r="R646" s="2" t="s">
        <v>2904</v>
      </c>
      <c r="S646" s="4">
        <v>44837</v>
      </c>
    </row>
    <row r="647" spans="1:19" ht="12.5" x14ac:dyDescent="0.25">
      <c r="A647" s="14" t="str">
        <f>HYPERLINK("https://gerandofalcoes.my.salesforce.com/0014P00003YSp8LQAT", "0014P00003YSp8LQAT")</f>
        <v>0014P00003YSp8LQAT</v>
      </c>
      <c r="B647" s="2" t="s">
        <v>2907</v>
      </c>
      <c r="C647" s="2" t="s">
        <v>423</v>
      </c>
      <c r="D647" s="2" t="s">
        <v>2</v>
      </c>
      <c r="E647" s="2">
        <v>7.95</v>
      </c>
      <c r="F647" s="2">
        <v>0</v>
      </c>
      <c r="G647" s="2">
        <v>0</v>
      </c>
      <c r="H647" s="2">
        <v>0</v>
      </c>
      <c r="I647" s="2">
        <v>200</v>
      </c>
      <c r="J647" s="2" t="s">
        <v>1779</v>
      </c>
      <c r="K647" s="2">
        <v>22</v>
      </c>
      <c r="L647" s="2">
        <v>10</v>
      </c>
      <c r="M647" s="2">
        <v>0</v>
      </c>
      <c r="N647" s="2">
        <v>0</v>
      </c>
      <c r="O647" s="2">
        <v>0</v>
      </c>
      <c r="P647" s="2">
        <v>12</v>
      </c>
      <c r="Q647" s="2" t="s">
        <v>2908</v>
      </c>
      <c r="R647" s="2" t="s">
        <v>2908</v>
      </c>
      <c r="S647" s="4">
        <v>44837</v>
      </c>
    </row>
    <row r="648" spans="1:19" ht="12.5" x14ac:dyDescent="0.25">
      <c r="A648" s="14" t="str">
        <f>HYPERLINK("https://gerandofalcoes.my.salesforce.com/0014X00002VKCuPQAX", "0014X00002VKCuPQAX")</f>
        <v>0014X00002VKCuPQAX</v>
      </c>
      <c r="B648" s="2" t="s">
        <v>2909</v>
      </c>
      <c r="C648" s="2" t="s">
        <v>423</v>
      </c>
      <c r="D648" s="2" t="s">
        <v>2</v>
      </c>
      <c r="E648" s="2">
        <v>7.84</v>
      </c>
      <c r="F648" s="2">
        <v>0</v>
      </c>
      <c r="G648" s="2">
        <v>0</v>
      </c>
      <c r="H648" s="2">
        <v>0</v>
      </c>
      <c r="I648" s="2">
        <v>0</v>
      </c>
      <c r="J648" s="2" t="s">
        <v>1779</v>
      </c>
      <c r="K648" s="2">
        <v>10</v>
      </c>
      <c r="L648" s="2">
        <v>10</v>
      </c>
      <c r="M648" s="2">
        <v>0</v>
      </c>
      <c r="N648" s="2">
        <v>0</v>
      </c>
      <c r="O648" s="2">
        <v>0</v>
      </c>
      <c r="P648" s="2">
        <v>0</v>
      </c>
      <c r="Q648" s="2" t="s">
        <v>2910</v>
      </c>
      <c r="R648" s="2" t="s">
        <v>2911</v>
      </c>
      <c r="S648" s="4">
        <v>44837</v>
      </c>
    </row>
    <row r="649" spans="1:19" ht="12.5" x14ac:dyDescent="0.25">
      <c r="A649" s="14" t="str">
        <f>HYPERLINK("https://gerandofalcoes.my.salesforce.com/0014X00002Yggi6QAB", "0014X00002Yggi6QAB")</f>
        <v>0014X00002Yggi6QAB</v>
      </c>
      <c r="B649" s="2" t="s">
        <v>3185</v>
      </c>
      <c r="C649" s="2" t="s">
        <v>423</v>
      </c>
      <c r="D649" s="2" t="s">
        <v>2</v>
      </c>
      <c r="E649" s="2">
        <v>7.78</v>
      </c>
      <c r="F649" s="2">
        <v>0</v>
      </c>
      <c r="G649" s="2">
        <v>2</v>
      </c>
      <c r="H649" s="2">
        <v>5000</v>
      </c>
      <c r="I649" s="2">
        <v>10</v>
      </c>
      <c r="J649" s="2" t="s">
        <v>1779</v>
      </c>
      <c r="K649" s="2">
        <v>26</v>
      </c>
      <c r="L649" s="2">
        <v>10</v>
      </c>
      <c r="M649" s="2">
        <v>0</v>
      </c>
      <c r="N649" s="2">
        <v>6</v>
      </c>
      <c r="O649" s="2">
        <v>5</v>
      </c>
      <c r="P649" s="2">
        <v>5</v>
      </c>
      <c r="Q649" s="2" t="s">
        <v>3186</v>
      </c>
      <c r="R649" s="2" t="s">
        <v>3187</v>
      </c>
      <c r="S649" s="4">
        <v>44951</v>
      </c>
    </row>
    <row r="650" spans="1:19" ht="12.5" x14ac:dyDescent="0.25">
      <c r="A650" s="14" t="str">
        <f>HYPERLINK("https://gerandofalcoes.my.salesforce.com/0014X00002VKCqAQAX", "0014X00002VKCqAQAX")</f>
        <v>0014X00002VKCqAQAX</v>
      </c>
      <c r="B650" s="2" t="s">
        <v>2912</v>
      </c>
      <c r="C650" s="2" t="s">
        <v>423</v>
      </c>
      <c r="D650" s="2" t="s">
        <v>2</v>
      </c>
      <c r="E650" s="2">
        <v>7.72</v>
      </c>
      <c r="F650" s="2">
        <v>7</v>
      </c>
      <c r="G650" s="2">
        <v>1</v>
      </c>
      <c r="H650" s="2">
        <v>78000</v>
      </c>
      <c r="I650" s="2">
        <v>250</v>
      </c>
      <c r="J650" s="2" t="s">
        <v>1671</v>
      </c>
      <c r="K650" s="2">
        <v>46</v>
      </c>
      <c r="L650" s="2">
        <v>10</v>
      </c>
      <c r="M650" s="2">
        <v>10</v>
      </c>
      <c r="N650" s="2">
        <v>4</v>
      </c>
      <c r="O650" s="2">
        <v>10</v>
      </c>
      <c r="P650" s="2">
        <v>12</v>
      </c>
      <c r="Q650" s="2" t="s">
        <v>2913</v>
      </c>
      <c r="R650" s="2" t="s">
        <v>2913</v>
      </c>
      <c r="S650" s="4">
        <v>44837</v>
      </c>
    </row>
    <row r="651" spans="1:19" ht="12.5" x14ac:dyDescent="0.25">
      <c r="A651" s="14" t="str">
        <f>HYPERLINK("https://gerandofalcoes.my.salesforce.com/0014X00002VKCreQAH", "0014X00002VKCreQAH")</f>
        <v>0014X00002VKCreQAH</v>
      </c>
      <c r="B651" s="2" t="s">
        <v>2914</v>
      </c>
      <c r="C651" s="2" t="s">
        <v>423</v>
      </c>
      <c r="D651" s="2" t="s">
        <v>2</v>
      </c>
      <c r="E651" s="2">
        <v>7.56</v>
      </c>
      <c r="F651" s="2">
        <v>0</v>
      </c>
      <c r="G651" s="2">
        <v>1</v>
      </c>
      <c r="H651" s="2">
        <v>3245</v>
      </c>
      <c r="I651" s="2">
        <v>0</v>
      </c>
      <c r="J651" s="2" t="s">
        <v>1779</v>
      </c>
      <c r="K651" s="2">
        <v>19</v>
      </c>
      <c r="L651" s="2">
        <v>10</v>
      </c>
      <c r="M651" s="2">
        <v>0</v>
      </c>
      <c r="N651" s="2">
        <v>4</v>
      </c>
      <c r="O651" s="2">
        <v>5</v>
      </c>
      <c r="P651" s="2">
        <v>0</v>
      </c>
      <c r="Q651" s="2" t="s">
        <v>2915</v>
      </c>
      <c r="R651" s="2" t="s">
        <v>2915</v>
      </c>
      <c r="S651" s="4">
        <v>44837</v>
      </c>
    </row>
    <row r="652" spans="1:19" ht="12.5" x14ac:dyDescent="0.25">
      <c r="A652" s="14" t="str">
        <f>HYPERLINK("https://gerandofalcoes.my.salesforce.com/0014X00002VMXzMQAX", "0014X00002VMXzMQAX")</f>
        <v>0014X00002VMXzMQAX</v>
      </c>
      <c r="B652" s="2" t="s">
        <v>2916</v>
      </c>
      <c r="C652" s="2" t="s">
        <v>423</v>
      </c>
      <c r="D652" s="2" t="s">
        <v>2</v>
      </c>
      <c r="E652" s="2">
        <v>7.48</v>
      </c>
      <c r="F652" s="2">
        <v>1</v>
      </c>
      <c r="G652" s="2">
        <v>2</v>
      </c>
      <c r="H652" s="2">
        <v>18000</v>
      </c>
      <c r="I652" s="2">
        <v>10</v>
      </c>
      <c r="J652" s="2" t="s">
        <v>1779</v>
      </c>
      <c r="K652" s="2">
        <v>31</v>
      </c>
      <c r="L652" s="2">
        <v>10</v>
      </c>
      <c r="M652" s="2">
        <v>5</v>
      </c>
      <c r="N652" s="2">
        <v>6</v>
      </c>
      <c r="O652" s="2">
        <v>5</v>
      </c>
      <c r="P652" s="2">
        <v>5</v>
      </c>
      <c r="Q652" s="2" t="s">
        <v>2917</v>
      </c>
      <c r="R652" s="2" t="s">
        <v>2918</v>
      </c>
      <c r="S652" s="4">
        <v>44837</v>
      </c>
    </row>
    <row r="653" spans="1:19" ht="12.5" x14ac:dyDescent="0.25">
      <c r="A653" s="14" t="str">
        <f>HYPERLINK("https://gerandofalcoes.my.salesforce.com/0014X00002YgghbQAB", "0014X00002YgghbQAB")</f>
        <v>0014X00002YgghbQAB</v>
      </c>
      <c r="B653" s="2" t="s">
        <v>3784</v>
      </c>
      <c r="C653" s="2" t="s">
        <v>423</v>
      </c>
      <c r="D653" s="2" t="s">
        <v>2</v>
      </c>
      <c r="E653" s="2">
        <v>7.42</v>
      </c>
      <c r="F653" s="2">
        <v>4</v>
      </c>
      <c r="G653" s="2">
        <v>6</v>
      </c>
      <c r="H653" s="2">
        <v>8000</v>
      </c>
      <c r="I653" s="2">
        <v>280</v>
      </c>
      <c r="J653" s="2" t="s">
        <v>1671</v>
      </c>
      <c r="K653" s="2">
        <v>42</v>
      </c>
      <c r="L653" s="2">
        <v>10</v>
      </c>
      <c r="M653" s="2">
        <v>5</v>
      </c>
      <c r="N653" s="2">
        <v>10</v>
      </c>
      <c r="O653" s="2">
        <v>5</v>
      </c>
      <c r="P653" s="2">
        <v>12</v>
      </c>
      <c r="Q653" s="2" t="s">
        <v>3785</v>
      </c>
      <c r="R653" s="2" t="s">
        <v>3786</v>
      </c>
      <c r="S653" s="4">
        <v>44968</v>
      </c>
    </row>
    <row r="654" spans="1:19" ht="12.5" x14ac:dyDescent="0.25">
      <c r="A654" s="14" t="str">
        <f>HYPERLINK("https://gerandofalcoes.my.salesforce.com/0014X00002YggpTQAR", "0014X00002YggpTQAR")</f>
        <v>0014X00002YggpTQAR</v>
      </c>
      <c r="B654" s="2" t="s">
        <v>3438</v>
      </c>
      <c r="C654" s="2" t="s">
        <v>423</v>
      </c>
      <c r="D654" s="2" t="s">
        <v>2</v>
      </c>
      <c r="E654" s="2">
        <v>7.38</v>
      </c>
      <c r="F654" s="2">
        <v>0</v>
      </c>
      <c r="G654" s="2">
        <v>2</v>
      </c>
      <c r="H654" s="2">
        <v>0</v>
      </c>
      <c r="I654" s="2">
        <v>0</v>
      </c>
      <c r="J654" s="2" t="s">
        <v>1779</v>
      </c>
      <c r="K654" s="2">
        <v>16</v>
      </c>
      <c r="L654" s="2">
        <v>10</v>
      </c>
      <c r="M654" s="2">
        <v>0</v>
      </c>
      <c r="N654" s="2">
        <v>6</v>
      </c>
      <c r="O654" s="2">
        <v>0</v>
      </c>
      <c r="P654" s="2">
        <v>0</v>
      </c>
      <c r="Q654" s="2" t="s">
        <v>3439</v>
      </c>
      <c r="R654" s="2" t="s">
        <v>3439</v>
      </c>
      <c r="S654" s="4">
        <v>44958</v>
      </c>
    </row>
    <row r="655" spans="1:19" ht="12.5" x14ac:dyDescent="0.25">
      <c r="A655" s="14" t="str">
        <f>HYPERLINK("https://gerandofalcoes.my.salesforce.com/0014X00002YggjpQAB", "0014X00002YggjpQAB")</f>
        <v>0014X00002YggjpQAB</v>
      </c>
      <c r="B655" s="2" t="s">
        <v>3800</v>
      </c>
      <c r="C655" s="2" t="s">
        <v>423</v>
      </c>
      <c r="D655" s="2" t="s">
        <v>2</v>
      </c>
      <c r="E655" s="2">
        <v>7.38</v>
      </c>
      <c r="F655" s="2">
        <v>4</v>
      </c>
      <c r="G655" s="2">
        <v>5</v>
      </c>
      <c r="H655" s="2">
        <v>8500</v>
      </c>
      <c r="I655" s="2">
        <v>7</v>
      </c>
      <c r="J655" s="2" t="s">
        <v>1779</v>
      </c>
      <c r="K655" s="2">
        <v>35</v>
      </c>
      <c r="L655" s="2">
        <v>10</v>
      </c>
      <c r="M655" s="2">
        <v>5</v>
      </c>
      <c r="N655" s="2">
        <v>10</v>
      </c>
      <c r="O655" s="2">
        <v>5</v>
      </c>
      <c r="P655" s="2">
        <v>5</v>
      </c>
      <c r="Q655" s="2" t="s">
        <v>3801</v>
      </c>
      <c r="R655" s="2" t="s">
        <v>3801</v>
      </c>
      <c r="S655" s="4">
        <v>44970</v>
      </c>
    </row>
    <row r="656" spans="1:19" ht="12.5" x14ac:dyDescent="0.25">
      <c r="A656" s="14" t="str">
        <f>HYPERLINK("https://gerandofalcoes.my.salesforce.com/0014X00002VKCqKQAX", "0014X00002VKCqKQAX")</f>
        <v>0014X00002VKCqKQAX</v>
      </c>
      <c r="B656" s="2" t="s">
        <v>2919</v>
      </c>
      <c r="C656" s="2" t="s">
        <v>423</v>
      </c>
      <c r="D656" s="2" t="s">
        <v>2</v>
      </c>
      <c r="E656" s="2">
        <v>7.34</v>
      </c>
      <c r="F656" s="2">
        <v>0</v>
      </c>
      <c r="G656" s="2">
        <v>1</v>
      </c>
      <c r="H656" s="2">
        <v>7500</v>
      </c>
      <c r="I656" s="2">
        <v>26</v>
      </c>
      <c r="J656" s="2" t="s">
        <v>1779</v>
      </c>
      <c r="K656" s="2">
        <v>24</v>
      </c>
      <c r="L656" s="2">
        <v>10</v>
      </c>
      <c r="M656" s="2">
        <v>0</v>
      </c>
      <c r="N656" s="2">
        <v>4</v>
      </c>
      <c r="O656" s="2">
        <v>5</v>
      </c>
      <c r="P656" s="2">
        <v>5</v>
      </c>
      <c r="Q656" s="2" t="s">
        <v>2920</v>
      </c>
      <c r="R656" s="2" t="s">
        <v>2921</v>
      </c>
      <c r="S656" s="4">
        <v>44837</v>
      </c>
    </row>
    <row r="657" spans="1:19" ht="12.5" x14ac:dyDescent="0.25">
      <c r="A657" s="14" t="str">
        <f>HYPERLINK("https://gerandofalcoes.my.salesforce.com/0014P00003YSp7aQAD", "0014P00003YSp7aQAD")</f>
        <v>0014P00003YSp7aQAD</v>
      </c>
      <c r="B657" s="2" t="s">
        <v>2922</v>
      </c>
      <c r="C657" s="2" t="s">
        <v>423</v>
      </c>
      <c r="D657" s="2" t="s">
        <v>2</v>
      </c>
      <c r="E657" s="2">
        <v>7.27</v>
      </c>
      <c r="F657" s="2">
        <v>8</v>
      </c>
      <c r="G657" s="2">
        <v>0</v>
      </c>
      <c r="H657" s="2">
        <v>5000</v>
      </c>
      <c r="I657" s="2">
        <v>30</v>
      </c>
      <c r="J657" s="2" t="s">
        <v>1779</v>
      </c>
      <c r="K657" s="2">
        <v>30</v>
      </c>
      <c r="L657" s="2">
        <v>10</v>
      </c>
      <c r="M657" s="2">
        <v>10</v>
      </c>
      <c r="N657" s="2">
        <v>0</v>
      </c>
      <c r="O657" s="2">
        <v>5</v>
      </c>
      <c r="P657" s="2">
        <v>5</v>
      </c>
      <c r="Q657" s="2" t="s">
        <v>2923</v>
      </c>
      <c r="R657" s="2" t="s">
        <v>2924</v>
      </c>
      <c r="S657" s="4">
        <v>44837</v>
      </c>
    </row>
    <row r="658" spans="1:19" ht="12.5" x14ac:dyDescent="0.25">
      <c r="A658" s="14" t="str">
        <f>HYPERLINK("https://gerandofalcoes.my.salesforce.com/0014X00002YggmXQAR", "0014X00002YggmXQAR")</f>
        <v>0014X00002YggmXQAR</v>
      </c>
      <c r="B658" s="2" t="s">
        <v>3056</v>
      </c>
      <c r="C658" s="2" t="s">
        <v>423</v>
      </c>
      <c r="D658" s="2" t="s">
        <v>2</v>
      </c>
      <c r="E658" s="2">
        <v>7.22</v>
      </c>
      <c r="F658" s="2">
        <v>0</v>
      </c>
      <c r="G658" s="2">
        <v>2</v>
      </c>
      <c r="H658" s="2">
        <v>1000</v>
      </c>
      <c r="I658" s="2">
        <v>73</v>
      </c>
      <c r="J658" s="2" t="s">
        <v>1779</v>
      </c>
      <c r="K658" s="2">
        <v>26</v>
      </c>
      <c r="L658" s="2">
        <v>10</v>
      </c>
      <c r="M658" s="2">
        <v>0</v>
      </c>
      <c r="N658" s="2">
        <v>6</v>
      </c>
      <c r="O658" s="2">
        <v>5</v>
      </c>
      <c r="P658" s="2">
        <v>5</v>
      </c>
      <c r="Q658" s="2" t="s">
        <v>3057</v>
      </c>
      <c r="R658" s="2" t="s">
        <v>3058</v>
      </c>
      <c r="S658" s="4">
        <v>44946</v>
      </c>
    </row>
    <row r="659" spans="1:19" ht="12.5" x14ac:dyDescent="0.25">
      <c r="A659" s="14" t="str">
        <f>HYPERLINK("https://gerandofalcoes.my.salesforce.com/0014X00002YgbktQAB", "0014X00002YgbktQAB")</f>
        <v>0014X00002YgbktQAB</v>
      </c>
      <c r="B659" s="2" t="s">
        <v>3787</v>
      </c>
      <c r="C659" s="2" t="s">
        <v>423</v>
      </c>
      <c r="D659" s="2" t="s">
        <v>2</v>
      </c>
      <c r="E659" s="2">
        <v>7.22</v>
      </c>
      <c r="F659" s="2">
        <v>0</v>
      </c>
      <c r="G659" s="2">
        <v>0</v>
      </c>
      <c r="H659" s="2">
        <v>0</v>
      </c>
      <c r="I659" s="2">
        <v>0</v>
      </c>
      <c r="J659" s="2" t="s">
        <v>1779</v>
      </c>
      <c r="K659" s="2">
        <v>10</v>
      </c>
      <c r="L659" s="2">
        <v>10</v>
      </c>
      <c r="M659" s="2">
        <v>0</v>
      </c>
      <c r="N659" s="2">
        <v>0</v>
      </c>
      <c r="O659" s="2">
        <v>0</v>
      </c>
      <c r="P659" s="2">
        <v>0</v>
      </c>
      <c r="Q659" s="2" t="s">
        <v>3788</v>
      </c>
      <c r="R659" s="2" t="s">
        <v>3788</v>
      </c>
      <c r="S659" s="4">
        <v>44968</v>
      </c>
    </row>
    <row r="660" spans="1:19" ht="12.5" x14ac:dyDescent="0.25">
      <c r="A660" s="14" t="str">
        <f>HYPERLINK("https://gerandofalcoes.my.salesforce.com/0014P00003YSp8dQAD", "0014P00003YSp8dQAD")</f>
        <v>0014P00003YSp8dQAD</v>
      </c>
      <c r="B660" s="2" t="s">
        <v>2925</v>
      </c>
      <c r="C660" s="2" t="s">
        <v>423</v>
      </c>
      <c r="D660" s="2" t="s">
        <v>2</v>
      </c>
      <c r="E660" s="2">
        <v>7</v>
      </c>
      <c r="F660" s="2">
        <v>3</v>
      </c>
      <c r="G660" s="2">
        <v>2</v>
      </c>
      <c r="H660" s="2">
        <v>0</v>
      </c>
      <c r="I660" s="2">
        <v>150</v>
      </c>
      <c r="J660" s="2" t="s">
        <v>1779</v>
      </c>
      <c r="K660" s="2">
        <v>33</v>
      </c>
      <c r="L660" s="2">
        <v>10</v>
      </c>
      <c r="M660" s="2">
        <v>5</v>
      </c>
      <c r="N660" s="2">
        <v>6</v>
      </c>
      <c r="O660" s="2">
        <v>0</v>
      </c>
      <c r="P660" s="2">
        <v>12</v>
      </c>
      <c r="Q660" s="2" t="s">
        <v>2926</v>
      </c>
      <c r="R660" s="2" t="s">
        <v>2926</v>
      </c>
      <c r="S660" s="4">
        <v>44837</v>
      </c>
    </row>
    <row r="661" spans="1:19" ht="12.5" x14ac:dyDescent="0.25">
      <c r="A661" s="14" t="str">
        <f>HYPERLINK("https://gerandofalcoes.my.salesforce.com/0014P00003AN2FdQAL", "0014P00003AN2FdQAL")</f>
        <v>0014P00003AN2FdQAL</v>
      </c>
      <c r="B661" s="2" t="s">
        <v>95</v>
      </c>
      <c r="C661" s="2" t="s">
        <v>423</v>
      </c>
      <c r="D661" s="2" t="s">
        <v>2</v>
      </c>
      <c r="E661" s="2">
        <v>7</v>
      </c>
      <c r="F661" s="2">
        <v>0</v>
      </c>
      <c r="G661" s="2">
        <v>0</v>
      </c>
      <c r="H661" s="2">
        <v>0</v>
      </c>
      <c r="I661" s="2">
        <v>300</v>
      </c>
      <c r="J661" s="2" t="s">
        <v>1779</v>
      </c>
      <c r="K661" s="2">
        <v>25</v>
      </c>
      <c r="L661" s="2">
        <v>10</v>
      </c>
      <c r="M661" s="2">
        <v>0</v>
      </c>
      <c r="N661" s="2">
        <v>0</v>
      </c>
      <c r="O661" s="2">
        <v>0</v>
      </c>
      <c r="P661" s="2">
        <v>15</v>
      </c>
      <c r="Q661" s="2" t="s">
        <v>96</v>
      </c>
      <c r="R661" s="2" t="s">
        <v>685</v>
      </c>
      <c r="S661" s="4">
        <v>44837</v>
      </c>
    </row>
    <row r="662" spans="1:19" ht="12.5" x14ac:dyDescent="0.25">
      <c r="A662" s="14" t="str">
        <f>HYPERLINK("https://gerandofalcoes.my.salesforce.com/0014X00002YggmSQAR", "0014X00002YggmSQAR")</f>
        <v>0014X00002YggmSQAR</v>
      </c>
      <c r="B662" s="2" t="s">
        <v>3059</v>
      </c>
      <c r="C662" s="2" t="s">
        <v>423</v>
      </c>
      <c r="D662" s="2" t="s">
        <v>2</v>
      </c>
      <c r="E662" s="2">
        <v>6.98</v>
      </c>
      <c r="F662" s="2">
        <v>4</v>
      </c>
      <c r="G662" s="2">
        <v>5</v>
      </c>
      <c r="H662" s="2">
        <v>12000</v>
      </c>
      <c r="I662" s="2">
        <v>0</v>
      </c>
      <c r="J662" s="2" t="s">
        <v>1779</v>
      </c>
      <c r="K662" s="2">
        <v>30</v>
      </c>
      <c r="L662" s="2">
        <v>10</v>
      </c>
      <c r="M662" s="2">
        <v>5</v>
      </c>
      <c r="N662" s="2">
        <v>10</v>
      </c>
      <c r="O662" s="2">
        <v>5</v>
      </c>
      <c r="P662" s="2">
        <v>0</v>
      </c>
      <c r="Q662" s="2" t="s">
        <v>3060</v>
      </c>
      <c r="R662" s="2" t="s">
        <v>3061</v>
      </c>
      <c r="S662" s="4">
        <v>44946</v>
      </c>
    </row>
    <row r="663" spans="1:19" ht="12.5" x14ac:dyDescent="0.25">
      <c r="A663" s="14" t="str">
        <f>HYPERLINK("https://gerandofalcoes.my.salesforce.com/0014X00002VKCqyQAH", "0014X00002VKCqyQAH")</f>
        <v>0014X00002VKCqyQAH</v>
      </c>
      <c r="B663" s="2" t="s">
        <v>3807</v>
      </c>
      <c r="C663" s="2" t="s">
        <v>423</v>
      </c>
      <c r="D663" s="2" t="s">
        <v>2</v>
      </c>
      <c r="E663" s="2">
        <v>6.71</v>
      </c>
      <c r="F663" s="2">
        <v>20</v>
      </c>
      <c r="G663" s="2">
        <v>3</v>
      </c>
      <c r="H663" s="2">
        <v>5000</v>
      </c>
      <c r="I663" s="2">
        <v>200</v>
      </c>
      <c r="J663" s="2" t="s">
        <v>1671</v>
      </c>
      <c r="K663" s="2">
        <v>47</v>
      </c>
      <c r="L663" s="2">
        <v>10</v>
      </c>
      <c r="M663" s="2">
        <v>12</v>
      </c>
      <c r="N663" s="2">
        <v>8</v>
      </c>
      <c r="O663" s="2">
        <v>5</v>
      </c>
      <c r="P663" s="2">
        <v>12</v>
      </c>
      <c r="Q663" s="2" t="s">
        <v>3808</v>
      </c>
      <c r="R663" s="2" t="s">
        <v>3809</v>
      </c>
      <c r="S663" s="4">
        <v>44986</v>
      </c>
    </row>
    <row r="664" spans="1:19" ht="12.5" x14ac:dyDescent="0.25">
      <c r="A664" s="14" t="str">
        <f>HYPERLINK("https://gerandofalcoes.my.salesforce.com/0014X00002VKCvAQAX", "0014X00002VKCvAQAX")</f>
        <v>0014X00002VKCvAQAX</v>
      </c>
      <c r="B664" s="2" t="s">
        <v>2927</v>
      </c>
      <c r="C664" s="2" t="s">
        <v>423</v>
      </c>
      <c r="D664" s="2" t="s">
        <v>2</v>
      </c>
      <c r="E664" s="2">
        <v>6.68</v>
      </c>
      <c r="F664" s="2">
        <v>0</v>
      </c>
      <c r="G664" s="2">
        <v>1</v>
      </c>
      <c r="H664" s="2">
        <v>35000</v>
      </c>
      <c r="I664" s="2">
        <v>0</v>
      </c>
      <c r="J664" s="2" t="s">
        <v>1779</v>
      </c>
      <c r="K664" s="2">
        <v>24</v>
      </c>
      <c r="L664" s="2">
        <v>10</v>
      </c>
      <c r="M664" s="2">
        <v>0</v>
      </c>
      <c r="N664" s="2">
        <v>4</v>
      </c>
      <c r="O664" s="2">
        <v>10</v>
      </c>
      <c r="P664" s="2">
        <v>0</v>
      </c>
      <c r="Q664" s="2" t="s">
        <v>2928</v>
      </c>
      <c r="R664" s="2" t="s">
        <v>2929</v>
      </c>
      <c r="S664" s="4">
        <v>44837</v>
      </c>
    </row>
    <row r="665" spans="1:19" ht="12.5" x14ac:dyDescent="0.25">
      <c r="A665" s="14" t="str">
        <f>HYPERLINK("https://gerandofalcoes.my.salesforce.com/0014X00002YgbkQQAR", "0014X00002YgbkQQAR")</f>
        <v>0014X00002YgbkQQAR</v>
      </c>
      <c r="B665" s="2" t="s">
        <v>3542</v>
      </c>
      <c r="C665" s="2" t="s">
        <v>423</v>
      </c>
      <c r="D665" s="2" t="s">
        <v>2</v>
      </c>
      <c r="E665" s="2">
        <v>6.62</v>
      </c>
      <c r="F665" s="2">
        <v>0</v>
      </c>
      <c r="G665" s="2">
        <v>0</v>
      </c>
      <c r="H665" s="2">
        <v>0</v>
      </c>
      <c r="I665" s="2">
        <v>0</v>
      </c>
      <c r="J665" s="2" t="s">
        <v>1779</v>
      </c>
      <c r="K665" s="2">
        <v>10</v>
      </c>
      <c r="L665" s="2">
        <v>10</v>
      </c>
      <c r="M665" s="2">
        <v>0</v>
      </c>
      <c r="N665" s="2">
        <v>0</v>
      </c>
      <c r="O665" s="2">
        <v>0</v>
      </c>
      <c r="P665" s="2">
        <v>0</v>
      </c>
      <c r="Q665" s="2" t="s">
        <v>3543</v>
      </c>
      <c r="R665" s="2" t="s">
        <v>3544</v>
      </c>
      <c r="S665" s="4">
        <v>44959</v>
      </c>
    </row>
    <row r="666" spans="1:19" ht="12.5" x14ac:dyDescent="0.25">
      <c r="A666" s="14" t="str">
        <f>HYPERLINK("https://gerandofalcoes.my.salesforce.com/0014X00002YggoDQAR", "0014X00002YggoDQAR")</f>
        <v>0014X00002YggoDQAR</v>
      </c>
      <c r="B666" s="2" t="s">
        <v>3662</v>
      </c>
      <c r="C666" s="2" t="s">
        <v>423</v>
      </c>
      <c r="D666" s="2" t="s">
        <v>2</v>
      </c>
      <c r="E666" s="2">
        <v>6.27</v>
      </c>
      <c r="F666" s="2">
        <v>0</v>
      </c>
      <c r="G666" s="2">
        <v>2</v>
      </c>
      <c r="H666" s="2">
        <v>0</v>
      </c>
      <c r="I666" s="2">
        <v>20</v>
      </c>
      <c r="J666" s="2" t="s">
        <v>1779</v>
      </c>
      <c r="K666" s="2">
        <v>21</v>
      </c>
      <c r="L666" s="2">
        <v>10</v>
      </c>
      <c r="M666" s="2">
        <v>0</v>
      </c>
      <c r="N666" s="2">
        <v>6</v>
      </c>
      <c r="O666" s="2">
        <v>0</v>
      </c>
      <c r="P666" s="2">
        <v>5</v>
      </c>
      <c r="Q666" s="2" t="s">
        <v>3663</v>
      </c>
      <c r="R666" s="2" t="s">
        <v>3664</v>
      </c>
      <c r="S666" s="4">
        <v>44964</v>
      </c>
    </row>
    <row r="667" spans="1:19" ht="12.5" x14ac:dyDescent="0.25">
      <c r="A667" s="14" t="str">
        <f>HYPERLINK("https://gerandofalcoes.my.salesforce.com/0014X00002VKCq0QAH", "0014X00002VKCq0QAH")</f>
        <v>0014X00002VKCq0QAH</v>
      </c>
      <c r="B667" s="2" t="s">
        <v>2930</v>
      </c>
      <c r="C667" s="2" t="s">
        <v>1800</v>
      </c>
      <c r="D667" s="2" t="s">
        <v>2</v>
      </c>
      <c r="E667" s="2">
        <v>6</v>
      </c>
      <c r="F667" s="2">
        <v>2</v>
      </c>
      <c r="G667" s="2">
        <v>3</v>
      </c>
      <c r="H667" s="2">
        <v>929000</v>
      </c>
      <c r="I667" s="2">
        <v>300</v>
      </c>
      <c r="J667" s="2" t="s">
        <v>1671</v>
      </c>
      <c r="K667" s="2">
        <v>63</v>
      </c>
      <c r="L667" s="2">
        <v>10</v>
      </c>
      <c r="M667" s="2">
        <v>5</v>
      </c>
      <c r="N667" s="2">
        <v>8</v>
      </c>
      <c r="O667" s="2">
        <v>25</v>
      </c>
      <c r="P667" s="2">
        <v>15</v>
      </c>
      <c r="Q667" s="2" t="s">
        <v>2931</v>
      </c>
      <c r="R667" s="2" t="s">
        <v>2932</v>
      </c>
      <c r="S667" s="4">
        <v>44837</v>
      </c>
    </row>
    <row r="668" spans="1:19" ht="12.5" x14ac:dyDescent="0.25">
      <c r="A668" s="14" t="str">
        <f>HYPERLINK("https://gerandofalcoes.my.salesforce.com/0014X00002VKCuuQAH", "0014X00002VKCuuQAH")</f>
        <v>0014X00002VKCuuQAH</v>
      </c>
      <c r="B668" s="2" t="s">
        <v>2933</v>
      </c>
      <c r="C668" s="2" t="s">
        <v>423</v>
      </c>
      <c r="D668" s="2" t="s">
        <v>2</v>
      </c>
      <c r="E668" s="2">
        <v>6</v>
      </c>
      <c r="F668" s="2">
        <v>5</v>
      </c>
      <c r="G668" s="2">
        <v>5</v>
      </c>
      <c r="H668" s="2">
        <v>0</v>
      </c>
      <c r="I668" s="2">
        <v>220</v>
      </c>
      <c r="J668" s="2" t="s">
        <v>1779</v>
      </c>
      <c r="K668" s="2">
        <v>37</v>
      </c>
      <c r="L668" s="2">
        <v>10</v>
      </c>
      <c r="M668" s="2">
        <v>5</v>
      </c>
      <c r="N668" s="2">
        <v>10</v>
      </c>
      <c r="O668" s="2">
        <v>0</v>
      </c>
      <c r="P668" s="2">
        <v>12</v>
      </c>
      <c r="Q668" s="2" t="s">
        <v>2934</v>
      </c>
      <c r="R668" s="2" t="s">
        <v>2934</v>
      </c>
      <c r="S668" s="4">
        <v>44837</v>
      </c>
    </row>
    <row r="669" spans="1:19" ht="12.5" x14ac:dyDescent="0.25">
      <c r="A669" s="14" t="str">
        <f>HYPERLINK("https://gerandofalcoes.my.salesforce.com/0014X00002VKCugQAH", "0014X00002VKCugQAH")</f>
        <v>0014X00002VKCugQAH</v>
      </c>
      <c r="B669" s="2" t="s">
        <v>2935</v>
      </c>
      <c r="C669" s="2" t="s">
        <v>1800</v>
      </c>
      <c r="D669" s="2" t="s">
        <v>2</v>
      </c>
      <c r="E669" s="2">
        <v>6</v>
      </c>
      <c r="F669" s="2">
        <v>0</v>
      </c>
      <c r="G669" s="2">
        <v>2</v>
      </c>
      <c r="H669" s="2">
        <v>3000</v>
      </c>
      <c r="I669" s="2">
        <v>0</v>
      </c>
      <c r="J669" s="2" t="s">
        <v>1779</v>
      </c>
      <c r="K669" s="2">
        <v>21</v>
      </c>
      <c r="L669" s="2">
        <v>10</v>
      </c>
      <c r="M669" s="2">
        <v>0</v>
      </c>
      <c r="N669" s="2">
        <v>6</v>
      </c>
      <c r="O669" s="2">
        <v>5</v>
      </c>
      <c r="P669" s="2">
        <v>0</v>
      </c>
      <c r="Q669" s="2" t="s">
        <v>2936</v>
      </c>
      <c r="R669" s="2" t="s">
        <v>2937</v>
      </c>
      <c r="S669" s="4">
        <v>44837</v>
      </c>
    </row>
    <row r="670" spans="1:19" ht="12.5" x14ac:dyDescent="0.25">
      <c r="A670" s="14" t="str">
        <f>HYPERLINK("https://gerandofalcoes.my.salesforce.com/0014X00002YggphQAB", "0014X00002YggphQAB")</f>
        <v>0014X00002YggphQAB</v>
      </c>
      <c r="B670" s="2" t="s">
        <v>3620</v>
      </c>
      <c r="C670" s="2" t="s">
        <v>423</v>
      </c>
      <c r="D670" s="2" t="s">
        <v>2</v>
      </c>
      <c r="E670" s="2">
        <v>5.91</v>
      </c>
      <c r="F670" s="2">
        <v>9</v>
      </c>
      <c r="G670" s="2">
        <v>27</v>
      </c>
      <c r="H670" s="2">
        <v>15000</v>
      </c>
      <c r="I670" s="2">
        <v>20</v>
      </c>
      <c r="J670" s="2" t="s">
        <v>1671</v>
      </c>
      <c r="K670" s="2">
        <v>40</v>
      </c>
      <c r="L670" s="2">
        <v>10</v>
      </c>
      <c r="M670" s="2">
        <v>10</v>
      </c>
      <c r="N670" s="2">
        <v>10</v>
      </c>
      <c r="O670" s="2">
        <v>5</v>
      </c>
      <c r="P670" s="2">
        <v>5</v>
      </c>
      <c r="Q670" s="2" t="s">
        <v>3621</v>
      </c>
      <c r="R670" s="2" t="s">
        <v>3622</v>
      </c>
      <c r="S670" s="4">
        <v>44963</v>
      </c>
    </row>
    <row r="671" spans="1:19" ht="12.5" x14ac:dyDescent="0.25">
      <c r="A671" s="14" t="str">
        <f>HYPERLINK("https://gerandofalcoes.my.salesforce.com/0014X00002VKCt8QAH", "0014X00002VKCt8QAH")</f>
        <v>0014X00002VKCt8QAH</v>
      </c>
      <c r="B671" s="2" t="s">
        <v>2938</v>
      </c>
      <c r="C671" s="2" t="s">
        <v>423</v>
      </c>
      <c r="D671" s="2" t="s">
        <v>2</v>
      </c>
      <c r="E671" s="2">
        <v>5.84</v>
      </c>
      <c r="F671" s="2">
        <v>0</v>
      </c>
      <c r="G671" s="2">
        <v>0</v>
      </c>
      <c r="H671" s="2">
        <v>0</v>
      </c>
      <c r="I671" s="2">
        <v>0</v>
      </c>
      <c r="J671" s="2" t="s">
        <v>1779</v>
      </c>
      <c r="K671" s="2">
        <v>10</v>
      </c>
      <c r="L671" s="2">
        <v>10</v>
      </c>
      <c r="M671" s="2">
        <v>0</v>
      </c>
      <c r="N671" s="2">
        <v>0</v>
      </c>
      <c r="O671" s="2">
        <v>0</v>
      </c>
      <c r="P671" s="2">
        <v>0</v>
      </c>
      <c r="Q671" s="2" t="s">
        <v>2939</v>
      </c>
      <c r="R671" s="2" t="s">
        <v>2940</v>
      </c>
      <c r="S671" s="4">
        <v>44837</v>
      </c>
    </row>
    <row r="672" spans="1:19" ht="12.5" x14ac:dyDescent="0.25">
      <c r="A672" s="14" t="str">
        <f>HYPERLINK("https://gerandofalcoes.my.salesforce.com/0014X00002VKCv6QAH", "0014X00002VKCv6QAH")</f>
        <v>0014X00002VKCv6QAH</v>
      </c>
      <c r="B672" s="2" t="s">
        <v>2941</v>
      </c>
      <c r="C672" s="2" t="s">
        <v>423</v>
      </c>
      <c r="D672" s="2" t="s">
        <v>2</v>
      </c>
      <c r="E672" s="2">
        <v>5.6</v>
      </c>
      <c r="F672" s="2">
        <v>0</v>
      </c>
      <c r="G672" s="2">
        <v>0</v>
      </c>
      <c r="H672" s="2">
        <v>0</v>
      </c>
      <c r="I672" s="2">
        <v>44</v>
      </c>
      <c r="J672" s="2" t="s">
        <v>1779</v>
      </c>
      <c r="K672" s="2">
        <v>15</v>
      </c>
      <c r="L672" s="2">
        <v>10</v>
      </c>
      <c r="M672" s="2">
        <v>0</v>
      </c>
      <c r="N672" s="2">
        <v>0</v>
      </c>
      <c r="O672" s="2">
        <v>0</v>
      </c>
      <c r="P672" s="2">
        <v>5</v>
      </c>
      <c r="Q672" s="2" t="s">
        <v>2942</v>
      </c>
      <c r="R672" s="2" t="s">
        <v>2943</v>
      </c>
      <c r="S672" s="4">
        <v>44837</v>
      </c>
    </row>
    <row r="673" spans="1:19" ht="12.5" x14ac:dyDescent="0.25">
      <c r="A673" s="14" t="str">
        <f>HYPERLINK("https://gerandofalcoes.my.salesforce.com/0014X00002YggnDQAR", "0014X00002YggnDQAR")</f>
        <v>0014X00002YggnDQAR</v>
      </c>
      <c r="B673" s="2" t="s">
        <v>3334</v>
      </c>
      <c r="C673" s="2" t="s">
        <v>423</v>
      </c>
      <c r="D673" s="2" t="s">
        <v>2</v>
      </c>
      <c r="E673" s="2">
        <v>5.59</v>
      </c>
      <c r="F673" s="2">
        <v>0</v>
      </c>
      <c r="G673" s="2">
        <v>3</v>
      </c>
      <c r="H673" s="2">
        <v>5000</v>
      </c>
      <c r="I673" s="2">
        <v>2000</v>
      </c>
      <c r="J673" s="2" t="s">
        <v>1671</v>
      </c>
      <c r="K673" s="2">
        <v>43</v>
      </c>
      <c r="L673" s="2">
        <v>10</v>
      </c>
      <c r="M673" s="2">
        <v>0</v>
      </c>
      <c r="N673" s="2">
        <v>8</v>
      </c>
      <c r="O673" s="2">
        <v>5</v>
      </c>
      <c r="P673" s="2">
        <v>20</v>
      </c>
      <c r="Q673" s="2" t="s">
        <v>3335</v>
      </c>
      <c r="R673" s="2" t="s">
        <v>3336</v>
      </c>
      <c r="S673" s="4">
        <v>44953</v>
      </c>
    </row>
    <row r="674" spans="1:19" ht="12.5" x14ac:dyDescent="0.25">
      <c r="A674" s="14" t="str">
        <f>HYPERLINK("https://gerandofalcoes.my.salesforce.com/0014X00002VKCucQAH", "0014X00002VKCucQAH")</f>
        <v>0014X00002VKCucQAH</v>
      </c>
      <c r="B674" s="2" t="s">
        <v>2944</v>
      </c>
      <c r="C674" s="2" t="s">
        <v>423</v>
      </c>
      <c r="D674" s="2" t="s">
        <v>2</v>
      </c>
      <c r="E674" s="2">
        <v>5.56</v>
      </c>
      <c r="F674" s="2">
        <v>0</v>
      </c>
      <c r="G674" s="2">
        <v>1</v>
      </c>
      <c r="H674" s="2">
        <v>300</v>
      </c>
      <c r="I674" s="2">
        <v>0</v>
      </c>
      <c r="J674" s="2" t="s">
        <v>1779</v>
      </c>
      <c r="K674" s="2">
        <v>19</v>
      </c>
      <c r="L674" s="2">
        <v>10</v>
      </c>
      <c r="M674" s="2">
        <v>0</v>
      </c>
      <c r="N674" s="2">
        <v>4</v>
      </c>
      <c r="O674" s="2">
        <v>5</v>
      </c>
      <c r="P674" s="2">
        <v>0</v>
      </c>
      <c r="Q674" s="2" t="s">
        <v>2945</v>
      </c>
      <c r="R674" s="2" t="s">
        <v>2946</v>
      </c>
      <c r="S674" s="4">
        <v>44837</v>
      </c>
    </row>
    <row r="675" spans="1:19" ht="12.5" x14ac:dyDescent="0.25">
      <c r="A675" s="14" t="str">
        <f>HYPERLINK("https://gerandofalcoes.my.salesforce.com/0014X00002YgghYQAR", "0014X00002YgghYQAR")</f>
        <v>0014X00002YgghYQAR</v>
      </c>
      <c r="B675" s="2" t="s">
        <v>3545</v>
      </c>
      <c r="C675" s="2" t="s">
        <v>423</v>
      </c>
      <c r="D675" s="2" t="s">
        <v>2</v>
      </c>
      <c r="E675" s="2">
        <v>5.56</v>
      </c>
      <c r="F675" s="2">
        <v>10</v>
      </c>
      <c r="G675" s="2">
        <v>3</v>
      </c>
      <c r="H675" s="2">
        <v>5000</v>
      </c>
      <c r="I675" s="2">
        <v>0</v>
      </c>
      <c r="J675" s="2" t="s">
        <v>1779</v>
      </c>
      <c r="K675" s="2">
        <v>33</v>
      </c>
      <c r="L675" s="2">
        <v>10</v>
      </c>
      <c r="M675" s="2">
        <v>10</v>
      </c>
      <c r="N675" s="2">
        <v>8</v>
      </c>
      <c r="O675" s="2">
        <v>5</v>
      </c>
      <c r="P675" s="2">
        <v>0</v>
      </c>
      <c r="Q675" s="2" t="s">
        <v>3546</v>
      </c>
      <c r="R675" s="2" t="s">
        <v>3546</v>
      </c>
      <c r="S675" s="4">
        <v>44959</v>
      </c>
    </row>
    <row r="676" spans="1:19" ht="12.5" x14ac:dyDescent="0.25">
      <c r="A676" s="14" t="str">
        <f>HYPERLINK("https://gerandofalcoes.my.salesforce.com/0014X00002YggkwQAB", "0014X00002YggkwQAB")</f>
        <v>0014X00002YggkwQAB</v>
      </c>
      <c r="B676" s="2" t="s">
        <v>3440</v>
      </c>
      <c r="C676" s="2" t="s">
        <v>423</v>
      </c>
      <c r="D676" s="2" t="s">
        <v>2</v>
      </c>
      <c r="E676" s="2">
        <v>5.56</v>
      </c>
      <c r="F676" s="2">
        <v>0</v>
      </c>
      <c r="G676" s="2">
        <v>2</v>
      </c>
      <c r="H676" s="2">
        <v>100</v>
      </c>
      <c r="I676" s="2">
        <v>30</v>
      </c>
      <c r="J676" s="2" t="s">
        <v>1779</v>
      </c>
      <c r="K676" s="2">
        <v>26</v>
      </c>
      <c r="L676" s="2">
        <v>10</v>
      </c>
      <c r="M676" s="2">
        <v>0</v>
      </c>
      <c r="N676" s="2">
        <v>6</v>
      </c>
      <c r="O676" s="2">
        <v>5</v>
      </c>
      <c r="P676" s="2">
        <v>5</v>
      </c>
      <c r="Q676" s="2" t="s">
        <v>3441</v>
      </c>
      <c r="R676" s="2" t="s">
        <v>3441</v>
      </c>
      <c r="S676" s="4">
        <v>44958</v>
      </c>
    </row>
    <row r="677" spans="1:19" ht="12.5" x14ac:dyDescent="0.25">
      <c r="A677" s="14" t="str">
        <f>HYPERLINK("https://gerandofalcoes.my.salesforce.com/0014X00002VKCuMQAX", "0014X00002VKCuMQAX")</f>
        <v>0014X00002VKCuMQAX</v>
      </c>
      <c r="B677" s="2" t="s">
        <v>2947</v>
      </c>
      <c r="C677" s="2" t="s">
        <v>423</v>
      </c>
      <c r="D677" s="2" t="s">
        <v>2</v>
      </c>
      <c r="E677" s="2">
        <v>5.54</v>
      </c>
      <c r="F677" s="2">
        <v>0</v>
      </c>
      <c r="G677" s="2">
        <v>1</v>
      </c>
      <c r="H677" s="2">
        <v>0</v>
      </c>
      <c r="I677" s="2">
        <v>420</v>
      </c>
      <c r="J677" s="2" t="s">
        <v>1779</v>
      </c>
      <c r="K677" s="2">
        <v>29</v>
      </c>
      <c r="L677" s="2">
        <v>10</v>
      </c>
      <c r="M677" s="2">
        <v>0</v>
      </c>
      <c r="N677" s="2">
        <v>4</v>
      </c>
      <c r="O677" s="2">
        <v>0</v>
      </c>
      <c r="P677" s="2">
        <v>15</v>
      </c>
      <c r="Q677" s="2" t="s">
        <v>2948</v>
      </c>
      <c r="R677" s="2" t="s">
        <v>2949</v>
      </c>
      <c r="S677" s="4">
        <v>44837</v>
      </c>
    </row>
    <row r="678" spans="1:19" ht="12.5" x14ac:dyDescent="0.25">
      <c r="A678" s="14" t="str">
        <f>HYPERLINK("https://gerandofalcoes.my.salesforce.com/0014X00002YggpMQAR", "0014X00002YggpMQAR")</f>
        <v>0014X00002YggpMQAR</v>
      </c>
      <c r="B678" s="2" t="s">
        <v>3261</v>
      </c>
      <c r="C678" s="2" t="s">
        <v>423</v>
      </c>
      <c r="D678" s="2" t="s">
        <v>2</v>
      </c>
      <c r="E678" s="2">
        <v>5.44</v>
      </c>
      <c r="F678" s="2">
        <v>0</v>
      </c>
      <c r="G678" s="2">
        <v>5</v>
      </c>
      <c r="H678" s="2">
        <v>2000</v>
      </c>
      <c r="I678" s="2">
        <v>15</v>
      </c>
      <c r="J678" s="2" t="s">
        <v>1779</v>
      </c>
      <c r="K678" s="2">
        <v>30</v>
      </c>
      <c r="L678" s="2">
        <v>10</v>
      </c>
      <c r="M678" s="2">
        <v>0</v>
      </c>
      <c r="N678" s="2">
        <v>10</v>
      </c>
      <c r="O678" s="2">
        <v>5</v>
      </c>
      <c r="P678" s="2">
        <v>5</v>
      </c>
      <c r="Q678" s="2" t="s">
        <v>3262</v>
      </c>
      <c r="R678" s="2" t="s">
        <v>3262</v>
      </c>
      <c r="S678" s="4">
        <v>44952</v>
      </c>
    </row>
    <row r="679" spans="1:19" ht="12.5" x14ac:dyDescent="0.25">
      <c r="A679" s="14" t="str">
        <f>HYPERLINK("https://gerandofalcoes.my.salesforce.com/0014X00002YgglqQAB", "0014X00002YgglqQAB")</f>
        <v>0014X00002YgglqQAB</v>
      </c>
      <c r="B679" s="2" t="s">
        <v>3062</v>
      </c>
      <c r="C679" s="2" t="s">
        <v>423</v>
      </c>
      <c r="D679" s="2" t="s">
        <v>2</v>
      </c>
      <c r="E679" s="2">
        <v>5.37</v>
      </c>
      <c r="F679" s="2">
        <v>0</v>
      </c>
      <c r="G679" s="2">
        <v>3</v>
      </c>
      <c r="H679" s="2">
        <v>200</v>
      </c>
      <c r="I679" s="2">
        <v>0</v>
      </c>
      <c r="J679" s="2" t="s">
        <v>1779</v>
      </c>
      <c r="K679" s="2">
        <v>23</v>
      </c>
      <c r="L679" s="2">
        <v>10</v>
      </c>
      <c r="M679" s="2">
        <v>0</v>
      </c>
      <c r="N679" s="2">
        <v>8</v>
      </c>
      <c r="O679" s="2">
        <v>5</v>
      </c>
      <c r="P679" s="2">
        <v>0</v>
      </c>
      <c r="Q679" s="2" t="s">
        <v>3063</v>
      </c>
      <c r="R679" s="2" t="s">
        <v>3064</v>
      </c>
      <c r="S679" s="4">
        <v>44946</v>
      </c>
    </row>
    <row r="680" spans="1:19" ht="12.5" x14ac:dyDescent="0.25">
      <c r="A680" s="14" t="str">
        <f>HYPERLINK("https://gerandofalcoes.my.salesforce.com/0014P00003SGWQHQA5", "0014P00003SGWQHQA5")</f>
        <v>0014P00003SGWQHQA5</v>
      </c>
      <c r="B680" s="2" t="s">
        <v>265</v>
      </c>
      <c r="C680" s="2" t="s">
        <v>423</v>
      </c>
      <c r="D680" s="2" t="s">
        <v>2</v>
      </c>
      <c r="E680" s="2">
        <v>5</v>
      </c>
      <c r="F680" s="2">
        <v>0</v>
      </c>
      <c r="G680" s="2">
        <v>1</v>
      </c>
      <c r="H680" s="2">
        <v>13000</v>
      </c>
      <c r="I680" s="2">
        <v>100</v>
      </c>
      <c r="J680" s="2" t="s">
        <v>1779</v>
      </c>
      <c r="K680" s="2">
        <v>29</v>
      </c>
      <c r="L680" s="2">
        <v>10</v>
      </c>
      <c r="M680" s="2">
        <v>0</v>
      </c>
      <c r="N680" s="2">
        <v>4</v>
      </c>
      <c r="O680" s="2">
        <v>5</v>
      </c>
      <c r="P680" s="2">
        <v>10</v>
      </c>
      <c r="Q680" s="2" t="s">
        <v>266</v>
      </c>
      <c r="R680" s="2" t="s">
        <v>266</v>
      </c>
      <c r="S680" s="4">
        <v>44837</v>
      </c>
    </row>
    <row r="681" spans="1:19" ht="12.5" x14ac:dyDescent="0.25">
      <c r="A681" s="14" t="str">
        <f>HYPERLINK("https://gerandofalcoes.my.salesforce.com/0014X00002YggkUQAR", "0014X00002YggkUQAR")</f>
        <v>0014X00002YggkUQAR</v>
      </c>
      <c r="B681" s="2" t="s">
        <v>3563</v>
      </c>
      <c r="C681" s="2" t="s">
        <v>423</v>
      </c>
      <c r="D681" s="2" t="s">
        <v>2</v>
      </c>
      <c r="E681" s="2">
        <v>4.93</v>
      </c>
      <c r="F681" s="2">
        <v>0</v>
      </c>
      <c r="G681" s="2">
        <v>5</v>
      </c>
      <c r="H681" s="2">
        <v>5000</v>
      </c>
      <c r="I681" s="2">
        <v>10</v>
      </c>
      <c r="J681" s="2" t="s">
        <v>1779</v>
      </c>
      <c r="K681" s="2">
        <v>30</v>
      </c>
      <c r="L681" s="2">
        <v>10</v>
      </c>
      <c r="M681" s="2">
        <v>0</v>
      </c>
      <c r="N681" s="2">
        <v>10</v>
      </c>
      <c r="O681" s="2">
        <v>5</v>
      </c>
      <c r="P681" s="2">
        <v>5</v>
      </c>
      <c r="Q681" s="2" t="s">
        <v>3564</v>
      </c>
      <c r="R681" s="2" t="s">
        <v>3565</v>
      </c>
      <c r="S681" s="4">
        <v>44960</v>
      </c>
    </row>
    <row r="682" spans="1:19" ht="12.5" x14ac:dyDescent="0.25">
      <c r="A682" s="14" t="str">
        <f>HYPERLINK("https://gerandofalcoes.my.salesforce.com/0014X00002YggkFQAR", "0014X00002YggkFQAR")</f>
        <v>0014X00002YggkFQAR</v>
      </c>
      <c r="B682" s="2" t="s">
        <v>3716</v>
      </c>
      <c r="C682" s="2" t="s">
        <v>423</v>
      </c>
      <c r="D682" s="2" t="s">
        <v>2</v>
      </c>
      <c r="E682" s="2">
        <v>4.87</v>
      </c>
      <c r="F682" s="2">
        <v>0</v>
      </c>
      <c r="G682" s="2">
        <v>5</v>
      </c>
      <c r="H682" s="2">
        <v>8000</v>
      </c>
      <c r="I682" s="2">
        <v>50</v>
      </c>
      <c r="J682" s="2" t="s">
        <v>1779</v>
      </c>
      <c r="K682" s="2">
        <v>30</v>
      </c>
      <c r="L682" s="2">
        <v>10</v>
      </c>
      <c r="M682" s="2">
        <v>0</v>
      </c>
      <c r="N682" s="2">
        <v>10</v>
      </c>
      <c r="O682" s="2">
        <v>5</v>
      </c>
      <c r="P682" s="2">
        <v>5</v>
      </c>
      <c r="Q682" s="2" t="s">
        <v>3717</v>
      </c>
      <c r="R682" s="2" t="s">
        <v>3718</v>
      </c>
      <c r="S682" s="4">
        <v>44967</v>
      </c>
    </row>
    <row r="683" spans="1:19" ht="12.5" x14ac:dyDescent="0.25">
      <c r="A683" s="14" t="str">
        <f>HYPERLINK("https://gerandofalcoes.my.salesforce.com/0014X00002VKCuLQAX", "0014X00002VKCuLQAX")</f>
        <v>0014X00002VKCuLQAX</v>
      </c>
      <c r="B683" s="2" t="s">
        <v>2950</v>
      </c>
      <c r="C683" s="2" t="s">
        <v>423</v>
      </c>
      <c r="D683" s="2" t="s">
        <v>2</v>
      </c>
      <c r="E683" s="2">
        <v>4.84</v>
      </c>
      <c r="F683" s="2">
        <v>0</v>
      </c>
      <c r="G683" s="2">
        <v>2</v>
      </c>
      <c r="H683" s="2">
        <v>5000</v>
      </c>
      <c r="I683" s="2">
        <v>130</v>
      </c>
      <c r="J683" s="2" t="s">
        <v>1779</v>
      </c>
      <c r="K683" s="2">
        <v>31</v>
      </c>
      <c r="L683" s="2">
        <v>10</v>
      </c>
      <c r="M683" s="2">
        <v>0</v>
      </c>
      <c r="N683" s="2">
        <v>6</v>
      </c>
      <c r="O683" s="2">
        <v>5</v>
      </c>
      <c r="P683" s="2">
        <v>10</v>
      </c>
      <c r="Q683" s="2" t="s">
        <v>2951</v>
      </c>
      <c r="R683" s="2" t="s">
        <v>2951</v>
      </c>
      <c r="S683" s="4">
        <v>44837</v>
      </c>
    </row>
    <row r="684" spans="1:19" ht="12.5" x14ac:dyDescent="0.25">
      <c r="A684" s="14" t="str">
        <f>HYPERLINK("https://gerandofalcoes.my.salesforce.com/0014X00002YggmhQAB", "0014X00002YggmhQAB")</f>
        <v>0014X00002YggmhQAB</v>
      </c>
      <c r="B684" s="2" t="s">
        <v>3442</v>
      </c>
      <c r="C684" s="2" t="s">
        <v>423</v>
      </c>
      <c r="D684" s="2" t="s">
        <v>2</v>
      </c>
      <c r="E684" s="2">
        <v>4.71</v>
      </c>
      <c r="F684" s="2">
        <v>0</v>
      </c>
      <c r="G684" s="2">
        <v>3</v>
      </c>
      <c r="H684" s="2">
        <v>100000</v>
      </c>
      <c r="I684" s="2">
        <v>200</v>
      </c>
      <c r="J684" s="2" t="s">
        <v>1671</v>
      </c>
      <c r="K684" s="2">
        <v>45</v>
      </c>
      <c r="L684" s="2">
        <v>10</v>
      </c>
      <c r="M684" s="2">
        <v>0</v>
      </c>
      <c r="N684" s="2">
        <v>8</v>
      </c>
      <c r="O684" s="2">
        <v>15</v>
      </c>
      <c r="P684" s="2">
        <v>12</v>
      </c>
      <c r="Q684" s="2" t="s">
        <v>3443</v>
      </c>
      <c r="R684" s="2" t="s">
        <v>3443</v>
      </c>
      <c r="S684" s="4">
        <v>44958</v>
      </c>
    </row>
    <row r="685" spans="1:19" ht="12.5" x14ac:dyDescent="0.25">
      <c r="A685" s="14" t="str">
        <f>HYPERLINK("https://gerandofalcoes.my.salesforce.com/0014X00002VKCqQQAX", "0014X00002VKCqQQAX")</f>
        <v>0014X00002VKCqQQAX</v>
      </c>
      <c r="B685" s="2" t="s">
        <v>2952</v>
      </c>
      <c r="C685" s="2" t="s">
        <v>423</v>
      </c>
      <c r="D685" s="2" t="s">
        <v>2</v>
      </c>
      <c r="E685" s="2">
        <v>4.43</v>
      </c>
      <c r="F685" s="2">
        <v>0</v>
      </c>
      <c r="G685" s="2">
        <v>2</v>
      </c>
      <c r="H685" s="2">
        <v>0</v>
      </c>
      <c r="I685" s="2">
        <v>40</v>
      </c>
      <c r="J685" s="2" t="s">
        <v>1779</v>
      </c>
      <c r="K685" s="2">
        <v>21</v>
      </c>
      <c r="L685" s="2">
        <v>10</v>
      </c>
      <c r="M685" s="2">
        <v>0</v>
      </c>
      <c r="N685" s="2">
        <v>6</v>
      </c>
      <c r="O685" s="2">
        <v>0</v>
      </c>
      <c r="P685" s="2">
        <v>5</v>
      </c>
      <c r="Q685" s="2" t="s">
        <v>2953</v>
      </c>
      <c r="R685" s="2" t="s">
        <v>2954</v>
      </c>
      <c r="S685" s="4">
        <v>44837</v>
      </c>
    </row>
    <row r="686" spans="1:19" ht="12.5" x14ac:dyDescent="0.25">
      <c r="A686" s="14" t="str">
        <f>HYPERLINK("https://gerandofalcoes.my.salesforce.com/0014X00002Yggi1QAB", "0014X00002Yggi1QAB")</f>
        <v>0014X00002Yggi1QAB</v>
      </c>
      <c r="B686" s="2" t="s">
        <v>3444</v>
      </c>
      <c r="C686" s="2" t="s">
        <v>423</v>
      </c>
      <c r="D686" s="2" t="s">
        <v>2</v>
      </c>
      <c r="E686" s="2">
        <v>4.4000000000000004</v>
      </c>
      <c r="F686" s="2">
        <v>0</v>
      </c>
      <c r="G686" s="2">
        <v>2</v>
      </c>
      <c r="H686" s="2">
        <v>500</v>
      </c>
      <c r="I686" s="2">
        <v>0</v>
      </c>
      <c r="J686" s="2" t="s">
        <v>1779</v>
      </c>
      <c r="K686" s="2">
        <v>21</v>
      </c>
      <c r="L686" s="2">
        <v>10</v>
      </c>
      <c r="M686" s="2">
        <v>0</v>
      </c>
      <c r="N686" s="2">
        <v>6</v>
      </c>
      <c r="O686" s="2">
        <v>5</v>
      </c>
      <c r="P686" s="2">
        <v>0</v>
      </c>
      <c r="Q686" s="2" t="s">
        <v>3445</v>
      </c>
      <c r="R686" s="2" t="s">
        <v>3446</v>
      </c>
      <c r="S686" s="4">
        <v>44958</v>
      </c>
    </row>
    <row r="687" spans="1:19" ht="12.5" hidden="1" x14ac:dyDescent="0.25">
      <c r="A687" s="14" t="str">
        <f>HYPERLINK("https://gerandofalcoes.my.salesforce.com/0014P00003SGWPgQAP", "0014P00003SGWPgQAP")</f>
        <v>0014P00003SGWPgQAP</v>
      </c>
      <c r="B687" s="2" t="s">
        <v>298</v>
      </c>
      <c r="C687" s="2" t="s">
        <v>1684</v>
      </c>
      <c r="D687" s="2" t="s">
        <v>2</v>
      </c>
      <c r="E687" s="2">
        <v>20</v>
      </c>
      <c r="F687" s="2">
        <v>4</v>
      </c>
      <c r="G687" s="2">
        <v>0</v>
      </c>
      <c r="H687" s="2">
        <v>11000</v>
      </c>
      <c r="I687" s="2">
        <v>20</v>
      </c>
      <c r="J687" s="2" t="s">
        <v>1779</v>
      </c>
      <c r="K687" s="2">
        <v>25</v>
      </c>
      <c r="L687" s="2">
        <v>10</v>
      </c>
      <c r="M687" s="2">
        <v>5</v>
      </c>
      <c r="N687" s="2">
        <v>0</v>
      </c>
      <c r="O687" s="2">
        <v>5</v>
      </c>
      <c r="P687" s="2">
        <v>5</v>
      </c>
      <c r="Q687" s="2" t="s">
        <v>299</v>
      </c>
      <c r="R687" s="2" t="s">
        <v>1310</v>
      </c>
      <c r="S687" s="4">
        <v>44837</v>
      </c>
    </row>
    <row r="688" spans="1:19" ht="12.5" x14ac:dyDescent="0.25">
      <c r="A688" s="14" t="str">
        <f>HYPERLINK("https://gerandofalcoes.my.salesforce.com/0014X00002YggibQAB", "0014X00002YggibQAB")</f>
        <v>0014X00002YggibQAB</v>
      </c>
      <c r="B688" s="2" t="s">
        <v>3026</v>
      </c>
      <c r="C688" s="2" t="s">
        <v>423</v>
      </c>
      <c r="D688" s="2" t="s">
        <v>2</v>
      </c>
      <c r="E688" s="2">
        <v>4.3899999999999997</v>
      </c>
      <c r="F688" s="2">
        <v>0</v>
      </c>
      <c r="G688" s="2">
        <v>6</v>
      </c>
      <c r="H688" s="2">
        <v>8000</v>
      </c>
      <c r="I688" s="2">
        <v>16</v>
      </c>
      <c r="J688" s="2" t="s">
        <v>1779</v>
      </c>
      <c r="K688" s="2">
        <v>30</v>
      </c>
      <c r="L688" s="2">
        <v>10</v>
      </c>
      <c r="M688" s="2">
        <v>0</v>
      </c>
      <c r="N688" s="2">
        <v>10</v>
      </c>
      <c r="O688" s="2">
        <v>5</v>
      </c>
      <c r="P688" s="2">
        <v>5</v>
      </c>
      <c r="Q688" s="2" t="s">
        <v>3027</v>
      </c>
      <c r="R688" s="2" t="s">
        <v>3027</v>
      </c>
      <c r="S688" s="4">
        <v>44945</v>
      </c>
    </row>
    <row r="689" spans="1:19" ht="12.5" x14ac:dyDescent="0.25">
      <c r="A689" s="14" t="str">
        <f>HYPERLINK("https://gerandofalcoes.my.salesforce.com/0014X00002Yggp4QAB", "0014X00002Yggp4QAB")</f>
        <v>0014X00002Yggp4QAB</v>
      </c>
      <c r="B689" s="2" t="s">
        <v>3447</v>
      </c>
      <c r="C689" s="2" t="s">
        <v>423</v>
      </c>
      <c r="D689" s="2" t="s">
        <v>2</v>
      </c>
      <c r="E689" s="2">
        <v>4.32</v>
      </c>
      <c r="F689" s="2">
        <v>0</v>
      </c>
      <c r="G689" s="2">
        <v>5</v>
      </c>
      <c r="H689" s="2">
        <v>2000</v>
      </c>
      <c r="I689" s="2">
        <v>150</v>
      </c>
      <c r="J689" s="2" t="s">
        <v>1779</v>
      </c>
      <c r="K689" s="2">
        <v>37</v>
      </c>
      <c r="L689" s="2">
        <v>10</v>
      </c>
      <c r="M689" s="2">
        <v>0</v>
      </c>
      <c r="N689" s="2">
        <v>10</v>
      </c>
      <c r="O689" s="2">
        <v>5</v>
      </c>
      <c r="P689" s="2">
        <v>12</v>
      </c>
      <c r="Q689" s="2" t="s">
        <v>3448</v>
      </c>
      <c r="R689" s="2" t="s">
        <v>3448</v>
      </c>
      <c r="S689" s="4">
        <v>44958</v>
      </c>
    </row>
    <row r="690" spans="1:19" ht="12.5" x14ac:dyDescent="0.25">
      <c r="A690" s="14" t="str">
        <f>HYPERLINK("https://gerandofalcoes.my.salesforce.com/0014P00003SGWQBQA5", "0014P00003SGWQBQA5")</f>
        <v>0014P00003SGWQBQA5</v>
      </c>
      <c r="B690" s="2" t="s">
        <v>242</v>
      </c>
      <c r="C690" s="2" t="s">
        <v>423</v>
      </c>
      <c r="D690" s="2" t="s">
        <v>2</v>
      </c>
      <c r="E690" s="2">
        <v>4.26</v>
      </c>
      <c r="F690" s="2">
        <v>12</v>
      </c>
      <c r="G690" s="2">
        <v>0</v>
      </c>
      <c r="H690" s="2">
        <v>0</v>
      </c>
      <c r="I690" s="2">
        <v>300</v>
      </c>
      <c r="J690" s="2" t="s">
        <v>1779</v>
      </c>
      <c r="K690" s="2">
        <v>37</v>
      </c>
      <c r="L690" s="2">
        <v>10</v>
      </c>
      <c r="M690" s="2">
        <v>12</v>
      </c>
      <c r="N690" s="2">
        <v>0</v>
      </c>
      <c r="O690" s="2">
        <v>0</v>
      </c>
      <c r="P690" s="2">
        <v>15</v>
      </c>
      <c r="Q690" s="2" t="s">
        <v>243</v>
      </c>
      <c r="R690" s="2" t="s">
        <v>1201</v>
      </c>
      <c r="S690" s="4">
        <v>44837</v>
      </c>
    </row>
    <row r="691" spans="1:19" ht="12.5" x14ac:dyDescent="0.25">
      <c r="A691" s="14" t="str">
        <f>HYPERLINK("https://gerandofalcoes.my.salesforce.com/0014X00002YggkOQAR", "0014X00002YggkOQAR")</f>
        <v>0014X00002YggkOQAR</v>
      </c>
      <c r="B691" s="2" t="s">
        <v>3719</v>
      </c>
      <c r="C691" s="2" t="s">
        <v>423</v>
      </c>
      <c r="D691" s="2" t="s">
        <v>2</v>
      </c>
      <c r="E691" s="2">
        <v>4.25</v>
      </c>
      <c r="F691" s="2">
        <v>20</v>
      </c>
      <c r="G691" s="2">
        <v>4</v>
      </c>
      <c r="H691" s="2">
        <v>180000</v>
      </c>
      <c r="I691" s="2">
        <v>80</v>
      </c>
      <c r="J691" s="2" t="s">
        <v>1671</v>
      </c>
      <c r="K691" s="2">
        <v>57</v>
      </c>
      <c r="L691" s="2">
        <v>10</v>
      </c>
      <c r="M691" s="2">
        <v>12</v>
      </c>
      <c r="N691" s="2">
        <v>10</v>
      </c>
      <c r="O691" s="2">
        <v>15</v>
      </c>
      <c r="P691" s="2">
        <v>10</v>
      </c>
      <c r="Q691" s="2" t="s">
        <v>3720</v>
      </c>
      <c r="R691" s="2" t="s">
        <v>3721</v>
      </c>
      <c r="S691" s="4">
        <v>44967</v>
      </c>
    </row>
    <row r="692" spans="1:19" ht="12.5" x14ac:dyDescent="0.25">
      <c r="A692" s="14" t="str">
        <f>HYPERLINK("https://gerandofalcoes.my.salesforce.com/0014X00002YggngQAB", "0014X00002YggngQAB")</f>
        <v>0014X00002YggngQAB</v>
      </c>
      <c r="B692" s="2" t="s">
        <v>3722</v>
      </c>
      <c r="C692" s="2" t="s">
        <v>423</v>
      </c>
      <c r="D692" s="2" t="s">
        <v>2</v>
      </c>
      <c r="E692" s="2">
        <v>4.22</v>
      </c>
      <c r="F692" s="2">
        <v>0</v>
      </c>
      <c r="G692" s="2">
        <v>4</v>
      </c>
      <c r="H692" s="2">
        <v>13562</v>
      </c>
      <c r="I692" s="2">
        <v>0</v>
      </c>
      <c r="J692" s="2" t="s">
        <v>1779</v>
      </c>
      <c r="K692" s="2">
        <v>25</v>
      </c>
      <c r="L692" s="2">
        <v>10</v>
      </c>
      <c r="M692" s="2">
        <v>0</v>
      </c>
      <c r="N692" s="2">
        <v>10</v>
      </c>
      <c r="O692" s="2">
        <v>5</v>
      </c>
      <c r="P692" s="2">
        <v>0</v>
      </c>
      <c r="Q692" s="2" t="s">
        <v>3723</v>
      </c>
      <c r="R692" s="2" t="s">
        <v>3723</v>
      </c>
      <c r="S692" s="4">
        <v>44967</v>
      </c>
    </row>
    <row r="693" spans="1:19" ht="12.5" x14ac:dyDescent="0.25">
      <c r="A693" s="14" t="str">
        <f>HYPERLINK("https://gerandofalcoes.my.salesforce.com/0014X00002VKCtDQAX", "0014X00002VKCtDQAX")</f>
        <v>0014X00002VKCtDQAX</v>
      </c>
      <c r="B693" s="2" t="s">
        <v>2955</v>
      </c>
      <c r="C693" s="2" t="s">
        <v>423</v>
      </c>
      <c r="D693" s="2" t="s">
        <v>2</v>
      </c>
      <c r="E693" s="2">
        <v>4.16</v>
      </c>
      <c r="F693" s="2">
        <v>5</v>
      </c>
      <c r="G693" s="2">
        <v>0</v>
      </c>
      <c r="H693" s="2">
        <v>0</v>
      </c>
      <c r="I693" s="2">
        <v>50</v>
      </c>
      <c r="J693" s="2" t="s">
        <v>1779</v>
      </c>
      <c r="K693" s="2">
        <v>20</v>
      </c>
      <c r="L693" s="2">
        <v>10</v>
      </c>
      <c r="M693" s="2">
        <v>5</v>
      </c>
      <c r="N693" s="2">
        <v>0</v>
      </c>
      <c r="O693" s="2">
        <v>0</v>
      </c>
      <c r="P693" s="2">
        <v>5</v>
      </c>
      <c r="Q693" s="2" t="s">
        <v>2956</v>
      </c>
      <c r="R693" s="2" t="s">
        <v>2957</v>
      </c>
      <c r="S693" s="4">
        <v>44837</v>
      </c>
    </row>
    <row r="694" spans="1:19" ht="12.5" x14ac:dyDescent="0.25">
      <c r="A694" s="14" t="str">
        <f>HYPERLINK("https://gerandofalcoes.my.salesforce.com/0014P00003SGWQAQA5", "0014P00003SGWQAQA5")</f>
        <v>0014P00003SGWQAQA5</v>
      </c>
      <c r="B694" s="2" t="s">
        <v>2958</v>
      </c>
      <c r="C694" s="2" t="s">
        <v>423</v>
      </c>
      <c r="D694" s="2" t="s">
        <v>2</v>
      </c>
      <c r="E694" s="2">
        <v>4</v>
      </c>
      <c r="F694" s="2">
        <v>0</v>
      </c>
      <c r="G694" s="2">
        <v>1</v>
      </c>
      <c r="H694" s="2">
        <v>16000</v>
      </c>
      <c r="I694" s="2">
        <v>200</v>
      </c>
      <c r="J694" s="2" t="s">
        <v>1779</v>
      </c>
      <c r="K694" s="2">
        <v>31</v>
      </c>
      <c r="L694" s="2">
        <v>10</v>
      </c>
      <c r="M694" s="2">
        <v>0</v>
      </c>
      <c r="N694" s="2">
        <v>4</v>
      </c>
      <c r="O694" s="2">
        <v>5</v>
      </c>
      <c r="P694" s="2">
        <v>12</v>
      </c>
      <c r="Q694" s="2" t="s">
        <v>238</v>
      </c>
      <c r="R694" s="2" t="s">
        <v>1191</v>
      </c>
      <c r="S694" s="4">
        <v>44837</v>
      </c>
    </row>
    <row r="695" spans="1:19" ht="12.5" x14ac:dyDescent="0.25">
      <c r="A695" s="14" t="str">
        <f>HYPERLINK("https://gerandofalcoes.my.salesforce.com/0014X00002Yggh2QAB", "0014X00002Yggh2QAB")</f>
        <v>0014X00002Yggh2QAB</v>
      </c>
      <c r="B695" s="2" t="s">
        <v>3449</v>
      </c>
      <c r="C695" s="2" t="s">
        <v>423</v>
      </c>
      <c r="D695" s="2" t="s">
        <v>2</v>
      </c>
      <c r="E695" s="2">
        <v>3.99</v>
      </c>
      <c r="F695" s="2">
        <v>0</v>
      </c>
      <c r="G695" s="2">
        <v>2</v>
      </c>
      <c r="H695" s="2">
        <v>500</v>
      </c>
      <c r="I695" s="2">
        <v>50</v>
      </c>
      <c r="J695" s="2" t="s">
        <v>1779</v>
      </c>
      <c r="K695" s="2">
        <v>26</v>
      </c>
      <c r="L695" s="2">
        <v>10</v>
      </c>
      <c r="M695" s="2">
        <v>0</v>
      </c>
      <c r="N695" s="2">
        <v>6</v>
      </c>
      <c r="O695" s="2">
        <v>5</v>
      </c>
      <c r="P695" s="2">
        <v>5</v>
      </c>
      <c r="Q695" s="2" t="s">
        <v>3450</v>
      </c>
      <c r="R695" s="2" t="s">
        <v>3451</v>
      </c>
      <c r="S695" s="4">
        <v>44958</v>
      </c>
    </row>
    <row r="696" spans="1:19" ht="12.5" x14ac:dyDescent="0.25">
      <c r="A696" s="14" t="str">
        <f>HYPERLINK("https://gerandofalcoes.my.salesforce.com/0014X00002VKCrwQAH", "0014X00002VKCrwQAH")</f>
        <v>0014X00002VKCrwQAH</v>
      </c>
      <c r="B696" s="2" t="s">
        <v>2959</v>
      </c>
      <c r="C696" s="2" t="s">
        <v>423</v>
      </c>
      <c r="D696" s="2" t="s">
        <v>2</v>
      </c>
      <c r="E696" s="2">
        <v>3.94</v>
      </c>
      <c r="F696" s="2">
        <v>0</v>
      </c>
      <c r="G696" s="2">
        <v>2</v>
      </c>
      <c r="H696" s="2">
        <v>15000</v>
      </c>
      <c r="I696" s="2">
        <v>30</v>
      </c>
      <c r="J696" s="2" t="s">
        <v>1779</v>
      </c>
      <c r="K696" s="2">
        <v>26</v>
      </c>
      <c r="L696" s="2">
        <v>10</v>
      </c>
      <c r="M696" s="2">
        <v>0</v>
      </c>
      <c r="N696" s="2">
        <v>6</v>
      </c>
      <c r="O696" s="2">
        <v>5</v>
      </c>
      <c r="P696" s="2">
        <v>5</v>
      </c>
      <c r="Q696" s="2" t="s">
        <v>2960</v>
      </c>
      <c r="R696" s="2" t="s">
        <v>2961</v>
      </c>
      <c r="S696" s="4">
        <v>44837</v>
      </c>
    </row>
    <row r="697" spans="1:19" ht="12.5" x14ac:dyDescent="0.25">
      <c r="A697" s="14" t="str">
        <f>HYPERLINK("https://gerandofalcoes.my.salesforce.com/0014X00002YggnkQAB", "0014X00002YggnkQAB")</f>
        <v>0014X00002YggnkQAB</v>
      </c>
      <c r="B697" s="2" t="s">
        <v>3263</v>
      </c>
      <c r="C697" s="2" t="s">
        <v>423</v>
      </c>
      <c r="D697" s="2" t="s">
        <v>2</v>
      </c>
      <c r="E697" s="2">
        <v>3.91</v>
      </c>
      <c r="F697" s="2">
        <v>0</v>
      </c>
      <c r="G697" s="2">
        <v>2</v>
      </c>
      <c r="H697" s="2">
        <v>0</v>
      </c>
      <c r="I697" s="2">
        <v>120</v>
      </c>
      <c r="J697" s="2" t="s">
        <v>1779</v>
      </c>
      <c r="K697" s="2">
        <v>26</v>
      </c>
      <c r="L697" s="2">
        <v>10</v>
      </c>
      <c r="M697" s="2">
        <v>0</v>
      </c>
      <c r="N697" s="2">
        <v>6</v>
      </c>
      <c r="O697" s="2">
        <v>0</v>
      </c>
      <c r="P697" s="2">
        <v>10</v>
      </c>
      <c r="Q697" s="2" t="s">
        <v>3264</v>
      </c>
      <c r="R697" s="2" t="s">
        <v>3264</v>
      </c>
      <c r="S697" s="4">
        <v>44952</v>
      </c>
    </row>
    <row r="698" spans="1:19" ht="12.5" x14ac:dyDescent="0.25">
      <c r="A698" s="14" t="str">
        <f>HYPERLINK("https://gerandofalcoes.my.salesforce.com/0014X00002YgglMQAR", "0014X00002YgglMQAR")</f>
        <v>0014X00002YgglMQAR</v>
      </c>
      <c r="B698" s="2" t="s">
        <v>3188</v>
      </c>
      <c r="C698" s="2" t="s">
        <v>423</v>
      </c>
      <c r="D698" s="2" t="s">
        <v>2</v>
      </c>
      <c r="E698" s="2">
        <v>3.65</v>
      </c>
      <c r="F698" s="2">
        <v>1</v>
      </c>
      <c r="G698" s="2">
        <v>2</v>
      </c>
      <c r="H698" s="2">
        <v>12000</v>
      </c>
      <c r="I698" s="2">
        <v>3</v>
      </c>
      <c r="J698" s="2" t="s">
        <v>1779</v>
      </c>
      <c r="K698" s="2">
        <v>31</v>
      </c>
      <c r="L698" s="2">
        <v>10</v>
      </c>
      <c r="M698" s="2">
        <v>5</v>
      </c>
      <c r="N698" s="2">
        <v>6</v>
      </c>
      <c r="O698" s="2">
        <v>5</v>
      </c>
      <c r="P698" s="2">
        <v>5</v>
      </c>
      <c r="Q698" s="2" t="s">
        <v>3189</v>
      </c>
      <c r="R698" s="2" t="s">
        <v>3190</v>
      </c>
      <c r="S698" s="4">
        <v>44951</v>
      </c>
    </row>
    <row r="699" spans="1:19" ht="12.5" x14ac:dyDescent="0.25">
      <c r="A699" s="14" t="str">
        <f>HYPERLINK("https://gerandofalcoes.my.salesforce.com/0014P00003YSpAEQA1", "0014P00003YSpAEQA1")</f>
        <v>0014P00003YSpAEQA1</v>
      </c>
      <c r="B699" s="2" t="s">
        <v>2962</v>
      </c>
      <c r="C699" s="2" t="s">
        <v>423</v>
      </c>
      <c r="D699" s="2" t="s">
        <v>2</v>
      </c>
      <c r="E699" s="2">
        <v>3.64</v>
      </c>
      <c r="F699" s="2">
        <v>0</v>
      </c>
      <c r="G699" s="2">
        <v>0</v>
      </c>
      <c r="H699" s="2">
        <v>0</v>
      </c>
      <c r="I699" s="2">
        <v>300</v>
      </c>
      <c r="J699" s="2" t="s">
        <v>1779</v>
      </c>
      <c r="K699" s="2">
        <v>25</v>
      </c>
      <c r="L699" s="2">
        <v>10</v>
      </c>
      <c r="M699" s="2">
        <v>0</v>
      </c>
      <c r="N699" s="2">
        <v>0</v>
      </c>
      <c r="O699" s="2">
        <v>0</v>
      </c>
      <c r="P699" s="2">
        <v>15</v>
      </c>
      <c r="Q699" s="2" t="s">
        <v>2963</v>
      </c>
      <c r="R699" s="2" t="s">
        <v>2964</v>
      </c>
      <c r="S699" s="4">
        <v>44837</v>
      </c>
    </row>
    <row r="700" spans="1:19" ht="12.5" x14ac:dyDescent="0.25">
      <c r="A700" s="14" t="str">
        <f>HYPERLINK("https://gerandofalcoes.my.salesforce.com/0014X00002YggiwQAB", "0014X00002YggiwQAB")</f>
        <v>0014X00002YggiwQAB</v>
      </c>
      <c r="B700" s="2" t="s">
        <v>3452</v>
      </c>
      <c r="C700" s="2" t="s">
        <v>423</v>
      </c>
      <c r="D700" s="2" t="s">
        <v>2</v>
      </c>
      <c r="E700" s="2">
        <v>3.53</v>
      </c>
      <c r="F700" s="2">
        <v>22</v>
      </c>
      <c r="G700" s="2">
        <v>5</v>
      </c>
      <c r="H700" s="2">
        <v>14400</v>
      </c>
      <c r="I700" s="2">
        <v>60</v>
      </c>
      <c r="J700" s="2" t="s">
        <v>1671</v>
      </c>
      <c r="K700" s="2">
        <v>42</v>
      </c>
      <c r="L700" s="2">
        <v>10</v>
      </c>
      <c r="M700" s="2">
        <v>12</v>
      </c>
      <c r="N700" s="2">
        <v>10</v>
      </c>
      <c r="O700" s="2">
        <v>5</v>
      </c>
      <c r="P700" s="2">
        <v>5</v>
      </c>
      <c r="Q700" s="2" t="s">
        <v>3453</v>
      </c>
      <c r="R700" s="2" t="s">
        <v>3454</v>
      </c>
      <c r="S700" s="4">
        <v>44958</v>
      </c>
    </row>
    <row r="701" spans="1:19" ht="12.5" x14ac:dyDescent="0.25">
      <c r="A701" s="14" t="str">
        <f>HYPERLINK("https://gerandofalcoes.my.salesforce.com/0014X00002YggnwQAB", "0014X00002YggnwQAB")</f>
        <v>0014X00002YggnwQAB</v>
      </c>
      <c r="B701" s="2" t="s">
        <v>3724</v>
      </c>
      <c r="C701" s="2" t="s">
        <v>423</v>
      </c>
      <c r="D701" s="2" t="s">
        <v>2</v>
      </c>
      <c r="E701" s="2">
        <v>3.33</v>
      </c>
      <c r="F701" s="2">
        <v>1</v>
      </c>
      <c r="G701" s="2">
        <v>2</v>
      </c>
      <c r="H701" s="2">
        <v>86196</v>
      </c>
      <c r="I701" s="2">
        <v>10</v>
      </c>
      <c r="J701" s="2" t="s">
        <v>1779</v>
      </c>
      <c r="K701" s="2">
        <v>36</v>
      </c>
      <c r="L701" s="2">
        <v>10</v>
      </c>
      <c r="M701" s="2">
        <v>5</v>
      </c>
      <c r="N701" s="2">
        <v>6</v>
      </c>
      <c r="O701" s="2">
        <v>10</v>
      </c>
      <c r="P701" s="2">
        <v>5</v>
      </c>
      <c r="Q701" s="2" t="s">
        <v>3725</v>
      </c>
      <c r="R701" s="2" t="s">
        <v>3726</v>
      </c>
      <c r="S701" s="4">
        <v>44967</v>
      </c>
    </row>
    <row r="702" spans="1:19" ht="12.5" x14ac:dyDescent="0.25">
      <c r="A702" s="14" t="str">
        <f>HYPERLINK("https://gerandofalcoes.my.salesforce.com/0014P00003SGWPMQA5", "0014P00003SGWPMQA5")</f>
        <v>0014P00003SGWPMQA5</v>
      </c>
      <c r="B702" s="2" t="s">
        <v>347</v>
      </c>
      <c r="C702" s="2" t="s">
        <v>423</v>
      </c>
      <c r="D702" s="2" t="s">
        <v>2</v>
      </c>
      <c r="E702" s="2">
        <v>3.21</v>
      </c>
      <c r="F702" s="2">
        <v>0</v>
      </c>
      <c r="G702" s="2">
        <v>0</v>
      </c>
      <c r="H702" s="2">
        <v>0</v>
      </c>
      <c r="I702" s="2">
        <v>0</v>
      </c>
      <c r="J702" s="2" t="s">
        <v>1779</v>
      </c>
      <c r="K702" s="2">
        <v>10</v>
      </c>
      <c r="L702" s="2">
        <v>10</v>
      </c>
      <c r="M702" s="2">
        <v>0</v>
      </c>
      <c r="N702" s="2">
        <v>0</v>
      </c>
      <c r="O702" s="2">
        <v>0</v>
      </c>
      <c r="P702" s="2">
        <v>0</v>
      </c>
      <c r="Q702" s="2" t="s">
        <v>348</v>
      </c>
      <c r="R702" s="2" t="s">
        <v>1488</v>
      </c>
      <c r="S702" s="4">
        <v>44837</v>
      </c>
    </row>
    <row r="703" spans="1:19" ht="12.5" x14ac:dyDescent="0.25">
      <c r="A703" s="14" t="str">
        <f>HYPERLINK("https://gerandofalcoes.my.salesforce.com/0014X00002YgbkZQAR", "0014X00002YgbkZQAR")</f>
        <v>0014X00002YgbkZQAR</v>
      </c>
      <c r="B703" s="2" t="s">
        <v>3455</v>
      </c>
      <c r="C703" s="2" t="s">
        <v>423</v>
      </c>
      <c r="D703" s="2" t="s">
        <v>2</v>
      </c>
      <c r="E703" s="2">
        <v>3.17</v>
      </c>
      <c r="F703" s="2">
        <v>0</v>
      </c>
      <c r="G703" s="2">
        <v>0</v>
      </c>
      <c r="H703" s="2">
        <v>0</v>
      </c>
      <c r="I703" s="2">
        <v>0</v>
      </c>
      <c r="J703" s="2" t="s">
        <v>1779</v>
      </c>
      <c r="K703" s="2">
        <v>10</v>
      </c>
      <c r="L703" s="2">
        <v>10</v>
      </c>
      <c r="M703" s="2">
        <v>0</v>
      </c>
      <c r="N703" s="2">
        <v>0</v>
      </c>
      <c r="O703" s="2">
        <v>0</v>
      </c>
      <c r="P703" s="2">
        <v>0</v>
      </c>
      <c r="Q703" s="2" t="s">
        <v>3456</v>
      </c>
      <c r="R703" s="2" t="s">
        <v>3457</v>
      </c>
      <c r="S703" s="4">
        <v>44958</v>
      </c>
    </row>
    <row r="704" spans="1:19" ht="12.5" x14ac:dyDescent="0.25">
      <c r="A704" s="14" t="str">
        <f>HYPERLINK("https://gerandofalcoes.my.salesforce.com/0014X00002YggoGQAR", "0014X00002YggoGQAR")</f>
        <v>0014X00002YggoGQAR</v>
      </c>
      <c r="B704" s="2" t="s">
        <v>3028</v>
      </c>
      <c r="C704" s="2" t="s">
        <v>423</v>
      </c>
      <c r="D704" s="2" t="s">
        <v>2</v>
      </c>
      <c r="E704" s="2">
        <v>3.1</v>
      </c>
      <c r="F704" s="2">
        <v>12</v>
      </c>
      <c r="G704" s="2">
        <v>3</v>
      </c>
      <c r="H704" s="2">
        <v>3000</v>
      </c>
      <c r="I704" s="2">
        <v>40</v>
      </c>
      <c r="J704" s="2" t="s">
        <v>1671</v>
      </c>
      <c r="K704" s="2">
        <v>40</v>
      </c>
      <c r="L704" s="2">
        <v>10</v>
      </c>
      <c r="M704" s="2">
        <v>12</v>
      </c>
      <c r="N704" s="2">
        <v>8</v>
      </c>
      <c r="O704" s="2">
        <v>5</v>
      </c>
      <c r="P704" s="2">
        <v>5</v>
      </c>
      <c r="Q704" s="2" t="s">
        <v>3029</v>
      </c>
      <c r="R704" s="2" t="s">
        <v>3030</v>
      </c>
      <c r="S704" s="4">
        <v>44945</v>
      </c>
    </row>
    <row r="705" spans="1:19" ht="12.5" x14ac:dyDescent="0.25">
      <c r="A705" s="14" t="str">
        <f>HYPERLINK("https://gerandofalcoes.my.salesforce.com/0014X00002YggiuQAB", "0014X00002YggiuQAB")</f>
        <v>0014X00002YggiuQAB</v>
      </c>
      <c r="B705" s="2" t="s">
        <v>3031</v>
      </c>
      <c r="C705" s="2" t="s">
        <v>423</v>
      </c>
      <c r="D705" s="2" t="s">
        <v>2</v>
      </c>
      <c r="E705" s="2">
        <v>2.86</v>
      </c>
      <c r="F705" s="2">
        <v>0</v>
      </c>
      <c r="G705" s="2">
        <v>2</v>
      </c>
      <c r="H705" s="2">
        <v>7000</v>
      </c>
      <c r="I705" s="2">
        <v>100</v>
      </c>
      <c r="J705" s="2" t="s">
        <v>1779</v>
      </c>
      <c r="K705" s="2">
        <v>31</v>
      </c>
      <c r="L705" s="2">
        <v>10</v>
      </c>
      <c r="M705" s="2">
        <v>0</v>
      </c>
      <c r="N705" s="2">
        <v>6</v>
      </c>
      <c r="O705" s="2">
        <v>5</v>
      </c>
      <c r="P705" s="2">
        <v>10</v>
      </c>
      <c r="Q705" s="2" t="s">
        <v>3032</v>
      </c>
      <c r="R705" s="2" t="s">
        <v>3032</v>
      </c>
      <c r="S705" s="4">
        <v>44945</v>
      </c>
    </row>
    <row r="706" spans="1:19" ht="12.5" x14ac:dyDescent="0.25">
      <c r="A706" s="14" t="str">
        <f>HYPERLINK("https://gerandofalcoes.my.salesforce.com/0014X00002YggqQQAR", "0014X00002YggqQQAR")</f>
        <v>0014X00002YggqQQAR</v>
      </c>
      <c r="B706" s="2" t="s">
        <v>3665</v>
      </c>
      <c r="C706" s="2" t="s">
        <v>423</v>
      </c>
      <c r="D706" s="2" t="s">
        <v>2</v>
      </c>
      <c r="E706" s="2">
        <v>2.82</v>
      </c>
      <c r="F706" s="2">
        <v>0</v>
      </c>
      <c r="G706" s="2">
        <v>2</v>
      </c>
      <c r="H706" s="2">
        <v>800</v>
      </c>
      <c r="I706" s="2">
        <v>60</v>
      </c>
      <c r="J706" s="2" t="s">
        <v>1779</v>
      </c>
      <c r="K706" s="2">
        <v>26</v>
      </c>
      <c r="L706" s="2">
        <v>10</v>
      </c>
      <c r="M706" s="2">
        <v>0</v>
      </c>
      <c r="N706" s="2">
        <v>6</v>
      </c>
      <c r="O706" s="2">
        <v>5</v>
      </c>
      <c r="P706" s="2">
        <v>5</v>
      </c>
      <c r="Q706" s="2" t="s">
        <v>3666</v>
      </c>
      <c r="R706" s="2" t="s">
        <v>3666</v>
      </c>
      <c r="S706" s="4">
        <v>44964</v>
      </c>
    </row>
    <row r="707" spans="1:19" ht="12.5" x14ac:dyDescent="0.25">
      <c r="A707" s="14" t="str">
        <f>HYPERLINK("https://gerandofalcoes.my.salesforce.com/0014X00002YgghuQAB", "0014X00002YgghuQAB")</f>
        <v>0014X00002YgghuQAB</v>
      </c>
      <c r="B707" s="2" t="s">
        <v>3667</v>
      </c>
      <c r="C707" s="2" t="s">
        <v>423</v>
      </c>
      <c r="D707" s="2" t="s">
        <v>2</v>
      </c>
      <c r="E707" s="2">
        <v>2.66</v>
      </c>
      <c r="F707" s="2">
        <v>6</v>
      </c>
      <c r="G707" s="2">
        <v>4</v>
      </c>
      <c r="H707" s="2">
        <v>20000</v>
      </c>
      <c r="I707" s="2">
        <v>100</v>
      </c>
      <c r="J707" s="2" t="s">
        <v>1671</v>
      </c>
      <c r="K707" s="2">
        <v>45</v>
      </c>
      <c r="L707" s="2">
        <v>10</v>
      </c>
      <c r="M707" s="2">
        <v>10</v>
      </c>
      <c r="N707" s="2">
        <v>10</v>
      </c>
      <c r="O707" s="2">
        <v>5</v>
      </c>
      <c r="P707" s="2">
        <v>10</v>
      </c>
      <c r="Q707" s="2" t="s">
        <v>3668</v>
      </c>
      <c r="R707" s="2" t="s">
        <v>3669</v>
      </c>
      <c r="S707" s="4">
        <v>44964</v>
      </c>
    </row>
    <row r="708" spans="1:19" ht="12.5" x14ac:dyDescent="0.25">
      <c r="A708" s="14" t="str">
        <f>HYPERLINK("https://gerandofalcoes.my.salesforce.com/0014X00002VKCpnQAH", "0014X00002VKCpnQAH")</f>
        <v>0014X00002VKCpnQAH</v>
      </c>
      <c r="B708" s="2" t="s">
        <v>2965</v>
      </c>
      <c r="C708" s="2" t="s">
        <v>423</v>
      </c>
      <c r="D708" s="2" t="s">
        <v>2</v>
      </c>
      <c r="E708" s="2">
        <v>2.57</v>
      </c>
      <c r="F708" s="2">
        <v>0</v>
      </c>
      <c r="G708" s="2">
        <v>1</v>
      </c>
      <c r="H708" s="2">
        <v>10000</v>
      </c>
      <c r="I708" s="2">
        <v>0</v>
      </c>
      <c r="J708" s="2" t="s">
        <v>1779</v>
      </c>
      <c r="K708" s="2">
        <v>19</v>
      </c>
      <c r="L708" s="2">
        <v>10</v>
      </c>
      <c r="M708" s="2">
        <v>0</v>
      </c>
      <c r="N708" s="2">
        <v>4</v>
      </c>
      <c r="O708" s="2">
        <v>5</v>
      </c>
      <c r="P708" s="2">
        <v>0</v>
      </c>
      <c r="Q708" s="2" t="s">
        <v>2966</v>
      </c>
      <c r="R708" s="2" t="s">
        <v>2966</v>
      </c>
      <c r="S708" s="4">
        <v>44837</v>
      </c>
    </row>
    <row r="709" spans="1:19" ht="12.5" x14ac:dyDescent="0.25">
      <c r="A709" s="14" t="str">
        <f>HYPERLINK("https://gerandofalcoes.my.salesforce.com/0014X00002YgghKQAR", "0014X00002YgghKQAR")</f>
        <v>0014X00002YgghKQAR</v>
      </c>
      <c r="B709" s="2" t="s">
        <v>3065</v>
      </c>
      <c r="C709" s="2" t="s">
        <v>423</v>
      </c>
      <c r="D709" s="2" t="s">
        <v>2</v>
      </c>
      <c r="E709" s="2">
        <v>2.38</v>
      </c>
      <c r="F709" s="2">
        <v>0</v>
      </c>
      <c r="G709" s="2">
        <v>5</v>
      </c>
      <c r="H709" s="2">
        <v>500</v>
      </c>
      <c r="I709" s="2">
        <v>0</v>
      </c>
      <c r="J709" s="2" t="s">
        <v>1779</v>
      </c>
      <c r="K709" s="2">
        <v>25</v>
      </c>
      <c r="L709" s="2">
        <v>10</v>
      </c>
      <c r="M709" s="2">
        <v>0</v>
      </c>
      <c r="N709" s="2">
        <v>10</v>
      </c>
      <c r="O709" s="2">
        <v>5</v>
      </c>
      <c r="P709" s="2">
        <v>0</v>
      </c>
      <c r="Q709" s="2" t="s">
        <v>3066</v>
      </c>
      <c r="R709" s="2" t="s">
        <v>3066</v>
      </c>
      <c r="S709" s="4">
        <v>44946</v>
      </c>
    </row>
    <row r="710" spans="1:19" ht="12.5" x14ac:dyDescent="0.25">
      <c r="A710" s="14" t="str">
        <f>HYPERLINK("https://gerandofalcoes.my.salesforce.com/0014X00002YggoCQAR", "0014X00002YggoCQAR")</f>
        <v>0014X00002YggoCQAR</v>
      </c>
      <c r="B710" s="2" t="s">
        <v>3727</v>
      </c>
      <c r="C710" s="2" t="s">
        <v>423</v>
      </c>
      <c r="D710" s="2" t="s">
        <v>2</v>
      </c>
      <c r="E710" s="2">
        <v>2.38</v>
      </c>
      <c r="F710" s="2">
        <v>0</v>
      </c>
      <c r="G710" s="2">
        <v>2</v>
      </c>
      <c r="H710" s="2">
        <v>5000</v>
      </c>
      <c r="I710" s="2">
        <v>50</v>
      </c>
      <c r="J710" s="2" t="s">
        <v>1779</v>
      </c>
      <c r="K710" s="2">
        <v>26</v>
      </c>
      <c r="L710" s="2">
        <v>10</v>
      </c>
      <c r="M710" s="2">
        <v>0</v>
      </c>
      <c r="N710" s="2">
        <v>6</v>
      </c>
      <c r="O710" s="2">
        <v>5</v>
      </c>
      <c r="P710" s="2">
        <v>5</v>
      </c>
      <c r="Q710" s="2" t="s">
        <v>3728</v>
      </c>
      <c r="R710" s="2" t="s">
        <v>3728</v>
      </c>
      <c r="S710" s="4">
        <v>44967</v>
      </c>
    </row>
    <row r="711" spans="1:19" ht="12.5" x14ac:dyDescent="0.25">
      <c r="A711" s="14" t="str">
        <f>HYPERLINK("https://gerandofalcoes.my.salesforce.com/0014X00002YggpNQAR", "0014X00002YggpNQAR")</f>
        <v>0014X00002YggpNQAR</v>
      </c>
      <c r="B711" s="2" t="s">
        <v>3191</v>
      </c>
      <c r="C711" s="2" t="s">
        <v>423</v>
      </c>
      <c r="D711" s="2" t="s">
        <v>2</v>
      </c>
      <c r="E711" s="2">
        <v>2.38</v>
      </c>
      <c r="F711" s="2">
        <v>0</v>
      </c>
      <c r="G711" s="2">
        <v>2</v>
      </c>
      <c r="H711" s="2">
        <v>3500</v>
      </c>
      <c r="I711" s="2">
        <v>25</v>
      </c>
      <c r="J711" s="2" t="s">
        <v>1779</v>
      </c>
      <c r="K711" s="2">
        <v>26</v>
      </c>
      <c r="L711" s="2">
        <v>10</v>
      </c>
      <c r="M711" s="2">
        <v>0</v>
      </c>
      <c r="N711" s="2">
        <v>6</v>
      </c>
      <c r="O711" s="2">
        <v>5</v>
      </c>
      <c r="P711" s="2">
        <v>5</v>
      </c>
      <c r="Q711" s="2" t="s">
        <v>3192</v>
      </c>
      <c r="R711" s="2" t="s">
        <v>3193</v>
      </c>
      <c r="S711" s="4">
        <v>44951</v>
      </c>
    </row>
    <row r="712" spans="1:19" ht="12.5" x14ac:dyDescent="0.25">
      <c r="A712" s="14" t="str">
        <f>HYPERLINK("https://gerandofalcoes.my.salesforce.com/0014X00002YggjOQAR", "0014X00002YggjOQAR")</f>
        <v>0014X00002YggjOQAR</v>
      </c>
      <c r="B712" s="2" t="s">
        <v>2649</v>
      </c>
      <c r="C712" s="2" t="s">
        <v>423</v>
      </c>
      <c r="D712" s="2" t="s">
        <v>2</v>
      </c>
      <c r="E712" s="2">
        <v>2.33</v>
      </c>
      <c r="F712" s="2">
        <v>0</v>
      </c>
      <c r="G712" s="2">
        <v>6</v>
      </c>
      <c r="H712" s="2">
        <v>0</v>
      </c>
      <c r="I712" s="2">
        <v>0</v>
      </c>
      <c r="J712" s="2" t="s">
        <v>1779</v>
      </c>
      <c r="K712" s="2">
        <v>20</v>
      </c>
      <c r="L712" s="2">
        <v>10</v>
      </c>
      <c r="M712" s="2">
        <v>0</v>
      </c>
      <c r="N712" s="2">
        <v>10</v>
      </c>
      <c r="O712" s="2">
        <v>0</v>
      </c>
      <c r="P712" s="2">
        <v>0</v>
      </c>
      <c r="Q712" s="2" t="s">
        <v>3194</v>
      </c>
      <c r="R712" s="2" t="s">
        <v>3194</v>
      </c>
      <c r="S712" s="4">
        <v>44951</v>
      </c>
    </row>
    <row r="713" spans="1:19" ht="12.5" x14ac:dyDescent="0.25">
      <c r="A713" s="14" t="str">
        <f>HYPERLINK("https://gerandofalcoes.my.salesforce.com/0014X00002VKCpvQAH", "0014X00002VKCpvQAH")</f>
        <v>0014X00002VKCpvQAH</v>
      </c>
      <c r="B713" s="2" t="s">
        <v>2967</v>
      </c>
      <c r="C713" s="2" t="s">
        <v>423</v>
      </c>
      <c r="D713" s="2" t="s">
        <v>2</v>
      </c>
      <c r="E713" s="2">
        <v>2.25</v>
      </c>
      <c r="F713" s="2">
        <v>1</v>
      </c>
      <c r="G713" s="2">
        <v>1</v>
      </c>
      <c r="H713" s="2">
        <v>1000</v>
      </c>
      <c r="I713" s="2">
        <v>70</v>
      </c>
      <c r="J713" s="2" t="s">
        <v>1779</v>
      </c>
      <c r="K713" s="2">
        <v>29</v>
      </c>
      <c r="L713" s="2">
        <v>10</v>
      </c>
      <c r="M713" s="2">
        <v>5</v>
      </c>
      <c r="N713" s="2">
        <v>4</v>
      </c>
      <c r="O713" s="2">
        <v>5</v>
      </c>
      <c r="P713" s="2">
        <v>5</v>
      </c>
      <c r="Q713" s="2" t="s">
        <v>2968</v>
      </c>
      <c r="R713" s="2" t="s">
        <v>2969</v>
      </c>
      <c r="S713" s="4">
        <v>44837</v>
      </c>
    </row>
    <row r="714" spans="1:19" ht="12.5" x14ac:dyDescent="0.25">
      <c r="A714" s="14" t="str">
        <f>HYPERLINK("https://gerandofalcoes.my.salesforce.com/0014X00002VKCrxQAH", "0014X00002VKCrxQAH")</f>
        <v>0014X00002VKCrxQAH</v>
      </c>
      <c r="B714" s="2" t="s">
        <v>2970</v>
      </c>
      <c r="C714" s="2" t="s">
        <v>423</v>
      </c>
      <c r="D714" s="2" t="s">
        <v>2</v>
      </c>
      <c r="E714" s="2">
        <v>2.25</v>
      </c>
      <c r="F714" s="2">
        <v>0</v>
      </c>
      <c r="G714" s="2">
        <v>0</v>
      </c>
      <c r="H714" s="2">
        <v>0</v>
      </c>
      <c r="I714" s="2">
        <v>60</v>
      </c>
      <c r="J714" s="2" t="s">
        <v>1779</v>
      </c>
      <c r="K714" s="2">
        <v>15</v>
      </c>
      <c r="L714" s="2">
        <v>10</v>
      </c>
      <c r="M714" s="2">
        <v>0</v>
      </c>
      <c r="N714" s="2">
        <v>0</v>
      </c>
      <c r="O714" s="2">
        <v>0</v>
      </c>
      <c r="P714" s="2">
        <v>5</v>
      </c>
      <c r="Q714" s="2" t="s">
        <v>2971</v>
      </c>
      <c r="R714" s="2" t="s">
        <v>2972</v>
      </c>
      <c r="S714" s="4">
        <v>44837</v>
      </c>
    </row>
    <row r="715" spans="1:19" ht="12.5" x14ac:dyDescent="0.25">
      <c r="A715" s="14" t="str">
        <f>HYPERLINK("https://gerandofalcoes.my.salesforce.com/0014X00002YggoXQAR", "0014X00002YggoXQAR")</f>
        <v>0014X00002YggoXQAR</v>
      </c>
      <c r="B715" s="2" t="s">
        <v>3195</v>
      </c>
      <c r="C715" s="2" t="s">
        <v>423</v>
      </c>
      <c r="D715" s="2" t="s">
        <v>2</v>
      </c>
      <c r="E715" s="2">
        <v>2.2200000000000002</v>
      </c>
      <c r="F715" s="2">
        <v>10</v>
      </c>
      <c r="G715" s="2">
        <v>2</v>
      </c>
      <c r="H715" s="2">
        <v>8000</v>
      </c>
      <c r="I715" s="2">
        <v>60</v>
      </c>
      <c r="J715" s="2" t="s">
        <v>1779</v>
      </c>
      <c r="K715" s="2">
        <v>36</v>
      </c>
      <c r="L715" s="2">
        <v>10</v>
      </c>
      <c r="M715" s="2">
        <v>10</v>
      </c>
      <c r="N715" s="2">
        <v>6</v>
      </c>
      <c r="O715" s="2">
        <v>5</v>
      </c>
      <c r="P715" s="2">
        <v>5</v>
      </c>
      <c r="Q715" s="2" t="s">
        <v>3196</v>
      </c>
      <c r="R715" s="2" t="s">
        <v>3197</v>
      </c>
      <c r="S715" s="4">
        <v>44951</v>
      </c>
    </row>
    <row r="716" spans="1:19" ht="12.5" x14ac:dyDescent="0.25">
      <c r="A716" s="14" t="str">
        <f>HYPERLINK("https://gerandofalcoes.my.salesforce.com/0014X00002YggpeQAB", "0014X00002YggpeQAB")</f>
        <v>0014X00002YggpeQAB</v>
      </c>
      <c r="B716" s="2" t="s">
        <v>3670</v>
      </c>
      <c r="C716" s="2" t="s">
        <v>423</v>
      </c>
      <c r="D716" s="2" t="s">
        <v>2</v>
      </c>
      <c r="E716" s="2">
        <v>2.14</v>
      </c>
      <c r="F716" s="2">
        <v>0</v>
      </c>
      <c r="G716" s="2">
        <v>4</v>
      </c>
      <c r="H716" s="2">
        <v>32100</v>
      </c>
      <c r="I716" s="2">
        <v>0</v>
      </c>
      <c r="J716" s="2" t="s">
        <v>1779</v>
      </c>
      <c r="K716" s="2">
        <v>30</v>
      </c>
      <c r="L716" s="2">
        <v>10</v>
      </c>
      <c r="M716" s="2">
        <v>0</v>
      </c>
      <c r="N716" s="2">
        <v>10</v>
      </c>
      <c r="O716" s="2">
        <v>10</v>
      </c>
      <c r="P716" s="2">
        <v>0</v>
      </c>
      <c r="Q716" s="2" t="s">
        <v>3671</v>
      </c>
      <c r="R716" s="2" t="s">
        <v>7149</v>
      </c>
      <c r="S716" s="4">
        <v>44964</v>
      </c>
    </row>
    <row r="717" spans="1:19" ht="12.5" x14ac:dyDescent="0.25">
      <c r="A717" s="14" t="str">
        <f>HYPERLINK("https://gerandofalcoes.my.salesforce.com/0014X00002YgghlQAB", "0014X00002YgghlQAB")</f>
        <v>0014X00002YgghlQAB</v>
      </c>
      <c r="B717" s="2" t="s">
        <v>3458</v>
      </c>
      <c r="C717" s="2" t="s">
        <v>423</v>
      </c>
      <c r="D717" s="2" t="s">
        <v>2</v>
      </c>
      <c r="E717" s="2">
        <v>2.13</v>
      </c>
      <c r="F717" s="2">
        <v>4</v>
      </c>
      <c r="G717" s="2">
        <v>5</v>
      </c>
      <c r="H717" s="2">
        <v>4000</v>
      </c>
      <c r="I717" s="2">
        <v>0</v>
      </c>
      <c r="J717" s="2" t="s">
        <v>1779</v>
      </c>
      <c r="K717" s="2">
        <v>30</v>
      </c>
      <c r="L717" s="2">
        <v>10</v>
      </c>
      <c r="M717" s="2">
        <v>5</v>
      </c>
      <c r="N717" s="2">
        <v>10</v>
      </c>
      <c r="O717" s="2">
        <v>5</v>
      </c>
      <c r="P717" s="2">
        <v>0</v>
      </c>
      <c r="Q717" s="2" t="s">
        <v>3459</v>
      </c>
      <c r="R717" s="2" t="s">
        <v>3460</v>
      </c>
      <c r="S717" s="4">
        <v>44958</v>
      </c>
    </row>
    <row r="718" spans="1:19" ht="12.5" x14ac:dyDescent="0.25">
      <c r="A718" s="14" t="str">
        <f>HYPERLINK("https://gerandofalcoes.my.salesforce.com/0014X00002YggmRQAR", "0014X00002YggmRQAR")</f>
        <v>0014X00002YggmRQAR</v>
      </c>
      <c r="B718" s="2" t="s">
        <v>3198</v>
      </c>
      <c r="C718" s="2" t="s">
        <v>423</v>
      </c>
      <c r="D718" s="2" t="s">
        <v>2</v>
      </c>
      <c r="E718" s="2">
        <v>2.1</v>
      </c>
      <c r="F718" s="2">
        <v>0</v>
      </c>
      <c r="G718" s="2">
        <v>2</v>
      </c>
      <c r="H718" s="2">
        <v>5000</v>
      </c>
      <c r="I718" s="2">
        <v>20</v>
      </c>
      <c r="J718" s="2" t="s">
        <v>1779</v>
      </c>
      <c r="K718" s="2">
        <v>26</v>
      </c>
      <c r="L718" s="2">
        <v>10</v>
      </c>
      <c r="M718" s="2">
        <v>0</v>
      </c>
      <c r="N718" s="2">
        <v>6</v>
      </c>
      <c r="O718" s="2">
        <v>5</v>
      </c>
      <c r="P718" s="2">
        <v>5</v>
      </c>
      <c r="Q718" s="2" t="s">
        <v>3199</v>
      </c>
      <c r="R718" s="2" t="s">
        <v>3199</v>
      </c>
      <c r="S718" s="4">
        <v>44951</v>
      </c>
    </row>
    <row r="719" spans="1:19" ht="12.5" x14ac:dyDescent="0.25">
      <c r="A719" s="14" t="str">
        <f>HYPERLINK("https://gerandofalcoes.my.salesforce.com/0014X00002VKCrVQAX", "0014X00002VKCrVQAX")</f>
        <v>0014X00002VKCrVQAX</v>
      </c>
      <c r="B719" s="2" t="s">
        <v>2973</v>
      </c>
      <c r="C719" s="2" t="s">
        <v>423</v>
      </c>
      <c r="D719" s="2" t="s">
        <v>2</v>
      </c>
      <c r="E719" s="2">
        <v>2.08</v>
      </c>
      <c r="F719" s="2">
        <v>0</v>
      </c>
      <c r="G719" s="2">
        <v>0</v>
      </c>
      <c r="H719" s="2">
        <v>0</v>
      </c>
      <c r="I719" s="2">
        <v>0</v>
      </c>
      <c r="J719" s="2" t="s">
        <v>1779</v>
      </c>
      <c r="K719" s="2">
        <v>10</v>
      </c>
      <c r="L719" s="2">
        <v>10</v>
      </c>
      <c r="M719" s="2">
        <v>0</v>
      </c>
      <c r="N719" s="2">
        <v>0</v>
      </c>
      <c r="O719" s="2">
        <v>0</v>
      </c>
      <c r="P719" s="2">
        <v>0</v>
      </c>
      <c r="Q719" s="2" t="s">
        <v>2974</v>
      </c>
      <c r="R719" s="2" t="s">
        <v>2975</v>
      </c>
      <c r="S719" s="4">
        <v>44837</v>
      </c>
    </row>
    <row r="720" spans="1:19" ht="12.5" x14ac:dyDescent="0.25">
      <c r="A720" s="14" t="str">
        <f>HYPERLINK("https://gerandofalcoes.my.salesforce.com/0014X00002YggmOQAR", "0014X00002YggmOQAR")</f>
        <v>0014X00002YggmOQAR</v>
      </c>
      <c r="B720" s="2" t="s">
        <v>3818</v>
      </c>
      <c r="C720" s="2" t="s">
        <v>423</v>
      </c>
      <c r="D720" s="2" t="s">
        <v>2</v>
      </c>
      <c r="E720" s="2">
        <v>1.83</v>
      </c>
      <c r="F720" s="2">
        <v>4</v>
      </c>
      <c r="G720" s="2">
        <v>200</v>
      </c>
      <c r="H720" s="2">
        <v>3000</v>
      </c>
      <c r="I720" s="2">
        <v>200</v>
      </c>
      <c r="J720" s="2" t="s">
        <v>1671</v>
      </c>
      <c r="K720" s="2">
        <v>42</v>
      </c>
      <c r="L720" s="2">
        <v>10</v>
      </c>
      <c r="M720" s="2">
        <v>5</v>
      </c>
      <c r="N720" s="2">
        <v>10</v>
      </c>
      <c r="O720" s="2">
        <v>5</v>
      </c>
      <c r="P720" s="2">
        <v>12</v>
      </c>
      <c r="Q720" s="2" t="s">
        <v>3819</v>
      </c>
      <c r="R720" s="2" t="s">
        <v>3820</v>
      </c>
      <c r="S720" s="4">
        <v>44992</v>
      </c>
    </row>
    <row r="721" spans="1:19" ht="12.5" x14ac:dyDescent="0.25">
      <c r="A721" s="14" t="str">
        <f>HYPERLINK("https://gerandofalcoes.my.salesforce.com/0014X00002YggmuQAB", "0014X00002YggmuQAB")</f>
        <v>0014X00002YggmuQAB</v>
      </c>
      <c r="B721" s="2" t="s">
        <v>3464</v>
      </c>
      <c r="C721" s="2" t="s">
        <v>423</v>
      </c>
      <c r="D721" s="2" t="s">
        <v>2</v>
      </c>
      <c r="E721" s="2">
        <v>1.67</v>
      </c>
      <c r="F721" s="2">
        <v>0</v>
      </c>
      <c r="G721" s="2">
        <v>3</v>
      </c>
      <c r="H721" s="2">
        <v>11000</v>
      </c>
      <c r="I721" s="2">
        <v>67</v>
      </c>
      <c r="J721" s="2" t="s">
        <v>1779</v>
      </c>
      <c r="K721" s="2">
        <v>28</v>
      </c>
      <c r="L721" s="2">
        <v>10</v>
      </c>
      <c r="M721" s="2">
        <v>0</v>
      </c>
      <c r="N721" s="2">
        <v>8</v>
      </c>
      <c r="O721" s="2">
        <v>5</v>
      </c>
      <c r="P721" s="2">
        <v>5</v>
      </c>
      <c r="Q721" s="2" t="s">
        <v>3465</v>
      </c>
      <c r="R721" s="2" t="s">
        <v>3466</v>
      </c>
      <c r="S721" s="4">
        <v>44958</v>
      </c>
    </row>
    <row r="722" spans="1:19" ht="12.5" x14ac:dyDescent="0.25">
      <c r="A722" s="14" t="str">
        <f>HYPERLINK("https://gerandofalcoes.my.salesforce.com/0014X00002YggkiQAB", "0014X00002YggkiQAB")</f>
        <v>0014X00002YggkiQAB</v>
      </c>
      <c r="B722" s="2" t="s">
        <v>3067</v>
      </c>
      <c r="C722" s="2" t="s">
        <v>423</v>
      </c>
      <c r="D722" s="2" t="s">
        <v>2</v>
      </c>
      <c r="E722" s="2">
        <v>1.67</v>
      </c>
      <c r="F722" s="2">
        <v>0</v>
      </c>
      <c r="G722" s="2">
        <v>2</v>
      </c>
      <c r="H722" s="2">
        <v>0</v>
      </c>
      <c r="I722" s="2">
        <v>80</v>
      </c>
      <c r="J722" s="2" t="s">
        <v>1779</v>
      </c>
      <c r="K722" s="2">
        <v>26</v>
      </c>
      <c r="L722" s="2">
        <v>10</v>
      </c>
      <c r="M722" s="2">
        <v>0</v>
      </c>
      <c r="N722" s="2">
        <v>6</v>
      </c>
      <c r="O722" s="2">
        <v>0</v>
      </c>
      <c r="P722" s="2">
        <v>10</v>
      </c>
      <c r="Q722" s="2" t="s">
        <v>3068</v>
      </c>
      <c r="R722" s="2" t="s">
        <v>3068</v>
      </c>
      <c r="S722" s="4">
        <v>44946</v>
      </c>
    </row>
    <row r="723" spans="1:19" ht="12.5" x14ac:dyDescent="0.25">
      <c r="A723" s="14" t="str">
        <f>HYPERLINK("https://gerandofalcoes.my.salesforce.com/0014X00002YggnIQAR", "0014X00002YggnIQAR")</f>
        <v>0014X00002YggnIQAR</v>
      </c>
      <c r="B723" s="2" t="s">
        <v>3789</v>
      </c>
      <c r="C723" s="2" t="s">
        <v>423</v>
      </c>
      <c r="D723" s="2" t="s">
        <v>2</v>
      </c>
      <c r="E723" s="2">
        <v>1.67</v>
      </c>
      <c r="F723" s="2">
        <v>0</v>
      </c>
      <c r="G723" s="2">
        <v>2</v>
      </c>
      <c r="H723" s="2">
        <v>1000</v>
      </c>
      <c r="I723" s="2">
        <v>20</v>
      </c>
      <c r="J723" s="2" t="s">
        <v>1779</v>
      </c>
      <c r="K723" s="2">
        <v>26</v>
      </c>
      <c r="L723" s="2">
        <v>10</v>
      </c>
      <c r="M723" s="2">
        <v>0</v>
      </c>
      <c r="N723" s="2">
        <v>6</v>
      </c>
      <c r="O723" s="2">
        <v>5</v>
      </c>
      <c r="P723" s="2">
        <v>5</v>
      </c>
      <c r="Q723" s="2" t="s">
        <v>3790</v>
      </c>
      <c r="R723" s="2" t="s">
        <v>3791</v>
      </c>
      <c r="S723" s="4">
        <v>44968</v>
      </c>
    </row>
    <row r="724" spans="1:19" ht="12.5" x14ac:dyDescent="0.25">
      <c r="A724" s="14" t="str">
        <f>HYPERLINK("https://gerandofalcoes.my.salesforce.com/0014X00002YggpvQAB", "0014X00002YggpvQAB")</f>
        <v>0014X00002YggpvQAB</v>
      </c>
      <c r="B724" s="2" t="s">
        <v>3729</v>
      </c>
      <c r="C724" s="2" t="s">
        <v>423</v>
      </c>
      <c r="D724" s="2" t="s">
        <v>2</v>
      </c>
      <c r="E724" s="2">
        <v>1.67</v>
      </c>
      <c r="F724" s="2">
        <v>12</v>
      </c>
      <c r="G724" s="2">
        <v>3</v>
      </c>
      <c r="H724" s="2">
        <v>50000</v>
      </c>
      <c r="I724" s="2">
        <v>200</v>
      </c>
      <c r="J724" s="2" t="s">
        <v>1671</v>
      </c>
      <c r="K724" s="2">
        <v>52</v>
      </c>
      <c r="L724" s="2">
        <v>10</v>
      </c>
      <c r="M724" s="2">
        <v>12</v>
      </c>
      <c r="N724" s="2">
        <v>8</v>
      </c>
      <c r="O724" s="2">
        <v>10</v>
      </c>
      <c r="P724" s="2">
        <v>12</v>
      </c>
      <c r="Q724" s="2" t="s">
        <v>3730</v>
      </c>
      <c r="R724" s="2" t="s">
        <v>3730</v>
      </c>
      <c r="S724" s="4">
        <v>44967</v>
      </c>
    </row>
    <row r="725" spans="1:19" ht="12.5" x14ac:dyDescent="0.25">
      <c r="A725" s="14" t="str">
        <f>HYPERLINK("https://gerandofalcoes.my.salesforce.com/0014X00002YggiXQAR", "0014X00002YggiXQAR")</f>
        <v>0014X00002YggiXQAR</v>
      </c>
      <c r="B725" s="2" t="s">
        <v>3114</v>
      </c>
      <c r="C725" s="2" t="s">
        <v>423</v>
      </c>
      <c r="D725" s="2" t="s">
        <v>2</v>
      </c>
      <c r="E725" s="2">
        <v>1.67</v>
      </c>
      <c r="F725" s="2">
        <v>1</v>
      </c>
      <c r="G725" s="2">
        <v>3</v>
      </c>
      <c r="H725" s="2">
        <v>24000</v>
      </c>
      <c r="I725" s="2">
        <v>64</v>
      </c>
      <c r="J725" s="2" t="s">
        <v>1779</v>
      </c>
      <c r="K725" s="2">
        <v>33</v>
      </c>
      <c r="L725" s="2">
        <v>10</v>
      </c>
      <c r="M725" s="2">
        <v>5</v>
      </c>
      <c r="N725" s="2">
        <v>8</v>
      </c>
      <c r="O725" s="2">
        <v>5</v>
      </c>
      <c r="P725" s="2">
        <v>5</v>
      </c>
      <c r="Q725" s="2" t="s">
        <v>3115</v>
      </c>
      <c r="R725" s="2" t="s">
        <v>3116</v>
      </c>
      <c r="S725" s="4">
        <v>44949</v>
      </c>
    </row>
    <row r="726" spans="1:19" ht="12.5" x14ac:dyDescent="0.25">
      <c r="A726" s="14" t="str">
        <f>HYPERLINK("https://gerandofalcoes.my.salesforce.com/0014X00002YgglLQAR", "0014X00002YgglLQAR")</f>
        <v>0014X00002YgglLQAR</v>
      </c>
      <c r="B726" s="2" t="s">
        <v>3547</v>
      </c>
      <c r="C726" s="2" t="s">
        <v>423</v>
      </c>
      <c r="D726" s="2" t="s">
        <v>2</v>
      </c>
      <c r="E726" s="2">
        <v>1.67</v>
      </c>
      <c r="F726" s="2">
        <v>7</v>
      </c>
      <c r="G726" s="2">
        <v>2</v>
      </c>
      <c r="H726" s="2">
        <v>1800</v>
      </c>
      <c r="I726" s="2">
        <v>48</v>
      </c>
      <c r="J726" s="2" t="s">
        <v>1779</v>
      </c>
      <c r="K726" s="2">
        <v>36</v>
      </c>
      <c r="L726" s="2">
        <v>10</v>
      </c>
      <c r="M726" s="2">
        <v>10</v>
      </c>
      <c r="N726" s="2">
        <v>6</v>
      </c>
      <c r="O726" s="2">
        <v>5</v>
      </c>
      <c r="P726" s="2">
        <v>5</v>
      </c>
      <c r="Q726" s="2" t="s">
        <v>3548</v>
      </c>
      <c r="R726" s="2" t="s">
        <v>3548</v>
      </c>
      <c r="S726" s="4">
        <v>44959</v>
      </c>
    </row>
    <row r="727" spans="1:19" ht="12.5" x14ac:dyDescent="0.25">
      <c r="A727" s="14" t="str">
        <f>HYPERLINK("https://gerandofalcoes.my.salesforce.com/0014X00002YggqdQAB", "0014X00002YggqdQAB")</f>
        <v>0014X00002YggqdQAB</v>
      </c>
      <c r="B727" s="2" t="s">
        <v>3117</v>
      </c>
      <c r="C727" s="2" t="s">
        <v>423</v>
      </c>
      <c r="D727" s="2" t="s">
        <v>2</v>
      </c>
      <c r="E727" s="2">
        <v>1.67</v>
      </c>
      <c r="F727" s="2">
        <v>1</v>
      </c>
      <c r="G727" s="2">
        <v>3</v>
      </c>
      <c r="H727" s="2">
        <v>1000</v>
      </c>
      <c r="I727" s="2">
        <v>0</v>
      </c>
      <c r="J727" s="2" t="s">
        <v>1779</v>
      </c>
      <c r="K727" s="2">
        <v>28</v>
      </c>
      <c r="L727" s="2">
        <v>10</v>
      </c>
      <c r="M727" s="2">
        <v>5</v>
      </c>
      <c r="N727" s="2">
        <v>8</v>
      </c>
      <c r="O727" s="2">
        <v>5</v>
      </c>
      <c r="P727" s="2">
        <v>0</v>
      </c>
      <c r="Q727" s="2" t="s">
        <v>3118</v>
      </c>
      <c r="R727" s="2" t="s">
        <v>3119</v>
      </c>
      <c r="S727" s="4">
        <v>44949</v>
      </c>
    </row>
    <row r="728" spans="1:19" ht="12.5" x14ac:dyDescent="0.25">
      <c r="A728" s="14" t="str">
        <f>HYPERLINK("https://gerandofalcoes.my.salesforce.com/0014X00002YgbkRQAR", "0014X00002YgbkRQAR")</f>
        <v>0014X00002YgbkRQAR</v>
      </c>
      <c r="B728" s="2" t="s">
        <v>3852</v>
      </c>
      <c r="C728" s="2" t="s">
        <v>423</v>
      </c>
      <c r="D728" s="2" t="s">
        <v>2</v>
      </c>
      <c r="E728" s="2">
        <v>1.67</v>
      </c>
      <c r="F728" s="2">
        <v>0</v>
      </c>
      <c r="G728" s="2">
        <v>0</v>
      </c>
      <c r="H728" s="2">
        <v>0</v>
      </c>
      <c r="I728" s="2">
        <v>0</v>
      </c>
      <c r="J728" s="2" t="s">
        <v>1779</v>
      </c>
      <c r="K728" s="2">
        <v>10</v>
      </c>
      <c r="L728" s="2">
        <v>10</v>
      </c>
      <c r="M728" s="2">
        <v>0</v>
      </c>
      <c r="N728" s="2">
        <v>0</v>
      </c>
      <c r="O728" s="2">
        <v>0</v>
      </c>
      <c r="P728" s="2">
        <v>0</v>
      </c>
      <c r="Q728" s="2" t="s">
        <v>3853</v>
      </c>
      <c r="R728" s="2" t="s">
        <v>3854</v>
      </c>
      <c r="S728" s="4">
        <v>45112</v>
      </c>
    </row>
    <row r="729" spans="1:19" ht="12.5" x14ac:dyDescent="0.25">
      <c r="A729" s="14" t="str">
        <f>HYPERLINK("https://gerandofalcoes.my.salesforce.com/0014X00002YgbkpQAB", "0014X00002YgbkpQAB")</f>
        <v>0014X00002YgbkpQAB</v>
      </c>
      <c r="B729" s="2" t="s">
        <v>3200</v>
      </c>
      <c r="C729" s="2" t="s">
        <v>423</v>
      </c>
      <c r="D729" s="2" t="s">
        <v>2</v>
      </c>
      <c r="E729" s="2">
        <v>1.67</v>
      </c>
      <c r="F729" s="2">
        <v>0</v>
      </c>
      <c r="G729" s="2">
        <v>0</v>
      </c>
      <c r="H729" s="2">
        <v>0</v>
      </c>
      <c r="I729" s="2">
        <v>0</v>
      </c>
      <c r="J729" s="2" t="s">
        <v>1779</v>
      </c>
      <c r="K729" s="2">
        <v>10</v>
      </c>
      <c r="L729" s="2">
        <v>10</v>
      </c>
      <c r="M729" s="2">
        <v>0</v>
      </c>
      <c r="N729" s="2">
        <v>0</v>
      </c>
      <c r="O729" s="2">
        <v>0</v>
      </c>
      <c r="P729" s="2">
        <v>0</v>
      </c>
      <c r="Q729" s="2" t="s">
        <v>3201</v>
      </c>
      <c r="R729" s="2" t="s">
        <v>3201</v>
      </c>
      <c r="S729" s="4">
        <v>44951</v>
      </c>
    </row>
    <row r="730" spans="1:19" ht="12.5" x14ac:dyDescent="0.25">
      <c r="A730" s="14" t="str">
        <f>HYPERLINK("https://gerandofalcoes.my.salesforce.com/0014X00002YggpqQAB", "0014X00002YggpqQAB")</f>
        <v>0014X00002YggpqQAB</v>
      </c>
      <c r="B730" s="2" t="s">
        <v>3623</v>
      </c>
      <c r="C730" s="2" t="s">
        <v>423</v>
      </c>
      <c r="D730" s="2" t="s">
        <v>2</v>
      </c>
      <c r="E730" s="2">
        <v>1.67</v>
      </c>
      <c r="F730" s="2">
        <v>0</v>
      </c>
      <c r="G730" s="2">
        <v>4</v>
      </c>
      <c r="H730" s="2">
        <v>0</v>
      </c>
      <c r="I730" s="2">
        <v>300</v>
      </c>
      <c r="J730" s="2" t="s">
        <v>1779</v>
      </c>
      <c r="K730" s="2">
        <v>35</v>
      </c>
      <c r="L730" s="2">
        <v>10</v>
      </c>
      <c r="M730" s="2">
        <v>0</v>
      </c>
      <c r="N730" s="2">
        <v>10</v>
      </c>
      <c r="O730" s="2">
        <v>0</v>
      </c>
      <c r="P730" s="2">
        <v>15</v>
      </c>
      <c r="Q730" s="2" t="s">
        <v>3624</v>
      </c>
      <c r="R730" s="2" t="s">
        <v>3625</v>
      </c>
      <c r="S730" s="4">
        <v>44963</v>
      </c>
    </row>
    <row r="731" spans="1:19" ht="12.5" x14ac:dyDescent="0.25">
      <c r="A731" s="14" t="str">
        <f>HYPERLINK("https://gerandofalcoes.my.salesforce.com/0014X00002YggkQQAR", "0014X00002YggkQQAR")</f>
        <v>0014X00002YggkQQAR</v>
      </c>
      <c r="B731" s="2" t="s">
        <v>3461</v>
      </c>
      <c r="C731" s="2" t="s">
        <v>423</v>
      </c>
      <c r="D731" s="2" t="s">
        <v>2</v>
      </c>
      <c r="E731" s="2">
        <v>1.67</v>
      </c>
      <c r="F731" s="2">
        <v>5</v>
      </c>
      <c r="G731" s="2">
        <v>5</v>
      </c>
      <c r="H731" s="2">
        <v>3000</v>
      </c>
      <c r="I731" s="2">
        <v>250</v>
      </c>
      <c r="J731" s="2" t="s">
        <v>1671</v>
      </c>
      <c r="K731" s="2">
        <v>42</v>
      </c>
      <c r="L731" s="2">
        <v>10</v>
      </c>
      <c r="M731" s="2">
        <v>5</v>
      </c>
      <c r="N731" s="2">
        <v>10</v>
      </c>
      <c r="O731" s="2">
        <v>5</v>
      </c>
      <c r="P731" s="2">
        <v>12</v>
      </c>
      <c r="Q731" s="2" t="s">
        <v>3462</v>
      </c>
      <c r="R731" s="2" t="s">
        <v>3463</v>
      </c>
      <c r="S731" s="4">
        <v>44958</v>
      </c>
    </row>
    <row r="732" spans="1:19" ht="12.5" x14ac:dyDescent="0.25">
      <c r="A732" s="14" t="str">
        <f>HYPERLINK("https://gerandofalcoes.my.salesforce.com/0014X00002YggpCQAR", "0014X00002YggpCQAR")</f>
        <v>0014X00002YggpCQAR</v>
      </c>
      <c r="B732" s="2" t="s">
        <v>3120</v>
      </c>
      <c r="C732" s="2" t="s">
        <v>423</v>
      </c>
      <c r="D732" s="2" t="s">
        <v>2</v>
      </c>
      <c r="E732" s="2">
        <v>1.3</v>
      </c>
      <c r="F732" s="2">
        <v>0</v>
      </c>
      <c r="G732" s="2">
        <v>10</v>
      </c>
      <c r="H732" s="2">
        <v>1100</v>
      </c>
      <c r="I732" s="2">
        <v>0</v>
      </c>
      <c r="J732" s="2" t="s">
        <v>1779</v>
      </c>
      <c r="K732" s="2">
        <v>25</v>
      </c>
      <c r="L732" s="2">
        <v>10</v>
      </c>
      <c r="M732" s="2">
        <v>0</v>
      </c>
      <c r="N732" s="2">
        <v>10</v>
      </c>
      <c r="O732" s="2">
        <v>5</v>
      </c>
      <c r="P732" s="2">
        <v>0</v>
      </c>
      <c r="Q732" s="2" t="s">
        <v>3121</v>
      </c>
      <c r="R732" s="2" t="s">
        <v>3121</v>
      </c>
      <c r="S732" s="4">
        <v>44949</v>
      </c>
    </row>
    <row r="733" spans="1:19" ht="12.5" x14ac:dyDescent="0.25">
      <c r="A733" s="14" t="str">
        <f>HYPERLINK("https://gerandofalcoes.my.salesforce.com/0014X00002YggkHQAR", "0014X00002YggkHQAR")</f>
        <v>0014X00002YggkHQAR</v>
      </c>
      <c r="B733" s="2" t="s">
        <v>3467</v>
      </c>
      <c r="C733" s="2" t="s">
        <v>423</v>
      </c>
      <c r="D733" s="2" t="s">
        <v>2</v>
      </c>
      <c r="E733" s="2">
        <v>1.18</v>
      </c>
      <c r="F733" s="2">
        <v>0</v>
      </c>
      <c r="G733" s="2">
        <v>5</v>
      </c>
      <c r="H733" s="2">
        <v>8000</v>
      </c>
      <c r="I733" s="2">
        <v>0</v>
      </c>
      <c r="J733" s="2" t="s">
        <v>1779</v>
      </c>
      <c r="K733" s="2">
        <v>25</v>
      </c>
      <c r="L733" s="2">
        <v>10</v>
      </c>
      <c r="M733" s="2">
        <v>0</v>
      </c>
      <c r="N733" s="2">
        <v>10</v>
      </c>
      <c r="O733" s="2">
        <v>5</v>
      </c>
      <c r="P733" s="2">
        <v>0</v>
      </c>
      <c r="Q733" s="2" t="s">
        <v>3468</v>
      </c>
      <c r="R733" s="2" t="s">
        <v>3469</v>
      </c>
      <c r="S733" s="4">
        <v>44958</v>
      </c>
    </row>
    <row r="734" spans="1:19" ht="12.5" x14ac:dyDescent="0.25">
      <c r="A734" s="14" t="str">
        <f>HYPERLINK("https://gerandofalcoes.my.salesforce.com/0014X00002YgbkTQAR", "0014X00002YgbkTQAR")</f>
        <v>0014X00002YgbkTQAR</v>
      </c>
      <c r="B734" s="2" t="s">
        <v>3337</v>
      </c>
      <c r="C734" s="2" t="s">
        <v>423</v>
      </c>
      <c r="D734" s="2" t="s">
        <v>2</v>
      </c>
      <c r="E734" s="2">
        <v>0.59</v>
      </c>
      <c r="F734" s="2">
        <v>0</v>
      </c>
      <c r="G734" s="2">
        <v>0</v>
      </c>
      <c r="H734" s="2">
        <v>0</v>
      </c>
      <c r="I734" s="2">
        <v>0</v>
      </c>
      <c r="J734" s="2" t="s">
        <v>1779</v>
      </c>
      <c r="K734" s="2">
        <v>0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 t="s">
        <v>3338</v>
      </c>
      <c r="R734" s="2" t="s">
        <v>3339</v>
      </c>
      <c r="S734" s="4">
        <v>44953</v>
      </c>
    </row>
    <row r="735" spans="1:19" ht="12.5" x14ac:dyDescent="0.25">
      <c r="A735" s="14" t="str">
        <f>HYPERLINK("https://gerandofalcoes.my.salesforce.com/0014X00002YggpQQAR", "0014X00002YggpQQAR")</f>
        <v>0014X00002YggpQQAR</v>
      </c>
      <c r="B735" s="2" t="s">
        <v>3202</v>
      </c>
      <c r="C735" s="2" t="s">
        <v>423</v>
      </c>
      <c r="D735" s="2" t="s">
        <v>2</v>
      </c>
      <c r="E735" s="2">
        <v>0.43</v>
      </c>
      <c r="F735" s="2">
        <v>1</v>
      </c>
      <c r="G735" s="2">
        <v>3</v>
      </c>
      <c r="H735" s="2">
        <v>3000</v>
      </c>
      <c r="I735" s="2">
        <v>50</v>
      </c>
      <c r="J735" s="2" t="s">
        <v>1779</v>
      </c>
      <c r="K735" s="2">
        <v>23</v>
      </c>
      <c r="L735" s="2">
        <v>0</v>
      </c>
      <c r="M735" s="2">
        <v>5</v>
      </c>
      <c r="N735" s="2">
        <v>8</v>
      </c>
      <c r="O735" s="2">
        <v>5</v>
      </c>
      <c r="P735" s="2">
        <v>5</v>
      </c>
      <c r="Q735" s="2" t="s">
        <v>3203</v>
      </c>
      <c r="R735" s="2" t="s">
        <v>3203</v>
      </c>
      <c r="S735" s="4">
        <v>44951</v>
      </c>
    </row>
    <row r="736" spans="1:19" ht="12.5" x14ac:dyDescent="0.25">
      <c r="A736" s="14" t="str">
        <f>HYPERLINK("https://gerandofalcoes.my.salesforce.com/0014P00003MjR9oQAF", "0014P00003MjR9oQAF")</f>
        <v>0014P00003MjR9oQAF</v>
      </c>
      <c r="B736" s="2" t="s">
        <v>2978</v>
      </c>
      <c r="C736" s="2" t="s">
        <v>423</v>
      </c>
      <c r="D736" s="2" t="s">
        <v>66</v>
      </c>
      <c r="E736" s="2">
        <v>0</v>
      </c>
      <c r="F736" s="2">
        <v>23</v>
      </c>
      <c r="G736" s="2">
        <v>1</v>
      </c>
      <c r="H736" s="2">
        <v>0</v>
      </c>
      <c r="I736" s="2">
        <v>0</v>
      </c>
      <c r="J736" s="2" t="s">
        <v>1779</v>
      </c>
      <c r="K736" s="2">
        <v>16</v>
      </c>
      <c r="L736" s="2">
        <v>0</v>
      </c>
      <c r="M736" s="2">
        <v>12</v>
      </c>
      <c r="N736" s="2">
        <v>4</v>
      </c>
      <c r="O736" s="2">
        <v>0</v>
      </c>
      <c r="P736" s="2">
        <v>0</v>
      </c>
      <c r="Q736" s="2" t="s">
        <v>67</v>
      </c>
      <c r="R736" s="2" t="s">
        <v>2979</v>
      </c>
      <c r="S736" s="4">
        <v>44837</v>
      </c>
    </row>
    <row r="737" spans="1:19" ht="12.5" x14ac:dyDescent="0.25">
      <c r="A737" s="14" t="str">
        <f>HYPERLINK("https://gerandofalcoes.my.salesforce.com/0014P00003MjNTIQA3", "0014P00003MjNTIQA3")</f>
        <v>0014P00003MjNTIQA3</v>
      </c>
      <c r="B737" s="2" t="s">
        <v>2976</v>
      </c>
      <c r="C737" s="2" t="s">
        <v>423</v>
      </c>
      <c r="D737" s="2" t="s">
        <v>66</v>
      </c>
      <c r="E737" s="2">
        <v>0</v>
      </c>
      <c r="F737" s="2">
        <v>10</v>
      </c>
      <c r="G737" s="2">
        <v>0</v>
      </c>
      <c r="H737" s="2">
        <v>0</v>
      </c>
      <c r="I737" s="2">
        <v>0</v>
      </c>
      <c r="J737" s="2" t="s">
        <v>1779</v>
      </c>
      <c r="K737" s="2">
        <v>10</v>
      </c>
      <c r="L737" s="2">
        <v>0</v>
      </c>
      <c r="M737" s="2">
        <v>10</v>
      </c>
      <c r="N737" s="2">
        <v>0</v>
      </c>
      <c r="O737" s="2">
        <v>0</v>
      </c>
      <c r="P737" s="2">
        <v>0</v>
      </c>
      <c r="Q737" s="2" t="s">
        <v>862</v>
      </c>
      <c r="R737" s="2" t="s">
        <v>862</v>
      </c>
      <c r="S737" s="4">
        <v>44837</v>
      </c>
    </row>
    <row r="738" spans="1:19" ht="12.5" x14ac:dyDescent="0.25">
      <c r="A738" s="14" t="str">
        <f>HYPERLINK("https://gerandofalcoes.my.salesforce.com/0014X00002YgghnQAB", "0014X00002YgghnQAB")</f>
        <v>0014X00002YgghnQAB</v>
      </c>
      <c r="B738" s="2" t="s">
        <v>3470</v>
      </c>
      <c r="C738" s="2" t="s">
        <v>423</v>
      </c>
      <c r="D738" s="2" t="s">
        <v>2</v>
      </c>
      <c r="E738" s="2">
        <v>0</v>
      </c>
      <c r="F738" s="2">
        <v>20</v>
      </c>
      <c r="G738" s="2">
        <v>3</v>
      </c>
      <c r="H738" s="2">
        <v>263610</v>
      </c>
      <c r="I738" s="2">
        <v>180</v>
      </c>
      <c r="J738" s="2" t="s">
        <v>1671</v>
      </c>
      <c r="K738" s="2">
        <v>47</v>
      </c>
      <c r="L738" s="2">
        <v>0</v>
      </c>
      <c r="M738" s="2">
        <v>12</v>
      </c>
      <c r="N738" s="2">
        <v>8</v>
      </c>
      <c r="O738" s="2">
        <v>15</v>
      </c>
      <c r="P738" s="2">
        <v>12</v>
      </c>
      <c r="Q738" s="2" t="s">
        <v>3471</v>
      </c>
      <c r="R738" s="2" t="s">
        <v>3472</v>
      </c>
      <c r="S738" s="4">
        <v>44958</v>
      </c>
    </row>
    <row r="739" spans="1:19" ht="12.5" x14ac:dyDescent="0.25">
      <c r="A739" s="14" t="str">
        <f>HYPERLINK("https://gerandofalcoes.my.salesforce.com/0014X00002Yjq5GQAR", "0014X00002Yjq5GQAR")</f>
        <v>0014X00002Yjq5GQAR</v>
      </c>
      <c r="B739" s="2" t="s">
        <v>3805</v>
      </c>
      <c r="C739" s="2" t="s">
        <v>423</v>
      </c>
      <c r="D739" s="2" t="s">
        <v>2</v>
      </c>
      <c r="E739" s="2">
        <v>0</v>
      </c>
      <c r="F739" s="2">
        <v>0</v>
      </c>
      <c r="G739" s="2">
        <v>1</v>
      </c>
      <c r="H739" s="2">
        <v>3000</v>
      </c>
      <c r="I739" s="2">
        <v>180</v>
      </c>
      <c r="J739" s="2" t="s">
        <v>7150</v>
      </c>
      <c r="K739" s="2">
        <v>21</v>
      </c>
      <c r="L739" s="2">
        <v>0</v>
      </c>
      <c r="M739" s="2">
        <v>0</v>
      </c>
      <c r="N739" s="2">
        <v>4</v>
      </c>
      <c r="O739" s="2">
        <v>5</v>
      </c>
      <c r="P739" s="2">
        <v>12</v>
      </c>
      <c r="Q739" s="2" t="s">
        <v>3806</v>
      </c>
      <c r="R739" s="2" t="s">
        <v>3806</v>
      </c>
      <c r="S739" s="4">
        <v>44985</v>
      </c>
    </row>
    <row r="740" spans="1:19" ht="12.5" x14ac:dyDescent="0.25">
      <c r="A740" s="14" t="str">
        <f>HYPERLINK("https://gerandofalcoes.my.salesforce.com/0014X00002YggorQAB", "0014X00002YggorQAB")</f>
        <v>0014X00002YggorQAB</v>
      </c>
      <c r="B740" s="2" t="s">
        <v>3855</v>
      </c>
      <c r="C740" s="2" t="s">
        <v>423</v>
      </c>
      <c r="D740" s="2" t="s">
        <v>2</v>
      </c>
      <c r="E740" s="2"/>
      <c r="F740" s="2">
        <v>1</v>
      </c>
      <c r="G740" s="2">
        <v>2</v>
      </c>
      <c r="H740" s="2">
        <v>0</v>
      </c>
      <c r="I740" s="2">
        <v>1500</v>
      </c>
      <c r="J740" s="2" t="s">
        <v>1779</v>
      </c>
      <c r="K740" s="2">
        <v>31</v>
      </c>
      <c r="L740" s="2">
        <v>0</v>
      </c>
      <c r="M740" s="2">
        <v>5</v>
      </c>
      <c r="N740" s="2">
        <v>6</v>
      </c>
      <c r="O740" s="2">
        <v>0</v>
      </c>
      <c r="P740" s="2">
        <v>20</v>
      </c>
      <c r="Q740" s="2" t="s">
        <v>3856</v>
      </c>
      <c r="R740" s="2" t="s">
        <v>3857</v>
      </c>
      <c r="S740" s="4">
        <v>45112</v>
      </c>
    </row>
    <row r="741" spans="1:19" ht="12.5" hidden="1" x14ac:dyDescent="0.25">
      <c r="A741" s="14" t="str">
        <f>HYPERLINK("https://gerandofalcoes.my.salesforce.com/0014P00003YSp7jQAD", "0014P00003YSp7jQAD")</f>
        <v>0014P00003YSp7jQAD</v>
      </c>
      <c r="B741" s="2" t="s">
        <v>3000</v>
      </c>
      <c r="C741" s="2" t="s">
        <v>1684</v>
      </c>
      <c r="D741" s="2" t="s">
        <v>2</v>
      </c>
      <c r="E741" s="2">
        <v>41</v>
      </c>
      <c r="F741" s="2">
        <v>12</v>
      </c>
      <c r="G741" s="2">
        <v>3</v>
      </c>
      <c r="H741" s="2">
        <v>200000</v>
      </c>
      <c r="I741" s="2">
        <v>0</v>
      </c>
      <c r="J741" s="2" t="s">
        <v>1671</v>
      </c>
      <c r="K741" s="2">
        <v>50</v>
      </c>
      <c r="L741" s="2">
        <v>15</v>
      </c>
      <c r="M741" s="2">
        <v>12</v>
      </c>
      <c r="N741" s="2">
        <v>8</v>
      </c>
      <c r="O741" s="2">
        <v>15</v>
      </c>
      <c r="P741" s="2">
        <v>0</v>
      </c>
      <c r="Q741" s="2" t="s">
        <v>3001</v>
      </c>
      <c r="R741" s="2"/>
      <c r="S741" s="4">
        <v>44911</v>
      </c>
    </row>
    <row r="742" spans="1:19" ht="12.5" x14ac:dyDescent="0.25">
      <c r="A742" s="14" t="str">
        <f>HYPERLINK("https://gerandofalcoes.my.salesforce.com/0014X00002YggoAQAR", "0014X00002YggoAQAR")</f>
        <v>0014X00002YggoAQAR</v>
      </c>
      <c r="B742" s="2" t="s">
        <v>3377</v>
      </c>
      <c r="C742" s="2" t="s">
        <v>423</v>
      </c>
      <c r="D742" s="2" t="s">
        <v>2</v>
      </c>
      <c r="E742" s="2"/>
      <c r="F742" s="2">
        <v>0</v>
      </c>
      <c r="G742" s="2">
        <v>310</v>
      </c>
      <c r="H742" s="2">
        <v>3000</v>
      </c>
      <c r="I742" s="2">
        <v>0</v>
      </c>
      <c r="J742" s="2" t="s">
        <v>1779</v>
      </c>
      <c r="K742" s="2">
        <v>15</v>
      </c>
      <c r="L742" s="2">
        <v>0</v>
      </c>
      <c r="M742" s="2">
        <v>0</v>
      </c>
      <c r="N742" s="2">
        <v>10</v>
      </c>
      <c r="O742" s="2">
        <v>5</v>
      </c>
      <c r="P742" s="2">
        <v>0</v>
      </c>
      <c r="Q742" s="2" t="s">
        <v>3378</v>
      </c>
      <c r="R742" s="2" t="s">
        <v>3378</v>
      </c>
      <c r="S742" s="4">
        <v>44953</v>
      </c>
    </row>
    <row r="743" spans="1:19" ht="12.5" x14ac:dyDescent="0.25">
      <c r="A743" s="14" t="str">
        <f>HYPERLINK("https://gerandofalcoes.my.salesforce.com/0014X00002YggjdQAB", "0014X00002YggjdQAB")</f>
        <v>0014X00002YggjdQAB</v>
      </c>
      <c r="B743" s="2" t="s">
        <v>3085</v>
      </c>
      <c r="C743" s="2" t="s">
        <v>423</v>
      </c>
      <c r="D743" s="2" t="s">
        <v>2</v>
      </c>
      <c r="E743" s="2"/>
      <c r="F743" s="2">
        <v>3</v>
      </c>
      <c r="G743" s="2">
        <v>2</v>
      </c>
      <c r="H743" s="2">
        <v>1000</v>
      </c>
      <c r="I743" s="2">
        <v>30</v>
      </c>
      <c r="J743" s="2" t="s">
        <v>1779</v>
      </c>
      <c r="K743" s="2">
        <v>21</v>
      </c>
      <c r="L743" s="2">
        <v>0</v>
      </c>
      <c r="M743" s="2">
        <v>5</v>
      </c>
      <c r="N743" s="2">
        <v>6</v>
      </c>
      <c r="O743" s="2">
        <v>5</v>
      </c>
      <c r="P743" s="2">
        <v>5</v>
      </c>
      <c r="Q743" s="2" t="s">
        <v>3086</v>
      </c>
      <c r="R743" s="2" t="s">
        <v>3086</v>
      </c>
      <c r="S743" s="4">
        <v>44946</v>
      </c>
    </row>
    <row r="744" spans="1:19" ht="12.5" x14ac:dyDescent="0.25">
      <c r="A744" s="14" t="str">
        <f>HYPERLINK("https://gerandofalcoes.my.salesforce.com/0014X00002YgggqQAB", "0014X00002YgggqQAB")</f>
        <v>0014X00002YgggqQAB</v>
      </c>
      <c r="B744" s="2" t="s">
        <v>3522</v>
      </c>
      <c r="C744" s="2" t="s">
        <v>423</v>
      </c>
      <c r="D744" s="2" t="s">
        <v>2</v>
      </c>
      <c r="E744" s="2"/>
      <c r="F744" s="2">
        <v>0</v>
      </c>
      <c r="G744" s="2">
        <v>3</v>
      </c>
      <c r="H744" s="2">
        <v>30000</v>
      </c>
      <c r="I744" s="2">
        <v>0</v>
      </c>
      <c r="J744" s="2" t="s">
        <v>1779</v>
      </c>
      <c r="K744" s="2">
        <v>18</v>
      </c>
      <c r="L744" s="2">
        <v>0</v>
      </c>
      <c r="M744" s="2">
        <v>0</v>
      </c>
      <c r="N744" s="2">
        <v>8</v>
      </c>
      <c r="O744" s="2">
        <v>10</v>
      </c>
      <c r="P744" s="2">
        <v>0</v>
      </c>
      <c r="Q744" s="2" t="s">
        <v>3523</v>
      </c>
      <c r="R744" s="2" t="s">
        <v>3523</v>
      </c>
      <c r="S744" s="4">
        <v>44958</v>
      </c>
    </row>
    <row r="745" spans="1:19" ht="12.5" x14ac:dyDescent="0.25">
      <c r="A745" s="14" t="str">
        <f>HYPERLINK("https://gerandofalcoes.my.salesforce.com/0014X00002YggqDQAR", "0014X00002YggqDQAR")</f>
        <v>0014X00002YggqDQAR</v>
      </c>
      <c r="B745" s="2" t="s">
        <v>3381</v>
      </c>
      <c r="C745" s="2" t="s">
        <v>423</v>
      </c>
      <c r="D745" s="2" t="s">
        <v>2</v>
      </c>
      <c r="E745" s="2"/>
      <c r="F745" s="2">
        <v>0</v>
      </c>
      <c r="G745" s="2">
        <v>3</v>
      </c>
      <c r="H745" s="2">
        <v>50000</v>
      </c>
      <c r="I745" s="2">
        <v>0</v>
      </c>
      <c r="J745" s="2" t="s">
        <v>1779</v>
      </c>
      <c r="K745" s="2">
        <v>18</v>
      </c>
      <c r="L745" s="2">
        <v>0</v>
      </c>
      <c r="M745" s="2">
        <v>0</v>
      </c>
      <c r="N745" s="2">
        <v>8</v>
      </c>
      <c r="O745" s="2">
        <v>10</v>
      </c>
      <c r="P745" s="2">
        <v>0</v>
      </c>
      <c r="Q745" s="2" t="s">
        <v>3382</v>
      </c>
      <c r="R745" s="2" t="s">
        <v>3383</v>
      </c>
      <c r="S745" s="4">
        <v>44953</v>
      </c>
    </row>
    <row r="746" spans="1:19" ht="12.5" x14ac:dyDescent="0.25">
      <c r="A746" s="14" t="str">
        <f>HYPERLINK("https://gerandofalcoes.my.salesforce.com/0014X00002Yggj3QAB", "0014X00002Yggj3QAB")</f>
        <v>0014X00002Yggj3QAB</v>
      </c>
      <c r="B746" s="2" t="s">
        <v>3357</v>
      </c>
      <c r="C746" s="2" t="s">
        <v>423</v>
      </c>
      <c r="D746" s="2" t="s">
        <v>2</v>
      </c>
      <c r="E746" s="2"/>
      <c r="F746" s="2">
        <v>0</v>
      </c>
      <c r="G746" s="2">
        <v>5</v>
      </c>
      <c r="H746" s="2">
        <v>1000</v>
      </c>
      <c r="I746" s="2">
        <v>80</v>
      </c>
      <c r="J746" s="2" t="s">
        <v>1779</v>
      </c>
      <c r="K746" s="2">
        <v>25</v>
      </c>
      <c r="L746" s="2">
        <v>0</v>
      </c>
      <c r="M746" s="2">
        <v>0</v>
      </c>
      <c r="N746" s="2">
        <v>10</v>
      </c>
      <c r="O746" s="2">
        <v>5</v>
      </c>
      <c r="P746" s="2">
        <v>10</v>
      </c>
      <c r="Q746" s="2" t="s">
        <v>3358</v>
      </c>
      <c r="R746" s="2" t="s">
        <v>3359</v>
      </c>
      <c r="S746" s="4">
        <v>44953</v>
      </c>
    </row>
    <row r="747" spans="1:19" ht="12.5" x14ac:dyDescent="0.25">
      <c r="A747" s="14" t="str">
        <f>HYPERLINK("https://gerandofalcoes.my.salesforce.com/0014X00002YggovQAB", "0014X00002YggovQAB")</f>
        <v>0014X00002YggovQAB</v>
      </c>
      <c r="B747" s="2" t="s">
        <v>3634</v>
      </c>
      <c r="C747" s="2" t="s">
        <v>423</v>
      </c>
      <c r="D747" s="2" t="s">
        <v>2</v>
      </c>
      <c r="E747" s="2"/>
      <c r="F747" s="2">
        <v>0</v>
      </c>
      <c r="G747" s="2">
        <v>3</v>
      </c>
      <c r="H747" s="2">
        <v>13000</v>
      </c>
      <c r="I747" s="2">
        <v>30</v>
      </c>
      <c r="J747" s="2" t="s">
        <v>1779</v>
      </c>
      <c r="K747" s="2">
        <v>18</v>
      </c>
      <c r="L747" s="2">
        <v>0</v>
      </c>
      <c r="M747" s="2">
        <v>0</v>
      </c>
      <c r="N747" s="2">
        <v>8</v>
      </c>
      <c r="O747" s="2">
        <v>5</v>
      </c>
      <c r="P747" s="2">
        <v>5</v>
      </c>
      <c r="Q747" s="2" t="s">
        <v>3635</v>
      </c>
      <c r="R747" s="2" t="s">
        <v>3636</v>
      </c>
      <c r="S747" s="4">
        <v>44963</v>
      </c>
    </row>
    <row r="748" spans="1:19" ht="12.5" x14ac:dyDescent="0.25">
      <c r="A748" s="14" t="str">
        <f>HYPERLINK("https://gerandofalcoes.my.salesforce.com/0014X00002YggkvQAB", "0014X00002YggkvQAB")</f>
        <v>0014X00002YggkvQAB</v>
      </c>
      <c r="B748" s="2" t="s">
        <v>3494</v>
      </c>
      <c r="C748" s="2" t="s">
        <v>423</v>
      </c>
      <c r="D748" s="2" t="s">
        <v>2</v>
      </c>
      <c r="E748" s="2"/>
      <c r="F748" s="2">
        <v>5</v>
      </c>
      <c r="G748" s="2">
        <v>2</v>
      </c>
      <c r="H748" s="2">
        <v>250</v>
      </c>
      <c r="I748" s="2">
        <v>50</v>
      </c>
      <c r="J748" s="2" t="s">
        <v>1779</v>
      </c>
      <c r="K748" s="2">
        <v>21</v>
      </c>
      <c r="L748" s="2">
        <v>0</v>
      </c>
      <c r="M748" s="2">
        <v>5</v>
      </c>
      <c r="N748" s="2">
        <v>6</v>
      </c>
      <c r="O748" s="2">
        <v>5</v>
      </c>
      <c r="P748" s="2">
        <v>5</v>
      </c>
      <c r="Q748" s="2" t="s">
        <v>3495</v>
      </c>
      <c r="R748" s="2" t="s">
        <v>3496</v>
      </c>
      <c r="S748" s="4">
        <v>44958</v>
      </c>
    </row>
    <row r="749" spans="1:19" ht="12.5" x14ac:dyDescent="0.25">
      <c r="A749" s="14" t="str">
        <f>HYPERLINK("https://gerandofalcoes.my.salesforce.com/0014X00002YgggNQAR", "0014X00002YgggNQAR")</f>
        <v>0014X00002YgggNQAR</v>
      </c>
      <c r="B749" s="2" t="s">
        <v>3600</v>
      </c>
      <c r="C749" s="2" t="s">
        <v>423</v>
      </c>
      <c r="D749" s="2" t="s">
        <v>2</v>
      </c>
      <c r="E749" s="2"/>
      <c r="F749" s="2">
        <v>0</v>
      </c>
      <c r="G749" s="2">
        <v>2</v>
      </c>
      <c r="H749" s="2">
        <v>2000</v>
      </c>
      <c r="I749" s="2">
        <v>150</v>
      </c>
      <c r="J749" s="2" t="s">
        <v>1779</v>
      </c>
      <c r="K749" s="2">
        <v>23</v>
      </c>
      <c r="L749" s="2">
        <v>0</v>
      </c>
      <c r="M749" s="2">
        <v>0</v>
      </c>
      <c r="N749" s="2">
        <v>6</v>
      </c>
      <c r="O749" s="2">
        <v>5</v>
      </c>
      <c r="P749" s="2">
        <v>12</v>
      </c>
      <c r="Q749" s="2" t="s">
        <v>3601</v>
      </c>
      <c r="R749" s="2" t="s">
        <v>3602</v>
      </c>
      <c r="S749" s="4">
        <v>44962</v>
      </c>
    </row>
    <row r="750" spans="1:19" ht="12.5" x14ac:dyDescent="0.25">
      <c r="A750" s="14" t="str">
        <f>HYPERLINK("https://gerandofalcoes.my.salesforce.com/0014X00002YggjFQAR", "0014X00002YggjFQAR")</f>
        <v>0014X00002YggjFQAR</v>
      </c>
      <c r="B750" s="2" t="s">
        <v>3686</v>
      </c>
      <c r="C750" s="2" t="s">
        <v>423</v>
      </c>
      <c r="D750" s="2" t="s">
        <v>2</v>
      </c>
      <c r="E750" s="2"/>
      <c r="F750" s="2">
        <v>0</v>
      </c>
      <c r="G750" s="2">
        <v>2</v>
      </c>
      <c r="H750" s="2">
        <v>0</v>
      </c>
      <c r="I750" s="2">
        <v>0</v>
      </c>
      <c r="J750" s="2" t="s">
        <v>1779</v>
      </c>
      <c r="K750" s="2">
        <v>6</v>
      </c>
      <c r="L750" s="2">
        <v>0</v>
      </c>
      <c r="M750" s="2">
        <v>0</v>
      </c>
      <c r="N750" s="2">
        <v>6</v>
      </c>
      <c r="O750" s="2">
        <v>0</v>
      </c>
      <c r="P750" s="2">
        <v>0</v>
      </c>
      <c r="Q750" s="2" t="s">
        <v>3687</v>
      </c>
      <c r="R750" s="2" t="s">
        <v>3688</v>
      </c>
      <c r="S750" s="4">
        <v>44964</v>
      </c>
    </row>
    <row r="751" spans="1:19" ht="12.5" x14ac:dyDescent="0.25">
      <c r="A751" s="14" t="str">
        <f>HYPERLINK("https://gerandofalcoes.my.salesforce.com/0014X00002YggjNQAR", "0014X00002YggjNQAR")</f>
        <v>0014X00002YggjNQAR</v>
      </c>
      <c r="B751" s="2" t="s">
        <v>3885</v>
      </c>
      <c r="C751" s="2" t="s">
        <v>423</v>
      </c>
      <c r="D751" s="2" t="s">
        <v>2</v>
      </c>
      <c r="E751" s="2"/>
      <c r="F751" s="2">
        <v>0</v>
      </c>
      <c r="G751" s="2">
        <v>4</v>
      </c>
      <c r="H751" s="2">
        <v>23397</v>
      </c>
      <c r="I751" s="2">
        <v>21</v>
      </c>
      <c r="J751" s="2" t="s">
        <v>1779</v>
      </c>
      <c r="K751" s="2">
        <v>20</v>
      </c>
      <c r="L751" s="2">
        <v>0</v>
      </c>
      <c r="M751" s="2">
        <v>0</v>
      </c>
      <c r="N751" s="2">
        <v>10</v>
      </c>
      <c r="O751" s="2">
        <v>5</v>
      </c>
      <c r="P751" s="2">
        <v>5</v>
      </c>
      <c r="Q751" s="2" t="s">
        <v>3886</v>
      </c>
      <c r="R751" s="2" t="s">
        <v>3886</v>
      </c>
      <c r="S751" s="4">
        <v>45112</v>
      </c>
    </row>
    <row r="752" spans="1:19" ht="12.5" x14ac:dyDescent="0.25">
      <c r="A752" s="14" t="str">
        <f>HYPERLINK("https://gerandofalcoes.my.salesforce.com/0014X00002YggpsQAB", "0014X00002YggpsQAB")</f>
        <v>0014X00002YggpsQAB</v>
      </c>
      <c r="B752" s="2" t="s">
        <v>3291</v>
      </c>
      <c r="C752" s="2" t="s">
        <v>423</v>
      </c>
      <c r="D752" s="2" t="s">
        <v>2</v>
      </c>
      <c r="E752" s="2"/>
      <c r="F752" s="2">
        <v>3</v>
      </c>
      <c r="G752" s="2">
        <v>2</v>
      </c>
      <c r="H752" s="2">
        <v>1000</v>
      </c>
      <c r="I752" s="2">
        <v>1</v>
      </c>
      <c r="J752" s="2" t="s">
        <v>1779</v>
      </c>
      <c r="K752" s="2">
        <v>21</v>
      </c>
      <c r="L752" s="2">
        <v>0</v>
      </c>
      <c r="M752" s="2">
        <v>5</v>
      </c>
      <c r="N752" s="2">
        <v>6</v>
      </c>
      <c r="O752" s="2">
        <v>5</v>
      </c>
      <c r="P752" s="2">
        <v>5</v>
      </c>
      <c r="Q752" s="2" t="s">
        <v>3292</v>
      </c>
      <c r="R752" s="2" t="s">
        <v>3293</v>
      </c>
      <c r="S752" s="4">
        <v>44952</v>
      </c>
    </row>
    <row r="753" spans="1:19" ht="12.5" x14ac:dyDescent="0.25">
      <c r="A753" s="14" t="str">
        <f>HYPERLINK("https://gerandofalcoes.my.salesforce.com/0014X00002YggpfQAB", "0014X00002YggpfQAB")</f>
        <v>0014X00002YggpfQAB</v>
      </c>
      <c r="B753" s="2" t="s">
        <v>3877</v>
      </c>
      <c r="C753" s="2" t="s">
        <v>423</v>
      </c>
      <c r="D753" s="2" t="s">
        <v>2</v>
      </c>
      <c r="E753" s="2"/>
      <c r="F753" s="2">
        <v>0</v>
      </c>
      <c r="G753" s="2">
        <v>2</v>
      </c>
      <c r="H753" s="2">
        <v>2000</v>
      </c>
      <c r="I753" s="2">
        <v>50</v>
      </c>
      <c r="J753" s="2" t="s">
        <v>1779</v>
      </c>
      <c r="K753" s="2">
        <v>16</v>
      </c>
      <c r="L753" s="2">
        <v>0</v>
      </c>
      <c r="M753" s="2">
        <v>0</v>
      </c>
      <c r="N753" s="2">
        <v>6</v>
      </c>
      <c r="O753" s="2">
        <v>5</v>
      </c>
      <c r="P753" s="2">
        <v>5</v>
      </c>
      <c r="Q753" s="2" t="s">
        <v>3878</v>
      </c>
      <c r="R753" s="2" t="s">
        <v>3879</v>
      </c>
      <c r="S753" s="4">
        <v>45112</v>
      </c>
    </row>
    <row r="754" spans="1:19" ht="12.5" x14ac:dyDescent="0.25">
      <c r="A754" s="14" t="str">
        <f>HYPERLINK("https://gerandofalcoes.my.salesforce.com/0014X00002UGscXQAT", "0014X00002UGscXQAT")</f>
        <v>0014X00002UGscXQAT</v>
      </c>
      <c r="B754" s="2" t="s">
        <v>2995</v>
      </c>
      <c r="C754" s="2" t="s">
        <v>1800</v>
      </c>
      <c r="D754" s="2" t="s">
        <v>2</v>
      </c>
      <c r="E754" s="2"/>
      <c r="F754" s="2">
        <v>2</v>
      </c>
      <c r="G754" s="2">
        <v>2</v>
      </c>
      <c r="H754" s="2">
        <v>1000</v>
      </c>
      <c r="I754" s="2">
        <v>0</v>
      </c>
      <c r="J754" s="2" t="s">
        <v>1779</v>
      </c>
      <c r="K754" s="2">
        <v>16</v>
      </c>
      <c r="L754" s="2">
        <v>0</v>
      </c>
      <c r="M754" s="2">
        <v>5</v>
      </c>
      <c r="N754" s="2">
        <v>6</v>
      </c>
      <c r="O754" s="2">
        <v>5</v>
      </c>
      <c r="P754" s="2">
        <v>0</v>
      </c>
      <c r="Q754" s="2" t="s">
        <v>2996</v>
      </c>
      <c r="R754" s="2" t="s">
        <v>2997</v>
      </c>
      <c r="S754" s="4">
        <v>44837</v>
      </c>
    </row>
    <row r="755" spans="1:19" ht="12.5" x14ac:dyDescent="0.25">
      <c r="A755" s="14" t="str">
        <f>HYPERLINK("https://gerandofalcoes.my.salesforce.com/0014X00002YggjKQAR", "0014X00002YggjKQAR")</f>
        <v>0014X00002YggjKQAR</v>
      </c>
      <c r="B755" s="2" t="s">
        <v>3133</v>
      </c>
      <c r="C755" s="2" t="s">
        <v>423</v>
      </c>
      <c r="D755" s="2" t="s">
        <v>2</v>
      </c>
      <c r="E755" s="2"/>
      <c r="F755" s="2">
        <v>4</v>
      </c>
      <c r="G755" s="2">
        <v>3</v>
      </c>
      <c r="H755" s="2">
        <v>18000</v>
      </c>
      <c r="I755" s="2">
        <v>50</v>
      </c>
      <c r="J755" s="2" t="s">
        <v>1779</v>
      </c>
      <c r="K755" s="2">
        <v>23</v>
      </c>
      <c r="L755" s="2">
        <v>0</v>
      </c>
      <c r="M755" s="2">
        <v>5</v>
      </c>
      <c r="N755" s="2">
        <v>8</v>
      </c>
      <c r="O755" s="2">
        <v>5</v>
      </c>
      <c r="P755" s="2">
        <v>5</v>
      </c>
      <c r="Q755" s="2" t="s">
        <v>3134</v>
      </c>
      <c r="R755" s="2" t="s">
        <v>3135</v>
      </c>
      <c r="S755" s="4">
        <v>44949</v>
      </c>
    </row>
    <row r="756" spans="1:19" ht="12.5" x14ac:dyDescent="0.25">
      <c r="A756" s="14" t="str">
        <f>HYPERLINK("https://gerandofalcoes.my.salesforce.com/0014X00002YgggjQAB", "0014X00002YgggjQAB")</f>
        <v>0014X00002YgggjQAB</v>
      </c>
      <c r="B756" s="2" t="s">
        <v>3481</v>
      </c>
      <c r="C756" s="2" t="s">
        <v>423</v>
      </c>
      <c r="D756" s="2" t="s">
        <v>2</v>
      </c>
      <c r="E756" s="2"/>
      <c r="F756" s="2">
        <v>0</v>
      </c>
      <c r="G756" s="2">
        <v>2</v>
      </c>
      <c r="H756" s="2">
        <v>200000</v>
      </c>
      <c r="I756" s="2">
        <v>198</v>
      </c>
      <c r="J756" s="2" t="s">
        <v>1779</v>
      </c>
      <c r="K756" s="2">
        <v>33</v>
      </c>
      <c r="L756" s="2">
        <v>0</v>
      </c>
      <c r="M756" s="2">
        <v>0</v>
      </c>
      <c r="N756" s="2">
        <v>6</v>
      </c>
      <c r="O756" s="2">
        <v>15</v>
      </c>
      <c r="P756" s="2">
        <v>12</v>
      </c>
      <c r="Q756" s="2" t="s">
        <v>3482</v>
      </c>
      <c r="R756" s="2" t="s">
        <v>3483</v>
      </c>
      <c r="S756" s="4">
        <v>44958</v>
      </c>
    </row>
    <row r="757" spans="1:19" ht="12.5" x14ac:dyDescent="0.25">
      <c r="A757" s="14" t="str">
        <f>HYPERLINK("https://gerandofalcoes.my.salesforce.com/0014X00002YgglFQAR", "0014X00002YgglFQAR")</f>
        <v>0014X00002YgglFQAR</v>
      </c>
      <c r="B757" s="2" t="s">
        <v>3087</v>
      </c>
      <c r="C757" s="2" t="s">
        <v>423</v>
      </c>
      <c r="D757" s="2" t="s">
        <v>2</v>
      </c>
      <c r="E757" s="2"/>
      <c r="F757" s="2">
        <v>0</v>
      </c>
      <c r="G757" s="2">
        <v>5</v>
      </c>
      <c r="H757" s="2">
        <v>0</v>
      </c>
      <c r="I757" s="2">
        <v>0</v>
      </c>
      <c r="J757" s="2" t="s">
        <v>1779</v>
      </c>
      <c r="K757" s="2">
        <v>10</v>
      </c>
      <c r="L757" s="2">
        <v>0</v>
      </c>
      <c r="M757" s="2">
        <v>0</v>
      </c>
      <c r="N757" s="2">
        <v>10</v>
      </c>
      <c r="O757" s="2">
        <v>0</v>
      </c>
      <c r="P757" s="2">
        <v>0</v>
      </c>
      <c r="Q757" s="2" t="s">
        <v>3088</v>
      </c>
      <c r="R757" s="2" t="s">
        <v>3089</v>
      </c>
      <c r="S757" s="4">
        <v>44946</v>
      </c>
    </row>
    <row r="758" spans="1:19" ht="12.5" x14ac:dyDescent="0.25">
      <c r="A758" s="14" t="str">
        <f>HYPERLINK("https://gerandofalcoes.my.salesforce.com/0014P00003SGWPjQAP", "0014P00003SGWPjQAP")</f>
        <v>0014P00003SGWPjQAP</v>
      </c>
      <c r="B758" s="2" t="s">
        <v>2986</v>
      </c>
      <c r="C758" s="2" t="s">
        <v>423</v>
      </c>
      <c r="D758" s="2" t="s">
        <v>2</v>
      </c>
      <c r="E758" s="2"/>
      <c r="F758" s="2">
        <v>0</v>
      </c>
      <c r="G758" s="2">
        <v>0</v>
      </c>
      <c r="H758" s="2">
        <v>0</v>
      </c>
      <c r="I758" s="2">
        <v>250</v>
      </c>
      <c r="J758" s="2" t="s">
        <v>1779</v>
      </c>
      <c r="K758" s="2">
        <v>12</v>
      </c>
      <c r="L758" s="2">
        <v>0</v>
      </c>
      <c r="M758" s="2">
        <v>0</v>
      </c>
      <c r="N758" s="2">
        <v>0</v>
      </c>
      <c r="O758" s="2">
        <v>0</v>
      </c>
      <c r="P758" s="2">
        <v>12</v>
      </c>
      <c r="Q758" s="2" t="s">
        <v>303</v>
      </c>
      <c r="R758" s="2" t="s">
        <v>2987</v>
      </c>
      <c r="S758" s="4">
        <v>44837</v>
      </c>
    </row>
    <row r="759" spans="1:19" ht="12.5" x14ac:dyDescent="0.25">
      <c r="A759" s="14" t="str">
        <f>HYPERLINK("https://gerandofalcoes.my.salesforce.com/0014X00002YggnfQAB", "0014X00002YggnfQAB")</f>
        <v>0014X00002YggnfQAB</v>
      </c>
      <c r="B759" s="2" t="s">
        <v>3166</v>
      </c>
      <c r="C759" s="2" t="s">
        <v>423</v>
      </c>
      <c r="D759" s="2" t="s">
        <v>2</v>
      </c>
      <c r="E759" s="2"/>
      <c r="F759" s="2">
        <v>1</v>
      </c>
      <c r="G759" s="2">
        <v>4</v>
      </c>
      <c r="H759" s="2">
        <v>4000</v>
      </c>
      <c r="I759" s="2">
        <v>90</v>
      </c>
      <c r="J759" s="2" t="s">
        <v>1779</v>
      </c>
      <c r="K759" s="2">
        <v>30</v>
      </c>
      <c r="L759" s="2">
        <v>0</v>
      </c>
      <c r="M759" s="2">
        <v>5</v>
      </c>
      <c r="N759" s="2">
        <v>10</v>
      </c>
      <c r="O759" s="2">
        <v>5</v>
      </c>
      <c r="P759" s="2">
        <v>10</v>
      </c>
      <c r="Q759" s="2" t="s">
        <v>3167</v>
      </c>
      <c r="R759" s="2" t="s">
        <v>3167</v>
      </c>
      <c r="S759" s="4">
        <v>44950</v>
      </c>
    </row>
    <row r="760" spans="1:19" ht="12.5" x14ac:dyDescent="0.25">
      <c r="A760" s="14" t="str">
        <f>HYPERLINK("https://gerandofalcoes.my.salesforce.com/0014X00002YgggVQAR", "0014X00002YgggVQAR")</f>
        <v>0014X00002YgggVQAR</v>
      </c>
      <c r="B760" s="2" t="s">
        <v>3731</v>
      </c>
      <c r="C760" s="2" t="s">
        <v>423</v>
      </c>
      <c r="D760" s="2" t="s">
        <v>2</v>
      </c>
      <c r="E760" s="2"/>
      <c r="F760" s="2">
        <v>2</v>
      </c>
      <c r="G760" s="2">
        <v>2</v>
      </c>
      <c r="H760" s="2">
        <v>150000</v>
      </c>
      <c r="I760" s="2">
        <v>250</v>
      </c>
      <c r="J760" s="2" t="s">
        <v>1779</v>
      </c>
      <c r="K760" s="2">
        <v>38</v>
      </c>
      <c r="L760" s="2">
        <v>0</v>
      </c>
      <c r="M760" s="2">
        <v>5</v>
      </c>
      <c r="N760" s="2">
        <v>6</v>
      </c>
      <c r="O760" s="2">
        <v>15</v>
      </c>
      <c r="P760" s="2">
        <v>12</v>
      </c>
      <c r="Q760" s="2" t="s">
        <v>3732</v>
      </c>
      <c r="R760" s="2" t="s">
        <v>3732</v>
      </c>
      <c r="S760" s="4">
        <v>44967</v>
      </c>
    </row>
    <row r="761" spans="1:19" ht="12.5" x14ac:dyDescent="0.25">
      <c r="A761" s="14" t="str">
        <f>HYPERLINK("https://gerandofalcoes.my.salesforce.com/0014X00002YggjZQAR", "0014X00002YggjZQAR")</f>
        <v>0014X00002YggjZQAR</v>
      </c>
      <c r="B761" s="2" t="s">
        <v>3281</v>
      </c>
      <c r="C761" s="2" t="s">
        <v>423</v>
      </c>
      <c r="D761" s="2" t="s">
        <v>2</v>
      </c>
      <c r="E761" s="2"/>
      <c r="F761" s="2">
        <v>0</v>
      </c>
      <c r="G761" s="2">
        <v>3</v>
      </c>
      <c r="H761" s="2">
        <v>9000</v>
      </c>
      <c r="I761" s="2">
        <v>75</v>
      </c>
      <c r="J761" s="2" t="s">
        <v>1779</v>
      </c>
      <c r="K761" s="2">
        <v>18</v>
      </c>
      <c r="L761" s="2">
        <v>0</v>
      </c>
      <c r="M761" s="2">
        <v>0</v>
      </c>
      <c r="N761" s="2">
        <v>8</v>
      </c>
      <c r="O761" s="2">
        <v>5</v>
      </c>
      <c r="P761" s="2">
        <v>5</v>
      </c>
      <c r="Q761" s="2" t="s">
        <v>3282</v>
      </c>
      <c r="R761" s="2" t="s">
        <v>3282</v>
      </c>
      <c r="S761" s="4">
        <v>44952</v>
      </c>
    </row>
    <row r="762" spans="1:19" ht="12.5" x14ac:dyDescent="0.25">
      <c r="A762" s="14" t="str">
        <f>HYPERLINK("https://gerandofalcoes.my.salesforce.com/0014X00002YggprQAB", "0014X00002YggprQAB")</f>
        <v>0014X00002YggprQAB</v>
      </c>
      <c r="B762" s="2" t="s">
        <v>3168</v>
      </c>
      <c r="C762" s="2" t="s">
        <v>423</v>
      </c>
      <c r="D762" s="2" t="s">
        <v>2</v>
      </c>
      <c r="E762" s="2"/>
      <c r="F762" s="2">
        <v>0</v>
      </c>
      <c r="G762" s="2">
        <v>2</v>
      </c>
      <c r="H762" s="2">
        <v>300</v>
      </c>
      <c r="I762" s="2">
        <v>60</v>
      </c>
      <c r="J762" s="2" t="s">
        <v>1779</v>
      </c>
      <c r="K762" s="2">
        <v>16</v>
      </c>
      <c r="L762" s="2">
        <v>0</v>
      </c>
      <c r="M762" s="2">
        <v>0</v>
      </c>
      <c r="N762" s="2">
        <v>6</v>
      </c>
      <c r="O762" s="2">
        <v>5</v>
      </c>
      <c r="P762" s="2">
        <v>5</v>
      </c>
      <c r="Q762" s="2" t="s">
        <v>3169</v>
      </c>
      <c r="R762" s="2" t="s">
        <v>3170</v>
      </c>
      <c r="S762" s="4">
        <v>44950</v>
      </c>
    </row>
    <row r="763" spans="1:19" ht="12.5" x14ac:dyDescent="0.25">
      <c r="A763" s="14" t="str">
        <f>HYPERLINK("https://gerandofalcoes.my.salesforce.com/0014X00002YggqpQAB", "0014X00002YggqpQAB")</f>
        <v>0014X00002YggqpQAB</v>
      </c>
      <c r="B763" s="2" t="s">
        <v>3626</v>
      </c>
      <c r="C763" s="2" t="s">
        <v>423</v>
      </c>
      <c r="D763" s="2" t="s">
        <v>2</v>
      </c>
      <c r="E763" s="2"/>
      <c r="F763" s="2">
        <v>0</v>
      </c>
      <c r="G763" s="2">
        <v>2</v>
      </c>
      <c r="H763" s="2">
        <v>146129</v>
      </c>
      <c r="I763" s="2">
        <v>250</v>
      </c>
      <c r="J763" s="2" t="s">
        <v>1779</v>
      </c>
      <c r="K763" s="2">
        <v>33</v>
      </c>
      <c r="L763" s="2">
        <v>0</v>
      </c>
      <c r="M763" s="2">
        <v>0</v>
      </c>
      <c r="N763" s="2">
        <v>6</v>
      </c>
      <c r="O763" s="2">
        <v>15</v>
      </c>
      <c r="P763" s="2">
        <v>12</v>
      </c>
      <c r="Q763" s="2" t="s">
        <v>3627</v>
      </c>
      <c r="R763" s="2" t="s">
        <v>2993</v>
      </c>
      <c r="S763" s="4">
        <v>44963</v>
      </c>
    </row>
    <row r="764" spans="1:19" ht="12.5" x14ac:dyDescent="0.25">
      <c r="A764" s="14" t="str">
        <f>HYPERLINK("https://gerandofalcoes.my.salesforce.com/0014X00002YggjvQAB", "0014X00002YggjvQAB")</f>
        <v>0014X00002YggjvQAB</v>
      </c>
      <c r="B764" s="2" t="s">
        <v>3365</v>
      </c>
      <c r="C764" s="2" t="s">
        <v>423</v>
      </c>
      <c r="D764" s="2" t="s">
        <v>2</v>
      </c>
      <c r="E764" s="2"/>
      <c r="F764" s="2">
        <v>6</v>
      </c>
      <c r="G764" s="2">
        <v>2</v>
      </c>
      <c r="H764" s="2">
        <v>13000</v>
      </c>
      <c r="I764" s="2">
        <v>60</v>
      </c>
      <c r="J764" s="2" t="s">
        <v>1779</v>
      </c>
      <c r="K764" s="2">
        <v>26</v>
      </c>
      <c r="L764" s="2">
        <v>0</v>
      </c>
      <c r="M764" s="2">
        <v>10</v>
      </c>
      <c r="N764" s="2">
        <v>6</v>
      </c>
      <c r="O764" s="2">
        <v>5</v>
      </c>
      <c r="P764" s="2">
        <v>5</v>
      </c>
      <c r="Q764" s="2" t="s">
        <v>3366</v>
      </c>
      <c r="R764" s="2" t="s">
        <v>3366</v>
      </c>
      <c r="S764" s="4">
        <v>44953</v>
      </c>
    </row>
    <row r="765" spans="1:19" ht="12.5" x14ac:dyDescent="0.25">
      <c r="A765" s="14" t="str">
        <f>HYPERLINK("https://gerandofalcoes.my.salesforce.com/0014X00002Yggh6QAB", "0014X00002Yggh6QAB")</f>
        <v>0014X00002Yggh6QAB</v>
      </c>
      <c r="B765" s="2" t="s">
        <v>3122</v>
      </c>
      <c r="C765" s="2" t="s">
        <v>423</v>
      </c>
      <c r="D765" s="2" t="s">
        <v>2</v>
      </c>
      <c r="E765" s="2"/>
      <c r="F765" s="2">
        <v>6</v>
      </c>
      <c r="G765" s="2">
        <v>2</v>
      </c>
      <c r="H765" s="2">
        <v>481000</v>
      </c>
      <c r="I765" s="2">
        <v>200</v>
      </c>
      <c r="J765" s="2" t="s">
        <v>1671</v>
      </c>
      <c r="K765" s="2">
        <v>48</v>
      </c>
      <c r="L765" s="2">
        <v>0</v>
      </c>
      <c r="M765" s="2">
        <v>10</v>
      </c>
      <c r="N765" s="2">
        <v>6</v>
      </c>
      <c r="O765" s="2">
        <v>20</v>
      </c>
      <c r="P765" s="2">
        <v>12</v>
      </c>
      <c r="Q765" s="2" t="s">
        <v>3123</v>
      </c>
      <c r="R765" s="2" t="s">
        <v>3124</v>
      </c>
      <c r="S765" s="4">
        <v>44949</v>
      </c>
    </row>
    <row r="766" spans="1:19" ht="12.5" x14ac:dyDescent="0.25">
      <c r="A766" s="14" t="str">
        <f>HYPERLINK("https://gerandofalcoes.my.salesforce.com/0014X00002YggqLQAR", "0014X00002YggqLQAR")</f>
        <v>0014X00002YggqLQAR</v>
      </c>
      <c r="B766" s="2" t="s">
        <v>3500</v>
      </c>
      <c r="C766" s="2" t="s">
        <v>423</v>
      </c>
      <c r="D766" s="2" t="s">
        <v>2</v>
      </c>
      <c r="E766" s="2"/>
      <c r="F766" s="2">
        <v>0</v>
      </c>
      <c r="G766" s="2">
        <v>2</v>
      </c>
      <c r="H766" s="2">
        <v>400</v>
      </c>
      <c r="I766" s="2">
        <v>30</v>
      </c>
      <c r="J766" s="2" t="s">
        <v>1779</v>
      </c>
      <c r="K766" s="2">
        <v>16</v>
      </c>
      <c r="L766" s="2">
        <v>0</v>
      </c>
      <c r="M766" s="2">
        <v>0</v>
      </c>
      <c r="N766" s="2">
        <v>6</v>
      </c>
      <c r="O766" s="2">
        <v>5</v>
      </c>
      <c r="P766" s="2">
        <v>5</v>
      </c>
      <c r="Q766" s="2" t="s">
        <v>3501</v>
      </c>
      <c r="R766" s="2" t="s">
        <v>3502</v>
      </c>
      <c r="S766" s="4">
        <v>44958</v>
      </c>
    </row>
    <row r="767" spans="1:19" ht="12.5" x14ac:dyDescent="0.25">
      <c r="A767" s="14" t="str">
        <f>HYPERLINK("https://gerandofalcoes.my.salesforce.com/0014X00002Yggh4QAB", "0014X00002Yggh4QAB")</f>
        <v>0014X00002Yggh4QAB</v>
      </c>
      <c r="B767" s="2" t="s">
        <v>3505</v>
      </c>
      <c r="C767" s="2" t="s">
        <v>423</v>
      </c>
      <c r="D767" s="2" t="s">
        <v>2</v>
      </c>
      <c r="E767" s="2"/>
      <c r="F767" s="2">
        <v>0</v>
      </c>
      <c r="G767" s="2">
        <v>2</v>
      </c>
      <c r="H767" s="2">
        <v>45000</v>
      </c>
      <c r="I767" s="2">
        <v>20</v>
      </c>
      <c r="J767" s="2" t="s">
        <v>1779</v>
      </c>
      <c r="K767" s="2">
        <v>21</v>
      </c>
      <c r="L767" s="2">
        <v>0</v>
      </c>
      <c r="M767" s="2">
        <v>0</v>
      </c>
      <c r="N767" s="2">
        <v>6</v>
      </c>
      <c r="O767" s="2">
        <v>10</v>
      </c>
      <c r="P767" s="2">
        <v>5</v>
      </c>
      <c r="Q767" s="2" t="s">
        <v>3506</v>
      </c>
      <c r="R767" s="2" t="s">
        <v>3507</v>
      </c>
      <c r="S767" s="4">
        <v>44958</v>
      </c>
    </row>
    <row r="768" spans="1:19" ht="12.5" x14ac:dyDescent="0.25">
      <c r="A768" s="14" t="str">
        <f>HYPERLINK("https://gerandofalcoes.my.salesforce.com/0014X00002YggpyQAB", "0014X00002YggpyQAB")</f>
        <v>0014X00002YggpyQAB</v>
      </c>
      <c r="B768" s="2" t="s">
        <v>3740</v>
      </c>
      <c r="C768" s="2" t="s">
        <v>423</v>
      </c>
      <c r="D768" s="2" t="s">
        <v>2</v>
      </c>
      <c r="E768" s="2"/>
      <c r="F768" s="2">
        <v>3</v>
      </c>
      <c r="G768" s="2">
        <v>3</v>
      </c>
      <c r="H768" s="2">
        <v>7000</v>
      </c>
      <c r="I768" s="2">
        <v>100</v>
      </c>
      <c r="J768" s="2" t="s">
        <v>1779</v>
      </c>
      <c r="K768" s="2">
        <v>28</v>
      </c>
      <c r="L768" s="2">
        <v>0</v>
      </c>
      <c r="M768" s="2">
        <v>5</v>
      </c>
      <c r="N768" s="2">
        <v>8</v>
      </c>
      <c r="O768" s="2">
        <v>5</v>
      </c>
      <c r="P768" s="2">
        <v>10</v>
      </c>
      <c r="Q768" s="2" t="s">
        <v>3741</v>
      </c>
      <c r="R768" s="2" t="s">
        <v>3742</v>
      </c>
      <c r="S768" s="4">
        <v>44967</v>
      </c>
    </row>
    <row r="769" spans="1:19" ht="12.5" x14ac:dyDescent="0.25">
      <c r="A769" s="14" t="str">
        <f>HYPERLINK("https://gerandofalcoes.my.salesforce.com/0014X00002YggnzQAB", "0014X00002YggnzQAB")</f>
        <v>0014X00002YggnzQAB</v>
      </c>
      <c r="B769" s="2" t="s">
        <v>3228</v>
      </c>
      <c r="C769" s="2" t="s">
        <v>423</v>
      </c>
      <c r="D769" s="2" t="s">
        <v>2</v>
      </c>
      <c r="E769" s="2"/>
      <c r="F769" s="2">
        <v>3</v>
      </c>
      <c r="G769" s="2">
        <v>3</v>
      </c>
      <c r="H769" s="2">
        <v>19000</v>
      </c>
      <c r="I769" s="2">
        <v>25</v>
      </c>
      <c r="J769" s="2" t="s">
        <v>1779</v>
      </c>
      <c r="K769" s="2">
        <v>23</v>
      </c>
      <c r="L769" s="2">
        <v>0</v>
      </c>
      <c r="M769" s="2">
        <v>5</v>
      </c>
      <c r="N769" s="2">
        <v>8</v>
      </c>
      <c r="O769" s="2">
        <v>5</v>
      </c>
      <c r="P769" s="2">
        <v>5</v>
      </c>
      <c r="Q769" s="2" t="s">
        <v>3229</v>
      </c>
      <c r="R769" s="2" t="s">
        <v>3229</v>
      </c>
      <c r="S769" s="4">
        <v>44951</v>
      </c>
    </row>
    <row r="770" spans="1:19" ht="12.5" x14ac:dyDescent="0.25">
      <c r="A770" s="14" t="str">
        <f>HYPERLINK("https://gerandofalcoes.my.salesforce.com/0014X00002YggqKQAR", "0014X00002YggqKQAR")</f>
        <v>0014X00002YggqKQAR</v>
      </c>
      <c r="B770" s="2" t="s">
        <v>3372</v>
      </c>
      <c r="C770" s="2" t="s">
        <v>423</v>
      </c>
      <c r="D770" s="2" t="s">
        <v>2</v>
      </c>
      <c r="E770" s="2"/>
      <c r="F770" s="2">
        <v>0</v>
      </c>
      <c r="G770" s="2">
        <v>4</v>
      </c>
      <c r="H770" s="2">
        <v>11000</v>
      </c>
      <c r="I770" s="2">
        <v>10</v>
      </c>
      <c r="J770" s="2" t="s">
        <v>1779</v>
      </c>
      <c r="K770" s="2">
        <v>20</v>
      </c>
      <c r="L770" s="2">
        <v>0</v>
      </c>
      <c r="M770" s="2">
        <v>0</v>
      </c>
      <c r="N770" s="2">
        <v>10</v>
      </c>
      <c r="O770" s="2">
        <v>5</v>
      </c>
      <c r="P770" s="2">
        <v>5</v>
      </c>
      <c r="Q770" s="2" t="s">
        <v>3373</v>
      </c>
      <c r="R770" s="2" t="s">
        <v>3374</v>
      </c>
      <c r="S770" s="4">
        <v>44953</v>
      </c>
    </row>
    <row r="771" spans="1:19" ht="12.5" x14ac:dyDescent="0.25">
      <c r="A771" s="14" t="str">
        <f>HYPERLINK("https://gerandofalcoes.my.salesforce.com/0014X00002YgbkPQAR", "0014X00002YgbkPQAR")</f>
        <v>0014X00002YgbkPQAR</v>
      </c>
      <c r="B771" s="2" t="s">
        <v>3515</v>
      </c>
      <c r="C771" s="2" t="s">
        <v>423</v>
      </c>
      <c r="D771" s="2" t="s">
        <v>2</v>
      </c>
      <c r="E771" s="2"/>
      <c r="F771" s="2">
        <v>0</v>
      </c>
      <c r="G771" s="2">
        <v>0</v>
      </c>
      <c r="H771" s="2">
        <v>0</v>
      </c>
      <c r="I771" s="2">
        <v>0</v>
      </c>
      <c r="J771" s="2" t="s">
        <v>1779</v>
      </c>
      <c r="K771" s="2">
        <v>0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 t="s">
        <v>3516</v>
      </c>
      <c r="R771" s="2" t="s">
        <v>3516</v>
      </c>
      <c r="S771" s="4">
        <v>44958</v>
      </c>
    </row>
    <row r="772" spans="1:19" ht="12.5" x14ac:dyDescent="0.25">
      <c r="A772" s="14" t="str">
        <f>HYPERLINK("https://gerandofalcoes.my.salesforce.com/0014X00002YggkfQAB", "0014X00002YggkfQAB")</f>
        <v>0014X00002YggkfQAB</v>
      </c>
      <c r="B772" s="2" t="s">
        <v>3006</v>
      </c>
      <c r="C772" s="2" t="s">
        <v>423</v>
      </c>
      <c r="D772" s="2" t="s">
        <v>2</v>
      </c>
      <c r="E772" s="2"/>
      <c r="F772" s="2">
        <v>8</v>
      </c>
      <c r="G772" s="2">
        <v>2</v>
      </c>
      <c r="H772" s="2">
        <v>700</v>
      </c>
      <c r="I772" s="2">
        <v>400</v>
      </c>
      <c r="J772" s="2" t="s">
        <v>1779</v>
      </c>
      <c r="K772" s="2">
        <v>36</v>
      </c>
      <c r="L772" s="2">
        <v>0</v>
      </c>
      <c r="M772" s="2">
        <v>10</v>
      </c>
      <c r="N772" s="2">
        <v>6</v>
      </c>
      <c r="O772" s="2">
        <v>5</v>
      </c>
      <c r="P772" s="2">
        <v>15</v>
      </c>
      <c r="Q772" s="2" t="s">
        <v>3007</v>
      </c>
      <c r="R772" s="2" t="s">
        <v>3007</v>
      </c>
      <c r="S772" s="4">
        <v>44944</v>
      </c>
    </row>
    <row r="773" spans="1:19" ht="12.5" x14ac:dyDescent="0.25">
      <c r="A773" s="14" t="str">
        <f>HYPERLINK("https://gerandofalcoes.my.salesforce.com/0014X00002YggicQAB", "0014X00002YggicQAB")</f>
        <v>0014X00002YggicQAB</v>
      </c>
      <c r="B773" s="2" t="s">
        <v>3880</v>
      </c>
      <c r="C773" s="2" t="s">
        <v>423</v>
      </c>
      <c r="D773" s="2" t="s">
        <v>2</v>
      </c>
      <c r="E773" s="2"/>
      <c r="F773" s="2">
        <v>0</v>
      </c>
      <c r="G773" s="2">
        <v>2</v>
      </c>
      <c r="H773" s="2">
        <v>1000</v>
      </c>
      <c r="I773" s="2">
        <v>50</v>
      </c>
      <c r="J773" s="2" t="s">
        <v>1779</v>
      </c>
      <c r="K773" s="2">
        <v>16</v>
      </c>
      <c r="L773" s="2">
        <v>0</v>
      </c>
      <c r="M773" s="2">
        <v>0</v>
      </c>
      <c r="N773" s="2">
        <v>6</v>
      </c>
      <c r="O773" s="2">
        <v>5</v>
      </c>
      <c r="P773" s="2">
        <v>5</v>
      </c>
      <c r="Q773" s="2" t="s">
        <v>3881</v>
      </c>
      <c r="R773" s="2" t="s">
        <v>3882</v>
      </c>
      <c r="S773" s="4">
        <v>45112</v>
      </c>
    </row>
    <row r="774" spans="1:19" ht="12.5" x14ac:dyDescent="0.25">
      <c r="A774" s="14" t="str">
        <f>HYPERLINK("https://gerandofalcoes.my.salesforce.com/0014X00002YgglrQAB", "0014X00002YgglrQAB")</f>
        <v>0014X00002YgglrQAB</v>
      </c>
      <c r="B774" s="2" t="s">
        <v>3384</v>
      </c>
      <c r="C774" s="2" t="s">
        <v>423</v>
      </c>
      <c r="D774" s="2" t="s">
        <v>2</v>
      </c>
      <c r="E774" s="2"/>
      <c r="F774" s="2">
        <v>0</v>
      </c>
      <c r="G774" s="2">
        <v>5</v>
      </c>
      <c r="H774" s="2">
        <v>10000</v>
      </c>
      <c r="I774" s="2">
        <v>0</v>
      </c>
      <c r="J774" s="2" t="s">
        <v>1779</v>
      </c>
      <c r="K774" s="2">
        <v>15</v>
      </c>
      <c r="L774" s="2">
        <v>0</v>
      </c>
      <c r="M774" s="2">
        <v>0</v>
      </c>
      <c r="N774" s="2">
        <v>10</v>
      </c>
      <c r="O774" s="2">
        <v>5</v>
      </c>
      <c r="P774" s="2">
        <v>0</v>
      </c>
      <c r="Q774" s="2" t="s">
        <v>3385</v>
      </c>
      <c r="R774" s="2" t="s">
        <v>3386</v>
      </c>
      <c r="S774" s="4">
        <v>44953</v>
      </c>
    </row>
    <row r="775" spans="1:19" ht="12.5" x14ac:dyDescent="0.25">
      <c r="A775" s="14" t="str">
        <f>HYPERLINK("https://gerandofalcoes.my.salesforce.com/0014X00002Yggi3QAB", "0014X00002Yggi3QAB")</f>
        <v>0014X00002Yggi3QAB</v>
      </c>
      <c r="B775" s="2" t="s">
        <v>3558</v>
      </c>
      <c r="C775" s="2" t="s">
        <v>423</v>
      </c>
      <c r="D775" s="2" t="s">
        <v>2</v>
      </c>
      <c r="E775" s="2"/>
      <c r="F775" s="2">
        <v>0</v>
      </c>
      <c r="G775" s="2">
        <v>2</v>
      </c>
      <c r="H775" s="2">
        <v>3000</v>
      </c>
      <c r="I775" s="2">
        <v>0</v>
      </c>
      <c r="J775" s="2" t="s">
        <v>1779</v>
      </c>
      <c r="K775" s="2">
        <v>11</v>
      </c>
      <c r="L775" s="2">
        <v>0</v>
      </c>
      <c r="M775" s="2">
        <v>0</v>
      </c>
      <c r="N775" s="2">
        <v>6</v>
      </c>
      <c r="O775" s="2">
        <v>5</v>
      </c>
      <c r="P775" s="2">
        <v>0</v>
      </c>
      <c r="Q775" s="2" t="s">
        <v>3559</v>
      </c>
      <c r="R775" s="2" t="s">
        <v>3559</v>
      </c>
      <c r="S775" s="4">
        <v>44959</v>
      </c>
    </row>
    <row r="776" spans="1:19" ht="12.5" x14ac:dyDescent="0.25">
      <c r="A776" s="14" t="str">
        <f>HYPERLINK("https://gerandofalcoes.my.salesforce.com/0014X00002YggkoQAB", "0014X00002YggkoQAB")</f>
        <v>0014X00002YggkoQAB</v>
      </c>
      <c r="B776" s="2" t="s">
        <v>3631</v>
      </c>
      <c r="C776" s="2" t="s">
        <v>423</v>
      </c>
      <c r="D776" s="2" t="s">
        <v>2</v>
      </c>
      <c r="E776" s="2"/>
      <c r="F776" s="2">
        <v>0</v>
      </c>
      <c r="G776" s="2">
        <v>2</v>
      </c>
      <c r="H776" s="2">
        <v>10000</v>
      </c>
      <c r="I776" s="2">
        <v>30</v>
      </c>
      <c r="J776" s="2" t="s">
        <v>1779</v>
      </c>
      <c r="K776" s="2">
        <v>16</v>
      </c>
      <c r="L776" s="2">
        <v>0</v>
      </c>
      <c r="M776" s="2">
        <v>0</v>
      </c>
      <c r="N776" s="2">
        <v>6</v>
      </c>
      <c r="O776" s="2">
        <v>5</v>
      </c>
      <c r="P776" s="2">
        <v>5</v>
      </c>
      <c r="Q776" s="2" t="s">
        <v>3632</v>
      </c>
      <c r="R776" s="2" t="s">
        <v>3633</v>
      </c>
      <c r="S776" s="4">
        <v>44963</v>
      </c>
    </row>
    <row r="777" spans="1:19" ht="12.5" x14ac:dyDescent="0.25">
      <c r="A777" s="14" t="str">
        <f>HYPERLINK("https://gerandofalcoes.my.salesforce.com/0014X00002YggjiQAB", "0014X00002YggjiQAB")</f>
        <v>0014X00002YggjiQAB</v>
      </c>
      <c r="B777" s="2" t="s">
        <v>3892</v>
      </c>
      <c r="C777" s="2" t="s">
        <v>423</v>
      </c>
      <c r="D777" s="2" t="s">
        <v>2</v>
      </c>
      <c r="E777" s="2"/>
      <c r="F777" s="2">
        <v>0</v>
      </c>
      <c r="G777" s="2">
        <v>2</v>
      </c>
      <c r="H777" s="2">
        <v>100000</v>
      </c>
      <c r="I777" s="2">
        <v>0</v>
      </c>
      <c r="J777" s="2" t="s">
        <v>1779</v>
      </c>
      <c r="K777" s="2">
        <v>21</v>
      </c>
      <c r="L777" s="2">
        <v>0</v>
      </c>
      <c r="M777" s="2">
        <v>0</v>
      </c>
      <c r="N777" s="2">
        <v>6</v>
      </c>
      <c r="O777" s="2">
        <v>15</v>
      </c>
      <c r="P777" s="2">
        <v>0</v>
      </c>
      <c r="Q777" s="2" t="s">
        <v>3893</v>
      </c>
      <c r="R777" s="2" t="s">
        <v>3894</v>
      </c>
      <c r="S777" s="4">
        <v>45112</v>
      </c>
    </row>
    <row r="778" spans="1:19" ht="12.5" x14ac:dyDescent="0.25">
      <c r="A778" s="14" t="str">
        <f>HYPERLINK("https://gerandofalcoes.my.salesforce.com/0014X00002YgghaQAB", "0014X00002YgghaQAB")</f>
        <v>0014X00002YgghaQAB</v>
      </c>
      <c r="B778" s="2" t="s">
        <v>3580</v>
      </c>
      <c r="C778" s="2" t="s">
        <v>423</v>
      </c>
      <c r="D778" s="2" t="s">
        <v>2</v>
      </c>
      <c r="E778" s="2"/>
      <c r="F778" s="2">
        <v>0</v>
      </c>
      <c r="G778" s="2">
        <v>3</v>
      </c>
      <c r="H778" s="2">
        <v>11000</v>
      </c>
      <c r="I778" s="2">
        <v>100</v>
      </c>
      <c r="J778" s="2" t="s">
        <v>1779</v>
      </c>
      <c r="K778" s="2">
        <v>23</v>
      </c>
      <c r="L778" s="2">
        <v>0</v>
      </c>
      <c r="M778" s="2">
        <v>0</v>
      </c>
      <c r="N778" s="2">
        <v>8</v>
      </c>
      <c r="O778" s="2">
        <v>5</v>
      </c>
      <c r="P778" s="2">
        <v>10</v>
      </c>
      <c r="Q778" s="2" t="s">
        <v>3581</v>
      </c>
      <c r="R778" s="2" t="s">
        <v>3582</v>
      </c>
      <c r="S778" s="4">
        <v>44961</v>
      </c>
    </row>
    <row r="779" spans="1:19" ht="12.5" x14ac:dyDescent="0.25">
      <c r="A779" s="14" t="str">
        <f>HYPERLINK("https://gerandofalcoes.my.salesforce.com/0014X00002YgggYQAR", "0014X00002YgggYQAR")</f>
        <v>0014X00002YgggYQAR</v>
      </c>
      <c r="B779" s="2" t="s">
        <v>3352</v>
      </c>
      <c r="C779" s="2" t="s">
        <v>423</v>
      </c>
      <c r="D779" s="2" t="s">
        <v>2</v>
      </c>
      <c r="E779" s="2"/>
      <c r="F779" s="2">
        <v>10</v>
      </c>
      <c r="G779" s="2">
        <v>3</v>
      </c>
      <c r="H779" s="2">
        <v>471944</v>
      </c>
      <c r="I779" s="2">
        <v>115</v>
      </c>
      <c r="J779" s="2" t="s">
        <v>1671</v>
      </c>
      <c r="K779" s="2">
        <v>48</v>
      </c>
      <c r="L779" s="2">
        <v>0</v>
      </c>
      <c r="M779" s="2">
        <v>10</v>
      </c>
      <c r="N779" s="2">
        <v>8</v>
      </c>
      <c r="O779" s="2">
        <v>20</v>
      </c>
      <c r="P779" s="2">
        <v>10</v>
      </c>
      <c r="Q779" s="2" t="s">
        <v>3353</v>
      </c>
      <c r="R779" s="2" t="s">
        <v>3353</v>
      </c>
      <c r="S779" s="4">
        <v>44953</v>
      </c>
    </row>
    <row r="780" spans="1:19" ht="12.5" x14ac:dyDescent="0.25">
      <c r="A780" s="14" t="str">
        <f>HYPERLINK("https://gerandofalcoes.my.salesforce.com/0014X00002YggnZQAR", "0014X00002YggnZQAR")</f>
        <v>0014X00002YggnZQAR</v>
      </c>
      <c r="B780" s="2" t="s">
        <v>3603</v>
      </c>
      <c r="C780" s="2" t="s">
        <v>423</v>
      </c>
      <c r="D780" s="2" t="s">
        <v>2</v>
      </c>
      <c r="E780" s="2"/>
      <c r="F780" s="2">
        <v>15</v>
      </c>
      <c r="G780" s="2">
        <v>2</v>
      </c>
      <c r="H780" s="2">
        <v>0</v>
      </c>
      <c r="I780" s="2">
        <v>60</v>
      </c>
      <c r="J780" s="2" t="s">
        <v>1779</v>
      </c>
      <c r="K780" s="2">
        <v>23</v>
      </c>
      <c r="L780" s="2">
        <v>0</v>
      </c>
      <c r="M780" s="2">
        <v>12</v>
      </c>
      <c r="N780" s="2">
        <v>6</v>
      </c>
      <c r="O780" s="2">
        <v>0</v>
      </c>
      <c r="P780" s="2">
        <v>5</v>
      </c>
      <c r="Q780" s="2" t="s">
        <v>3604</v>
      </c>
      <c r="R780" s="2" t="s">
        <v>3604</v>
      </c>
      <c r="S780" s="4">
        <v>44962</v>
      </c>
    </row>
    <row r="781" spans="1:19" ht="12.5" x14ac:dyDescent="0.25">
      <c r="A781" s="14" t="str">
        <f>HYPERLINK("https://gerandofalcoes.my.salesforce.com/0014X00002YggnBQAR", "0014X00002YggnBQAR")</f>
        <v>0014X00002YggnBQAR</v>
      </c>
      <c r="B781" s="2" t="s">
        <v>3349</v>
      </c>
      <c r="C781" s="2" t="s">
        <v>423</v>
      </c>
      <c r="D781" s="2" t="s">
        <v>2</v>
      </c>
      <c r="E781" s="2"/>
      <c r="F781" s="2">
        <v>0</v>
      </c>
      <c r="G781" s="2">
        <v>3</v>
      </c>
      <c r="H781" s="2">
        <v>1000</v>
      </c>
      <c r="I781" s="2">
        <v>120</v>
      </c>
      <c r="J781" s="2" t="s">
        <v>1779</v>
      </c>
      <c r="K781" s="2">
        <v>23</v>
      </c>
      <c r="L781" s="2">
        <v>0</v>
      </c>
      <c r="M781" s="2">
        <v>0</v>
      </c>
      <c r="N781" s="2">
        <v>8</v>
      </c>
      <c r="O781" s="2">
        <v>5</v>
      </c>
      <c r="P781" s="2">
        <v>10</v>
      </c>
      <c r="Q781" s="2" t="s">
        <v>3350</v>
      </c>
      <c r="R781" s="2" t="s">
        <v>3351</v>
      </c>
      <c r="S781" s="4">
        <v>44953</v>
      </c>
    </row>
    <row r="782" spans="1:19" ht="12.5" x14ac:dyDescent="0.25">
      <c r="A782" s="14" t="str">
        <f>HYPERLINK("https://gerandofalcoes.my.salesforce.com/0014X00002YggluQAB", "0014X00002YggluQAB")</f>
        <v>0014X00002YggluQAB</v>
      </c>
      <c r="B782" s="2" t="s">
        <v>3524</v>
      </c>
      <c r="C782" s="2" t="s">
        <v>423</v>
      </c>
      <c r="D782" s="2" t="s">
        <v>2</v>
      </c>
      <c r="E782" s="2"/>
      <c r="F782" s="2">
        <v>0</v>
      </c>
      <c r="G782" s="2">
        <v>2</v>
      </c>
      <c r="H782" s="2">
        <v>3745000</v>
      </c>
      <c r="I782" s="2">
        <v>0</v>
      </c>
      <c r="J782" s="2" t="s">
        <v>1779</v>
      </c>
      <c r="K782" s="2">
        <v>31</v>
      </c>
      <c r="L782" s="2">
        <v>0</v>
      </c>
      <c r="M782" s="2">
        <v>0</v>
      </c>
      <c r="N782" s="2">
        <v>6</v>
      </c>
      <c r="O782" s="2">
        <v>25</v>
      </c>
      <c r="P782" s="2">
        <v>0</v>
      </c>
      <c r="Q782" s="2" t="s">
        <v>3525</v>
      </c>
      <c r="R782" s="2" t="s">
        <v>3526</v>
      </c>
      <c r="S782" s="4">
        <v>44958</v>
      </c>
    </row>
    <row r="783" spans="1:19" ht="12.5" x14ac:dyDescent="0.25">
      <c r="A783" s="14" t="str">
        <f>HYPERLINK("https://gerandofalcoes.my.salesforce.com/0014P00003AN2GAQA1", "0014P00003AN2GAQA1")</f>
        <v>0014P00003AN2GAQA1</v>
      </c>
      <c r="B783" s="2" t="s">
        <v>2981</v>
      </c>
      <c r="C783" s="2" t="s">
        <v>423</v>
      </c>
      <c r="D783" s="2" t="s">
        <v>2</v>
      </c>
      <c r="E783" s="2"/>
      <c r="F783" s="2">
        <v>1</v>
      </c>
      <c r="G783" s="2">
        <v>0</v>
      </c>
      <c r="H783" s="2">
        <v>0</v>
      </c>
      <c r="I783" s="2">
        <v>1200</v>
      </c>
      <c r="J783" s="2" t="s">
        <v>1779</v>
      </c>
      <c r="K783" s="2">
        <v>25</v>
      </c>
      <c r="L783" s="2">
        <v>0</v>
      </c>
      <c r="M783" s="2">
        <v>5</v>
      </c>
      <c r="N783" s="2">
        <v>0</v>
      </c>
      <c r="O783" s="2">
        <v>0</v>
      </c>
      <c r="P783" s="2">
        <v>20</v>
      </c>
      <c r="Q783" s="2" t="s">
        <v>2982</v>
      </c>
      <c r="R783" s="2" t="s">
        <v>2982</v>
      </c>
      <c r="S783" s="4">
        <v>44837</v>
      </c>
    </row>
    <row r="784" spans="1:19" ht="12.5" x14ac:dyDescent="0.25">
      <c r="A784" s="14" t="str">
        <f>HYPERLINK("https://gerandofalcoes.my.salesforce.com/0014X00002YggmKQAR", "0014X00002YggmKQAR")</f>
        <v>0014X00002YggmKQAR</v>
      </c>
      <c r="B784" s="2" t="s">
        <v>3043</v>
      </c>
      <c r="C784" s="2" t="s">
        <v>423</v>
      </c>
      <c r="D784" s="2" t="s">
        <v>2</v>
      </c>
      <c r="E784" s="2"/>
      <c r="F784" s="2">
        <v>0</v>
      </c>
      <c r="G784" s="2">
        <v>2</v>
      </c>
      <c r="H784" s="2">
        <v>10000</v>
      </c>
      <c r="I784" s="2">
        <v>0</v>
      </c>
      <c r="J784" s="2" t="s">
        <v>1779</v>
      </c>
      <c r="K784" s="2">
        <v>11</v>
      </c>
      <c r="L784" s="2">
        <v>0</v>
      </c>
      <c r="M784" s="2">
        <v>0</v>
      </c>
      <c r="N784" s="2">
        <v>6</v>
      </c>
      <c r="O784" s="2">
        <v>5</v>
      </c>
      <c r="P784" s="2">
        <v>0</v>
      </c>
      <c r="Q784" s="2" t="s">
        <v>3044</v>
      </c>
      <c r="R784" s="2" t="s">
        <v>3044</v>
      </c>
      <c r="S784" s="4">
        <v>44945</v>
      </c>
    </row>
    <row r="785" spans="1:19" ht="12.5" x14ac:dyDescent="0.25">
      <c r="A785" s="14" t="str">
        <f>HYPERLINK("https://gerandofalcoes.my.salesforce.com/0014X00002YggpXQAR", "0014X00002YggpXQAR")</f>
        <v>0014X00002YggpXQAR</v>
      </c>
      <c r="B785" s="2" t="s">
        <v>3597</v>
      </c>
      <c r="C785" s="2" t="s">
        <v>423</v>
      </c>
      <c r="D785" s="2" t="s">
        <v>2</v>
      </c>
      <c r="E785" s="2"/>
      <c r="F785" s="2">
        <v>0</v>
      </c>
      <c r="G785" s="2">
        <v>3</v>
      </c>
      <c r="H785" s="2">
        <v>48</v>
      </c>
      <c r="I785" s="2">
        <v>270</v>
      </c>
      <c r="J785" s="2" t="s">
        <v>1779</v>
      </c>
      <c r="K785" s="2">
        <v>25</v>
      </c>
      <c r="L785" s="2">
        <v>0</v>
      </c>
      <c r="M785" s="2">
        <v>0</v>
      </c>
      <c r="N785" s="2">
        <v>8</v>
      </c>
      <c r="O785" s="2">
        <v>5</v>
      </c>
      <c r="P785" s="2">
        <v>12</v>
      </c>
      <c r="Q785" s="2" t="s">
        <v>3598</v>
      </c>
      <c r="R785" s="2" t="s">
        <v>3599</v>
      </c>
      <c r="S785" s="4">
        <v>44962</v>
      </c>
    </row>
    <row r="786" spans="1:19" ht="12.5" x14ac:dyDescent="0.25">
      <c r="A786" s="14" t="str">
        <f>HYPERLINK("https://gerandofalcoes.my.salesforce.com/0014X00002YgggtQAB", "0014X00002YgggtQAB")</f>
        <v>0014X00002YgggtQAB</v>
      </c>
      <c r="B786" s="2" t="s">
        <v>3275</v>
      </c>
      <c r="C786" s="2" t="s">
        <v>423</v>
      </c>
      <c r="D786" s="2" t="s">
        <v>2</v>
      </c>
      <c r="E786" s="2"/>
      <c r="F786" s="2">
        <v>6</v>
      </c>
      <c r="G786" s="2">
        <v>4</v>
      </c>
      <c r="H786" s="2">
        <v>142000</v>
      </c>
      <c r="I786" s="2">
        <v>120</v>
      </c>
      <c r="J786" s="2" t="s">
        <v>1671</v>
      </c>
      <c r="K786" s="2">
        <v>45</v>
      </c>
      <c r="L786" s="2">
        <v>0</v>
      </c>
      <c r="M786" s="2">
        <v>10</v>
      </c>
      <c r="N786" s="2">
        <v>10</v>
      </c>
      <c r="O786" s="2">
        <v>15</v>
      </c>
      <c r="P786" s="2">
        <v>10</v>
      </c>
      <c r="Q786" s="2" t="s">
        <v>3276</v>
      </c>
      <c r="R786" s="2" t="s">
        <v>3277</v>
      </c>
      <c r="S786" s="4">
        <v>44952</v>
      </c>
    </row>
    <row r="787" spans="1:19" ht="12.5" x14ac:dyDescent="0.25">
      <c r="A787" s="14" t="str">
        <f>HYPERLINK("https://gerandofalcoes.my.salesforce.com/0014X00002YggqxQAB", "0014X00002YggqxQAB")</f>
        <v>0014X00002YggqxQAB</v>
      </c>
      <c r="B787" s="2" t="s">
        <v>3375</v>
      </c>
      <c r="C787" s="2" t="s">
        <v>423</v>
      </c>
      <c r="D787" s="2" t="s">
        <v>2</v>
      </c>
      <c r="E787" s="2"/>
      <c r="F787" s="2">
        <v>3</v>
      </c>
      <c r="G787" s="2">
        <v>3</v>
      </c>
      <c r="H787" s="2">
        <v>1000</v>
      </c>
      <c r="I787" s="2">
        <v>6</v>
      </c>
      <c r="J787" s="2" t="s">
        <v>1779</v>
      </c>
      <c r="K787" s="2">
        <v>23</v>
      </c>
      <c r="L787" s="2">
        <v>0</v>
      </c>
      <c r="M787" s="2">
        <v>5</v>
      </c>
      <c r="N787" s="2">
        <v>8</v>
      </c>
      <c r="O787" s="2">
        <v>5</v>
      </c>
      <c r="P787" s="2">
        <v>5</v>
      </c>
      <c r="Q787" s="2" t="s">
        <v>3376</v>
      </c>
      <c r="R787" s="2" t="s">
        <v>3376</v>
      </c>
      <c r="S787" s="4">
        <v>44953</v>
      </c>
    </row>
    <row r="788" spans="1:19" ht="12.5" x14ac:dyDescent="0.25">
      <c r="A788" s="14" t="str">
        <f>HYPERLINK("https://gerandofalcoes.my.salesforce.com/0014X00002Yggl7QAB", "0014X00002Yggl7QAB")</f>
        <v>0014X00002Yggl7QAB</v>
      </c>
      <c r="B788" s="2" t="s">
        <v>3204</v>
      </c>
      <c r="C788" s="2" t="s">
        <v>423</v>
      </c>
      <c r="D788" s="2" t="s">
        <v>2</v>
      </c>
      <c r="E788" s="2"/>
      <c r="F788" s="2">
        <v>0</v>
      </c>
      <c r="G788" s="2">
        <v>4</v>
      </c>
      <c r="H788" s="2">
        <v>20000</v>
      </c>
      <c r="I788" s="2">
        <v>2000</v>
      </c>
      <c r="J788" s="2" t="s">
        <v>1779</v>
      </c>
      <c r="K788" s="2">
        <v>35</v>
      </c>
      <c r="L788" s="2">
        <v>0</v>
      </c>
      <c r="M788" s="2">
        <v>0</v>
      </c>
      <c r="N788" s="2">
        <v>10</v>
      </c>
      <c r="O788" s="2">
        <v>5</v>
      </c>
      <c r="P788" s="2">
        <v>20</v>
      </c>
      <c r="Q788" s="2" t="s">
        <v>3205</v>
      </c>
      <c r="R788" s="2" t="s">
        <v>3206</v>
      </c>
      <c r="S788" s="4">
        <v>44951</v>
      </c>
    </row>
    <row r="789" spans="1:19" ht="12.5" x14ac:dyDescent="0.25">
      <c r="A789" s="14" t="str">
        <f>HYPERLINK("https://gerandofalcoes.my.salesforce.com/0014X00002YggoRQAR", "0014X00002YggoRQAR")</f>
        <v>0014X00002YggoRQAR</v>
      </c>
      <c r="B789" s="2" t="s">
        <v>3510</v>
      </c>
      <c r="C789" s="2" t="s">
        <v>423</v>
      </c>
      <c r="D789" s="2" t="s">
        <v>2</v>
      </c>
      <c r="E789" s="2"/>
      <c r="F789" s="2">
        <v>0</v>
      </c>
      <c r="G789" s="2">
        <v>2</v>
      </c>
      <c r="H789" s="2">
        <v>0</v>
      </c>
      <c r="I789" s="2">
        <v>0</v>
      </c>
      <c r="J789" s="2" t="s">
        <v>1779</v>
      </c>
      <c r="K789" s="2">
        <v>6</v>
      </c>
      <c r="L789" s="2">
        <v>0</v>
      </c>
      <c r="M789" s="2">
        <v>0</v>
      </c>
      <c r="N789" s="2">
        <v>6</v>
      </c>
      <c r="O789" s="2">
        <v>0</v>
      </c>
      <c r="P789" s="2">
        <v>0</v>
      </c>
      <c r="Q789" s="2" t="s">
        <v>3511</v>
      </c>
      <c r="R789" s="2" t="s">
        <v>3511</v>
      </c>
      <c r="S789" s="4">
        <v>44958</v>
      </c>
    </row>
    <row r="790" spans="1:19" ht="12.5" x14ac:dyDescent="0.25">
      <c r="A790" s="14" t="str">
        <f>HYPERLINK("https://gerandofalcoes.my.salesforce.com/0014X00002YggpRQAR", "0014X00002YggpRQAR")</f>
        <v>0014X00002YggpRQAR</v>
      </c>
      <c r="B790" s="2" t="s">
        <v>3294</v>
      </c>
      <c r="C790" s="2" t="s">
        <v>423</v>
      </c>
      <c r="D790" s="2" t="s">
        <v>2</v>
      </c>
      <c r="E790" s="2"/>
      <c r="F790" s="2">
        <v>1</v>
      </c>
      <c r="G790" s="2">
        <v>3</v>
      </c>
      <c r="H790" s="2">
        <v>200000</v>
      </c>
      <c r="I790" s="2">
        <v>0</v>
      </c>
      <c r="J790" s="2" t="s">
        <v>1779</v>
      </c>
      <c r="K790" s="2">
        <v>28</v>
      </c>
      <c r="L790" s="2">
        <v>0</v>
      </c>
      <c r="M790" s="2">
        <v>5</v>
      </c>
      <c r="N790" s="2">
        <v>8</v>
      </c>
      <c r="O790" s="2">
        <v>15</v>
      </c>
      <c r="P790" s="2">
        <v>0</v>
      </c>
      <c r="Q790" s="2" t="s">
        <v>3295</v>
      </c>
      <c r="R790" s="2" t="s">
        <v>3295</v>
      </c>
      <c r="S790" s="4">
        <v>44952</v>
      </c>
    </row>
    <row r="791" spans="1:19" ht="12.5" x14ac:dyDescent="0.25">
      <c r="A791" s="14" t="str">
        <f>HYPERLINK("https://gerandofalcoes.my.salesforce.com/0014X00002YggguQAB", "0014X00002YggguQAB")</f>
        <v>0014X00002YggguQAB</v>
      </c>
      <c r="B791" s="2" t="s">
        <v>3367</v>
      </c>
      <c r="C791" s="2" t="s">
        <v>423</v>
      </c>
      <c r="D791" s="2" t="s">
        <v>2</v>
      </c>
      <c r="E791" s="2"/>
      <c r="F791" s="2">
        <v>5</v>
      </c>
      <c r="G791" s="2">
        <v>80</v>
      </c>
      <c r="H791" s="2">
        <v>15000</v>
      </c>
      <c r="I791" s="2">
        <v>30</v>
      </c>
      <c r="J791" s="2" t="s">
        <v>1779</v>
      </c>
      <c r="K791" s="2">
        <v>25</v>
      </c>
      <c r="L791" s="2">
        <v>0</v>
      </c>
      <c r="M791" s="2">
        <v>5</v>
      </c>
      <c r="N791" s="2">
        <v>10</v>
      </c>
      <c r="O791" s="2">
        <v>5</v>
      </c>
      <c r="P791" s="2">
        <v>5</v>
      </c>
      <c r="Q791" s="2" t="s">
        <v>3368</v>
      </c>
      <c r="R791" s="2" t="s">
        <v>3369</v>
      </c>
      <c r="S791" s="4">
        <v>44953</v>
      </c>
    </row>
    <row r="792" spans="1:19" ht="12.5" x14ac:dyDescent="0.25">
      <c r="A792" s="14" t="str">
        <f>HYPERLINK("https://gerandofalcoes.my.salesforce.com/0014X00002YgghTQAR", "0014X00002YgghTQAR")</f>
        <v>0014X00002YgghTQAR</v>
      </c>
      <c r="B792" s="2" t="s">
        <v>3792</v>
      </c>
      <c r="C792" s="2" t="s">
        <v>423</v>
      </c>
      <c r="D792" s="2" t="s">
        <v>2</v>
      </c>
      <c r="E792" s="2"/>
      <c r="F792" s="2">
        <v>2</v>
      </c>
      <c r="G792" s="2">
        <v>2</v>
      </c>
      <c r="H792" s="2">
        <v>4500</v>
      </c>
      <c r="I792" s="2">
        <v>77</v>
      </c>
      <c r="J792" s="2" t="s">
        <v>1779</v>
      </c>
      <c r="K792" s="2">
        <v>21</v>
      </c>
      <c r="L792" s="2">
        <v>0</v>
      </c>
      <c r="M792" s="2">
        <v>5</v>
      </c>
      <c r="N792" s="2">
        <v>6</v>
      </c>
      <c r="O792" s="2">
        <v>5</v>
      </c>
      <c r="P792" s="2">
        <v>5</v>
      </c>
      <c r="Q792" s="2" t="s">
        <v>3793</v>
      </c>
      <c r="R792" s="2" t="s">
        <v>3793</v>
      </c>
      <c r="S792" s="4">
        <v>44968</v>
      </c>
    </row>
    <row r="793" spans="1:19" ht="12.5" x14ac:dyDescent="0.25">
      <c r="A793" s="14" t="str">
        <f>HYPERLINK("https://gerandofalcoes.my.salesforce.com/0014X00002YggoaQAB", "0014X00002YggoaQAB")</f>
        <v>0014X00002YggoaQAB</v>
      </c>
      <c r="B793" s="2" t="s">
        <v>3340</v>
      </c>
      <c r="C793" s="2" t="s">
        <v>423</v>
      </c>
      <c r="D793" s="2" t="s">
        <v>2</v>
      </c>
      <c r="E793" s="2"/>
      <c r="F793" s="2">
        <v>10</v>
      </c>
      <c r="G793" s="2">
        <v>4</v>
      </c>
      <c r="H793" s="2">
        <v>581000</v>
      </c>
      <c r="I793" s="2">
        <v>323</v>
      </c>
      <c r="J793" s="2" t="s">
        <v>1671</v>
      </c>
      <c r="K793" s="2">
        <v>55</v>
      </c>
      <c r="L793" s="2">
        <v>0</v>
      </c>
      <c r="M793" s="2">
        <v>10</v>
      </c>
      <c r="N793" s="2">
        <v>10</v>
      </c>
      <c r="O793" s="2">
        <v>20</v>
      </c>
      <c r="P793" s="2">
        <v>15</v>
      </c>
      <c r="Q793" s="2" t="s">
        <v>3341</v>
      </c>
      <c r="R793" s="2" t="s">
        <v>3342</v>
      </c>
      <c r="S793" s="4">
        <v>44953</v>
      </c>
    </row>
    <row r="794" spans="1:19" ht="12.5" x14ac:dyDescent="0.25">
      <c r="A794" s="14" t="str">
        <f>HYPERLINK("https://gerandofalcoes.my.salesforce.com/0014X00002YggiSQAR", "0014X00002YggiSQAR")</f>
        <v>0014X00002YggiSQAR</v>
      </c>
      <c r="B794" s="2" t="s">
        <v>3075</v>
      </c>
      <c r="C794" s="2" t="s">
        <v>423</v>
      </c>
      <c r="D794" s="2" t="s">
        <v>2</v>
      </c>
      <c r="E794" s="2"/>
      <c r="F794" s="2">
        <v>0</v>
      </c>
      <c r="G794" s="2">
        <v>3</v>
      </c>
      <c r="H794" s="2">
        <v>10000</v>
      </c>
      <c r="I794" s="2">
        <v>100</v>
      </c>
      <c r="J794" s="2" t="s">
        <v>1779</v>
      </c>
      <c r="K794" s="2">
        <v>23</v>
      </c>
      <c r="L794" s="2">
        <v>0</v>
      </c>
      <c r="M794" s="2">
        <v>0</v>
      </c>
      <c r="N794" s="2">
        <v>8</v>
      </c>
      <c r="O794" s="2">
        <v>5</v>
      </c>
      <c r="P794" s="2">
        <v>10</v>
      </c>
      <c r="Q794" s="2" t="s">
        <v>3076</v>
      </c>
      <c r="R794" s="2" t="s">
        <v>3077</v>
      </c>
      <c r="S794" s="4">
        <v>44946</v>
      </c>
    </row>
    <row r="795" spans="1:19" ht="12.5" x14ac:dyDescent="0.25">
      <c r="A795" s="14" t="str">
        <f>HYPERLINK("https://gerandofalcoes.my.salesforce.com/0014X00002YggjoQAB", "0014X00002YggjoQAB")</f>
        <v>0014X00002YggjoQAB</v>
      </c>
      <c r="B795" s="2" t="s">
        <v>3283</v>
      </c>
      <c r="C795" s="2" t="s">
        <v>423</v>
      </c>
      <c r="D795" s="2" t="s">
        <v>2</v>
      </c>
      <c r="E795" s="2"/>
      <c r="F795" s="2">
        <v>3</v>
      </c>
      <c r="G795" s="2">
        <v>2</v>
      </c>
      <c r="H795" s="2">
        <v>280000</v>
      </c>
      <c r="I795" s="2">
        <v>50</v>
      </c>
      <c r="J795" s="2" t="s">
        <v>1779</v>
      </c>
      <c r="K795" s="2">
        <v>31</v>
      </c>
      <c r="L795" s="2">
        <v>0</v>
      </c>
      <c r="M795" s="2">
        <v>5</v>
      </c>
      <c r="N795" s="2">
        <v>6</v>
      </c>
      <c r="O795" s="2">
        <v>15</v>
      </c>
      <c r="P795" s="2">
        <v>5</v>
      </c>
      <c r="Q795" s="2" t="s">
        <v>3284</v>
      </c>
      <c r="R795" s="2" t="s">
        <v>3285</v>
      </c>
      <c r="S795" s="4">
        <v>44952</v>
      </c>
    </row>
    <row r="796" spans="1:19" ht="12.5" x14ac:dyDescent="0.25">
      <c r="A796" s="14" t="str">
        <f>HYPERLINK("https://gerandofalcoes.my.salesforce.com/0014X00002YggnKQAR", "0014X00002YggnKQAR")</f>
        <v>0014X00002YggnKQAR</v>
      </c>
      <c r="B796" s="2" t="s">
        <v>3207</v>
      </c>
      <c r="C796" s="2" t="s">
        <v>423</v>
      </c>
      <c r="D796" s="2" t="s">
        <v>2</v>
      </c>
      <c r="E796" s="2"/>
      <c r="F796" s="2">
        <v>0</v>
      </c>
      <c r="G796" s="2">
        <v>4</v>
      </c>
      <c r="H796" s="2">
        <v>83242522</v>
      </c>
      <c r="I796" s="2">
        <v>1117</v>
      </c>
      <c r="J796" s="2" t="s">
        <v>1671</v>
      </c>
      <c r="K796" s="2">
        <v>55</v>
      </c>
      <c r="L796" s="2">
        <v>0</v>
      </c>
      <c r="M796" s="2">
        <v>0</v>
      </c>
      <c r="N796" s="2">
        <v>10</v>
      </c>
      <c r="O796" s="2">
        <v>25</v>
      </c>
      <c r="P796" s="2">
        <v>20</v>
      </c>
      <c r="Q796" s="2" t="s">
        <v>3208</v>
      </c>
      <c r="R796" s="2" t="s">
        <v>3209</v>
      </c>
      <c r="S796" s="4">
        <v>44951</v>
      </c>
    </row>
    <row r="797" spans="1:19" ht="12.5" x14ac:dyDescent="0.25">
      <c r="A797" s="14" t="str">
        <f>HYPERLINK("https://gerandofalcoes.my.salesforce.com/0014X00002YgggEQAR", "0014X00002YgggEQAR")</f>
        <v>0014X00002YgggEQAR</v>
      </c>
      <c r="B797" s="2" t="s">
        <v>3008</v>
      </c>
      <c r="C797" s="2" t="s">
        <v>423</v>
      </c>
      <c r="D797" s="2" t="s">
        <v>2</v>
      </c>
      <c r="E797" s="2"/>
      <c r="F797" s="2">
        <v>112</v>
      </c>
      <c r="G797" s="2">
        <v>3</v>
      </c>
      <c r="H797" s="2">
        <v>6</v>
      </c>
      <c r="I797" s="2">
        <v>50</v>
      </c>
      <c r="J797" s="2" t="s">
        <v>1779</v>
      </c>
      <c r="K797" s="2">
        <v>33</v>
      </c>
      <c r="L797" s="2">
        <v>0</v>
      </c>
      <c r="M797" s="2">
        <v>15</v>
      </c>
      <c r="N797" s="2">
        <v>8</v>
      </c>
      <c r="O797" s="2">
        <v>5</v>
      </c>
      <c r="P797" s="2">
        <v>5</v>
      </c>
      <c r="Q797" s="2" t="s">
        <v>3009</v>
      </c>
      <c r="R797" s="2" t="s">
        <v>3010</v>
      </c>
      <c r="S797" s="4">
        <v>44944</v>
      </c>
    </row>
    <row r="798" spans="1:19" ht="12.5" x14ac:dyDescent="0.25">
      <c r="A798" s="14" t="str">
        <f>HYPERLINK("https://gerandofalcoes.my.salesforce.com/0014X00002YggmlQAB", "0014X00002YggmlQAB")</f>
        <v>0014X00002YggmlQAB</v>
      </c>
      <c r="B798" s="2" t="s">
        <v>3078</v>
      </c>
      <c r="C798" s="2" t="s">
        <v>423</v>
      </c>
      <c r="D798" s="2" t="s">
        <v>2</v>
      </c>
      <c r="E798" s="2"/>
      <c r="F798" s="2">
        <v>1</v>
      </c>
      <c r="G798" s="2">
        <v>2</v>
      </c>
      <c r="H798" s="2">
        <v>30000</v>
      </c>
      <c r="I798" s="2">
        <v>90</v>
      </c>
      <c r="J798" s="2" t="s">
        <v>1779</v>
      </c>
      <c r="K798" s="2">
        <v>31</v>
      </c>
      <c r="L798" s="2">
        <v>0</v>
      </c>
      <c r="M798" s="2">
        <v>5</v>
      </c>
      <c r="N798" s="2">
        <v>6</v>
      </c>
      <c r="O798" s="2">
        <v>10</v>
      </c>
      <c r="P798" s="2">
        <v>10</v>
      </c>
      <c r="Q798" s="2" t="s">
        <v>3079</v>
      </c>
      <c r="R798" s="2" t="s">
        <v>3080</v>
      </c>
      <c r="S798" s="4">
        <v>44946</v>
      </c>
    </row>
    <row r="799" spans="1:19" ht="12.5" x14ac:dyDescent="0.25">
      <c r="A799" s="14" t="str">
        <f>HYPERLINK("https://gerandofalcoes.my.salesforce.com/0014X00002YggpZQAR", "0014X00002YggpZQAR")</f>
        <v>0014X00002YggpZQAR</v>
      </c>
      <c r="B799" s="2" t="s">
        <v>3866</v>
      </c>
      <c r="C799" s="2" t="s">
        <v>423</v>
      </c>
      <c r="D799" s="2" t="s">
        <v>2</v>
      </c>
      <c r="E799" s="2"/>
      <c r="F799" s="2">
        <v>0</v>
      </c>
      <c r="G799" s="2">
        <v>2</v>
      </c>
      <c r="H799" s="2">
        <v>0</v>
      </c>
      <c r="I799" s="2">
        <v>150</v>
      </c>
      <c r="J799" s="2" t="s">
        <v>1779</v>
      </c>
      <c r="K799" s="2">
        <v>18</v>
      </c>
      <c r="L799" s="2">
        <v>0</v>
      </c>
      <c r="M799" s="2">
        <v>0</v>
      </c>
      <c r="N799" s="2">
        <v>6</v>
      </c>
      <c r="O799" s="2">
        <v>0</v>
      </c>
      <c r="P799" s="2">
        <v>12</v>
      </c>
      <c r="Q799" s="2" t="s">
        <v>3867</v>
      </c>
      <c r="R799" s="2" t="s">
        <v>3868</v>
      </c>
      <c r="S799" s="4">
        <v>45112</v>
      </c>
    </row>
    <row r="800" spans="1:19" ht="12.5" x14ac:dyDescent="0.25">
      <c r="A800" s="14" t="str">
        <f>HYPERLINK("https://gerandofalcoes.my.salesforce.com/0014X00002Yggj9QAB", "0014X00002Yggj9QAB")</f>
        <v>0014X00002Yggj9QAB</v>
      </c>
      <c r="B800" s="2" t="s">
        <v>3090</v>
      </c>
      <c r="C800" s="2" t="s">
        <v>423</v>
      </c>
      <c r="D800" s="2" t="s">
        <v>2</v>
      </c>
      <c r="E800" s="2"/>
      <c r="F800" s="2">
        <v>30</v>
      </c>
      <c r="G800" s="2">
        <v>3</v>
      </c>
      <c r="H800" s="2">
        <v>1200000</v>
      </c>
      <c r="I800" s="2">
        <v>0</v>
      </c>
      <c r="J800" s="2" t="s">
        <v>1671</v>
      </c>
      <c r="K800" s="2">
        <v>45</v>
      </c>
      <c r="L800" s="2">
        <v>0</v>
      </c>
      <c r="M800" s="2">
        <v>12</v>
      </c>
      <c r="N800" s="2">
        <v>8</v>
      </c>
      <c r="O800" s="2">
        <v>25</v>
      </c>
      <c r="P800" s="2">
        <v>0</v>
      </c>
      <c r="Q800" s="2" t="s">
        <v>3091</v>
      </c>
      <c r="R800" s="2" t="s">
        <v>3092</v>
      </c>
      <c r="S800" s="4">
        <v>44946</v>
      </c>
    </row>
    <row r="801" spans="1:19" ht="12.5" x14ac:dyDescent="0.25">
      <c r="A801" s="14" t="str">
        <f>HYPERLINK("https://gerandofalcoes.my.salesforce.com/0014X00002Yggr0QAB", "0014X00002Yggr0QAB")</f>
        <v>0014X00002Yggr0QAB</v>
      </c>
      <c r="B801" s="2" t="s">
        <v>3765</v>
      </c>
      <c r="C801" s="2" t="s">
        <v>423</v>
      </c>
      <c r="D801" s="2" t="s">
        <v>2</v>
      </c>
      <c r="E801" s="2"/>
      <c r="F801" s="2">
        <v>3</v>
      </c>
      <c r="G801" s="2">
        <v>122</v>
      </c>
      <c r="H801" s="2">
        <v>10000</v>
      </c>
      <c r="I801" s="2">
        <v>0</v>
      </c>
      <c r="J801" s="2" t="s">
        <v>1779</v>
      </c>
      <c r="K801" s="2">
        <v>20</v>
      </c>
      <c r="L801" s="2">
        <v>0</v>
      </c>
      <c r="M801" s="2">
        <v>5</v>
      </c>
      <c r="N801" s="2">
        <v>10</v>
      </c>
      <c r="O801" s="2">
        <v>5</v>
      </c>
      <c r="P801" s="2">
        <v>0</v>
      </c>
      <c r="Q801" s="2" t="s">
        <v>3766</v>
      </c>
      <c r="R801" s="2" t="s">
        <v>3767</v>
      </c>
      <c r="S801" s="4">
        <v>44967</v>
      </c>
    </row>
    <row r="802" spans="1:19" ht="12.5" hidden="1" x14ac:dyDescent="0.25">
      <c r="A802" s="14" t="str">
        <f>HYPERLINK("https://gerandofalcoes.my.salesforce.com/0014X00002bFKFnQAO", "0014X00002bFKFnQAO")</f>
        <v>0014X00002bFKFnQAO</v>
      </c>
      <c r="B802" s="2" t="s">
        <v>3605</v>
      </c>
      <c r="C802" s="2" t="s">
        <v>1684</v>
      </c>
      <c r="D802" s="2" t="s">
        <v>2</v>
      </c>
      <c r="E802" s="2"/>
      <c r="F802" s="2">
        <v>0</v>
      </c>
      <c r="G802" s="2">
        <v>0</v>
      </c>
      <c r="H802" s="2">
        <v>0</v>
      </c>
      <c r="I802" s="2">
        <v>0</v>
      </c>
      <c r="J802" s="2"/>
      <c r="K802" s="2">
        <v>0</v>
      </c>
      <c r="L802" s="2">
        <v>0</v>
      </c>
      <c r="M802" s="2">
        <v>0</v>
      </c>
      <c r="N802" s="2">
        <v>0</v>
      </c>
      <c r="O802" s="2">
        <v>0</v>
      </c>
      <c r="P802" s="2">
        <v>0</v>
      </c>
      <c r="Q802" s="2" t="s">
        <v>3606</v>
      </c>
      <c r="R802" s="2"/>
      <c r="S802" s="4">
        <v>44962</v>
      </c>
    </row>
    <row r="803" spans="1:19" ht="12.5" x14ac:dyDescent="0.25">
      <c r="A803" s="14" t="str">
        <f>HYPERLINK("https://gerandofalcoes.my.salesforce.com/0014X00002YggiFQAR", "0014X00002YggiFQAR")</f>
        <v>0014X00002YggiFQAR</v>
      </c>
      <c r="B803" s="2" t="s">
        <v>3794</v>
      </c>
      <c r="C803" s="2" t="s">
        <v>423</v>
      </c>
      <c r="D803" s="2" t="s">
        <v>2</v>
      </c>
      <c r="E803" s="2"/>
      <c r="F803" s="2">
        <v>2</v>
      </c>
      <c r="G803" s="2">
        <v>2</v>
      </c>
      <c r="H803" s="2">
        <v>200</v>
      </c>
      <c r="I803" s="2">
        <v>50</v>
      </c>
      <c r="J803" s="2" t="s">
        <v>1779</v>
      </c>
      <c r="K803" s="2">
        <v>21</v>
      </c>
      <c r="L803" s="2">
        <v>0</v>
      </c>
      <c r="M803" s="2">
        <v>5</v>
      </c>
      <c r="N803" s="2">
        <v>6</v>
      </c>
      <c r="O803" s="2">
        <v>5</v>
      </c>
      <c r="P803" s="2">
        <v>5</v>
      </c>
      <c r="Q803" s="2" t="s">
        <v>3795</v>
      </c>
      <c r="R803" s="2" t="s">
        <v>3795</v>
      </c>
      <c r="S803" s="4">
        <v>44968</v>
      </c>
    </row>
    <row r="804" spans="1:19" ht="12.5" hidden="1" x14ac:dyDescent="0.25">
      <c r="A804" s="14" t="str">
        <f>HYPERLINK("https://gerandofalcoes.my.salesforce.com/0014X00002YgggUQAR", "0014X00002YgggUQAR")</f>
        <v>0014X00002YgggUQAR</v>
      </c>
      <c r="B804" s="2" t="s">
        <v>3640</v>
      </c>
      <c r="C804" s="2" t="s">
        <v>1684</v>
      </c>
      <c r="D804" s="2" t="s">
        <v>2</v>
      </c>
      <c r="E804" s="2"/>
      <c r="F804" s="2">
        <v>0</v>
      </c>
      <c r="G804" s="2">
        <v>2</v>
      </c>
      <c r="H804" s="2">
        <v>45000</v>
      </c>
      <c r="I804" s="2">
        <v>0</v>
      </c>
      <c r="J804" s="2"/>
      <c r="K804" s="2">
        <v>16</v>
      </c>
      <c r="L804" s="2">
        <v>0</v>
      </c>
      <c r="M804" s="2">
        <v>0</v>
      </c>
      <c r="N804" s="2">
        <v>6</v>
      </c>
      <c r="O804" s="2">
        <v>10</v>
      </c>
      <c r="P804" s="2">
        <v>0</v>
      </c>
      <c r="Q804" s="2" t="s">
        <v>3641</v>
      </c>
      <c r="R804" s="2" t="s">
        <v>3641</v>
      </c>
      <c r="S804" s="4">
        <v>44963</v>
      </c>
    </row>
    <row r="805" spans="1:19" ht="12.5" x14ac:dyDescent="0.25">
      <c r="A805" s="14" t="str">
        <f>HYPERLINK("https://gerandofalcoes.my.salesforce.com/0014X00002YggnjQAB", "0014X00002YggnjQAB")</f>
        <v>0014X00002YggnjQAB</v>
      </c>
      <c r="B805" s="2" t="s">
        <v>3346</v>
      </c>
      <c r="C805" s="2" t="s">
        <v>423</v>
      </c>
      <c r="D805" s="2" t="s">
        <v>2</v>
      </c>
      <c r="E805" s="2"/>
      <c r="F805" s="2">
        <v>9</v>
      </c>
      <c r="G805" s="2">
        <v>3</v>
      </c>
      <c r="H805" s="2">
        <v>2500</v>
      </c>
      <c r="I805" s="2">
        <v>120</v>
      </c>
      <c r="J805" s="2" t="s">
        <v>1779</v>
      </c>
      <c r="K805" s="2">
        <v>33</v>
      </c>
      <c r="L805" s="2">
        <v>0</v>
      </c>
      <c r="M805" s="2">
        <v>10</v>
      </c>
      <c r="N805" s="2">
        <v>8</v>
      </c>
      <c r="O805" s="2">
        <v>5</v>
      </c>
      <c r="P805" s="2">
        <v>10</v>
      </c>
      <c r="Q805" s="2" t="s">
        <v>3347</v>
      </c>
      <c r="R805" s="2" t="s">
        <v>3348</v>
      </c>
      <c r="S805" s="4">
        <v>44953</v>
      </c>
    </row>
    <row r="806" spans="1:19" ht="12.5" x14ac:dyDescent="0.25">
      <c r="A806" s="14" t="str">
        <f>HYPERLINK("https://gerandofalcoes.my.salesforce.com/0014X00002YggkqQAB", "0014X00002YggkqQAB")</f>
        <v>0014X00002YggkqQAB</v>
      </c>
      <c r="B806" s="2" t="s">
        <v>3035</v>
      </c>
      <c r="C806" s="2" t="s">
        <v>423</v>
      </c>
      <c r="D806" s="2" t="s">
        <v>2</v>
      </c>
      <c r="E806" s="2"/>
      <c r="F806" s="2">
        <v>0</v>
      </c>
      <c r="G806" s="2">
        <v>3</v>
      </c>
      <c r="H806" s="2">
        <v>11000</v>
      </c>
      <c r="I806" s="2">
        <v>530</v>
      </c>
      <c r="J806" s="2" t="s">
        <v>1779</v>
      </c>
      <c r="K806" s="2">
        <v>33</v>
      </c>
      <c r="L806" s="2">
        <v>0</v>
      </c>
      <c r="M806" s="2">
        <v>0</v>
      </c>
      <c r="N806" s="2">
        <v>8</v>
      </c>
      <c r="O806" s="2">
        <v>5</v>
      </c>
      <c r="P806" s="2">
        <v>20</v>
      </c>
      <c r="Q806" s="2" t="s">
        <v>3036</v>
      </c>
      <c r="R806" s="2" t="s">
        <v>3037</v>
      </c>
      <c r="S806" s="4">
        <v>44945</v>
      </c>
    </row>
    <row r="807" spans="1:19" ht="12.5" x14ac:dyDescent="0.25">
      <c r="A807" s="14" t="str">
        <f>HYPERLINK("https://gerandofalcoes.my.salesforce.com/0014X00002YggnYQAR", "0014X00002YggnYQAR")</f>
        <v>0014X00002YggnYQAR</v>
      </c>
      <c r="B807" s="2" t="s">
        <v>3763</v>
      </c>
      <c r="C807" s="2" t="s">
        <v>423</v>
      </c>
      <c r="D807" s="2" t="s">
        <v>2</v>
      </c>
      <c r="E807" s="2"/>
      <c r="F807" s="2">
        <v>127</v>
      </c>
      <c r="G807" s="2">
        <v>4</v>
      </c>
      <c r="H807" s="2">
        <v>0</v>
      </c>
      <c r="I807" s="2">
        <v>0</v>
      </c>
      <c r="J807" s="2" t="s">
        <v>1779</v>
      </c>
      <c r="K807" s="2">
        <v>25</v>
      </c>
      <c r="L807" s="2">
        <v>0</v>
      </c>
      <c r="M807" s="2">
        <v>15</v>
      </c>
      <c r="N807" s="2">
        <v>10</v>
      </c>
      <c r="O807" s="2">
        <v>0</v>
      </c>
      <c r="P807" s="2">
        <v>0</v>
      </c>
      <c r="Q807" s="2" t="s">
        <v>3764</v>
      </c>
      <c r="R807" s="2" t="s">
        <v>3764</v>
      </c>
      <c r="S807" s="4">
        <v>44967</v>
      </c>
    </row>
    <row r="808" spans="1:19" ht="12.5" x14ac:dyDescent="0.25">
      <c r="A808" s="14" t="str">
        <f>HYPERLINK("https://gerandofalcoes.my.salesforce.com/0014X00002YgghPQAR", "0014X00002YgghPQAR")</f>
        <v>0014X00002YgghPQAR</v>
      </c>
      <c r="B808" s="2" t="s">
        <v>3628</v>
      </c>
      <c r="C808" s="2" t="s">
        <v>423</v>
      </c>
      <c r="D808" s="2" t="s">
        <v>2</v>
      </c>
      <c r="E808" s="2"/>
      <c r="F808" s="2">
        <v>0</v>
      </c>
      <c r="G808" s="2">
        <v>2</v>
      </c>
      <c r="H808" s="2">
        <v>1100000</v>
      </c>
      <c r="I808" s="2">
        <v>70</v>
      </c>
      <c r="J808" s="2" t="s">
        <v>1779</v>
      </c>
      <c r="K808" s="2">
        <v>36</v>
      </c>
      <c r="L808" s="2">
        <v>0</v>
      </c>
      <c r="M808" s="2">
        <v>0</v>
      </c>
      <c r="N808" s="2">
        <v>6</v>
      </c>
      <c r="O808" s="2">
        <v>25</v>
      </c>
      <c r="P808" s="2">
        <v>5</v>
      </c>
      <c r="Q808" s="2" t="s">
        <v>3629</v>
      </c>
      <c r="R808" s="2" t="s">
        <v>3630</v>
      </c>
      <c r="S808" s="4">
        <v>44963</v>
      </c>
    </row>
    <row r="809" spans="1:19" ht="12.5" x14ac:dyDescent="0.25">
      <c r="A809" s="14" t="str">
        <f>HYPERLINK("https://gerandofalcoes.my.salesforce.com/0014P00003AN2GFQA1", "0014P00003AN2GFQA1")</f>
        <v>0014P00003AN2GFQA1</v>
      </c>
      <c r="B809" s="2" t="s">
        <v>2980</v>
      </c>
      <c r="C809" s="2" t="s">
        <v>423</v>
      </c>
      <c r="D809" s="2" t="s">
        <v>2</v>
      </c>
      <c r="E809" s="2"/>
      <c r="F809" s="2">
        <v>23</v>
      </c>
      <c r="G809" s="2">
        <v>4</v>
      </c>
      <c r="H809" s="2">
        <v>531000</v>
      </c>
      <c r="I809" s="2">
        <v>15185</v>
      </c>
      <c r="J809" s="2" t="s">
        <v>1671</v>
      </c>
      <c r="K809" s="2">
        <v>62</v>
      </c>
      <c r="L809" s="2">
        <v>0</v>
      </c>
      <c r="M809" s="2">
        <v>12</v>
      </c>
      <c r="N809" s="2">
        <v>10</v>
      </c>
      <c r="O809" s="2">
        <v>20</v>
      </c>
      <c r="P809" s="2">
        <v>20</v>
      </c>
      <c r="Q809" s="2" t="s">
        <v>995</v>
      </c>
      <c r="R809" s="2" t="s">
        <v>995</v>
      </c>
      <c r="S809" s="4">
        <v>44837</v>
      </c>
    </row>
    <row r="810" spans="1:19" ht="12.5" x14ac:dyDescent="0.25">
      <c r="A810" s="14" t="str">
        <f>HYPERLINK("https://gerandofalcoes.my.salesforce.com/0014X00002YggnGQAR", "0014X00002YggnGQAR")</f>
        <v>0014X00002YggnGQAR</v>
      </c>
      <c r="B810" s="2" t="s">
        <v>3173</v>
      </c>
      <c r="C810" s="2" t="s">
        <v>423</v>
      </c>
      <c r="D810" s="2" t="s">
        <v>2</v>
      </c>
      <c r="E810" s="2"/>
      <c r="F810" s="2">
        <v>0</v>
      </c>
      <c r="G810" s="2">
        <v>3</v>
      </c>
      <c r="H810" s="2">
        <v>10000</v>
      </c>
      <c r="I810" s="2">
        <v>0</v>
      </c>
      <c r="J810" s="2" t="s">
        <v>1779</v>
      </c>
      <c r="K810" s="2">
        <v>13</v>
      </c>
      <c r="L810" s="2">
        <v>0</v>
      </c>
      <c r="M810" s="2">
        <v>0</v>
      </c>
      <c r="N810" s="2">
        <v>8</v>
      </c>
      <c r="O810" s="2">
        <v>5</v>
      </c>
      <c r="P810" s="2">
        <v>0</v>
      </c>
      <c r="Q810" s="2" t="s">
        <v>3174</v>
      </c>
      <c r="R810" s="2" t="s">
        <v>3175</v>
      </c>
      <c r="S810" s="4">
        <v>44950</v>
      </c>
    </row>
    <row r="811" spans="1:19" ht="12.5" x14ac:dyDescent="0.25">
      <c r="A811" s="14" t="str">
        <f>HYPERLINK("https://gerandofalcoes.my.salesforce.com/0014X00002YgggZQAR", "0014X00002YgggZQAR")</f>
        <v>0014X00002YgggZQAR</v>
      </c>
      <c r="B811" s="2" t="s">
        <v>3278</v>
      </c>
      <c r="C811" s="2" t="s">
        <v>423</v>
      </c>
      <c r="D811" s="2" t="s">
        <v>2</v>
      </c>
      <c r="E811" s="2"/>
      <c r="F811" s="2">
        <v>7</v>
      </c>
      <c r="G811" s="2">
        <v>3</v>
      </c>
      <c r="H811" s="2">
        <v>116906</v>
      </c>
      <c r="I811" s="2">
        <v>110</v>
      </c>
      <c r="J811" s="2" t="s">
        <v>1671</v>
      </c>
      <c r="K811" s="2">
        <v>43</v>
      </c>
      <c r="L811" s="2">
        <v>0</v>
      </c>
      <c r="M811" s="2">
        <v>10</v>
      </c>
      <c r="N811" s="2">
        <v>8</v>
      </c>
      <c r="O811" s="2">
        <v>15</v>
      </c>
      <c r="P811" s="2">
        <v>10</v>
      </c>
      <c r="Q811" s="2" t="s">
        <v>3279</v>
      </c>
      <c r="R811" s="2" t="s">
        <v>3280</v>
      </c>
      <c r="S811" s="4">
        <v>44952</v>
      </c>
    </row>
    <row r="812" spans="1:19" ht="12.5" x14ac:dyDescent="0.25">
      <c r="A812" s="14" t="str">
        <f>HYPERLINK("https://gerandofalcoes.my.salesforce.com/0014X00002YggiiQAB", "0014X00002YggiiQAB")</f>
        <v>0014X00002YggiiQAB</v>
      </c>
      <c r="B812" s="2" t="s">
        <v>3265</v>
      </c>
      <c r="C812" s="2" t="s">
        <v>423</v>
      </c>
      <c r="D812" s="2" t="s">
        <v>2</v>
      </c>
      <c r="E812" s="2"/>
      <c r="F812" s="2">
        <v>0</v>
      </c>
      <c r="G812" s="2">
        <v>2</v>
      </c>
      <c r="H812" s="2">
        <v>1500</v>
      </c>
      <c r="I812" s="2">
        <v>30</v>
      </c>
      <c r="J812" s="2" t="s">
        <v>1779</v>
      </c>
      <c r="K812" s="2">
        <v>16</v>
      </c>
      <c r="L812" s="2">
        <v>0</v>
      </c>
      <c r="M812" s="2">
        <v>0</v>
      </c>
      <c r="N812" s="2">
        <v>6</v>
      </c>
      <c r="O812" s="2">
        <v>5</v>
      </c>
      <c r="P812" s="2">
        <v>5</v>
      </c>
      <c r="Q812" s="2" t="s">
        <v>3267</v>
      </c>
      <c r="R812" s="2" t="s">
        <v>3267</v>
      </c>
      <c r="S812" s="4">
        <v>44952</v>
      </c>
    </row>
    <row r="813" spans="1:19" ht="12.5" x14ac:dyDescent="0.25">
      <c r="A813" s="14" t="str">
        <f>HYPERLINK("https://gerandofalcoes.my.salesforce.com/0014X00002YgggOQAR", "0014X00002YgggOQAR")</f>
        <v>0014X00002YgggOQAR</v>
      </c>
      <c r="B813" s="2" t="s">
        <v>3755</v>
      </c>
      <c r="C813" s="2" t="s">
        <v>423</v>
      </c>
      <c r="D813" s="2" t="s">
        <v>2</v>
      </c>
      <c r="E813" s="2"/>
      <c r="F813" s="2">
        <v>0</v>
      </c>
      <c r="G813" s="2">
        <v>2</v>
      </c>
      <c r="H813" s="2">
        <v>1000</v>
      </c>
      <c r="I813" s="2">
        <v>20</v>
      </c>
      <c r="J813" s="2" t="s">
        <v>1779</v>
      </c>
      <c r="K813" s="2">
        <v>16</v>
      </c>
      <c r="L813" s="2">
        <v>0</v>
      </c>
      <c r="M813" s="2">
        <v>0</v>
      </c>
      <c r="N813" s="2">
        <v>6</v>
      </c>
      <c r="O813" s="2">
        <v>5</v>
      </c>
      <c r="P813" s="2">
        <v>5</v>
      </c>
      <c r="Q813" s="2" t="s">
        <v>3756</v>
      </c>
      <c r="R813" s="2" t="s">
        <v>3757</v>
      </c>
      <c r="S813" s="4">
        <v>44967</v>
      </c>
    </row>
    <row r="814" spans="1:19" ht="12.5" x14ac:dyDescent="0.25">
      <c r="A814" s="14" t="str">
        <f>HYPERLINK("https://gerandofalcoes.my.salesforce.com/0014X00002Yggi8QAB", "0014X00002Yggi8QAB")</f>
        <v>0014X00002Yggi8QAB</v>
      </c>
      <c r="B814" s="2" t="s">
        <v>3081</v>
      </c>
      <c r="C814" s="2" t="s">
        <v>423</v>
      </c>
      <c r="D814" s="2" t="s">
        <v>2</v>
      </c>
      <c r="E814" s="2"/>
      <c r="F814" s="2">
        <v>0</v>
      </c>
      <c r="G814" s="2">
        <v>2</v>
      </c>
      <c r="H814" s="2">
        <v>50</v>
      </c>
      <c r="I814" s="2">
        <v>50</v>
      </c>
      <c r="J814" s="2" t="s">
        <v>1779</v>
      </c>
      <c r="K814" s="2">
        <v>16</v>
      </c>
      <c r="L814" s="2">
        <v>0</v>
      </c>
      <c r="M814" s="2">
        <v>0</v>
      </c>
      <c r="N814" s="2">
        <v>6</v>
      </c>
      <c r="O814" s="2">
        <v>5</v>
      </c>
      <c r="P814" s="2">
        <v>5</v>
      </c>
      <c r="Q814" s="2" t="s">
        <v>3082</v>
      </c>
      <c r="R814" s="2" t="s">
        <v>3082</v>
      </c>
      <c r="S814" s="4">
        <v>44946</v>
      </c>
    </row>
    <row r="815" spans="1:19" ht="12.5" x14ac:dyDescent="0.25">
      <c r="A815" s="14" t="str">
        <f>HYPERLINK("https://gerandofalcoes.my.salesforce.com/0014X00002Yggm8QAB", "0014X00002Yggm8QAB")</f>
        <v>0014X00002Yggm8QAB</v>
      </c>
      <c r="B815" s="2" t="s">
        <v>3678</v>
      </c>
      <c r="C815" s="2" t="s">
        <v>423</v>
      </c>
      <c r="D815" s="2" t="s">
        <v>2</v>
      </c>
      <c r="E815" s="2"/>
      <c r="F815" s="2">
        <v>4</v>
      </c>
      <c r="G815" s="2">
        <v>3</v>
      </c>
      <c r="H815" s="2">
        <v>140000</v>
      </c>
      <c r="I815" s="2">
        <v>216</v>
      </c>
      <c r="J815" s="2" t="s">
        <v>1671</v>
      </c>
      <c r="K815" s="2">
        <v>40</v>
      </c>
      <c r="L815" s="2">
        <v>0</v>
      </c>
      <c r="M815" s="2">
        <v>5</v>
      </c>
      <c r="N815" s="2">
        <v>8</v>
      </c>
      <c r="O815" s="2">
        <v>15</v>
      </c>
      <c r="P815" s="2">
        <v>12</v>
      </c>
      <c r="Q815" s="2" t="s">
        <v>3679</v>
      </c>
      <c r="R815" s="2" t="s">
        <v>3680</v>
      </c>
      <c r="S815" s="4">
        <v>44964</v>
      </c>
    </row>
    <row r="816" spans="1:19" ht="12.5" hidden="1" x14ac:dyDescent="0.25">
      <c r="A816" s="14" t="str">
        <f>HYPERLINK("https://gerandofalcoes.my.salesforce.com/0014X00002YggiPQAR", "0014X00002YggiPQAR")</f>
        <v>0014X00002YggiPQAR</v>
      </c>
      <c r="B816" s="2" t="s">
        <v>3033</v>
      </c>
      <c r="C816" s="2" t="s">
        <v>1684</v>
      </c>
      <c r="D816" s="2" t="s">
        <v>2</v>
      </c>
      <c r="E816" s="2">
        <v>0</v>
      </c>
      <c r="F816" s="2">
        <v>1</v>
      </c>
      <c r="G816" s="2">
        <v>2</v>
      </c>
      <c r="H816" s="2">
        <v>600</v>
      </c>
      <c r="I816" s="2">
        <v>0</v>
      </c>
      <c r="J816" s="2" t="s">
        <v>1779</v>
      </c>
      <c r="K816" s="2">
        <v>16</v>
      </c>
      <c r="L816" s="2">
        <v>0</v>
      </c>
      <c r="M816" s="2">
        <v>5</v>
      </c>
      <c r="N816" s="2">
        <v>6</v>
      </c>
      <c r="O816" s="2">
        <v>5</v>
      </c>
      <c r="P816" s="2">
        <v>0</v>
      </c>
      <c r="Q816" s="2" t="s">
        <v>3034</v>
      </c>
      <c r="R816" s="2" t="s">
        <v>3034</v>
      </c>
      <c r="S816" s="4">
        <v>44945</v>
      </c>
    </row>
    <row r="817" spans="1:19" ht="12.5" x14ac:dyDescent="0.25">
      <c r="A817" s="14" t="str">
        <f>HYPERLINK("https://gerandofalcoes.my.salesforce.com/0014X00002YggpnQAB", "0014X00002YggpnQAB")</f>
        <v>0014X00002YggpnQAB</v>
      </c>
      <c r="B817" s="2" t="s">
        <v>3128</v>
      </c>
      <c r="C817" s="2" t="s">
        <v>423</v>
      </c>
      <c r="D817" s="2" t="s">
        <v>2</v>
      </c>
      <c r="E817" s="2"/>
      <c r="F817" s="2">
        <v>0</v>
      </c>
      <c r="G817" s="2">
        <v>2</v>
      </c>
      <c r="H817" s="2">
        <v>2000</v>
      </c>
      <c r="I817" s="2">
        <v>90</v>
      </c>
      <c r="J817" s="2" t="s">
        <v>1779</v>
      </c>
      <c r="K817" s="2">
        <v>21</v>
      </c>
      <c r="L817" s="2">
        <v>0</v>
      </c>
      <c r="M817" s="2">
        <v>0</v>
      </c>
      <c r="N817" s="2">
        <v>6</v>
      </c>
      <c r="O817" s="2">
        <v>5</v>
      </c>
      <c r="P817" s="2">
        <v>10</v>
      </c>
      <c r="Q817" s="2" t="s">
        <v>3129</v>
      </c>
      <c r="R817" s="2" t="s">
        <v>3129</v>
      </c>
      <c r="S817" s="4">
        <v>44949</v>
      </c>
    </row>
    <row r="818" spans="1:19" ht="12.5" x14ac:dyDescent="0.25">
      <c r="A818" s="14" t="str">
        <f>HYPERLINK("https://gerandofalcoes.my.salesforce.com/0014X00002YggnXQAR", "0014X00002YggnXQAR")</f>
        <v>0014X00002YggnXQAR</v>
      </c>
      <c r="B818" s="2" t="s">
        <v>3387</v>
      </c>
      <c r="C818" s="2" t="s">
        <v>423</v>
      </c>
      <c r="D818" s="2" t="s">
        <v>2</v>
      </c>
      <c r="E818" s="2"/>
      <c r="F818" s="2">
        <v>4</v>
      </c>
      <c r="G818" s="2">
        <v>3</v>
      </c>
      <c r="H818" s="2">
        <v>120</v>
      </c>
      <c r="I818" s="2">
        <v>0</v>
      </c>
      <c r="J818" s="2" t="s">
        <v>1779</v>
      </c>
      <c r="K818" s="2">
        <v>18</v>
      </c>
      <c r="L818" s="2">
        <v>0</v>
      </c>
      <c r="M818" s="2">
        <v>5</v>
      </c>
      <c r="N818" s="2">
        <v>8</v>
      </c>
      <c r="O818" s="2">
        <v>5</v>
      </c>
      <c r="P818" s="2">
        <v>0</v>
      </c>
      <c r="Q818" s="2" t="s">
        <v>3388</v>
      </c>
      <c r="R818" s="2" t="s">
        <v>3388</v>
      </c>
      <c r="S818" s="4">
        <v>44953</v>
      </c>
    </row>
    <row r="819" spans="1:19" ht="12.5" x14ac:dyDescent="0.25">
      <c r="A819" s="14" t="str">
        <f>HYPERLINK("https://gerandofalcoes.my.salesforce.com/0014X00002Yggh1QAB", "0014X00002Yggh1QAB")</f>
        <v>0014X00002Yggh1QAB</v>
      </c>
      <c r="B819" s="2" t="s">
        <v>3675</v>
      </c>
      <c r="C819" s="2" t="s">
        <v>423</v>
      </c>
      <c r="D819" s="2" t="s">
        <v>2</v>
      </c>
      <c r="E819" s="2"/>
      <c r="F819" s="2">
        <v>23</v>
      </c>
      <c r="G819" s="2">
        <v>6</v>
      </c>
      <c r="H819" s="2">
        <v>99279054</v>
      </c>
      <c r="I819" s="2">
        <v>520</v>
      </c>
      <c r="J819" s="2" t="s">
        <v>1650</v>
      </c>
      <c r="K819" s="2">
        <v>67</v>
      </c>
      <c r="L819" s="2">
        <v>0</v>
      </c>
      <c r="M819" s="2">
        <v>12</v>
      </c>
      <c r="N819" s="2">
        <v>10</v>
      </c>
      <c r="O819" s="2">
        <v>25</v>
      </c>
      <c r="P819" s="2">
        <v>20</v>
      </c>
      <c r="Q819" s="2" t="s">
        <v>3676</v>
      </c>
      <c r="R819" s="2" t="s">
        <v>3677</v>
      </c>
      <c r="S819" s="4">
        <v>44964</v>
      </c>
    </row>
    <row r="820" spans="1:19" ht="12.5" x14ac:dyDescent="0.25">
      <c r="A820" s="14" t="str">
        <f>HYPERLINK("https://gerandofalcoes.my.salesforce.com/0014X00002YggojQAB", "0014X00002YggojQAB")</f>
        <v>0014X00002YggojQAB</v>
      </c>
      <c r="B820" s="2" t="s">
        <v>3136</v>
      </c>
      <c r="C820" s="2" t="s">
        <v>423</v>
      </c>
      <c r="D820" s="2" t="s">
        <v>2</v>
      </c>
      <c r="E820" s="2"/>
      <c r="F820" s="2">
        <v>0</v>
      </c>
      <c r="G820" s="2">
        <v>4</v>
      </c>
      <c r="H820" s="2">
        <v>0</v>
      </c>
      <c r="I820" s="2">
        <v>44</v>
      </c>
      <c r="J820" s="2" t="s">
        <v>1779</v>
      </c>
      <c r="K820" s="2">
        <v>15</v>
      </c>
      <c r="L820" s="2">
        <v>0</v>
      </c>
      <c r="M820" s="2">
        <v>0</v>
      </c>
      <c r="N820" s="2">
        <v>10</v>
      </c>
      <c r="O820" s="2">
        <v>0</v>
      </c>
      <c r="P820" s="2">
        <v>5</v>
      </c>
      <c r="Q820" s="2" t="s">
        <v>3137</v>
      </c>
      <c r="R820" s="2" t="s">
        <v>3138</v>
      </c>
      <c r="S820" s="4">
        <v>44949</v>
      </c>
    </row>
    <row r="821" spans="1:19" ht="12.5" x14ac:dyDescent="0.25">
      <c r="A821" s="14" t="str">
        <f>HYPERLINK("https://gerandofalcoes.my.salesforce.com/0014X00002YgggRQAR", "0014X00002YgggRQAR")</f>
        <v>0014X00002YgggRQAR</v>
      </c>
      <c r="B821" s="2" t="s">
        <v>3738</v>
      </c>
      <c r="C821" s="2" t="s">
        <v>423</v>
      </c>
      <c r="D821" s="2" t="s">
        <v>2</v>
      </c>
      <c r="E821" s="2"/>
      <c r="F821" s="2">
        <v>200</v>
      </c>
      <c r="G821" s="2">
        <v>5</v>
      </c>
      <c r="H821" s="2">
        <v>1000</v>
      </c>
      <c r="I821" s="2">
        <v>100</v>
      </c>
      <c r="J821" s="2" t="s">
        <v>1671</v>
      </c>
      <c r="K821" s="2">
        <v>40</v>
      </c>
      <c r="L821" s="2">
        <v>0</v>
      </c>
      <c r="M821" s="2">
        <v>15</v>
      </c>
      <c r="N821" s="2">
        <v>10</v>
      </c>
      <c r="O821" s="2">
        <v>5</v>
      </c>
      <c r="P821" s="2">
        <v>10</v>
      </c>
      <c r="Q821" s="2" t="s">
        <v>3739</v>
      </c>
      <c r="R821" s="2" t="s">
        <v>3739</v>
      </c>
      <c r="S821" s="4">
        <v>44967</v>
      </c>
    </row>
    <row r="822" spans="1:19" ht="12.5" x14ac:dyDescent="0.25">
      <c r="A822" s="14" t="str">
        <f>HYPERLINK("https://gerandofalcoes.my.salesforce.com/0014X00002YggqbQAB", "0014X00002YggqbQAB")</f>
        <v>0014X00002YggqbQAB</v>
      </c>
      <c r="B822" s="2" t="s">
        <v>3735</v>
      </c>
      <c r="C822" s="2" t="s">
        <v>423</v>
      </c>
      <c r="D822" s="2" t="s">
        <v>2</v>
      </c>
      <c r="E822" s="2"/>
      <c r="F822" s="2">
        <v>4</v>
      </c>
      <c r="G822" s="2">
        <v>4</v>
      </c>
      <c r="H822" s="2">
        <v>300</v>
      </c>
      <c r="I822" s="2">
        <v>130</v>
      </c>
      <c r="J822" s="2" t="s">
        <v>1779</v>
      </c>
      <c r="K822" s="2">
        <v>30</v>
      </c>
      <c r="L822" s="2">
        <v>0</v>
      </c>
      <c r="M822" s="2">
        <v>5</v>
      </c>
      <c r="N822" s="2">
        <v>10</v>
      </c>
      <c r="O822" s="2">
        <v>5</v>
      </c>
      <c r="P822" s="2">
        <v>10</v>
      </c>
      <c r="Q822" s="2" t="s">
        <v>3736</v>
      </c>
      <c r="R822" s="2" t="s">
        <v>3737</v>
      </c>
      <c r="S822" s="4">
        <v>44967</v>
      </c>
    </row>
    <row r="823" spans="1:19" ht="12.5" x14ac:dyDescent="0.25">
      <c r="A823" s="14" t="str">
        <f>HYPERLINK("https://gerandofalcoes.my.salesforce.com/0014X00002YgggTQAR", "0014X00002YgggTQAR")</f>
        <v>0014X00002YgggTQAR</v>
      </c>
      <c r="B823" s="2" t="s">
        <v>3569</v>
      </c>
      <c r="C823" s="2" t="s">
        <v>423</v>
      </c>
      <c r="D823" s="2" t="s">
        <v>2</v>
      </c>
      <c r="E823" s="2"/>
      <c r="F823" s="2">
        <v>25</v>
      </c>
      <c r="G823" s="2">
        <v>3</v>
      </c>
      <c r="H823" s="2">
        <v>15000</v>
      </c>
      <c r="I823" s="2">
        <v>1317</v>
      </c>
      <c r="J823" s="2" t="s">
        <v>1671</v>
      </c>
      <c r="K823" s="2">
        <v>45</v>
      </c>
      <c r="L823" s="2">
        <v>0</v>
      </c>
      <c r="M823" s="2">
        <v>12</v>
      </c>
      <c r="N823" s="2">
        <v>8</v>
      </c>
      <c r="O823" s="2">
        <v>5</v>
      </c>
      <c r="P823" s="2">
        <v>20</v>
      </c>
      <c r="Q823" s="2" t="s">
        <v>3570</v>
      </c>
      <c r="R823" s="2" t="s">
        <v>3570</v>
      </c>
      <c r="S823" s="4">
        <v>44960</v>
      </c>
    </row>
    <row r="824" spans="1:19" ht="12.5" x14ac:dyDescent="0.25">
      <c r="A824" s="14" t="str">
        <f>HYPERLINK("https://gerandofalcoes.my.salesforce.com/0014X00002YgglTQAR", "0014X00002YgglTQAR")</f>
        <v>0014X00002YgglTQAR</v>
      </c>
      <c r="B824" s="2" t="s">
        <v>3363</v>
      </c>
      <c r="C824" s="2" t="s">
        <v>423</v>
      </c>
      <c r="D824" s="2" t="s">
        <v>2</v>
      </c>
      <c r="E824" s="2"/>
      <c r="F824" s="2">
        <v>0</v>
      </c>
      <c r="G824" s="2">
        <v>2</v>
      </c>
      <c r="H824" s="2">
        <v>0</v>
      </c>
      <c r="I824" s="2">
        <v>60</v>
      </c>
      <c r="J824" s="2" t="s">
        <v>1779</v>
      </c>
      <c r="K824" s="2">
        <v>11</v>
      </c>
      <c r="L824" s="2">
        <v>0</v>
      </c>
      <c r="M824" s="2">
        <v>0</v>
      </c>
      <c r="N824" s="2">
        <v>6</v>
      </c>
      <c r="O824" s="2">
        <v>0</v>
      </c>
      <c r="P824" s="2">
        <v>5</v>
      </c>
      <c r="Q824" s="2" t="s">
        <v>3364</v>
      </c>
      <c r="R824" s="2" t="s">
        <v>3364</v>
      </c>
      <c r="S824" s="4">
        <v>44953</v>
      </c>
    </row>
    <row r="825" spans="1:19" ht="12.5" x14ac:dyDescent="0.25">
      <c r="A825" s="14" t="str">
        <f>HYPERLINK("https://gerandofalcoes.my.salesforce.com/0014X00002YggjXQAR", "0014X00002YggjXQAR")</f>
        <v>0014X00002YggjXQAR</v>
      </c>
      <c r="B825" s="2" t="s">
        <v>3889</v>
      </c>
      <c r="C825" s="2" t="s">
        <v>423</v>
      </c>
      <c r="D825" s="2" t="s">
        <v>2</v>
      </c>
      <c r="E825" s="2"/>
      <c r="F825" s="2">
        <v>0</v>
      </c>
      <c r="G825" s="2">
        <v>3</v>
      </c>
      <c r="H825" s="2">
        <v>35200</v>
      </c>
      <c r="I825" s="2">
        <v>10</v>
      </c>
      <c r="J825" s="2" t="s">
        <v>1779</v>
      </c>
      <c r="K825" s="2">
        <v>23</v>
      </c>
      <c r="L825" s="2">
        <v>0</v>
      </c>
      <c r="M825" s="2">
        <v>0</v>
      </c>
      <c r="N825" s="2">
        <v>8</v>
      </c>
      <c r="O825" s="2">
        <v>10</v>
      </c>
      <c r="P825" s="2">
        <v>5</v>
      </c>
      <c r="Q825" s="2" t="s">
        <v>3890</v>
      </c>
      <c r="R825" s="2" t="s">
        <v>3891</v>
      </c>
      <c r="S825" s="4">
        <v>45112</v>
      </c>
    </row>
    <row r="826" spans="1:19" ht="12.5" x14ac:dyDescent="0.25">
      <c r="A826" s="14" t="str">
        <f>HYPERLINK("https://gerandofalcoes.my.salesforce.com/0014X00002YggiOQAR", "0014X00002YggiOQAR")</f>
        <v>0014X00002YggiOQAR</v>
      </c>
      <c r="B826" s="2" t="s">
        <v>3552</v>
      </c>
      <c r="C826" s="2" t="s">
        <v>423</v>
      </c>
      <c r="D826" s="2" t="s">
        <v>2</v>
      </c>
      <c r="E826" s="2"/>
      <c r="F826" s="2">
        <v>0</v>
      </c>
      <c r="G826" s="2">
        <v>2</v>
      </c>
      <c r="H826" s="2">
        <v>500</v>
      </c>
      <c r="I826" s="2">
        <v>140</v>
      </c>
      <c r="J826" s="2" t="s">
        <v>1779</v>
      </c>
      <c r="K826" s="2">
        <v>21</v>
      </c>
      <c r="L826" s="2">
        <v>0</v>
      </c>
      <c r="M826" s="2">
        <v>0</v>
      </c>
      <c r="N826" s="2">
        <v>6</v>
      </c>
      <c r="O826" s="2">
        <v>5</v>
      </c>
      <c r="P826" s="2">
        <v>10</v>
      </c>
      <c r="Q826" s="2" t="s">
        <v>3553</v>
      </c>
      <c r="R826" s="2" t="s">
        <v>3554</v>
      </c>
      <c r="S826" s="4">
        <v>44959</v>
      </c>
    </row>
    <row r="827" spans="1:19" ht="12.5" x14ac:dyDescent="0.25">
      <c r="A827" s="14" t="str">
        <f>HYPERLINK("https://gerandofalcoes.my.salesforce.com/0014X00002YgglpQAB", "0014X00002YgglpQAB")</f>
        <v>0014X00002YgglpQAB</v>
      </c>
      <c r="B827" s="2" t="s">
        <v>3360</v>
      </c>
      <c r="C827" s="2" t="s">
        <v>423</v>
      </c>
      <c r="D827" s="2" t="s">
        <v>2</v>
      </c>
      <c r="E827" s="2"/>
      <c r="F827" s="2">
        <v>24</v>
      </c>
      <c r="G827" s="2">
        <v>8</v>
      </c>
      <c r="H827" s="2">
        <v>12828162</v>
      </c>
      <c r="I827" s="2">
        <v>60</v>
      </c>
      <c r="J827" s="2" t="s">
        <v>1671</v>
      </c>
      <c r="K827" s="2">
        <v>52</v>
      </c>
      <c r="L827" s="2">
        <v>0</v>
      </c>
      <c r="M827" s="2">
        <v>12</v>
      </c>
      <c r="N827" s="2">
        <v>10</v>
      </c>
      <c r="O827" s="2">
        <v>25</v>
      </c>
      <c r="P827" s="2">
        <v>5</v>
      </c>
      <c r="Q827" s="2" t="s">
        <v>3361</v>
      </c>
      <c r="R827" s="2" t="s">
        <v>3362</v>
      </c>
      <c r="S827" s="4">
        <v>44953</v>
      </c>
    </row>
    <row r="828" spans="1:19" ht="12.5" x14ac:dyDescent="0.25">
      <c r="A828" s="14" t="str">
        <f>HYPERLINK("https://gerandofalcoes.my.salesforce.com/0014X00002YggmBQAR", "0014X00002YggmBQAR")</f>
        <v>0014X00002YggmBQAR</v>
      </c>
      <c r="B828" s="2" t="s">
        <v>3125</v>
      </c>
      <c r="C828" s="2" t="s">
        <v>423</v>
      </c>
      <c r="D828" s="2" t="s">
        <v>2</v>
      </c>
      <c r="E828" s="2"/>
      <c r="F828" s="2">
        <v>5</v>
      </c>
      <c r="G828" s="2">
        <v>8</v>
      </c>
      <c r="H828" s="2">
        <v>35000</v>
      </c>
      <c r="I828" s="2">
        <v>120</v>
      </c>
      <c r="J828" s="2" t="s">
        <v>1779</v>
      </c>
      <c r="K828" s="2">
        <v>35</v>
      </c>
      <c r="L828" s="2">
        <v>0</v>
      </c>
      <c r="M828" s="2">
        <v>5</v>
      </c>
      <c r="N828" s="2">
        <v>10</v>
      </c>
      <c r="O828" s="2">
        <v>10</v>
      </c>
      <c r="P828" s="2">
        <v>10</v>
      </c>
      <c r="Q828" s="2" t="s">
        <v>3126</v>
      </c>
      <c r="R828" s="2" t="s">
        <v>3127</v>
      </c>
      <c r="S828" s="4">
        <v>44949</v>
      </c>
    </row>
    <row r="829" spans="1:19" ht="12.5" x14ac:dyDescent="0.25">
      <c r="A829" s="14" t="str">
        <f>HYPERLINK("https://gerandofalcoes.my.salesforce.com/0014X00002YggoFQAR", "0014X00002YggoFQAR")</f>
        <v>0014X00002YggoFQAR</v>
      </c>
      <c r="B829" s="2" t="s">
        <v>3860</v>
      </c>
      <c r="C829" s="2" t="s">
        <v>423</v>
      </c>
      <c r="D829" s="2" t="s">
        <v>2</v>
      </c>
      <c r="E829" s="2"/>
      <c r="F829" s="2">
        <v>6</v>
      </c>
      <c r="G829" s="2">
        <v>2</v>
      </c>
      <c r="H829" s="2">
        <v>500</v>
      </c>
      <c r="I829" s="2">
        <v>200</v>
      </c>
      <c r="J829" s="2" t="s">
        <v>1779</v>
      </c>
      <c r="K829" s="2">
        <v>33</v>
      </c>
      <c r="L829" s="2">
        <v>0</v>
      </c>
      <c r="M829" s="2">
        <v>10</v>
      </c>
      <c r="N829" s="2">
        <v>6</v>
      </c>
      <c r="O829" s="2">
        <v>5</v>
      </c>
      <c r="P829" s="2">
        <v>12</v>
      </c>
      <c r="Q829" s="2" t="s">
        <v>3861</v>
      </c>
      <c r="R829" s="2" t="s">
        <v>3862</v>
      </c>
      <c r="S829" s="4">
        <v>45112</v>
      </c>
    </row>
    <row r="830" spans="1:19" ht="12.5" x14ac:dyDescent="0.25">
      <c r="A830" s="14" t="str">
        <f>HYPERLINK("https://gerandofalcoes.my.salesforce.com/0014X00002Yggk2QAB", "0014X00002Yggk2QAB")</f>
        <v>0014X00002Yggk2QAB</v>
      </c>
      <c r="B830" s="2" t="s">
        <v>3389</v>
      </c>
      <c r="C830" s="2" t="s">
        <v>423</v>
      </c>
      <c r="D830" s="2" t="s">
        <v>2</v>
      </c>
      <c r="E830" s="2"/>
      <c r="F830" s="2">
        <v>0</v>
      </c>
      <c r="G830" s="2">
        <v>3</v>
      </c>
      <c r="H830" s="2">
        <v>0</v>
      </c>
      <c r="I830" s="2">
        <v>0</v>
      </c>
      <c r="J830" s="2" t="s">
        <v>1779</v>
      </c>
      <c r="K830" s="2">
        <v>8</v>
      </c>
      <c r="L830" s="2">
        <v>0</v>
      </c>
      <c r="M830" s="2">
        <v>0</v>
      </c>
      <c r="N830" s="2">
        <v>8</v>
      </c>
      <c r="O830" s="2">
        <v>0</v>
      </c>
      <c r="P830" s="2">
        <v>0</v>
      </c>
      <c r="Q830" s="2" t="s">
        <v>3390</v>
      </c>
      <c r="R830" s="2" t="s">
        <v>3391</v>
      </c>
      <c r="S830" s="4">
        <v>44953</v>
      </c>
    </row>
    <row r="831" spans="1:19" ht="12.5" x14ac:dyDescent="0.25">
      <c r="A831" s="14" t="str">
        <f>HYPERLINK("https://gerandofalcoes.my.salesforce.com/0014P00003SGWQ6QAP", "0014P00003SGWQ6QAP")</f>
        <v>0014P00003SGWQ6QAP</v>
      </c>
      <c r="B831" s="2" t="s">
        <v>221</v>
      </c>
      <c r="C831" s="2" t="s">
        <v>423</v>
      </c>
      <c r="D831" s="2" t="s">
        <v>2</v>
      </c>
      <c r="E831" s="2"/>
      <c r="F831" s="2">
        <v>20</v>
      </c>
      <c r="G831" s="2">
        <v>3</v>
      </c>
      <c r="H831" s="2">
        <v>149830</v>
      </c>
      <c r="I831" s="2">
        <v>250</v>
      </c>
      <c r="J831" s="2" t="s">
        <v>1671</v>
      </c>
      <c r="K831" s="2">
        <v>47</v>
      </c>
      <c r="L831" s="2">
        <v>0</v>
      </c>
      <c r="M831" s="2">
        <v>12</v>
      </c>
      <c r="N831" s="2">
        <v>8</v>
      </c>
      <c r="O831" s="2">
        <v>15</v>
      </c>
      <c r="P831" s="2">
        <v>12</v>
      </c>
      <c r="Q831" s="2" t="s">
        <v>222</v>
      </c>
      <c r="R831" s="2" t="s">
        <v>2985</v>
      </c>
      <c r="S831" s="4">
        <v>44837</v>
      </c>
    </row>
    <row r="832" spans="1:19" ht="12.5" x14ac:dyDescent="0.25">
      <c r="A832" s="14" t="str">
        <f>HYPERLINK("https://gerandofalcoes.my.salesforce.com/0014X00002YggpVQAR", "0014X00002YggpVQAR")</f>
        <v>0014X00002YggpVQAR</v>
      </c>
      <c r="B832" s="2" t="s">
        <v>3072</v>
      </c>
      <c r="C832" s="2" t="s">
        <v>423</v>
      </c>
      <c r="D832" s="2" t="s">
        <v>2</v>
      </c>
      <c r="E832" s="2"/>
      <c r="F832" s="2">
        <v>0</v>
      </c>
      <c r="G832" s="2">
        <v>2</v>
      </c>
      <c r="H832" s="2">
        <v>13000</v>
      </c>
      <c r="I832" s="2">
        <v>190</v>
      </c>
      <c r="J832" s="2" t="s">
        <v>1779</v>
      </c>
      <c r="K832" s="2">
        <v>23</v>
      </c>
      <c r="L832" s="2">
        <v>0</v>
      </c>
      <c r="M832" s="2">
        <v>0</v>
      </c>
      <c r="N832" s="2">
        <v>6</v>
      </c>
      <c r="O832" s="2">
        <v>5</v>
      </c>
      <c r="P832" s="2">
        <v>12</v>
      </c>
      <c r="Q832" s="2" t="s">
        <v>3073</v>
      </c>
      <c r="R832" s="2" t="s">
        <v>3074</v>
      </c>
      <c r="S832" s="4">
        <v>44946</v>
      </c>
    </row>
    <row r="833" spans="1:19" ht="12.5" hidden="1" x14ac:dyDescent="0.25">
      <c r="A833" s="14" t="str">
        <f>HYPERLINK("https://gerandofalcoes.my.salesforce.com/0014X00002VKCrIQAX", "0014X00002VKCrIQAX")</f>
        <v>0014X00002VKCrIQAX</v>
      </c>
      <c r="B833" s="2" t="s">
        <v>2670</v>
      </c>
      <c r="C833" s="2" t="s">
        <v>1684</v>
      </c>
      <c r="D833" s="2" t="s">
        <v>2</v>
      </c>
      <c r="E833" s="2">
        <v>17</v>
      </c>
      <c r="F833" s="2">
        <v>0</v>
      </c>
      <c r="G833" s="2">
        <v>2</v>
      </c>
      <c r="H833" s="2">
        <v>1</v>
      </c>
      <c r="I833" s="2">
        <v>0</v>
      </c>
      <c r="J833" s="2" t="s">
        <v>1779</v>
      </c>
      <c r="K833" s="2">
        <v>21</v>
      </c>
      <c r="L833" s="2">
        <v>10</v>
      </c>
      <c r="M833" s="2">
        <v>0</v>
      </c>
      <c r="N833" s="2">
        <v>6</v>
      </c>
      <c r="O833" s="2">
        <v>5</v>
      </c>
      <c r="P833" s="2">
        <v>0</v>
      </c>
      <c r="Q833" s="2" t="s">
        <v>2671</v>
      </c>
      <c r="R833" s="2" t="s">
        <v>2671</v>
      </c>
      <c r="S833" s="4">
        <v>44837</v>
      </c>
    </row>
    <row r="834" spans="1:19" ht="12.5" x14ac:dyDescent="0.25">
      <c r="A834" s="14" t="str">
        <f>HYPERLINK("https://gerandofalcoes.my.salesforce.com/0014X00002YggolQAB", "0014X00002YggolQAB")</f>
        <v>0014X00002YggolQAB</v>
      </c>
      <c r="B834" s="2" t="s">
        <v>3215</v>
      </c>
      <c r="C834" s="2" t="s">
        <v>423</v>
      </c>
      <c r="D834" s="2" t="s">
        <v>2</v>
      </c>
      <c r="E834" s="2"/>
      <c r="F834" s="2">
        <v>0</v>
      </c>
      <c r="G834" s="2">
        <v>2</v>
      </c>
      <c r="H834" s="2">
        <v>0</v>
      </c>
      <c r="I834" s="2">
        <v>100</v>
      </c>
      <c r="J834" s="2" t="s">
        <v>1779</v>
      </c>
      <c r="K834" s="2">
        <v>16</v>
      </c>
      <c r="L834" s="2">
        <v>0</v>
      </c>
      <c r="M834" s="2">
        <v>0</v>
      </c>
      <c r="N834" s="2">
        <v>6</v>
      </c>
      <c r="O834" s="2">
        <v>0</v>
      </c>
      <c r="P834" s="2">
        <v>10</v>
      </c>
      <c r="Q834" s="2" t="s">
        <v>3216</v>
      </c>
      <c r="R834" s="2" t="s">
        <v>3217</v>
      </c>
      <c r="S834" s="4">
        <v>44951</v>
      </c>
    </row>
    <row r="835" spans="1:19" ht="12.5" x14ac:dyDescent="0.25">
      <c r="A835" s="14" t="str">
        <f>HYPERLINK("https://gerandofalcoes.my.salesforce.com/0014X00002YggjIQAR", "0014X00002YggjIQAR")</f>
        <v>0014X00002YggjIQAR</v>
      </c>
      <c r="B835" s="2" t="s">
        <v>3272</v>
      </c>
      <c r="C835" s="2" t="s">
        <v>423</v>
      </c>
      <c r="D835" s="2" t="s">
        <v>2</v>
      </c>
      <c r="E835" s="2"/>
      <c r="F835" s="2">
        <v>3</v>
      </c>
      <c r="G835" s="2">
        <v>2</v>
      </c>
      <c r="H835" s="2">
        <v>2000</v>
      </c>
      <c r="I835" s="2">
        <v>125</v>
      </c>
      <c r="J835" s="2" t="s">
        <v>1779</v>
      </c>
      <c r="K835" s="2">
        <v>26</v>
      </c>
      <c r="L835" s="2">
        <v>0</v>
      </c>
      <c r="M835" s="2">
        <v>5</v>
      </c>
      <c r="N835" s="2">
        <v>6</v>
      </c>
      <c r="O835" s="2">
        <v>5</v>
      </c>
      <c r="P835" s="2">
        <v>10</v>
      </c>
      <c r="Q835" s="2" t="s">
        <v>3273</v>
      </c>
      <c r="R835" s="2" t="s">
        <v>3274</v>
      </c>
      <c r="S835" s="4">
        <v>44952</v>
      </c>
    </row>
    <row r="836" spans="1:19" ht="12.5" hidden="1" x14ac:dyDescent="0.25">
      <c r="A836" s="14" t="str">
        <f>HYPERLINK("https://gerandofalcoes.my.salesforce.com/0014P00003SGWQIQA5", "0014P00003SGWQIQA5")</f>
        <v>0014P00003SGWQIQA5</v>
      </c>
      <c r="B836" s="2" t="s">
        <v>2992</v>
      </c>
      <c r="C836" s="2" t="s">
        <v>1684</v>
      </c>
      <c r="D836" s="2" t="s">
        <v>2</v>
      </c>
      <c r="E836" s="2"/>
      <c r="F836" s="2">
        <v>0</v>
      </c>
      <c r="G836" s="2">
        <v>2</v>
      </c>
      <c r="H836" s="2">
        <v>20000</v>
      </c>
      <c r="I836" s="2">
        <v>0</v>
      </c>
      <c r="J836" s="2" t="s">
        <v>1779</v>
      </c>
      <c r="K836" s="2">
        <v>11</v>
      </c>
      <c r="L836" s="2">
        <v>0</v>
      </c>
      <c r="M836" s="2">
        <v>0</v>
      </c>
      <c r="N836" s="2">
        <v>6</v>
      </c>
      <c r="O836" s="2">
        <v>5</v>
      </c>
      <c r="P836" s="2">
        <v>0</v>
      </c>
      <c r="Q836" s="2" t="s">
        <v>2993</v>
      </c>
      <c r="R836" s="2" t="s">
        <v>2994</v>
      </c>
      <c r="S836" s="4">
        <v>44837</v>
      </c>
    </row>
    <row r="837" spans="1:19" ht="12.5" x14ac:dyDescent="0.25">
      <c r="A837" s="14" t="str">
        <f>HYPERLINK("https://gerandofalcoes.my.salesforce.com/0014X00002bCk8nQAC", "0014X00002bCk8nQAC")</f>
        <v>0014X00002bCk8nQAC</v>
      </c>
      <c r="B837" s="2" t="s">
        <v>3479</v>
      </c>
      <c r="C837" s="2" t="s">
        <v>423</v>
      </c>
      <c r="D837" s="2" t="s">
        <v>2</v>
      </c>
      <c r="E837" s="2"/>
      <c r="F837" s="2">
        <v>0</v>
      </c>
      <c r="G837" s="2">
        <v>2</v>
      </c>
      <c r="H837" s="2">
        <v>5000</v>
      </c>
      <c r="I837" s="2">
        <v>200</v>
      </c>
      <c r="J837" s="2" t="s">
        <v>1779</v>
      </c>
      <c r="K837" s="2">
        <v>23</v>
      </c>
      <c r="L837" s="2">
        <v>0</v>
      </c>
      <c r="M837" s="2">
        <v>0</v>
      </c>
      <c r="N837" s="2">
        <v>6</v>
      </c>
      <c r="O837" s="2">
        <v>5</v>
      </c>
      <c r="P837" s="2">
        <v>12</v>
      </c>
      <c r="Q837" s="2" t="s">
        <v>3480</v>
      </c>
      <c r="R837" s="2" t="s">
        <v>3480</v>
      </c>
      <c r="S837" s="4">
        <v>44958</v>
      </c>
    </row>
    <row r="838" spans="1:19" ht="12.5" x14ac:dyDescent="0.25">
      <c r="A838" s="14" t="str">
        <f>HYPERLINK("https://gerandofalcoes.my.salesforce.com/0014X00002YgglNQAR", "0014X00002YgglNQAR")</f>
        <v>0014X00002YgglNQAR</v>
      </c>
      <c r="B838" s="2" t="s">
        <v>3225</v>
      </c>
      <c r="C838" s="2" t="s">
        <v>423</v>
      </c>
      <c r="D838" s="2" t="s">
        <v>2</v>
      </c>
      <c r="E838" s="2"/>
      <c r="F838" s="2">
        <v>0</v>
      </c>
      <c r="G838" s="2">
        <v>2</v>
      </c>
      <c r="H838" s="2">
        <v>8000</v>
      </c>
      <c r="I838" s="2">
        <v>30</v>
      </c>
      <c r="J838" s="2" t="s">
        <v>1779</v>
      </c>
      <c r="K838" s="2">
        <v>16</v>
      </c>
      <c r="L838" s="2">
        <v>0</v>
      </c>
      <c r="M838" s="2">
        <v>0</v>
      </c>
      <c r="N838" s="2">
        <v>6</v>
      </c>
      <c r="O838" s="2">
        <v>5</v>
      </c>
      <c r="P838" s="2">
        <v>5</v>
      </c>
      <c r="Q838" s="2" t="s">
        <v>3226</v>
      </c>
      <c r="R838" s="2" t="s">
        <v>3227</v>
      </c>
      <c r="S838" s="4">
        <v>44951</v>
      </c>
    </row>
    <row r="839" spans="1:19" ht="12.5" x14ac:dyDescent="0.25">
      <c r="A839" s="14" t="str">
        <f>HYPERLINK("https://gerandofalcoes.my.salesforce.com/0014X00002YggkxQAB", "0014X00002YggkxQAB")</f>
        <v>0014X00002YggkxQAB</v>
      </c>
      <c r="B839" s="2" t="s">
        <v>3733</v>
      </c>
      <c r="C839" s="2" t="s">
        <v>423</v>
      </c>
      <c r="D839" s="2" t="s">
        <v>2</v>
      </c>
      <c r="E839" s="2"/>
      <c r="F839" s="2">
        <v>0</v>
      </c>
      <c r="G839" s="2">
        <v>3</v>
      </c>
      <c r="H839" s="2">
        <v>80000</v>
      </c>
      <c r="I839" s="2">
        <v>250</v>
      </c>
      <c r="J839" s="2" t="s">
        <v>1779</v>
      </c>
      <c r="K839" s="2">
        <v>30</v>
      </c>
      <c r="L839" s="2">
        <v>0</v>
      </c>
      <c r="M839" s="2">
        <v>0</v>
      </c>
      <c r="N839" s="2">
        <v>8</v>
      </c>
      <c r="O839" s="2">
        <v>10</v>
      </c>
      <c r="P839" s="2">
        <v>12</v>
      </c>
      <c r="Q839" s="2" t="s">
        <v>3734</v>
      </c>
      <c r="R839" s="2" t="s">
        <v>3734</v>
      </c>
      <c r="S839" s="4">
        <v>44967</v>
      </c>
    </row>
    <row r="840" spans="1:19" ht="12.5" x14ac:dyDescent="0.25">
      <c r="A840" s="14" t="str">
        <f>HYPERLINK("https://gerandofalcoes.my.salesforce.com/0014X00002YggpuQAB", "0014X00002YggpuQAB")</f>
        <v>0014X00002YggpuQAB</v>
      </c>
      <c r="B840" s="2" t="s">
        <v>3555</v>
      </c>
      <c r="C840" s="2" t="s">
        <v>423</v>
      </c>
      <c r="D840" s="2" t="s">
        <v>2</v>
      </c>
      <c r="E840" s="2"/>
      <c r="F840" s="2">
        <v>0</v>
      </c>
      <c r="G840" s="2">
        <v>3</v>
      </c>
      <c r="H840" s="2">
        <v>864</v>
      </c>
      <c r="I840" s="2">
        <v>70</v>
      </c>
      <c r="J840" s="2" t="s">
        <v>1779</v>
      </c>
      <c r="K840" s="2">
        <v>18</v>
      </c>
      <c r="L840" s="2">
        <v>0</v>
      </c>
      <c r="M840" s="2">
        <v>0</v>
      </c>
      <c r="N840" s="2">
        <v>8</v>
      </c>
      <c r="O840" s="2">
        <v>5</v>
      </c>
      <c r="P840" s="2">
        <v>5</v>
      </c>
      <c r="Q840" s="2" t="s">
        <v>3556</v>
      </c>
      <c r="R840" s="2" t="s">
        <v>3557</v>
      </c>
      <c r="S840" s="4">
        <v>44959</v>
      </c>
    </row>
    <row r="841" spans="1:19" ht="12.5" x14ac:dyDescent="0.25">
      <c r="A841" s="14" t="str">
        <f>HYPERLINK("https://gerandofalcoes.my.salesforce.com/0014X00002YgghhQAB", "0014X00002YgghhQAB")</f>
        <v>0014X00002YgghhQAB</v>
      </c>
      <c r="B841" s="2" t="s">
        <v>3286</v>
      </c>
      <c r="C841" s="2" t="s">
        <v>423</v>
      </c>
      <c r="D841" s="2" t="s">
        <v>2</v>
      </c>
      <c r="E841" s="2"/>
      <c r="F841" s="2">
        <v>1</v>
      </c>
      <c r="G841" s="2">
        <v>2</v>
      </c>
      <c r="H841" s="2">
        <v>0</v>
      </c>
      <c r="I841" s="2">
        <v>46</v>
      </c>
      <c r="J841" s="2" t="s">
        <v>1779</v>
      </c>
      <c r="K841" s="2">
        <v>16</v>
      </c>
      <c r="L841" s="2">
        <v>0</v>
      </c>
      <c r="M841" s="2">
        <v>5</v>
      </c>
      <c r="N841" s="2">
        <v>6</v>
      </c>
      <c r="O841" s="2">
        <v>0</v>
      </c>
      <c r="P841" s="2">
        <v>5</v>
      </c>
      <c r="Q841" s="2" t="s">
        <v>3287</v>
      </c>
      <c r="R841" s="2" t="s">
        <v>3288</v>
      </c>
      <c r="S841" s="4">
        <v>44952</v>
      </c>
    </row>
    <row r="842" spans="1:19" ht="12.5" x14ac:dyDescent="0.25">
      <c r="A842" s="14" t="str">
        <f>HYPERLINK("https://gerandofalcoes.my.salesforce.com/0014X00002YgghdQAB", "0014X00002YgghdQAB")</f>
        <v>0014X00002YgghdQAB</v>
      </c>
      <c r="B842" s="2" t="s">
        <v>3163</v>
      </c>
      <c r="C842" s="2" t="s">
        <v>423</v>
      </c>
      <c r="D842" s="2" t="s">
        <v>2</v>
      </c>
      <c r="E842" s="2"/>
      <c r="F842" s="2">
        <v>0</v>
      </c>
      <c r="G842" s="2">
        <v>4</v>
      </c>
      <c r="H842" s="2">
        <v>2000</v>
      </c>
      <c r="I842" s="2">
        <v>300</v>
      </c>
      <c r="J842" s="2" t="s">
        <v>1779</v>
      </c>
      <c r="K842" s="2">
        <v>30</v>
      </c>
      <c r="L842" s="2">
        <v>0</v>
      </c>
      <c r="M842" s="2">
        <v>0</v>
      </c>
      <c r="N842" s="2">
        <v>10</v>
      </c>
      <c r="O842" s="2">
        <v>5</v>
      </c>
      <c r="P842" s="2">
        <v>15</v>
      </c>
      <c r="Q842" s="2" t="s">
        <v>3164</v>
      </c>
      <c r="R842" s="2" t="s">
        <v>3165</v>
      </c>
      <c r="S842" s="4">
        <v>44950</v>
      </c>
    </row>
    <row r="843" spans="1:19" ht="12.5" x14ac:dyDescent="0.25">
      <c r="A843" s="14" t="str">
        <f>HYPERLINK("https://gerandofalcoes.my.salesforce.com/0014X00002YggmqQAB", "0014X00002YggmqQAB")</f>
        <v>0014X00002YggmqQAB</v>
      </c>
      <c r="B843" s="2" t="s">
        <v>3869</v>
      </c>
      <c r="C843" s="2" t="s">
        <v>423</v>
      </c>
      <c r="D843" s="2" t="s">
        <v>2</v>
      </c>
      <c r="E843" s="2"/>
      <c r="F843" s="2">
        <v>0</v>
      </c>
      <c r="G843" s="2">
        <v>3</v>
      </c>
      <c r="H843" s="2">
        <v>7600</v>
      </c>
      <c r="I843" s="2">
        <v>100</v>
      </c>
      <c r="J843" s="2" t="s">
        <v>1779</v>
      </c>
      <c r="K843" s="2">
        <v>23</v>
      </c>
      <c r="L843" s="2">
        <v>0</v>
      </c>
      <c r="M843" s="2">
        <v>0</v>
      </c>
      <c r="N843" s="2">
        <v>8</v>
      </c>
      <c r="O843" s="2">
        <v>5</v>
      </c>
      <c r="P843" s="2">
        <v>10</v>
      </c>
      <c r="Q843" s="2" t="s">
        <v>3870</v>
      </c>
      <c r="R843" s="2" t="s">
        <v>3870</v>
      </c>
      <c r="S843" s="4">
        <v>45112</v>
      </c>
    </row>
    <row r="844" spans="1:19" ht="12.5" x14ac:dyDescent="0.25">
      <c r="A844" s="14" t="str">
        <f>HYPERLINK("https://gerandofalcoes.my.salesforce.com/0014X00002YggnaQAB", "0014X00002YggnaQAB")</f>
        <v>0014X00002YggnaQAB</v>
      </c>
      <c r="B844" s="2" t="s">
        <v>3874</v>
      </c>
      <c r="C844" s="2" t="s">
        <v>423</v>
      </c>
      <c r="D844" s="2" t="s">
        <v>2</v>
      </c>
      <c r="E844" s="2"/>
      <c r="F844" s="2">
        <v>0</v>
      </c>
      <c r="G844" s="2">
        <v>2</v>
      </c>
      <c r="H844" s="2">
        <v>6000</v>
      </c>
      <c r="I844" s="2">
        <v>58</v>
      </c>
      <c r="J844" s="2" t="s">
        <v>1779</v>
      </c>
      <c r="K844" s="2">
        <v>16</v>
      </c>
      <c r="L844" s="2">
        <v>0</v>
      </c>
      <c r="M844" s="2">
        <v>0</v>
      </c>
      <c r="N844" s="2">
        <v>6</v>
      </c>
      <c r="O844" s="2">
        <v>5</v>
      </c>
      <c r="P844" s="2">
        <v>5</v>
      </c>
      <c r="Q844" s="2" t="s">
        <v>3875</v>
      </c>
      <c r="R844" s="2" t="s">
        <v>3876</v>
      </c>
      <c r="S844" s="4">
        <v>45112</v>
      </c>
    </row>
    <row r="845" spans="1:19" ht="12.5" x14ac:dyDescent="0.25">
      <c r="A845" s="14" t="str">
        <f>HYPERLINK("https://gerandofalcoes.my.salesforce.com/0014X00002YggnrQAB", "0014X00002YggnrQAB")</f>
        <v>0014X00002YggnrQAB</v>
      </c>
      <c r="B845" s="2" t="s">
        <v>3354</v>
      </c>
      <c r="C845" s="2" t="s">
        <v>423</v>
      </c>
      <c r="D845" s="2" t="s">
        <v>2</v>
      </c>
      <c r="E845" s="2"/>
      <c r="F845" s="2">
        <v>2</v>
      </c>
      <c r="G845" s="2">
        <v>5</v>
      </c>
      <c r="H845" s="2">
        <v>7006467</v>
      </c>
      <c r="I845" s="2">
        <v>100</v>
      </c>
      <c r="J845" s="2" t="s">
        <v>1671</v>
      </c>
      <c r="K845" s="2">
        <v>50</v>
      </c>
      <c r="L845" s="2">
        <v>0</v>
      </c>
      <c r="M845" s="2">
        <v>5</v>
      </c>
      <c r="N845" s="2">
        <v>10</v>
      </c>
      <c r="O845" s="2">
        <v>25</v>
      </c>
      <c r="P845" s="2">
        <v>10</v>
      </c>
      <c r="Q845" s="2" t="s">
        <v>3355</v>
      </c>
      <c r="R845" s="2" t="s">
        <v>3356</v>
      </c>
      <c r="S845" s="4">
        <v>44953</v>
      </c>
    </row>
    <row r="846" spans="1:19" ht="12.5" x14ac:dyDescent="0.25">
      <c r="A846" s="14" t="str">
        <f>HYPERLINK("https://gerandofalcoes.my.salesforce.com/0014X00002YggqFQAR", "0014X00002YggqFQAR")</f>
        <v>0014X00002YggqFQAR</v>
      </c>
      <c r="B846" s="2" t="s">
        <v>3571</v>
      </c>
      <c r="C846" s="2" t="s">
        <v>423</v>
      </c>
      <c r="D846" s="2" t="s">
        <v>2</v>
      </c>
      <c r="E846" s="2"/>
      <c r="F846" s="2">
        <v>20</v>
      </c>
      <c r="G846" s="2">
        <v>5</v>
      </c>
      <c r="H846" s="2">
        <v>128992691</v>
      </c>
      <c r="I846" s="2">
        <v>314</v>
      </c>
      <c r="J846" s="2" t="s">
        <v>1671</v>
      </c>
      <c r="K846" s="2">
        <v>62</v>
      </c>
      <c r="L846" s="2">
        <v>0</v>
      </c>
      <c r="M846" s="2">
        <v>12</v>
      </c>
      <c r="N846" s="2">
        <v>10</v>
      </c>
      <c r="O846" s="2">
        <v>25</v>
      </c>
      <c r="P846" s="2">
        <v>15</v>
      </c>
      <c r="Q846" s="2" t="s">
        <v>3572</v>
      </c>
      <c r="R846" s="2" t="s">
        <v>3573</v>
      </c>
      <c r="S846" s="4">
        <v>44960</v>
      </c>
    </row>
    <row r="847" spans="1:19" ht="12.5" x14ac:dyDescent="0.25">
      <c r="A847" s="14" t="str">
        <f>HYPERLINK("https://gerandofalcoes.my.salesforce.com/0014X00002VKCukQAH", "0014X00002VKCukQAH")</f>
        <v>0014X00002VKCukQAH</v>
      </c>
      <c r="B847" s="2" t="s">
        <v>2990</v>
      </c>
      <c r="C847" s="2" t="s">
        <v>1800</v>
      </c>
      <c r="D847" s="2" t="s">
        <v>2</v>
      </c>
      <c r="E847" s="2"/>
      <c r="F847" s="2">
        <v>8</v>
      </c>
      <c r="G847" s="2">
        <v>2</v>
      </c>
      <c r="H847" s="2">
        <v>0</v>
      </c>
      <c r="I847" s="2">
        <v>50</v>
      </c>
      <c r="J847" s="2" t="s">
        <v>1779</v>
      </c>
      <c r="K847" s="2">
        <v>21</v>
      </c>
      <c r="L847" s="2">
        <v>0</v>
      </c>
      <c r="M847" s="2">
        <v>10</v>
      </c>
      <c r="N847" s="2">
        <v>6</v>
      </c>
      <c r="O847" s="2">
        <v>0</v>
      </c>
      <c r="P847" s="2">
        <v>5</v>
      </c>
      <c r="Q847" s="2" t="s">
        <v>2991</v>
      </c>
      <c r="R847" s="2" t="s">
        <v>2991</v>
      </c>
      <c r="S847" s="4">
        <v>44837</v>
      </c>
    </row>
    <row r="848" spans="1:19" ht="12.5" x14ac:dyDescent="0.25">
      <c r="A848" s="14" t="str">
        <f>HYPERLINK("https://gerandofalcoes.my.salesforce.com/0014X00002Yggl1QAB", "0014X00002Yggl1QAB")</f>
        <v>0014X00002Yggl1QAB</v>
      </c>
      <c r="B848" s="2" t="s">
        <v>3530</v>
      </c>
      <c r="C848" s="2" t="s">
        <v>423</v>
      </c>
      <c r="D848" s="2" t="s">
        <v>2</v>
      </c>
      <c r="E848" s="2"/>
      <c r="F848" s="2">
        <v>0</v>
      </c>
      <c r="G848" s="2">
        <v>2</v>
      </c>
      <c r="H848" s="2">
        <v>1000</v>
      </c>
      <c r="I848" s="2">
        <v>0</v>
      </c>
      <c r="J848" s="2" t="s">
        <v>1779</v>
      </c>
      <c r="K848" s="2">
        <v>11</v>
      </c>
      <c r="L848" s="2">
        <v>0</v>
      </c>
      <c r="M848" s="2">
        <v>0</v>
      </c>
      <c r="N848" s="2">
        <v>6</v>
      </c>
      <c r="O848" s="2">
        <v>5</v>
      </c>
      <c r="P848" s="2">
        <v>0</v>
      </c>
      <c r="Q848" s="2" t="s">
        <v>3531</v>
      </c>
      <c r="R848" s="2" t="s">
        <v>3531</v>
      </c>
      <c r="S848" s="4">
        <v>44958</v>
      </c>
    </row>
    <row r="849" spans="1:19" ht="12.5" x14ac:dyDescent="0.25">
      <c r="A849" s="14" t="str">
        <f>HYPERLINK("https://gerandofalcoes.my.salesforce.com/0014X00002Yggh0QAB", "0014X00002Yggh0QAB")</f>
        <v>0014X00002Yggh0QAB</v>
      </c>
      <c r="B849" s="2" t="s">
        <v>3220</v>
      </c>
      <c r="C849" s="2" t="s">
        <v>423</v>
      </c>
      <c r="D849" s="2" t="s">
        <v>2</v>
      </c>
      <c r="E849" s="2"/>
      <c r="F849" s="2">
        <v>10</v>
      </c>
      <c r="G849" s="2">
        <v>2</v>
      </c>
      <c r="H849" s="2">
        <v>10000</v>
      </c>
      <c r="I849" s="2">
        <v>65</v>
      </c>
      <c r="J849" s="2" t="s">
        <v>1779</v>
      </c>
      <c r="K849" s="2">
        <v>26</v>
      </c>
      <c r="L849" s="2">
        <v>0</v>
      </c>
      <c r="M849" s="2">
        <v>10</v>
      </c>
      <c r="N849" s="2">
        <v>6</v>
      </c>
      <c r="O849" s="2">
        <v>5</v>
      </c>
      <c r="P849" s="2">
        <v>5</v>
      </c>
      <c r="Q849" s="2" t="s">
        <v>3221</v>
      </c>
      <c r="R849" s="2" t="s">
        <v>3221</v>
      </c>
      <c r="S849" s="4">
        <v>44951</v>
      </c>
    </row>
    <row r="850" spans="1:19" ht="12.5" hidden="1" x14ac:dyDescent="0.25">
      <c r="A850" s="14" t="str">
        <f>HYPERLINK("https://gerandofalcoes.my.salesforce.com/0014X00002VKCrCQAX", "0014X00002VKCrCQAX")</f>
        <v>0014X00002VKCrCQAX</v>
      </c>
      <c r="B850" s="2" t="s">
        <v>2534</v>
      </c>
      <c r="C850" s="2" t="s">
        <v>1684</v>
      </c>
      <c r="D850" s="2" t="s">
        <v>2</v>
      </c>
      <c r="E850" s="2">
        <v>21</v>
      </c>
      <c r="F850" s="2">
        <v>0</v>
      </c>
      <c r="G850" s="2">
        <v>2</v>
      </c>
      <c r="H850" s="2">
        <v>12000</v>
      </c>
      <c r="I850" s="2">
        <v>0</v>
      </c>
      <c r="J850" s="2" t="s">
        <v>1779</v>
      </c>
      <c r="K850" s="2">
        <v>21</v>
      </c>
      <c r="L850" s="2">
        <v>10</v>
      </c>
      <c r="M850" s="2">
        <v>0</v>
      </c>
      <c r="N850" s="2">
        <v>6</v>
      </c>
      <c r="O850" s="2">
        <v>5</v>
      </c>
      <c r="P850" s="2">
        <v>0</v>
      </c>
      <c r="Q850" s="2" t="s">
        <v>2535</v>
      </c>
      <c r="R850" s="2" t="s">
        <v>2535</v>
      </c>
      <c r="S850" s="4">
        <v>44837</v>
      </c>
    </row>
    <row r="851" spans="1:19" ht="12.5" x14ac:dyDescent="0.25">
      <c r="A851" s="14" t="str">
        <f>HYPERLINK("https://gerandofalcoes.my.salesforce.com/0014X00002YgghzQAB", "0014X00002YgghzQAB")</f>
        <v>0014X00002YgghzQAB</v>
      </c>
      <c r="B851" s="2" t="s">
        <v>3139</v>
      </c>
      <c r="C851" s="2" t="s">
        <v>423</v>
      </c>
      <c r="D851" s="2" t="s">
        <v>2</v>
      </c>
      <c r="E851" s="2"/>
      <c r="F851" s="2">
        <v>1</v>
      </c>
      <c r="G851" s="2">
        <v>4</v>
      </c>
      <c r="H851" s="2">
        <v>2500</v>
      </c>
      <c r="I851" s="2">
        <v>25</v>
      </c>
      <c r="J851" s="2" t="s">
        <v>1779</v>
      </c>
      <c r="K851" s="2">
        <v>25</v>
      </c>
      <c r="L851" s="2">
        <v>0</v>
      </c>
      <c r="M851" s="2">
        <v>5</v>
      </c>
      <c r="N851" s="2">
        <v>10</v>
      </c>
      <c r="O851" s="2">
        <v>5</v>
      </c>
      <c r="P851" s="2">
        <v>5</v>
      </c>
      <c r="Q851" s="2" t="s">
        <v>3140</v>
      </c>
      <c r="R851" s="2" t="s">
        <v>3141</v>
      </c>
      <c r="S851" s="4">
        <v>44949</v>
      </c>
    </row>
    <row r="852" spans="1:19" ht="12.5" x14ac:dyDescent="0.25">
      <c r="A852" s="14" t="str">
        <f>HYPERLINK("https://gerandofalcoes.my.salesforce.com/0014X00002Yggm2QAB", "0014X00002Yggm2QAB")</f>
        <v>0014X00002Yggm2QAB</v>
      </c>
      <c r="B852" s="2" t="s">
        <v>3527</v>
      </c>
      <c r="C852" s="2" t="s">
        <v>423</v>
      </c>
      <c r="D852" s="2" t="s">
        <v>2</v>
      </c>
      <c r="E852" s="2"/>
      <c r="F852" s="2">
        <v>0</v>
      </c>
      <c r="G852" s="2">
        <v>2</v>
      </c>
      <c r="H852" s="2">
        <v>2000</v>
      </c>
      <c r="I852" s="2">
        <v>0</v>
      </c>
      <c r="J852" s="2" t="s">
        <v>1779</v>
      </c>
      <c r="K852" s="2">
        <v>11</v>
      </c>
      <c r="L852" s="2">
        <v>0</v>
      </c>
      <c r="M852" s="2">
        <v>0</v>
      </c>
      <c r="N852" s="2">
        <v>6</v>
      </c>
      <c r="O852" s="2">
        <v>5</v>
      </c>
      <c r="P852" s="2">
        <v>0</v>
      </c>
      <c r="Q852" s="2" t="s">
        <v>3528</v>
      </c>
      <c r="R852" s="2" t="s">
        <v>3529</v>
      </c>
      <c r="S852" s="4">
        <v>44958</v>
      </c>
    </row>
    <row r="853" spans="1:19" ht="12.5" x14ac:dyDescent="0.25">
      <c r="A853" s="14" t="str">
        <f>HYPERLINK("https://gerandofalcoes.my.salesforce.com/0014X00002YggjuQAB", "0014X00002YggjuQAB")</f>
        <v>0014X00002YggjuQAB</v>
      </c>
      <c r="B853" s="2" t="s">
        <v>3583</v>
      </c>
      <c r="C853" s="2" t="s">
        <v>423</v>
      </c>
      <c r="D853" s="2" t="s">
        <v>2</v>
      </c>
      <c r="E853" s="2"/>
      <c r="F853" s="2">
        <v>0</v>
      </c>
      <c r="G853" s="2">
        <v>7</v>
      </c>
      <c r="H853" s="2">
        <v>3000</v>
      </c>
      <c r="I853" s="2">
        <v>30</v>
      </c>
      <c r="J853" s="2" t="s">
        <v>1779</v>
      </c>
      <c r="K853" s="2">
        <v>20</v>
      </c>
      <c r="L853" s="2">
        <v>0</v>
      </c>
      <c r="M853" s="2">
        <v>0</v>
      </c>
      <c r="N853" s="2">
        <v>10</v>
      </c>
      <c r="O853" s="2">
        <v>5</v>
      </c>
      <c r="P853" s="2">
        <v>5</v>
      </c>
      <c r="Q853" s="2" t="s">
        <v>3584</v>
      </c>
      <c r="R853" s="2" t="s">
        <v>3585</v>
      </c>
      <c r="S853" s="4">
        <v>44961</v>
      </c>
    </row>
    <row r="854" spans="1:19" ht="12.5" x14ac:dyDescent="0.25">
      <c r="A854" s="14" t="str">
        <f>HYPERLINK("https://gerandofalcoes.my.salesforce.com/0014X00002YgghwQAB", "0014X00002YgghwQAB")</f>
        <v>0014X00002YgghwQAB</v>
      </c>
      <c r="B854" s="2" t="s">
        <v>3549</v>
      </c>
      <c r="C854" s="2" t="s">
        <v>423</v>
      </c>
      <c r="D854" s="2" t="s">
        <v>2</v>
      </c>
      <c r="E854" s="2"/>
      <c r="F854" s="2">
        <v>0</v>
      </c>
      <c r="G854" s="2">
        <v>3</v>
      </c>
      <c r="H854" s="2">
        <v>2403625</v>
      </c>
      <c r="I854" s="2">
        <v>250</v>
      </c>
      <c r="J854" s="2" t="s">
        <v>1671</v>
      </c>
      <c r="K854" s="2">
        <v>45</v>
      </c>
      <c r="L854" s="2">
        <v>0</v>
      </c>
      <c r="M854" s="2">
        <v>0</v>
      </c>
      <c r="N854" s="2">
        <v>8</v>
      </c>
      <c r="O854" s="2">
        <v>25</v>
      </c>
      <c r="P854" s="2">
        <v>12</v>
      </c>
      <c r="Q854" s="2" t="s">
        <v>3550</v>
      </c>
      <c r="R854" s="2" t="s">
        <v>3551</v>
      </c>
      <c r="S854" s="4">
        <v>44959</v>
      </c>
    </row>
    <row r="855" spans="1:19" ht="12.5" x14ac:dyDescent="0.25">
      <c r="A855" s="14" t="str">
        <f>HYPERLINK("https://gerandofalcoes.my.salesforce.com/0014X00002YggivQAB", "0014X00002YggivQAB")</f>
        <v>0014X00002YggivQAB</v>
      </c>
      <c r="B855" s="2" t="s">
        <v>3931</v>
      </c>
      <c r="C855" s="2" t="s">
        <v>423</v>
      </c>
      <c r="D855" s="2" t="s">
        <v>2</v>
      </c>
      <c r="E855" s="2"/>
      <c r="F855" s="2">
        <v>4</v>
      </c>
      <c r="G855" s="2">
        <v>6</v>
      </c>
      <c r="H855" s="2">
        <v>20</v>
      </c>
      <c r="I855" s="2">
        <v>200</v>
      </c>
      <c r="J855" s="2" t="s">
        <v>1779</v>
      </c>
      <c r="K855" s="2">
        <v>32</v>
      </c>
      <c r="L855" s="2">
        <v>0</v>
      </c>
      <c r="M855" s="2">
        <v>5</v>
      </c>
      <c r="N855" s="2">
        <v>10</v>
      </c>
      <c r="O855" s="2">
        <v>5</v>
      </c>
      <c r="P855" s="2">
        <v>12</v>
      </c>
      <c r="Q855" s="2" t="s">
        <v>3932</v>
      </c>
      <c r="R855" s="2" t="s">
        <v>3932</v>
      </c>
      <c r="S855" s="4">
        <v>44952</v>
      </c>
    </row>
    <row r="856" spans="1:19" ht="12.5" x14ac:dyDescent="0.25">
      <c r="A856" s="14" t="str">
        <f>HYPERLINK("https://gerandofalcoes.my.salesforce.com/0014X00002Yggo3QAB", "0014X00002Yggo3QAB")</f>
        <v>0014X00002Yggo3QAB</v>
      </c>
      <c r="B856" s="2" t="s">
        <v>3103</v>
      </c>
      <c r="C856" s="2" t="s">
        <v>423</v>
      </c>
      <c r="D856" s="2" t="s">
        <v>2</v>
      </c>
      <c r="E856" s="2"/>
      <c r="F856" s="2">
        <v>0</v>
      </c>
      <c r="G856" s="2">
        <v>2</v>
      </c>
      <c r="H856" s="2">
        <v>10000</v>
      </c>
      <c r="I856" s="2">
        <v>0</v>
      </c>
      <c r="J856" s="2" t="s">
        <v>1779</v>
      </c>
      <c r="K856" s="2">
        <v>11</v>
      </c>
      <c r="L856" s="2">
        <v>0</v>
      </c>
      <c r="M856" s="2">
        <v>0</v>
      </c>
      <c r="N856" s="2">
        <v>6</v>
      </c>
      <c r="O856" s="2">
        <v>5</v>
      </c>
      <c r="P856" s="2">
        <v>0</v>
      </c>
      <c r="Q856" s="2" t="s">
        <v>3104</v>
      </c>
      <c r="R856" s="2" t="s">
        <v>3105</v>
      </c>
      <c r="S856" s="4">
        <v>44948</v>
      </c>
    </row>
    <row r="857" spans="1:19" ht="12.5" hidden="1" x14ac:dyDescent="0.25">
      <c r="A857" s="14" t="str">
        <f>HYPERLINK("https://gerandofalcoes.my.salesforce.com/0014X00002VKCrJQAX", "0014X00002VKCrJQAX")</f>
        <v>0014X00002VKCrJQAX</v>
      </c>
      <c r="B857" s="2" t="s">
        <v>2375</v>
      </c>
      <c r="C857" s="2" t="s">
        <v>1684</v>
      </c>
      <c r="D857" s="2" t="s">
        <v>2</v>
      </c>
      <c r="E857" s="2">
        <v>26</v>
      </c>
      <c r="F857" s="2">
        <v>0</v>
      </c>
      <c r="G857" s="2">
        <v>4</v>
      </c>
      <c r="H857" s="2">
        <v>1</v>
      </c>
      <c r="I857" s="2">
        <v>0</v>
      </c>
      <c r="J857" s="2" t="s">
        <v>1779</v>
      </c>
      <c r="K857" s="2">
        <v>30</v>
      </c>
      <c r="L857" s="2">
        <v>15</v>
      </c>
      <c r="M857" s="2">
        <v>0</v>
      </c>
      <c r="N857" s="2">
        <v>10</v>
      </c>
      <c r="O857" s="2">
        <v>5</v>
      </c>
      <c r="P857" s="2">
        <v>0</v>
      </c>
      <c r="Q857" s="2" t="s">
        <v>2376</v>
      </c>
      <c r="R857" s="2" t="s">
        <v>2377</v>
      </c>
      <c r="S857" s="4">
        <v>44837</v>
      </c>
    </row>
    <row r="858" spans="1:19" ht="12.5" x14ac:dyDescent="0.25">
      <c r="A858" s="14" t="str">
        <f>HYPERLINK("https://gerandofalcoes.my.salesforce.com/0014X00002YggmaQAB", "0014X00002YggmaQAB")</f>
        <v>0014X00002YggmaQAB</v>
      </c>
      <c r="B858" s="2" t="s">
        <v>3379</v>
      </c>
      <c r="C858" s="2" t="s">
        <v>423</v>
      </c>
      <c r="D858" s="2" t="s">
        <v>2</v>
      </c>
      <c r="E858" s="2"/>
      <c r="F858" s="2">
        <v>0</v>
      </c>
      <c r="G858" s="2">
        <v>2</v>
      </c>
      <c r="H858" s="2">
        <v>1000</v>
      </c>
      <c r="I858" s="2">
        <v>0</v>
      </c>
      <c r="J858" s="2" t="s">
        <v>1779</v>
      </c>
      <c r="K858" s="2">
        <v>11</v>
      </c>
      <c r="L858" s="2">
        <v>0</v>
      </c>
      <c r="M858" s="2">
        <v>0</v>
      </c>
      <c r="N858" s="2">
        <v>6</v>
      </c>
      <c r="O858" s="2">
        <v>5</v>
      </c>
      <c r="P858" s="2">
        <v>0</v>
      </c>
      <c r="Q858" s="2" t="s">
        <v>3380</v>
      </c>
      <c r="R858" s="2" t="s">
        <v>3380</v>
      </c>
      <c r="S858" s="4">
        <v>44953</v>
      </c>
    </row>
    <row r="859" spans="1:19" ht="12.5" x14ac:dyDescent="0.25">
      <c r="A859" s="14" t="str">
        <f>HYPERLINK("https://gerandofalcoes.my.salesforce.com/0014X00002YgbkqQAB", "0014X00002YgbkqQAB")</f>
        <v>0014X00002YgbkqQAB</v>
      </c>
      <c r="B859" s="2" t="s">
        <v>3773</v>
      </c>
      <c r="C859" s="2" t="s">
        <v>423</v>
      </c>
      <c r="D859" s="2" t="s">
        <v>2</v>
      </c>
      <c r="E859" s="2"/>
      <c r="F859" s="2">
        <v>0</v>
      </c>
      <c r="G859" s="2">
        <v>0</v>
      </c>
      <c r="H859" s="2">
        <v>0</v>
      </c>
      <c r="I859" s="2">
        <v>0</v>
      </c>
      <c r="J859" s="2" t="s">
        <v>1779</v>
      </c>
      <c r="K859" s="2">
        <v>0</v>
      </c>
      <c r="L859" s="2">
        <v>0</v>
      </c>
      <c r="M859" s="2">
        <v>0</v>
      </c>
      <c r="N859" s="2">
        <v>0</v>
      </c>
      <c r="O859" s="2">
        <v>0</v>
      </c>
      <c r="P859" s="2">
        <v>0</v>
      </c>
      <c r="Q859" s="2" t="s">
        <v>3774</v>
      </c>
      <c r="R859" s="2" t="s">
        <v>3774</v>
      </c>
      <c r="S859" s="4">
        <v>44967</v>
      </c>
    </row>
    <row r="860" spans="1:19" ht="12.5" x14ac:dyDescent="0.25">
      <c r="A860" s="14" t="str">
        <f>HYPERLINK("https://gerandofalcoes.my.salesforce.com/0014X00002YgglbQAB", "0014X00002YgglbQAB")</f>
        <v>0014X00002YgglbQAB</v>
      </c>
      <c r="B860" s="2" t="s">
        <v>3218</v>
      </c>
      <c r="C860" s="2" t="s">
        <v>423</v>
      </c>
      <c r="D860" s="2" t="s">
        <v>2</v>
      </c>
      <c r="E860" s="2"/>
      <c r="F860" s="2">
        <v>0</v>
      </c>
      <c r="G860" s="2">
        <v>3</v>
      </c>
      <c r="H860" s="2">
        <v>100000</v>
      </c>
      <c r="I860" s="2">
        <v>75</v>
      </c>
      <c r="J860" s="2" t="s">
        <v>1779</v>
      </c>
      <c r="K860" s="2">
        <v>28</v>
      </c>
      <c r="L860" s="2">
        <v>0</v>
      </c>
      <c r="M860" s="2">
        <v>0</v>
      </c>
      <c r="N860" s="2">
        <v>8</v>
      </c>
      <c r="O860" s="2">
        <v>15</v>
      </c>
      <c r="P860" s="2">
        <v>5</v>
      </c>
      <c r="Q860" s="2" t="s">
        <v>3219</v>
      </c>
      <c r="R860" s="2" t="s">
        <v>3219</v>
      </c>
      <c r="S860" s="4">
        <v>44951</v>
      </c>
    </row>
    <row r="861" spans="1:19" ht="12.5" x14ac:dyDescent="0.25">
      <c r="A861" s="14" t="str">
        <f>HYPERLINK("https://gerandofalcoes.my.salesforce.com/0014X00002YgbkWQAR", "0014X00002YgbkWQAR")</f>
        <v>0014X00002YgbkWQAR</v>
      </c>
      <c r="B861" s="2" t="s">
        <v>3821</v>
      </c>
      <c r="C861" s="2" t="s">
        <v>423</v>
      </c>
      <c r="D861" s="2" t="s">
        <v>2</v>
      </c>
      <c r="E861" s="2"/>
      <c r="F861" s="2">
        <v>0</v>
      </c>
      <c r="G861" s="2">
        <v>0</v>
      </c>
      <c r="H861" s="2">
        <v>0</v>
      </c>
      <c r="I861" s="2">
        <v>0</v>
      </c>
      <c r="J861" s="2" t="s">
        <v>1779</v>
      </c>
      <c r="K861" s="2">
        <v>0</v>
      </c>
      <c r="L861" s="2">
        <v>0</v>
      </c>
      <c r="M861" s="2">
        <v>0</v>
      </c>
      <c r="N861" s="2">
        <v>0</v>
      </c>
      <c r="O861" s="2">
        <v>0</v>
      </c>
      <c r="P861" s="2">
        <v>0</v>
      </c>
      <c r="Q861" s="2" t="s">
        <v>3822</v>
      </c>
      <c r="R861" s="2" t="s">
        <v>3822</v>
      </c>
      <c r="S861" s="4">
        <v>45001</v>
      </c>
    </row>
    <row r="862" spans="1:19" ht="12.5" x14ac:dyDescent="0.25">
      <c r="A862" s="14" t="str">
        <f>HYPERLINK("https://gerandofalcoes.my.salesforce.com/0014X00002YgglUQAR", "0014X00002YgglUQAR")</f>
        <v>0014X00002YgglUQAR</v>
      </c>
      <c r="B862" s="2" t="s">
        <v>3473</v>
      </c>
      <c r="C862" s="2" t="s">
        <v>423</v>
      </c>
      <c r="D862" s="2" t="s">
        <v>2</v>
      </c>
      <c r="E862" s="2"/>
      <c r="F862" s="2">
        <v>0</v>
      </c>
      <c r="G862" s="2">
        <v>2</v>
      </c>
      <c r="H862" s="2">
        <v>0</v>
      </c>
      <c r="I862" s="2">
        <v>0</v>
      </c>
      <c r="J862" s="2" t="s">
        <v>1779</v>
      </c>
      <c r="K862" s="2">
        <v>6</v>
      </c>
      <c r="L862" s="2">
        <v>0</v>
      </c>
      <c r="M862" s="2">
        <v>0</v>
      </c>
      <c r="N862" s="2">
        <v>6</v>
      </c>
      <c r="O862" s="2">
        <v>0</v>
      </c>
      <c r="P862" s="2">
        <v>0</v>
      </c>
      <c r="Q862" s="2" t="s">
        <v>3474</v>
      </c>
      <c r="R862" s="2" t="s">
        <v>3475</v>
      </c>
      <c r="S862" s="4">
        <v>44958</v>
      </c>
    </row>
    <row r="863" spans="1:19" ht="12.5" hidden="1" x14ac:dyDescent="0.25">
      <c r="A863" s="14" t="str">
        <f>HYPERLINK("https://gerandofalcoes.my.salesforce.com/0014P00003SGWPNQA5", "0014P00003SGWPNQA5")</f>
        <v>0014P00003SGWPNQA5</v>
      </c>
      <c r="B863" s="2" t="s">
        <v>2998</v>
      </c>
      <c r="C863" s="2" t="s">
        <v>1684</v>
      </c>
      <c r="D863" s="2" t="s">
        <v>2</v>
      </c>
      <c r="E863" s="2"/>
      <c r="F863" s="2">
        <v>0</v>
      </c>
      <c r="G863" s="2">
        <v>1</v>
      </c>
      <c r="H863" s="2">
        <v>6000</v>
      </c>
      <c r="I863" s="2">
        <v>0</v>
      </c>
      <c r="J863" s="2" t="s">
        <v>1779</v>
      </c>
      <c r="K863" s="2">
        <v>9</v>
      </c>
      <c r="L863" s="2">
        <v>0</v>
      </c>
      <c r="M863" s="2">
        <v>0</v>
      </c>
      <c r="N863" s="2">
        <v>4</v>
      </c>
      <c r="O863" s="2">
        <v>5</v>
      </c>
      <c r="P863" s="2">
        <v>0</v>
      </c>
      <c r="Q863" s="2" t="s">
        <v>359</v>
      </c>
      <c r="R863" s="2" t="s">
        <v>359</v>
      </c>
      <c r="S863" s="4">
        <v>44837</v>
      </c>
    </row>
    <row r="864" spans="1:19" ht="12.5" x14ac:dyDescent="0.25">
      <c r="A864" s="14" t="str">
        <f>HYPERLINK("https://gerandofalcoes.my.salesforce.com/0014X00002Yggp8QAB", "0014X00002Yggp8QAB")</f>
        <v>0014X00002Yggp8QAB</v>
      </c>
      <c r="B864" s="2" t="s">
        <v>3508</v>
      </c>
      <c r="C864" s="2" t="s">
        <v>423</v>
      </c>
      <c r="D864" s="2" t="s">
        <v>2</v>
      </c>
      <c r="E864" s="2"/>
      <c r="F864" s="2">
        <v>17</v>
      </c>
      <c r="G864" s="2">
        <v>5</v>
      </c>
      <c r="H864" s="2">
        <v>75898</v>
      </c>
      <c r="I864" s="2">
        <v>15</v>
      </c>
      <c r="J864" s="2" t="s">
        <v>1779</v>
      </c>
      <c r="K864" s="2">
        <v>37</v>
      </c>
      <c r="L864" s="2">
        <v>0</v>
      </c>
      <c r="M864" s="2">
        <v>12</v>
      </c>
      <c r="N864" s="2">
        <v>10</v>
      </c>
      <c r="O864" s="2">
        <v>10</v>
      </c>
      <c r="P864" s="2">
        <v>5</v>
      </c>
      <c r="Q864" s="2" t="s">
        <v>3509</v>
      </c>
      <c r="R864" s="2" t="s">
        <v>3509</v>
      </c>
      <c r="S864" s="4">
        <v>44958</v>
      </c>
    </row>
    <row r="865" spans="1:19" ht="12.5" x14ac:dyDescent="0.25">
      <c r="A865" s="14" t="str">
        <f>HYPERLINK("https://gerandofalcoes.my.salesforce.com/0014X00002YgbkmQAB", "0014X00002YgbkmQAB")</f>
        <v>0014X00002YgbkmQAB</v>
      </c>
      <c r="B865" s="2" t="s">
        <v>3796</v>
      </c>
      <c r="C865" s="2" t="s">
        <v>423</v>
      </c>
      <c r="D865" s="2" t="s">
        <v>2</v>
      </c>
      <c r="E865" s="2"/>
      <c r="F865" s="2">
        <v>0</v>
      </c>
      <c r="G865" s="2">
        <v>0</v>
      </c>
      <c r="H865" s="2">
        <v>0</v>
      </c>
      <c r="I865" s="2">
        <v>0</v>
      </c>
      <c r="J865" s="2" t="s">
        <v>1779</v>
      </c>
      <c r="K865" s="2">
        <v>0</v>
      </c>
      <c r="L865" s="2">
        <v>0</v>
      </c>
      <c r="M865" s="2">
        <v>0</v>
      </c>
      <c r="N865" s="2">
        <v>0</v>
      </c>
      <c r="O865" s="2">
        <v>0</v>
      </c>
      <c r="P865" s="2">
        <v>0</v>
      </c>
      <c r="Q865" s="2" t="s">
        <v>3797</v>
      </c>
      <c r="R865" s="2" t="s">
        <v>3797</v>
      </c>
      <c r="S865" s="4">
        <v>44968</v>
      </c>
    </row>
    <row r="866" spans="1:19" ht="12.5" x14ac:dyDescent="0.25">
      <c r="A866" s="14" t="str">
        <f>HYPERLINK("https://gerandofalcoes.my.salesforce.com/0014X00002YgglxQAB", "0014X00002YgglxQAB")</f>
        <v>0014X00002YgglxQAB</v>
      </c>
      <c r="B866" s="2" t="s">
        <v>3222</v>
      </c>
      <c r="C866" s="2" t="s">
        <v>423</v>
      </c>
      <c r="D866" s="2" t="s">
        <v>2</v>
      </c>
      <c r="E866" s="2"/>
      <c r="F866" s="2">
        <v>0</v>
      </c>
      <c r="G866" s="2">
        <v>2</v>
      </c>
      <c r="H866" s="2">
        <v>2500</v>
      </c>
      <c r="I866" s="2">
        <v>40</v>
      </c>
      <c r="J866" s="2" t="s">
        <v>1779</v>
      </c>
      <c r="K866" s="2">
        <v>16</v>
      </c>
      <c r="L866" s="2">
        <v>0</v>
      </c>
      <c r="M866" s="2">
        <v>0</v>
      </c>
      <c r="N866" s="2">
        <v>6</v>
      </c>
      <c r="O866" s="2">
        <v>5</v>
      </c>
      <c r="P866" s="2">
        <v>5</v>
      </c>
      <c r="Q866" s="2" t="s">
        <v>3223</v>
      </c>
      <c r="R866" s="2" t="s">
        <v>3224</v>
      </c>
      <c r="S866" s="4">
        <v>44951</v>
      </c>
    </row>
    <row r="867" spans="1:19" ht="12.5" hidden="1" x14ac:dyDescent="0.25">
      <c r="A867" s="14" t="str">
        <f>HYPERLINK("https://gerandofalcoes.my.salesforce.com/0014X00002OFqnrQAD", "0014X00002OFqnrQAD")</f>
        <v>0014X00002OFqnrQAD</v>
      </c>
      <c r="B867" s="2" t="s">
        <v>1791</v>
      </c>
      <c r="C867" s="2" t="s">
        <v>1684</v>
      </c>
      <c r="D867" s="2" t="s">
        <v>27</v>
      </c>
      <c r="E867" s="2">
        <v>56</v>
      </c>
      <c r="F867" s="2">
        <v>0</v>
      </c>
      <c r="G867" s="2">
        <v>0</v>
      </c>
      <c r="H867" s="2">
        <v>0</v>
      </c>
      <c r="I867" s="2">
        <v>0</v>
      </c>
      <c r="J867" s="2" t="s">
        <v>1779</v>
      </c>
      <c r="K867" s="2">
        <v>20</v>
      </c>
      <c r="L867" s="2">
        <v>20</v>
      </c>
      <c r="M867" s="2">
        <v>0</v>
      </c>
      <c r="N867" s="2">
        <v>0</v>
      </c>
      <c r="O867" s="2">
        <v>0</v>
      </c>
      <c r="P867" s="2">
        <v>0</v>
      </c>
      <c r="Q867" s="2"/>
      <c r="R867" s="2"/>
      <c r="S867" s="4">
        <v>44837</v>
      </c>
    </row>
    <row r="868" spans="1:19" ht="12.5" hidden="1" x14ac:dyDescent="0.25">
      <c r="A868" s="14" t="str">
        <f>HYPERLINK("https://gerandofalcoes.my.salesforce.com/0014P00003YSp8PQAT", "0014P00003YSp8PQAT")</f>
        <v>0014P00003YSp8PQAT</v>
      </c>
      <c r="B868" s="2" t="s">
        <v>2832</v>
      </c>
      <c r="C868" s="2" t="s">
        <v>1684</v>
      </c>
      <c r="D868" s="2" t="s">
        <v>2</v>
      </c>
      <c r="E868" s="2">
        <v>11.28</v>
      </c>
      <c r="F868" s="2">
        <v>0</v>
      </c>
      <c r="G868" s="2">
        <v>1</v>
      </c>
      <c r="H868" s="2">
        <v>4546832</v>
      </c>
      <c r="I868" s="2">
        <v>0</v>
      </c>
      <c r="J868" s="2" t="s">
        <v>1779</v>
      </c>
      <c r="K868" s="2">
        <v>39</v>
      </c>
      <c r="L868" s="2">
        <v>10</v>
      </c>
      <c r="M868" s="2">
        <v>0</v>
      </c>
      <c r="N868" s="2">
        <v>4</v>
      </c>
      <c r="O868" s="2">
        <v>25</v>
      </c>
      <c r="P868" s="2">
        <v>0</v>
      </c>
      <c r="Q868" s="2" t="s">
        <v>2833</v>
      </c>
      <c r="R868" s="2" t="s">
        <v>2834</v>
      </c>
      <c r="S868" s="4">
        <v>44837</v>
      </c>
    </row>
    <row r="869" spans="1:19" ht="12.5" x14ac:dyDescent="0.25">
      <c r="A869" s="14" t="str">
        <f>HYPERLINK("https://gerandofalcoes.my.salesforce.com/0014X00002YggkzQAB", "0014X00002YggkzQAB")</f>
        <v>0014X00002YggkzQAB</v>
      </c>
      <c r="B869" s="2" t="s">
        <v>3637</v>
      </c>
      <c r="C869" s="2" t="s">
        <v>423</v>
      </c>
      <c r="D869" s="2" t="s">
        <v>2</v>
      </c>
      <c r="E869" s="2"/>
      <c r="F869" s="2">
        <v>0</v>
      </c>
      <c r="G869" s="2">
        <v>3</v>
      </c>
      <c r="H869" s="2">
        <v>3410</v>
      </c>
      <c r="I869" s="2">
        <v>0</v>
      </c>
      <c r="J869" s="2" t="s">
        <v>1779</v>
      </c>
      <c r="K869" s="2">
        <v>13</v>
      </c>
      <c r="L869" s="2">
        <v>0</v>
      </c>
      <c r="M869" s="2">
        <v>0</v>
      </c>
      <c r="N869" s="2">
        <v>8</v>
      </c>
      <c r="O869" s="2">
        <v>5</v>
      </c>
      <c r="P869" s="2">
        <v>0</v>
      </c>
      <c r="Q869" s="2" t="s">
        <v>3638</v>
      </c>
      <c r="R869" s="2" t="s">
        <v>3639</v>
      </c>
      <c r="S869" s="4">
        <v>44963</v>
      </c>
    </row>
    <row r="870" spans="1:19" ht="12.5" hidden="1" x14ac:dyDescent="0.25">
      <c r="A870" s="14" t="str">
        <f>HYPERLINK("https://gerandofalcoes.my.salesforce.com/0014P00003SGWPwQAP", "0014P00003SGWPwQAP")</f>
        <v>0014P00003SGWPwQAP</v>
      </c>
      <c r="B870" s="2" t="s">
        <v>2999</v>
      </c>
      <c r="C870" s="2" t="s">
        <v>1684</v>
      </c>
      <c r="D870" s="2" t="s">
        <v>2</v>
      </c>
      <c r="E870" s="2"/>
      <c r="F870" s="2">
        <v>0</v>
      </c>
      <c r="G870" s="2">
        <v>1</v>
      </c>
      <c r="H870" s="2">
        <v>0</v>
      </c>
      <c r="I870" s="2">
        <v>0</v>
      </c>
      <c r="J870" s="2" t="s">
        <v>1779</v>
      </c>
      <c r="K870" s="2">
        <v>4</v>
      </c>
      <c r="L870" s="2">
        <v>0</v>
      </c>
      <c r="M870" s="2">
        <v>0</v>
      </c>
      <c r="N870" s="2">
        <v>4</v>
      </c>
      <c r="O870" s="2">
        <v>0</v>
      </c>
      <c r="P870" s="2">
        <v>0</v>
      </c>
      <c r="Q870" s="2" t="s">
        <v>193</v>
      </c>
      <c r="R870" s="2" t="s">
        <v>1095</v>
      </c>
      <c r="S870" s="4">
        <v>44837</v>
      </c>
    </row>
    <row r="871" spans="1:19" ht="12.5" x14ac:dyDescent="0.25">
      <c r="A871" s="14" t="str">
        <f>HYPERLINK("https://gerandofalcoes.my.salesforce.com/0014X00002Yggl5QAB", "0014X00002Yggl5QAB")</f>
        <v>0014X00002Yggl5QAB</v>
      </c>
      <c r="B871" s="2" t="s">
        <v>3484</v>
      </c>
      <c r="C871" s="2" t="s">
        <v>423</v>
      </c>
      <c r="D871" s="2" t="s">
        <v>2</v>
      </c>
      <c r="E871" s="2"/>
      <c r="F871" s="2">
        <v>4</v>
      </c>
      <c r="G871" s="2">
        <v>4</v>
      </c>
      <c r="H871" s="2">
        <v>700</v>
      </c>
      <c r="I871" s="2">
        <v>120</v>
      </c>
      <c r="J871" s="2" t="s">
        <v>1779</v>
      </c>
      <c r="K871" s="2">
        <v>30</v>
      </c>
      <c r="L871" s="2">
        <v>0</v>
      </c>
      <c r="M871" s="2">
        <v>5</v>
      </c>
      <c r="N871" s="2">
        <v>10</v>
      </c>
      <c r="O871" s="2">
        <v>5</v>
      </c>
      <c r="P871" s="2">
        <v>10</v>
      </c>
      <c r="Q871" s="2" t="s">
        <v>3485</v>
      </c>
      <c r="R871" s="2" t="s">
        <v>3485</v>
      </c>
      <c r="S871" s="4">
        <v>44958</v>
      </c>
    </row>
    <row r="872" spans="1:19" ht="12.5" hidden="1" x14ac:dyDescent="0.25">
      <c r="A872" s="14" t="str">
        <f>HYPERLINK("https://gerandofalcoes.my.salesforce.com/0014P00003YSp7YQAT", "0014P00003YSp7YQAT")</f>
        <v>0014P00003YSp7YQAT</v>
      </c>
      <c r="B872" s="2" t="s">
        <v>2001</v>
      </c>
      <c r="C872" s="2" t="s">
        <v>1684</v>
      </c>
      <c r="D872" s="2" t="s">
        <v>2</v>
      </c>
      <c r="E872" s="2">
        <v>39</v>
      </c>
      <c r="F872" s="2">
        <v>1</v>
      </c>
      <c r="G872" s="2">
        <v>0</v>
      </c>
      <c r="H872" s="2">
        <v>0</v>
      </c>
      <c r="I872" s="2">
        <v>0</v>
      </c>
      <c r="J872" s="2" t="s">
        <v>1779</v>
      </c>
      <c r="K872" s="2">
        <v>20</v>
      </c>
      <c r="L872" s="2">
        <v>15</v>
      </c>
      <c r="M872" s="2">
        <v>5</v>
      </c>
      <c r="N872" s="2">
        <v>0</v>
      </c>
      <c r="O872" s="2">
        <v>0</v>
      </c>
      <c r="P872" s="2">
        <v>0</v>
      </c>
      <c r="Q872" s="2" t="s">
        <v>2002</v>
      </c>
      <c r="R872" s="2" t="s">
        <v>2003</v>
      </c>
      <c r="S872" s="4">
        <v>44837</v>
      </c>
    </row>
    <row r="873" spans="1:19" ht="12.5" x14ac:dyDescent="0.25">
      <c r="A873" s="14" t="str">
        <f>HYPERLINK("https://gerandofalcoes.my.salesforce.com/0014X00002YggiJQAR", "0014X00002YggiJQAR")</f>
        <v>0014X00002YggiJQAR</v>
      </c>
      <c r="B873" s="2" t="s">
        <v>3069</v>
      </c>
      <c r="C873" s="2" t="s">
        <v>423</v>
      </c>
      <c r="D873" s="2" t="s">
        <v>2</v>
      </c>
      <c r="E873" s="2"/>
      <c r="F873" s="2">
        <v>1</v>
      </c>
      <c r="G873" s="2">
        <v>2</v>
      </c>
      <c r="H873" s="2">
        <v>0</v>
      </c>
      <c r="I873" s="2">
        <v>1200</v>
      </c>
      <c r="J873" s="2" t="s">
        <v>1779</v>
      </c>
      <c r="K873" s="2">
        <v>31</v>
      </c>
      <c r="L873" s="2">
        <v>0</v>
      </c>
      <c r="M873" s="2">
        <v>5</v>
      </c>
      <c r="N873" s="2">
        <v>6</v>
      </c>
      <c r="O873" s="2">
        <v>0</v>
      </c>
      <c r="P873" s="2">
        <v>20</v>
      </c>
      <c r="Q873" s="2" t="s">
        <v>3070</v>
      </c>
      <c r="R873" s="2" t="s">
        <v>3071</v>
      </c>
      <c r="S873" s="4">
        <v>44946</v>
      </c>
    </row>
    <row r="874" spans="1:19" ht="12.5" x14ac:dyDescent="0.25">
      <c r="A874" s="14" t="str">
        <f>HYPERLINK("https://gerandofalcoes.my.salesforce.com/0014X00002YggieQAB", "0014X00002YggieQAB")</f>
        <v>0014X00002YggieQAB</v>
      </c>
      <c r="B874" s="2" t="s">
        <v>3887</v>
      </c>
      <c r="C874" s="2" t="s">
        <v>423</v>
      </c>
      <c r="D874" s="2" t="s">
        <v>2</v>
      </c>
      <c r="E874" s="2"/>
      <c r="F874" s="2">
        <v>0</v>
      </c>
      <c r="G874" s="2">
        <v>3</v>
      </c>
      <c r="H874" s="2">
        <v>5000</v>
      </c>
      <c r="I874" s="2">
        <v>20</v>
      </c>
      <c r="J874" s="2" t="s">
        <v>1779</v>
      </c>
      <c r="K874" s="2">
        <v>18</v>
      </c>
      <c r="L874" s="2">
        <v>0</v>
      </c>
      <c r="M874" s="2">
        <v>0</v>
      </c>
      <c r="N874" s="2">
        <v>8</v>
      </c>
      <c r="O874" s="2">
        <v>5</v>
      </c>
      <c r="P874" s="2">
        <v>5</v>
      </c>
      <c r="Q874" s="2" t="s">
        <v>3888</v>
      </c>
      <c r="R874" s="2" t="s">
        <v>3888</v>
      </c>
      <c r="S874" s="4">
        <v>45112</v>
      </c>
    </row>
    <row r="875" spans="1:19" ht="12.5" x14ac:dyDescent="0.25">
      <c r="A875" s="14" t="str">
        <f>HYPERLINK("https://gerandofalcoes.my.salesforce.com/0014X00002YggntQAB", "0014X00002YggntQAB")</f>
        <v>0014X00002YggntQAB</v>
      </c>
      <c r="B875" s="2" t="s">
        <v>3109</v>
      </c>
      <c r="C875" s="2" t="s">
        <v>423</v>
      </c>
      <c r="D875" s="2" t="s">
        <v>2</v>
      </c>
      <c r="E875" s="2"/>
      <c r="F875" s="2">
        <v>0</v>
      </c>
      <c r="G875" s="2">
        <v>2</v>
      </c>
      <c r="H875" s="2">
        <v>40000</v>
      </c>
      <c r="I875" s="2">
        <v>0</v>
      </c>
      <c r="J875" s="2" t="s">
        <v>1779</v>
      </c>
      <c r="K875" s="2">
        <v>16</v>
      </c>
      <c r="L875" s="2">
        <v>0</v>
      </c>
      <c r="M875" s="2">
        <v>0</v>
      </c>
      <c r="N875" s="2">
        <v>6</v>
      </c>
      <c r="O875" s="2">
        <v>10</v>
      </c>
      <c r="P875" s="2">
        <v>0</v>
      </c>
      <c r="Q875" s="2" t="s">
        <v>3110</v>
      </c>
      <c r="R875" s="2" t="s">
        <v>3110</v>
      </c>
      <c r="S875" s="4">
        <v>44948</v>
      </c>
    </row>
    <row r="876" spans="1:19" ht="12.5" x14ac:dyDescent="0.25">
      <c r="A876" s="14" t="str">
        <f>HYPERLINK("https://gerandofalcoes.my.salesforce.com/0014X00002YggqZQAR", "0014X00002YggqZQAR")</f>
        <v>0014X00002YggqZQAR</v>
      </c>
      <c r="B876" s="2" t="s">
        <v>3289</v>
      </c>
      <c r="C876" s="2" t="s">
        <v>423</v>
      </c>
      <c r="D876" s="2" t="s">
        <v>2</v>
      </c>
      <c r="E876" s="2"/>
      <c r="F876" s="2">
        <v>5</v>
      </c>
      <c r="G876" s="2">
        <v>3</v>
      </c>
      <c r="H876" s="2">
        <v>1000</v>
      </c>
      <c r="I876" s="2">
        <v>23</v>
      </c>
      <c r="J876" s="2" t="s">
        <v>1779</v>
      </c>
      <c r="K876" s="2">
        <v>23</v>
      </c>
      <c r="L876" s="2">
        <v>0</v>
      </c>
      <c r="M876" s="2">
        <v>5</v>
      </c>
      <c r="N876" s="2">
        <v>8</v>
      </c>
      <c r="O876" s="2">
        <v>5</v>
      </c>
      <c r="P876" s="2">
        <v>5</v>
      </c>
      <c r="Q876" s="2" t="s">
        <v>3290</v>
      </c>
      <c r="R876" s="2" t="s">
        <v>3290</v>
      </c>
      <c r="S876" s="4">
        <v>44952</v>
      </c>
    </row>
    <row r="877" spans="1:19" ht="12.5" x14ac:dyDescent="0.25">
      <c r="A877" s="14" t="str">
        <f>HYPERLINK("https://gerandofalcoes.my.salesforce.com/0014X00002Yggn8QAB", "0014X00002Yggn8QAB")</f>
        <v>0014X00002Yggn8QAB</v>
      </c>
      <c r="B877" s="2" t="s">
        <v>3497</v>
      </c>
      <c r="C877" s="2" t="s">
        <v>423</v>
      </c>
      <c r="D877" s="2" t="s">
        <v>2</v>
      </c>
      <c r="E877" s="2"/>
      <c r="F877" s="2">
        <v>0</v>
      </c>
      <c r="G877" s="2">
        <v>2</v>
      </c>
      <c r="H877" s="2">
        <v>0</v>
      </c>
      <c r="I877" s="2">
        <v>30</v>
      </c>
      <c r="J877" s="2" t="s">
        <v>1779</v>
      </c>
      <c r="K877" s="2">
        <v>11</v>
      </c>
      <c r="L877" s="2">
        <v>0</v>
      </c>
      <c r="M877" s="2">
        <v>0</v>
      </c>
      <c r="N877" s="2">
        <v>6</v>
      </c>
      <c r="O877" s="2">
        <v>0</v>
      </c>
      <c r="P877" s="2">
        <v>5</v>
      </c>
      <c r="Q877" s="2" t="s">
        <v>3498</v>
      </c>
      <c r="R877" s="2" t="s">
        <v>3499</v>
      </c>
      <c r="S877" s="4">
        <v>44958</v>
      </c>
    </row>
    <row r="878" spans="1:19" ht="12.5" x14ac:dyDescent="0.25">
      <c r="A878" s="14" t="str">
        <f>HYPERLINK("https://gerandofalcoes.my.salesforce.com/0014X00002YggpxQAB", "0014X00002YggpxQAB")</f>
        <v>0014X00002YggpxQAB</v>
      </c>
      <c r="B878" s="2" t="s">
        <v>3760</v>
      </c>
      <c r="C878" s="2" t="s">
        <v>423</v>
      </c>
      <c r="D878" s="2" t="s">
        <v>2</v>
      </c>
      <c r="E878" s="2"/>
      <c r="F878" s="2">
        <v>6</v>
      </c>
      <c r="G878" s="2">
        <v>2</v>
      </c>
      <c r="H878" s="2">
        <v>235000</v>
      </c>
      <c r="I878" s="2">
        <v>10</v>
      </c>
      <c r="J878" s="2" t="s">
        <v>1779</v>
      </c>
      <c r="K878" s="2">
        <v>36</v>
      </c>
      <c r="L878" s="2">
        <v>0</v>
      </c>
      <c r="M878" s="2">
        <v>10</v>
      </c>
      <c r="N878" s="2">
        <v>6</v>
      </c>
      <c r="O878" s="2">
        <v>15</v>
      </c>
      <c r="P878" s="2">
        <v>5</v>
      </c>
      <c r="Q878" s="2" t="s">
        <v>3761</v>
      </c>
      <c r="R878" s="2" t="s">
        <v>3762</v>
      </c>
      <c r="S878" s="4">
        <v>44967</v>
      </c>
    </row>
    <row r="879" spans="1:19" ht="12.5" x14ac:dyDescent="0.25">
      <c r="A879" s="14" t="str">
        <f>HYPERLINK("https://gerandofalcoes.my.salesforce.com/0014X00002YggnEQAR", "0014X00002YggnEQAR")</f>
        <v>0014X00002YggnEQAR</v>
      </c>
      <c r="B879" s="2" t="s">
        <v>3673</v>
      </c>
      <c r="C879" s="2" t="s">
        <v>423</v>
      </c>
      <c r="D879" s="2" t="s">
        <v>2</v>
      </c>
      <c r="E879" s="2"/>
      <c r="F879" s="2">
        <v>4</v>
      </c>
      <c r="G879" s="2">
        <v>2</v>
      </c>
      <c r="H879" s="2">
        <v>10000</v>
      </c>
      <c r="I879" s="2">
        <v>60</v>
      </c>
      <c r="J879" s="2" t="s">
        <v>1779</v>
      </c>
      <c r="K879" s="2">
        <v>21</v>
      </c>
      <c r="L879" s="2">
        <v>0</v>
      </c>
      <c r="M879" s="2">
        <v>5</v>
      </c>
      <c r="N879" s="2">
        <v>6</v>
      </c>
      <c r="O879" s="2">
        <v>5</v>
      </c>
      <c r="P879" s="2">
        <v>5</v>
      </c>
      <c r="Q879" s="2" t="s">
        <v>3674</v>
      </c>
      <c r="R879" s="2" t="s">
        <v>3674</v>
      </c>
      <c r="S879" s="4">
        <v>44964</v>
      </c>
    </row>
    <row r="880" spans="1:19" ht="12.5" x14ac:dyDescent="0.25">
      <c r="A880" s="14" t="str">
        <f>HYPERLINK("https://gerandofalcoes.my.salesforce.com/0014X00002YggmJQAR", "0014X00002YggmJQAR")</f>
        <v>0014X00002YggmJQAR</v>
      </c>
      <c r="B880" s="2" t="s">
        <v>3343</v>
      </c>
      <c r="C880" s="2" t="s">
        <v>423</v>
      </c>
      <c r="D880" s="2" t="s">
        <v>2</v>
      </c>
      <c r="E880" s="2"/>
      <c r="F880" s="2">
        <v>0</v>
      </c>
      <c r="G880" s="2">
        <v>2</v>
      </c>
      <c r="H880" s="2">
        <v>15000</v>
      </c>
      <c r="I880" s="2">
        <v>130</v>
      </c>
      <c r="J880" s="2" t="s">
        <v>1779</v>
      </c>
      <c r="K880" s="2">
        <v>21</v>
      </c>
      <c r="L880" s="2">
        <v>0</v>
      </c>
      <c r="M880" s="2">
        <v>0</v>
      </c>
      <c r="N880" s="2">
        <v>6</v>
      </c>
      <c r="O880" s="2">
        <v>5</v>
      </c>
      <c r="P880" s="2">
        <v>10</v>
      </c>
      <c r="Q880" s="2" t="s">
        <v>3344</v>
      </c>
      <c r="R880" s="2" t="s">
        <v>3345</v>
      </c>
      <c r="S880" s="4">
        <v>44953</v>
      </c>
    </row>
    <row r="881" spans="1:19" ht="12.5" x14ac:dyDescent="0.25">
      <c r="A881" s="14" t="str">
        <f>HYPERLINK("https://gerandofalcoes.my.salesforce.com/0014X00002YggoBQAR", "0014X00002YggoBQAR")</f>
        <v>0014X00002YggoBQAR</v>
      </c>
      <c r="B881" s="2" t="s">
        <v>3642</v>
      </c>
      <c r="C881" s="2" t="s">
        <v>423</v>
      </c>
      <c r="D881" s="2" t="s">
        <v>2</v>
      </c>
      <c r="E881" s="2"/>
      <c r="F881" s="2">
        <v>0</v>
      </c>
      <c r="G881" s="2">
        <v>3</v>
      </c>
      <c r="H881" s="2">
        <v>1200</v>
      </c>
      <c r="I881" s="2">
        <v>0</v>
      </c>
      <c r="J881" s="2" t="s">
        <v>1779</v>
      </c>
      <c r="K881" s="2">
        <v>13</v>
      </c>
      <c r="L881" s="2">
        <v>0</v>
      </c>
      <c r="M881" s="2">
        <v>0</v>
      </c>
      <c r="N881" s="2">
        <v>8</v>
      </c>
      <c r="O881" s="2">
        <v>5</v>
      </c>
      <c r="P881" s="2">
        <v>0</v>
      </c>
      <c r="Q881" s="2" t="s">
        <v>3643</v>
      </c>
      <c r="R881" s="2" t="s">
        <v>3643</v>
      </c>
      <c r="S881" s="4">
        <v>44963</v>
      </c>
    </row>
    <row r="882" spans="1:19" ht="12.5" x14ac:dyDescent="0.25">
      <c r="A882" s="14" t="str">
        <f>HYPERLINK("https://gerandofalcoes.my.salesforce.com/0014X00002YggqtQAB", "0014X00002YggqtQAB")</f>
        <v>0014X00002YggqtQAB</v>
      </c>
      <c r="B882" s="2" t="s">
        <v>3883</v>
      </c>
      <c r="C882" s="2" t="s">
        <v>423</v>
      </c>
      <c r="D882" s="2" t="s">
        <v>2</v>
      </c>
      <c r="E882" s="2"/>
      <c r="F882" s="2">
        <v>0</v>
      </c>
      <c r="G882" s="2">
        <v>3</v>
      </c>
      <c r="H882" s="2">
        <v>0</v>
      </c>
      <c r="I882" s="2">
        <v>30</v>
      </c>
      <c r="J882" s="2" t="s">
        <v>1779</v>
      </c>
      <c r="K882" s="2">
        <v>13</v>
      </c>
      <c r="L882" s="2">
        <v>0</v>
      </c>
      <c r="M882" s="2">
        <v>0</v>
      </c>
      <c r="N882" s="2">
        <v>8</v>
      </c>
      <c r="O882" s="2">
        <v>0</v>
      </c>
      <c r="P882" s="2">
        <v>5</v>
      </c>
      <c r="Q882" s="2" t="s">
        <v>3884</v>
      </c>
      <c r="R882" s="2" t="s">
        <v>3884</v>
      </c>
      <c r="S882" s="4">
        <v>45112</v>
      </c>
    </row>
    <row r="883" spans="1:19" ht="12.5" x14ac:dyDescent="0.25">
      <c r="A883" s="14" t="str">
        <f>HYPERLINK("https://gerandofalcoes.my.salesforce.com/0014X00002YggmGQAR", "0014X00002YggmGQAR")</f>
        <v>0014X00002YggmGQAR</v>
      </c>
      <c r="B883" s="2" t="s">
        <v>3130</v>
      </c>
      <c r="C883" s="2" t="s">
        <v>423</v>
      </c>
      <c r="D883" s="2" t="s">
        <v>2</v>
      </c>
      <c r="E883" s="2"/>
      <c r="F883" s="2">
        <v>10</v>
      </c>
      <c r="G883" s="2">
        <v>2</v>
      </c>
      <c r="H883" s="2">
        <v>3000</v>
      </c>
      <c r="I883" s="2">
        <v>60</v>
      </c>
      <c r="J883" s="2" t="s">
        <v>1779</v>
      </c>
      <c r="K883" s="2">
        <v>26</v>
      </c>
      <c r="L883" s="2">
        <v>0</v>
      </c>
      <c r="M883" s="2">
        <v>10</v>
      </c>
      <c r="N883" s="2">
        <v>6</v>
      </c>
      <c r="O883" s="2">
        <v>5</v>
      </c>
      <c r="P883" s="2">
        <v>5</v>
      </c>
      <c r="Q883" s="2" t="s">
        <v>3131</v>
      </c>
      <c r="R883" s="2" t="s">
        <v>3132</v>
      </c>
      <c r="S883" s="4">
        <v>44949</v>
      </c>
    </row>
    <row r="884" spans="1:19" ht="12.5" x14ac:dyDescent="0.25">
      <c r="A884" s="14" t="str">
        <f>HYPERLINK("https://gerandofalcoes.my.salesforce.com/0014X00002bCkJzQAK", "0014X00002bCkJzQAK")</f>
        <v>0014X00002bCkJzQAK</v>
      </c>
      <c r="B884" s="2" t="s">
        <v>3296</v>
      </c>
      <c r="C884" s="2" t="s">
        <v>423</v>
      </c>
      <c r="D884" s="2" t="s">
        <v>2</v>
      </c>
      <c r="E884" s="2"/>
      <c r="F884" s="2">
        <v>25</v>
      </c>
      <c r="G884" s="2">
        <v>2</v>
      </c>
      <c r="H884" s="2">
        <v>1000000</v>
      </c>
      <c r="I884" s="2">
        <v>0</v>
      </c>
      <c r="J884" s="2" t="s">
        <v>1671</v>
      </c>
      <c r="K884" s="2">
        <v>43</v>
      </c>
      <c r="L884" s="2">
        <v>0</v>
      </c>
      <c r="M884" s="2">
        <v>12</v>
      </c>
      <c r="N884" s="2">
        <v>6</v>
      </c>
      <c r="O884" s="2">
        <v>25</v>
      </c>
      <c r="P884" s="2">
        <v>0</v>
      </c>
      <c r="Q884" s="2" t="s">
        <v>3297</v>
      </c>
      <c r="R884" s="2" t="s">
        <v>3298</v>
      </c>
      <c r="S884" s="4">
        <v>44952</v>
      </c>
    </row>
    <row r="885" spans="1:19" ht="12.5" x14ac:dyDescent="0.25">
      <c r="A885" s="14" t="str">
        <f>HYPERLINK("https://gerandofalcoes.my.salesforce.com/0014X00002YggnyQAB", "0014X00002YggnyQAB")</f>
        <v>0014X00002YggnyQAB</v>
      </c>
      <c r="B885" s="2" t="s">
        <v>3519</v>
      </c>
      <c r="C885" s="2" t="s">
        <v>423</v>
      </c>
      <c r="D885" s="2" t="s">
        <v>2</v>
      </c>
      <c r="E885" s="2"/>
      <c r="F885" s="2">
        <v>25</v>
      </c>
      <c r="G885" s="2">
        <v>3</v>
      </c>
      <c r="H885" s="2">
        <v>49000</v>
      </c>
      <c r="I885" s="2">
        <v>0</v>
      </c>
      <c r="J885" s="2" t="s">
        <v>1779</v>
      </c>
      <c r="K885" s="2">
        <v>30</v>
      </c>
      <c r="L885" s="2">
        <v>0</v>
      </c>
      <c r="M885" s="2">
        <v>12</v>
      </c>
      <c r="N885" s="2">
        <v>8</v>
      </c>
      <c r="O885" s="2">
        <v>10</v>
      </c>
      <c r="P885" s="2">
        <v>0</v>
      </c>
      <c r="Q885" s="2" t="s">
        <v>3520</v>
      </c>
      <c r="R885" s="2" t="s">
        <v>3521</v>
      </c>
      <c r="S885" s="4">
        <v>44958</v>
      </c>
    </row>
    <row r="886" spans="1:19" ht="12.5" x14ac:dyDescent="0.25">
      <c r="A886" s="14" t="str">
        <f>HYPERLINK("https://gerandofalcoes.my.salesforce.com/0014X00002YggimQAB", "0014X00002YggimQAB")</f>
        <v>0014X00002YggimQAB</v>
      </c>
      <c r="B886" s="2" t="s">
        <v>3146</v>
      </c>
      <c r="C886" s="2" t="s">
        <v>423</v>
      </c>
      <c r="D886" s="2" t="s">
        <v>2</v>
      </c>
      <c r="E886" s="2"/>
      <c r="F886" s="2">
        <v>0</v>
      </c>
      <c r="G886" s="2">
        <v>2</v>
      </c>
      <c r="H886" s="2">
        <v>200</v>
      </c>
      <c r="I886" s="2">
        <v>0</v>
      </c>
      <c r="J886" s="2" t="s">
        <v>1779</v>
      </c>
      <c r="K886" s="2">
        <v>11</v>
      </c>
      <c r="L886" s="2">
        <v>0</v>
      </c>
      <c r="M886" s="2">
        <v>0</v>
      </c>
      <c r="N886" s="2">
        <v>6</v>
      </c>
      <c r="O886" s="2">
        <v>5</v>
      </c>
      <c r="P886" s="2">
        <v>0</v>
      </c>
      <c r="Q886" s="2" t="s">
        <v>3147</v>
      </c>
      <c r="R886" s="2" t="s">
        <v>3148</v>
      </c>
      <c r="S886" s="4">
        <v>44949</v>
      </c>
    </row>
    <row r="887" spans="1:19" ht="12.5" hidden="1" x14ac:dyDescent="0.25">
      <c r="A887" s="14" t="str">
        <f>HYPERLINK("https://gerandofalcoes.my.salesforce.com/0014P00003YSp9DQAT", "0014P00003YSp9DQAT")</f>
        <v>0014P00003YSp9DQAT</v>
      </c>
      <c r="B887" s="2" t="s">
        <v>2539</v>
      </c>
      <c r="C887" s="2" t="s">
        <v>1684</v>
      </c>
      <c r="D887" s="2" t="s">
        <v>2</v>
      </c>
      <c r="E887" s="2">
        <v>21</v>
      </c>
      <c r="F887" s="2">
        <v>1</v>
      </c>
      <c r="G887" s="2">
        <v>0</v>
      </c>
      <c r="H887" s="2">
        <v>0</v>
      </c>
      <c r="I887" s="2">
        <v>0</v>
      </c>
      <c r="J887" s="2" t="s">
        <v>1779</v>
      </c>
      <c r="K887" s="2">
        <v>15</v>
      </c>
      <c r="L887" s="2">
        <v>10</v>
      </c>
      <c r="M887" s="2">
        <v>5</v>
      </c>
      <c r="N887" s="2">
        <v>0</v>
      </c>
      <c r="O887" s="2">
        <v>0</v>
      </c>
      <c r="P887" s="2">
        <v>0</v>
      </c>
      <c r="Q887" s="2" t="s">
        <v>2540</v>
      </c>
      <c r="R887" s="2" t="s">
        <v>2540</v>
      </c>
      <c r="S887" s="4">
        <v>44837</v>
      </c>
    </row>
    <row r="888" spans="1:19" ht="12.5" x14ac:dyDescent="0.25">
      <c r="A888" s="14" t="str">
        <f>HYPERLINK("https://gerandofalcoes.my.salesforce.com/0014X00002Yggo7QAB", "0014X00002Yggo7QAB")</f>
        <v>0014X00002Yggo7QAB</v>
      </c>
      <c r="B888" s="2" t="s">
        <v>3270</v>
      </c>
      <c r="C888" s="2" t="s">
        <v>423</v>
      </c>
      <c r="D888" s="2" t="s">
        <v>2</v>
      </c>
      <c r="E888" s="2"/>
      <c r="F888" s="2">
        <v>0</v>
      </c>
      <c r="G888" s="2">
        <v>2</v>
      </c>
      <c r="H888" s="2">
        <v>9000</v>
      </c>
      <c r="I888" s="2">
        <v>300</v>
      </c>
      <c r="J888" s="2" t="s">
        <v>1779</v>
      </c>
      <c r="K888" s="2">
        <v>26</v>
      </c>
      <c r="L888" s="2">
        <v>0</v>
      </c>
      <c r="M888" s="2">
        <v>0</v>
      </c>
      <c r="N888" s="2">
        <v>6</v>
      </c>
      <c r="O888" s="2">
        <v>5</v>
      </c>
      <c r="P888" s="2">
        <v>15</v>
      </c>
      <c r="Q888" s="2" t="s">
        <v>3271</v>
      </c>
      <c r="R888" s="2" t="s">
        <v>3271</v>
      </c>
      <c r="S888" s="4">
        <v>44952</v>
      </c>
    </row>
    <row r="889" spans="1:19" ht="12.5" hidden="1" x14ac:dyDescent="0.25">
      <c r="A889" s="14" t="str">
        <f>HYPERLINK("https://gerandofalcoes.my.salesforce.com/0014P00003YSp9IQAT", "0014P00003YSp9IQAT")</f>
        <v>0014P00003YSp9IQAT</v>
      </c>
      <c r="B889" s="2" t="s">
        <v>2425</v>
      </c>
      <c r="C889" s="2" t="s">
        <v>1684</v>
      </c>
      <c r="D889" s="2" t="s">
        <v>2</v>
      </c>
      <c r="E889" s="2">
        <v>25</v>
      </c>
      <c r="F889" s="2">
        <v>0</v>
      </c>
      <c r="G889" s="2">
        <v>0</v>
      </c>
      <c r="H889" s="2">
        <v>0</v>
      </c>
      <c r="I889" s="2">
        <v>0</v>
      </c>
      <c r="J889" s="2" t="s">
        <v>1779</v>
      </c>
      <c r="K889" s="2">
        <v>15</v>
      </c>
      <c r="L889" s="2">
        <v>15</v>
      </c>
      <c r="M889" s="2">
        <v>0</v>
      </c>
      <c r="N889" s="2">
        <v>0</v>
      </c>
      <c r="O889" s="2">
        <v>0</v>
      </c>
      <c r="P889" s="2">
        <v>0</v>
      </c>
      <c r="Q889" s="2" t="s">
        <v>2426</v>
      </c>
      <c r="R889" s="2" t="s">
        <v>2427</v>
      </c>
      <c r="S889" s="4">
        <v>44837</v>
      </c>
    </row>
    <row r="890" spans="1:19" ht="12.5" x14ac:dyDescent="0.25">
      <c r="A890" s="14" t="str">
        <f>HYPERLINK("https://gerandofalcoes.my.salesforce.com/0014X00002YggmLQAR", "0014X00002YggmLQAR")</f>
        <v>0014X00002YggmLQAR</v>
      </c>
      <c r="B890" s="2" t="s">
        <v>3871</v>
      </c>
      <c r="C890" s="2" t="s">
        <v>423</v>
      </c>
      <c r="D890" s="2" t="s">
        <v>2</v>
      </c>
      <c r="E890" s="2"/>
      <c r="F890" s="2">
        <v>4</v>
      </c>
      <c r="G890" s="2">
        <v>100</v>
      </c>
      <c r="H890" s="2">
        <v>1200</v>
      </c>
      <c r="I890" s="2">
        <v>100</v>
      </c>
      <c r="J890" s="2" t="s">
        <v>1779</v>
      </c>
      <c r="K890" s="2">
        <v>30</v>
      </c>
      <c r="L890" s="2">
        <v>0</v>
      </c>
      <c r="M890" s="2">
        <v>5</v>
      </c>
      <c r="N890" s="2">
        <v>10</v>
      </c>
      <c r="O890" s="2">
        <v>5</v>
      </c>
      <c r="P890" s="2">
        <v>10</v>
      </c>
      <c r="Q890" s="2" t="s">
        <v>3872</v>
      </c>
      <c r="R890" s="2" t="s">
        <v>3873</v>
      </c>
      <c r="S890" s="4">
        <v>45112</v>
      </c>
    </row>
    <row r="891" spans="1:19" ht="12.5" x14ac:dyDescent="0.25">
      <c r="A891" s="14" t="str">
        <f>HYPERLINK("https://gerandofalcoes.my.salesforce.com/0014X00002YggleQAB", "0014X00002YggleQAB")</f>
        <v>0014X00002YggleQAB</v>
      </c>
      <c r="B891" s="2" t="s">
        <v>3083</v>
      </c>
      <c r="C891" s="2" t="s">
        <v>423</v>
      </c>
      <c r="D891" s="2" t="s">
        <v>2</v>
      </c>
      <c r="E891" s="2"/>
      <c r="F891" s="2">
        <v>0</v>
      </c>
      <c r="G891" s="2">
        <v>2</v>
      </c>
      <c r="H891" s="2">
        <v>50000</v>
      </c>
      <c r="I891" s="2">
        <v>50</v>
      </c>
      <c r="J891" s="2" t="s">
        <v>1779</v>
      </c>
      <c r="K891" s="2">
        <v>21</v>
      </c>
      <c r="L891" s="2">
        <v>0</v>
      </c>
      <c r="M891" s="2">
        <v>0</v>
      </c>
      <c r="N891" s="2">
        <v>6</v>
      </c>
      <c r="O891" s="2">
        <v>10</v>
      </c>
      <c r="P891" s="2">
        <v>5</v>
      </c>
      <c r="Q891" s="2" t="s">
        <v>3084</v>
      </c>
      <c r="R891" s="2" t="s">
        <v>3084</v>
      </c>
      <c r="S891" s="4">
        <v>44946</v>
      </c>
    </row>
    <row r="892" spans="1:19" ht="12.5" hidden="1" x14ac:dyDescent="0.25">
      <c r="A892" s="14" t="str">
        <f>HYPERLINK("https://gerandofalcoes.my.salesforce.com/0014P00003YSpAAQA1", "0014P00003YSpAAQA1")</f>
        <v>0014P00003YSpAAQA1</v>
      </c>
      <c r="B892" s="2" t="s">
        <v>2428</v>
      </c>
      <c r="C892" s="2" t="s">
        <v>1684</v>
      </c>
      <c r="D892" s="2" t="s">
        <v>2</v>
      </c>
      <c r="E892" s="2">
        <v>25</v>
      </c>
      <c r="F892" s="2">
        <v>0</v>
      </c>
      <c r="G892" s="2">
        <v>0</v>
      </c>
      <c r="H892" s="2">
        <v>0</v>
      </c>
      <c r="I892" s="2">
        <v>0</v>
      </c>
      <c r="J892" s="2" t="s">
        <v>1779</v>
      </c>
      <c r="K892" s="2">
        <v>15</v>
      </c>
      <c r="L892" s="2">
        <v>15</v>
      </c>
      <c r="M892" s="2">
        <v>0</v>
      </c>
      <c r="N892" s="2">
        <v>0</v>
      </c>
      <c r="O892" s="2">
        <v>0</v>
      </c>
      <c r="P892" s="2">
        <v>0</v>
      </c>
      <c r="Q892" s="2" t="s">
        <v>2429</v>
      </c>
      <c r="R892" s="2" t="s">
        <v>2430</v>
      </c>
      <c r="S892" s="4">
        <v>44837</v>
      </c>
    </row>
    <row r="893" spans="1:19" ht="12.5" hidden="1" x14ac:dyDescent="0.25">
      <c r="A893" s="14" t="str">
        <f>HYPERLINK("https://gerandofalcoes.my.salesforce.com/0014P00003YSpAFQA1", "0014P00003YSpAFQA1")</f>
        <v>0014P00003YSpAFQA1</v>
      </c>
      <c r="B893" s="2" t="s">
        <v>2191</v>
      </c>
      <c r="C893" s="2" t="s">
        <v>1684</v>
      </c>
      <c r="D893" s="2" t="s">
        <v>2</v>
      </c>
      <c r="E893" s="2">
        <v>33</v>
      </c>
      <c r="F893" s="2">
        <v>3</v>
      </c>
      <c r="G893" s="2">
        <v>0</v>
      </c>
      <c r="H893" s="2">
        <v>0</v>
      </c>
      <c r="I893" s="2">
        <v>0</v>
      </c>
      <c r="J893" s="2" t="s">
        <v>1779</v>
      </c>
      <c r="K893" s="2">
        <v>20</v>
      </c>
      <c r="L893" s="2">
        <v>15</v>
      </c>
      <c r="M893" s="2">
        <v>5</v>
      </c>
      <c r="N893" s="2">
        <v>0</v>
      </c>
      <c r="O893" s="2">
        <v>0</v>
      </c>
      <c r="P893" s="2">
        <v>0</v>
      </c>
      <c r="Q893" s="2" t="s">
        <v>2192</v>
      </c>
      <c r="R893" s="2" t="s">
        <v>2193</v>
      </c>
      <c r="S893" s="4">
        <v>44837</v>
      </c>
    </row>
    <row r="894" spans="1:19" ht="12.5" x14ac:dyDescent="0.25">
      <c r="A894" s="14" t="str">
        <f>HYPERLINK("https://gerandofalcoes.my.salesforce.com/0014X00002YggmbQAB", "0014X00002YggmbQAB")</f>
        <v>0014X00002YggmbQAB</v>
      </c>
      <c r="B894" s="2" t="s">
        <v>3586</v>
      </c>
      <c r="C894" s="2" t="s">
        <v>423</v>
      </c>
      <c r="D894" s="2" t="s">
        <v>2</v>
      </c>
      <c r="E894" s="2"/>
      <c r="F894" s="2">
        <v>1</v>
      </c>
      <c r="G894" s="2">
        <v>4</v>
      </c>
      <c r="H894" s="2">
        <v>24000</v>
      </c>
      <c r="I894" s="2">
        <v>15</v>
      </c>
      <c r="J894" s="2" t="s">
        <v>1779</v>
      </c>
      <c r="K894" s="2">
        <v>25</v>
      </c>
      <c r="L894" s="2">
        <v>0</v>
      </c>
      <c r="M894" s="2">
        <v>5</v>
      </c>
      <c r="N894" s="2">
        <v>10</v>
      </c>
      <c r="O894" s="2">
        <v>5</v>
      </c>
      <c r="P894" s="2">
        <v>5</v>
      </c>
      <c r="Q894" s="2" t="s">
        <v>3587</v>
      </c>
      <c r="R894" s="2" t="s">
        <v>3587</v>
      </c>
      <c r="S894" s="4">
        <v>44961</v>
      </c>
    </row>
    <row r="895" spans="1:19" ht="12.5" x14ac:dyDescent="0.25">
      <c r="A895" s="14" t="str">
        <f>HYPERLINK("https://gerandofalcoes.my.salesforce.com/0014X00002YggnQQAR", "0014X00002YggnQQAR")</f>
        <v>0014X00002YggnQQAR</v>
      </c>
      <c r="B895" s="2" t="s">
        <v>3210</v>
      </c>
      <c r="C895" s="2" t="s">
        <v>423</v>
      </c>
      <c r="D895" s="2" t="s">
        <v>2</v>
      </c>
      <c r="E895" s="2"/>
      <c r="F895" s="2">
        <v>12</v>
      </c>
      <c r="G895" s="2">
        <v>5</v>
      </c>
      <c r="H895" s="2">
        <v>226000</v>
      </c>
      <c r="I895" s="2">
        <v>323</v>
      </c>
      <c r="J895" s="2" t="s">
        <v>1671</v>
      </c>
      <c r="K895" s="2">
        <v>52</v>
      </c>
      <c r="L895" s="2">
        <v>0</v>
      </c>
      <c r="M895" s="2">
        <v>12</v>
      </c>
      <c r="N895" s="2">
        <v>10</v>
      </c>
      <c r="O895" s="2">
        <v>15</v>
      </c>
      <c r="P895" s="2">
        <v>15</v>
      </c>
      <c r="Q895" s="2" t="s">
        <v>3211</v>
      </c>
      <c r="R895" s="2" t="s">
        <v>3212</v>
      </c>
      <c r="S895" s="4">
        <v>44951</v>
      </c>
    </row>
    <row r="896" spans="1:19" ht="12.5" x14ac:dyDescent="0.25">
      <c r="A896" s="14" t="str">
        <f>HYPERLINK("https://gerandofalcoes.my.salesforce.com/0014X00002YggjrQAB", "0014X00002YggjrQAB")</f>
        <v>0014X00002YggjrQAB</v>
      </c>
      <c r="B896" s="2" t="s">
        <v>3040</v>
      </c>
      <c r="C896" s="2" t="s">
        <v>423</v>
      </c>
      <c r="D896" s="2" t="s">
        <v>2</v>
      </c>
      <c r="E896" s="2"/>
      <c r="F896" s="2">
        <v>0</v>
      </c>
      <c r="G896" s="2">
        <v>2</v>
      </c>
      <c r="H896" s="2">
        <v>86000</v>
      </c>
      <c r="I896" s="2">
        <v>170</v>
      </c>
      <c r="J896" s="2" t="s">
        <v>1779</v>
      </c>
      <c r="K896" s="2">
        <v>28</v>
      </c>
      <c r="L896" s="2">
        <v>0</v>
      </c>
      <c r="M896" s="2">
        <v>0</v>
      </c>
      <c r="N896" s="2">
        <v>6</v>
      </c>
      <c r="O896" s="2">
        <v>10</v>
      </c>
      <c r="P896" s="2">
        <v>12</v>
      </c>
      <c r="Q896" s="2" t="s">
        <v>3041</v>
      </c>
      <c r="R896" s="2" t="s">
        <v>3042</v>
      </c>
      <c r="S896" s="4">
        <v>44945</v>
      </c>
    </row>
    <row r="897" spans="1:19" ht="12.5" x14ac:dyDescent="0.25">
      <c r="A897" s="14" t="str">
        <f>HYPERLINK("https://gerandofalcoes.my.salesforce.com/0014X00002YgggdQAB", "0014X00002YgggdQAB")</f>
        <v>0014X00002YgggdQAB</v>
      </c>
      <c r="B897" s="2" t="s">
        <v>3492</v>
      </c>
      <c r="C897" s="2" t="s">
        <v>423</v>
      </c>
      <c r="D897" s="2" t="s">
        <v>2</v>
      </c>
      <c r="E897" s="2"/>
      <c r="F897" s="2">
        <v>0</v>
      </c>
      <c r="G897" s="2">
        <v>2</v>
      </c>
      <c r="H897" s="2">
        <v>6000</v>
      </c>
      <c r="I897" s="2">
        <v>52</v>
      </c>
      <c r="J897" s="2" t="s">
        <v>1779</v>
      </c>
      <c r="K897" s="2">
        <v>16</v>
      </c>
      <c r="L897" s="2">
        <v>0</v>
      </c>
      <c r="M897" s="2">
        <v>0</v>
      </c>
      <c r="N897" s="2">
        <v>6</v>
      </c>
      <c r="O897" s="2">
        <v>5</v>
      </c>
      <c r="P897" s="2">
        <v>5</v>
      </c>
      <c r="Q897" s="2" t="s">
        <v>3493</v>
      </c>
      <c r="R897" s="2" t="s">
        <v>3493</v>
      </c>
      <c r="S897" s="4">
        <v>44958</v>
      </c>
    </row>
    <row r="898" spans="1:19" ht="12.5" hidden="1" x14ac:dyDescent="0.25">
      <c r="A898" s="14" t="str">
        <f>HYPERLINK("https://gerandofalcoes.my.salesforce.com/0014P00003YSpAKQA1", "0014P00003YSpAKQA1")</f>
        <v>0014P00003YSpAKQA1</v>
      </c>
      <c r="B898" s="2" t="s">
        <v>2245</v>
      </c>
      <c r="C898" s="2" t="s">
        <v>1684</v>
      </c>
      <c r="D898" s="2" t="s">
        <v>2</v>
      </c>
      <c r="E898" s="2">
        <v>31</v>
      </c>
      <c r="F898" s="2">
        <v>0</v>
      </c>
      <c r="G898" s="2">
        <v>2</v>
      </c>
      <c r="H898" s="2">
        <v>15000</v>
      </c>
      <c r="I898" s="2">
        <v>0</v>
      </c>
      <c r="J898" s="2" t="s">
        <v>1779</v>
      </c>
      <c r="K898" s="2">
        <v>26</v>
      </c>
      <c r="L898" s="2">
        <v>15</v>
      </c>
      <c r="M898" s="2">
        <v>0</v>
      </c>
      <c r="N898" s="2">
        <v>6</v>
      </c>
      <c r="O898" s="2">
        <v>5</v>
      </c>
      <c r="P898" s="2">
        <v>0</v>
      </c>
      <c r="Q898" s="2" t="s">
        <v>2246</v>
      </c>
      <c r="R898" s="2" t="s">
        <v>2246</v>
      </c>
      <c r="S898" s="4">
        <v>44837</v>
      </c>
    </row>
    <row r="899" spans="1:19" ht="12.5" x14ac:dyDescent="0.25">
      <c r="A899" s="14" t="str">
        <f>HYPERLINK("https://gerandofalcoes.my.salesforce.com/0014X00002YgglaQAB", "0014X00002YgglaQAB")</f>
        <v>0014X00002YgglaQAB</v>
      </c>
      <c r="B899" s="2" t="s">
        <v>3802</v>
      </c>
      <c r="C899" s="2" t="s">
        <v>423</v>
      </c>
      <c r="D899" s="2" t="s">
        <v>2</v>
      </c>
      <c r="E899" s="2"/>
      <c r="F899" s="2">
        <v>10</v>
      </c>
      <c r="G899" s="2">
        <v>2</v>
      </c>
      <c r="H899" s="2">
        <v>6000</v>
      </c>
      <c r="I899" s="2">
        <v>25</v>
      </c>
      <c r="J899" s="2" t="s">
        <v>1779</v>
      </c>
      <c r="K899" s="2">
        <v>26</v>
      </c>
      <c r="L899" s="2">
        <v>0</v>
      </c>
      <c r="M899" s="2">
        <v>10</v>
      </c>
      <c r="N899" s="2">
        <v>6</v>
      </c>
      <c r="O899" s="2">
        <v>5</v>
      </c>
      <c r="P899" s="2">
        <v>5</v>
      </c>
      <c r="Q899" s="2" t="s">
        <v>3803</v>
      </c>
      <c r="R899" s="2" t="s">
        <v>3804</v>
      </c>
      <c r="S899" s="4">
        <v>44970</v>
      </c>
    </row>
    <row r="900" spans="1:19" ht="12.5" x14ac:dyDescent="0.25">
      <c r="A900" s="14" t="str">
        <f>HYPERLINK("https://gerandofalcoes.my.salesforce.com/0014X00002YggpbQAB", "0014X00002YggpbQAB")</f>
        <v>0014X00002YggpbQAB</v>
      </c>
      <c r="B900" s="2" t="s">
        <v>3038</v>
      </c>
      <c r="C900" s="2" t="s">
        <v>423</v>
      </c>
      <c r="D900" s="2" t="s">
        <v>2</v>
      </c>
      <c r="E900" s="2"/>
      <c r="F900" s="2">
        <v>10</v>
      </c>
      <c r="G900" s="2">
        <v>2</v>
      </c>
      <c r="H900" s="2">
        <v>15000</v>
      </c>
      <c r="I900" s="2">
        <v>240</v>
      </c>
      <c r="J900" s="2" t="s">
        <v>1779</v>
      </c>
      <c r="K900" s="2">
        <v>33</v>
      </c>
      <c r="L900" s="2">
        <v>0</v>
      </c>
      <c r="M900" s="2">
        <v>10</v>
      </c>
      <c r="N900" s="2">
        <v>6</v>
      </c>
      <c r="O900" s="2">
        <v>5</v>
      </c>
      <c r="P900" s="2">
        <v>12</v>
      </c>
      <c r="Q900" s="2" t="s">
        <v>3039</v>
      </c>
      <c r="R900" s="2" t="s">
        <v>3039</v>
      </c>
      <c r="S900" s="4">
        <v>44945</v>
      </c>
    </row>
    <row r="901" spans="1:19" ht="12.5" x14ac:dyDescent="0.25">
      <c r="A901" s="14" t="str">
        <f>HYPERLINK("https://gerandofalcoes.my.salesforce.com/0014X00002YgghNQAR", "0014X00002YgghNQAR")</f>
        <v>0014X00002YgghNQAR</v>
      </c>
      <c r="B901" s="2" t="s">
        <v>3268</v>
      </c>
      <c r="C901" s="2" t="s">
        <v>423</v>
      </c>
      <c r="D901" s="2" t="s">
        <v>2</v>
      </c>
      <c r="E901" s="2"/>
      <c r="F901" s="2">
        <v>0</v>
      </c>
      <c r="G901" s="2">
        <v>5</v>
      </c>
      <c r="H901" s="2">
        <v>150</v>
      </c>
      <c r="I901" s="2">
        <v>350</v>
      </c>
      <c r="J901" s="2" t="s">
        <v>1779</v>
      </c>
      <c r="K901" s="2">
        <v>30</v>
      </c>
      <c r="L901" s="2">
        <v>0</v>
      </c>
      <c r="M901" s="2">
        <v>0</v>
      </c>
      <c r="N901" s="2">
        <v>10</v>
      </c>
      <c r="O901" s="2">
        <v>5</v>
      </c>
      <c r="P901" s="2">
        <v>15</v>
      </c>
      <c r="Q901" s="2" t="s">
        <v>3269</v>
      </c>
      <c r="R901" s="2" t="s">
        <v>3269</v>
      </c>
      <c r="S901" s="4">
        <v>44952</v>
      </c>
    </row>
    <row r="902" spans="1:19" ht="12.5" x14ac:dyDescent="0.25">
      <c r="A902" s="14" t="str">
        <f>HYPERLINK("https://gerandofalcoes.my.salesforce.com/0014X00002YgggLQAR", "0014X00002YgggLQAR")</f>
        <v>0014X00002YgggLQAR</v>
      </c>
      <c r="B902" s="2" t="s">
        <v>3486</v>
      </c>
      <c r="C902" s="2" t="s">
        <v>423</v>
      </c>
      <c r="D902" s="2" t="s">
        <v>2</v>
      </c>
      <c r="E902" s="2"/>
      <c r="F902" s="2">
        <v>10</v>
      </c>
      <c r="G902" s="2">
        <v>4</v>
      </c>
      <c r="H902" s="2">
        <v>208</v>
      </c>
      <c r="I902" s="2">
        <v>108</v>
      </c>
      <c r="J902" s="2" t="s">
        <v>1779</v>
      </c>
      <c r="K902" s="2">
        <v>35</v>
      </c>
      <c r="L902" s="2">
        <v>0</v>
      </c>
      <c r="M902" s="2">
        <v>10</v>
      </c>
      <c r="N902" s="2">
        <v>10</v>
      </c>
      <c r="O902" s="2">
        <v>5</v>
      </c>
      <c r="P902" s="2">
        <v>10</v>
      </c>
      <c r="Q902" s="2" t="s">
        <v>3487</v>
      </c>
      <c r="R902" s="2" t="s">
        <v>3488</v>
      </c>
      <c r="S902" s="4">
        <v>44958</v>
      </c>
    </row>
    <row r="903" spans="1:19" ht="12.5" x14ac:dyDescent="0.25">
      <c r="A903" s="14" t="str">
        <f>HYPERLINK("https://gerandofalcoes.my.salesforce.com/0014X00002YggjwQAB", "0014X00002YggjwQAB")</f>
        <v>0014X00002YggjwQAB</v>
      </c>
      <c r="B903" s="2" t="s">
        <v>3863</v>
      </c>
      <c r="C903" s="2" t="s">
        <v>423</v>
      </c>
      <c r="D903" s="2" t="s">
        <v>2</v>
      </c>
      <c r="E903" s="2"/>
      <c r="F903" s="2">
        <v>99</v>
      </c>
      <c r="G903" s="2">
        <v>4</v>
      </c>
      <c r="H903" s="2">
        <v>60000</v>
      </c>
      <c r="I903" s="2">
        <v>200</v>
      </c>
      <c r="J903" s="2" t="s">
        <v>1671</v>
      </c>
      <c r="K903" s="2">
        <v>47</v>
      </c>
      <c r="L903" s="2">
        <v>0</v>
      </c>
      <c r="M903" s="2">
        <v>15</v>
      </c>
      <c r="N903" s="2">
        <v>10</v>
      </c>
      <c r="O903" s="2">
        <v>10</v>
      </c>
      <c r="P903" s="2">
        <v>12</v>
      </c>
      <c r="Q903" s="2" t="s">
        <v>3864</v>
      </c>
      <c r="R903" s="2" t="s">
        <v>3865</v>
      </c>
      <c r="S903" s="4">
        <v>45112</v>
      </c>
    </row>
    <row r="904" spans="1:19" ht="12.5" hidden="1" x14ac:dyDescent="0.25">
      <c r="A904" s="14" t="str">
        <f>HYPERLINK("https://gerandofalcoes.my.salesforce.com/0014P00003YSp9dQAD", "0014P00003YSp9dQAD")</f>
        <v>0014P00003YSp9dQAD</v>
      </c>
      <c r="B904" s="2" t="s">
        <v>2691</v>
      </c>
      <c r="C904" s="2" t="s">
        <v>1684</v>
      </c>
      <c r="D904" s="2" t="s">
        <v>2</v>
      </c>
      <c r="E904" s="2">
        <v>16</v>
      </c>
      <c r="F904" s="2">
        <v>0</v>
      </c>
      <c r="G904" s="2">
        <v>2</v>
      </c>
      <c r="H904" s="2">
        <v>10000</v>
      </c>
      <c r="I904" s="2">
        <v>0</v>
      </c>
      <c r="J904" s="2" t="s">
        <v>1779</v>
      </c>
      <c r="K904" s="2">
        <v>21</v>
      </c>
      <c r="L904" s="2">
        <v>10</v>
      </c>
      <c r="M904" s="2">
        <v>0</v>
      </c>
      <c r="N904" s="2">
        <v>6</v>
      </c>
      <c r="O904" s="2">
        <v>5</v>
      </c>
      <c r="P904" s="2">
        <v>0</v>
      </c>
      <c r="Q904" s="2" t="s">
        <v>2692</v>
      </c>
      <c r="R904" s="2" t="s">
        <v>2693</v>
      </c>
      <c r="S904" s="4">
        <v>44837</v>
      </c>
    </row>
    <row r="905" spans="1:19" ht="12.5" x14ac:dyDescent="0.25">
      <c r="A905" s="14" t="str">
        <f>HYPERLINK("https://gerandofalcoes.my.salesforce.com/0014X00002YggqTQAR", "0014X00002YggqTQAR")</f>
        <v>0014X00002YggqTQAR</v>
      </c>
      <c r="B905" s="2" t="s">
        <v>3683</v>
      </c>
      <c r="C905" s="2" t="s">
        <v>423</v>
      </c>
      <c r="D905" s="2" t="s">
        <v>2</v>
      </c>
      <c r="E905" s="2"/>
      <c r="F905" s="2">
        <v>0</v>
      </c>
      <c r="G905" s="2">
        <v>3</v>
      </c>
      <c r="H905" s="2">
        <v>0</v>
      </c>
      <c r="I905" s="2">
        <v>0</v>
      </c>
      <c r="J905" s="2" t="s">
        <v>1779</v>
      </c>
      <c r="K905" s="2">
        <v>8</v>
      </c>
      <c r="L905" s="2">
        <v>0</v>
      </c>
      <c r="M905" s="2">
        <v>0</v>
      </c>
      <c r="N905" s="2">
        <v>8</v>
      </c>
      <c r="O905" s="2">
        <v>0</v>
      </c>
      <c r="P905" s="2">
        <v>0</v>
      </c>
      <c r="Q905" s="2" t="s">
        <v>3684</v>
      </c>
      <c r="R905" s="2" t="s">
        <v>3685</v>
      </c>
      <c r="S905" s="4">
        <v>44964</v>
      </c>
    </row>
    <row r="906" spans="1:19" ht="12.5" x14ac:dyDescent="0.25">
      <c r="A906" s="14" t="str">
        <f>HYPERLINK("https://gerandofalcoes.my.salesforce.com/0014X00002YgggWQAR", "0014X00002YgggWQAR")</f>
        <v>0014X00002YgggWQAR</v>
      </c>
      <c r="B906" s="2" t="s">
        <v>3476</v>
      </c>
      <c r="C906" s="2" t="s">
        <v>423</v>
      </c>
      <c r="D906" s="2" t="s">
        <v>2</v>
      </c>
      <c r="E906" s="2"/>
      <c r="F906" s="2">
        <v>0</v>
      </c>
      <c r="G906" s="2">
        <v>2</v>
      </c>
      <c r="H906" s="2">
        <v>0</v>
      </c>
      <c r="I906" s="2">
        <v>250</v>
      </c>
      <c r="J906" s="2" t="s">
        <v>1779</v>
      </c>
      <c r="K906" s="2">
        <v>18</v>
      </c>
      <c r="L906" s="2">
        <v>0</v>
      </c>
      <c r="M906" s="2">
        <v>0</v>
      </c>
      <c r="N906" s="2">
        <v>6</v>
      </c>
      <c r="O906" s="2">
        <v>0</v>
      </c>
      <c r="P906" s="2">
        <v>12</v>
      </c>
      <c r="Q906" s="2" t="s">
        <v>3477</v>
      </c>
      <c r="R906" s="2" t="s">
        <v>3478</v>
      </c>
      <c r="S906" s="4">
        <v>44958</v>
      </c>
    </row>
    <row r="907" spans="1:19" ht="12.5" x14ac:dyDescent="0.25">
      <c r="A907" s="14" t="str">
        <f>HYPERLINK("https://gerandofalcoes.my.salesforce.com/0014X00002Yggk6QAB", "0014X00002Yggk6QAB")</f>
        <v>0014X00002Yggk6QAB</v>
      </c>
      <c r="B907" s="2" t="s">
        <v>3370</v>
      </c>
      <c r="C907" s="2" t="s">
        <v>423</v>
      </c>
      <c r="D907" s="2" t="s">
        <v>2</v>
      </c>
      <c r="E907" s="2"/>
      <c r="F907" s="2">
        <v>0</v>
      </c>
      <c r="G907" s="2">
        <v>2</v>
      </c>
      <c r="H907" s="2">
        <v>1000</v>
      </c>
      <c r="I907" s="2">
        <v>20</v>
      </c>
      <c r="J907" s="2" t="s">
        <v>1779</v>
      </c>
      <c r="K907" s="2">
        <v>16</v>
      </c>
      <c r="L907" s="2">
        <v>0</v>
      </c>
      <c r="M907" s="2">
        <v>0</v>
      </c>
      <c r="N907" s="2">
        <v>6</v>
      </c>
      <c r="O907" s="2">
        <v>5</v>
      </c>
      <c r="P907" s="2">
        <v>5</v>
      </c>
      <c r="Q907" s="2" t="s">
        <v>3371</v>
      </c>
      <c r="R907" s="2" t="s">
        <v>3371</v>
      </c>
      <c r="S907" s="4">
        <v>44953</v>
      </c>
    </row>
    <row r="908" spans="1:19" ht="12.5" hidden="1" x14ac:dyDescent="0.25">
      <c r="A908" s="14" t="str">
        <f>HYPERLINK("https://gerandofalcoes.my.salesforce.com/0014P00003YSp9tQAD", "0014P00003YSp9tQAD")</f>
        <v>0014P00003YSp9tQAD</v>
      </c>
      <c r="B908" s="2" t="s">
        <v>2022</v>
      </c>
      <c r="C908" s="2" t="s">
        <v>1684</v>
      </c>
      <c r="D908" s="2" t="s">
        <v>2</v>
      </c>
      <c r="E908" s="2">
        <v>38</v>
      </c>
      <c r="F908" s="2">
        <v>0</v>
      </c>
      <c r="G908" s="2">
        <v>0</v>
      </c>
      <c r="H908" s="2">
        <v>0</v>
      </c>
      <c r="I908" s="2">
        <v>0</v>
      </c>
      <c r="J908" s="2" t="s">
        <v>1779</v>
      </c>
      <c r="K908" s="2">
        <v>15</v>
      </c>
      <c r="L908" s="2">
        <v>15</v>
      </c>
      <c r="M908" s="2">
        <v>0</v>
      </c>
      <c r="N908" s="2">
        <v>0</v>
      </c>
      <c r="O908" s="2">
        <v>0</v>
      </c>
      <c r="P908" s="2">
        <v>0</v>
      </c>
      <c r="Q908" s="2" t="s">
        <v>2023</v>
      </c>
      <c r="R908" s="2" t="s">
        <v>2024</v>
      </c>
      <c r="S908" s="4">
        <v>44837</v>
      </c>
    </row>
    <row r="909" spans="1:19" ht="12.5" x14ac:dyDescent="0.25">
      <c r="A909" s="14" t="str">
        <f>HYPERLINK("https://gerandofalcoes.my.salesforce.com/0014X00002YggirQAB", "0014X00002YggirQAB")</f>
        <v>0014X00002YggirQAB</v>
      </c>
      <c r="B909" s="2" t="s">
        <v>3213</v>
      </c>
      <c r="C909" s="2" t="s">
        <v>423</v>
      </c>
      <c r="D909" s="2" t="s">
        <v>2</v>
      </c>
      <c r="E909" s="2"/>
      <c r="F909" s="2">
        <v>0</v>
      </c>
      <c r="G909" s="2">
        <v>2</v>
      </c>
      <c r="H909" s="2">
        <v>5000</v>
      </c>
      <c r="I909" s="2">
        <v>100</v>
      </c>
      <c r="J909" s="2" t="s">
        <v>1779</v>
      </c>
      <c r="K909" s="2">
        <v>21</v>
      </c>
      <c r="L909" s="2">
        <v>0</v>
      </c>
      <c r="M909" s="2">
        <v>0</v>
      </c>
      <c r="N909" s="2">
        <v>6</v>
      </c>
      <c r="O909" s="2">
        <v>5</v>
      </c>
      <c r="P909" s="2">
        <v>10</v>
      </c>
      <c r="Q909" s="2" t="s">
        <v>3214</v>
      </c>
      <c r="R909" s="2" t="s">
        <v>3214</v>
      </c>
      <c r="S909" s="4">
        <v>44951</v>
      </c>
    </row>
    <row r="910" spans="1:19" ht="12.5" x14ac:dyDescent="0.25">
      <c r="A910" s="14" t="str">
        <f>HYPERLINK("https://gerandofalcoes.my.salesforce.com/0014X00002YggiKQAR", "0014X00002YggiKQAR")</f>
        <v>0014X00002YggiKQAR</v>
      </c>
      <c r="B910" s="2" t="s">
        <v>3743</v>
      </c>
      <c r="C910" s="2" t="s">
        <v>423</v>
      </c>
      <c r="D910" s="2" t="s">
        <v>2</v>
      </c>
      <c r="E910" s="2"/>
      <c r="F910" s="2">
        <v>0</v>
      </c>
      <c r="G910" s="2">
        <v>2</v>
      </c>
      <c r="H910" s="2">
        <v>1000</v>
      </c>
      <c r="I910" s="2">
        <v>100</v>
      </c>
      <c r="J910" s="2" t="s">
        <v>1779</v>
      </c>
      <c r="K910" s="2">
        <v>21</v>
      </c>
      <c r="L910" s="2">
        <v>0</v>
      </c>
      <c r="M910" s="2">
        <v>0</v>
      </c>
      <c r="N910" s="2">
        <v>6</v>
      </c>
      <c r="O910" s="2">
        <v>5</v>
      </c>
      <c r="P910" s="2">
        <v>10</v>
      </c>
      <c r="Q910" s="2" t="s">
        <v>3744</v>
      </c>
      <c r="R910" s="2" t="s">
        <v>3744</v>
      </c>
      <c r="S910" s="4">
        <v>44967</v>
      </c>
    </row>
    <row r="911" spans="1:19" ht="12.5" x14ac:dyDescent="0.25">
      <c r="A911" s="14" t="str">
        <f>HYPERLINK("https://gerandofalcoes.my.salesforce.com/0014X00002YggglQAB", "0014X00002YggglQAB")</f>
        <v>0014X00002YggglQAB</v>
      </c>
      <c r="B911" s="2" t="s">
        <v>7154</v>
      </c>
      <c r="C911" s="2" t="s">
        <v>423</v>
      </c>
      <c r="D911" s="2" t="s">
        <v>2</v>
      </c>
      <c r="E911" s="2"/>
      <c r="F911" s="2">
        <v>0</v>
      </c>
      <c r="G911" s="2">
        <v>2</v>
      </c>
      <c r="H911" s="2">
        <v>15000</v>
      </c>
      <c r="I911" s="2">
        <v>0</v>
      </c>
      <c r="J911" s="2" t="s">
        <v>1779</v>
      </c>
      <c r="K911" s="2">
        <v>11</v>
      </c>
      <c r="L911" s="2">
        <v>0</v>
      </c>
      <c r="M911" s="2">
        <v>0</v>
      </c>
      <c r="N911" s="2">
        <v>6</v>
      </c>
      <c r="O911" s="2">
        <v>5</v>
      </c>
      <c r="P911" s="2">
        <v>0</v>
      </c>
      <c r="Q911" s="2" t="s">
        <v>7155</v>
      </c>
      <c r="R911" s="2" t="s">
        <v>3145</v>
      </c>
      <c r="S911" s="4">
        <v>44949</v>
      </c>
    </row>
    <row r="912" spans="1:19" ht="12.5" x14ac:dyDescent="0.25">
      <c r="A912" s="14" t="str">
        <f>HYPERLINK("https://gerandofalcoes.my.salesforce.com/0014X00002YggmTQAR", "0014X00002YggmTQAR")</f>
        <v>0014X00002YggmTQAR</v>
      </c>
      <c r="B912" s="2" t="s">
        <v>3758</v>
      </c>
      <c r="C912" s="2" t="s">
        <v>423</v>
      </c>
      <c r="D912" s="2" t="s">
        <v>2</v>
      </c>
      <c r="E912" s="2"/>
      <c r="F912" s="2">
        <v>1</v>
      </c>
      <c r="G912" s="2">
        <v>2</v>
      </c>
      <c r="H912" s="2">
        <v>0</v>
      </c>
      <c r="I912" s="2">
        <v>15</v>
      </c>
      <c r="J912" s="2" t="s">
        <v>1779</v>
      </c>
      <c r="K912" s="2">
        <v>16</v>
      </c>
      <c r="L912" s="2">
        <v>0</v>
      </c>
      <c r="M912" s="2">
        <v>5</v>
      </c>
      <c r="N912" s="2">
        <v>6</v>
      </c>
      <c r="O912" s="2">
        <v>0</v>
      </c>
      <c r="P912" s="2">
        <v>5</v>
      </c>
      <c r="Q912" s="2" t="s">
        <v>3759</v>
      </c>
      <c r="R912" s="2" t="s">
        <v>3759</v>
      </c>
      <c r="S912" s="4">
        <v>44967</v>
      </c>
    </row>
    <row r="913" spans="1:19" ht="12.5" x14ac:dyDescent="0.25">
      <c r="A913" s="14" t="str">
        <f>HYPERLINK("https://gerandofalcoes.my.salesforce.com/0014X00002YggltQAB", "0014X00002YggltQAB")</f>
        <v>0014X00002YggltQAB</v>
      </c>
      <c r="B913" s="2" t="s">
        <v>3142</v>
      </c>
      <c r="C913" s="2" t="s">
        <v>423</v>
      </c>
      <c r="D913" s="2" t="s">
        <v>2</v>
      </c>
      <c r="E913" s="2"/>
      <c r="F913" s="2">
        <v>0</v>
      </c>
      <c r="G913" s="2">
        <v>5</v>
      </c>
      <c r="H913" s="2">
        <v>3000</v>
      </c>
      <c r="I913" s="2">
        <v>10</v>
      </c>
      <c r="J913" s="2" t="s">
        <v>1779</v>
      </c>
      <c r="K913" s="2">
        <v>20</v>
      </c>
      <c r="L913" s="2">
        <v>0</v>
      </c>
      <c r="M913" s="2">
        <v>0</v>
      </c>
      <c r="N913" s="2">
        <v>10</v>
      </c>
      <c r="O913" s="2">
        <v>5</v>
      </c>
      <c r="P913" s="2">
        <v>5</v>
      </c>
      <c r="Q913" s="2" t="s">
        <v>3143</v>
      </c>
      <c r="R913" s="2" t="s">
        <v>3143</v>
      </c>
      <c r="S913" s="4">
        <v>44949</v>
      </c>
    </row>
    <row r="914" spans="1:19" ht="12.5" x14ac:dyDescent="0.25">
      <c r="A914" s="14" t="str">
        <f>HYPERLINK("https://gerandofalcoes.my.salesforce.com/0014X00002YgghUQAR", "0014X00002YgghUQAR")</f>
        <v>0014X00002YgghUQAR</v>
      </c>
      <c r="B914" s="2" t="s">
        <v>3771</v>
      </c>
      <c r="C914" s="2" t="s">
        <v>423</v>
      </c>
      <c r="D914" s="2" t="s">
        <v>2</v>
      </c>
      <c r="E914" s="2"/>
      <c r="F914" s="2">
        <v>10</v>
      </c>
      <c r="G914" s="2">
        <v>4</v>
      </c>
      <c r="H914" s="2">
        <v>1600</v>
      </c>
      <c r="I914" s="2">
        <v>0</v>
      </c>
      <c r="J914" s="2" t="s">
        <v>1779</v>
      </c>
      <c r="K914" s="2">
        <v>25</v>
      </c>
      <c r="L914" s="2">
        <v>0</v>
      </c>
      <c r="M914" s="2">
        <v>10</v>
      </c>
      <c r="N914" s="2">
        <v>10</v>
      </c>
      <c r="O914" s="2">
        <v>5</v>
      </c>
      <c r="P914" s="2">
        <v>0</v>
      </c>
      <c r="Q914" s="2" t="s">
        <v>3772</v>
      </c>
      <c r="R914" s="2" t="s">
        <v>3772</v>
      </c>
      <c r="S914" s="4">
        <v>44967</v>
      </c>
    </row>
    <row r="915" spans="1:19" ht="12.5" x14ac:dyDescent="0.25">
      <c r="A915" s="14" t="str">
        <f>HYPERLINK("https://gerandofalcoes.my.salesforce.com/0014X00002YgggwQAB", "0014X00002YgggwQAB")</f>
        <v>0014X00002YgggwQAB</v>
      </c>
      <c r="B915" s="2" t="s">
        <v>3106</v>
      </c>
      <c r="C915" s="2" t="s">
        <v>423</v>
      </c>
      <c r="D915" s="2" t="s">
        <v>2</v>
      </c>
      <c r="E915" s="2"/>
      <c r="F915" s="2">
        <v>0</v>
      </c>
      <c r="G915" s="2">
        <v>3</v>
      </c>
      <c r="H915" s="2">
        <v>1000</v>
      </c>
      <c r="I915" s="2">
        <v>0</v>
      </c>
      <c r="J915" s="2" t="s">
        <v>1779</v>
      </c>
      <c r="K915" s="2">
        <v>13</v>
      </c>
      <c r="L915" s="2">
        <v>0</v>
      </c>
      <c r="M915" s="2">
        <v>0</v>
      </c>
      <c r="N915" s="2">
        <v>8</v>
      </c>
      <c r="O915" s="2">
        <v>5</v>
      </c>
      <c r="P915" s="2">
        <v>0</v>
      </c>
      <c r="Q915" s="2" t="s">
        <v>3107</v>
      </c>
      <c r="R915" s="2" t="s">
        <v>3108</v>
      </c>
      <c r="S915" s="4">
        <v>44948</v>
      </c>
    </row>
    <row r="916" spans="1:19" ht="12.5" hidden="1" x14ac:dyDescent="0.25">
      <c r="A916" s="14" t="str">
        <f>HYPERLINK("https://gerandofalcoes.my.salesforce.com/0014P00003MjOsqQAF", "0014P00003MjOsqQAF")</f>
        <v>0014P00003MjOsqQAF</v>
      </c>
      <c r="B916" s="2" t="s">
        <v>2977</v>
      </c>
      <c r="C916" s="2" t="s">
        <v>1684</v>
      </c>
      <c r="D916" s="2" t="s">
        <v>66</v>
      </c>
      <c r="E916" s="2">
        <v>0</v>
      </c>
      <c r="F916" s="2">
        <v>6</v>
      </c>
      <c r="G916" s="2">
        <v>1</v>
      </c>
      <c r="H916" s="2">
        <v>0</v>
      </c>
      <c r="I916" s="2">
        <v>0</v>
      </c>
      <c r="J916" s="2" t="s">
        <v>1779</v>
      </c>
      <c r="K916" s="2">
        <v>14</v>
      </c>
      <c r="L916" s="2">
        <v>0</v>
      </c>
      <c r="M916" s="2">
        <v>10</v>
      </c>
      <c r="N916" s="2">
        <v>4</v>
      </c>
      <c r="O916" s="2">
        <v>0</v>
      </c>
      <c r="P916" s="2">
        <v>0</v>
      </c>
      <c r="Q916" s="2" t="s">
        <v>71</v>
      </c>
      <c r="R916" s="2" t="s">
        <v>870</v>
      </c>
      <c r="S916" s="4">
        <v>44837</v>
      </c>
    </row>
    <row r="917" spans="1:19" ht="12.5" x14ac:dyDescent="0.25">
      <c r="A917" s="14" t="str">
        <f>HYPERLINK("https://gerandofalcoes.my.salesforce.com/0014X00002YggjLQAR", "0014X00002YggjLQAR")</f>
        <v>0014X00002YggjLQAR</v>
      </c>
      <c r="B917" s="2" t="s">
        <v>3489</v>
      </c>
      <c r="C917" s="2" t="s">
        <v>423</v>
      </c>
      <c r="D917" s="2" t="s">
        <v>2</v>
      </c>
      <c r="E917" s="2"/>
      <c r="F917" s="2">
        <v>0</v>
      </c>
      <c r="G917" s="2">
        <v>2</v>
      </c>
      <c r="H917" s="2">
        <v>1000</v>
      </c>
      <c r="I917" s="2">
        <v>70</v>
      </c>
      <c r="J917" s="2" t="s">
        <v>1779</v>
      </c>
      <c r="K917" s="2">
        <v>16</v>
      </c>
      <c r="L917" s="2">
        <v>0</v>
      </c>
      <c r="M917" s="2">
        <v>0</v>
      </c>
      <c r="N917" s="2">
        <v>6</v>
      </c>
      <c r="O917" s="2">
        <v>5</v>
      </c>
      <c r="P917" s="2">
        <v>5</v>
      </c>
      <c r="Q917" s="2" t="s">
        <v>3490</v>
      </c>
      <c r="R917" s="2" t="s">
        <v>3491</v>
      </c>
      <c r="S917" s="4">
        <v>44958</v>
      </c>
    </row>
    <row r="918" spans="1:19" ht="12.5" x14ac:dyDescent="0.25">
      <c r="A918" s="14" t="str">
        <f>HYPERLINK("https://gerandofalcoes.my.salesforce.com/0014X00002YgbkgQAB", "0014X00002YgbkgQAB")</f>
        <v>0014X00002YgbkgQAB</v>
      </c>
      <c r="B918" s="2" t="s">
        <v>3517</v>
      </c>
      <c r="C918" s="2" t="s">
        <v>423</v>
      </c>
      <c r="D918" s="2" t="s">
        <v>2</v>
      </c>
      <c r="E918" s="2"/>
      <c r="F918" s="2">
        <v>0</v>
      </c>
      <c r="G918" s="2">
        <v>0</v>
      </c>
      <c r="H918" s="2">
        <v>0</v>
      </c>
      <c r="I918" s="2">
        <v>0</v>
      </c>
      <c r="J918" s="2" t="s">
        <v>1779</v>
      </c>
      <c r="K918" s="2">
        <v>0</v>
      </c>
      <c r="L918" s="2">
        <v>0</v>
      </c>
      <c r="M918" s="2">
        <v>0</v>
      </c>
      <c r="N918" s="2">
        <v>0</v>
      </c>
      <c r="O918" s="2">
        <v>0</v>
      </c>
      <c r="P918" s="2">
        <v>0</v>
      </c>
      <c r="Q918" s="2" t="s">
        <v>3518</v>
      </c>
      <c r="R918" s="2" t="s">
        <v>3518</v>
      </c>
      <c r="S918" s="4">
        <v>44958</v>
      </c>
    </row>
    <row r="919" spans="1:19" ht="12.5" x14ac:dyDescent="0.25">
      <c r="A919" s="14" t="str">
        <f>HYPERLINK("https://gerandofalcoes.my.salesforce.com/0014X00002YggmmQAB", "0014X00002YggmmQAB")</f>
        <v>0014X00002YggmmQAB</v>
      </c>
      <c r="B919" s="2" t="s">
        <v>3752</v>
      </c>
      <c r="C919" s="2" t="s">
        <v>423</v>
      </c>
      <c r="D919" s="2" t="s">
        <v>2</v>
      </c>
      <c r="E919" s="2"/>
      <c r="F919" s="2">
        <v>0</v>
      </c>
      <c r="G919" s="2">
        <v>4</v>
      </c>
      <c r="H919" s="2">
        <v>1500</v>
      </c>
      <c r="I919" s="2">
        <v>30</v>
      </c>
      <c r="J919" s="2" t="s">
        <v>1779</v>
      </c>
      <c r="K919" s="2">
        <v>20</v>
      </c>
      <c r="L919" s="2">
        <v>0</v>
      </c>
      <c r="M919" s="2">
        <v>0</v>
      </c>
      <c r="N919" s="2">
        <v>10</v>
      </c>
      <c r="O919" s="2">
        <v>5</v>
      </c>
      <c r="P919" s="2">
        <v>5</v>
      </c>
      <c r="Q919" s="2" t="s">
        <v>3753</v>
      </c>
      <c r="R919" s="2" t="s">
        <v>3754</v>
      </c>
      <c r="S919" s="4">
        <v>44967</v>
      </c>
    </row>
    <row r="920" spans="1:19" ht="12.5" x14ac:dyDescent="0.25">
      <c r="A920" s="14" t="str">
        <f>HYPERLINK("https://gerandofalcoes.my.salesforce.com/0014X00002YggomQAB", "0014X00002YggomQAB")</f>
        <v>0014X00002YggomQAB</v>
      </c>
      <c r="B920" s="2" t="s">
        <v>6803</v>
      </c>
      <c r="C920" s="2" t="s">
        <v>423</v>
      </c>
      <c r="D920" s="2" t="s">
        <v>2</v>
      </c>
      <c r="E920" s="2"/>
      <c r="F920" s="2">
        <v>0</v>
      </c>
      <c r="G920" s="2">
        <v>3</v>
      </c>
      <c r="H920" s="2">
        <v>44682</v>
      </c>
      <c r="I920" s="2">
        <v>0</v>
      </c>
      <c r="J920" s="2" t="s">
        <v>1779</v>
      </c>
      <c r="K920" s="2">
        <v>18</v>
      </c>
      <c r="L920" s="2">
        <v>0</v>
      </c>
      <c r="M920" s="2">
        <v>0</v>
      </c>
      <c r="N920" s="2">
        <v>8</v>
      </c>
      <c r="O920" s="2">
        <v>10</v>
      </c>
      <c r="P920" s="2">
        <v>0</v>
      </c>
      <c r="Q920" s="2" t="s">
        <v>3769</v>
      </c>
      <c r="R920" s="2" t="s">
        <v>3770</v>
      </c>
      <c r="S920" s="4">
        <v>44967</v>
      </c>
    </row>
    <row r="921" spans="1:19" ht="12.5" x14ac:dyDescent="0.25">
      <c r="A921" s="14" t="str">
        <f>HYPERLINK("https://gerandofalcoes.my.salesforce.com/0014X00002YggoZQAR", "0014X00002YggoZQAR")</f>
        <v>0014X00002YggoZQAR</v>
      </c>
      <c r="B921" s="2" t="s">
        <v>3810</v>
      </c>
      <c r="C921" s="2" t="s">
        <v>423</v>
      </c>
      <c r="D921" s="2" t="s">
        <v>2</v>
      </c>
      <c r="E921" s="2"/>
      <c r="F921" s="2">
        <v>1</v>
      </c>
      <c r="G921" s="2">
        <v>2</v>
      </c>
      <c r="H921" s="2">
        <v>5000</v>
      </c>
      <c r="I921" s="2">
        <v>40</v>
      </c>
      <c r="J921" s="2" t="s">
        <v>1779</v>
      </c>
      <c r="K921" s="2">
        <v>21</v>
      </c>
      <c r="L921" s="2">
        <v>0</v>
      </c>
      <c r="M921" s="2">
        <v>5</v>
      </c>
      <c r="N921" s="2">
        <v>6</v>
      </c>
      <c r="O921" s="2">
        <v>5</v>
      </c>
      <c r="P921" s="2">
        <v>5</v>
      </c>
      <c r="Q921" s="2" t="s">
        <v>3811</v>
      </c>
      <c r="R921" s="2" t="s">
        <v>3811</v>
      </c>
      <c r="S921" s="4">
        <v>44988</v>
      </c>
    </row>
    <row r="922" spans="1:19" ht="12.5" x14ac:dyDescent="0.25">
      <c r="A922" s="14" t="str">
        <f>HYPERLINK("https://gerandofalcoes.my.salesforce.com/0014X00002YggqWQAR", "0014X00002YggqWQAR")</f>
        <v>0014X00002YggqWQAR</v>
      </c>
      <c r="B922" s="2" t="s">
        <v>3574</v>
      </c>
      <c r="C922" s="2" t="s">
        <v>423</v>
      </c>
      <c r="D922" s="2" t="s">
        <v>2</v>
      </c>
      <c r="E922" s="2"/>
      <c r="F922" s="2">
        <v>18</v>
      </c>
      <c r="G922" s="2">
        <v>12</v>
      </c>
      <c r="H922" s="2">
        <v>10000</v>
      </c>
      <c r="I922" s="2">
        <v>200</v>
      </c>
      <c r="J922" s="2" t="s">
        <v>1779</v>
      </c>
      <c r="K922" s="2">
        <v>39</v>
      </c>
      <c r="L922" s="2">
        <v>0</v>
      </c>
      <c r="M922" s="2">
        <v>12</v>
      </c>
      <c r="N922" s="2">
        <v>10</v>
      </c>
      <c r="O922" s="2">
        <v>5</v>
      </c>
      <c r="P922" s="2">
        <v>12</v>
      </c>
      <c r="Q922" s="2" t="s">
        <v>3575</v>
      </c>
      <c r="R922" s="2" t="s">
        <v>3576</v>
      </c>
      <c r="S922" s="4">
        <v>44960</v>
      </c>
    </row>
    <row r="923" spans="1:19" ht="12.5" x14ac:dyDescent="0.25">
      <c r="A923" s="14" t="str">
        <f>HYPERLINK("https://gerandofalcoes.my.salesforce.com/0014X00002YggiUQAR", "0014X00002YggiUQAR")</f>
        <v>0014X00002YggiUQAR</v>
      </c>
      <c r="B923" s="2" t="s">
        <v>3230</v>
      </c>
      <c r="C923" s="2" t="s">
        <v>423</v>
      </c>
      <c r="D923" s="2" t="s">
        <v>2</v>
      </c>
      <c r="E923" s="2"/>
      <c r="F923" s="2">
        <v>0</v>
      </c>
      <c r="G923" s="2">
        <v>3</v>
      </c>
      <c r="H923" s="2">
        <v>15000</v>
      </c>
      <c r="I923" s="2">
        <v>0</v>
      </c>
      <c r="J923" s="2" t="s">
        <v>1779</v>
      </c>
      <c r="K923" s="2">
        <v>13</v>
      </c>
      <c r="L923" s="2">
        <v>0</v>
      </c>
      <c r="M923" s="2">
        <v>0</v>
      </c>
      <c r="N923" s="2">
        <v>8</v>
      </c>
      <c r="O923" s="2">
        <v>5</v>
      </c>
      <c r="P923" s="2">
        <v>0</v>
      </c>
      <c r="Q923" s="2" t="s">
        <v>3231</v>
      </c>
      <c r="R923" s="2" t="s">
        <v>3231</v>
      </c>
      <c r="S923" s="4">
        <v>44951</v>
      </c>
    </row>
    <row r="924" spans="1:19" ht="12.5" x14ac:dyDescent="0.25">
      <c r="A924" s="14" t="str">
        <f>HYPERLINK("https://gerandofalcoes.my.salesforce.com/0014X00002YggpdQAB", "0014X00002YggpdQAB")</f>
        <v>0014X00002YggpdQAB</v>
      </c>
      <c r="B924" s="2" t="s">
        <v>3858</v>
      </c>
      <c r="C924" s="2" t="s">
        <v>423</v>
      </c>
      <c r="D924" s="2" t="s">
        <v>2</v>
      </c>
      <c r="E924" s="2"/>
      <c r="F924" s="2">
        <v>0</v>
      </c>
      <c r="G924" s="2">
        <v>3</v>
      </c>
      <c r="H924" s="2">
        <v>3000</v>
      </c>
      <c r="I924" s="2">
        <v>350</v>
      </c>
      <c r="J924" s="2" t="s">
        <v>1779</v>
      </c>
      <c r="K924" s="2">
        <v>28</v>
      </c>
      <c r="L924" s="2">
        <v>0</v>
      </c>
      <c r="M924" s="2">
        <v>0</v>
      </c>
      <c r="N924" s="2">
        <v>8</v>
      </c>
      <c r="O924" s="2">
        <v>5</v>
      </c>
      <c r="P924" s="2">
        <v>15</v>
      </c>
      <c r="Q924" s="2" t="s">
        <v>3859</v>
      </c>
      <c r="R924" s="2" t="s">
        <v>3859</v>
      </c>
      <c r="S924" s="4">
        <v>45112</v>
      </c>
    </row>
    <row r="925" spans="1:19" ht="12.5" x14ac:dyDescent="0.25">
      <c r="A925" s="14" t="str">
        <f>HYPERLINK("https://gerandofalcoes.my.salesforce.com/0014X00002YgggHQAR", "0014X00002YgggHQAR")</f>
        <v>0014X00002YgggHQAR</v>
      </c>
      <c r="B925" s="2" t="s">
        <v>3512</v>
      </c>
      <c r="C925" s="2" t="s">
        <v>423</v>
      </c>
      <c r="D925" s="2" t="s">
        <v>2</v>
      </c>
      <c r="E925" s="2"/>
      <c r="F925" s="2">
        <v>15</v>
      </c>
      <c r="G925" s="2">
        <v>4</v>
      </c>
      <c r="H925" s="2">
        <v>23000</v>
      </c>
      <c r="I925" s="2">
        <v>0</v>
      </c>
      <c r="J925" s="2" t="s">
        <v>1779</v>
      </c>
      <c r="K925" s="2">
        <v>27</v>
      </c>
      <c r="L925" s="2">
        <v>0</v>
      </c>
      <c r="M925" s="2">
        <v>12</v>
      </c>
      <c r="N925" s="2">
        <v>10</v>
      </c>
      <c r="O925" s="2">
        <v>5</v>
      </c>
      <c r="P925" s="2">
        <v>0</v>
      </c>
      <c r="Q925" s="2" t="s">
        <v>3513</v>
      </c>
      <c r="R925" s="2" t="s">
        <v>3514</v>
      </c>
      <c r="S925" s="4">
        <v>44958</v>
      </c>
    </row>
    <row r="926" spans="1:19" ht="12.5" x14ac:dyDescent="0.25">
      <c r="A926" s="14" t="str">
        <f>HYPERLINK("https://gerandofalcoes.my.salesforce.com/0014X00002YgghgQAB", "0014X00002YgghgQAB")</f>
        <v>0014X00002YgghgQAB</v>
      </c>
      <c r="B926" s="2" t="s">
        <v>3093</v>
      </c>
      <c r="C926" s="2" t="s">
        <v>423</v>
      </c>
      <c r="D926" s="2" t="s">
        <v>2</v>
      </c>
      <c r="E926" s="2"/>
      <c r="F926" s="2">
        <v>0</v>
      </c>
      <c r="G926" s="2">
        <v>10</v>
      </c>
      <c r="H926" s="2">
        <v>5000</v>
      </c>
      <c r="I926" s="2">
        <v>132</v>
      </c>
      <c r="J926" s="2" t="s">
        <v>1779</v>
      </c>
      <c r="K926" s="2">
        <v>25</v>
      </c>
      <c r="L926" s="2">
        <v>0</v>
      </c>
      <c r="M926" s="2">
        <v>0</v>
      </c>
      <c r="N926" s="2">
        <v>10</v>
      </c>
      <c r="O926" s="2">
        <v>5</v>
      </c>
      <c r="P926" s="2">
        <v>10</v>
      </c>
      <c r="Q926" s="2" t="s">
        <v>3094</v>
      </c>
      <c r="R926" s="2" t="s">
        <v>3095</v>
      </c>
      <c r="S926" s="4">
        <v>44947</v>
      </c>
    </row>
    <row r="927" spans="1:19" ht="12.5" x14ac:dyDescent="0.25">
      <c r="A927" s="14" t="str">
        <f>HYPERLINK("https://gerandofalcoes.my.salesforce.com/0014X00002YggqCQAR", "0014X00002YggqCQAR")</f>
        <v>0014X00002YggqCQAR</v>
      </c>
      <c r="B927" s="2" t="s">
        <v>3745</v>
      </c>
      <c r="C927" s="2" t="s">
        <v>423</v>
      </c>
      <c r="D927" s="2" t="s">
        <v>2</v>
      </c>
      <c r="E927" s="2"/>
      <c r="F927" s="2">
        <v>3</v>
      </c>
      <c r="G927" s="2">
        <v>2</v>
      </c>
      <c r="H927" s="2">
        <v>300</v>
      </c>
      <c r="I927" s="2">
        <v>70</v>
      </c>
      <c r="J927" s="2" t="s">
        <v>1779</v>
      </c>
      <c r="K927" s="2">
        <v>21</v>
      </c>
      <c r="L927" s="2">
        <v>0</v>
      </c>
      <c r="M927" s="2">
        <v>5</v>
      </c>
      <c r="N927" s="2">
        <v>6</v>
      </c>
      <c r="O927" s="2">
        <v>5</v>
      </c>
      <c r="P927" s="2">
        <v>5</v>
      </c>
      <c r="Q927" s="2" t="s">
        <v>3746</v>
      </c>
      <c r="R927" s="2" t="s">
        <v>3746</v>
      </c>
      <c r="S927" s="4">
        <v>44967</v>
      </c>
    </row>
    <row r="928" spans="1:19" ht="12.5" x14ac:dyDescent="0.25">
      <c r="A928" s="14" t="str">
        <f>HYPERLINK("https://gerandofalcoes.my.salesforce.com/0014X00002YgghDQAR", "0014X00002YgghDQAR")</f>
        <v>0014X00002YgghDQAR</v>
      </c>
      <c r="B928" s="2" t="s">
        <v>3681</v>
      </c>
      <c r="C928" s="2" t="s">
        <v>423</v>
      </c>
      <c r="D928" s="2" t="s">
        <v>2</v>
      </c>
      <c r="E928" s="2"/>
      <c r="F928" s="2">
        <v>0</v>
      </c>
      <c r="G928" s="2">
        <v>4</v>
      </c>
      <c r="H928" s="2">
        <v>3000</v>
      </c>
      <c r="I928" s="2">
        <v>30</v>
      </c>
      <c r="J928" s="2" t="s">
        <v>1779</v>
      </c>
      <c r="K928" s="2">
        <v>20</v>
      </c>
      <c r="L928" s="2">
        <v>0</v>
      </c>
      <c r="M928" s="2">
        <v>0</v>
      </c>
      <c r="N928" s="2">
        <v>10</v>
      </c>
      <c r="O928" s="2">
        <v>5</v>
      </c>
      <c r="P928" s="2">
        <v>5</v>
      </c>
      <c r="Q928" s="2" t="s">
        <v>3682</v>
      </c>
      <c r="R928" s="2" t="s">
        <v>3682</v>
      </c>
      <c r="S928" s="4">
        <v>44964</v>
      </c>
    </row>
    <row r="929" spans="1:19" ht="12.5" x14ac:dyDescent="0.25">
      <c r="A929" s="14" t="str">
        <f>HYPERLINK("https://gerandofalcoes.my.salesforce.com/0014X00002YggquQAB", "0014X00002YggquQAB")</f>
        <v>0014X00002YggquQAB</v>
      </c>
      <c r="B929" s="2" t="s">
        <v>3171</v>
      </c>
      <c r="C929" s="2" t="s">
        <v>423</v>
      </c>
      <c r="D929" s="2" t="s">
        <v>2</v>
      </c>
      <c r="E929" s="2"/>
      <c r="F929" s="2">
        <v>4</v>
      </c>
      <c r="G929" s="2">
        <v>11</v>
      </c>
      <c r="H929" s="2">
        <v>0</v>
      </c>
      <c r="I929" s="2">
        <v>0</v>
      </c>
      <c r="J929" s="2" t="s">
        <v>1779</v>
      </c>
      <c r="K929" s="2">
        <v>15</v>
      </c>
      <c r="L929" s="2">
        <v>0</v>
      </c>
      <c r="M929" s="2">
        <v>5</v>
      </c>
      <c r="N929" s="2">
        <v>10</v>
      </c>
      <c r="O929" s="2">
        <v>0</v>
      </c>
      <c r="P929" s="2">
        <v>0</v>
      </c>
      <c r="Q929" s="2" t="s">
        <v>3172</v>
      </c>
      <c r="R929" s="2" t="s">
        <v>3172</v>
      </c>
      <c r="S929" s="4">
        <v>44950</v>
      </c>
    </row>
    <row r="930" spans="1:19" ht="12.5" x14ac:dyDescent="0.25">
      <c r="A930" s="14" t="str">
        <f>HYPERLINK("https://gerandofalcoes.my.salesforce.com/0014X00002YggowQAB", "0014X00002YggowQAB")</f>
        <v>0014X00002YggowQAB</v>
      </c>
      <c r="B930" s="2" t="s">
        <v>3750</v>
      </c>
      <c r="C930" s="2" t="s">
        <v>423</v>
      </c>
      <c r="D930" s="2" t="s">
        <v>2</v>
      </c>
      <c r="E930" s="2"/>
      <c r="F930" s="2">
        <v>0</v>
      </c>
      <c r="G930" s="2">
        <v>2</v>
      </c>
      <c r="H930" s="2">
        <v>0</v>
      </c>
      <c r="I930" s="2">
        <v>30</v>
      </c>
      <c r="J930" s="2" t="s">
        <v>1779</v>
      </c>
      <c r="K930" s="2">
        <v>11</v>
      </c>
      <c r="L930" s="2">
        <v>0</v>
      </c>
      <c r="M930" s="2">
        <v>0</v>
      </c>
      <c r="N930" s="2">
        <v>6</v>
      </c>
      <c r="O930" s="2">
        <v>0</v>
      </c>
      <c r="P930" s="2">
        <v>5</v>
      </c>
      <c r="Q930" s="2" t="s">
        <v>3751</v>
      </c>
      <c r="R930" s="2" t="s">
        <v>3751</v>
      </c>
      <c r="S930" s="4">
        <v>44967</v>
      </c>
    </row>
    <row r="931" spans="1:19" ht="12.5" x14ac:dyDescent="0.25">
      <c r="A931" s="14" t="str">
        <f>HYPERLINK("https://gerandofalcoes.my.salesforce.com/0014X00002YgghxQAB", "0014X00002YgghxQAB")</f>
        <v>0014X00002YgghxQAB</v>
      </c>
      <c r="B931" s="2" t="s">
        <v>3747</v>
      </c>
      <c r="C931" s="2" t="s">
        <v>423</v>
      </c>
      <c r="D931" s="2" t="s">
        <v>2</v>
      </c>
      <c r="E931" s="2"/>
      <c r="F931" s="2">
        <v>12</v>
      </c>
      <c r="G931" s="2">
        <v>3</v>
      </c>
      <c r="H931" s="2">
        <v>3000</v>
      </c>
      <c r="I931" s="2">
        <v>59</v>
      </c>
      <c r="J931" s="2" t="s">
        <v>1779</v>
      </c>
      <c r="K931" s="2">
        <v>30</v>
      </c>
      <c r="L931" s="2">
        <v>0</v>
      </c>
      <c r="M931" s="2">
        <v>12</v>
      </c>
      <c r="N931" s="2">
        <v>8</v>
      </c>
      <c r="O931" s="2">
        <v>5</v>
      </c>
      <c r="P931" s="2">
        <v>5</v>
      </c>
      <c r="Q931" s="2" t="s">
        <v>3748</v>
      </c>
      <c r="R931" s="2" t="s">
        <v>3749</v>
      </c>
      <c r="S931" s="4">
        <v>44967</v>
      </c>
    </row>
    <row r="932" spans="1:19" ht="12.5" x14ac:dyDescent="0.25">
      <c r="A932" s="14" t="str">
        <f>HYPERLINK("https://gerandofalcoes.my.salesforce.com/0014X00002YgbknQAB", "0014X00002YgbknQAB")</f>
        <v>0014X00002YgbknQAB</v>
      </c>
      <c r="B932" s="2" t="s">
        <v>3096</v>
      </c>
      <c r="C932" s="2" t="s">
        <v>423</v>
      </c>
      <c r="D932" s="2" t="s">
        <v>2</v>
      </c>
      <c r="E932" s="2"/>
      <c r="F932" s="2">
        <v>0</v>
      </c>
      <c r="G932" s="2">
        <v>0</v>
      </c>
      <c r="H932" s="2">
        <v>0</v>
      </c>
      <c r="I932" s="2">
        <v>0</v>
      </c>
      <c r="J932" s="2" t="s">
        <v>1779</v>
      </c>
      <c r="K932" s="2">
        <v>0</v>
      </c>
      <c r="L932" s="2">
        <v>0</v>
      </c>
      <c r="M932" s="2">
        <v>0</v>
      </c>
      <c r="N932" s="2">
        <v>0</v>
      </c>
      <c r="O932" s="2">
        <v>0</v>
      </c>
      <c r="P932" s="2">
        <v>0</v>
      </c>
      <c r="Q932" s="2" t="s">
        <v>3097</v>
      </c>
      <c r="R932" s="2" t="s">
        <v>3097</v>
      </c>
      <c r="S932" s="4">
        <v>44947</v>
      </c>
    </row>
    <row r="933" spans="1:19" ht="12.5" x14ac:dyDescent="0.25">
      <c r="A933" s="14" t="str">
        <f>HYPERLINK("https://gerandofalcoes.my.salesforce.com/0014X00002YggqMQAR", "0014X00002YggqMQAR")</f>
        <v>0014X00002YggqMQAR</v>
      </c>
      <c r="B933" s="2" t="s">
        <v>3045</v>
      </c>
      <c r="C933" s="2" t="s">
        <v>423</v>
      </c>
      <c r="D933" s="2" t="s">
        <v>2</v>
      </c>
      <c r="E933" s="2"/>
      <c r="F933" s="2">
        <v>0</v>
      </c>
      <c r="G933" s="2">
        <v>2</v>
      </c>
      <c r="H933" s="2">
        <v>0</v>
      </c>
      <c r="I933" s="2">
        <v>0</v>
      </c>
      <c r="J933" s="2" t="s">
        <v>1779</v>
      </c>
      <c r="K933" s="2">
        <v>6</v>
      </c>
      <c r="L933" s="2">
        <v>0</v>
      </c>
      <c r="M933" s="2">
        <v>0</v>
      </c>
      <c r="N933" s="2">
        <v>6</v>
      </c>
      <c r="O933" s="2">
        <v>0</v>
      </c>
      <c r="P933" s="2">
        <v>0</v>
      </c>
      <c r="Q933" s="2" t="s">
        <v>3046</v>
      </c>
      <c r="R933" s="2" t="s">
        <v>3046</v>
      </c>
      <c r="S933" s="4">
        <v>44945</v>
      </c>
    </row>
    <row r="934" spans="1:19" ht="12.5" x14ac:dyDescent="0.25">
      <c r="A934" s="14" t="str">
        <f>HYPERLINK("https://gerandofalcoes.my.salesforce.com/0014X00002YggqqQAB", "0014X00002YggqqQAB")</f>
        <v>0014X00002YggqqQAB</v>
      </c>
      <c r="B934" s="2" t="s">
        <v>3503</v>
      </c>
      <c r="C934" s="2" t="s">
        <v>423</v>
      </c>
      <c r="D934" s="2" t="s">
        <v>2</v>
      </c>
      <c r="E934" s="2"/>
      <c r="F934" s="2">
        <v>1</v>
      </c>
      <c r="G934" s="2">
        <v>2</v>
      </c>
      <c r="H934" s="2">
        <v>5000</v>
      </c>
      <c r="I934" s="2">
        <v>25</v>
      </c>
      <c r="J934" s="2" t="s">
        <v>1779</v>
      </c>
      <c r="K934" s="2">
        <v>21</v>
      </c>
      <c r="L934" s="2">
        <v>0</v>
      </c>
      <c r="M934" s="2">
        <v>5</v>
      </c>
      <c r="N934" s="2">
        <v>6</v>
      </c>
      <c r="O934" s="2">
        <v>5</v>
      </c>
      <c r="P934" s="2">
        <v>5</v>
      </c>
      <c r="Q934" s="2" t="s">
        <v>3504</v>
      </c>
      <c r="R934" s="2" t="s">
        <v>3504</v>
      </c>
      <c r="S934" s="4">
        <v>44958</v>
      </c>
    </row>
    <row r="935" spans="1:19" ht="12.5" hidden="1" x14ac:dyDescent="0.25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4"/>
    </row>
    <row r="936" spans="1:19" ht="12.5" hidden="1" x14ac:dyDescent="0.25"/>
    <row r="937" spans="1:19" ht="12.5" hidden="1" x14ac:dyDescent="0.25"/>
    <row r="938" spans="1:19" ht="12.5" hidden="1" x14ac:dyDescent="0.25"/>
    <row r="939" spans="1:19" ht="12.5" hidden="1" x14ac:dyDescent="0.25"/>
    <row r="940" spans="1:19" ht="12.5" hidden="1" x14ac:dyDescent="0.25"/>
    <row r="941" spans="1:19" ht="12.5" hidden="1" x14ac:dyDescent="0.25"/>
    <row r="942" spans="1:19" ht="12.5" hidden="1" x14ac:dyDescent="0.25"/>
    <row r="943" spans="1:19" ht="12.5" hidden="1" x14ac:dyDescent="0.25"/>
    <row r="944" spans="1:19" ht="12.5" hidden="1" x14ac:dyDescent="0.25"/>
    <row r="945" ht="12.5" hidden="1" x14ac:dyDescent="0.25"/>
    <row r="946" ht="12.5" hidden="1" x14ac:dyDescent="0.25"/>
    <row r="947" ht="12.5" hidden="1" x14ac:dyDescent="0.25"/>
    <row r="948" ht="12.5" hidden="1" x14ac:dyDescent="0.25"/>
    <row r="949" ht="12.5" hidden="1" x14ac:dyDescent="0.25"/>
    <row r="950" ht="12.5" hidden="1" x14ac:dyDescent="0.25"/>
    <row r="951" ht="12.5" hidden="1" x14ac:dyDescent="0.25"/>
    <row r="952" ht="12.5" hidden="1" x14ac:dyDescent="0.25"/>
    <row r="953" ht="12.5" hidden="1" x14ac:dyDescent="0.25"/>
    <row r="954" ht="12.5" hidden="1" x14ac:dyDescent="0.25"/>
    <row r="955" ht="12.5" hidden="1" x14ac:dyDescent="0.25"/>
    <row r="956" ht="12.5" hidden="1" x14ac:dyDescent="0.25"/>
    <row r="957" ht="12.5" hidden="1" x14ac:dyDescent="0.25"/>
    <row r="958" ht="12.5" hidden="1" x14ac:dyDescent="0.25"/>
    <row r="959" ht="12.5" hidden="1" x14ac:dyDescent="0.25"/>
    <row r="960" ht="12.5" hidden="1" x14ac:dyDescent="0.25"/>
    <row r="961" ht="12.5" hidden="1" x14ac:dyDescent="0.25"/>
    <row r="962" ht="12.5" hidden="1" x14ac:dyDescent="0.25"/>
    <row r="963" ht="12.5" hidden="1" x14ac:dyDescent="0.25"/>
    <row r="964" ht="12.5" hidden="1" x14ac:dyDescent="0.25"/>
    <row r="965" ht="12.5" hidden="1" x14ac:dyDescent="0.25"/>
    <row r="966" ht="12.5" hidden="1" x14ac:dyDescent="0.25"/>
    <row r="967" ht="12.5" hidden="1" x14ac:dyDescent="0.25"/>
    <row r="968" ht="12.5" hidden="1" x14ac:dyDescent="0.25"/>
    <row r="969" ht="12.5" hidden="1" x14ac:dyDescent="0.25"/>
    <row r="970" ht="12.5" hidden="1" x14ac:dyDescent="0.25"/>
    <row r="971" ht="12.5" hidden="1" x14ac:dyDescent="0.25"/>
    <row r="972" ht="12.5" hidden="1" x14ac:dyDescent="0.25"/>
    <row r="973" ht="12.5" hidden="1" x14ac:dyDescent="0.25"/>
    <row r="974" ht="12.5" hidden="1" x14ac:dyDescent="0.25"/>
    <row r="975" ht="12.5" hidden="1" x14ac:dyDescent="0.25"/>
    <row r="976" ht="12.5" hidden="1" x14ac:dyDescent="0.25"/>
    <row r="977" ht="12.5" hidden="1" x14ac:dyDescent="0.25"/>
    <row r="978" ht="12.5" hidden="1" x14ac:dyDescent="0.25"/>
    <row r="979" ht="12.5" hidden="1" x14ac:dyDescent="0.25"/>
    <row r="980" ht="12.5" hidden="1" x14ac:dyDescent="0.25"/>
    <row r="981" ht="12.5" hidden="1" x14ac:dyDescent="0.25"/>
    <row r="982" ht="12.5" hidden="1" x14ac:dyDescent="0.25"/>
    <row r="983" ht="12.5" hidden="1" x14ac:dyDescent="0.25"/>
    <row r="984" ht="12.5" hidden="1" x14ac:dyDescent="0.25"/>
    <row r="985" ht="12.5" hidden="1" x14ac:dyDescent="0.25"/>
    <row r="986" ht="12.5" hidden="1" x14ac:dyDescent="0.25"/>
    <row r="987" ht="12.5" hidden="1" x14ac:dyDescent="0.25"/>
    <row r="988" ht="12.5" hidden="1" x14ac:dyDescent="0.25"/>
    <row r="989" ht="12.5" hidden="1" x14ac:dyDescent="0.25"/>
    <row r="990" ht="12.5" hidden="1" x14ac:dyDescent="0.25"/>
    <row r="991" ht="12.5" hidden="1" x14ac:dyDescent="0.25"/>
    <row r="992" ht="12.5" hidden="1" x14ac:dyDescent="0.25"/>
    <row r="993" ht="12.5" hidden="1" x14ac:dyDescent="0.25"/>
    <row r="994" ht="12.5" hidden="1" x14ac:dyDescent="0.25"/>
    <row r="995" ht="12.5" hidden="1" x14ac:dyDescent="0.25"/>
    <row r="996" ht="12.5" hidden="1" x14ac:dyDescent="0.25"/>
    <row r="997" ht="12.5" hidden="1" x14ac:dyDescent="0.25"/>
    <row r="998" ht="12.5" hidden="1" x14ac:dyDescent="0.25"/>
    <row r="999" ht="12.5" hidden="1" x14ac:dyDescent="0.25"/>
    <row r="1000" ht="12.5" hidden="1" x14ac:dyDescent="0.25"/>
  </sheetData>
  <autoFilter ref="A2:S1000" xr:uid="{00000000-0009-0000-0000-000007000000}">
    <filterColumn colId="2">
      <filters>
        <filter val="Ativo"/>
        <filter val="Afastado"/>
      </filters>
    </filterColumn>
    <sortState xmlns:xlrd2="http://schemas.microsoft.com/office/spreadsheetml/2017/richdata2" ref="A2:S1000">
      <sortCondition descending="1" ref="E2:E1000"/>
      <sortCondition ref="B2:B1000"/>
      <sortCondition descending="1" ref="I2:I1000"/>
    </sortState>
  </autoFilter>
  <customSheetViews>
    <customSheetView guid="{0544E540-745C-4D0A-9B44-D3C5D649D1DA}" filter="1" showAutoFilter="1">
      <pageMargins left="0.511811024" right="0.511811024" top="0.78740157499999996" bottom="0.78740157499999996" header="0.31496062000000002" footer="0.31496062000000002"/>
      <autoFilter ref="A1:S934" xr:uid="{614808AB-0926-4F52-98D0-ADB28215063B}"/>
    </customSheetView>
  </customSheetViews>
  <pageMargins left="0.511811024" right="0.511811024" top="0.78740157499999996" bottom="0.78740157499999996" header="0.31496062000000002" footer="0.31496062000000002"/>
  <pageSetup paperSize="9" orientation="portrait" verticalDpi="597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00B0B0"/>
    <outlinePr summaryBelow="0" summaryRight="0"/>
  </sheetPr>
  <dimension ref="A1:Z913"/>
  <sheetViews>
    <sheetView workbookViewId="0">
      <pane ySplit="2" topLeftCell="A3" activePane="bottomLeft" state="frozen"/>
      <selection pane="bottomLeft" activeCell="B4" sqref="B4"/>
    </sheetView>
  </sheetViews>
  <sheetFormatPr defaultColWidth="12.6328125" defaultRowHeight="15.75" customHeight="1" x14ac:dyDescent="0.25"/>
  <cols>
    <col min="1" max="1" width="20.08984375" customWidth="1"/>
    <col min="2" max="2" width="37.6328125" customWidth="1"/>
    <col min="3" max="3" width="13.08984375" customWidth="1"/>
    <col min="4" max="4" width="16.08984375" customWidth="1"/>
    <col min="5" max="5" width="14.08984375" customWidth="1"/>
    <col min="6" max="6" width="17.08984375" customWidth="1"/>
    <col min="7" max="8" width="19.08984375" customWidth="1"/>
    <col min="9" max="9" width="14.08984375" customWidth="1"/>
    <col min="10" max="10" width="16.36328125" customWidth="1"/>
    <col min="11" max="11" width="11.08984375" customWidth="1"/>
    <col min="12" max="12" width="18.08984375" customWidth="1"/>
    <col min="13" max="13" width="21.08984375" customWidth="1"/>
    <col min="14" max="15" width="23.08984375" customWidth="1"/>
    <col min="16" max="16" width="18.08984375" customWidth="1"/>
    <col min="17" max="18" width="37.6328125" customWidth="1"/>
    <col min="19" max="19" width="30.08984375" customWidth="1"/>
  </cols>
  <sheetData>
    <row r="1" spans="1:26" ht="33.75" customHeight="1" x14ac:dyDescent="0.25">
      <c r="A1" s="17" t="s">
        <v>7156</v>
      </c>
      <c r="B1" s="17" t="s">
        <v>1632</v>
      </c>
      <c r="C1" s="17" t="s">
        <v>1632</v>
      </c>
      <c r="D1" s="17" t="s">
        <v>1632</v>
      </c>
      <c r="E1" s="17" t="s">
        <v>1632</v>
      </c>
      <c r="F1" s="17" t="s">
        <v>1632</v>
      </c>
      <c r="G1" s="17" t="s">
        <v>1632</v>
      </c>
      <c r="H1" s="17" t="s">
        <v>1632</v>
      </c>
      <c r="I1" s="17" t="s">
        <v>1632</v>
      </c>
      <c r="J1" s="17" t="s">
        <v>1632</v>
      </c>
      <c r="K1" s="17" t="s">
        <v>1632</v>
      </c>
      <c r="L1" s="17" t="s">
        <v>1632</v>
      </c>
      <c r="M1" s="17" t="s">
        <v>1632</v>
      </c>
      <c r="N1" s="17" t="s">
        <v>1632</v>
      </c>
      <c r="O1" s="17" t="s">
        <v>1632</v>
      </c>
      <c r="P1" s="17" t="s">
        <v>1632</v>
      </c>
      <c r="Q1" s="17" t="s">
        <v>1632</v>
      </c>
      <c r="R1" s="17" t="s">
        <v>1632</v>
      </c>
      <c r="S1" s="17" t="s">
        <v>1632</v>
      </c>
      <c r="T1" s="17"/>
      <c r="U1" s="17"/>
      <c r="V1" s="17"/>
      <c r="W1" s="17"/>
      <c r="X1" s="17"/>
      <c r="Y1" s="17"/>
      <c r="Z1" s="17"/>
    </row>
    <row r="2" spans="1:26" ht="22.5" customHeight="1" x14ac:dyDescent="0.25">
      <c r="A2" s="15" t="s">
        <v>1633</v>
      </c>
      <c r="B2" s="15" t="s">
        <v>1634</v>
      </c>
      <c r="C2" s="15" t="s">
        <v>1635</v>
      </c>
      <c r="D2" s="15" t="s">
        <v>0</v>
      </c>
      <c r="E2" s="15" t="s">
        <v>1636</v>
      </c>
      <c r="F2" s="15" t="s">
        <v>1637</v>
      </c>
      <c r="G2" s="15" t="s">
        <v>1638</v>
      </c>
      <c r="H2" s="15" t="s">
        <v>1639</v>
      </c>
      <c r="I2" s="15" t="s">
        <v>1640</v>
      </c>
      <c r="J2" s="15" t="s">
        <v>1625</v>
      </c>
      <c r="K2" s="15" t="s">
        <v>1641</v>
      </c>
      <c r="L2" s="15" t="s">
        <v>1642</v>
      </c>
      <c r="M2" s="15" t="s">
        <v>1643</v>
      </c>
      <c r="N2" s="15" t="s">
        <v>1644</v>
      </c>
      <c r="O2" s="15" t="s">
        <v>1645</v>
      </c>
      <c r="P2" s="15" t="s">
        <v>1646</v>
      </c>
      <c r="Q2" s="15" t="s">
        <v>1647</v>
      </c>
      <c r="R2" s="15" t="s">
        <v>387</v>
      </c>
      <c r="S2" s="15" t="s">
        <v>1648</v>
      </c>
      <c r="T2" s="16"/>
      <c r="U2" s="16"/>
      <c r="V2" s="16"/>
      <c r="W2" s="16"/>
      <c r="X2" s="16"/>
      <c r="Y2" s="16"/>
      <c r="Z2" s="16"/>
    </row>
    <row r="3" spans="1:26" ht="12.5" x14ac:dyDescent="0.25">
      <c r="A3" s="14" t="str">
        <f>HYPERLINK("https://gerandofalcoes.my.salesforce.com/0014X00002YgglYQAR", "0014X00002YgglYQAR")</f>
        <v>0014X00002YgglYQAR</v>
      </c>
      <c r="B3" s="2" t="s">
        <v>3154</v>
      </c>
      <c r="C3" s="2" t="s">
        <v>423</v>
      </c>
      <c r="D3" s="2" t="s">
        <v>2</v>
      </c>
      <c r="E3" s="2"/>
      <c r="F3" s="2">
        <v>0</v>
      </c>
      <c r="G3" s="2">
        <v>2</v>
      </c>
      <c r="H3" s="2">
        <v>5000</v>
      </c>
      <c r="I3" s="2">
        <v>30</v>
      </c>
      <c r="J3" s="2"/>
      <c r="K3" s="2">
        <v>16</v>
      </c>
      <c r="L3" s="2">
        <v>0</v>
      </c>
      <c r="M3" s="2">
        <v>0</v>
      </c>
      <c r="N3" s="2">
        <v>6</v>
      </c>
      <c r="O3" s="2">
        <v>5</v>
      </c>
      <c r="P3" s="2">
        <v>5</v>
      </c>
      <c r="Q3" s="2" t="s">
        <v>3155</v>
      </c>
      <c r="R3" s="2" t="s">
        <v>3156</v>
      </c>
      <c r="S3" s="4">
        <v>44950</v>
      </c>
    </row>
    <row r="4" spans="1:26" ht="12.5" x14ac:dyDescent="0.25">
      <c r="A4" s="14" t="str">
        <f>HYPERLINK("https://gerandofalcoes.my.salesforce.com/0014X00002YgglpQAB", "0014X00002YgglpQAB")</f>
        <v>0014X00002YgglpQAB</v>
      </c>
      <c r="B4" s="2" t="s">
        <v>3360</v>
      </c>
      <c r="C4" s="2" t="s">
        <v>423</v>
      </c>
      <c r="D4" s="2" t="s">
        <v>2</v>
      </c>
      <c r="E4" s="2"/>
      <c r="F4" s="2">
        <v>24</v>
      </c>
      <c r="G4" s="2">
        <v>8</v>
      </c>
      <c r="H4" s="2">
        <v>12828162</v>
      </c>
      <c r="I4" s="2">
        <v>60</v>
      </c>
      <c r="J4" s="2"/>
      <c r="K4" s="2">
        <v>52</v>
      </c>
      <c r="L4" s="2">
        <v>0</v>
      </c>
      <c r="M4" s="2">
        <v>12</v>
      </c>
      <c r="N4" s="2">
        <v>10</v>
      </c>
      <c r="O4" s="2">
        <v>25</v>
      </c>
      <c r="P4" s="2">
        <v>5</v>
      </c>
      <c r="Q4" s="2" t="s">
        <v>3361</v>
      </c>
      <c r="R4" s="2" t="s">
        <v>3362</v>
      </c>
      <c r="S4" s="4">
        <v>44953</v>
      </c>
    </row>
    <row r="5" spans="1:26" ht="12.5" x14ac:dyDescent="0.25">
      <c r="A5" s="14" t="str">
        <f>HYPERLINK("https://gerandofalcoes.my.salesforce.com/0014X00002YggmKQAR", "0014X00002YggmKQAR")</f>
        <v>0014X00002YggmKQAR</v>
      </c>
      <c r="B5" s="2" t="s">
        <v>3043</v>
      </c>
      <c r="C5" s="2" t="s">
        <v>423</v>
      </c>
      <c r="D5" s="2" t="s">
        <v>2</v>
      </c>
      <c r="E5" s="2"/>
      <c r="F5" s="2">
        <v>0</v>
      </c>
      <c r="G5" s="2">
        <v>2</v>
      </c>
      <c r="H5" s="2">
        <v>10000</v>
      </c>
      <c r="I5" s="2">
        <v>0</v>
      </c>
      <c r="J5" s="2"/>
      <c r="K5" s="2">
        <v>11</v>
      </c>
      <c r="L5" s="2">
        <v>0</v>
      </c>
      <c r="M5" s="2">
        <v>0</v>
      </c>
      <c r="N5" s="2">
        <v>6</v>
      </c>
      <c r="O5" s="2">
        <v>5</v>
      </c>
      <c r="P5" s="2">
        <v>0</v>
      </c>
      <c r="Q5" s="2" t="s">
        <v>3044</v>
      </c>
      <c r="R5" s="2" t="s">
        <v>3044</v>
      </c>
      <c r="S5" s="4">
        <v>44945</v>
      </c>
    </row>
    <row r="6" spans="1:26" ht="12.5" x14ac:dyDescent="0.25">
      <c r="A6" s="14" t="str">
        <f>HYPERLINK("https://gerandofalcoes.my.salesforce.com/0014X00002YggjdQAB", "0014X00002YggjdQAB")</f>
        <v>0014X00002YggjdQAB</v>
      </c>
      <c r="B6" s="2" t="s">
        <v>3085</v>
      </c>
      <c r="C6" s="2" t="s">
        <v>423</v>
      </c>
      <c r="D6" s="2" t="s">
        <v>2</v>
      </c>
      <c r="E6" s="2"/>
      <c r="F6" s="2">
        <v>3</v>
      </c>
      <c r="G6" s="2">
        <v>2</v>
      </c>
      <c r="H6" s="2">
        <v>1000</v>
      </c>
      <c r="I6" s="2">
        <v>30</v>
      </c>
      <c r="J6" s="2"/>
      <c r="K6" s="2">
        <v>21</v>
      </c>
      <c r="L6" s="2">
        <v>0</v>
      </c>
      <c r="M6" s="2">
        <v>5</v>
      </c>
      <c r="N6" s="2">
        <v>6</v>
      </c>
      <c r="O6" s="2">
        <v>5</v>
      </c>
      <c r="P6" s="2">
        <v>5</v>
      </c>
      <c r="Q6" s="2" t="s">
        <v>3086</v>
      </c>
      <c r="R6" s="2" t="s">
        <v>3086</v>
      </c>
      <c r="S6" s="4">
        <v>44946</v>
      </c>
    </row>
    <row r="7" spans="1:26" ht="12.5" x14ac:dyDescent="0.25">
      <c r="A7" s="14" t="str">
        <f>HYPERLINK("https://gerandofalcoes.my.salesforce.com/0014X00002YgggRQAR", "0014X00002YgggRQAR")</f>
        <v>0014X00002YgggRQAR</v>
      </c>
      <c r="B7" s="2" t="s">
        <v>3738</v>
      </c>
      <c r="C7" s="2" t="s">
        <v>423</v>
      </c>
      <c r="D7" s="2" t="s">
        <v>2</v>
      </c>
      <c r="E7" s="2"/>
      <c r="F7" s="2">
        <v>200</v>
      </c>
      <c r="G7" s="2">
        <v>5</v>
      </c>
      <c r="H7" s="2">
        <v>1000</v>
      </c>
      <c r="I7" s="2">
        <v>100</v>
      </c>
      <c r="J7" s="2"/>
      <c r="K7" s="2">
        <v>40</v>
      </c>
      <c r="L7" s="2">
        <v>0</v>
      </c>
      <c r="M7" s="2">
        <v>15</v>
      </c>
      <c r="N7" s="2">
        <v>10</v>
      </c>
      <c r="O7" s="2">
        <v>5</v>
      </c>
      <c r="P7" s="2">
        <v>10</v>
      </c>
      <c r="Q7" s="2" t="s">
        <v>3739</v>
      </c>
      <c r="R7" s="2" t="s">
        <v>3739</v>
      </c>
      <c r="S7" s="4">
        <v>44967</v>
      </c>
    </row>
    <row r="8" spans="1:26" ht="12.5" x14ac:dyDescent="0.25">
      <c r="A8" s="14" t="str">
        <f>HYPERLINK("https://gerandofalcoes.my.salesforce.com/0014X00002YgggEQAR", "0014X00002YgggEQAR")</f>
        <v>0014X00002YgggEQAR</v>
      </c>
      <c r="B8" s="2" t="s">
        <v>3008</v>
      </c>
      <c r="C8" s="2" t="s">
        <v>423</v>
      </c>
      <c r="D8" s="2" t="s">
        <v>2</v>
      </c>
      <c r="E8" s="2"/>
      <c r="F8" s="2">
        <v>112</v>
      </c>
      <c r="G8" s="2">
        <v>3</v>
      </c>
      <c r="H8" s="2">
        <v>6</v>
      </c>
      <c r="I8" s="2">
        <v>50</v>
      </c>
      <c r="J8" s="2"/>
      <c r="K8" s="2">
        <v>33</v>
      </c>
      <c r="L8" s="2">
        <v>0</v>
      </c>
      <c r="M8" s="2">
        <v>15</v>
      </c>
      <c r="N8" s="2">
        <v>8</v>
      </c>
      <c r="O8" s="2">
        <v>5</v>
      </c>
      <c r="P8" s="2">
        <v>5</v>
      </c>
      <c r="Q8" s="2" t="s">
        <v>3009</v>
      </c>
      <c r="R8" s="2" t="s">
        <v>3010</v>
      </c>
      <c r="S8" s="4">
        <v>44944</v>
      </c>
    </row>
    <row r="9" spans="1:26" ht="12.5" x14ac:dyDescent="0.25">
      <c r="A9" s="14" t="str">
        <f>HYPERLINK("https://gerandofalcoes.my.salesforce.com/0014X00002YggmgQAB", "0014X00002YggmgQAB")</f>
        <v>0014X00002YggmgQAB</v>
      </c>
      <c r="B9" s="2" t="s">
        <v>3005</v>
      </c>
      <c r="C9" s="2" t="s">
        <v>423</v>
      </c>
      <c r="D9" s="2" t="s">
        <v>2</v>
      </c>
      <c r="E9" s="2"/>
      <c r="F9" s="2">
        <v>0</v>
      </c>
      <c r="G9" s="2">
        <v>4</v>
      </c>
      <c r="H9" s="2">
        <v>600</v>
      </c>
      <c r="I9" s="2">
        <v>150</v>
      </c>
      <c r="J9" s="2"/>
      <c r="K9" s="2">
        <v>27</v>
      </c>
      <c r="L9" s="2">
        <v>0</v>
      </c>
      <c r="M9" s="2">
        <v>0</v>
      </c>
      <c r="N9" s="2">
        <v>10</v>
      </c>
      <c r="O9" s="2">
        <v>5</v>
      </c>
      <c r="P9" s="2">
        <v>12</v>
      </c>
      <c r="Q9" s="2" t="s">
        <v>2987</v>
      </c>
      <c r="R9" s="2" t="s">
        <v>2987</v>
      </c>
      <c r="S9" s="4">
        <v>44944</v>
      </c>
    </row>
    <row r="10" spans="1:26" ht="12.5" x14ac:dyDescent="0.25">
      <c r="A10" s="14" t="str">
        <f>HYPERLINK("https://gerandofalcoes.my.salesforce.com/0014X00002YggkfQAB", "0014X00002YggkfQAB")</f>
        <v>0014X00002YggkfQAB</v>
      </c>
      <c r="B10" s="2" t="s">
        <v>3006</v>
      </c>
      <c r="C10" s="2" t="s">
        <v>423</v>
      </c>
      <c r="D10" s="2" t="s">
        <v>2</v>
      </c>
      <c r="E10" s="2"/>
      <c r="F10" s="2">
        <v>8</v>
      </c>
      <c r="G10" s="2">
        <v>2</v>
      </c>
      <c r="H10" s="2">
        <v>700</v>
      </c>
      <c r="I10" s="2">
        <v>400</v>
      </c>
      <c r="J10" s="2"/>
      <c r="K10" s="2">
        <v>36</v>
      </c>
      <c r="L10" s="2">
        <v>0</v>
      </c>
      <c r="M10" s="2">
        <v>10</v>
      </c>
      <c r="N10" s="2">
        <v>6</v>
      </c>
      <c r="O10" s="2">
        <v>5</v>
      </c>
      <c r="P10" s="2">
        <v>15</v>
      </c>
      <c r="Q10" s="2" t="s">
        <v>3007</v>
      </c>
      <c r="R10" s="2" t="s">
        <v>3007</v>
      </c>
      <c r="S10" s="4">
        <v>44944</v>
      </c>
    </row>
    <row r="11" spans="1:26" ht="12.5" x14ac:dyDescent="0.25">
      <c r="A11" s="14" t="str">
        <f>HYPERLINK("https://gerandofalcoes.my.salesforce.com/0014X00002YggiuQAB", "0014X00002YggiuQAB")</f>
        <v>0014X00002YggiuQAB</v>
      </c>
      <c r="B11" s="2" t="s">
        <v>3031</v>
      </c>
      <c r="C11" s="2" t="s">
        <v>423</v>
      </c>
      <c r="D11" s="2" t="s">
        <v>2</v>
      </c>
      <c r="E11" s="2"/>
      <c r="F11" s="2">
        <v>0</v>
      </c>
      <c r="G11" s="2">
        <v>2</v>
      </c>
      <c r="H11" s="2">
        <v>7000</v>
      </c>
      <c r="I11" s="2">
        <v>100</v>
      </c>
      <c r="J11" s="2"/>
      <c r="K11" s="2">
        <v>21</v>
      </c>
      <c r="L11" s="2">
        <v>0</v>
      </c>
      <c r="M11" s="2">
        <v>0</v>
      </c>
      <c r="N11" s="2">
        <v>6</v>
      </c>
      <c r="O11" s="2">
        <v>5</v>
      </c>
      <c r="P11" s="2">
        <v>10</v>
      </c>
      <c r="Q11" s="2" t="s">
        <v>3032</v>
      </c>
      <c r="R11" s="2" t="s">
        <v>3032</v>
      </c>
      <c r="S11" s="4">
        <v>44945</v>
      </c>
    </row>
    <row r="12" spans="1:26" ht="12.5" x14ac:dyDescent="0.25">
      <c r="A12" s="14" t="str">
        <f>HYPERLINK("https://gerandofalcoes.my.salesforce.com/0014X00002YggiXQAR", "0014X00002YggiXQAR")</f>
        <v>0014X00002YggiXQAR</v>
      </c>
      <c r="B12" s="2" t="s">
        <v>3114</v>
      </c>
      <c r="C12" s="2" t="s">
        <v>423</v>
      </c>
      <c r="D12" s="2" t="s">
        <v>2</v>
      </c>
      <c r="E12" s="2"/>
      <c r="F12" s="2">
        <v>1</v>
      </c>
      <c r="G12" s="2">
        <v>3</v>
      </c>
      <c r="H12" s="2">
        <v>24000</v>
      </c>
      <c r="I12" s="2">
        <v>64</v>
      </c>
      <c r="J12" s="2"/>
      <c r="K12" s="2">
        <v>23</v>
      </c>
      <c r="L12" s="2">
        <v>0</v>
      </c>
      <c r="M12" s="2">
        <v>5</v>
      </c>
      <c r="N12" s="2">
        <v>8</v>
      </c>
      <c r="O12" s="2">
        <v>5</v>
      </c>
      <c r="P12" s="2">
        <v>5</v>
      </c>
      <c r="Q12" s="2" t="s">
        <v>3115</v>
      </c>
      <c r="R12" s="2" t="s">
        <v>3116</v>
      </c>
      <c r="S12" s="4">
        <v>44949</v>
      </c>
    </row>
    <row r="13" spans="1:26" ht="12.5" x14ac:dyDescent="0.25">
      <c r="A13" s="14" t="str">
        <f>HYPERLINK("https://gerandofalcoes.my.salesforce.com/0014X00002YggmXQAR", "0014X00002YggmXQAR")</f>
        <v>0014X00002YggmXQAR</v>
      </c>
      <c r="B13" s="2" t="s">
        <v>3056</v>
      </c>
      <c r="C13" s="2" t="s">
        <v>423</v>
      </c>
      <c r="D13" s="2" t="s">
        <v>2</v>
      </c>
      <c r="E13" s="2"/>
      <c r="F13" s="2">
        <v>0</v>
      </c>
      <c r="G13" s="2">
        <v>2</v>
      </c>
      <c r="H13" s="2">
        <v>1000</v>
      </c>
      <c r="I13" s="2">
        <v>73</v>
      </c>
      <c r="J13" s="2"/>
      <c r="K13" s="2">
        <v>16</v>
      </c>
      <c r="L13" s="2">
        <v>0</v>
      </c>
      <c r="M13" s="2">
        <v>0</v>
      </c>
      <c r="N13" s="2">
        <v>6</v>
      </c>
      <c r="O13" s="2">
        <v>5</v>
      </c>
      <c r="P13" s="2">
        <v>5</v>
      </c>
      <c r="Q13" s="2" t="s">
        <v>3057</v>
      </c>
      <c r="R13" s="2" t="s">
        <v>3058</v>
      </c>
      <c r="S13" s="4">
        <v>44946</v>
      </c>
    </row>
    <row r="14" spans="1:26" ht="12.5" x14ac:dyDescent="0.25">
      <c r="A14" s="14" t="str">
        <f>HYPERLINK("https://gerandofalcoes.my.salesforce.com/0014X00002YggpVQAR", "0014X00002YggpVQAR")</f>
        <v>0014X00002YggpVQAR</v>
      </c>
      <c r="B14" s="2" t="s">
        <v>3072</v>
      </c>
      <c r="C14" s="2" t="s">
        <v>423</v>
      </c>
      <c r="D14" s="2" t="s">
        <v>2</v>
      </c>
      <c r="E14" s="2"/>
      <c r="F14" s="2">
        <v>0</v>
      </c>
      <c r="G14" s="2">
        <v>2</v>
      </c>
      <c r="H14" s="2">
        <v>13000</v>
      </c>
      <c r="I14" s="2">
        <v>190</v>
      </c>
      <c r="J14" s="2"/>
      <c r="K14" s="2">
        <v>23</v>
      </c>
      <c r="L14" s="2">
        <v>0</v>
      </c>
      <c r="M14" s="2">
        <v>0</v>
      </c>
      <c r="N14" s="2">
        <v>6</v>
      </c>
      <c r="O14" s="2">
        <v>5</v>
      </c>
      <c r="P14" s="2">
        <v>12</v>
      </c>
      <c r="Q14" s="2" t="s">
        <v>3073</v>
      </c>
      <c r="R14" s="2" t="s">
        <v>3074</v>
      </c>
      <c r="S14" s="4">
        <v>44946</v>
      </c>
    </row>
    <row r="15" spans="1:26" ht="12.5" x14ac:dyDescent="0.25">
      <c r="A15" s="14" t="str">
        <f>HYPERLINK("https://gerandofalcoes.my.salesforce.com/0014X00002YggibQAB", "0014X00002YggibQAB")</f>
        <v>0014X00002YggibQAB</v>
      </c>
      <c r="B15" s="2" t="s">
        <v>3026</v>
      </c>
      <c r="C15" s="2" t="s">
        <v>423</v>
      </c>
      <c r="D15" s="2" t="s">
        <v>2</v>
      </c>
      <c r="E15" s="2"/>
      <c r="F15" s="2">
        <v>0</v>
      </c>
      <c r="G15" s="2">
        <v>6</v>
      </c>
      <c r="H15" s="2">
        <v>8000</v>
      </c>
      <c r="I15" s="2">
        <v>16</v>
      </c>
      <c r="J15" s="2"/>
      <c r="K15" s="2">
        <v>20</v>
      </c>
      <c r="L15" s="2">
        <v>0</v>
      </c>
      <c r="M15" s="2">
        <v>0</v>
      </c>
      <c r="N15" s="2">
        <v>10</v>
      </c>
      <c r="O15" s="2">
        <v>5</v>
      </c>
      <c r="P15" s="2">
        <v>5</v>
      </c>
      <c r="Q15" s="2" t="s">
        <v>3027</v>
      </c>
      <c r="R15" s="2" t="s">
        <v>3027</v>
      </c>
      <c r="S15" s="4">
        <v>44945</v>
      </c>
    </row>
    <row r="16" spans="1:26" ht="12.5" x14ac:dyDescent="0.25">
      <c r="A16" s="14" t="str">
        <f>HYPERLINK("https://gerandofalcoes.my.salesforce.com/0014X00002Yggh6QAB", "0014X00002Yggh6QAB")</f>
        <v>0014X00002Yggh6QAB</v>
      </c>
      <c r="B16" s="2" t="s">
        <v>3122</v>
      </c>
      <c r="C16" s="2" t="s">
        <v>423</v>
      </c>
      <c r="D16" s="2" t="s">
        <v>2</v>
      </c>
      <c r="E16" s="2"/>
      <c r="F16" s="2">
        <v>6</v>
      </c>
      <c r="G16" s="2">
        <v>2</v>
      </c>
      <c r="H16" s="2">
        <v>481000</v>
      </c>
      <c r="I16" s="2">
        <v>200</v>
      </c>
      <c r="J16" s="2"/>
      <c r="K16" s="2">
        <v>48</v>
      </c>
      <c r="L16" s="2">
        <v>0</v>
      </c>
      <c r="M16" s="2">
        <v>10</v>
      </c>
      <c r="N16" s="2">
        <v>6</v>
      </c>
      <c r="O16" s="2">
        <v>20</v>
      </c>
      <c r="P16" s="2">
        <v>12</v>
      </c>
      <c r="Q16" s="2" t="s">
        <v>3123</v>
      </c>
      <c r="R16" s="2" t="s">
        <v>3124</v>
      </c>
      <c r="S16" s="4">
        <v>44949</v>
      </c>
    </row>
    <row r="17" spans="1:19" ht="12.5" x14ac:dyDescent="0.25">
      <c r="A17" s="14" t="str">
        <f>HYPERLINK("https://gerandofalcoes.my.salesforce.com/0014X00002YggopQAB", "0014X00002YggopQAB")</f>
        <v>0014X00002YggopQAB</v>
      </c>
      <c r="B17" s="2" t="s">
        <v>3614</v>
      </c>
      <c r="C17" s="2" t="s">
        <v>423</v>
      </c>
      <c r="D17" s="2" t="s">
        <v>2</v>
      </c>
      <c r="E17" s="2"/>
      <c r="F17" s="2">
        <v>10</v>
      </c>
      <c r="G17" s="2">
        <v>2</v>
      </c>
      <c r="H17" s="2">
        <v>900</v>
      </c>
      <c r="I17" s="2">
        <v>20</v>
      </c>
      <c r="J17" s="2"/>
      <c r="K17" s="2">
        <v>26</v>
      </c>
      <c r="L17" s="2">
        <v>0</v>
      </c>
      <c r="M17" s="2">
        <v>10</v>
      </c>
      <c r="N17" s="2">
        <v>6</v>
      </c>
      <c r="O17" s="2">
        <v>5</v>
      </c>
      <c r="P17" s="2">
        <v>5</v>
      </c>
      <c r="Q17" s="2" t="s">
        <v>3615</v>
      </c>
      <c r="R17" s="2" t="s">
        <v>3616</v>
      </c>
      <c r="S17" s="4">
        <v>44963</v>
      </c>
    </row>
    <row r="18" spans="1:19" ht="12.5" x14ac:dyDescent="0.25">
      <c r="A18" s="14" t="str">
        <f>HYPERLINK("https://gerandofalcoes.my.salesforce.com/0014X00002YgghzQAB", "0014X00002YgghzQAB")</f>
        <v>0014X00002YgghzQAB</v>
      </c>
      <c r="B18" s="2" t="s">
        <v>3139</v>
      </c>
      <c r="C18" s="2" t="s">
        <v>423</v>
      </c>
      <c r="D18" s="2" t="s">
        <v>2</v>
      </c>
      <c r="E18" s="2"/>
      <c r="F18" s="2">
        <v>1</v>
      </c>
      <c r="G18" s="2">
        <v>4</v>
      </c>
      <c r="H18" s="2">
        <v>2500</v>
      </c>
      <c r="I18" s="2">
        <v>25</v>
      </c>
      <c r="J18" s="2"/>
      <c r="K18" s="2">
        <v>25</v>
      </c>
      <c r="L18" s="2">
        <v>0</v>
      </c>
      <c r="M18" s="2">
        <v>5</v>
      </c>
      <c r="N18" s="2">
        <v>10</v>
      </c>
      <c r="O18" s="2">
        <v>5</v>
      </c>
      <c r="P18" s="2">
        <v>5</v>
      </c>
      <c r="Q18" s="2" t="s">
        <v>3140</v>
      </c>
      <c r="R18" s="2" t="s">
        <v>3141</v>
      </c>
      <c r="S18" s="4">
        <v>44949</v>
      </c>
    </row>
    <row r="19" spans="1:19" ht="12.5" hidden="1" x14ac:dyDescent="0.25">
      <c r="A19" s="14" t="str">
        <f>HYPERLINK("https://gerandofalcoes.my.salesforce.com/0014P00003YSp7jQAD", "0014P00003YSp7jQAD")</f>
        <v>0014P00003YSp7jQAD</v>
      </c>
      <c r="B19" s="2" t="s">
        <v>3000</v>
      </c>
      <c r="C19" s="2" t="s">
        <v>1684</v>
      </c>
      <c r="D19" s="2" t="s">
        <v>2</v>
      </c>
      <c r="E19" s="2">
        <v>41</v>
      </c>
      <c r="F19" s="2">
        <v>12</v>
      </c>
      <c r="G19" s="2">
        <v>3</v>
      </c>
      <c r="H19" s="2">
        <v>200000</v>
      </c>
      <c r="I19" s="2">
        <v>0</v>
      </c>
      <c r="J19" s="2" t="s">
        <v>1671</v>
      </c>
      <c r="K19" s="2">
        <v>50</v>
      </c>
      <c r="L19" s="2">
        <v>15</v>
      </c>
      <c r="M19" s="2">
        <v>12</v>
      </c>
      <c r="N19" s="2">
        <v>8</v>
      </c>
      <c r="O19" s="2">
        <v>15</v>
      </c>
      <c r="P19" s="2">
        <v>0</v>
      </c>
      <c r="Q19" s="2" t="s">
        <v>3001</v>
      </c>
      <c r="R19" s="2"/>
      <c r="S19" s="4">
        <v>44911</v>
      </c>
    </row>
    <row r="20" spans="1:19" ht="12.5" x14ac:dyDescent="0.25">
      <c r="A20" s="14" t="str">
        <f>HYPERLINK("https://gerandofalcoes.my.salesforce.com/0014X00002YggjJQAR", "0014X00002YggjJQAR")</f>
        <v>0014X00002YggjJQAR</v>
      </c>
      <c r="B20" s="2" t="s">
        <v>3011</v>
      </c>
      <c r="C20" s="2" t="s">
        <v>423</v>
      </c>
      <c r="D20" s="2" t="s">
        <v>2</v>
      </c>
      <c r="E20" s="2"/>
      <c r="F20" s="2">
        <v>24</v>
      </c>
      <c r="G20" s="2">
        <v>4</v>
      </c>
      <c r="H20" s="2">
        <v>89800000</v>
      </c>
      <c r="I20" s="2">
        <v>250</v>
      </c>
      <c r="J20" s="2"/>
      <c r="K20" s="2">
        <v>59</v>
      </c>
      <c r="L20" s="2">
        <v>0</v>
      </c>
      <c r="M20" s="2">
        <v>12</v>
      </c>
      <c r="N20" s="2">
        <v>10</v>
      </c>
      <c r="O20" s="2">
        <v>25</v>
      </c>
      <c r="P20" s="2">
        <v>12</v>
      </c>
      <c r="Q20" s="2" t="s">
        <v>3012</v>
      </c>
      <c r="R20" s="2" t="s">
        <v>3012</v>
      </c>
      <c r="S20" s="4">
        <v>44945</v>
      </c>
    </row>
    <row r="21" spans="1:19" ht="12.5" x14ac:dyDescent="0.25">
      <c r="A21" s="14" t="str">
        <f>HYPERLINK("https://gerandofalcoes.my.salesforce.com/0014X00002YggqSQAR", "0014X00002YggqSQAR")</f>
        <v>0014X00002YggqSQAR</v>
      </c>
      <c r="B21" s="2" t="s">
        <v>3021</v>
      </c>
      <c r="C21" s="2" t="s">
        <v>423</v>
      </c>
      <c r="D21" s="2" t="s">
        <v>2</v>
      </c>
      <c r="E21" s="2"/>
      <c r="F21" s="2">
        <v>0</v>
      </c>
      <c r="G21" s="2">
        <v>3</v>
      </c>
      <c r="H21" s="2">
        <v>7000</v>
      </c>
      <c r="I21" s="2">
        <v>100</v>
      </c>
      <c r="J21" s="2"/>
      <c r="K21" s="2">
        <v>23</v>
      </c>
      <c r="L21" s="2">
        <v>0</v>
      </c>
      <c r="M21" s="2">
        <v>0</v>
      </c>
      <c r="N21" s="2">
        <v>8</v>
      </c>
      <c r="O21" s="2">
        <v>5</v>
      </c>
      <c r="P21" s="2">
        <v>10</v>
      </c>
      <c r="Q21" s="2" t="s">
        <v>3022</v>
      </c>
      <c r="R21" s="2" t="s">
        <v>3022</v>
      </c>
      <c r="S21" s="4">
        <v>44945</v>
      </c>
    </row>
    <row r="22" spans="1:19" ht="12.5" x14ac:dyDescent="0.25">
      <c r="A22" s="14" t="str">
        <f>HYPERLINK("https://gerandofalcoes.my.salesforce.com/0014X00002Yggi8QAB", "0014X00002Yggi8QAB")</f>
        <v>0014X00002Yggi8QAB</v>
      </c>
      <c r="B22" s="2" t="s">
        <v>3081</v>
      </c>
      <c r="C22" s="2" t="s">
        <v>423</v>
      </c>
      <c r="D22" s="2" t="s">
        <v>2</v>
      </c>
      <c r="E22" s="2"/>
      <c r="F22" s="2">
        <v>0</v>
      </c>
      <c r="G22" s="2">
        <v>2</v>
      </c>
      <c r="H22" s="2">
        <v>50</v>
      </c>
      <c r="I22" s="2">
        <v>50</v>
      </c>
      <c r="J22" s="2"/>
      <c r="K22" s="2">
        <v>16</v>
      </c>
      <c r="L22" s="2">
        <v>0</v>
      </c>
      <c r="M22" s="2">
        <v>0</v>
      </c>
      <c r="N22" s="2">
        <v>6</v>
      </c>
      <c r="O22" s="2">
        <v>5</v>
      </c>
      <c r="P22" s="2">
        <v>5</v>
      </c>
      <c r="Q22" s="2" t="s">
        <v>3082</v>
      </c>
      <c r="R22" s="2" t="s">
        <v>3082</v>
      </c>
      <c r="S22" s="4">
        <v>44946</v>
      </c>
    </row>
    <row r="23" spans="1:19" ht="12.5" x14ac:dyDescent="0.25">
      <c r="A23" s="14" t="str">
        <f>HYPERLINK("https://gerandofalcoes.my.salesforce.com/0014X00002YggmGQAR", "0014X00002YggmGQAR")</f>
        <v>0014X00002YggmGQAR</v>
      </c>
      <c r="B23" s="2" t="s">
        <v>3130</v>
      </c>
      <c r="C23" s="2" t="s">
        <v>423</v>
      </c>
      <c r="D23" s="2" t="s">
        <v>2</v>
      </c>
      <c r="E23" s="2"/>
      <c r="F23" s="2">
        <v>10</v>
      </c>
      <c r="G23" s="2">
        <v>2</v>
      </c>
      <c r="H23" s="2">
        <v>3000</v>
      </c>
      <c r="I23" s="2">
        <v>60</v>
      </c>
      <c r="J23" s="2"/>
      <c r="K23" s="2">
        <v>26</v>
      </c>
      <c r="L23" s="2">
        <v>0</v>
      </c>
      <c r="M23" s="2">
        <v>10</v>
      </c>
      <c r="N23" s="2">
        <v>6</v>
      </c>
      <c r="O23" s="2">
        <v>5</v>
      </c>
      <c r="P23" s="2">
        <v>5</v>
      </c>
      <c r="Q23" s="2" t="s">
        <v>3131</v>
      </c>
      <c r="R23" s="2" t="s">
        <v>3132</v>
      </c>
      <c r="S23" s="4">
        <v>44949</v>
      </c>
    </row>
    <row r="24" spans="1:19" ht="12.5" x14ac:dyDescent="0.25">
      <c r="A24" s="14" t="str">
        <f>HYPERLINK("https://gerandofalcoes.my.salesforce.com/0014X00002YggglQAB", "0014X00002YggglQAB")</f>
        <v>0014X00002YggglQAB</v>
      </c>
      <c r="B24" s="2" t="s">
        <v>7154</v>
      </c>
      <c r="C24" s="2" t="s">
        <v>423</v>
      </c>
      <c r="D24" s="2" t="s">
        <v>2</v>
      </c>
      <c r="E24" s="2"/>
      <c r="F24" s="2">
        <v>0</v>
      </c>
      <c r="G24" s="2">
        <v>2</v>
      </c>
      <c r="H24" s="2">
        <v>15000</v>
      </c>
      <c r="I24" s="2">
        <v>0</v>
      </c>
      <c r="J24" s="2"/>
      <c r="K24" s="2">
        <v>11</v>
      </c>
      <c r="L24" s="2">
        <v>0</v>
      </c>
      <c r="M24" s="2">
        <v>0</v>
      </c>
      <c r="N24" s="2">
        <v>6</v>
      </c>
      <c r="O24" s="2">
        <v>5</v>
      </c>
      <c r="P24" s="2">
        <v>0</v>
      </c>
      <c r="Q24" s="2" t="s">
        <v>7155</v>
      </c>
      <c r="R24" s="2" t="s">
        <v>3145</v>
      </c>
      <c r="S24" s="4">
        <v>44949</v>
      </c>
    </row>
    <row r="25" spans="1:19" ht="12.5" x14ac:dyDescent="0.25">
      <c r="A25" s="14" t="str">
        <f>HYPERLINK("https://gerandofalcoes.my.salesforce.com/0014X00002YgghKQAR", "0014X00002YgghKQAR")</f>
        <v>0014X00002YgghKQAR</v>
      </c>
      <c r="B25" s="2" t="s">
        <v>3065</v>
      </c>
      <c r="C25" s="2" t="s">
        <v>423</v>
      </c>
      <c r="D25" s="2" t="s">
        <v>2</v>
      </c>
      <c r="E25" s="2"/>
      <c r="F25" s="2">
        <v>0</v>
      </c>
      <c r="G25" s="2">
        <v>5</v>
      </c>
      <c r="H25" s="2">
        <v>500</v>
      </c>
      <c r="I25" s="2">
        <v>0</v>
      </c>
      <c r="J25" s="2"/>
      <c r="K25" s="2">
        <v>15</v>
      </c>
      <c r="L25" s="2">
        <v>0</v>
      </c>
      <c r="M25" s="2">
        <v>0</v>
      </c>
      <c r="N25" s="2">
        <v>10</v>
      </c>
      <c r="O25" s="2">
        <v>5</v>
      </c>
      <c r="P25" s="2">
        <v>0</v>
      </c>
      <c r="Q25" s="2" t="s">
        <v>3066</v>
      </c>
      <c r="R25" s="2" t="s">
        <v>3066</v>
      </c>
      <c r="S25" s="4">
        <v>44946</v>
      </c>
    </row>
    <row r="26" spans="1:19" ht="12.5" x14ac:dyDescent="0.25">
      <c r="A26" s="14" t="str">
        <f>HYPERLINK("https://gerandofalcoes.my.salesforce.com/0014X00002Yggp5QAB", "0014X00002Yggp5QAB")</f>
        <v>0014X00002Yggp5QAB</v>
      </c>
      <c r="B26" s="2" t="s">
        <v>3050</v>
      </c>
      <c r="C26" s="2" t="s">
        <v>423</v>
      </c>
      <c r="D26" s="2" t="s">
        <v>2</v>
      </c>
      <c r="E26" s="2"/>
      <c r="F26" s="2">
        <v>0</v>
      </c>
      <c r="G26" s="2">
        <v>2</v>
      </c>
      <c r="H26" s="2">
        <v>0</v>
      </c>
      <c r="I26" s="2">
        <v>0</v>
      </c>
      <c r="J26" s="2"/>
      <c r="K26" s="2">
        <v>6</v>
      </c>
      <c r="L26" s="2">
        <v>0</v>
      </c>
      <c r="M26" s="2">
        <v>0</v>
      </c>
      <c r="N26" s="2">
        <v>6</v>
      </c>
      <c r="O26" s="2">
        <v>0</v>
      </c>
      <c r="P26" s="2">
        <v>0</v>
      </c>
      <c r="Q26" s="2" t="s">
        <v>3051</v>
      </c>
      <c r="R26" s="2" t="s">
        <v>3052</v>
      </c>
      <c r="S26" s="4">
        <v>44946</v>
      </c>
    </row>
    <row r="27" spans="1:19" ht="12.5" x14ac:dyDescent="0.25">
      <c r="A27" s="14" t="str">
        <f>HYPERLINK("https://gerandofalcoes.my.salesforce.com/0014X00002YggimQAB", "0014X00002YggimQAB")</f>
        <v>0014X00002YggimQAB</v>
      </c>
      <c r="B27" s="2" t="s">
        <v>3146</v>
      </c>
      <c r="C27" s="2" t="s">
        <v>423</v>
      </c>
      <c r="D27" s="2" t="s">
        <v>2</v>
      </c>
      <c r="E27" s="2"/>
      <c r="F27" s="2">
        <v>0</v>
      </c>
      <c r="G27" s="2">
        <v>2</v>
      </c>
      <c r="H27" s="2">
        <v>200</v>
      </c>
      <c r="I27" s="2">
        <v>0</v>
      </c>
      <c r="J27" s="2"/>
      <c r="K27" s="2">
        <v>11</v>
      </c>
      <c r="L27" s="2">
        <v>0</v>
      </c>
      <c r="M27" s="2">
        <v>0</v>
      </c>
      <c r="N27" s="2">
        <v>6</v>
      </c>
      <c r="O27" s="2">
        <v>5</v>
      </c>
      <c r="P27" s="2">
        <v>0</v>
      </c>
      <c r="Q27" s="2" t="s">
        <v>3147</v>
      </c>
      <c r="R27" s="2" t="s">
        <v>3148</v>
      </c>
      <c r="S27" s="4">
        <v>44949</v>
      </c>
    </row>
    <row r="28" spans="1:19" ht="12.5" x14ac:dyDescent="0.25">
      <c r="A28" s="14" t="str">
        <f>HYPERLINK("https://gerandofalcoes.my.salesforce.com/0014X00002YggoKQAR", "0014X00002YggoKQAR")</f>
        <v>0014X00002YggoKQAR</v>
      </c>
      <c r="B28" s="2" t="s">
        <v>3019</v>
      </c>
      <c r="C28" s="2" t="s">
        <v>423</v>
      </c>
      <c r="D28" s="2" t="s">
        <v>2</v>
      </c>
      <c r="E28" s="2"/>
      <c r="F28" s="2">
        <v>1</v>
      </c>
      <c r="G28" s="2">
        <v>2</v>
      </c>
      <c r="H28" s="2">
        <v>7000</v>
      </c>
      <c r="I28" s="2">
        <v>0</v>
      </c>
      <c r="J28" s="2"/>
      <c r="K28" s="2">
        <v>16</v>
      </c>
      <c r="L28" s="2">
        <v>0</v>
      </c>
      <c r="M28" s="2">
        <v>5</v>
      </c>
      <c r="N28" s="2">
        <v>6</v>
      </c>
      <c r="O28" s="2">
        <v>5</v>
      </c>
      <c r="P28" s="2">
        <v>0</v>
      </c>
      <c r="Q28" s="2" t="s">
        <v>3020</v>
      </c>
      <c r="R28" s="2" t="s">
        <v>3020</v>
      </c>
      <c r="S28" s="4">
        <v>44945</v>
      </c>
    </row>
    <row r="29" spans="1:19" ht="12.5" x14ac:dyDescent="0.25">
      <c r="A29" s="14" t="str">
        <f>HYPERLINK("https://gerandofalcoes.my.salesforce.com/0014X00002YggjpQAB", "0014X00002YggjpQAB")</f>
        <v>0014X00002YggjpQAB</v>
      </c>
      <c r="B29" s="2" t="s">
        <v>3800</v>
      </c>
      <c r="C29" s="2" t="s">
        <v>423</v>
      </c>
      <c r="D29" s="2" t="s">
        <v>2</v>
      </c>
      <c r="E29" s="2"/>
      <c r="F29" s="2">
        <v>4</v>
      </c>
      <c r="G29" s="2">
        <v>5</v>
      </c>
      <c r="H29" s="2">
        <v>8500</v>
      </c>
      <c r="I29" s="2">
        <v>7</v>
      </c>
      <c r="J29" s="2"/>
      <c r="K29" s="2">
        <v>25</v>
      </c>
      <c r="L29" s="2">
        <v>0</v>
      </c>
      <c r="M29" s="2">
        <v>5</v>
      </c>
      <c r="N29" s="2">
        <v>10</v>
      </c>
      <c r="O29" s="2">
        <v>5</v>
      </c>
      <c r="P29" s="2">
        <v>5</v>
      </c>
      <c r="Q29" s="2" t="s">
        <v>3801</v>
      </c>
      <c r="R29" s="2" t="s">
        <v>3801</v>
      </c>
      <c r="S29" s="4">
        <v>44970</v>
      </c>
    </row>
    <row r="30" spans="1:19" ht="12.5" x14ac:dyDescent="0.25">
      <c r="A30" s="14" t="str">
        <f>HYPERLINK("https://gerandofalcoes.my.salesforce.com/0014X00002YggmSQAR", "0014X00002YggmSQAR")</f>
        <v>0014X00002YggmSQAR</v>
      </c>
      <c r="B30" s="2" t="s">
        <v>3059</v>
      </c>
      <c r="C30" s="2" t="s">
        <v>423</v>
      </c>
      <c r="D30" s="2" t="s">
        <v>2</v>
      </c>
      <c r="E30" s="2"/>
      <c r="F30" s="2">
        <v>4</v>
      </c>
      <c r="G30" s="2">
        <v>5</v>
      </c>
      <c r="H30" s="2">
        <v>12000</v>
      </c>
      <c r="I30" s="2">
        <v>0</v>
      </c>
      <c r="J30" s="2"/>
      <c r="K30" s="2">
        <v>20</v>
      </c>
      <c r="L30" s="2">
        <v>0</v>
      </c>
      <c r="M30" s="2">
        <v>5</v>
      </c>
      <c r="N30" s="2">
        <v>10</v>
      </c>
      <c r="O30" s="2">
        <v>5</v>
      </c>
      <c r="P30" s="2">
        <v>0</v>
      </c>
      <c r="Q30" s="2" t="s">
        <v>3060</v>
      </c>
      <c r="R30" s="2" t="s">
        <v>3061</v>
      </c>
      <c r="S30" s="4">
        <v>44946</v>
      </c>
    </row>
    <row r="31" spans="1:19" ht="12.5" x14ac:dyDescent="0.25">
      <c r="A31" s="14" t="str">
        <f>HYPERLINK("https://gerandofalcoes.my.salesforce.com/0014X00002YggmHQAR", "0014X00002YggmHQAR")</f>
        <v>0014X00002YggmHQAR</v>
      </c>
      <c r="B31" s="2" t="s">
        <v>3016</v>
      </c>
      <c r="C31" s="2" t="s">
        <v>423</v>
      </c>
      <c r="D31" s="2" t="s">
        <v>2</v>
      </c>
      <c r="E31" s="2"/>
      <c r="F31" s="2">
        <v>0</v>
      </c>
      <c r="G31" s="2">
        <v>5</v>
      </c>
      <c r="H31" s="2">
        <v>280524</v>
      </c>
      <c r="I31" s="2">
        <v>100</v>
      </c>
      <c r="J31" s="2"/>
      <c r="K31" s="2">
        <v>35</v>
      </c>
      <c r="L31" s="2">
        <v>0</v>
      </c>
      <c r="M31" s="2">
        <v>0</v>
      </c>
      <c r="N31" s="2">
        <v>10</v>
      </c>
      <c r="O31" s="2">
        <v>15</v>
      </c>
      <c r="P31" s="2">
        <v>10</v>
      </c>
      <c r="Q31" s="2" t="s">
        <v>3017</v>
      </c>
      <c r="R31" s="2" t="s">
        <v>3018</v>
      </c>
      <c r="S31" s="4">
        <v>44945</v>
      </c>
    </row>
    <row r="32" spans="1:19" ht="12.5" x14ac:dyDescent="0.25">
      <c r="A32" s="14" t="str">
        <f>HYPERLINK("https://gerandofalcoes.my.salesforce.com/0014X00002YggjKQAR", "0014X00002YggjKQAR")</f>
        <v>0014X00002YggjKQAR</v>
      </c>
      <c r="B32" s="2" t="s">
        <v>3133</v>
      </c>
      <c r="C32" s="2" t="s">
        <v>423</v>
      </c>
      <c r="D32" s="2" t="s">
        <v>2</v>
      </c>
      <c r="E32" s="2"/>
      <c r="F32" s="2">
        <v>4</v>
      </c>
      <c r="G32" s="2">
        <v>3</v>
      </c>
      <c r="H32" s="2">
        <v>18000</v>
      </c>
      <c r="I32" s="2">
        <v>50</v>
      </c>
      <c r="J32" s="2"/>
      <c r="K32" s="2">
        <v>23</v>
      </c>
      <c r="L32" s="2">
        <v>0</v>
      </c>
      <c r="M32" s="2">
        <v>5</v>
      </c>
      <c r="N32" s="2">
        <v>8</v>
      </c>
      <c r="O32" s="2">
        <v>5</v>
      </c>
      <c r="P32" s="2">
        <v>5</v>
      </c>
      <c r="Q32" s="2" t="s">
        <v>3134</v>
      </c>
      <c r="R32" s="2" t="s">
        <v>3135</v>
      </c>
      <c r="S32" s="4">
        <v>44949</v>
      </c>
    </row>
    <row r="33" spans="1:19" ht="12.5" x14ac:dyDescent="0.25">
      <c r="A33" s="14" t="str">
        <f>HYPERLINK("https://gerandofalcoes.my.salesforce.com/0014X00002YgggwQAB", "0014X00002YgggwQAB")</f>
        <v>0014X00002YgggwQAB</v>
      </c>
      <c r="B33" s="2" t="s">
        <v>3106</v>
      </c>
      <c r="C33" s="2" t="s">
        <v>423</v>
      </c>
      <c r="D33" s="2" t="s">
        <v>2</v>
      </c>
      <c r="E33" s="2"/>
      <c r="F33" s="2">
        <v>0</v>
      </c>
      <c r="G33" s="2">
        <v>3</v>
      </c>
      <c r="H33" s="2">
        <v>1000</v>
      </c>
      <c r="I33" s="2">
        <v>0</v>
      </c>
      <c r="J33" s="2"/>
      <c r="K33" s="2">
        <v>13</v>
      </c>
      <c r="L33" s="2">
        <v>0</v>
      </c>
      <c r="M33" s="2">
        <v>0</v>
      </c>
      <c r="N33" s="2">
        <v>8</v>
      </c>
      <c r="O33" s="2">
        <v>5</v>
      </c>
      <c r="P33" s="2">
        <v>0</v>
      </c>
      <c r="Q33" s="2" t="s">
        <v>3107</v>
      </c>
      <c r="R33" s="2" t="s">
        <v>3108</v>
      </c>
      <c r="S33" s="4">
        <v>44948</v>
      </c>
    </row>
    <row r="34" spans="1:19" ht="12.5" x14ac:dyDescent="0.25">
      <c r="A34" s="14" t="str">
        <f>HYPERLINK("https://gerandofalcoes.my.salesforce.com/0014X00002YggnDQAR", "0014X00002YggnDQAR")</f>
        <v>0014X00002YggnDQAR</v>
      </c>
      <c r="B34" s="2" t="s">
        <v>3334</v>
      </c>
      <c r="C34" s="2" t="s">
        <v>423</v>
      </c>
      <c r="D34" s="2" t="s">
        <v>2</v>
      </c>
      <c r="E34" s="2"/>
      <c r="F34" s="2">
        <v>0</v>
      </c>
      <c r="G34" s="2">
        <v>3</v>
      </c>
      <c r="H34" s="2">
        <v>5000</v>
      </c>
      <c r="I34" s="2">
        <v>2000</v>
      </c>
      <c r="J34" s="2"/>
      <c r="K34" s="2">
        <v>33</v>
      </c>
      <c r="L34" s="2">
        <v>0</v>
      </c>
      <c r="M34" s="2">
        <v>0</v>
      </c>
      <c r="N34" s="2">
        <v>8</v>
      </c>
      <c r="O34" s="2">
        <v>5</v>
      </c>
      <c r="P34" s="2">
        <v>20</v>
      </c>
      <c r="Q34" s="2" t="s">
        <v>3335</v>
      </c>
      <c r="R34" s="2" t="s">
        <v>3336</v>
      </c>
      <c r="S34" s="4">
        <v>44953</v>
      </c>
    </row>
    <row r="35" spans="1:19" ht="12.5" x14ac:dyDescent="0.25">
      <c r="A35" s="14" t="str">
        <f>HYPERLINK("https://gerandofalcoes.my.salesforce.com/0014X00002YggnIQAR", "0014X00002YggnIQAR")</f>
        <v>0014X00002YggnIQAR</v>
      </c>
      <c r="B35" s="2" t="s">
        <v>3789</v>
      </c>
      <c r="C35" s="2" t="s">
        <v>423</v>
      </c>
      <c r="D35" s="2" t="s">
        <v>2</v>
      </c>
      <c r="E35" s="2"/>
      <c r="F35" s="2">
        <v>0</v>
      </c>
      <c r="G35" s="2">
        <v>2</v>
      </c>
      <c r="H35" s="2">
        <v>1000</v>
      </c>
      <c r="I35" s="2">
        <v>20</v>
      </c>
      <c r="J35" s="2"/>
      <c r="K35" s="2">
        <v>16</v>
      </c>
      <c r="L35" s="2">
        <v>0</v>
      </c>
      <c r="M35" s="2">
        <v>0</v>
      </c>
      <c r="N35" s="2">
        <v>6</v>
      </c>
      <c r="O35" s="2">
        <v>5</v>
      </c>
      <c r="P35" s="2">
        <v>5</v>
      </c>
      <c r="Q35" s="2" t="s">
        <v>3790</v>
      </c>
      <c r="R35" s="2" t="s">
        <v>3791</v>
      </c>
      <c r="S35" s="4">
        <v>44968</v>
      </c>
    </row>
    <row r="36" spans="1:19" ht="12.5" x14ac:dyDescent="0.25">
      <c r="A36" s="14" t="str">
        <f>HYPERLINK("https://gerandofalcoes.my.salesforce.com/0014X00002YgbkdQAB", "0014X00002YgbkdQAB")</f>
        <v>0014X00002YgbkdQAB</v>
      </c>
      <c r="B36" s="2" t="s">
        <v>3157</v>
      </c>
      <c r="C36" s="2" t="s">
        <v>423</v>
      </c>
      <c r="D36" s="2" t="s">
        <v>2</v>
      </c>
      <c r="E36" s="2"/>
      <c r="F36" s="2">
        <v>0</v>
      </c>
      <c r="G36" s="2">
        <v>0</v>
      </c>
      <c r="H36" s="2">
        <v>0</v>
      </c>
      <c r="I36" s="2">
        <v>0</v>
      </c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 t="s">
        <v>3158</v>
      </c>
      <c r="R36" s="2" t="s">
        <v>3159</v>
      </c>
      <c r="S36" s="4">
        <v>44950</v>
      </c>
    </row>
    <row r="37" spans="1:19" ht="12.5" x14ac:dyDescent="0.25">
      <c r="A37" s="14" t="str">
        <f>HYPERLINK("https://gerandofalcoes.my.salesforce.com/0014X00002YggprQAB", "0014X00002YggprQAB")</f>
        <v>0014X00002YggprQAB</v>
      </c>
      <c r="B37" s="2" t="s">
        <v>3168</v>
      </c>
      <c r="C37" s="2" t="s">
        <v>423</v>
      </c>
      <c r="D37" s="2" t="s">
        <v>2</v>
      </c>
      <c r="E37" s="2"/>
      <c r="F37" s="2">
        <v>0</v>
      </c>
      <c r="G37" s="2">
        <v>2</v>
      </c>
      <c r="H37" s="2">
        <v>300</v>
      </c>
      <c r="I37" s="2">
        <v>60</v>
      </c>
      <c r="J37" s="2"/>
      <c r="K37" s="2">
        <v>16</v>
      </c>
      <c r="L37" s="2">
        <v>0</v>
      </c>
      <c r="M37" s="2">
        <v>0</v>
      </c>
      <c r="N37" s="2">
        <v>6</v>
      </c>
      <c r="O37" s="2">
        <v>5</v>
      </c>
      <c r="P37" s="2">
        <v>5</v>
      </c>
      <c r="Q37" s="2" t="s">
        <v>3169</v>
      </c>
      <c r="R37" s="2" t="s">
        <v>3170</v>
      </c>
      <c r="S37" s="4">
        <v>44950</v>
      </c>
    </row>
    <row r="38" spans="1:19" ht="12.5" x14ac:dyDescent="0.25">
      <c r="A38" s="14" t="str">
        <f>HYPERLINK("https://gerandofalcoes.my.salesforce.com/0014X00002Yggi2QAB", "0014X00002Yggi2QAB")</f>
        <v>0014X00002Yggi2QAB</v>
      </c>
      <c r="B38" s="2" t="s">
        <v>3152</v>
      </c>
      <c r="C38" s="2" t="s">
        <v>423</v>
      </c>
      <c r="D38" s="2" t="s">
        <v>2</v>
      </c>
      <c r="E38" s="2"/>
      <c r="F38" s="2">
        <v>0</v>
      </c>
      <c r="G38" s="2">
        <v>2</v>
      </c>
      <c r="H38" s="2">
        <v>1200</v>
      </c>
      <c r="I38" s="2">
        <v>320</v>
      </c>
      <c r="J38" s="2"/>
      <c r="K38" s="2">
        <v>26</v>
      </c>
      <c r="L38" s="2">
        <v>0</v>
      </c>
      <c r="M38" s="2">
        <v>0</v>
      </c>
      <c r="N38" s="2">
        <v>6</v>
      </c>
      <c r="O38" s="2">
        <v>5</v>
      </c>
      <c r="P38" s="2">
        <v>15</v>
      </c>
      <c r="Q38" s="2" t="s">
        <v>3153</v>
      </c>
      <c r="R38" s="2" t="s">
        <v>3153</v>
      </c>
      <c r="S38" s="4">
        <v>44950</v>
      </c>
    </row>
    <row r="39" spans="1:19" ht="12.5" x14ac:dyDescent="0.25">
      <c r="A39" s="14" t="str">
        <f>HYPERLINK("https://gerandofalcoes.my.salesforce.com/0014X00002YggnfQAB", "0014X00002YggnfQAB")</f>
        <v>0014X00002YggnfQAB</v>
      </c>
      <c r="B39" s="2" t="s">
        <v>3166</v>
      </c>
      <c r="C39" s="2" t="s">
        <v>423</v>
      </c>
      <c r="D39" s="2" t="s">
        <v>2</v>
      </c>
      <c r="E39" s="2"/>
      <c r="F39" s="2">
        <v>1</v>
      </c>
      <c r="G39" s="2">
        <v>4</v>
      </c>
      <c r="H39" s="2">
        <v>4000</v>
      </c>
      <c r="I39" s="2">
        <v>90</v>
      </c>
      <c r="J39" s="2"/>
      <c r="K39" s="2">
        <v>30</v>
      </c>
      <c r="L39" s="2">
        <v>0</v>
      </c>
      <c r="M39" s="2">
        <v>5</v>
      </c>
      <c r="N39" s="2">
        <v>10</v>
      </c>
      <c r="O39" s="2">
        <v>5</v>
      </c>
      <c r="P39" s="2">
        <v>10</v>
      </c>
      <c r="Q39" s="2" t="s">
        <v>3167</v>
      </c>
      <c r="R39" s="2" t="s">
        <v>3167</v>
      </c>
      <c r="S39" s="4">
        <v>44950</v>
      </c>
    </row>
    <row r="40" spans="1:19" ht="12.5" x14ac:dyDescent="0.25">
      <c r="A40" s="14" t="str">
        <f>HYPERLINK("https://gerandofalcoes.my.salesforce.com/0014X00002YggiVQAR", "0014X00002YggiVQAR")</f>
        <v>0014X00002YggiVQAR</v>
      </c>
      <c r="B40" s="2" t="s">
        <v>3182</v>
      </c>
      <c r="C40" s="2" t="s">
        <v>423</v>
      </c>
      <c r="D40" s="2" t="s">
        <v>2</v>
      </c>
      <c r="E40" s="2"/>
      <c r="F40" s="2">
        <v>10</v>
      </c>
      <c r="G40" s="2">
        <v>2</v>
      </c>
      <c r="H40" s="2">
        <v>8000</v>
      </c>
      <c r="I40" s="2">
        <v>40</v>
      </c>
      <c r="J40" s="2"/>
      <c r="K40" s="2">
        <v>26</v>
      </c>
      <c r="L40" s="2">
        <v>0</v>
      </c>
      <c r="M40" s="2">
        <v>10</v>
      </c>
      <c r="N40" s="2">
        <v>6</v>
      </c>
      <c r="O40" s="2">
        <v>5</v>
      </c>
      <c r="P40" s="2">
        <v>5</v>
      </c>
      <c r="Q40" s="2" t="s">
        <v>3183</v>
      </c>
      <c r="R40" s="2" t="s">
        <v>3184</v>
      </c>
      <c r="S40" s="4">
        <v>44951</v>
      </c>
    </row>
    <row r="41" spans="1:19" ht="12.5" x14ac:dyDescent="0.25">
      <c r="A41" s="14" t="str">
        <f>HYPERLINK("https://gerandofalcoes.my.salesforce.com/0014X00002YggoXQAR", "0014X00002YggoXQAR")</f>
        <v>0014X00002YggoXQAR</v>
      </c>
      <c r="B41" s="2" t="s">
        <v>3195</v>
      </c>
      <c r="C41" s="2" t="s">
        <v>423</v>
      </c>
      <c r="D41" s="2" t="s">
        <v>2</v>
      </c>
      <c r="E41" s="2"/>
      <c r="F41" s="2">
        <v>10</v>
      </c>
      <c r="G41" s="2">
        <v>2</v>
      </c>
      <c r="H41" s="2">
        <v>8000</v>
      </c>
      <c r="I41" s="2">
        <v>60</v>
      </c>
      <c r="J41" s="2"/>
      <c r="K41" s="2">
        <v>26</v>
      </c>
      <c r="L41" s="2">
        <v>0</v>
      </c>
      <c r="M41" s="2">
        <v>10</v>
      </c>
      <c r="N41" s="2">
        <v>6</v>
      </c>
      <c r="O41" s="2">
        <v>5</v>
      </c>
      <c r="P41" s="2">
        <v>5</v>
      </c>
      <c r="Q41" s="2" t="s">
        <v>3196</v>
      </c>
      <c r="R41" s="2" t="s">
        <v>3197</v>
      </c>
      <c r="S41" s="4">
        <v>44951</v>
      </c>
    </row>
    <row r="42" spans="1:19" ht="12.5" x14ac:dyDescent="0.25">
      <c r="A42" s="14" t="str">
        <f>HYPERLINK("https://gerandofalcoes.my.salesforce.com/0014X00002YggmRQAR", "0014X00002YggmRQAR")</f>
        <v>0014X00002YggmRQAR</v>
      </c>
      <c r="B42" s="2" t="s">
        <v>3198</v>
      </c>
      <c r="C42" s="2" t="s">
        <v>423</v>
      </c>
      <c r="D42" s="2" t="s">
        <v>2</v>
      </c>
      <c r="E42" s="2"/>
      <c r="F42" s="2">
        <v>0</v>
      </c>
      <c r="G42" s="2">
        <v>2</v>
      </c>
      <c r="H42" s="2">
        <v>5000</v>
      </c>
      <c r="I42" s="2">
        <v>20</v>
      </c>
      <c r="J42" s="2"/>
      <c r="K42" s="2">
        <v>16</v>
      </c>
      <c r="L42" s="2">
        <v>0</v>
      </c>
      <c r="M42" s="2">
        <v>0</v>
      </c>
      <c r="N42" s="2">
        <v>6</v>
      </c>
      <c r="O42" s="2">
        <v>5</v>
      </c>
      <c r="P42" s="2">
        <v>5</v>
      </c>
      <c r="Q42" s="2" t="s">
        <v>3199</v>
      </c>
      <c r="R42" s="2" t="s">
        <v>3199</v>
      </c>
      <c r="S42" s="4">
        <v>44951</v>
      </c>
    </row>
    <row r="43" spans="1:19" ht="12.5" x14ac:dyDescent="0.25">
      <c r="A43" s="14" t="str">
        <f>HYPERLINK("https://gerandofalcoes.my.salesforce.com/0014X00002YggnzQAB", "0014X00002YggnzQAB")</f>
        <v>0014X00002YggnzQAB</v>
      </c>
      <c r="B43" s="2" t="s">
        <v>3228</v>
      </c>
      <c r="C43" s="2" t="s">
        <v>423</v>
      </c>
      <c r="D43" s="2" t="s">
        <v>2</v>
      </c>
      <c r="E43" s="2"/>
      <c r="F43" s="2">
        <v>3</v>
      </c>
      <c r="G43" s="2">
        <v>3</v>
      </c>
      <c r="H43" s="2">
        <v>19000</v>
      </c>
      <c r="I43" s="2">
        <v>25</v>
      </c>
      <c r="J43" s="2"/>
      <c r="K43" s="2">
        <v>23</v>
      </c>
      <c r="L43" s="2">
        <v>0</v>
      </c>
      <c r="M43" s="2">
        <v>5</v>
      </c>
      <c r="N43" s="2">
        <v>8</v>
      </c>
      <c r="O43" s="2">
        <v>5</v>
      </c>
      <c r="P43" s="2">
        <v>5</v>
      </c>
      <c r="Q43" s="2" t="s">
        <v>3229</v>
      </c>
      <c r="R43" s="2" t="s">
        <v>3229</v>
      </c>
      <c r="S43" s="4">
        <v>44951</v>
      </c>
    </row>
    <row r="44" spans="1:19" ht="12.5" x14ac:dyDescent="0.25">
      <c r="A44" s="14" t="str">
        <f>HYPERLINK("https://gerandofalcoes.my.salesforce.com/0014X00002YggpQQAR", "0014X00002YggpQQAR")</f>
        <v>0014X00002YggpQQAR</v>
      </c>
      <c r="B44" s="2" t="s">
        <v>3202</v>
      </c>
      <c r="C44" s="2" t="s">
        <v>423</v>
      </c>
      <c r="D44" s="2" t="s">
        <v>2</v>
      </c>
      <c r="E44" s="2"/>
      <c r="F44" s="2">
        <v>1</v>
      </c>
      <c r="G44" s="2">
        <v>3</v>
      </c>
      <c r="H44" s="2">
        <v>3000</v>
      </c>
      <c r="I44" s="2">
        <v>50</v>
      </c>
      <c r="J44" s="2"/>
      <c r="K44" s="2">
        <v>23</v>
      </c>
      <c r="L44" s="2">
        <v>0</v>
      </c>
      <c r="M44" s="2">
        <v>5</v>
      </c>
      <c r="N44" s="2">
        <v>8</v>
      </c>
      <c r="O44" s="2">
        <v>5</v>
      </c>
      <c r="P44" s="2">
        <v>5</v>
      </c>
      <c r="Q44" s="2" t="s">
        <v>3203</v>
      </c>
      <c r="R44" s="2" t="s">
        <v>3203</v>
      </c>
      <c r="S44" s="4">
        <v>44951</v>
      </c>
    </row>
    <row r="45" spans="1:19" ht="12.5" x14ac:dyDescent="0.25">
      <c r="A45" s="14" t="str">
        <f>HYPERLINK("https://gerandofalcoes.my.salesforce.com/0014X00002YgglMQAR", "0014X00002YgglMQAR")</f>
        <v>0014X00002YgglMQAR</v>
      </c>
      <c r="B45" s="2" t="s">
        <v>3188</v>
      </c>
      <c r="C45" s="2" t="s">
        <v>423</v>
      </c>
      <c r="D45" s="2" t="s">
        <v>2</v>
      </c>
      <c r="E45" s="2"/>
      <c r="F45" s="2">
        <v>1</v>
      </c>
      <c r="G45" s="2">
        <v>2</v>
      </c>
      <c r="H45" s="2">
        <v>12000</v>
      </c>
      <c r="I45" s="2">
        <v>3</v>
      </c>
      <c r="J45" s="2"/>
      <c r="K45" s="2">
        <v>21</v>
      </c>
      <c r="L45" s="2">
        <v>0</v>
      </c>
      <c r="M45" s="2">
        <v>5</v>
      </c>
      <c r="N45" s="2">
        <v>6</v>
      </c>
      <c r="O45" s="2">
        <v>5</v>
      </c>
      <c r="P45" s="2">
        <v>5</v>
      </c>
      <c r="Q45" s="2" t="s">
        <v>3189</v>
      </c>
      <c r="R45" s="2" t="s">
        <v>3190</v>
      </c>
      <c r="S45" s="4">
        <v>44951</v>
      </c>
    </row>
    <row r="46" spans="1:19" ht="12.5" x14ac:dyDescent="0.25">
      <c r="A46" s="14" t="str">
        <f>HYPERLINK("https://gerandofalcoes.my.salesforce.com/0014X00002YggjZQAR", "0014X00002YggjZQAR")</f>
        <v>0014X00002YggjZQAR</v>
      </c>
      <c r="B46" s="2" t="s">
        <v>3281</v>
      </c>
      <c r="C46" s="2" t="s">
        <v>423</v>
      </c>
      <c r="D46" s="2" t="s">
        <v>2</v>
      </c>
      <c r="E46" s="2"/>
      <c r="F46" s="2">
        <v>0</v>
      </c>
      <c r="G46" s="2">
        <v>3</v>
      </c>
      <c r="H46" s="2">
        <v>9000</v>
      </c>
      <c r="I46" s="2">
        <v>75</v>
      </c>
      <c r="J46" s="2"/>
      <c r="K46" s="2">
        <v>18</v>
      </c>
      <c r="L46" s="2">
        <v>0</v>
      </c>
      <c r="M46" s="2">
        <v>0</v>
      </c>
      <c r="N46" s="2">
        <v>8</v>
      </c>
      <c r="O46" s="2">
        <v>5</v>
      </c>
      <c r="P46" s="2">
        <v>5</v>
      </c>
      <c r="Q46" s="2" t="s">
        <v>3282</v>
      </c>
      <c r="R46" s="2" t="s">
        <v>3282</v>
      </c>
      <c r="S46" s="4">
        <v>44952</v>
      </c>
    </row>
    <row r="47" spans="1:19" ht="12.5" x14ac:dyDescent="0.25">
      <c r="A47" s="14" t="str">
        <f>HYPERLINK("https://gerandofalcoes.my.salesforce.com/0014X00002YggiiQAB", "0014X00002YggiiQAB")</f>
        <v>0014X00002YggiiQAB</v>
      </c>
      <c r="B47" s="2" t="s">
        <v>3265</v>
      </c>
      <c r="C47" s="2" t="s">
        <v>423</v>
      </c>
      <c r="D47" s="2" t="s">
        <v>2</v>
      </c>
      <c r="E47" s="2"/>
      <c r="F47" s="2">
        <v>0</v>
      </c>
      <c r="G47" s="2">
        <v>2</v>
      </c>
      <c r="H47" s="2">
        <v>1500</v>
      </c>
      <c r="I47" s="2">
        <v>30</v>
      </c>
      <c r="J47" s="2"/>
      <c r="K47" s="2">
        <v>16</v>
      </c>
      <c r="L47" s="2">
        <v>0</v>
      </c>
      <c r="M47" s="2">
        <v>0</v>
      </c>
      <c r="N47" s="2">
        <v>6</v>
      </c>
      <c r="O47" s="2">
        <v>5</v>
      </c>
      <c r="P47" s="2">
        <v>5</v>
      </c>
      <c r="Q47" s="2" t="s">
        <v>3267</v>
      </c>
      <c r="R47" s="2" t="s">
        <v>3267</v>
      </c>
      <c r="S47" s="4">
        <v>44952</v>
      </c>
    </row>
    <row r="48" spans="1:19" ht="12.5" x14ac:dyDescent="0.25">
      <c r="A48" s="14" t="str">
        <f>HYPERLINK("https://gerandofalcoes.my.salesforce.com/0014X00002YggivQAB", "0014X00002YggivQAB")</f>
        <v>0014X00002YggivQAB</v>
      </c>
      <c r="B48" s="2" t="s">
        <v>3931</v>
      </c>
      <c r="C48" s="2" t="s">
        <v>423</v>
      </c>
      <c r="D48" s="2" t="s">
        <v>2</v>
      </c>
      <c r="E48" s="2"/>
      <c r="F48" s="2">
        <v>4</v>
      </c>
      <c r="G48" s="2">
        <v>6</v>
      </c>
      <c r="H48" s="2">
        <v>20</v>
      </c>
      <c r="I48" s="2">
        <v>200</v>
      </c>
      <c r="J48" s="2"/>
      <c r="K48" s="2">
        <v>32</v>
      </c>
      <c r="L48" s="2">
        <v>0</v>
      </c>
      <c r="M48" s="2">
        <v>5</v>
      </c>
      <c r="N48" s="2">
        <v>10</v>
      </c>
      <c r="O48" s="2">
        <v>5</v>
      </c>
      <c r="P48" s="2">
        <v>12</v>
      </c>
      <c r="Q48" s="2" t="s">
        <v>3932</v>
      </c>
      <c r="R48" s="2" t="s">
        <v>3932</v>
      </c>
      <c r="S48" s="4">
        <v>44952</v>
      </c>
    </row>
    <row r="49" spans="1:19" ht="12.5" x14ac:dyDescent="0.25">
      <c r="A49" s="14" t="str">
        <f>HYPERLINK("https://gerandofalcoes.my.salesforce.com/0014X00002YgggtQAB", "0014X00002YgggtQAB")</f>
        <v>0014X00002YgggtQAB</v>
      </c>
      <c r="B49" s="2" t="s">
        <v>3275</v>
      </c>
      <c r="C49" s="2" t="s">
        <v>423</v>
      </c>
      <c r="D49" s="2" t="s">
        <v>2</v>
      </c>
      <c r="E49" s="2"/>
      <c r="F49" s="2">
        <v>6</v>
      </c>
      <c r="G49" s="2">
        <v>4</v>
      </c>
      <c r="H49" s="2">
        <v>142000</v>
      </c>
      <c r="I49" s="2">
        <v>120</v>
      </c>
      <c r="J49" s="2"/>
      <c r="K49" s="2">
        <v>45</v>
      </c>
      <c r="L49" s="2">
        <v>0</v>
      </c>
      <c r="M49" s="2">
        <v>10</v>
      </c>
      <c r="N49" s="2">
        <v>10</v>
      </c>
      <c r="O49" s="2">
        <v>15</v>
      </c>
      <c r="P49" s="2">
        <v>10</v>
      </c>
      <c r="Q49" s="2" t="s">
        <v>3276</v>
      </c>
      <c r="R49" s="2" t="s">
        <v>3277</v>
      </c>
      <c r="S49" s="4">
        <v>44952</v>
      </c>
    </row>
    <row r="50" spans="1:19" ht="12.5" x14ac:dyDescent="0.25">
      <c r="A50" s="14" t="str">
        <f>HYPERLINK("https://gerandofalcoes.my.salesforce.com/0014X00002YggpMQAR", "0014X00002YggpMQAR")</f>
        <v>0014X00002YggpMQAR</v>
      </c>
      <c r="B50" s="2" t="s">
        <v>3261</v>
      </c>
      <c r="C50" s="2" t="s">
        <v>423</v>
      </c>
      <c r="D50" s="2" t="s">
        <v>2</v>
      </c>
      <c r="E50" s="2"/>
      <c r="F50" s="2">
        <v>0</v>
      </c>
      <c r="G50" s="2">
        <v>5</v>
      </c>
      <c r="H50" s="2">
        <v>2000</v>
      </c>
      <c r="I50" s="2">
        <v>15</v>
      </c>
      <c r="J50" s="2"/>
      <c r="K50" s="2">
        <v>20</v>
      </c>
      <c r="L50" s="2">
        <v>0</v>
      </c>
      <c r="M50" s="2">
        <v>0</v>
      </c>
      <c r="N50" s="2">
        <v>10</v>
      </c>
      <c r="O50" s="2">
        <v>5</v>
      </c>
      <c r="P50" s="2">
        <v>5</v>
      </c>
      <c r="Q50" s="2" t="s">
        <v>3262</v>
      </c>
      <c r="R50" s="2" t="s">
        <v>3262</v>
      </c>
      <c r="S50" s="4">
        <v>44952</v>
      </c>
    </row>
    <row r="51" spans="1:19" ht="12.5" x14ac:dyDescent="0.25">
      <c r="A51" s="14" t="str">
        <f>HYPERLINK("https://gerandofalcoes.my.salesforce.com/0014X00002YggkaQAB", "0014X00002YggkaQAB")</f>
        <v>0014X00002YggkaQAB</v>
      </c>
      <c r="B51" s="2" t="s">
        <v>3253</v>
      </c>
      <c r="C51" s="2" t="s">
        <v>423</v>
      </c>
      <c r="D51" s="2" t="s">
        <v>2</v>
      </c>
      <c r="E51" s="2"/>
      <c r="F51" s="2">
        <v>0</v>
      </c>
      <c r="G51" s="2">
        <v>2</v>
      </c>
      <c r="H51" s="2">
        <v>0</v>
      </c>
      <c r="I51" s="2">
        <v>40</v>
      </c>
      <c r="J51" s="2"/>
      <c r="K51" s="2">
        <v>11</v>
      </c>
      <c r="L51" s="2">
        <v>0</v>
      </c>
      <c r="M51" s="2">
        <v>0</v>
      </c>
      <c r="N51" s="2">
        <v>6</v>
      </c>
      <c r="O51" s="2">
        <v>0</v>
      </c>
      <c r="P51" s="2">
        <v>5</v>
      </c>
      <c r="Q51" s="2" t="s">
        <v>3254</v>
      </c>
      <c r="R51" s="2" t="s">
        <v>3254</v>
      </c>
      <c r="S51" s="4">
        <v>44952</v>
      </c>
    </row>
    <row r="52" spans="1:19" ht="12.5" x14ac:dyDescent="0.25">
      <c r="A52" s="14" t="str">
        <f>HYPERLINK("https://gerandofalcoes.my.salesforce.com/0014X00002YggjIQAR", "0014X00002YggjIQAR")</f>
        <v>0014X00002YggjIQAR</v>
      </c>
      <c r="B52" s="2" t="s">
        <v>3272</v>
      </c>
      <c r="C52" s="2" t="s">
        <v>423</v>
      </c>
      <c r="D52" s="2" t="s">
        <v>2</v>
      </c>
      <c r="E52" s="2"/>
      <c r="F52" s="2">
        <v>3</v>
      </c>
      <c r="G52" s="2">
        <v>2</v>
      </c>
      <c r="H52" s="2">
        <v>2000</v>
      </c>
      <c r="I52" s="2">
        <v>125</v>
      </c>
      <c r="J52" s="2"/>
      <c r="K52" s="2">
        <v>26</v>
      </c>
      <c r="L52" s="2">
        <v>0</v>
      </c>
      <c r="M52" s="2">
        <v>5</v>
      </c>
      <c r="N52" s="2">
        <v>6</v>
      </c>
      <c r="O52" s="2">
        <v>5</v>
      </c>
      <c r="P52" s="2">
        <v>10</v>
      </c>
      <c r="Q52" s="2" t="s">
        <v>3273</v>
      </c>
      <c r="R52" s="2" t="s">
        <v>3274</v>
      </c>
      <c r="S52" s="4">
        <v>44952</v>
      </c>
    </row>
    <row r="53" spans="1:19" ht="12.5" x14ac:dyDescent="0.25">
      <c r="A53" s="14" t="str">
        <f>HYPERLINK("https://gerandofalcoes.my.salesforce.com/0014X00002YggoMQAR", "0014X00002YggoMQAR")</f>
        <v>0014X00002YggoMQAR</v>
      </c>
      <c r="B53" s="2" t="s">
        <v>3299</v>
      </c>
      <c r="C53" s="2" t="s">
        <v>423</v>
      </c>
      <c r="D53" s="2" t="s">
        <v>2</v>
      </c>
      <c r="E53" s="2"/>
      <c r="F53" s="2">
        <v>6</v>
      </c>
      <c r="G53" s="2">
        <v>3</v>
      </c>
      <c r="H53" s="2">
        <v>250000</v>
      </c>
      <c r="I53" s="2">
        <v>550</v>
      </c>
      <c r="J53" s="2"/>
      <c r="K53" s="2">
        <v>53</v>
      </c>
      <c r="L53" s="2">
        <v>0</v>
      </c>
      <c r="M53" s="2">
        <v>10</v>
      </c>
      <c r="N53" s="2">
        <v>8</v>
      </c>
      <c r="O53" s="2">
        <v>15</v>
      </c>
      <c r="P53" s="2">
        <v>20</v>
      </c>
      <c r="Q53" s="2" t="s">
        <v>3300</v>
      </c>
      <c r="R53" s="2" t="s">
        <v>3301</v>
      </c>
      <c r="S53" s="4">
        <v>44953</v>
      </c>
    </row>
    <row r="54" spans="1:19" ht="12.5" x14ac:dyDescent="0.25">
      <c r="A54" s="14" t="str">
        <f>HYPERLINK("https://gerandofalcoes.my.salesforce.com/0014X00002YggiEQAR", "0014X00002YggiEQAR")</f>
        <v>0014X00002YggiEQAR</v>
      </c>
      <c r="B54" s="2" t="s">
        <v>3241</v>
      </c>
      <c r="C54" s="2" t="s">
        <v>423</v>
      </c>
      <c r="D54" s="2" t="s">
        <v>2</v>
      </c>
      <c r="E54" s="2"/>
      <c r="F54" s="2">
        <v>23</v>
      </c>
      <c r="G54" s="2">
        <v>4</v>
      </c>
      <c r="H54" s="2">
        <v>750000</v>
      </c>
      <c r="I54" s="2">
        <v>0</v>
      </c>
      <c r="J54" s="2"/>
      <c r="K54" s="2">
        <v>42</v>
      </c>
      <c r="L54" s="2">
        <v>0</v>
      </c>
      <c r="M54" s="2">
        <v>12</v>
      </c>
      <c r="N54" s="2">
        <v>10</v>
      </c>
      <c r="O54" s="2">
        <v>20</v>
      </c>
      <c r="P54" s="2">
        <v>0</v>
      </c>
      <c r="Q54" s="2" t="s">
        <v>3242</v>
      </c>
      <c r="R54" s="2" t="s">
        <v>3243</v>
      </c>
      <c r="S54" s="4">
        <v>44952</v>
      </c>
    </row>
    <row r="55" spans="1:19" ht="12.5" x14ac:dyDescent="0.25">
      <c r="A55" s="14" t="str">
        <f>HYPERLINK("https://gerandofalcoes.my.salesforce.com/0014X00002YgghXQAR", "0014X00002YgghXQAR")</f>
        <v>0014X00002YgghXQAR</v>
      </c>
      <c r="B55" s="2" t="s">
        <v>3258</v>
      </c>
      <c r="C55" s="2" t="s">
        <v>423</v>
      </c>
      <c r="D55" s="2" t="s">
        <v>2</v>
      </c>
      <c r="E55" s="2"/>
      <c r="F55" s="2">
        <v>20</v>
      </c>
      <c r="G55" s="2">
        <v>4</v>
      </c>
      <c r="H55" s="2">
        <v>5000</v>
      </c>
      <c r="I55" s="2">
        <v>75</v>
      </c>
      <c r="J55" s="2"/>
      <c r="K55" s="2">
        <v>32</v>
      </c>
      <c r="L55" s="2">
        <v>0</v>
      </c>
      <c r="M55" s="2">
        <v>12</v>
      </c>
      <c r="N55" s="2">
        <v>10</v>
      </c>
      <c r="O55" s="2">
        <v>5</v>
      </c>
      <c r="P55" s="2">
        <v>5</v>
      </c>
      <c r="Q55" s="2" t="s">
        <v>3259</v>
      </c>
      <c r="R55" s="2" t="s">
        <v>3260</v>
      </c>
      <c r="S55" s="4">
        <v>44952</v>
      </c>
    </row>
    <row r="56" spans="1:19" ht="12.5" x14ac:dyDescent="0.25">
      <c r="A56" s="14" t="str">
        <f>HYPERLINK("https://gerandofalcoes.my.salesforce.com/0014X00002YggqwQAB", "0014X00002YggqwQAB")</f>
        <v>0014X00002YggqwQAB</v>
      </c>
      <c r="B56" s="2" t="s">
        <v>3319</v>
      </c>
      <c r="C56" s="2" t="s">
        <v>423</v>
      </c>
      <c r="D56" s="2" t="s">
        <v>2</v>
      </c>
      <c r="E56" s="2"/>
      <c r="F56" s="2">
        <v>4</v>
      </c>
      <c r="G56" s="2">
        <v>2</v>
      </c>
      <c r="H56" s="2">
        <v>6082</v>
      </c>
      <c r="I56" s="2">
        <v>50</v>
      </c>
      <c r="J56" s="2"/>
      <c r="K56" s="2">
        <v>21</v>
      </c>
      <c r="L56" s="2">
        <v>0</v>
      </c>
      <c r="M56" s="2">
        <v>5</v>
      </c>
      <c r="N56" s="2">
        <v>6</v>
      </c>
      <c r="O56" s="2">
        <v>5</v>
      </c>
      <c r="P56" s="2">
        <v>5</v>
      </c>
      <c r="Q56" s="2" t="s">
        <v>3320</v>
      </c>
      <c r="R56" s="2" t="s">
        <v>3321</v>
      </c>
      <c r="S56" s="4">
        <v>44953</v>
      </c>
    </row>
    <row r="57" spans="1:19" ht="12.5" x14ac:dyDescent="0.25">
      <c r="A57" s="14" t="str">
        <f>HYPERLINK("https://gerandofalcoes.my.salesforce.com/0014X00002Yggj3QAB", "0014X00002Yggj3QAB")</f>
        <v>0014X00002Yggj3QAB</v>
      </c>
      <c r="B57" s="2" t="s">
        <v>3357</v>
      </c>
      <c r="C57" s="2" t="s">
        <v>423</v>
      </c>
      <c r="D57" s="2" t="s">
        <v>2</v>
      </c>
      <c r="E57" s="2"/>
      <c r="F57" s="2">
        <v>0</v>
      </c>
      <c r="G57" s="2">
        <v>5</v>
      </c>
      <c r="H57" s="2">
        <v>1000</v>
      </c>
      <c r="I57" s="2">
        <v>80</v>
      </c>
      <c r="J57" s="2"/>
      <c r="K57" s="2">
        <v>25</v>
      </c>
      <c r="L57" s="2">
        <v>0</v>
      </c>
      <c r="M57" s="2">
        <v>0</v>
      </c>
      <c r="N57" s="2">
        <v>10</v>
      </c>
      <c r="O57" s="2">
        <v>5</v>
      </c>
      <c r="P57" s="2">
        <v>10</v>
      </c>
      <c r="Q57" s="2" t="s">
        <v>3358</v>
      </c>
      <c r="R57" s="2" t="s">
        <v>3359</v>
      </c>
      <c r="S57" s="4">
        <v>44953</v>
      </c>
    </row>
    <row r="58" spans="1:19" ht="12.5" x14ac:dyDescent="0.25">
      <c r="A58" s="14" t="str">
        <f>HYPERLINK("https://gerandofalcoes.my.salesforce.com/0014X00002YggoAQAR", "0014X00002YggoAQAR")</f>
        <v>0014X00002YggoAQAR</v>
      </c>
      <c r="B58" s="2" t="s">
        <v>3377</v>
      </c>
      <c r="C58" s="2" t="s">
        <v>423</v>
      </c>
      <c r="D58" s="2" t="s">
        <v>2</v>
      </c>
      <c r="E58" s="2"/>
      <c r="F58" s="2">
        <v>0</v>
      </c>
      <c r="G58" s="2">
        <v>310</v>
      </c>
      <c r="H58" s="2">
        <v>3000</v>
      </c>
      <c r="I58" s="2">
        <v>0</v>
      </c>
      <c r="J58" s="2"/>
      <c r="K58" s="2">
        <v>15</v>
      </c>
      <c r="L58" s="2">
        <v>0</v>
      </c>
      <c r="M58" s="2">
        <v>0</v>
      </c>
      <c r="N58" s="2">
        <v>10</v>
      </c>
      <c r="O58" s="2">
        <v>5</v>
      </c>
      <c r="P58" s="2">
        <v>0</v>
      </c>
      <c r="Q58" s="2" t="s">
        <v>3378</v>
      </c>
      <c r="R58" s="2" t="s">
        <v>3378</v>
      </c>
      <c r="S58" s="4">
        <v>44953</v>
      </c>
    </row>
    <row r="59" spans="1:19" ht="12.5" x14ac:dyDescent="0.25">
      <c r="A59" s="14" t="str">
        <f>HYPERLINK("https://gerandofalcoes.my.salesforce.com/0014X00002YgghEQAR", "0014X00002YgghEQAR")</f>
        <v>0014X00002YgghEQAR</v>
      </c>
      <c r="B59" s="2" t="s">
        <v>3314</v>
      </c>
      <c r="C59" s="2" t="s">
        <v>423</v>
      </c>
      <c r="D59" s="2" t="s">
        <v>2</v>
      </c>
      <c r="E59" s="2"/>
      <c r="F59" s="2">
        <v>22</v>
      </c>
      <c r="G59" s="2">
        <v>5</v>
      </c>
      <c r="H59" s="2">
        <v>100000</v>
      </c>
      <c r="I59" s="2">
        <v>150</v>
      </c>
      <c r="J59" s="2"/>
      <c r="K59" s="2">
        <v>49</v>
      </c>
      <c r="L59" s="2">
        <v>0</v>
      </c>
      <c r="M59" s="2">
        <v>12</v>
      </c>
      <c r="N59" s="2">
        <v>10</v>
      </c>
      <c r="O59" s="2">
        <v>15</v>
      </c>
      <c r="P59" s="2">
        <v>12</v>
      </c>
      <c r="Q59" s="2" t="s">
        <v>3315</v>
      </c>
      <c r="R59" s="2" t="s">
        <v>3315</v>
      </c>
      <c r="S59" s="4">
        <v>44953</v>
      </c>
    </row>
    <row r="60" spans="1:19" ht="12.5" x14ac:dyDescent="0.25">
      <c r="A60" s="14" t="str">
        <f>HYPERLINK("https://gerandofalcoes.my.salesforce.com/0014X00002YggoaQAB", "0014X00002YggoaQAB")</f>
        <v>0014X00002YggoaQAB</v>
      </c>
      <c r="B60" s="2" t="s">
        <v>3340</v>
      </c>
      <c r="C60" s="2" t="s">
        <v>423</v>
      </c>
      <c r="D60" s="2" t="s">
        <v>2</v>
      </c>
      <c r="E60" s="2"/>
      <c r="F60" s="2">
        <v>10</v>
      </c>
      <c r="G60" s="2">
        <v>4</v>
      </c>
      <c r="H60" s="2">
        <v>581000</v>
      </c>
      <c r="I60" s="2">
        <v>323</v>
      </c>
      <c r="J60" s="2"/>
      <c r="K60" s="2">
        <v>55</v>
      </c>
      <c r="L60" s="2">
        <v>0</v>
      </c>
      <c r="M60" s="2">
        <v>10</v>
      </c>
      <c r="N60" s="2">
        <v>10</v>
      </c>
      <c r="O60" s="2">
        <v>20</v>
      </c>
      <c r="P60" s="2">
        <v>15</v>
      </c>
      <c r="Q60" s="2" t="s">
        <v>3341</v>
      </c>
      <c r="R60" s="2" t="s">
        <v>3342</v>
      </c>
      <c r="S60" s="4">
        <v>44953</v>
      </c>
    </row>
    <row r="61" spans="1:19" ht="12.5" x14ac:dyDescent="0.25">
      <c r="A61" s="14" t="str">
        <f>HYPERLINK("https://gerandofalcoes.my.salesforce.com/0014X00002YggqKQAR", "0014X00002YggqKQAR")</f>
        <v>0014X00002YggqKQAR</v>
      </c>
      <c r="B61" s="2" t="s">
        <v>3372</v>
      </c>
      <c r="C61" s="2" t="s">
        <v>423</v>
      </c>
      <c r="D61" s="2" t="s">
        <v>2</v>
      </c>
      <c r="E61" s="2"/>
      <c r="F61" s="2">
        <v>0</v>
      </c>
      <c r="G61" s="2">
        <v>4</v>
      </c>
      <c r="H61" s="2">
        <v>11000</v>
      </c>
      <c r="I61" s="2">
        <v>10</v>
      </c>
      <c r="J61" s="2"/>
      <c r="K61" s="2">
        <v>20</v>
      </c>
      <c r="L61" s="2">
        <v>0</v>
      </c>
      <c r="M61" s="2">
        <v>0</v>
      </c>
      <c r="N61" s="2">
        <v>10</v>
      </c>
      <c r="O61" s="2">
        <v>5</v>
      </c>
      <c r="P61" s="2">
        <v>5</v>
      </c>
      <c r="Q61" s="2" t="s">
        <v>3373</v>
      </c>
      <c r="R61" s="2" t="s">
        <v>3374</v>
      </c>
      <c r="S61" s="4">
        <v>44953</v>
      </c>
    </row>
    <row r="62" spans="1:19" ht="12.5" x14ac:dyDescent="0.25">
      <c r="A62" s="14" t="str">
        <f>HYPERLINK("https://gerandofalcoes.my.salesforce.com/0014X00002YggoDQAR", "0014X00002YggoDQAR")</f>
        <v>0014X00002YggoDQAR</v>
      </c>
      <c r="B62" s="2" t="s">
        <v>3662</v>
      </c>
      <c r="C62" s="2" t="s">
        <v>423</v>
      </c>
      <c r="D62" s="2" t="s">
        <v>2</v>
      </c>
      <c r="E62" s="2">
        <v>0</v>
      </c>
      <c r="F62" s="2">
        <v>0</v>
      </c>
      <c r="G62" s="2">
        <v>2</v>
      </c>
      <c r="H62" s="2">
        <v>0</v>
      </c>
      <c r="I62" s="2">
        <v>20</v>
      </c>
      <c r="J62" s="2" t="s">
        <v>1779</v>
      </c>
      <c r="K62" s="2">
        <v>11</v>
      </c>
      <c r="L62" s="2">
        <v>0</v>
      </c>
      <c r="M62" s="2">
        <v>0</v>
      </c>
      <c r="N62" s="2">
        <v>6</v>
      </c>
      <c r="O62" s="2">
        <v>0</v>
      </c>
      <c r="P62" s="2">
        <v>5</v>
      </c>
      <c r="Q62" s="2" t="s">
        <v>3663</v>
      </c>
      <c r="R62" s="2" t="s">
        <v>3664</v>
      </c>
      <c r="S62" s="4">
        <v>44964</v>
      </c>
    </row>
    <row r="63" spans="1:19" ht="12.5" x14ac:dyDescent="0.25">
      <c r="A63" s="14" t="str">
        <f>HYPERLINK("https://gerandofalcoes.my.salesforce.com/0014X00002YggjqQAB", "0014X00002YggjqQAB")</f>
        <v>0014X00002YggjqQAB</v>
      </c>
      <c r="B63" s="2" t="s">
        <v>3617</v>
      </c>
      <c r="C63" s="2" t="s">
        <v>423</v>
      </c>
      <c r="D63" s="2" t="s">
        <v>2</v>
      </c>
      <c r="E63" s="2"/>
      <c r="F63" s="2">
        <v>2</v>
      </c>
      <c r="G63" s="2">
        <v>7</v>
      </c>
      <c r="H63" s="2">
        <v>100000</v>
      </c>
      <c r="I63" s="2">
        <v>120</v>
      </c>
      <c r="J63" s="2"/>
      <c r="K63" s="2">
        <v>40</v>
      </c>
      <c r="L63" s="2">
        <v>0</v>
      </c>
      <c r="M63" s="2">
        <v>5</v>
      </c>
      <c r="N63" s="2">
        <v>10</v>
      </c>
      <c r="O63" s="2">
        <v>15</v>
      </c>
      <c r="P63" s="2">
        <v>10</v>
      </c>
      <c r="Q63" s="2" t="s">
        <v>3618</v>
      </c>
      <c r="R63" s="2" t="s">
        <v>3619</v>
      </c>
      <c r="S63" s="4">
        <v>44963</v>
      </c>
    </row>
    <row r="64" spans="1:19" ht="12.5" x14ac:dyDescent="0.25">
      <c r="A64" s="14" t="str">
        <f>HYPERLINK("https://gerandofalcoes.my.salesforce.com/0014X00002YggiwQAB", "0014X00002YggiwQAB")</f>
        <v>0014X00002YggiwQAB</v>
      </c>
      <c r="B64" s="2" t="s">
        <v>3452</v>
      </c>
      <c r="C64" s="2" t="s">
        <v>423</v>
      </c>
      <c r="D64" s="2" t="s">
        <v>2</v>
      </c>
      <c r="E64" s="2"/>
      <c r="F64" s="2">
        <v>22</v>
      </c>
      <c r="G64" s="2">
        <v>5</v>
      </c>
      <c r="H64" s="2">
        <v>14400</v>
      </c>
      <c r="I64" s="2">
        <v>60</v>
      </c>
      <c r="J64" s="2"/>
      <c r="K64" s="2">
        <v>32</v>
      </c>
      <c r="L64" s="2">
        <v>0</v>
      </c>
      <c r="M64" s="2">
        <v>12</v>
      </c>
      <c r="N64" s="2">
        <v>10</v>
      </c>
      <c r="O64" s="2">
        <v>5</v>
      </c>
      <c r="P64" s="2">
        <v>5</v>
      </c>
      <c r="Q64" s="2" t="s">
        <v>3453</v>
      </c>
      <c r="R64" s="2" t="s">
        <v>3454</v>
      </c>
      <c r="S64" s="4">
        <v>44958</v>
      </c>
    </row>
    <row r="65" spans="1:19" ht="12.5" x14ac:dyDescent="0.25">
      <c r="A65" s="14" t="str">
        <f>HYPERLINK("https://gerandofalcoes.my.salesforce.com/0014X00002YggoRQAR", "0014X00002YggoRQAR")</f>
        <v>0014X00002YggoRQAR</v>
      </c>
      <c r="B65" s="2" t="s">
        <v>3510</v>
      </c>
      <c r="C65" s="2" t="s">
        <v>423</v>
      </c>
      <c r="D65" s="2" t="s">
        <v>2</v>
      </c>
      <c r="E65" s="2"/>
      <c r="F65" s="2">
        <v>0</v>
      </c>
      <c r="G65" s="2">
        <v>2</v>
      </c>
      <c r="H65" s="2">
        <v>0</v>
      </c>
      <c r="I65" s="2">
        <v>0</v>
      </c>
      <c r="J65" s="2"/>
      <c r="K65" s="2">
        <v>6</v>
      </c>
      <c r="L65" s="2">
        <v>0</v>
      </c>
      <c r="M65" s="2">
        <v>0</v>
      </c>
      <c r="N65" s="2">
        <v>6</v>
      </c>
      <c r="O65" s="2">
        <v>0</v>
      </c>
      <c r="P65" s="2">
        <v>0</v>
      </c>
      <c r="Q65" s="2" t="s">
        <v>3511</v>
      </c>
      <c r="R65" s="2" t="s">
        <v>3511</v>
      </c>
      <c r="S65" s="4">
        <v>44958</v>
      </c>
    </row>
    <row r="66" spans="1:19" ht="12.5" x14ac:dyDescent="0.25">
      <c r="A66" s="14" t="str">
        <f>HYPERLINK("https://gerandofalcoes.my.salesforce.com/0014X00002YgglLQAR", "0014X00002YgglLQAR")</f>
        <v>0014X00002YgglLQAR</v>
      </c>
      <c r="B66" s="2" t="s">
        <v>3547</v>
      </c>
      <c r="C66" s="2" t="s">
        <v>423</v>
      </c>
      <c r="D66" s="2" t="s">
        <v>2</v>
      </c>
      <c r="E66" s="2"/>
      <c r="F66" s="2">
        <v>7</v>
      </c>
      <c r="G66" s="2">
        <v>2</v>
      </c>
      <c r="H66" s="2">
        <v>1800</v>
      </c>
      <c r="I66" s="2">
        <v>48</v>
      </c>
      <c r="J66" s="2"/>
      <c r="K66" s="2">
        <v>26</v>
      </c>
      <c r="L66" s="2">
        <v>0</v>
      </c>
      <c r="M66" s="2">
        <v>10</v>
      </c>
      <c r="N66" s="2">
        <v>6</v>
      </c>
      <c r="O66" s="2">
        <v>5</v>
      </c>
      <c r="P66" s="2">
        <v>5</v>
      </c>
      <c r="Q66" s="2" t="s">
        <v>3548</v>
      </c>
      <c r="R66" s="2" t="s">
        <v>3548</v>
      </c>
      <c r="S66" s="4">
        <v>44959</v>
      </c>
    </row>
    <row r="67" spans="1:19" ht="12.5" x14ac:dyDescent="0.25">
      <c r="A67" s="14" t="str">
        <f>HYPERLINK("https://gerandofalcoes.my.salesforce.com/0014X00002YgbkQQAR", "0014X00002YgbkQQAR")</f>
        <v>0014X00002YgbkQQAR</v>
      </c>
      <c r="B67" s="2" t="s">
        <v>3542</v>
      </c>
      <c r="C67" s="2" t="s">
        <v>423</v>
      </c>
      <c r="D67" s="2" t="s">
        <v>2</v>
      </c>
      <c r="E67" s="2"/>
      <c r="F67" s="2">
        <v>0</v>
      </c>
      <c r="G67" s="2">
        <v>0</v>
      </c>
      <c r="H67" s="2">
        <v>0</v>
      </c>
      <c r="I67" s="2">
        <v>0</v>
      </c>
      <c r="J67" s="2"/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 t="s">
        <v>3543</v>
      </c>
      <c r="R67" s="2" t="s">
        <v>3544</v>
      </c>
      <c r="S67" s="4">
        <v>44959</v>
      </c>
    </row>
    <row r="68" spans="1:19" ht="12.5" x14ac:dyDescent="0.25">
      <c r="A68" s="14" t="str">
        <f>HYPERLINK("https://gerandofalcoes.my.salesforce.com/0014X00002Yggj6QAB", "0014X00002Yggj6QAB")</f>
        <v>0014X00002Yggj6QAB</v>
      </c>
      <c r="B68" s="2" t="s">
        <v>3535</v>
      </c>
      <c r="C68" s="2" t="s">
        <v>423</v>
      </c>
      <c r="D68" s="2" t="s">
        <v>2</v>
      </c>
      <c r="E68" s="2"/>
      <c r="F68" s="2">
        <v>1</v>
      </c>
      <c r="G68" s="2">
        <v>2</v>
      </c>
      <c r="H68" s="2">
        <v>4000</v>
      </c>
      <c r="I68" s="2">
        <v>50</v>
      </c>
      <c r="J68" s="2"/>
      <c r="K68" s="2">
        <v>21</v>
      </c>
      <c r="L68" s="2">
        <v>0</v>
      </c>
      <c r="M68" s="2">
        <v>5</v>
      </c>
      <c r="N68" s="2">
        <v>6</v>
      </c>
      <c r="O68" s="2">
        <v>5</v>
      </c>
      <c r="P68" s="2">
        <v>5</v>
      </c>
      <c r="Q68" s="2" t="s">
        <v>3536</v>
      </c>
      <c r="R68" s="2" t="s">
        <v>3536</v>
      </c>
      <c r="S68" s="4">
        <v>44959</v>
      </c>
    </row>
    <row r="69" spans="1:19" ht="12.5" x14ac:dyDescent="0.25">
      <c r="A69" s="14" t="str">
        <f>HYPERLINK("https://gerandofalcoes.my.salesforce.com/0014X00002YggkTQAR", "0014X00002YggkTQAR")</f>
        <v>0014X00002YggkTQAR</v>
      </c>
      <c r="B69" s="2" t="s">
        <v>3777</v>
      </c>
      <c r="C69" s="2" t="s">
        <v>423</v>
      </c>
      <c r="D69" s="2" t="s">
        <v>2</v>
      </c>
      <c r="E69" s="2"/>
      <c r="F69" s="2">
        <v>1</v>
      </c>
      <c r="G69" s="2">
        <v>4</v>
      </c>
      <c r="H69" s="2">
        <v>7134525</v>
      </c>
      <c r="I69" s="2">
        <v>20</v>
      </c>
      <c r="J69" s="2"/>
      <c r="K69" s="2">
        <v>45</v>
      </c>
      <c r="L69" s="2">
        <v>0</v>
      </c>
      <c r="M69" s="2">
        <v>5</v>
      </c>
      <c r="N69" s="2">
        <v>10</v>
      </c>
      <c r="O69" s="2">
        <v>25</v>
      </c>
      <c r="P69" s="2">
        <v>5</v>
      </c>
      <c r="Q69" s="2" t="s">
        <v>3778</v>
      </c>
      <c r="R69" s="2" t="s">
        <v>3778</v>
      </c>
      <c r="S69" s="4">
        <v>44968</v>
      </c>
    </row>
    <row r="70" spans="1:19" ht="12.5" x14ac:dyDescent="0.25">
      <c r="A70" s="14" t="str">
        <f>HYPERLINK("https://gerandofalcoes.my.salesforce.com/0014X00002YggiSQAR", "0014X00002YggiSQAR")</f>
        <v>0014X00002YggiSQAR</v>
      </c>
      <c r="B70" s="2" t="s">
        <v>3075</v>
      </c>
      <c r="C70" s="2" t="s">
        <v>423</v>
      </c>
      <c r="D70" s="2" t="s">
        <v>2</v>
      </c>
      <c r="E70" s="2"/>
      <c r="F70" s="2">
        <v>0</v>
      </c>
      <c r="G70" s="2">
        <v>3</v>
      </c>
      <c r="H70" s="2">
        <v>10000</v>
      </c>
      <c r="I70" s="2">
        <v>100</v>
      </c>
      <c r="J70" s="2"/>
      <c r="K70" s="2">
        <v>23</v>
      </c>
      <c r="L70" s="2">
        <v>0</v>
      </c>
      <c r="M70" s="2">
        <v>0</v>
      </c>
      <c r="N70" s="2">
        <v>8</v>
      </c>
      <c r="O70" s="2">
        <v>5</v>
      </c>
      <c r="P70" s="2">
        <v>10</v>
      </c>
      <c r="Q70" s="2" t="s">
        <v>3076</v>
      </c>
      <c r="R70" s="2" t="s">
        <v>3077</v>
      </c>
      <c r="S70" s="4">
        <v>44946</v>
      </c>
    </row>
    <row r="71" spans="1:19" ht="12.5" x14ac:dyDescent="0.25">
      <c r="A71" s="14" t="str">
        <f>HYPERLINK("https://gerandofalcoes.my.salesforce.com/0014X00002YgghTQAR", "0014X00002YgghTQAR")</f>
        <v>0014X00002YgghTQAR</v>
      </c>
      <c r="B71" s="2" t="s">
        <v>3792</v>
      </c>
      <c r="C71" s="2" t="s">
        <v>423</v>
      </c>
      <c r="D71" s="2" t="s">
        <v>2</v>
      </c>
      <c r="E71" s="2"/>
      <c r="F71" s="2">
        <v>2</v>
      </c>
      <c r="G71" s="2">
        <v>2</v>
      </c>
      <c r="H71" s="2">
        <v>4500</v>
      </c>
      <c r="I71" s="2">
        <v>77</v>
      </c>
      <c r="J71" s="2"/>
      <c r="K71" s="2">
        <v>21</v>
      </c>
      <c r="L71" s="2">
        <v>0</v>
      </c>
      <c r="M71" s="2">
        <v>5</v>
      </c>
      <c r="N71" s="2">
        <v>6</v>
      </c>
      <c r="O71" s="2">
        <v>5</v>
      </c>
      <c r="P71" s="2">
        <v>5</v>
      </c>
      <c r="Q71" s="2" t="s">
        <v>3793</v>
      </c>
      <c r="R71" s="2" t="s">
        <v>3793</v>
      </c>
      <c r="S71" s="4">
        <v>44968</v>
      </c>
    </row>
    <row r="72" spans="1:19" ht="12.5" x14ac:dyDescent="0.25">
      <c r="A72" s="14" t="str">
        <f>HYPERLINK("https://gerandofalcoes.my.salesforce.com/0014X00002YggmUQAR", "0014X00002YggmUQAR")</f>
        <v>0014X00002YggmUQAR</v>
      </c>
      <c r="B72" s="2" t="s">
        <v>3160</v>
      </c>
      <c r="C72" s="2" t="s">
        <v>423</v>
      </c>
      <c r="D72" s="2" t="s">
        <v>2</v>
      </c>
      <c r="E72" s="2"/>
      <c r="F72" s="2">
        <v>2</v>
      </c>
      <c r="G72" s="2">
        <v>2</v>
      </c>
      <c r="H72" s="2">
        <v>24750</v>
      </c>
      <c r="I72" s="2">
        <v>190</v>
      </c>
      <c r="J72" s="2"/>
      <c r="K72" s="2">
        <v>28</v>
      </c>
      <c r="L72" s="2">
        <v>0</v>
      </c>
      <c r="M72" s="2">
        <v>5</v>
      </c>
      <c r="N72" s="2">
        <v>6</v>
      </c>
      <c r="O72" s="2">
        <v>5</v>
      </c>
      <c r="P72" s="2">
        <v>12</v>
      </c>
      <c r="Q72" s="2" t="s">
        <v>3161</v>
      </c>
      <c r="R72" s="2" t="s">
        <v>3162</v>
      </c>
      <c r="S72" s="4">
        <v>44950</v>
      </c>
    </row>
    <row r="73" spans="1:19" ht="12.5" x14ac:dyDescent="0.25">
      <c r="A73" s="14" t="str">
        <f>HYPERLINK("https://gerandofalcoes.my.salesforce.com/0014X00002YgbkmQAB", "0014X00002YgbkmQAB")</f>
        <v>0014X00002YgbkmQAB</v>
      </c>
      <c r="B73" s="2" t="s">
        <v>3796</v>
      </c>
      <c r="C73" s="2" t="s">
        <v>423</v>
      </c>
      <c r="D73" s="2" t="s">
        <v>2</v>
      </c>
      <c r="E73" s="2"/>
      <c r="F73" s="2">
        <v>0</v>
      </c>
      <c r="G73" s="2">
        <v>0</v>
      </c>
      <c r="H73" s="2">
        <v>0</v>
      </c>
      <c r="I73" s="2">
        <v>0</v>
      </c>
      <c r="J73" s="2"/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 t="s">
        <v>3797</v>
      </c>
      <c r="R73" s="2" t="s">
        <v>3797</v>
      </c>
      <c r="S73" s="4">
        <v>44968</v>
      </c>
    </row>
    <row r="74" spans="1:19" ht="12.5" x14ac:dyDescent="0.25">
      <c r="A74" s="14" t="str">
        <f>HYPERLINK("https://gerandofalcoes.my.salesforce.com/0014X00002YgbktQAB", "0014X00002YgbktQAB")</f>
        <v>0014X00002YgbktQAB</v>
      </c>
      <c r="B74" s="2" t="s">
        <v>3787</v>
      </c>
      <c r="C74" s="2" t="s">
        <v>423</v>
      </c>
      <c r="D74" s="2" t="s">
        <v>2</v>
      </c>
      <c r="E74" s="2"/>
      <c r="F74" s="2">
        <v>0</v>
      </c>
      <c r="G74" s="2">
        <v>0</v>
      </c>
      <c r="H74" s="2">
        <v>0</v>
      </c>
      <c r="I74" s="2">
        <v>0</v>
      </c>
      <c r="J74" s="2"/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 t="s">
        <v>3788</v>
      </c>
      <c r="R74" s="2" t="s">
        <v>3788</v>
      </c>
      <c r="S74" s="4">
        <v>44968</v>
      </c>
    </row>
    <row r="75" spans="1:19" ht="12.5" x14ac:dyDescent="0.25">
      <c r="A75" s="14" t="str">
        <f>HYPERLINK("https://gerandofalcoes.my.salesforce.com/0014X00002YggirQAB", "0014X00002YggirQAB")</f>
        <v>0014X00002YggirQAB</v>
      </c>
      <c r="B75" s="2" t="s">
        <v>3213</v>
      </c>
      <c r="C75" s="2" t="s">
        <v>423</v>
      </c>
      <c r="D75" s="2" t="s">
        <v>2</v>
      </c>
      <c r="E75" s="2"/>
      <c r="F75" s="2">
        <v>0</v>
      </c>
      <c r="G75" s="2">
        <v>2</v>
      </c>
      <c r="H75" s="2">
        <v>5000</v>
      </c>
      <c r="I75" s="2">
        <v>100</v>
      </c>
      <c r="J75" s="2"/>
      <c r="K75" s="2">
        <v>21</v>
      </c>
      <c r="L75" s="2">
        <v>0</v>
      </c>
      <c r="M75" s="2">
        <v>0</v>
      </c>
      <c r="N75" s="2">
        <v>6</v>
      </c>
      <c r="O75" s="2">
        <v>5</v>
      </c>
      <c r="P75" s="2">
        <v>10</v>
      </c>
      <c r="Q75" s="2" t="s">
        <v>3214</v>
      </c>
      <c r="R75" s="2" t="s">
        <v>3214</v>
      </c>
      <c r="S75" s="4">
        <v>44951</v>
      </c>
    </row>
    <row r="76" spans="1:19" ht="12.5" x14ac:dyDescent="0.25">
      <c r="A76" s="14" t="str">
        <f>HYPERLINK("https://gerandofalcoes.my.salesforce.com/0014X00002YgglxQAB", "0014X00002YgglxQAB")</f>
        <v>0014X00002YgglxQAB</v>
      </c>
      <c r="B76" s="2" t="s">
        <v>3222</v>
      </c>
      <c r="C76" s="2" t="s">
        <v>423</v>
      </c>
      <c r="D76" s="2" t="s">
        <v>2</v>
      </c>
      <c r="E76" s="2"/>
      <c r="F76" s="2">
        <v>0</v>
      </c>
      <c r="G76" s="2">
        <v>2</v>
      </c>
      <c r="H76" s="2">
        <v>2500</v>
      </c>
      <c r="I76" s="2">
        <v>40</v>
      </c>
      <c r="J76" s="2"/>
      <c r="K76" s="2">
        <v>16</v>
      </c>
      <c r="L76" s="2">
        <v>0</v>
      </c>
      <c r="M76" s="2">
        <v>0</v>
      </c>
      <c r="N76" s="2">
        <v>6</v>
      </c>
      <c r="O76" s="2">
        <v>5</v>
      </c>
      <c r="P76" s="2">
        <v>5</v>
      </c>
      <c r="Q76" s="2" t="s">
        <v>3223</v>
      </c>
      <c r="R76" s="2" t="s">
        <v>3224</v>
      </c>
      <c r="S76" s="4">
        <v>44951</v>
      </c>
    </row>
    <row r="77" spans="1:19" ht="12.5" x14ac:dyDescent="0.25">
      <c r="A77" s="14" t="str">
        <f>HYPERLINK("https://gerandofalcoes.my.salesforce.com/0014X00002Yggl7QAB", "0014X00002Yggl7QAB")</f>
        <v>0014X00002Yggl7QAB</v>
      </c>
      <c r="B77" s="2" t="s">
        <v>3204</v>
      </c>
      <c r="C77" s="2" t="s">
        <v>423</v>
      </c>
      <c r="D77" s="2" t="s">
        <v>2</v>
      </c>
      <c r="E77" s="2"/>
      <c r="F77" s="2">
        <v>0</v>
      </c>
      <c r="G77" s="2">
        <v>4</v>
      </c>
      <c r="H77" s="2">
        <v>20000</v>
      </c>
      <c r="I77" s="2">
        <v>2000</v>
      </c>
      <c r="J77" s="2"/>
      <c r="K77" s="2">
        <v>35</v>
      </c>
      <c r="L77" s="2">
        <v>0</v>
      </c>
      <c r="M77" s="2">
        <v>0</v>
      </c>
      <c r="N77" s="2">
        <v>10</v>
      </c>
      <c r="O77" s="2">
        <v>5</v>
      </c>
      <c r="P77" s="2">
        <v>20</v>
      </c>
      <c r="Q77" s="2" t="s">
        <v>3205</v>
      </c>
      <c r="R77" s="2" t="s">
        <v>3206</v>
      </c>
      <c r="S77" s="4">
        <v>44951</v>
      </c>
    </row>
    <row r="78" spans="1:19" ht="12.5" x14ac:dyDescent="0.25">
      <c r="A78" s="14" t="str">
        <f>HYPERLINK("https://gerandofalcoes.my.salesforce.com/0014X00002YggolQAB", "0014X00002YggolQAB")</f>
        <v>0014X00002YggolQAB</v>
      </c>
      <c r="B78" s="2" t="s">
        <v>3215</v>
      </c>
      <c r="C78" s="2" t="s">
        <v>423</v>
      </c>
      <c r="D78" s="2" t="s">
        <v>2</v>
      </c>
      <c r="E78" s="2"/>
      <c r="F78" s="2">
        <v>0</v>
      </c>
      <c r="G78" s="2">
        <v>2</v>
      </c>
      <c r="H78" s="2">
        <v>0</v>
      </c>
      <c r="I78" s="2">
        <v>100</v>
      </c>
      <c r="J78" s="2"/>
      <c r="K78" s="2">
        <v>16</v>
      </c>
      <c r="L78" s="2">
        <v>0</v>
      </c>
      <c r="M78" s="2">
        <v>0</v>
      </c>
      <c r="N78" s="2">
        <v>6</v>
      </c>
      <c r="O78" s="2">
        <v>0</v>
      </c>
      <c r="P78" s="2">
        <v>10</v>
      </c>
      <c r="Q78" s="2" t="s">
        <v>3216</v>
      </c>
      <c r="R78" s="2" t="s">
        <v>3217</v>
      </c>
      <c r="S78" s="4">
        <v>44951</v>
      </c>
    </row>
    <row r="79" spans="1:19" ht="12.5" x14ac:dyDescent="0.25">
      <c r="A79" s="14" t="str">
        <f>HYPERLINK("https://gerandofalcoes.my.salesforce.com/0014X00002YggqZQAR", "0014X00002YggqZQAR")</f>
        <v>0014X00002YggqZQAR</v>
      </c>
      <c r="B79" s="2" t="s">
        <v>3289</v>
      </c>
      <c r="C79" s="2" t="s">
        <v>423</v>
      </c>
      <c r="D79" s="2" t="s">
        <v>2</v>
      </c>
      <c r="E79" s="2"/>
      <c r="F79" s="2">
        <v>5</v>
      </c>
      <c r="G79" s="2">
        <v>3</v>
      </c>
      <c r="H79" s="2">
        <v>1000</v>
      </c>
      <c r="I79" s="2">
        <v>23</v>
      </c>
      <c r="J79" s="2"/>
      <c r="K79" s="2">
        <v>23</v>
      </c>
      <c r="L79" s="2">
        <v>0</v>
      </c>
      <c r="M79" s="2">
        <v>5</v>
      </c>
      <c r="N79" s="2">
        <v>8</v>
      </c>
      <c r="O79" s="2">
        <v>5</v>
      </c>
      <c r="P79" s="2">
        <v>5</v>
      </c>
      <c r="Q79" s="2" t="s">
        <v>3290</v>
      </c>
      <c r="R79" s="2" t="s">
        <v>3290</v>
      </c>
      <c r="S79" s="4">
        <v>44952</v>
      </c>
    </row>
    <row r="80" spans="1:19" ht="12.5" x14ac:dyDescent="0.25">
      <c r="A80" s="14" t="str">
        <f>HYPERLINK("https://gerandofalcoes.my.salesforce.com/0014X00002YggkAQAR", "0014X00002YggkAQAR")</f>
        <v>0014X00002YggkAQAR</v>
      </c>
      <c r="B80" s="2" t="s">
        <v>3255</v>
      </c>
      <c r="C80" s="2" t="s">
        <v>423</v>
      </c>
      <c r="D80" s="2" t="s">
        <v>2</v>
      </c>
      <c r="E80" s="2"/>
      <c r="F80" s="2">
        <v>12</v>
      </c>
      <c r="G80" s="2">
        <v>2</v>
      </c>
      <c r="H80" s="2">
        <v>4000</v>
      </c>
      <c r="I80" s="2">
        <v>0</v>
      </c>
      <c r="J80" s="2"/>
      <c r="K80" s="2">
        <v>23</v>
      </c>
      <c r="L80" s="2">
        <v>0</v>
      </c>
      <c r="M80" s="2">
        <v>12</v>
      </c>
      <c r="N80" s="2">
        <v>6</v>
      </c>
      <c r="O80" s="2">
        <v>5</v>
      </c>
      <c r="P80" s="2">
        <v>0</v>
      </c>
      <c r="Q80" s="2" t="s">
        <v>3256</v>
      </c>
      <c r="R80" s="2" t="s">
        <v>3257</v>
      </c>
      <c r="S80" s="4">
        <v>44952</v>
      </c>
    </row>
    <row r="81" spans="1:19" ht="12.5" x14ac:dyDescent="0.25">
      <c r="A81" s="14" t="str">
        <f>HYPERLINK("https://gerandofalcoes.my.salesforce.com/0014X00002YggnkQAB", "0014X00002YggnkQAB")</f>
        <v>0014X00002YggnkQAB</v>
      </c>
      <c r="B81" s="2" t="s">
        <v>3263</v>
      </c>
      <c r="C81" s="2" t="s">
        <v>423</v>
      </c>
      <c r="D81" s="2" t="s">
        <v>2</v>
      </c>
      <c r="E81" s="2"/>
      <c r="F81" s="2">
        <v>0</v>
      </c>
      <c r="G81" s="2">
        <v>2</v>
      </c>
      <c r="H81" s="2">
        <v>0</v>
      </c>
      <c r="I81" s="2">
        <v>120</v>
      </c>
      <c r="J81" s="2"/>
      <c r="K81" s="2">
        <v>16</v>
      </c>
      <c r="L81" s="2">
        <v>0</v>
      </c>
      <c r="M81" s="2">
        <v>0</v>
      </c>
      <c r="N81" s="2">
        <v>6</v>
      </c>
      <c r="O81" s="2">
        <v>0</v>
      </c>
      <c r="P81" s="2">
        <v>10</v>
      </c>
      <c r="Q81" s="2" t="s">
        <v>3264</v>
      </c>
      <c r="R81" s="2" t="s">
        <v>3264</v>
      </c>
      <c r="S81" s="4">
        <v>44952</v>
      </c>
    </row>
    <row r="82" spans="1:19" ht="12.5" x14ac:dyDescent="0.25">
      <c r="A82" s="14" t="str">
        <f>HYPERLINK("https://gerandofalcoes.my.salesforce.com/0014X00002YgghNQAR", "0014X00002YgghNQAR")</f>
        <v>0014X00002YgghNQAR</v>
      </c>
      <c r="B82" s="2" t="s">
        <v>3268</v>
      </c>
      <c r="C82" s="2" t="s">
        <v>423</v>
      </c>
      <c r="D82" s="2" t="s">
        <v>2</v>
      </c>
      <c r="E82" s="2"/>
      <c r="F82" s="2">
        <v>0</v>
      </c>
      <c r="G82" s="2">
        <v>5</v>
      </c>
      <c r="H82" s="2">
        <v>150</v>
      </c>
      <c r="I82" s="2">
        <v>350</v>
      </c>
      <c r="J82" s="2"/>
      <c r="K82" s="2">
        <v>30</v>
      </c>
      <c r="L82" s="2">
        <v>0</v>
      </c>
      <c r="M82" s="2">
        <v>0</v>
      </c>
      <c r="N82" s="2">
        <v>10</v>
      </c>
      <c r="O82" s="2">
        <v>5</v>
      </c>
      <c r="P82" s="2">
        <v>15</v>
      </c>
      <c r="Q82" s="2" t="s">
        <v>3269</v>
      </c>
      <c r="R82" s="2" t="s">
        <v>3269</v>
      </c>
      <c r="S82" s="4">
        <v>44952</v>
      </c>
    </row>
    <row r="83" spans="1:19" ht="12.5" x14ac:dyDescent="0.25">
      <c r="A83" s="14" t="str">
        <f>HYPERLINK("https://gerandofalcoes.my.salesforce.com/0014X00002YggpmQAB", "0014X00002YggpmQAB")</f>
        <v>0014X00002YggpmQAB</v>
      </c>
      <c r="B83" s="2" t="s">
        <v>3244</v>
      </c>
      <c r="C83" s="2" t="s">
        <v>423</v>
      </c>
      <c r="D83" s="2" t="s">
        <v>2</v>
      </c>
      <c r="E83" s="2"/>
      <c r="F83" s="2">
        <v>0</v>
      </c>
      <c r="G83" s="2">
        <v>3</v>
      </c>
      <c r="H83" s="2">
        <v>20000</v>
      </c>
      <c r="I83" s="2">
        <v>190</v>
      </c>
      <c r="J83" s="2"/>
      <c r="K83" s="2">
        <v>25</v>
      </c>
      <c r="L83" s="2">
        <v>0</v>
      </c>
      <c r="M83" s="2">
        <v>0</v>
      </c>
      <c r="N83" s="2">
        <v>8</v>
      </c>
      <c r="O83" s="2">
        <v>5</v>
      </c>
      <c r="P83" s="2">
        <v>12</v>
      </c>
      <c r="Q83" s="2" t="s">
        <v>3245</v>
      </c>
      <c r="R83" s="2" t="s">
        <v>3246</v>
      </c>
      <c r="S83" s="4">
        <v>44952</v>
      </c>
    </row>
    <row r="84" spans="1:19" ht="12.5" x14ac:dyDescent="0.25">
      <c r="A84" s="14" t="str">
        <f>HYPERLINK("https://gerandofalcoes.my.salesforce.com/0014X00002Yggo7QAB", "0014X00002Yggo7QAB")</f>
        <v>0014X00002Yggo7QAB</v>
      </c>
      <c r="B84" s="2" t="s">
        <v>3270</v>
      </c>
      <c r="C84" s="2" t="s">
        <v>423</v>
      </c>
      <c r="D84" s="2" t="s">
        <v>2</v>
      </c>
      <c r="E84" s="2"/>
      <c r="F84" s="2">
        <v>0</v>
      </c>
      <c r="G84" s="2">
        <v>2</v>
      </c>
      <c r="H84" s="2">
        <v>9000</v>
      </c>
      <c r="I84" s="2">
        <v>300</v>
      </c>
      <c r="J84" s="2"/>
      <c r="K84" s="2">
        <v>26</v>
      </c>
      <c r="L84" s="2">
        <v>0</v>
      </c>
      <c r="M84" s="2">
        <v>0</v>
      </c>
      <c r="N84" s="2">
        <v>6</v>
      </c>
      <c r="O84" s="2">
        <v>5</v>
      </c>
      <c r="P84" s="2">
        <v>15</v>
      </c>
      <c r="Q84" s="2" t="s">
        <v>3271</v>
      </c>
      <c r="R84" s="2" t="s">
        <v>3271</v>
      </c>
      <c r="S84" s="4">
        <v>44952</v>
      </c>
    </row>
    <row r="85" spans="1:19" ht="12.5" x14ac:dyDescent="0.25">
      <c r="A85" s="14" t="str">
        <f>HYPERLINK("https://gerandofalcoes.my.salesforce.com/0014X00002YggmJQAR", "0014X00002YggmJQAR")</f>
        <v>0014X00002YggmJQAR</v>
      </c>
      <c r="B85" s="2" t="s">
        <v>3343</v>
      </c>
      <c r="C85" s="2" t="s">
        <v>423</v>
      </c>
      <c r="D85" s="2" t="s">
        <v>2</v>
      </c>
      <c r="E85" s="2"/>
      <c r="F85" s="2">
        <v>0</v>
      </c>
      <c r="G85" s="2">
        <v>2</v>
      </c>
      <c r="H85" s="2">
        <v>15000</v>
      </c>
      <c r="I85" s="2">
        <v>130</v>
      </c>
      <c r="J85" s="2"/>
      <c r="K85" s="2">
        <v>21</v>
      </c>
      <c r="L85" s="2">
        <v>0</v>
      </c>
      <c r="M85" s="2">
        <v>0</v>
      </c>
      <c r="N85" s="2">
        <v>6</v>
      </c>
      <c r="O85" s="2">
        <v>5</v>
      </c>
      <c r="P85" s="2">
        <v>10</v>
      </c>
      <c r="Q85" s="2" t="s">
        <v>3344</v>
      </c>
      <c r="R85" s="2" t="s">
        <v>3345</v>
      </c>
      <c r="S85" s="4">
        <v>44953</v>
      </c>
    </row>
    <row r="86" spans="1:19" ht="12.5" x14ac:dyDescent="0.25">
      <c r="A86" s="14" t="str">
        <f>HYPERLINK("https://gerandofalcoes.my.salesforce.com/0014X00002Yggq6QAB", "0014X00002Yggq6QAB")</f>
        <v>0014X00002Yggq6QAB</v>
      </c>
      <c r="B86" s="2" t="s">
        <v>3328</v>
      </c>
      <c r="C86" s="2" t="s">
        <v>423</v>
      </c>
      <c r="D86" s="2" t="s">
        <v>2</v>
      </c>
      <c r="E86" s="2"/>
      <c r="F86" s="2">
        <v>0</v>
      </c>
      <c r="G86" s="2">
        <v>3</v>
      </c>
      <c r="H86" s="2">
        <v>3500</v>
      </c>
      <c r="I86" s="2">
        <v>30</v>
      </c>
      <c r="J86" s="2"/>
      <c r="K86" s="2">
        <v>18</v>
      </c>
      <c r="L86" s="2">
        <v>0</v>
      </c>
      <c r="M86" s="2">
        <v>0</v>
      </c>
      <c r="N86" s="2">
        <v>8</v>
      </c>
      <c r="O86" s="2">
        <v>5</v>
      </c>
      <c r="P86" s="2">
        <v>5</v>
      </c>
      <c r="Q86" s="2" t="s">
        <v>3329</v>
      </c>
      <c r="R86" s="2" t="s">
        <v>3330</v>
      </c>
      <c r="S86" s="4">
        <v>44953</v>
      </c>
    </row>
    <row r="87" spans="1:19" ht="12.5" x14ac:dyDescent="0.25">
      <c r="A87" s="14" t="str">
        <f>HYPERLINK("https://gerandofalcoes.my.salesforce.com/0014X00002Yggk6QAB", "0014X00002Yggk6QAB")</f>
        <v>0014X00002Yggk6QAB</v>
      </c>
      <c r="B87" s="2" t="s">
        <v>3370</v>
      </c>
      <c r="C87" s="2" t="s">
        <v>423</v>
      </c>
      <c r="D87" s="2" t="s">
        <v>2</v>
      </c>
      <c r="E87" s="2"/>
      <c r="F87" s="2">
        <v>0</v>
      </c>
      <c r="G87" s="2">
        <v>2</v>
      </c>
      <c r="H87" s="2">
        <v>1000</v>
      </c>
      <c r="I87" s="2">
        <v>20</v>
      </c>
      <c r="J87" s="2"/>
      <c r="K87" s="2">
        <v>16</v>
      </c>
      <c r="L87" s="2">
        <v>0</v>
      </c>
      <c r="M87" s="2">
        <v>0</v>
      </c>
      <c r="N87" s="2">
        <v>6</v>
      </c>
      <c r="O87" s="2">
        <v>5</v>
      </c>
      <c r="P87" s="2">
        <v>5</v>
      </c>
      <c r="Q87" s="2" t="s">
        <v>3371</v>
      </c>
      <c r="R87" s="2" t="s">
        <v>3371</v>
      </c>
      <c r="S87" s="4">
        <v>44953</v>
      </c>
    </row>
    <row r="88" spans="1:19" ht="12.5" x14ac:dyDescent="0.25">
      <c r="A88" s="14" t="str">
        <f>HYPERLINK("https://gerandofalcoes.my.salesforce.com/0014X00002YggguQAB", "0014X00002YggguQAB")</f>
        <v>0014X00002YggguQAB</v>
      </c>
      <c r="B88" s="2" t="s">
        <v>3367</v>
      </c>
      <c r="C88" s="2" t="s">
        <v>423</v>
      </c>
      <c r="D88" s="2" t="s">
        <v>2</v>
      </c>
      <c r="E88" s="2"/>
      <c r="F88" s="2">
        <v>5</v>
      </c>
      <c r="G88" s="2">
        <v>80</v>
      </c>
      <c r="H88" s="2">
        <v>15000</v>
      </c>
      <c r="I88" s="2">
        <v>30</v>
      </c>
      <c r="J88" s="2"/>
      <c r="K88" s="2">
        <v>25</v>
      </c>
      <c r="L88" s="2">
        <v>0</v>
      </c>
      <c r="M88" s="2">
        <v>5</v>
      </c>
      <c r="N88" s="2">
        <v>10</v>
      </c>
      <c r="O88" s="2">
        <v>5</v>
      </c>
      <c r="P88" s="2">
        <v>5</v>
      </c>
      <c r="Q88" s="2" t="s">
        <v>3368</v>
      </c>
      <c r="R88" s="2" t="s">
        <v>3369</v>
      </c>
      <c r="S88" s="4">
        <v>44953</v>
      </c>
    </row>
    <row r="89" spans="1:19" ht="12.5" x14ac:dyDescent="0.25">
      <c r="A89" s="14" t="str">
        <f>HYPERLINK("https://gerandofalcoes.my.salesforce.com/0014X00002YggnjQAB", "0014X00002YggnjQAB")</f>
        <v>0014X00002YggnjQAB</v>
      </c>
      <c r="B89" s="2" t="s">
        <v>3346</v>
      </c>
      <c r="C89" s="2" t="s">
        <v>423</v>
      </c>
      <c r="D89" s="2" t="s">
        <v>2</v>
      </c>
      <c r="E89" s="2"/>
      <c r="F89" s="2">
        <v>9</v>
      </c>
      <c r="G89" s="2">
        <v>3</v>
      </c>
      <c r="H89" s="2">
        <v>2500</v>
      </c>
      <c r="I89" s="2">
        <v>120</v>
      </c>
      <c r="J89" s="2"/>
      <c r="K89" s="2">
        <v>33</v>
      </c>
      <c r="L89" s="2">
        <v>0</v>
      </c>
      <c r="M89" s="2">
        <v>10</v>
      </c>
      <c r="N89" s="2">
        <v>8</v>
      </c>
      <c r="O89" s="2">
        <v>5</v>
      </c>
      <c r="P89" s="2">
        <v>10</v>
      </c>
      <c r="Q89" s="2" t="s">
        <v>3347</v>
      </c>
      <c r="R89" s="2" t="s">
        <v>3348</v>
      </c>
      <c r="S89" s="4">
        <v>44953</v>
      </c>
    </row>
    <row r="90" spans="1:19" ht="12.5" x14ac:dyDescent="0.25">
      <c r="A90" s="14" t="str">
        <f>HYPERLINK("https://gerandofalcoes.my.salesforce.com/0014X00002Yggo3QAB", "0014X00002Yggo3QAB")</f>
        <v>0014X00002Yggo3QAB</v>
      </c>
      <c r="B90" s="2" t="s">
        <v>3103</v>
      </c>
      <c r="C90" s="2" t="s">
        <v>423</v>
      </c>
      <c r="D90" s="2" t="s">
        <v>2</v>
      </c>
      <c r="E90" s="2"/>
      <c r="F90" s="2">
        <v>0</v>
      </c>
      <c r="G90" s="2">
        <v>2</v>
      </c>
      <c r="H90" s="2">
        <v>10000</v>
      </c>
      <c r="I90" s="2">
        <v>0</v>
      </c>
      <c r="J90" s="2"/>
      <c r="K90" s="2">
        <v>11</v>
      </c>
      <c r="L90" s="2">
        <v>0</v>
      </c>
      <c r="M90" s="2">
        <v>0</v>
      </c>
      <c r="N90" s="2">
        <v>6</v>
      </c>
      <c r="O90" s="2">
        <v>5</v>
      </c>
      <c r="P90" s="2">
        <v>0</v>
      </c>
      <c r="Q90" s="2" t="s">
        <v>3104</v>
      </c>
      <c r="R90" s="2" t="s">
        <v>3105</v>
      </c>
      <c r="S90" s="4">
        <v>44948</v>
      </c>
    </row>
    <row r="91" spans="1:19" ht="12.5" x14ac:dyDescent="0.25">
      <c r="A91" s="14" t="str">
        <f>HYPERLINK("https://gerandofalcoes.my.salesforce.com/0014X00002YggqMQAR", "0014X00002YggqMQAR")</f>
        <v>0014X00002YggqMQAR</v>
      </c>
      <c r="B91" s="2" t="s">
        <v>3045</v>
      </c>
      <c r="C91" s="2" t="s">
        <v>423</v>
      </c>
      <c r="D91" s="2" t="s">
        <v>2</v>
      </c>
      <c r="E91" s="2"/>
      <c r="F91" s="2">
        <v>0</v>
      </c>
      <c r="G91" s="2">
        <v>2</v>
      </c>
      <c r="H91" s="2">
        <v>0</v>
      </c>
      <c r="I91" s="2">
        <v>0</v>
      </c>
      <c r="J91" s="2"/>
      <c r="K91" s="2">
        <v>6</v>
      </c>
      <c r="L91" s="2">
        <v>0</v>
      </c>
      <c r="M91" s="2">
        <v>0</v>
      </c>
      <c r="N91" s="2">
        <v>6</v>
      </c>
      <c r="O91" s="2">
        <v>0</v>
      </c>
      <c r="P91" s="2">
        <v>0</v>
      </c>
      <c r="Q91" s="2" t="s">
        <v>3046</v>
      </c>
      <c r="R91" s="2" t="s">
        <v>3046</v>
      </c>
      <c r="S91" s="4">
        <v>44945</v>
      </c>
    </row>
    <row r="92" spans="1:19" ht="12.5" x14ac:dyDescent="0.25">
      <c r="A92" s="14" t="str">
        <f>HYPERLINK("https://gerandofalcoes.my.salesforce.com/0014X00002YggpnQAB", "0014X00002YggpnQAB")</f>
        <v>0014X00002YggpnQAB</v>
      </c>
      <c r="B92" s="2" t="s">
        <v>3128</v>
      </c>
      <c r="C92" s="2" t="s">
        <v>423</v>
      </c>
      <c r="D92" s="2" t="s">
        <v>2</v>
      </c>
      <c r="E92" s="2"/>
      <c r="F92" s="2">
        <v>0</v>
      </c>
      <c r="G92" s="2">
        <v>2</v>
      </c>
      <c r="H92" s="2">
        <v>2000</v>
      </c>
      <c r="I92" s="2">
        <v>90</v>
      </c>
      <c r="J92" s="2"/>
      <c r="K92" s="2">
        <v>21</v>
      </c>
      <c r="L92" s="2">
        <v>0</v>
      </c>
      <c r="M92" s="2">
        <v>0</v>
      </c>
      <c r="N92" s="2">
        <v>6</v>
      </c>
      <c r="O92" s="2">
        <v>5</v>
      </c>
      <c r="P92" s="2">
        <v>10</v>
      </c>
      <c r="Q92" s="2" t="s">
        <v>3129</v>
      </c>
      <c r="R92" s="2" t="s">
        <v>3129</v>
      </c>
      <c r="S92" s="4">
        <v>44949</v>
      </c>
    </row>
    <row r="93" spans="1:19" ht="12.5" x14ac:dyDescent="0.25">
      <c r="A93" s="14" t="str">
        <f>HYPERLINK("https://gerandofalcoes.my.salesforce.com/0014X00002YgglFQAR", "0014X00002YgglFQAR")</f>
        <v>0014X00002YgglFQAR</v>
      </c>
      <c r="B93" s="2" t="s">
        <v>3087</v>
      </c>
      <c r="C93" s="2" t="s">
        <v>423</v>
      </c>
      <c r="D93" s="2" t="s">
        <v>2</v>
      </c>
      <c r="E93" s="2"/>
      <c r="F93" s="2">
        <v>0</v>
      </c>
      <c r="G93" s="2">
        <v>5</v>
      </c>
      <c r="H93" s="2">
        <v>0</v>
      </c>
      <c r="I93" s="2">
        <v>0</v>
      </c>
      <c r="J93" s="2"/>
      <c r="K93" s="2">
        <v>10</v>
      </c>
      <c r="L93" s="2">
        <v>0</v>
      </c>
      <c r="M93" s="2">
        <v>0</v>
      </c>
      <c r="N93" s="2">
        <v>10</v>
      </c>
      <c r="O93" s="2">
        <v>0</v>
      </c>
      <c r="P93" s="2">
        <v>0</v>
      </c>
      <c r="Q93" s="2" t="s">
        <v>3088</v>
      </c>
      <c r="R93" s="2" t="s">
        <v>3089</v>
      </c>
      <c r="S93" s="4">
        <v>44946</v>
      </c>
    </row>
    <row r="94" spans="1:19" ht="12.5" x14ac:dyDescent="0.25">
      <c r="A94" s="14" t="str">
        <f>HYPERLINK("https://gerandofalcoes.my.salesforce.com/0014X00002YgbknQAB", "0014X00002YgbknQAB")</f>
        <v>0014X00002YgbknQAB</v>
      </c>
      <c r="B94" s="2" t="s">
        <v>3096</v>
      </c>
      <c r="C94" s="2" t="s">
        <v>423</v>
      </c>
      <c r="D94" s="2" t="s">
        <v>2</v>
      </c>
      <c r="E94" s="2"/>
      <c r="F94" s="2">
        <v>0</v>
      </c>
      <c r="G94" s="2">
        <v>0</v>
      </c>
      <c r="H94" s="2">
        <v>0</v>
      </c>
      <c r="I94" s="2">
        <v>0</v>
      </c>
      <c r="J94" s="2"/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 t="s">
        <v>3097</v>
      </c>
      <c r="R94" s="2" t="s">
        <v>3097</v>
      </c>
      <c r="S94" s="4">
        <v>44947</v>
      </c>
    </row>
    <row r="95" spans="1:19" ht="12.5" x14ac:dyDescent="0.25">
      <c r="A95" s="14" t="str">
        <f>HYPERLINK("https://gerandofalcoes.my.salesforce.com/0014X00002YggquQAB", "0014X00002YggquQAB")</f>
        <v>0014X00002YggquQAB</v>
      </c>
      <c r="B95" s="2" t="s">
        <v>3171</v>
      </c>
      <c r="C95" s="2" t="s">
        <v>423</v>
      </c>
      <c r="D95" s="2" t="s">
        <v>2</v>
      </c>
      <c r="E95" s="2"/>
      <c r="F95" s="2">
        <v>4</v>
      </c>
      <c r="G95" s="2">
        <v>11</v>
      </c>
      <c r="H95" s="2">
        <v>0</v>
      </c>
      <c r="I95" s="2">
        <v>0</v>
      </c>
      <c r="J95" s="2"/>
      <c r="K95" s="2">
        <v>15</v>
      </c>
      <c r="L95" s="2">
        <v>0</v>
      </c>
      <c r="M95" s="2">
        <v>5</v>
      </c>
      <c r="N95" s="2">
        <v>10</v>
      </c>
      <c r="O95" s="2">
        <v>0</v>
      </c>
      <c r="P95" s="2">
        <v>0</v>
      </c>
      <c r="Q95" s="2" t="s">
        <v>3172</v>
      </c>
      <c r="R95" s="2" t="s">
        <v>3172</v>
      </c>
      <c r="S95" s="4">
        <v>44950</v>
      </c>
    </row>
    <row r="96" spans="1:19" ht="12.5" x14ac:dyDescent="0.25">
      <c r="A96" s="14" t="str">
        <f>HYPERLINK("https://gerandofalcoes.my.salesforce.com/0014X00002YgghdQAB", "0014X00002YgghdQAB")</f>
        <v>0014X00002YgghdQAB</v>
      </c>
      <c r="B96" s="2" t="s">
        <v>3163</v>
      </c>
      <c r="C96" s="2" t="s">
        <v>423</v>
      </c>
      <c r="D96" s="2" t="s">
        <v>2</v>
      </c>
      <c r="E96" s="2"/>
      <c r="F96" s="2">
        <v>0</v>
      </c>
      <c r="G96" s="2">
        <v>4</v>
      </c>
      <c r="H96" s="2">
        <v>2000</v>
      </c>
      <c r="I96" s="2">
        <v>300</v>
      </c>
      <c r="J96" s="2"/>
      <c r="K96" s="2">
        <v>30</v>
      </c>
      <c r="L96" s="2">
        <v>0</v>
      </c>
      <c r="M96" s="2">
        <v>0</v>
      </c>
      <c r="N96" s="2">
        <v>10</v>
      </c>
      <c r="O96" s="2">
        <v>5</v>
      </c>
      <c r="P96" s="2">
        <v>15</v>
      </c>
      <c r="Q96" s="2" t="s">
        <v>3164</v>
      </c>
      <c r="R96" s="2" t="s">
        <v>3165</v>
      </c>
      <c r="S96" s="4">
        <v>44950</v>
      </c>
    </row>
    <row r="97" spans="1:19" ht="12.5" x14ac:dyDescent="0.25">
      <c r="A97" s="14" t="str">
        <f>HYPERLINK("https://gerandofalcoes.my.salesforce.com/0014X00002YggjoQAB", "0014X00002YggjoQAB")</f>
        <v>0014X00002YggjoQAB</v>
      </c>
      <c r="B97" s="2" t="s">
        <v>3283</v>
      </c>
      <c r="C97" s="2" t="s">
        <v>423</v>
      </c>
      <c r="D97" s="2" t="s">
        <v>2</v>
      </c>
      <c r="E97" s="2"/>
      <c r="F97" s="2">
        <v>3</v>
      </c>
      <c r="G97" s="2">
        <v>2</v>
      </c>
      <c r="H97" s="2">
        <v>280000</v>
      </c>
      <c r="I97" s="2">
        <v>50</v>
      </c>
      <c r="J97" s="2"/>
      <c r="K97" s="2">
        <v>31</v>
      </c>
      <c r="L97" s="2">
        <v>0</v>
      </c>
      <c r="M97" s="2">
        <v>5</v>
      </c>
      <c r="N97" s="2">
        <v>6</v>
      </c>
      <c r="O97" s="2">
        <v>15</v>
      </c>
      <c r="P97" s="2">
        <v>5</v>
      </c>
      <c r="Q97" s="2" t="s">
        <v>3284</v>
      </c>
      <c r="R97" s="2" t="s">
        <v>3285</v>
      </c>
      <c r="S97" s="4">
        <v>44952</v>
      </c>
    </row>
    <row r="98" spans="1:19" ht="12.5" x14ac:dyDescent="0.25">
      <c r="A98" s="14" t="str">
        <f>HYPERLINK("https://gerandofalcoes.my.salesforce.com/0014X00002YgbkTQAR", "0014X00002YgbkTQAR")</f>
        <v>0014X00002YgbkTQAR</v>
      </c>
      <c r="B98" s="2" t="s">
        <v>3337</v>
      </c>
      <c r="C98" s="2" t="s">
        <v>423</v>
      </c>
      <c r="D98" s="2" t="s">
        <v>2</v>
      </c>
      <c r="E98" s="2"/>
      <c r="F98" s="2">
        <v>0</v>
      </c>
      <c r="G98" s="2">
        <v>0</v>
      </c>
      <c r="H98" s="2">
        <v>0</v>
      </c>
      <c r="I98" s="2">
        <v>0</v>
      </c>
      <c r="J98" s="2"/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 t="s">
        <v>3338</v>
      </c>
      <c r="R98" s="2" t="s">
        <v>3339</v>
      </c>
      <c r="S98" s="4">
        <v>44953</v>
      </c>
    </row>
    <row r="99" spans="1:19" ht="12.5" x14ac:dyDescent="0.25">
      <c r="A99" s="14" t="str">
        <f>HYPERLINK("https://gerandofalcoes.my.salesforce.com/0014X00002YggiQQAR", "0014X00002YggiQQAR")</f>
        <v>0014X00002YggiQQAR</v>
      </c>
      <c r="B99" s="2" t="s">
        <v>3149</v>
      </c>
      <c r="C99" s="2" t="s">
        <v>423</v>
      </c>
      <c r="D99" s="2" t="s">
        <v>2</v>
      </c>
      <c r="E99" s="2"/>
      <c r="F99" s="2">
        <v>30</v>
      </c>
      <c r="G99" s="2">
        <v>5</v>
      </c>
      <c r="H99" s="2">
        <v>190000</v>
      </c>
      <c r="I99" s="2">
        <v>178</v>
      </c>
      <c r="J99" s="2"/>
      <c r="K99" s="2">
        <v>49</v>
      </c>
      <c r="L99" s="2">
        <v>0</v>
      </c>
      <c r="M99" s="2">
        <v>12</v>
      </c>
      <c r="N99" s="2">
        <v>10</v>
      </c>
      <c r="O99" s="2">
        <v>15</v>
      </c>
      <c r="P99" s="2">
        <v>12</v>
      </c>
      <c r="Q99" s="2" t="s">
        <v>3150</v>
      </c>
      <c r="R99" s="2" t="s">
        <v>3151</v>
      </c>
      <c r="S99" s="4">
        <v>44950</v>
      </c>
    </row>
    <row r="100" spans="1:19" ht="12.5" x14ac:dyDescent="0.25">
      <c r="A100" s="14" t="str">
        <f>HYPERLINK("https://gerandofalcoes.my.salesforce.com/0014X00002YggnQQAR", "0014X00002YggnQQAR")</f>
        <v>0014X00002YggnQQAR</v>
      </c>
      <c r="B100" s="2" t="s">
        <v>3210</v>
      </c>
      <c r="C100" s="2" t="s">
        <v>423</v>
      </c>
      <c r="D100" s="2" t="s">
        <v>2</v>
      </c>
      <c r="E100" s="2"/>
      <c r="F100" s="2">
        <v>12</v>
      </c>
      <c r="G100" s="2">
        <v>5</v>
      </c>
      <c r="H100" s="2">
        <v>226000</v>
      </c>
      <c r="I100" s="2">
        <v>323</v>
      </c>
      <c r="J100" s="2"/>
      <c r="K100" s="2">
        <v>52</v>
      </c>
      <c r="L100" s="2">
        <v>0</v>
      </c>
      <c r="M100" s="2">
        <v>12</v>
      </c>
      <c r="N100" s="2">
        <v>10</v>
      </c>
      <c r="O100" s="2">
        <v>15</v>
      </c>
      <c r="P100" s="2">
        <v>15</v>
      </c>
      <c r="Q100" s="2" t="s">
        <v>3211</v>
      </c>
      <c r="R100" s="2" t="s">
        <v>3212</v>
      </c>
      <c r="S100" s="4">
        <v>44951</v>
      </c>
    </row>
    <row r="101" spans="1:19" ht="12.5" x14ac:dyDescent="0.25">
      <c r="A101" s="14" t="str">
        <f>HYPERLINK("https://gerandofalcoes.my.salesforce.com/0014X00002YgghFQAR", "0014X00002YgghFQAR")</f>
        <v>0014X00002YgghFQAR</v>
      </c>
      <c r="B101" s="2" t="s">
        <v>3247</v>
      </c>
      <c r="C101" s="2" t="s">
        <v>423</v>
      </c>
      <c r="D101" s="2" t="s">
        <v>2</v>
      </c>
      <c r="E101" s="2"/>
      <c r="F101" s="2">
        <v>0</v>
      </c>
      <c r="G101" s="2">
        <v>2</v>
      </c>
      <c r="H101" s="2">
        <v>5000</v>
      </c>
      <c r="I101" s="2">
        <v>27</v>
      </c>
      <c r="J101" s="2"/>
      <c r="K101" s="2">
        <v>16</v>
      </c>
      <c r="L101" s="2">
        <v>0</v>
      </c>
      <c r="M101" s="2">
        <v>0</v>
      </c>
      <c r="N101" s="2">
        <v>6</v>
      </c>
      <c r="O101" s="2">
        <v>5</v>
      </c>
      <c r="P101" s="2">
        <v>5</v>
      </c>
      <c r="Q101" s="2" t="s">
        <v>3248</v>
      </c>
      <c r="R101" s="2" t="s">
        <v>3249</v>
      </c>
      <c r="S101" s="4">
        <v>44952</v>
      </c>
    </row>
    <row r="102" spans="1:19" ht="12.5" x14ac:dyDescent="0.25">
      <c r="A102" s="14" t="str">
        <f>HYPERLINK("https://gerandofalcoes.my.salesforce.com/0014X00002YgghhQAB", "0014X00002YgghhQAB")</f>
        <v>0014X00002YgghhQAB</v>
      </c>
      <c r="B102" s="2" t="s">
        <v>3286</v>
      </c>
      <c r="C102" s="2" t="s">
        <v>423</v>
      </c>
      <c r="D102" s="2" t="s">
        <v>2</v>
      </c>
      <c r="E102" s="2"/>
      <c r="F102" s="2">
        <v>1</v>
      </c>
      <c r="G102" s="2">
        <v>2</v>
      </c>
      <c r="H102" s="2">
        <v>0</v>
      </c>
      <c r="I102" s="2">
        <v>46</v>
      </c>
      <c r="J102" s="2"/>
      <c r="K102" s="2">
        <v>16</v>
      </c>
      <c r="L102" s="2">
        <v>0</v>
      </c>
      <c r="M102" s="2">
        <v>5</v>
      </c>
      <c r="N102" s="2">
        <v>6</v>
      </c>
      <c r="O102" s="2">
        <v>0</v>
      </c>
      <c r="P102" s="2">
        <v>5</v>
      </c>
      <c r="Q102" s="2" t="s">
        <v>3287</v>
      </c>
      <c r="R102" s="2" t="s">
        <v>3288</v>
      </c>
      <c r="S102" s="4">
        <v>44952</v>
      </c>
    </row>
    <row r="103" spans="1:19" ht="12.5" x14ac:dyDescent="0.25">
      <c r="A103" s="14" t="str">
        <f>HYPERLINK("https://gerandofalcoes.my.salesforce.com/0014X00002YggnOQAR", "0014X00002YggnOQAR")</f>
        <v>0014X00002YggnOQAR</v>
      </c>
      <c r="B103" s="2" t="s">
        <v>3316</v>
      </c>
      <c r="C103" s="2" t="s">
        <v>423</v>
      </c>
      <c r="D103" s="2" t="s">
        <v>2</v>
      </c>
      <c r="E103" s="2"/>
      <c r="F103" s="2">
        <v>0</v>
      </c>
      <c r="G103" s="2">
        <v>2</v>
      </c>
      <c r="H103" s="2">
        <v>0</v>
      </c>
      <c r="I103" s="2">
        <v>128</v>
      </c>
      <c r="J103" s="2"/>
      <c r="K103" s="2">
        <v>16</v>
      </c>
      <c r="L103" s="2">
        <v>0</v>
      </c>
      <c r="M103" s="2">
        <v>0</v>
      </c>
      <c r="N103" s="2">
        <v>6</v>
      </c>
      <c r="O103" s="2">
        <v>0</v>
      </c>
      <c r="P103" s="2">
        <v>10</v>
      </c>
      <c r="Q103" s="2" t="s">
        <v>3317</v>
      </c>
      <c r="R103" s="2" t="s">
        <v>3318</v>
      </c>
      <c r="S103" s="4">
        <v>44953</v>
      </c>
    </row>
    <row r="104" spans="1:19" ht="12.5" x14ac:dyDescent="0.25">
      <c r="A104" s="14" t="str">
        <f>HYPERLINK("https://gerandofalcoes.my.salesforce.com/0014X00002YggiBQAR", "0014X00002YggiBQAR")</f>
        <v>0014X00002YggiBQAR</v>
      </c>
      <c r="B104" s="2" t="s">
        <v>3322</v>
      </c>
      <c r="C104" s="2" t="s">
        <v>423</v>
      </c>
      <c r="D104" s="2" t="s">
        <v>2</v>
      </c>
      <c r="E104" s="2"/>
      <c r="F104" s="2">
        <v>123</v>
      </c>
      <c r="G104" s="2">
        <v>5</v>
      </c>
      <c r="H104" s="2">
        <v>20000</v>
      </c>
      <c r="I104" s="2">
        <v>100</v>
      </c>
      <c r="J104" s="2"/>
      <c r="K104" s="2">
        <v>40</v>
      </c>
      <c r="L104" s="2">
        <v>0</v>
      </c>
      <c r="M104" s="2">
        <v>15</v>
      </c>
      <c r="N104" s="2">
        <v>10</v>
      </c>
      <c r="O104" s="2">
        <v>5</v>
      </c>
      <c r="P104" s="2">
        <v>10</v>
      </c>
      <c r="Q104" s="2" t="s">
        <v>3323</v>
      </c>
      <c r="R104" s="2" t="s">
        <v>3324</v>
      </c>
      <c r="S104" s="4">
        <v>44953</v>
      </c>
    </row>
    <row r="105" spans="1:19" ht="12.5" x14ac:dyDescent="0.25">
      <c r="A105" s="14" t="str">
        <f>HYPERLINK("https://gerandofalcoes.my.salesforce.com/0014X00002Yggl5QAB", "0014X00002Yggl5QAB")</f>
        <v>0014X00002Yggl5QAB</v>
      </c>
      <c r="B105" s="2" t="s">
        <v>3484</v>
      </c>
      <c r="C105" s="2" t="s">
        <v>423</v>
      </c>
      <c r="D105" s="2" t="s">
        <v>2</v>
      </c>
      <c r="E105" s="2"/>
      <c r="F105" s="2">
        <v>4</v>
      </c>
      <c r="G105" s="2">
        <v>4</v>
      </c>
      <c r="H105" s="2">
        <v>700</v>
      </c>
      <c r="I105" s="2">
        <v>120</v>
      </c>
      <c r="J105" s="2"/>
      <c r="K105" s="2">
        <v>30</v>
      </c>
      <c r="L105" s="2">
        <v>0</v>
      </c>
      <c r="M105" s="2">
        <v>5</v>
      </c>
      <c r="N105" s="2">
        <v>10</v>
      </c>
      <c r="O105" s="2">
        <v>5</v>
      </c>
      <c r="P105" s="2">
        <v>10</v>
      </c>
      <c r="Q105" s="2" t="s">
        <v>3485</v>
      </c>
      <c r="R105" s="2" t="s">
        <v>3485</v>
      </c>
      <c r="S105" s="4">
        <v>44958</v>
      </c>
    </row>
    <row r="106" spans="1:19" ht="12.5" x14ac:dyDescent="0.25">
      <c r="A106" s="14" t="str">
        <f>HYPERLINK("https://gerandofalcoes.my.salesforce.com/0014X00002Yggh2QAB", "0014X00002Yggh2QAB")</f>
        <v>0014X00002Yggh2QAB</v>
      </c>
      <c r="B106" s="2" t="s">
        <v>3449</v>
      </c>
      <c r="C106" s="2" t="s">
        <v>423</v>
      </c>
      <c r="D106" s="2" t="s">
        <v>2</v>
      </c>
      <c r="E106" s="2"/>
      <c r="F106" s="2">
        <v>0</v>
      </c>
      <c r="G106" s="2">
        <v>2</v>
      </c>
      <c r="H106" s="2">
        <v>500</v>
      </c>
      <c r="I106" s="2">
        <v>50</v>
      </c>
      <c r="J106" s="2"/>
      <c r="K106" s="2">
        <v>16</v>
      </c>
      <c r="L106" s="2">
        <v>0</v>
      </c>
      <c r="M106" s="2">
        <v>0</v>
      </c>
      <c r="N106" s="2">
        <v>6</v>
      </c>
      <c r="O106" s="2">
        <v>5</v>
      </c>
      <c r="P106" s="2">
        <v>5</v>
      </c>
      <c r="Q106" s="2" t="s">
        <v>3450</v>
      </c>
      <c r="R106" s="2" t="s">
        <v>3451</v>
      </c>
      <c r="S106" s="4">
        <v>44958</v>
      </c>
    </row>
    <row r="107" spans="1:19" ht="12.5" x14ac:dyDescent="0.25">
      <c r="A107" s="14" t="str">
        <f>HYPERLINK("https://gerandofalcoes.my.salesforce.com/0014X00002YggkwQAB", "0014X00002YggkwQAB")</f>
        <v>0014X00002YggkwQAB</v>
      </c>
      <c r="B107" s="2" t="s">
        <v>3440</v>
      </c>
      <c r="C107" s="2" t="s">
        <v>423</v>
      </c>
      <c r="D107" s="2" t="s">
        <v>2</v>
      </c>
      <c r="E107" s="2"/>
      <c r="F107" s="2">
        <v>0</v>
      </c>
      <c r="G107" s="2">
        <v>2</v>
      </c>
      <c r="H107" s="2">
        <v>100</v>
      </c>
      <c r="I107" s="2">
        <v>30</v>
      </c>
      <c r="J107" s="2"/>
      <c r="K107" s="2">
        <v>16</v>
      </c>
      <c r="L107" s="2">
        <v>0</v>
      </c>
      <c r="M107" s="2">
        <v>0</v>
      </c>
      <c r="N107" s="2">
        <v>6</v>
      </c>
      <c r="O107" s="2">
        <v>5</v>
      </c>
      <c r="P107" s="2">
        <v>5</v>
      </c>
      <c r="Q107" s="2" t="s">
        <v>3441</v>
      </c>
      <c r="R107" s="2" t="s">
        <v>3441</v>
      </c>
      <c r="S107" s="4">
        <v>44958</v>
      </c>
    </row>
    <row r="108" spans="1:19" ht="12.5" x14ac:dyDescent="0.25">
      <c r="A108" s="14" t="str">
        <f>HYPERLINK("https://gerandofalcoes.my.salesforce.com/0014X00002YggnRQAR", "0014X00002YggnRQAR")</f>
        <v>0014X00002YggnRQAR</v>
      </c>
      <c r="B108" s="2" t="s">
        <v>3392</v>
      </c>
      <c r="C108" s="2" t="s">
        <v>423</v>
      </c>
      <c r="D108" s="2" t="s">
        <v>2</v>
      </c>
      <c r="E108" s="2"/>
      <c r="F108" s="2">
        <v>4</v>
      </c>
      <c r="G108" s="2">
        <v>4</v>
      </c>
      <c r="H108" s="2">
        <v>10000</v>
      </c>
      <c r="I108" s="2">
        <v>400</v>
      </c>
      <c r="J108" s="2"/>
      <c r="K108" s="2">
        <v>35</v>
      </c>
      <c r="L108" s="2">
        <v>0</v>
      </c>
      <c r="M108" s="2">
        <v>5</v>
      </c>
      <c r="N108" s="2">
        <v>10</v>
      </c>
      <c r="O108" s="2">
        <v>5</v>
      </c>
      <c r="P108" s="2">
        <v>15</v>
      </c>
      <c r="Q108" s="2" t="s">
        <v>3393</v>
      </c>
      <c r="R108" s="2" t="s">
        <v>3394</v>
      </c>
      <c r="S108" s="4">
        <v>44958</v>
      </c>
    </row>
    <row r="109" spans="1:19" ht="12.5" x14ac:dyDescent="0.25">
      <c r="A109" s="14" t="str">
        <f>HYPERLINK("https://gerandofalcoes.my.salesforce.com/0014X00002YgbkPQAR", "0014X00002YgbkPQAR")</f>
        <v>0014X00002YgbkPQAR</v>
      </c>
      <c r="B109" s="2" t="s">
        <v>3515</v>
      </c>
      <c r="C109" s="2" t="s">
        <v>423</v>
      </c>
      <c r="D109" s="2" t="s">
        <v>2</v>
      </c>
      <c r="E109" s="2"/>
      <c r="F109" s="2">
        <v>0</v>
      </c>
      <c r="G109" s="2">
        <v>0</v>
      </c>
      <c r="H109" s="2">
        <v>0</v>
      </c>
      <c r="I109" s="2">
        <v>0</v>
      </c>
      <c r="J109" s="2"/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 t="s">
        <v>3516</v>
      </c>
      <c r="R109" s="2" t="s">
        <v>3516</v>
      </c>
      <c r="S109" s="4">
        <v>44958</v>
      </c>
    </row>
    <row r="110" spans="1:19" ht="12.5" x14ac:dyDescent="0.25">
      <c r="A110" s="14" t="str">
        <f>HYPERLINK("https://gerandofalcoes.my.salesforce.com/0014X00002YgggLQAR", "0014X00002YgggLQAR")</f>
        <v>0014X00002YgggLQAR</v>
      </c>
      <c r="B110" s="2" t="s">
        <v>3486</v>
      </c>
      <c r="C110" s="2" t="s">
        <v>423</v>
      </c>
      <c r="D110" s="2" t="s">
        <v>2</v>
      </c>
      <c r="E110" s="2"/>
      <c r="F110" s="2">
        <v>10</v>
      </c>
      <c r="G110" s="2">
        <v>4</v>
      </c>
      <c r="H110" s="2">
        <v>208</v>
      </c>
      <c r="I110" s="2">
        <v>108</v>
      </c>
      <c r="J110" s="2"/>
      <c r="K110" s="2">
        <v>35</v>
      </c>
      <c r="L110" s="2">
        <v>0</v>
      </c>
      <c r="M110" s="2">
        <v>10</v>
      </c>
      <c r="N110" s="2">
        <v>10</v>
      </c>
      <c r="O110" s="2">
        <v>5</v>
      </c>
      <c r="P110" s="2">
        <v>10</v>
      </c>
      <c r="Q110" s="2" t="s">
        <v>3487</v>
      </c>
      <c r="R110" s="2" t="s">
        <v>3488</v>
      </c>
      <c r="S110" s="4">
        <v>44958</v>
      </c>
    </row>
    <row r="111" spans="1:19" ht="12.5" x14ac:dyDescent="0.25">
      <c r="A111" s="14" t="str">
        <f>HYPERLINK("https://gerandofalcoes.my.salesforce.com/0014X00002YgbkgQAB", "0014X00002YgbkgQAB")</f>
        <v>0014X00002YgbkgQAB</v>
      </c>
      <c r="B111" s="2" t="s">
        <v>3517</v>
      </c>
      <c r="C111" s="2" t="s">
        <v>423</v>
      </c>
      <c r="D111" s="2" t="s">
        <v>2</v>
      </c>
      <c r="E111" s="2"/>
      <c r="F111" s="2">
        <v>0</v>
      </c>
      <c r="G111" s="2">
        <v>0</v>
      </c>
      <c r="H111" s="2">
        <v>0</v>
      </c>
      <c r="I111" s="2">
        <v>0</v>
      </c>
      <c r="J111" s="2"/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 t="s">
        <v>3518</v>
      </c>
      <c r="R111" s="2" t="s">
        <v>3518</v>
      </c>
      <c r="S111" s="4">
        <v>44958</v>
      </c>
    </row>
    <row r="112" spans="1:19" ht="12.5" x14ac:dyDescent="0.25">
      <c r="A112" s="14" t="str">
        <f>HYPERLINK("https://gerandofalcoes.my.salesforce.com/0014X00002Yggh4QAB", "0014X00002Yggh4QAB")</f>
        <v>0014X00002Yggh4QAB</v>
      </c>
      <c r="B112" s="2" t="s">
        <v>3505</v>
      </c>
      <c r="C112" s="2" t="s">
        <v>423</v>
      </c>
      <c r="D112" s="2" t="s">
        <v>2</v>
      </c>
      <c r="E112" s="2"/>
      <c r="F112" s="2">
        <v>0</v>
      </c>
      <c r="G112" s="2">
        <v>2</v>
      </c>
      <c r="H112" s="2">
        <v>45000</v>
      </c>
      <c r="I112" s="2">
        <v>20</v>
      </c>
      <c r="J112" s="2"/>
      <c r="K112" s="2">
        <v>21</v>
      </c>
      <c r="L112" s="2">
        <v>0</v>
      </c>
      <c r="M112" s="2">
        <v>0</v>
      </c>
      <c r="N112" s="2">
        <v>6</v>
      </c>
      <c r="O112" s="2">
        <v>10</v>
      </c>
      <c r="P112" s="2">
        <v>5</v>
      </c>
      <c r="Q112" s="2" t="s">
        <v>3506</v>
      </c>
      <c r="R112" s="2" t="s">
        <v>3507</v>
      </c>
      <c r="S112" s="4">
        <v>44958</v>
      </c>
    </row>
    <row r="113" spans="1:19" ht="12.5" x14ac:dyDescent="0.25">
      <c r="A113" s="14" t="str">
        <f>HYPERLINK("https://gerandofalcoes.my.salesforce.com/0014X00002YggnyQAB", "0014X00002YggnyQAB")</f>
        <v>0014X00002YggnyQAB</v>
      </c>
      <c r="B113" s="2" t="s">
        <v>3519</v>
      </c>
      <c r="C113" s="2" t="s">
        <v>423</v>
      </c>
      <c r="D113" s="2" t="s">
        <v>2</v>
      </c>
      <c r="E113" s="2"/>
      <c r="F113" s="2">
        <v>25</v>
      </c>
      <c r="G113" s="2">
        <v>3</v>
      </c>
      <c r="H113" s="2">
        <v>49000</v>
      </c>
      <c r="I113" s="2">
        <v>0</v>
      </c>
      <c r="J113" s="2"/>
      <c r="K113" s="2">
        <v>30</v>
      </c>
      <c r="L113" s="2">
        <v>0</v>
      </c>
      <c r="M113" s="2">
        <v>12</v>
      </c>
      <c r="N113" s="2">
        <v>8</v>
      </c>
      <c r="O113" s="2">
        <v>10</v>
      </c>
      <c r="P113" s="2">
        <v>0</v>
      </c>
      <c r="Q113" s="2" t="s">
        <v>3520</v>
      </c>
      <c r="R113" s="2" t="s">
        <v>3521</v>
      </c>
      <c r="S113" s="4">
        <v>44958</v>
      </c>
    </row>
    <row r="114" spans="1:19" ht="12.5" x14ac:dyDescent="0.25">
      <c r="A114" s="14" t="str">
        <f>HYPERLINK("https://gerandofalcoes.my.salesforce.com/0014X00002Yggh5QAB", "0014X00002Yggh5QAB")</f>
        <v>0014X00002Yggh5QAB</v>
      </c>
      <c r="B114" s="2" t="s">
        <v>3397</v>
      </c>
      <c r="C114" s="2" t="s">
        <v>423</v>
      </c>
      <c r="D114" s="2" t="s">
        <v>2</v>
      </c>
      <c r="E114" s="2"/>
      <c r="F114" s="2">
        <v>0</v>
      </c>
      <c r="G114" s="2">
        <v>2</v>
      </c>
      <c r="H114" s="2">
        <v>300000</v>
      </c>
      <c r="I114" s="2">
        <v>500</v>
      </c>
      <c r="J114" s="2" t="s">
        <v>1671</v>
      </c>
      <c r="K114" s="2">
        <v>46</v>
      </c>
      <c r="L114" s="2">
        <v>0</v>
      </c>
      <c r="M114" s="2">
        <v>0</v>
      </c>
      <c r="N114" s="2">
        <v>6</v>
      </c>
      <c r="O114" s="2">
        <v>20</v>
      </c>
      <c r="P114" s="2">
        <v>20</v>
      </c>
      <c r="Q114" s="2" t="s">
        <v>3398</v>
      </c>
      <c r="R114" s="2" t="s">
        <v>3399</v>
      </c>
      <c r="S114" s="4">
        <v>44958</v>
      </c>
    </row>
    <row r="115" spans="1:19" ht="12.5" x14ac:dyDescent="0.25">
      <c r="A115" s="14" t="str">
        <f>HYPERLINK("https://gerandofalcoes.my.salesforce.com/0014X00002YgghlQAB", "0014X00002YgghlQAB")</f>
        <v>0014X00002YgghlQAB</v>
      </c>
      <c r="B115" s="2" t="s">
        <v>3458</v>
      </c>
      <c r="C115" s="2" t="s">
        <v>423</v>
      </c>
      <c r="D115" s="2" t="s">
        <v>2</v>
      </c>
      <c r="E115" s="2"/>
      <c r="F115" s="2">
        <v>4</v>
      </c>
      <c r="G115" s="2">
        <v>5</v>
      </c>
      <c r="H115" s="2">
        <v>4000</v>
      </c>
      <c r="I115" s="2">
        <v>0</v>
      </c>
      <c r="J115" s="2"/>
      <c r="K115" s="2">
        <v>20</v>
      </c>
      <c r="L115" s="2">
        <v>0</v>
      </c>
      <c r="M115" s="2">
        <v>5</v>
      </c>
      <c r="N115" s="2">
        <v>10</v>
      </c>
      <c r="O115" s="2">
        <v>5</v>
      </c>
      <c r="P115" s="2">
        <v>0</v>
      </c>
      <c r="Q115" s="2" t="s">
        <v>3459</v>
      </c>
      <c r="R115" s="2" t="s">
        <v>3460</v>
      </c>
      <c r="S115" s="4">
        <v>44958</v>
      </c>
    </row>
    <row r="116" spans="1:19" ht="12.5" x14ac:dyDescent="0.25">
      <c r="A116" s="14" t="str">
        <f>HYPERLINK("https://gerandofalcoes.my.salesforce.com/0014X00002YggjDQAR", "0014X00002YggjDQAR")</f>
        <v>0014X00002YggjDQAR</v>
      </c>
      <c r="B116" s="2" t="s">
        <v>3419</v>
      </c>
      <c r="C116" s="2" t="s">
        <v>423</v>
      </c>
      <c r="D116" s="2" t="s">
        <v>2</v>
      </c>
      <c r="E116" s="2"/>
      <c r="F116" s="2">
        <v>6</v>
      </c>
      <c r="G116" s="2">
        <v>4</v>
      </c>
      <c r="H116" s="2">
        <v>2000</v>
      </c>
      <c r="I116" s="2">
        <v>60</v>
      </c>
      <c r="J116" s="2"/>
      <c r="K116" s="2">
        <v>30</v>
      </c>
      <c r="L116" s="2">
        <v>0</v>
      </c>
      <c r="M116" s="2">
        <v>10</v>
      </c>
      <c r="N116" s="2">
        <v>10</v>
      </c>
      <c r="O116" s="2">
        <v>5</v>
      </c>
      <c r="P116" s="2">
        <v>5</v>
      </c>
      <c r="Q116" s="2" t="s">
        <v>3420</v>
      </c>
      <c r="R116" s="2" t="s">
        <v>3420</v>
      </c>
      <c r="S116" s="4">
        <v>44958</v>
      </c>
    </row>
    <row r="117" spans="1:19" ht="12.5" x14ac:dyDescent="0.25">
      <c r="A117" s="14" t="str">
        <f>HYPERLINK("https://gerandofalcoes.my.salesforce.com/0014X00002YgggdQAB", "0014X00002YgggdQAB")</f>
        <v>0014X00002YgggdQAB</v>
      </c>
      <c r="B117" s="2" t="s">
        <v>3492</v>
      </c>
      <c r="C117" s="2" t="s">
        <v>423</v>
      </c>
      <c r="D117" s="2" t="s">
        <v>2</v>
      </c>
      <c r="E117" s="2"/>
      <c r="F117" s="2">
        <v>0</v>
      </c>
      <c r="G117" s="2">
        <v>2</v>
      </c>
      <c r="H117" s="2">
        <v>6000</v>
      </c>
      <c r="I117" s="2">
        <v>52</v>
      </c>
      <c r="J117" s="2"/>
      <c r="K117" s="2">
        <v>16</v>
      </c>
      <c r="L117" s="2">
        <v>0</v>
      </c>
      <c r="M117" s="2">
        <v>0</v>
      </c>
      <c r="N117" s="2">
        <v>6</v>
      </c>
      <c r="O117" s="2">
        <v>5</v>
      </c>
      <c r="P117" s="2">
        <v>5</v>
      </c>
      <c r="Q117" s="2" t="s">
        <v>3493</v>
      </c>
      <c r="R117" s="2" t="s">
        <v>3493</v>
      </c>
      <c r="S117" s="4">
        <v>44958</v>
      </c>
    </row>
    <row r="118" spans="1:19" ht="12.5" x14ac:dyDescent="0.25">
      <c r="A118" s="14" t="str">
        <f>HYPERLINK("https://gerandofalcoes.my.salesforce.com/0014X00002YggmhQAB", "0014X00002YggmhQAB")</f>
        <v>0014X00002YggmhQAB</v>
      </c>
      <c r="B118" s="2" t="s">
        <v>3442</v>
      </c>
      <c r="C118" s="2" t="s">
        <v>423</v>
      </c>
      <c r="D118" s="2" t="s">
        <v>2</v>
      </c>
      <c r="E118" s="2"/>
      <c r="F118" s="2">
        <v>0</v>
      </c>
      <c r="G118" s="2">
        <v>3</v>
      </c>
      <c r="H118" s="2">
        <v>100000</v>
      </c>
      <c r="I118" s="2">
        <v>200</v>
      </c>
      <c r="J118" s="2"/>
      <c r="K118" s="2">
        <v>35</v>
      </c>
      <c r="L118" s="2">
        <v>0</v>
      </c>
      <c r="M118" s="2">
        <v>0</v>
      </c>
      <c r="N118" s="2">
        <v>8</v>
      </c>
      <c r="O118" s="2">
        <v>15</v>
      </c>
      <c r="P118" s="2">
        <v>12</v>
      </c>
      <c r="Q118" s="2" t="s">
        <v>3443</v>
      </c>
      <c r="R118" s="2" t="s">
        <v>3443</v>
      </c>
      <c r="S118" s="4">
        <v>44958</v>
      </c>
    </row>
    <row r="119" spans="1:19" ht="12.5" x14ac:dyDescent="0.25">
      <c r="A119" s="14" t="str">
        <f>HYPERLINK("https://gerandofalcoes.my.salesforce.com/0014X00002YgggjQAB", "0014X00002YgggjQAB")</f>
        <v>0014X00002YgggjQAB</v>
      </c>
      <c r="B119" s="2" t="s">
        <v>3481</v>
      </c>
      <c r="C119" s="2" t="s">
        <v>423</v>
      </c>
      <c r="D119" s="2" t="s">
        <v>2</v>
      </c>
      <c r="E119" s="2"/>
      <c r="F119" s="2">
        <v>0</v>
      </c>
      <c r="G119" s="2">
        <v>2</v>
      </c>
      <c r="H119" s="2">
        <v>200000</v>
      </c>
      <c r="I119" s="2">
        <v>198</v>
      </c>
      <c r="J119" s="2"/>
      <c r="K119" s="2">
        <v>33</v>
      </c>
      <c r="L119" s="2">
        <v>0</v>
      </c>
      <c r="M119" s="2">
        <v>0</v>
      </c>
      <c r="N119" s="2">
        <v>6</v>
      </c>
      <c r="O119" s="2">
        <v>15</v>
      </c>
      <c r="P119" s="2">
        <v>12</v>
      </c>
      <c r="Q119" s="2" t="s">
        <v>3482</v>
      </c>
      <c r="R119" s="2" t="s">
        <v>3483</v>
      </c>
      <c r="S119" s="4">
        <v>44958</v>
      </c>
    </row>
    <row r="120" spans="1:19" ht="12.5" x14ac:dyDescent="0.25">
      <c r="A120" s="14" t="str">
        <f>HYPERLINK("https://gerandofalcoes.my.salesforce.com/0014X00002bCk8nQAC", "0014X00002bCk8nQAC")</f>
        <v>0014X00002bCk8nQAC</v>
      </c>
      <c r="B120" s="2" t="s">
        <v>3479</v>
      </c>
      <c r="C120" s="2" t="s">
        <v>423</v>
      </c>
      <c r="D120" s="2" t="s">
        <v>2</v>
      </c>
      <c r="E120" s="2"/>
      <c r="F120" s="2">
        <v>0</v>
      </c>
      <c r="G120" s="2">
        <v>2</v>
      </c>
      <c r="H120" s="2">
        <v>5000</v>
      </c>
      <c r="I120" s="2">
        <v>200</v>
      </c>
      <c r="J120" s="2"/>
      <c r="K120" s="2">
        <v>23</v>
      </c>
      <c r="L120" s="2">
        <v>0</v>
      </c>
      <c r="M120" s="2">
        <v>0</v>
      </c>
      <c r="N120" s="2">
        <v>6</v>
      </c>
      <c r="O120" s="2">
        <v>5</v>
      </c>
      <c r="P120" s="2">
        <v>12</v>
      </c>
      <c r="Q120" s="2" t="s">
        <v>3480</v>
      </c>
      <c r="R120" s="2" t="s">
        <v>3480</v>
      </c>
      <c r="S120" s="4">
        <v>44958</v>
      </c>
    </row>
    <row r="121" spans="1:19" ht="12.5" x14ac:dyDescent="0.25">
      <c r="A121" s="14" t="str">
        <f>HYPERLINK("https://gerandofalcoes.my.salesforce.com/0014X00002YggocQAB", "0014X00002YggocQAB")</f>
        <v>0014X00002YggocQAB</v>
      </c>
      <c r="B121" s="2" t="s">
        <v>3432</v>
      </c>
      <c r="C121" s="2" t="s">
        <v>423</v>
      </c>
      <c r="D121" s="2" t="s">
        <v>2</v>
      </c>
      <c r="E121" s="2"/>
      <c r="F121" s="2">
        <v>0</v>
      </c>
      <c r="G121" s="2">
        <v>3</v>
      </c>
      <c r="H121" s="2">
        <v>5000</v>
      </c>
      <c r="I121" s="2">
        <v>150</v>
      </c>
      <c r="J121" s="2"/>
      <c r="K121" s="2">
        <v>25</v>
      </c>
      <c r="L121" s="2">
        <v>0</v>
      </c>
      <c r="M121" s="2">
        <v>0</v>
      </c>
      <c r="N121" s="2">
        <v>8</v>
      </c>
      <c r="O121" s="2">
        <v>5</v>
      </c>
      <c r="P121" s="2">
        <v>12</v>
      </c>
      <c r="Q121" s="2" t="s">
        <v>3433</v>
      </c>
      <c r="R121" s="2" t="s">
        <v>3434</v>
      </c>
      <c r="S121" s="4">
        <v>44958</v>
      </c>
    </row>
    <row r="122" spans="1:19" ht="12.5" x14ac:dyDescent="0.25">
      <c r="A122" s="14" t="str">
        <f>HYPERLINK("https://gerandofalcoes.my.salesforce.com/0014X00002YggnNQAR", "0014X00002YggnNQAR")</f>
        <v>0014X00002YggnNQAR</v>
      </c>
      <c r="B122" s="2" t="s">
        <v>3403</v>
      </c>
      <c r="C122" s="2" t="s">
        <v>423</v>
      </c>
      <c r="D122" s="2" t="s">
        <v>2</v>
      </c>
      <c r="E122" s="2"/>
      <c r="F122" s="2">
        <v>5</v>
      </c>
      <c r="G122" s="2">
        <v>2</v>
      </c>
      <c r="H122" s="2">
        <v>5400</v>
      </c>
      <c r="I122" s="2">
        <v>0</v>
      </c>
      <c r="J122" s="2"/>
      <c r="K122" s="2">
        <v>16</v>
      </c>
      <c r="L122" s="2">
        <v>0</v>
      </c>
      <c r="M122" s="2">
        <v>5</v>
      </c>
      <c r="N122" s="2">
        <v>6</v>
      </c>
      <c r="O122" s="2">
        <v>5</v>
      </c>
      <c r="P122" s="2">
        <v>0</v>
      </c>
      <c r="Q122" s="2" t="s">
        <v>3404</v>
      </c>
      <c r="R122" s="2" t="s">
        <v>3404</v>
      </c>
      <c r="S122" s="4">
        <v>44958</v>
      </c>
    </row>
    <row r="123" spans="1:19" ht="12.5" x14ac:dyDescent="0.25">
      <c r="A123" s="14" t="str">
        <f>HYPERLINK("https://gerandofalcoes.my.salesforce.com/0014X00002YggnCQAR", "0014X00002YggnCQAR")</f>
        <v>0014X00002YggnCQAR</v>
      </c>
      <c r="B123" s="2" t="s">
        <v>3427</v>
      </c>
      <c r="C123" s="2" t="s">
        <v>423</v>
      </c>
      <c r="D123" s="2" t="s">
        <v>2</v>
      </c>
      <c r="E123" s="2"/>
      <c r="F123" s="2">
        <v>10</v>
      </c>
      <c r="G123" s="2">
        <v>6</v>
      </c>
      <c r="H123" s="2">
        <v>11000</v>
      </c>
      <c r="I123" s="2">
        <v>30</v>
      </c>
      <c r="J123" s="2"/>
      <c r="K123" s="2">
        <v>30</v>
      </c>
      <c r="L123" s="2">
        <v>0</v>
      </c>
      <c r="M123" s="2">
        <v>10</v>
      </c>
      <c r="N123" s="2">
        <v>10</v>
      </c>
      <c r="O123" s="2">
        <v>5</v>
      </c>
      <c r="P123" s="2">
        <v>5</v>
      </c>
      <c r="Q123" s="2" t="s">
        <v>3428</v>
      </c>
      <c r="R123" s="2" t="s">
        <v>3428</v>
      </c>
      <c r="S123" s="4">
        <v>44958</v>
      </c>
    </row>
    <row r="124" spans="1:19" ht="12.5" x14ac:dyDescent="0.25">
      <c r="A124" s="14" t="str">
        <f>HYPERLINK("https://gerandofalcoes.my.salesforce.com/0014X00002YggqaQAB", "0014X00002YggqaQAB")</f>
        <v>0014X00002YggqaQAB</v>
      </c>
      <c r="B124" s="2" t="s">
        <v>3424</v>
      </c>
      <c r="C124" s="2" t="s">
        <v>423</v>
      </c>
      <c r="D124" s="2" t="s">
        <v>2</v>
      </c>
      <c r="E124" s="2"/>
      <c r="F124" s="2">
        <v>0</v>
      </c>
      <c r="G124" s="2">
        <v>2</v>
      </c>
      <c r="H124" s="2">
        <v>2000</v>
      </c>
      <c r="I124" s="2">
        <v>400</v>
      </c>
      <c r="J124" s="2"/>
      <c r="K124" s="2">
        <v>26</v>
      </c>
      <c r="L124" s="2">
        <v>0</v>
      </c>
      <c r="M124" s="2">
        <v>0</v>
      </c>
      <c r="N124" s="2">
        <v>6</v>
      </c>
      <c r="O124" s="2">
        <v>5</v>
      </c>
      <c r="P124" s="2">
        <v>15</v>
      </c>
      <c r="Q124" s="2" t="s">
        <v>3425</v>
      </c>
      <c r="R124" s="2" t="s">
        <v>3426</v>
      </c>
      <c r="S124" s="4">
        <v>44958</v>
      </c>
    </row>
    <row r="125" spans="1:19" ht="12.5" x14ac:dyDescent="0.25">
      <c r="A125" s="14" t="str">
        <f>HYPERLINK("https://gerandofalcoes.my.salesforce.com/0014X00002YggqqQAB", "0014X00002YggqqQAB")</f>
        <v>0014X00002YggqqQAB</v>
      </c>
      <c r="B125" s="2" t="s">
        <v>3503</v>
      </c>
      <c r="C125" s="2" t="s">
        <v>423</v>
      </c>
      <c r="D125" s="2" t="s">
        <v>2</v>
      </c>
      <c r="E125" s="2"/>
      <c r="F125" s="2">
        <v>1</v>
      </c>
      <c r="G125" s="2">
        <v>2</v>
      </c>
      <c r="H125" s="2">
        <v>5000</v>
      </c>
      <c r="I125" s="2">
        <v>25</v>
      </c>
      <c r="J125" s="2"/>
      <c r="K125" s="2">
        <v>21</v>
      </c>
      <c r="L125" s="2">
        <v>0</v>
      </c>
      <c r="M125" s="2">
        <v>5</v>
      </c>
      <c r="N125" s="2">
        <v>6</v>
      </c>
      <c r="O125" s="2">
        <v>5</v>
      </c>
      <c r="P125" s="2">
        <v>5</v>
      </c>
      <c r="Q125" s="2" t="s">
        <v>3504</v>
      </c>
      <c r="R125" s="2" t="s">
        <v>3504</v>
      </c>
      <c r="S125" s="4">
        <v>44958</v>
      </c>
    </row>
    <row r="126" spans="1:19" ht="12.5" x14ac:dyDescent="0.25">
      <c r="A126" s="14" t="str">
        <f>HYPERLINK("https://gerandofalcoes.my.salesforce.com/0014X00002YggqvQAB", "0014X00002YggqvQAB")</f>
        <v>0014X00002YggqvQAB</v>
      </c>
      <c r="B126" s="2" t="s">
        <v>3435</v>
      </c>
      <c r="C126" s="2" t="s">
        <v>423</v>
      </c>
      <c r="D126" s="2" t="s">
        <v>2</v>
      </c>
      <c r="E126" s="2"/>
      <c r="F126" s="2">
        <v>0</v>
      </c>
      <c r="G126" s="2">
        <v>3</v>
      </c>
      <c r="H126" s="2">
        <v>24000</v>
      </c>
      <c r="I126" s="2">
        <v>0</v>
      </c>
      <c r="J126" s="2"/>
      <c r="K126" s="2">
        <v>13</v>
      </c>
      <c r="L126" s="2">
        <v>0</v>
      </c>
      <c r="M126" s="2">
        <v>0</v>
      </c>
      <c r="N126" s="2">
        <v>8</v>
      </c>
      <c r="O126" s="2">
        <v>5</v>
      </c>
      <c r="P126" s="2">
        <v>0</v>
      </c>
      <c r="Q126" s="2" t="s">
        <v>3436</v>
      </c>
      <c r="R126" s="2" t="s">
        <v>3437</v>
      </c>
      <c r="S126" s="4">
        <v>44958</v>
      </c>
    </row>
    <row r="127" spans="1:19" ht="12.5" x14ac:dyDescent="0.25">
      <c r="A127" s="14" t="str">
        <f>HYPERLINK("https://gerandofalcoes.my.salesforce.com/0014X00002YgggWQAR", "0014X00002YgggWQAR")</f>
        <v>0014X00002YgggWQAR</v>
      </c>
      <c r="B127" s="2" t="s">
        <v>3476</v>
      </c>
      <c r="C127" s="2" t="s">
        <v>423</v>
      </c>
      <c r="D127" s="2" t="s">
        <v>2</v>
      </c>
      <c r="E127" s="2"/>
      <c r="F127" s="2">
        <v>0</v>
      </c>
      <c r="G127" s="2">
        <v>2</v>
      </c>
      <c r="H127" s="2">
        <v>0</v>
      </c>
      <c r="I127" s="2">
        <v>250</v>
      </c>
      <c r="J127" s="2"/>
      <c r="K127" s="2">
        <v>18</v>
      </c>
      <c r="L127" s="2">
        <v>0</v>
      </c>
      <c r="M127" s="2">
        <v>0</v>
      </c>
      <c r="N127" s="2">
        <v>6</v>
      </c>
      <c r="O127" s="2">
        <v>0</v>
      </c>
      <c r="P127" s="2">
        <v>12</v>
      </c>
      <c r="Q127" s="2" t="s">
        <v>3477</v>
      </c>
      <c r="R127" s="2" t="s">
        <v>3478</v>
      </c>
      <c r="S127" s="4">
        <v>44958</v>
      </c>
    </row>
    <row r="128" spans="1:19" ht="12.5" x14ac:dyDescent="0.25">
      <c r="A128" s="14" t="str">
        <f>HYPERLINK("https://gerandofalcoes.my.salesforce.com/0014X00002YggmkQAB", "0014X00002YggmkQAB")</f>
        <v>0014X00002YggmkQAB</v>
      </c>
      <c r="B128" s="2" t="s">
        <v>3408</v>
      </c>
      <c r="C128" s="2" t="s">
        <v>423</v>
      </c>
      <c r="D128" s="2" t="s">
        <v>2</v>
      </c>
      <c r="E128" s="2"/>
      <c r="F128" s="2">
        <v>8</v>
      </c>
      <c r="G128" s="2">
        <v>6</v>
      </c>
      <c r="H128" s="2">
        <v>30000</v>
      </c>
      <c r="I128" s="2">
        <v>80</v>
      </c>
      <c r="J128" s="2"/>
      <c r="K128" s="2">
        <v>40</v>
      </c>
      <c r="L128" s="2">
        <v>0</v>
      </c>
      <c r="M128" s="2">
        <v>10</v>
      </c>
      <c r="N128" s="2">
        <v>10</v>
      </c>
      <c r="O128" s="2">
        <v>10</v>
      </c>
      <c r="P128" s="2">
        <v>10</v>
      </c>
      <c r="Q128" s="2" t="s">
        <v>3409</v>
      </c>
      <c r="R128" s="2" t="s">
        <v>3409</v>
      </c>
      <c r="S128" s="4">
        <v>44958</v>
      </c>
    </row>
    <row r="129" spans="1:19" ht="12.5" x14ac:dyDescent="0.25">
      <c r="A129" s="14" t="str">
        <f>HYPERLINK("https://gerandofalcoes.my.salesforce.com/0014X00002YgghyQAB", "0014X00002YgghyQAB")</f>
        <v>0014X00002YgghyQAB</v>
      </c>
      <c r="B129" s="2" t="s">
        <v>3421</v>
      </c>
      <c r="C129" s="2" t="s">
        <v>423</v>
      </c>
      <c r="D129" s="2" t="s">
        <v>2</v>
      </c>
      <c r="E129" s="2"/>
      <c r="F129" s="2">
        <v>3</v>
      </c>
      <c r="G129" s="2">
        <v>4</v>
      </c>
      <c r="H129" s="2">
        <v>50000</v>
      </c>
      <c r="I129" s="2">
        <v>100</v>
      </c>
      <c r="J129" s="2"/>
      <c r="K129" s="2">
        <v>35</v>
      </c>
      <c r="L129" s="2">
        <v>0</v>
      </c>
      <c r="M129" s="2">
        <v>5</v>
      </c>
      <c r="N129" s="2">
        <v>10</v>
      </c>
      <c r="O129" s="2">
        <v>10</v>
      </c>
      <c r="P129" s="2">
        <v>10</v>
      </c>
      <c r="Q129" s="2" t="s">
        <v>3422</v>
      </c>
      <c r="R129" s="2" t="s">
        <v>3423</v>
      </c>
      <c r="S129" s="4">
        <v>44958</v>
      </c>
    </row>
    <row r="130" spans="1:19" ht="12.5" x14ac:dyDescent="0.25">
      <c r="A130" s="14" t="str">
        <f>HYPERLINK("https://gerandofalcoes.my.salesforce.com/0014X00002Yggp8QAB", "0014X00002Yggp8QAB")</f>
        <v>0014X00002Yggp8QAB</v>
      </c>
      <c r="B130" s="2" t="s">
        <v>3508</v>
      </c>
      <c r="C130" s="2" t="s">
        <v>423</v>
      </c>
      <c r="D130" s="2" t="s">
        <v>2</v>
      </c>
      <c r="E130" s="2"/>
      <c r="F130" s="2">
        <v>17</v>
      </c>
      <c r="G130" s="2">
        <v>5</v>
      </c>
      <c r="H130" s="2">
        <v>75898</v>
      </c>
      <c r="I130" s="2">
        <v>15</v>
      </c>
      <c r="J130" s="2"/>
      <c r="K130" s="2">
        <v>37</v>
      </c>
      <c r="L130" s="2">
        <v>0</v>
      </c>
      <c r="M130" s="2">
        <v>12</v>
      </c>
      <c r="N130" s="2">
        <v>10</v>
      </c>
      <c r="O130" s="2">
        <v>10</v>
      </c>
      <c r="P130" s="2">
        <v>5</v>
      </c>
      <c r="Q130" s="2" t="s">
        <v>3509</v>
      </c>
      <c r="R130" s="2" t="s">
        <v>3509</v>
      </c>
      <c r="S130" s="4">
        <v>44958</v>
      </c>
    </row>
    <row r="131" spans="1:19" ht="12.5" x14ac:dyDescent="0.25">
      <c r="A131" s="14" t="str">
        <f>HYPERLINK("https://gerandofalcoes.my.salesforce.com/0014X00002YgglUQAR", "0014X00002YgglUQAR")</f>
        <v>0014X00002YgglUQAR</v>
      </c>
      <c r="B131" s="2" t="s">
        <v>3473</v>
      </c>
      <c r="C131" s="2" t="s">
        <v>423</v>
      </c>
      <c r="D131" s="2" t="s">
        <v>2</v>
      </c>
      <c r="E131" s="2"/>
      <c r="F131" s="2">
        <v>0</v>
      </c>
      <c r="G131" s="2">
        <v>2</v>
      </c>
      <c r="H131" s="2">
        <v>0</v>
      </c>
      <c r="I131" s="2">
        <v>0</v>
      </c>
      <c r="J131" s="2"/>
      <c r="K131" s="2">
        <v>6</v>
      </c>
      <c r="L131" s="2">
        <v>0</v>
      </c>
      <c r="M131" s="2">
        <v>0</v>
      </c>
      <c r="N131" s="2">
        <v>6</v>
      </c>
      <c r="O131" s="2">
        <v>0</v>
      </c>
      <c r="P131" s="2">
        <v>0</v>
      </c>
      <c r="Q131" s="2" t="s">
        <v>3474</v>
      </c>
      <c r="R131" s="2" t="s">
        <v>3475</v>
      </c>
      <c r="S131" s="4">
        <v>44958</v>
      </c>
    </row>
    <row r="132" spans="1:19" ht="12.5" x14ac:dyDescent="0.25">
      <c r="A132" s="14" t="str">
        <f>HYPERLINK("https://gerandofalcoes.my.salesforce.com/0014X00002YggkQQAR", "0014X00002YggkQQAR")</f>
        <v>0014X00002YggkQQAR</v>
      </c>
      <c r="B132" s="2" t="s">
        <v>3461</v>
      </c>
      <c r="C132" s="2" t="s">
        <v>423</v>
      </c>
      <c r="D132" s="2" t="s">
        <v>2</v>
      </c>
      <c r="E132" s="2"/>
      <c r="F132" s="2">
        <v>5</v>
      </c>
      <c r="G132" s="2">
        <v>5</v>
      </c>
      <c r="H132" s="2">
        <v>3000</v>
      </c>
      <c r="I132" s="2">
        <v>250</v>
      </c>
      <c r="J132" s="2"/>
      <c r="K132" s="2">
        <v>32</v>
      </c>
      <c r="L132" s="2">
        <v>0</v>
      </c>
      <c r="M132" s="2">
        <v>5</v>
      </c>
      <c r="N132" s="2">
        <v>10</v>
      </c>
      <c r="O132" s="2">
        <v>5</v>
      </c>
      <c r="P132" s="2">
        <v>12</v>
      </c>
      <c r="Q132" s="2" t="s">
        <v>3462</v>
      </c>
      <c r="R132" s="2" t="s">
        <v>3463</v>
      </c>
      <c r="S132" s="4">
        <v>44958</v>
      </c>
    </row>
    <row r="133" spans="1:19" ht="12.5" x14ac:dyDescent="0.25">
      <c r="A133" s="14" t="str">
        <f>HYPERLINK("https://gerandofalcoes.my.salesforce.com/0014X00002Yggn8QAB", "0014X00002Yggn8QAB")</f>
        <v>0014X00002Yggn8QAB</v>
      </c>
      <c r="B133" s="2" t="s">
        <v>3497</v>
      </c>
      <c r="C133" s="2" t="s">
        <v>423</v>
      </c>
      <c r="D133" s="2" t="s">
        <v>2</v>
      </c>
      <c r="E133" s="2"/>
      <c r="F133" s="2">
        <v>0</v>
      </c>
      <c r="G133" s="2">
        <v>2</v>
      </c>
      <c r="H133" s="2">
        <v>0</v>
      </c>
      <c r="I133" s="2">
        <v>30</v>
      </c>
      <c r="J133" s="2"/>
      <c r="K133" s="2">
        <v>11</v>
      </c>
      <c r="L133" s="2">
        <v>0</v>
      </c>
      <c r="M133" s="2">
        <v>0</v>
      </c>
      <c r="N133" s="2">
        <v>6</v>
      </c>
      <c r="O133" s="2">
        <v>0</v>
      </c>
      <c r="P133" s="2">
        <v>5</v>
      </c>
      <c r="Q133" s="2" t="s">
        <v>3498</v>
      </c>
      <c r="R133" s="2" t="s">
        <v>3499</v>
      </c>
      <c r="S133" s="4">
        <v>44958</v>
      </c>
    </row>
    <row r="134" spans="1:19" ht="12.5" x14ac:dyDescent="0.25">
      <c r="A134" s="14" t="str">
        <f>HYPERLINK("https://gerandofalcoes.my.salesforce.com/0014X00002YggpTQAR", "0014X00002YggpTQAR")</f>
        <v>0014X00002YggpTQAR</v>
      </c>
      <c r="B134" s="2" t="s">
        <v>3438</v>
      </c>
      <c r="C134" s="2" t="s">
        <v>423</v>
      </c>
      <c r="D134" s="2" t="s">
        <v>2</v>
      </c>
      <c r="E134" s="2"/>
      <c r="F134" s="2">
        <v>0</v>
      </c>
      <c r="G134" s="2">
        <v>2</v>
      </c>
      <c r="H134" s="2">
        <v>0</v>
      </c>
      <c r="I134" s="2">
        <v>0</v>
      </c>
      <c r="J134" s="2"/>
      <c r="K134" s="2">
        <v>6</v>
      </c>
      <c r="L134" s="2">
        <v>0</v>
      </c>
      <c r="M134" s="2">
        <v>0</v>
      </c>
      <c r="N134" s="2">
        <v>6</v>
      </c>
      <c r="O134" s="2">
        <v>0</v>
      </c>
      <c r="P134" s="2">
        <v>0</v>
      </c>
      <c r="Q134" s="2" t="s">
        <v>3439</v>
      </c>
      <c r="R134" s="2" t="s">
        <v>3439</v>
      </c>
      <c r="S134" s="4">
        <v>44958</v>
      </c>
    </row>
    <row r="135" spans="1:19" ht="12.5" x14ac:dyDescent="0.25">
      <c r="A135" s="14" t="str">
        <f>HYPERLINK("https://gerandofalcoes.my.salesforce.com/0014X00002Yggm2QAB", "0014X00002Yggm2QAB")</f>
        <v>0014X00002Yggm2QAB</v>
      </c>
      <c r="B135" s="2" t="s">
        <v>3527</v>
      </c>
      <c r="C135" s="2" t="s">
        <v>423</v>
      </c>
      <c r="D135" s="2" t="s">
        <v>2</v>
      </c>
      <c r="E135" s="2"/>
      <c r="F135" s="2">
        <v>0</v>
      </c>
      <c r="G135" s="2">
        <v>2</v>
      </c>
      <c r="H135" s="2">
        <v>2000</v>
      </c>
      <c r="I135" s="2">
        <v>0</v>
      </c>
      <c r="J135" s="2"/>
      <c r="K135" s="2">
        <v>11</v>
      </c>
      <c r="L135" s="2">
        <v>0</v>
      </c>
      <c r="M135" s="2">
        <v>0</v>
      </c>
      <c r="N135" s="2">
        <v>6</v>
      </c>
      <c r="O135" s="2">
        <v>5</v>
      </c>
      <c r="P135" s="2">
        <v>0</v>
      </c>
      <c r="Q135" s="2" t="s">
        <v>3528</v>
      </c>
      <c r="R135" s="2" t="s">
        <v>3529</v>
      </c>
      <c r="S135" s="4">
        <v>44958</v>
      </c>
    </row>
    <row r="136" spans="1:19" ht="12.5" x14ac:dyDescent="0.25">
      <c r="A136" s="14" t="str">
        <f>HYPERLINK("https://gerandofalcoes.my.salesforce.com/0014X00002YggmuQAB", "0014X00002YggmuQAB")</f>
        <v>0014X00002YggmuQAB</v>
      </c>
      <c r="B136" s="2" t="s">
        <v>3464</v>
      </c>
      <c r="C136" s="2" t="s">
        <v>423</v>
      </c>
      <c r="D136" s="2" t="s">
        <v>2</v>
      </c>
      <c r="E136" s="2"/>
      <c r="F136" s="2">
        <v>0</v>
      </c>
      <c r="G136" s="2">
        <v>3</v>
      </c>
      <c r="H136" s="2">
        <v>11000</v>
      </c>
      <c r="I136" s="2">
        <v>67</v>
      </c>
      <c r="J136" s="2"/>
      <c r="K136" s="2">
        <v>18</v>
      </c>
      <c r="L136" s="2">
        <v>0</v>
      </c>
      <c r="M136" s="2">
        <v>0</v>
      </c>
      <c r="N136" s="2">
        <v>8</v>
      </c>
      <c r="O136" s="2">
        <v>5</v>
      </c>
      <c r="P136" s="2">
        <v>5</v>
      </c>
      <c r="Q136" s="2" t="s">
        <v>3465</v>
      </c>
      <c r="R136" s="2" t="s">
        <v>3466</v>
      </c>
      <c r="S136" s="4">
        <v>44958</v>
      </c>
    </row>
    <row r="137" spans="1:19" ht="12.5" x14ac:dyDescent="0.25">
      <c r="A137" s="14" t="str">
        <f>HYPERLINK("https://gerandofalcoes.my.salesforce.com/0014X00002YggqLQAR", "0014X00002YggqLQAR")</f>
        <v>0014X00002YggqLQAR</v>
      </c>
      <c r="B137" s="2" t="s">
        <v>3500</v>
      </c>
      <c r="C137" s="2" t="s">
        <v>423</v>
      </c>
      <c r="D137" s="2" t="s">
        <v>2</v>
      </c>
      <c r="E137" s="2"/>
      <c r="F137" s="2">
        <v>0</v>
      </c>
      <c r="G137" s="2">
        <v>2</v>
      </c>
      <c r="H137" s="2">
        <v>400</v>
      </c>
      <c r="I137" s="2">
        <v>30</v>
      </c>
      <c r="J137" s="2"/>
      <c r="K137" s="2">
        <v>16</v>
      </c>
      <c r="L137" s="2">
        <v>0</v>
      </c>
      <c r="M137" s="2">
        <v>0</v>
      </c>
      <c r="N137" s="2">
        <v>6</v>
      </c>
      <c r="O137" s="2">
        <v>5</v>
      </c>
      <c r="P137" s="2">
        <v>5</v>
      </c>
      <c r="Q137" s="2" t="s">
        <v>3501</v>
      </c>
      <c r="R137" s="2" t="s">
        <v>3502</v>
      </c>
      <c r="S137" s="4">
        <v>44958</v>
      </c>
    </row>
    <row r="138" spans="1:19" ht="12.5" x14ac:dyDescent="0.25">
      <c r="A138" s="14" t="str">
        <f>HYPERLINK("https://gerandofalcoes.my.salesforce.com/0014X00002Yggi1QAB", "0014X00002Yggi1QAB")</f>
        <v>0014X00002Yggi1QAB</v>
      </c>
      <c r="B138" s="2" t="s">
        <v>3444</v>
      </c>
      <c r="C138" s="2" t="s">
        <v>423</v>
      </c>
      <c r="D138" s="2" t="s">
        <v>2</v>
      </c>
      <c r="E138" s="2"/>
      <c r="F138" s="2">
        <v>0</v>
      </c>
      <c r="G138" s="2">
        <v>2</v>
      </c>
      <c r="H138" s="2">
        <v>500</v>
      </c>
      <c r="I138" s="2">
        <v>0</v>
      </c>
      <c r="J138" s="2"/>
      <c r="K138" s="2">
        <v>11</v>
      </c>
      <c r="L138" s="2">
        <v>0</v>
      </c>
      <c r="M138" s="2">
        <v>0</v>
      </c>
      <c r="N138" s="2">
        <v>6</v>
      </c>
      <c r="O138" s="2">
        <v>5</v>
      </c>
      <c r="P138" s="2">
        <v>0</v>
      </c>
      <c r="Q138" s="2" t="s">
        <v>3445</v>
      </c>
      <c r="R138" s="2" t="s">
        <v>3446</v>
      </c>
      <c r="S138" s="4">
        <v>44958</v>
      </c>
    </row>
    <row r="139" spans="1:19" ht="12.5" x14ac:dyDescent="0.25">
      <c r="A139" s="14" t="str">
        <f>HYPERLINK("https://gerandofalcoes.my.salesforce.com/0014X00002YggiHQAR", "0014X00002YggiHQAR")</f>
        <v>0014X00002YggiHQAR</v>
      </c>
      <c r="B139" s="2" t="s">
        <v>3410</v>
      </c>
      <c r="C139" s="2" t="s">
        <v>423</v>
      </c>
      <c r="D139" s="2" t="s">
        <v>2</v>
      </c>
      <c r="E139" s="2"/>
      <c r="F139" s="2">
        <v>3</v>
      </c>
      <c r="G139" s="2">
        <v>2</v>
      </c>
      <c r="H139" s="2">
        <v>198540</v>
      </c>
      <c r="I139" s="2">
        <v>30</v>
      </c>
      <c r="J139" s="2"/>
      <c r="K139" s="2">
        <v>31</v>
      </c>
      <c r="L139" s="2">
        <v>0</v>
      </c>
      <c r="M139" s="2">
        <v>5</v>
      </c>
      <c r="N139" s="2">
        <v>6</v>
      </c>
      <c r="O139" s="2">
        <v>15</v>
      </c>
      <c r="P139" s="2">
        <v>5</v>
      </c>
      <c r="Q139" s="2" t="s">
        <v>3411</v>
      </c>
      <c r="R139" s="2" t="s">
        <v>3412</v>
      </c>
      <c r="S139" s="4">
        <v>44958</v>
      </c>
    </row>
    <row r="140" spans="1:19" ht="12.5" x14ac:dyDescent="0.25">
      <c r="A140" s="14" t="str">
        <f>HYPERLINK("https://gerandofalcoes.my.salesforce.com/0014X00002YgbkZQAR", "0014X00002YgbkZQAR")</f>
        <v>0014X00002YgbkZQAR</v>
      </c>
      <c r="B140" s="2" t="s">
        <v>3455</v>
      </c>
      <c r="C140" s="2" t="s">
        <v>423</v>
      </c>
      <c r="D140" s="2" t="s">
        <v>2</v>
      </c>
      <c r="E140" s="2"/>
      <c r="F140" s="2">
        <v>0</v>
      </c>
      <c r="G140" s="2">
        <v>0</v>
      </c>
      <c r="H140" s="2">
        <v>0</v>
      </c>
      <c r="I140" s="2">
        <v>0</v>
      </c>
      <c r="J140" s="2"/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 t="s">
        <v>3456</v>
      </c>
      <c r="R140" s="2" t="s">
        <v>3457</v>
      </c>
      <c r="S140" s="4">
        <v>44958</v>
      </c>
    </row>
    <row r="141" spans="1:19" ht="12.5" x14ac:dyDescent="0.25">
      <c r="A141" s="14" t="str">
        <f>HYPERLINK("https://gerandofalcoes.my.salesforce.com/0014X00002YggkHQAR", "0014X00002YggkHQAR")</f>
        <v>0014X00002YggkHQAR</v>
      </c>
      <c r="B141" s="2" t="s">
        <v>3467</v>
      </c>
      <c r="C141" s="2" t="s">
        <v>423</v>
      </c>
      <c r="D141" s="2" t="s">
        <v>2</v>
      </c>
      <c r="E141" s="2"/>
      <c r="F141" s="2">
        <v>0</v>
      </c>
      <c r="G141" s="2">
        <v>5</v>
      </c>
      <c r="H141" s="2">
        <v>8000</v>
      </c>
      <c r="I141" s="2">
        <v>0</v>
      </c>
      <c r="J141" s="2"/>
      <c r="K141" s="2">
        <v>15</v>
      </c>
      <c r="L141" s="2">
        <v>0</v>
      </c>
      <c r="M141" s="2">
        <v>0</v>
      </c>
      <c r="N141" s="2">
        <v>10</v>
      </c>
      <c r="O141" s="2">
        <v>5</v>
      </c>
      <c r="P141" s="2">
        <v>0</v>
      </c>
      <c r="Q141" s="2" t="s">
        <v>3468</v>
      </c>
      <c r="R141" s="2" t="s">
        <v>3469</v>
      </c>
      <c r="S141" s="4">
        <v>44958</v>
      </c>
    </row>
    <row r="142" spans="1:19" ht="12.5" x14ac:dyDescent="0.25">
      <c r="A142" s="14" t="str">
        <f>HYPERLINK("https://gerandofalcoes.my.salesforce.com/0014X00002YggmxQAB", "0014X00002YggmxQAB")</f>
        <v>0014X00002YggmxQAB</v>
      </c>
      <c r="B142" s="2" t="s">
        <v>3429</v>
      </c>
      <c r="C142" s="2" t="s">
        <v>423</v>
      </c>
      <c r="D142" s="2" t="s">
        <v>2</v>
      </c>
      <c r="E142" s="2"/>
      <c r="F142" s="2">
        <v>0</v>
      </c>
      <c r="G142" s="2">
        <v>2</v>
      </c>
      <c r="H142" s="2">
        <v>30000</v>
      </c>
      <c r="I142" s="2">
        <v>120</v>
      </c>
      <c r="J142" s="2"/>
      <c r="K142" s="2">
        <v>26</v>
      </c>
      <c r="L142" s="2">
        <v>0</v>
      </c>
      <c r="M142" s="2">
        <v>0</v>
      </c>
      <c r="N142" s="2">
        <v>6</v>
      </c>
      <c r="O142" s="2">
        <v>10</v>
      </c>
      <c r="P142" s="2">
        <v>10</v>
      </c>
      <c r="Q142" s="2" t="s">
        <v>3430</v>
      </c>
      <c r="R142" s="2" t="s">
        <v>3431</v>
      </c>
      <c r="S142" s="4">
        <v>44958</v>
      </c>
    </row>
    <row r="143" spans="1:19" ht="12.5" x14ac:dyDescent="0.25">
      <c r="A143" s="14" t="str">
        <f>HYPERLINK("https://gerandofalcoes.my.salesforce.com/0014X00002YggqsQAB", "0014X00002YggqsQAB")</f>
        <v>0014X00002YggqsQAB</v>
      </c>
      <c r="B143" s="2" t="s">
        <v>3395</v>
      </c>
      <c r="C143" s="2" t="s">
        <v>423</v>
      </c>
      <c r="D143" s="2" t="s">
        <v>2</v>
      </c>
      <c r="E143" s="2"/>
      <c r="F143" s="2">
        <v>230</v>
      </c>
      <c r="G143" s="2">
        <v>3</v>
      </c>
      <c r="H143" s="2">
        <v>10000</v>
      </c>
      <c r="I143" s="2">
        <v>180</v>
      </c>
      <c r="J143" s="2"/>
      <c r="K143" s="2">
        <v>40</v>
      </c>
      <c r="L143" s="2">
        <v>0</v>
      </c>
      <c r="M143" s="2">
        <v>15</v>
      </c>
      <c r="N143" s="2">
        <v>8</v>
      </c>
      <c r="O143" s="2">
        <v>5</v>
      </c>
      <c r="P143" s="2">
        <v>12</v>
      </c>
      <c r="Q143" s="2" t="s">
        <v>3396</v>
      </c>
      <c r="R143" s="2" t="s">
        <v>3396</v>
      </c>
      <c r="S143" s="4">
        <v>44958</v>
      </c>
    </row>
    <row r="144" spans="1:19" ht="12.5" x14ac:dyDescent="0.25">
      <c r="A144" s="14" t="str">
        <f>HYPERLINK("https://gerandofalcoes.my.salesforce.com/0014X00002Yggi3QAB", "0014X00002Yggi3QAB")</f>
        <v>0014X00002Yggi3QAB</v>
      </c>
      <c r="B144" s="2" t="s">
        <v>3558</v>
      </c>
      <c r="C144" s="2" t="s">
        <v>423</v>
      </c>
      <c r="D144" s="2" t="s">
        <v>2</v>
      </c>
      <c r="E144" s="2"/>
      <c r="F144" s="2">
        <v>0</v>
      </c>
      <c r="G144" s="2">
        <v>2</v>
      </c>
      <c r="H144" s="2">
        <v>3000</v>
      </c>
      <c r="I144" s="2">
        <v>0</v>
      </c>
      <c r="J144" s="2"/>
      <c r="K144" s="2">
        <v>11</v>
      </c>
      <c r="L144" s="2">
        <v>0</v>
      </c>
      <c r="M144" s="2">
        <v>0</v>
      </c>
      <c r="N144" s="2">
        <v>6</v>
      </c>
      <c r="O144" s="2">
        <v>5</v>
      </c>
      <c r="P144" s="2">
        <v>0</v>
      </c>
      <c r="Q144" s="2" t="s">
        <v>3559</v>
      </c>
      <c r="R144" s="2" t="s">
        <v>3559</v>
      </c>
      <c r="S144" s="4">
        <v>44959</v>
      </c>
    </row>
    <row r="145" spans="1:19" ht="12.5" x14ac:dyDescent="0.25">
      <c r="A145" s="14" t="str">
        <f>HYPERLINK("https://gerandofalcoes.my.salesforce.com/0014X00002YgghYQAR", "0014X00002YgghYQAR")</f>
        <v>0014X00002YgghYQAR</v>
      </c>
      <c r="B145" s="2" t="s">
        <v>3545</v>
      </c>
      <c r="C145" s="2" t="s">
        <v>423</v>
      </c>
      <c r="D145" s="2" t="s">
        <v>2</v>
      </c>
      <c r="E145" s="2"/>
      <c r="F145" s="2">
        <v>10</v>
      </c>
      <c r="G145" s="2">
        <v>3</v>
      </c>
      <c r="H145" s="2">
        <v>5000</v>
      </c>
      <c r="I145" s="2">
        <v>0</v>
      </c>
      <c r="J145" s="2"/>
      <c r="K145" s="2">
        <v>23</v>
      </c>
      <c r="L145" s="2">
        <v>0</v>
      </c>
      <c r="M145" s="2">
        <v>10</v>
      </c>
      <c r="N145" s="2">
        <v>8</v>
      </c>
      <c r="O145" s="2">
        <v>5</v>
      </c>
      <c r="P145" s="2">
        <v>0</v>
      </c>
      <c r="Q145" s="2" t="s">
        <v>3546</v>
      </c>
      <c r="R145" s="2" t="s">
        <v>3546</v>
      </c>
      <c r="S145" s="4">
        <v>44959</v>
      </c>
    </row>
    <row r="146" spans="1:19" ht="12.5" x14ac:dyDescent="0.25">
      <c r="A146" s="14" t="str">
        <f>HYPERLINK("https://gerandofalcoes.my.salesforce.com/0014X00002Yggl2QAB", "0014X00002Yggl2QAB")</f>
        <v>0014X00002Yggl2QAB</v>
      </c>
      <c r="B146" s="2" t="s">
        <v>3540</v>
      </c>
      <c r="C146" s="2" t="s">
        <v>423</v>
      </c>
      <c r="D146" s="2" t="s">
        <v>2</v>
      </c>
      <c r="E146" s="2">
        <v>0</v>
      </c>
      <c r="F146" s="2">
        <v>0</v>
      </c>
      <c r="G146" s="2">
        <v>2</v>
      </c>
      <c r="H146" s="2">
        <v>0</v>
      </c>
      <c r="I146" s="2">
        <v>0</v>
      </c>
      <c r="J146" s="2" t="s">
        <v>1779</v>
      </c>
      <c r="K146" s="2">
        <v>6</v>
      </c>
      <c r="L146" s="2">
        <v>0</v>
      </c>
      <c r="M146" s="2">
        <v>0</v>
      </c>
      <c r="N146" s="2">
        <v>6</v>
      </c>
      <c r="O146" s="2">
        <v>0</v>
      </c>
      <c r="P146" s="2">
        <v>0</v>
      </c>
      <c r="Q146" s="2" t="s">
        <v>3541</v>
      </c>
      <c r="R146" s="2" t="s">
        <v>3541</v>
      </c>
      <c r="S146" s="4">
        <v>44959</v>
      </c>
    </row>
    <row r="147" spans="1:19" ht="12.5" x14ac:dyDescent="0.25">
      <c r="A147" s="14" t="str">
        <f>HYPERLINK("https://gerandofalcoes.my.salesforce.com/0014X00002YggmwQAB", "0014X00002YggmwQAB")</f>
        <v>0014X00002YggmwQAB</v>
      </c>
      <c r="B147" s="2" t="s">
        <v>3532</v>
      </c>
      <c r="C147" s="2" t="s">
        <v>423</v>
      </c>
      <c r="D147" s="2" t="s">
        <v>2</v>
      </c>
      <c r="E147" s="2"/>
      <c r="F147" s="2">
        <v>0</v>
      </c>
      <c r="G147" s="2">
        <v>3</v>
      </c>
      <c r="H147" s="2">
        <v>320618</v>
      </c>
      <c r="I147" s="2">
        <v>200</v>
      </c>
      <c r="J147" s="2"/>
      <c r="K147" s="2">
        <v>40</v>
      </c>
      <c r="L147" s="2">
        <v>0</v>
      </c>
      <c r="M147" s="2">
        <v>0</v>
      </c>
      <c r="N147" s="2">
        <v>8</v>
      </c>
      <c r="O147" s="2">
        <v>20</v>
      </c>
      <c r="P147" s="2">
        <v>12</v>
      </c>
      <c r="Q147" s="2" t="s">
        <v>3533</v>
      </c>
      <c r="R147" s="2" t="s">
        <v>3534</v>
      </c>
      <c r="S147" s="4">
        <v>44959</v>
      </c>
    </row>
    <row r="148" spans="1:19" ht="12.5" x14ac:dyDescent="0.25">
      <c r="A148" s="14" t="str">
        <f>HYPERLINK("https://gerandofalcoes.my.salesforce.com/0014X00002YggqFQAR", "0014X00002YggqFQAR")</f>
        <v>0014X00002YggqFQAR</v>
      </c>
      <c r="B148" s="2" t="s">
        <v>3571</v>
      </c>
      <c r="C148" s="2" t="s">
        <v>423</v>
      </c>
      <c r="D148" s="2" t="s">
        <v>2</v>
      </c>
      <c r="E148" s="2"/>
      <c r="F148" s="2">
        <v>20</v>
      </c>
      <c r="G148" s="2">
        <v>5</v>
      </c>
      <c r="H148" s="2">
        <v>128992691</v>
      </c>
      <c r="I148" s="2">
        <v>314</v>
      </c>
      <c r="J148" s="2"/>
      <c r="K148" s="2">
        <v>62</v>
      </c>
      <c r="L148" s="2">
        <v>0</v>
      </c>
      <c r="M148" s="2">
        <v>12</v>
      </c>
      <c r="N148" s="2">
        <v>10</v>
      </c>
      <c r="O148" s="2">
        <v>25</v>
      </c>
      <c r="P148" s="2">
        <v>15</v>
      </c>
      <c r="Q148" s="2" t="s">
        <v>3572</v>
      </c>
      <c r="R148" s="2" t="s">
        <v>3573</v>
      </c>
      <c r="S148" s="4">
        <v>44960</v>
      </c>
    </row>
    <row r="149" spans="1:19" ht="12.5" x14ac:dyDescent="0.25">
      <c r="A149" s="14" t="str">
        <f>HYPERLINK("https://gerandofalcoes.my.salesforce.com/0014X00002YggqWQAR", "0014X00002YggqWQAR")</f>
        <v>0014X00002YggqWQAR</v>
      </c>
      <c r="B149" s="2" t="s">
        <v>3574</v>
      </c>
      <c r="C149" s="2" t="s">
        <v>423</v>
      </c>
      <c r="D149" s="2" t="s">
        <v>2</v>
      </c>
      <c r="E149" s="2"/>
      <c r="F149" s="2">
        <v>18</v>
      </c>
      <c r="G149" s="2">
        <v>12</v>
      </c>
      <c r="H149" s="2">
        <v>10000</v>
      </c>
      <c r="I149" s="2">
        <v>200</v>
      </c>
      <c r="J149" s="2"/>
      <c r="K149" s="2">
        <v>39</v>
      </c>
      <c r="L149" s="2">
        <v>0</v>
      </c>
      <c r="M149" s="2">
        <v>12</v>
      </c>
      <c r="N149" s="2">
        <v>10</v>
      </c>
      <c r="O149" s="2">
        <v>5</v>
      </c>
      <c r="P149" s="2">
        <v>12</v>
      </c>
      <c r="Q149" s="2" t="s">
        <v>3575</v>
      </c>
      <c r="R149" s="2" t="s">
        <v>3576</v>
      </c>
      <c r="S149" s="4">
        <v>44960</v>
      </c>
    </row>
    <row r="150" spans="1:19" ht="12.5" hidden="1" x14ac:dyDescent="0.25">
      <c r="A150" s="14" t="str">
        <f>HYPERLINK("https://gerandofalcoes.my.salesforce.com/0014X00002Yggo6QAB", "0014X00002Yggo6QAB")</f>
        <v>0014X00002Yggo6QAB</v>
      </c>
      <c r="B150" s="2" t="s">
        <v>3560</v>
      </c>
      <c r="C150" s="2" t="s">
        <v>1684</v>
      </c>
      <c r="D150" s="2" t="s">
        <v>2</v>
      </c>
      <c r="E150" s="2">
        <v>0</v>
      </c>
      <c r="F150" s="2">
        <v>2</v>
      </c>
      <c r="G150" s="2">
        <v>4</v>
      </c>
      <c r="H150" s="2">
        <v>38000</v>
      </c>
      <c r="I150" s="2">
        <v>30</v>
      </c>
      <c r="J150" s="2" t="s">
        <v>1779</v>
      </c>
      <c r="K150" s="2">
        <v>30</v>
      </c>
      <c r="L150" s="2">
        <v>0</v>
      </c>
      <c r="M150" s="2">
        <v>5</v>
      </c>
      <c r="N150" s="2">
        <v>10</v>
      </c>
      <c r="O150" s="2">
        <v>10</v>
      </c>
      <c r="P150" s="2">
        <v>5</v>
      </c>
      <c r="Q150" s="2" t="s">
        <v>3561</v>
      </c>
      <c r="R150" s="2" t="s">
        <v>3562</v>
      </c>
      <c r="S150" s="4">
        <v>44960</v>
      </c>
    </row>
    <row r="151" spans="1:19" ht="12.5" x14ac:dyDescent="0.25">
      <c r="A151" s="14" t="str">
        <f>HYPERLINK("https://gerandofalcoes.my.salesforce.com/0014X00002YggkGQAR", "0014X00002YggkGQAR")</f>
        <v>0014X00002YggkGQAR</v>
      </c>
      <c r="B151" s="2" t="s">
        <v>3566</v>
      </c>
      <c r="C151" s="2" t="s">
        <v>423</v>
      </c>
      <c r="D151" s="2" t="s">
        <v>2</v>
      </c>
      <c r="E151" s="2"/>
      <c r="F151" s="2">
        <v>5</v>
      </c>
      <c r="G151" s="2">
        <v>3</v>
      </c>
      <c r="H151" s="2">
        <v>6000</v>
      </c>
      <c r="I151" s="2">
        <v>230</v>
      </c>
      <c r="J151" s="2"/>
      <c r="K151" s="2">
        <v>30</v>
      </c>
      <c r="L151" s="2">
        <v>0</v>
      </c>
      <c r="M151" s="2">
        <v>5</v>
      </c>
      <c r="N151" s="2">
        <v>8</v>
      </c>
      <c r="O151" s="2">
        <v>5</v>
      </c>
      <c r="P151" s="2">
        <v>12</v>
      </c>
      <c r="Q151" s="2" t="s">
        <v>3567</v>
      </c>
      <c r="R151" s="2" t="s">
        <v>3568</v>
      </c>
      <c r="S151" s="4">
        <v>44960</v>
      </c>
    </row>
    <row r="152" spans="1:19" ht="12.5" x14ac:dyDescent="0.25">
      <c r="A152" s="14" t="str">
        <f>HYPERLINK("https://gerandofalcoes.my.salesforce.com/0014X00002YggqEQAR", "0014X00002YggqEQAR")</f>
        <v>0014X00002YggqEQAR</v>
      </c>
      <c r="B152" s="2" t="s">
        <v>3577</v>
      </c>
      <c r="C152" s="2" t="s">
        <v>423</v>
      </c>
      <c r="D152" s="2" t="s">
        <v>2</v>
      </c>
      <c r="E152" s="2"/>
      <c r="F152" s="2">
        <v>16</v>
      </c>
      <c r="G152" s="2">
        <v>2</v>
      </c>
      <c r="H152" s="2">
        <v>450000</v>
      </c>
      <c r="I152" s="2">
        <v>300</v>
      </c>
      <c r="J152" s="2"/>
      <c r="K152" s="2">
        <v>53</v>
      </c>
      <c r="L152" s="2">
        <v>0</v>
      </c>
      <c r="M152" s="2">
        <v>12</v>
      </c>
      <c r="N152" s="2">
        <v>6</v>
      </c>
      <c r="O152" s="2">
        <v>20</v>
      </c>
      <c r="P152" s="2">
        <v>15</v>
      </c>
      <c r="Q152" s="2" t="s">
        <v>3578</v>
      </c>
      <c r="R152" s="2" t="s">
        <v>3579</v>
      </c>
      <c r="S152" s="4">
        <v>44961</v>
      </c>
    </row>
    <row r="153" spans="1:19" ht="12.5" x14ac:dyDescent="0.25">
      <c r="A153" s="14" t="str">
        <f>HYPERLINK("https://gerandofalcoes.my.salesforce.com/0014X00002YgggNQAR", "0014X00002YgggNQAR")</f>
        <v>0014X00002YgggNQAR</v>
      </c>
      <c r="B153" s="2" t="s">
        <v>3600</v>
      </c>
      <c r="C153" s="2" t="s">
        <v>423</v>
      </c>
      <c r="D153" s="2" t="s">
        <v>2</v>
      </c>
      <c r="E153" s="2"/>
      <c r="F153" s="2">
        <v>0</v>
      </c>
      <c r="G153" s="2">
        <v>2</v>
      </c>
      <c r="H153" s="2">
        <v>2000</v>
      </c>
      <c r="I153" s="2">
        <v>150</v>
      </c>
      <c r="J153" s="2"/>
      <c r="K153" s="2">
        <v>23</v>
      </c>
      <c r="L153" s="2">
        <v>0</v>
      </c>
      <c r="M153" s="2">
        <v>0</v>
      </c>
      <c r="N153" s="2">
        <v>6</v>
      </c>
      <c r="O153" s="2">
        <v>5</v>
      </c>
      <c r="P153" s="2">
        <v>12</v>
      </c>
      <c r="Q153" s="2" t="s">
        <v>3601</v>
      </c>
      <c r="R153" s="2" t="s">
        <v>3602</v>
      </c>
      <c r="S153" s="4">
        <v>44962</v>
      </c>
    </row>
    <row r="154" spans="1:19" ht="12.5" x14ac:dyDescent="0.25">
      <c r="A154" s="14" t="str">
        <f>HYPERLINK("https://gerandofalcoes.my.salesforce.com/0014X00002YggnZQAR", "0014X00002YggnZQAR")</f>
        <v>0014X00002YggnZQAR</v>
      </c>
      <c r="B154" s="2" t="s">
        <v>3603</v>
      </c>
      <c r="C154" s="2" t="s">
        <v>423</v>
      </c>
      <c r="D154" s="2" t="s">
        <v>2</v>
      </c>
      <c r="E154" s="2"/>
      <c r="F154" s="2">
        <v>15</v>
      </c>
      <c r="G154" s="2">
        <v>2</v>
      </c>
      <c r="H154" s="2">
        <v>0</v>
      </c>
      <c r="I154" s="2">
        <v>60</v>
      </c>
      <c r="J154" s="2"/>
      <c r="K154" s="2">
        <v>23</v>
      </c>
      <c r="L154" s="2">
        <v>0</v>
      </c>
      <c r="M154" s="2">
        <v>12</v>
      </c>
      <c r="N154" s="2">
        <v>6</v>
      </c>
      <c r="O154" s="2">
        <v>0</v>
      </c>
      <c r="P154" s="2">
        <v>5</v>
      </c>
      <c r="Q154" s="2" t="s">
        <v>3604</v>
      </c>
      <c r="R154" s="2" t="s">
        <v>3604</v>
      </c>
      <c r="S154" s="4">
        <v>44962</v>
      </c>
    </row>
    <row r="155" spans="1:19" ht="12.5" x14ac:dyDescent="0.25">
      <c r="A155" s="14" t="str">
        <f>HYPERLINK("https://gerandofalcoes.my.salesforce.com/0014X00002Yggq4QAB", "0014X00002Yggq4QAB")</f>
        <v>0014X00002Yggq4QAB</v>
      </c>
      <c r="B155" s="2" t="s">
        <v>3594</v>
      </c>
      <c r="C155" s="2" t="s">
        <v>423</v>
      </c>
      <c r="D155" s="2" t="s">
        <v>2</v>
      </c>
      <c r="E155" s="2"/>
      <c r="F155" s="2">
        <v>4</v>
      </c>
      <c r="G155" s="2">
        <v>5</v>
      </c>
      <c r="H155" s="2">
        <v>57800</v>
      </c>
      <c r="I155" s="2">
        <v>60</v>
      </c>
      <c r="J155" s="2"/>
      <c r="K155" s="2">
        <v>30</v>
      </c>
      <c r="L155" s="2">
        <v>0</v>
      </c>
      <c r="M155" s="2">
        <v>5</v>
      </c>
      <c r="N155" s="2">
        <v>10</v>
      </c>
      <c r="O155" s="2">
        <v>10</v>
      </c>
      <c r="P155" s="2">
        <v>5</v>
      </c>
      <c r="Q155" s="2" t="s">
        <v>3595</v>
      </c>
      <c r="R155" s="2" t="s">
        <v>3596</v>
      </c>
      <c r="S155" s="4">
        <v>44962</v>
      </c>
    </row>
    <row r="156" spans="1:19" ht="12.5" x14ac:dyDescent="0.25">
      <c r="A156" s="14" t="str">
        <f>HYPERLINK("https://gerandofalcoes.my.salesforce.com/0014X00002YggqpQAB", "0014X00002YggqpQAB")</f>
        <v>0014X00002YggqpQAB</v>
      </c>
      <c r="B156" s="2" t="s">
        <v>3626</v>
      </c>
      <c r="C156" s="2" t="s">
        <v>423</v>
      </c>
      <c r="D156" s="2" t="s">
        <v>2</v>
      </c>
      <c r="E156" s="2"/>
      <c r="F156" s="2">
        <v>0</v>
      </c>
      <c r="G156" s="2">
        <v>2</v>
      </c>
      <c r="H156" s="2">
        <v>146129</v>
      </c>
      <c r="I156" s="2">
        <v>250</v>
      </c>
      <c r="J156" s="2"/>
      <c r="K156" s="2">
        <v>33</v>
      </c>
      <c r="L156" s="2">
        <v>0</v>
      </c>
      <c r="M156" s="2">
        <v>0</v>
      </c>
      <c r="N156" s="2">
        <v>6</v>
      </c>
      <c r="O156" s="2">
        <v>15</v>
      </c>
      <c r="P156" s="2">
        <v>12</v>
      </c>
      <c r="Q156" s="2" t="s">
        <v>3627</v>
      </c>
      <c r="R156" s="2" t="s">
        <v>2993</v>
      </c>
      <c r="S156" s="4">
        <v>44963</v>
      </c>
    </row>
    <row r="157" spans="1:19" ht="12.5" x14ac:dyDescent="0.25">
      <c r="A157" s="14" t="str">
        <f>HYPERLINK("https://gerandofalcoes.my.salesforce.com/0014X00002YggphQAB", "0014X00002YggphQAB")</f>
        <v>0014X00002YggphQAB</v>
      </c>
      <c r="B157" s="2" t="s">
        <v>3620</v>
      </c>
      <c r="C157" s="2" t="s">
        <v>423</v>
      </c>
      <c r="D157" s="2" t="s">
        <v>2</v>
      </c>
      <c r="E157" s="2"/>
      <c r="F157" s="2">
        <v>9</v>
      </c>
      <c r="G157" s="2">
        <v>27</v>
      </c>
      <c r="H157" s="2">
        <v>15000</v>
      </c>
      <c r="I157" s="2">
        <v>20</v>
      </c>
      <c r="J157" s="2"/>
      <c r="K157" s="2">
        <v>30</v>
      </c>
      <c r="L157" s="2">
        <v>0</v>
      </c>
      <c r="M157" s="2">
        <v>10</v>
      </c>
      <c r="N157" s="2">
        <v>10</v>
      </c>
      <c r="O157" s="2">
        <v>5</v>
      </c>
      <c r="P157" s="2">
        <v>5</v>
      </c>
      <c r="Q157" s="2" t="s">
        <v>3621</v>
      </c>
      <c r="R157" s="2" t="s">
        <v>3622</v>
      </c>
      <c r="S157" s="4">
        <v>44963</v>
      </c>
    </row>
    <row r="158" spans="1:19" ht="12.5" x14ac:dyDescent="0.25">
      <c r="A158" s="14" t="str">
        <f>HYPERLINK("https://gerandofalcoes.my.salesforce.com/0014X00002YggpqQAB", "0014X00002YggpqQAB")</f>
        <v>0014X00002YggpqQAB</v>
      </c>
      <c r="B158" s="2" t="s">
        <v>3623</v>
      </c>
      <c r="C158" s="2" t="s">
        <v>423</v>
      </c>
      <c r="D158" s="2" t="s">
        <v>2</v>
      </c>
      <c r="E158" s="2"/>
      <c r="F158" s="2">
        <v>0</v>
      </c>
      <c r="G158" s="2">
        <v>4</v>
      </c>
      <c r="H158" s="2">
        <v>0</v>
      </c>
      <c r="I158" s="2">
        <v>300</v>
      </c>
      <c r="J158" s="2"/>
      <c r="K158" s="2">
        <v>25</v>
      </c>
      <c r="L158" s="2">
        <v>0</v>
      </c>
      <c r="M158" s="2">
        <v>0</v>
      </c>
      <c r="N158" s="2">
        <v>10</v>
      </c>
      <c r="O158" s="2">
        <v>0</v>
      </c>
      <c r="P158" s="2">
        <v>15</v>
      </c>
      <c r="Q158" s="2" t="s">
        <v>3624</v>
      </c>
      <c r="R158" s="2" t="s">
        <v>3625</v>
      </c>
      <c r="S158" s="4">
        <v>44963</v>
      </c>
    </row>
    <row r="159" spans="1:19" ht="12.5" x14ac:dyDescent="0.25">
      <c r="A159" s="14" t="str">
        <f>HYPERLINK("https://gerandofalcoes.my.salesforce.com/0014X00002YggkeQAB", "0014X00002YggkeQAB")</f>
        <v>0014X00002YggkeQAB</v>
      </c>
      <c r="B159" s="2" t="s">
        <v>3660</v>
      </c>
      <c r="C159" s="2" t="s">
        <v>423</v>
      </c>
      <c r="D159" s="2" t="s">
        <v>2</v>
      </c>
      <c r="E159" s="2"/>
      <c r="F159" s="2">
        <v>1</v>
      </c>
      <c r="G159" s="2">
        <v>2</v>
      </c>
      <c r="H159" s="2">
        <v>0</v>
      </c>
      <c r="I159" s="2">
        <v>80</v>
      </c>
      <c r="J159" s="2"/>
      <c r="K159" s="2">
        <v>21</v>
      </c>
      <c r="L159" s="2">
        <v>0</v>
      </c>
      <c r="M159" s="2">
        <v>5</v>
      </c>
      <c r="N159" s="2">
        <v>6</v>
      </c>
      <c r="O159" s="2">
        <v>0</v>
      </c>
      <c r="P159" s="2">
        <v>10</v>
      </c>
      <c r="Q159" s="2" t="s">
        <v>3661</v>
      </c>
      <c r="R159" s="2" t="s">
        <v>3661</v>
      </c>
      <c r="S159" s="4">
        <v>44964</v>
      </c>
    </row>
    <row r="160" spans="1:19" ht="12.5" x14ac:dyDescent="0.25">
      <c r="A160" s="14" t="str">
        <f>HYPERLINK("https://gerandofalcoes.my.salesforce.com/0014X00002YgghPQAR", "0014X00002YgghPQAR")</f>
        <v>0014X00002YgghPQAR</v>
      </c>
      <c r="B160" s="2" t="s">
        <v>3628</v>
      </c>
      <c r="C160" s="2" t="s">
        <v>423</v>
      </c>
      <c r="D160" s="2" t="s">
        <v>2</v>
      </c>
      <c r="E160" s="2"/>
      <c r="F160" s="2">
        <v>0</v>
      </c>
      <c r="G160" s="2">
        <v>2</v>
      </c>
      <c r="H160" s="2">
        <v>1100000</v>
      </c>
      <c r="I160" s="2">
        <v>70</v>
      </c>
      <c r="J160" s="2"/>
      <c r="K160" s="2">
        <v>36</v>
      </c>
      <c r="L160" s="2">
        <v>0</v>
      </c>
      <c r="M160" s="2">
        <v>0</v>
      </c>
      <c r="N160" s="2">
        <v>6</v>
      </c>
      <c r="O160" s="2">
        <v>25</v>
      </c>
      <c r="P160" s="2">
        <v>5</v>
      </c>
      <c r="Q160" s="2" t="s">
        <v>3629</v>
      </c>
      <c r="R160" s="2" t="s">
        <v>3630</v>
      </c>
      <c r="S160" s="4">
        <v>44963</v>
      </c>
    </row>
    <row r="161" spans="1:19" ht="12.5" x14ac:dyDescent="0.25">
      <c r="A161" s="14" t="str">
        <f>HYPERLINK("https://gerandofalcoes.my.salesforce.com/0014X00002YggqTQAR", "0014X00002YggqTQAR")</f>
        <v>0014X00002YggqTQAR</v>
      </c>
      <c r="B161" s="2" t="s">
        <v>3683</v>
      </c>
      <c r="C161" s="2" t="s">
        <v>423</v>
      </c>
      <c r="D161" s="2" t="s">
        <v>2</v>
      </c>
      <c r="E161" s="2"/>
      <c r="F161" s="2">
        <v>0</v>
      </c>
      <c r="G161" s="2">
        <v>3</v>
      </c>
      <c r="H161" s="2">
        <v>0</v>
      </c>
      <c r="I161" s="2">
        <v>0</v>
      </c>
      <c r="J161" s="2"/>
      <c r="K161" s="2">
        <v>8</v>
      </c>
      <c r="L161" s="2">
        <v>0</v>
      </c>
      <c r="M161" s="2">
        <v>0</v>
      </c>
      <c r="N161" s="2">
        <v>8</v>
      </c>
      <c r="O161" s="2">
        <v>0</v>
      </c>
      <c r="P161" s="2">
        <v>0</v>
      </c>
      <c r="Q161" s="2" t="s">
        <v>3684</v>
      </c>
      <c r="R161" s="2" t="s">
        <v>3685</v>
      </c>
      <c r="S161" s="4">
        <v>44964</v>
      </c>
    </row>
    <row r="162" spans="1:19" ht="12.5" x14ac:dyDescent="0.25">
      <c r="A162" s="14" t="str">
        <f>HYPERLINK("https://gerandofalcoes.my.salesforce.com/0014X00002YgghuQAB", "0014X00002YgghuQAB")</f>
        <v>0014X00002YgghuQAB</v>
      </c>
      <c r="B162" s="2" t="s">
        <v>3667</v>
      </c>
      <c r="C162" s="2" t="s">
        <v>423</v>
      </c>
      <c r="D162" s="2" t="s">
        <v>2</v>
      </c>
      <c r="E162" s="2"/>
      <c r="F162" s="2">
        <v>6</v>
      </c>
      <c r="G162" s="2">
        <v>4</v>
      </c>
      <c r="H162" s="2">
        <v>20000</v>
      </c>
      <c r="I162" s="2">
        <v>100</v>
      </c>
      <c r="J162" s="2"/>
      <c r="K162" s="2">
        <v>35</v>
      </c>
      <c r="L162" s="2">
        <v>0</v>
      </c>
      <c r="M162" s="2">
        <v>10</v>
      </c>
      <c r="N162" s="2">
        <v>10</v>
      </c>
      <c r="O162" s="2">
        <v>5</v>
      </c>
      <c r="P162" s="2">
        <v>10</v>
      </c>
      <c r="Q162" s="2" t="s">
        <v>3668</v>
      </c>
      <c r="R162" s="2" t="s">
        <v>3669</v>
      </c>
      <c r="S162" s="4">
        <v>44964</v>
      </c>
    </row>
    <row r="163" spans="1:19" ht="12.5" x14ac:dyDescent="0.25">
      <c r="A163" s="14" t="str">
        <f>HYPERLINK("https://gerandofalcoes.my.salesforce.com/0014X00002YgghDQAR", "0014X00002YgghDQAR")</f>
        <v>0014X00002YgghDQAR</v>
      </c>
      <c r="B163" s="2" t="s">
        <v>3681</v>
      </c>
      <c r="C163" s="2" t="s">
        <v>423</v>
      </c>
      <c r="D163" s="2" t="s">
        <v>2</v>
      </c>
      <c r="E163" s="2"/>
      <c r="F163" s="2">
        <v>0</v>
      </c>
      <c r="G163" s="2">
        <v>4</v>
      </c>
      <c r="H163" s="2">
        <v>3000</v>
      </c>
      <c r="I163" s="2">
        <v>30</v>
      </c>
      <c r="J163" s="2"/>
      <c r="K163" s="2">
        <v>20</v>
      </c>
      <c r="L163" s="2">
        <v>0</v>
      </c>
      <c r="M163" s="2">
        <v>0</v>
      </c>
      <c r="N163" s="2">
        <v>10</v>
      </c>
      <c r="O163" s="2">
        <v>5</v>
      </c>
      <c r="P163" s="2">
        <v>5</v>
      </c>
      <c r="Q163" s="2" t="s">
        <v>3682</v>
      </c>
      <c r="R163" s="2" t="s">
        <v>3682</v>
      </c>
      <c r="S163" s="4">
        <v>44964</v>
      </c>
    </row>
    <row r="164" spans="1:19" ht="12.5" x14ac:dyDescent="0.25">
      <c r="A164" s="14" t="str">
        <f>HYPERLINK("https://gerandofalcoes.my.salesforce.com/0014X00002YggnoQAB", "0014X00002YggnoQAB")</f>
        <v>0014X00002YggnoQAB</v>
      </c>
      <c r="B164" s="2" t="s">
        <v>3644</v>
      </c>
      <c r="C164" s="2" t="s">
        <v>423</v>
      </c>
      <c r="D164" s="2" t="s">
        <v>2</v>
      </c>
      <c r="E164" s="2"/>
      <c r="F164" s="2">
        <v>11</v>
      </c>
      <c r="G164" s="2">
        <v>5</v>
      </c>
      <c r="H164" s="2">
        <v>442412</v>
      </c>
      <c r="I164" s="2">
        <v>200</v>
      </c>
      <c r="J164" s="2"/>
      <c r="K164" s="2">
        <v>54</v>
      </c>
      <c r="L164" s="2">
        <v>0</v>
      </c>
      <c r="M164" s="2">
        <v>12</v>
      </c>
      <c r="N164" s="2">
        <v>10</v>
      </c>
      <c r="O164" s="2">
        <v>20</v>
      </c>
      <c r="P164" s="2">
        <v>12</v>
      </c>
      <c r="Q164" s="2" t="s">
        <v>3645</v>
      </c>
      <c r="R164" s="2" t="s">
        <v>3646</v>
      </c>
      <c r="S164" s="4">
        <v>44964</v>
      </c>
    </row>
    <row r="165" spans="1:19" ht="12.5" x14ac:dyDescent="0.25">
      <c r="A165" s="14" t="str">
        <f>HYPERLINK("https://gerandofalcoes.my.salesforce.com/0014X00002YggowQAB", "0014X00002YggowQAB")</f>
        <v>0014X00002YggowQAB</v>
      </c>
      <c r="B165" s="2" t="s">
        <v>3750</v>
      </c>
      <c r="C165" s="2" t="s">
        <v>423</v>
      </c>
      <c r="D165" s="2" t="s">
        <v>2</v>
      </c>
      <c r="E165" s="2"/>
      <c r="F165" s="2">
        <v>0</v>
      </c>
      <c r="G165" s="2">
        <v>2</v>
      </c>
      <c r="H165" s="2">
        <v>0</v>
      </c>
      <c r="I165" s="2">
        <v>30</v>
      </c>
      <c r="J165" s="2"/>
      <c r="K165" s="2">
        <v>11</v>
      </c>
      <c r="L165" s="2">
        <v>0</v>
      </c>
      <c r="M165" s="2">
        <v>0</v>
      </c>
      <c r="N165" s="2">
        <v>6</v>
      </c>
      <c r="O165" s="2">
        <v>0</v>
      </c>
      <c r="P165" s="2">
        <v>5</v>
      </c>
      <c r="Q165" s="2" t="s">
        <v>3751</v>
      </c>
      <c r="R165" s="2" t="s">
        <v>3751</v>
      </c>
      <c r="S165" s="4">
        <v>44967</v>
      </c>
    </row>
    <row r="166" spans="1:19" ht="12.5" x14ac:dyDescent="0.25">
      <c r="A166" s="14" t="str">
        <f>HYPERLINK("https://gerandofalcoes.my.salesforce.com/0014X00002Yggj5QAB", "0014X00002Yggj5QAB")</f>
        <v>0014X00002Yggj5QAB</v>
      </c>
      <c r="B166" s="2" t="s">
        <v>3714</v>
      </c>
      <c r="C166" s="2" t="s">
        <v>423</v>
      </c>
      <c r="D166" s="2" t="s">
        <v>2</v>
      </c>
      <c r="E166" s="2"/>
      <c r="F166" s="2">
        <v>0</v>
      </c>
      <c r="G166" s="2">
        <v>2</v>
      </c>
      <c r="H166" s="2">
        <v>3000</v>
      </c>
      <c r="I166" s="2">
        <v>0</v>
      </c>
      <c r="J166" s="2"/>
      <c r="K166" s="2">
        <v>11</v>
      </c>
      <c r="L166" s="2">
        <v>0</v>
      </c>
      <c r="M166" s="2">
        <v>0</v>
      </c>
      <c r="N166" s="2">
        <v>6</v>
      </c>
      <c r="O166" s="2">
        <v>5</v>
      </c>
      <c r="P166" s="2">
        <v>0</v>
      </c>
      <c r="Q166" s="2" t="s">
        <v>3715</v>
      </c>
      <c r="R166" s="2" t="s">
        <v>3715</v>
      </c>
      <c r="S166" s="4">
        <v>44967</v>
      </c>
    </row>
    <row r="167" spans="1:19" ht="12.5" x14ac:dyDescent="0.25">
      <c r="A167" s="14" t="str">
        <f>HYPERLINK("https://gerandofalcoes.my.salesforce.com/0014X00002YggkFQAR", "0014X00002YggkFQAR")</f>
        <v>0014X00002YggkFQAR</v>
      </c>
      <c r="B167" s="2" t="s">
        <v>3716</v>
      </c>
      <c r="C167" s="2" t="s">
        <v>423</v>
      </c>
      <c r="D167" s="2" t="s">
        <v>2</v>
      </c>
      <c r="E167" s="2"/>
      <c r="F167" s="2">
        <v>0</v>
      </c>
      <c r="G167" s="2">
        <v>5</v>
      </c>
      <c r="H167" s="2">
        <v>8000</v>
      </c>
      <c r="I167" s="2">
        <v>50</v>
      </c>
      <c r="J167" s="2"/>
      <c r="K167" s="2">
        <v>20</v>
      </c>
      <c r="L167" s="2">
        <v>0</v>
      </c>
      <c r="M167" s="2">
        <v>0</v>
      </c>
      <c r="N167" s="2">
        <v>10</v>
      </c>
      <c r="O167" s="2">
        <v>5</v>
      </c>
      <c r="P167" s="2">
        <v>5</v>
      </c>
      <c r="Q167" s="2" t="s">
        <v>3717</v>
      </c>
      <c r="R167" s="2" t="s">
        <v>3718</v>
      </c>
      <c r="S167" s="4">
        <v>44967</v>
      </c>
    </row>
    <row r="168" spans="1:19" ht="12.5" x14ac:dyDescent="0.25">
      <c r="A168" s="14" t="str">
        <f>HYPERLINK("https://gerandofalcoes.my.salesforce.com/0014X00002YggpjQAB", "0014X00002YggpjQAB")</f>
        <v>0014X00002YggpjQAB</v>
      </c>
      <c r="B168" s="2" t="s">
        <v>3703</v>
      </c>
      <c r="C168" s="2" t="s">
        <v>423</v>
      </c>
      <c r="D168" s="2" t="s">
        <v>2</v>
      </c>
      <c r="E168" s="2"/>
      <c r="F168" s="2">
        <v>0</v>
      </c>
      <c r="G168" s="2">
        <v>3</v>
      </c>
      <c r="H168" s="2">
        <v>2000</v>
      </c>
      <c r="I168" s="2">
        <v>0</v>
      </c>
      <c r="J168" s="2"/>
      <c r="K168" s="2">
        <v>13</v>
      </c>
      <c r="L168" s="2">
        <v>0</v>
      </c>
      <c r="M168" s="2">
        <v>0</v>
      </c>
      <c r="N168" s="2">
        <v>8</v>
      </c>
      <c r="O168" s="2">
        <v>5</v>
      </c>
      <c r="P168" s="2">
        <v>0</v>
      </c>
      <c r="Q168" s="2" t="s">
        <v>3704</v>
      </c>
      <c r="R168" s="2" t="s">
        <v>3704</v>
      </c>
      <c r="S168" s="4">
        <v>44967</v>
      </c>
    </row>
    <row r="169" spans="1:19" ht="12.5" x14ac:dyDescent="0.25">
      <c r="A169" s="14" t="str">
        <f>HYPERLINK("https://gerandofalcoes.my.salesforce.com/0014X00002YgglcQAB", "0014X00002YgglcQAB")</f>
        <v>0014X00002YgglcQAB</v>
      </c>
      <c r="B169" s="2" t="s">
        <v>3709</v>
      </c>
      <c r="C169" s="2" t="s">
        <v>423</v>
      </c>
      <c r="D169" s="2" t="s">
        <v>2</v>
      </c>
      <c r="E169" s="2"/>
      <c r="F169" s="2">
        <v>0</v>
      </c>
      <c r="G169" s="2">
        <v>2</v>
      </c>
      <c r="H169" s="2">
        <v>60000</v>
      </c>
      <c r="I169" s="2">
        <v>0</v>
      </c>
      <c r="J169" s="2"/>
      <c r="K169" s="2">
        <v>16</v>
      </c>
      <c r="L169" s="2">
        <v>0</v>
      </c>
      <c r="M169" s="2">
        <v>0</v>
      </c>
      <c r="N169" s="2">
        <v>6</v>
      </c>
      <c r="O169" s="2">
        <v>10</v>
      </c>
      <c r="P169" s="2">
        <v>0</v>
      </c>
      <c r="Q169" s="2" t="s">
        <v>3710</v>
      </c>
      <c r="R169" s="2" t="s">
        <v>3710</v>
      </c>
      <c r="S169" s="4">
        <v>44967</v>
      </c>
    </row>
    <row r="170" spans="1:19" ht="12.5" x14ac:dyDescent="0.25">
      <c r="A170" s="14" t="str">
        <f>HYPERLINK("https://gerandofalcoes.my.salesforce.com/0014X00002YggnYQAR", "0014X00002YggnYQAR")</f>
        <v>0014X00002YggnYQAR</v>
      </c>
      <c r="B170" s="2" t="s">
        <v>3763</v>
      </c>
      <c r="C170" s="2" t="s">
        <v>423</v>
      </c>
      <c r="D170" s="2" t="s">
        <v>2</v>
      </c>
      <c r="E170" s="2"/>
      <c r="F170" s="2">
        <v>127</v>
      </c>
      <c r="G170" s="2">
        <v>4</v>
      </c>
      <c r="H170" s="2">
        <v>0</v>
      </c>
      <c r="I170" s="2">
        <v>0</v>
      </c>
      <c r="J170" s="2"/>
      <c r="K170" s="2">
        <v>25</v>
      </c>
      <c r="L170" s="2">
        <v>0</v>
      </c>
      <c r="M170" s="2">
        <v>15</v>
      </c>
      <c r="N170" s="2">
        <v>10</v>
      </c>
      <c r="O170" s="2">
        <v>0</v>
      </c>
      <c r="P170" s="2">
        <v>0</v>
      </c>
      <c r="Q170" s="2" t="s">
        <v>3764</v>
      </c>
      <c r="R170" s="2" t="s">
        <v>3764</v>
      </c>
      <c r="S170" s="4">
        <v>44967</v>
      </c>
    </row>
    <row r="171" spans="1:19" ht="12.5" x14ac:dyDescent="0.25">
      <c r="A171" s="14" t="str">
        <f>HYPERLINK("https://gerandofalcoes.my.salesforce.com/0014X00002YggonQAB", "0014X00002YggonQAB")</f>
        <v>0014X00002YggonQAB</v>
      </c>
      <c r="B171" s="2" t="s">
        <v>3705</v>
      </c>
      <c r="C171" s="2" t="s">
        <v>423</v>
      </c>
      <c r="D171" s="2" t="s">
        <v>2</v>
      </c>
      <c r="E171" s="2"/>
      <c r="F171" s="2">
        <v>0</v>
      </c>
      <c r="G171" s="2">
        <v>2</v>
      </c>
      <c r="H171" s="2">
        <v>0</v>
      </c>
      <c r="I171" s="2">
        <v>10</v>
      </c>
      <c r="J171" s="2"/>
      <c r="K171" s="2">
        <v>11</v>
      </c>
      <c r="L171" s="2">
        <v>0</v>
      </c>
      <c r="M171" s="2">
        <v>0</v>
      </c>
      <c r="N171" s="2">
        <v>6</v>
      </c>
      <c r="O171" s="2">
        <v>0</v>
      </c>
      <c r="P171" s="2">
        <v>5</v>
      </c>
      <c r="Q171" s="2" t="s">
        <v>3706</v>
      </c>
      <c r="R171" s="2" t="s">
        <v>3706</v>
      </c>
      <c r="S171" s="4">
        <v>44967</v>
      </c>
    </row>
    <row r="172" spans="1:19" ht="12.5" x14ac:dyDescent="0.25">
      <c r="A172" s="14" t="str">
        <f>HYPERLINK("https://gerandofalcoes.my.salesforce.com/0014X00002Yggr0QAB", "0014X00002Yggr0QAB")</f>
        <v>0014X00002Yggr0QAB</v>
      </c>
      <c r="B172" s="2" t="s">
        <v>3765</v>
      </c>
      <c r="C172" s="2" t="s">
        <v>423</v>
      </c>
      <c r="D172" s="2" t="s">
        <v>2</v>
      </c>
      <c r="E172" s="2"/>
      <c r="F172" s="2">
        <v>3</v>
      </c>
      <c r="G172" s="2">
        <v>122</v>
      </c>
      <c r="H172" s="2">
        <v>10000</v>
      </c>
      <c r="I172" s="2">
        <v>0</v>
      </c>
      <c r="J172" s="2"/>
      <c r="K172" s="2">
        <v>20</v>
      </c>
      <c r="L172" s="2">
        <v>0</v>
      </c>
      <c r="M172" s="2">
        <v>5</v>
      </c>
      <c r="N172" s="2">
        <v>10</v>
      </c>
      <c r="O172" s="2">
        <v>5</v>
      </c>
      <c r="P172" s="2">
        <v>0</v>
      </c>
      <c r="Q172" s="2" t="s">
        <v>3766</v>
      </c>
      <c r="R172" s="2" t="s">
        <v>3767</v>
      </c>
      <c r="S172" s="4">
        <v>44967</v>
      </c>
    </row>
    <row r="173" spans="1:19" ht="12.5" x14ac:dyDescent="0.25">
      <c r="A173" s="14" t="str">
        <f>HYPERLINK("https://gerandofalcoes.my.salesforce.com/0014X00002YgghRQAR", "0014X00002YgghRQAR")</f>
        <v>0014X00002YgghRQAR</v>
      </c>
      <c r="B173" s="2" t="s">
        <v>3689</v>
      </c>
      <c r="C173" s="2" t="s">
        <v>423</v>
      </c>
      <c r="D173" s="2" t="s">
        <v>2</v>
      </c>
      <c r="E173" s="2"/>
      <c r="F173" s="2">
        <v>220</v>
      </c>
      <c r="G173" s="2">
        <v>9</v>
      </c>
      <c r="H173" s="2">
        <v>9000000</v>
      </c>
      <c r="I173" s="2">
        <v>1600</v>
      </c>
      <c r="J173" s="2"/>
      <c r="K173" s="2">
        <v>70</v>
      </c>
      <c r="L173" s="2">
        <v>0</v>
      </c>
      <c r="M173" s="2">
        <v>15</v>
      </c>
      <c r="N173" s="2">
        <v>10</v>
      </c>
      <c r="O173" s="2">
        <v>25</v>
      </c>
      <c r="P173" s="2">
        <v>20</v>
      </c>
      <c r="Q173" s="2" t="s">
        <v>3690</v>
      </c>
      <c r="R173" s="2" t="s">
        <v>3691</v>
      </c>
      <c r="S173" s="4">
        <v>44967</v>
      </c>
    </row>
    <row r="174" spans="1:19" ht="12.5" x14ac:dyDescent="0.25">
      <c r="A174" s="14" t="str">
        <f>HYPERLINK("https://gerandofalcoes.my.salesforce.com/0014X00002YggmTQAR", "0014X00002YggmTQAR")</f>
        <v>0014X00002YggmTQAR</v>
      </c>
      <c r="B174" s="2" t="s">
        <v>3758</v>
      </c>
      <c r="C174" s="2" t="s">
        <v>423</v>
      </c>
      <c r="D174" s="2" t="s">
        <v>2</v>
      </c>
      <c r="E174" s="2"/>
      <c r="F174" s="2">
        <v>1</v>
      </c>
      <c r="G174" s="2">
        <v>2</v>
      </c>
      <c r="H174" s="2">
        <v>0</v>
      </c>
      <c r="I174" s="2">
        <v>15</v>
      </c>
      <c r="J174" s="2"/>
      <c r="K174" s="2">
        <v>16</v>
      </c>
      <c r="L174" s="2">
        <v>0</v>
      </c>
      <c r="M174" s="2">
        <v>5</v>
      </c>
      <c r="N174" s="2">
        <v>6</v>
      </c>
      <c r="O174" s="2">
        <v>0</v>
      </c>
      <c r="P174" s="2">
        <v>5</v>
      </c>
      <c r="Q174" s="2" t="s">
        <v>3759</v>
      </c>
      <c r="R174" s="2" t="s">
        <v>3759</v>
      </c>
      <c r="S174" s="4">
        <v>44967</v>
      </c>
    </row>
    <row r="175" spans="1:19" ht="12.5" x14ac:dyDescent="0.25">
      <c r="A175" s="14" t="str">
        <f>HYPERLINK("https://gerandofalcoes.my.salesforce.com/0014X00002YggpxQAB", "0014X00002YggpxQAB")</f>
        <v>0014X00002YggpxQAB</v>
      </c>
      <c r="B175" s="2" t="s">
        <v>3760</v>
      </c>
      <c r="C175" s="2" t="s">
        <v>423</v>
      </c>
      <c r="D175" s="2" t="s">
        <v>2</v>
      </c>
      <c r="E175" s="2"/>
      <c r="F175" s="2">
        <v>6</v>
      </c>
      <c r="G175" s="2">
        <v>2</v>
      </c>
      <c r="H175" s="2">
        <v>235000</v>
      </c>
      <c r="I175" s="2">
        <v>10</v>
      </c>
      <c r="J175" s="2"/>
      <c r="K175" s="2">
        <v>36</v>
      </c>
      <c r="L175" s="2">
        <v>0</v>
      </c>
      <c r="M175" s="2">
        <v>10</v>
      </c>
      <c r="N175" s="2">
        <v>6</v>
      </c>
      <c r="O175" s="2">
        <v>15</v>
      </c>
      <c r="P175" s="2">
        <v>5</v>
      </c>
      <c r="Q175" s="2" t="s">
        <v>3761</v>
      </c>
      <c r="R175" s="2" t="s">
        <v>3762</v>
      </c>
      <c r="S175" s="4">
        <v>44967</v>
      </c>
    </row>
    <row r="176" spans="1:19" ht="12.5" x14ac:dyDescent="0.25">
      <c r="A176" s="14" t="str">
        <f>HYPERLINK("https://gerandofalcoes.my.salesforce.com/0014X00002YgghxQAB", "0014X00002YgghxQAB")</f>
        <v>0014X00002YgghxQAB</v>
      </c>
      <c r="B176" s="2" t="s">
        <v>3747</v>
      </c>
      <c r="C176" s="2" t="s">
        <v>423</v>
      </c>
      <c r="D176" s="2" t="s">
        <v>2</v>
      </c>
      <c r="E176" s="2"/>
      <c r="F176" s="2">
        <v>12</v>
      </c>
      <c r="G176" s="2">
        <v>3</v>
      </c>
      <c r="H176" s="2">
        <v>3000</v>
      </c>
      <c r="I176" s="2">
        <v>59</v>
      </c>
      <c r="J176" s="2"/>
      <c r="K176" s="2">
        <v>30</v>
      </c>
      <c r="L176" s="2">
        <v>0</v>
      </c>
      <c r="M176" s="2">
        <v>12</v>
      </c>
      <c r="N176" s="2">
        <v>8</v>
      </c>
      <c r="O176" s="2">
        <v>5</v>
      </c>
      <c r="P176" s="2">
        <v>5</v>
      </c>
      <c r="Q176" s="2" t="s">
        <v>3748</v>
      </c>
      <c r="R176" s="2" t="s">
        <v>3749</v>
      </c>
      <c r="S176" s="4">
        <v>44967</v>
      </c>
    </row>
    <row r="177" spans="1:19" ht="12.5" x14ac:dyDescent="0.25">
      <c r="A177" s="14" t="str">
        <f>HYPERLINK("https://gerandofalcoes.my.salesforce.com/0014X00002YgggOQAR", "0014X00002YgggOQAR")</f>
        <v>0014X00002YgggOQAR</v>
      </c>
      <c r="B177" s="2" t="s">
        <v>3755</v>
      </c>
      <c r="C177" s="2" t="s">
        <v>423</v>
      </c>
      <c r="D177" s="2" t="s">
        <v>2</v>
      </c>
      <c r="E177" s="2"/>
      <c r="F177" s="2">
        <v>0</v>
      </c>
      <c r="G177" s="2">
        <v>2</v>
      </c>
      <c r="H177" s="2">
        <v>1000</v>
      </c>
      <c r="I177" s="2">
        <v>20</v>
      </c>
      <c r="J177" s="2"/>
      <c r="K177" s="2">
        <v>16</v>
      </c>
      <c r="L177" s="2">
        <v>0</v>
      </c>
      <c r="M177" s="2">
        <v>0</v>
      </c>
      <c r="N177" s="2">
        <v>6</v>
      </c>
      <c r="O177" s="2">
        <v>5</v>
      </c>
      <c r="P177" s="2">
        <v>5</v>
      </c>
      <c r="Q177" s="2" t="s">
        <v>3756</v>
      </c>
      <c r="R177" s="2" t="s">
        <v>3757</v>
      </c>
      <c r="S177" s="4">
        <v>44967</v>
      </c>
    </row>
    <row r="178" spans="1:19" ht="12.5" x14ac:dyDescent="0.25">
      <c r="A178" s="14" t="str">
        <f>HYPERLINK("https://gerandofalcoes.my.salesforce.com/0014X00002YgglkQAB", "0014X00002YgglkQAB")</f>
        <v>0014X00002YgglkQAB</v>
      </c>
      <c r="B178" s="2" t="s">
        <v>3711</v>
      </c>
      <c r="C178" s="2" t="s">
        <v>423</v>
      </c>
      <c r="D178" s="2" t="s">
        <v>2</v>
      </c>
      <c r="E178" s="2"/>
      <c r="F178" s="2">
        <v>2</v>
      </c>
      <c r="G178" s="2">
        <v>4</v>
      </c>
      <c r="H178" s="2">
        <v>95000</v>
      </c>
      <c r="I178" s="2">
        <v>15</v>
      </c>
      <c r="J178" s="2"/>
      <c r="K178" s="2">
        <v>30</v>
      </c>
      <c r="L178" s="2">
        <v>0</v>
      </c>
      <c r="M178" s="2">
        <v>5</v>
      </c>
      <c r="N178" s="2">
        <v>10</v>
      </c>
      <c r="O178" s="2">
        <v>10</v>
      </c>
      <c r="P178" s="2">
        <v>5</v>
      </c>
      <c r="Q178" s="2" t="s">
        <v>3712</v>
      </c>
      <c r="R178" s="2" t="s">
        <v>3713</v>
      </c>
      <c r="S178" s="4">
        <v>44967</v>
      </c>
    </row>
    <row r="179" spans="1:19" ht="12.5" x14ac:dyDescent="0.25">
      <c r="A179" s="14" t="str">
        <f>HYPERLINK("https://gerandofalcoes.my.salesforce.com/0014X00002YggpyQAB", "0014X00002YggpyQAB")</f>
        <v>0014X00002YggpyQAB</v>
      </c>
      <c r="B179" s="2" t="s">
        <v>3740</v>
      </c>
      <c r="C179" s="2" t="s">
        <v>423</v>
      </c>
      <c r="D179" s="2" t="s">
        <v>2</v>
      </c>
      <c r="E179" s="2"/>
      <c r="F179" s="2">
        <v>3</v>
      </c>
      <c r="G179" s="2">
        <v>3</v>
      </c>
      <c r="H179" s="2">
        <v>7000</v>
      </c>
      <c r="I179" s="2">
        <v>100</v>
      </c>
      <c r="J179" s="2"/>
      <c r="K179" s="2">
        <v>28</v>
      </c>
      <c r="L179" s="2">
        <v>0</v>
      </c>
      <c r="M179" s="2">
        <v>5</v>
      </c>
      <c r="N179" s="2">
        <v>8</v>
      </c>
      <c r="O179" s="2">
        <v>5</v>
      </c>
      <c r="P179" s="2">
        <v>10</v>
      </c>
      <c r="Q179" s="2" t="s">
        <v>3741</v>
      </c>
      <c r="R179" s="2" t="s">
        <v>3742</v>
      </c>
      <c r="S179" s="4">
        <v>44967</v>
      </c>
    </row>
    <row r="180" spans="1:19" ht="12.5" x14ac:dyDescent="0.25">
      <c r="A180" s="14" t="str">
        <f>HYPERLINK("https://gerandofalcoes.my.salesforce.com/0014X00002YggnwQAB", "0014X00002YggnwQAB")</f>
        <v>0014X00002YggnwQAB</v>
      </c>
      <c r="B180" s="2" t="s">
        <v>3724</v>
      </c>
      <c r="C180" s="2" t="s">
        <v>423</v>
      </c>
      <c r="D180" s="2" t="s">
        <v>2</v>
      </c>
      <c r="E180" s="2"/>
      <c r="F180" s="2">
        <v>1</v>
      </c>
      <c r="G180" s="2">
        <v>2</v>
      </c>
      <c r="H180" s="2">
        <v>86196</v>
      </c>
      <c r="I180" s="2">
        <v>10</v>
      </c>
      <c r="J180" s="2"/>
      <c r="K180" s="2">
        <v>26</v>
      </c>
      <c r="L180" s="2">
        <v>0</v>
      </c>
      <c r="M180" s="2">
        <v>5</v>
      </c>
      <c r="N180" s="2">
        <v>6</v>
      </c>
      <c r="O180" s="2">
        <v>10</v>
      </c>
      <c r="P180" s="2">
        <v>5</v>
      </c>
      <c r="Q180" s="2" t="s">
        <v>3725</v>
      </c>
      <c r="R180" s="2" t="s">
        <v>3726</v>
      </c>
      <c r="S180" s="4">
        <v>44967</v>
      </c>
    </row>
    <row r="181" spans="1:19" ht="12.5" x14ac:dyDescent="0.25">
      <c r="A181" s="14" t="str">
        <f>HYPERLINK("https://gerandofalcoes.my.salesforce.com/0014X00002YggqbQAB", "0014X00002YggqbQAB")</f>
        <v>0014X00002YggqbQAB</v>
      </c>
      <c r="B181" s="2" t="s">
        <v>3735</v>
      </c>
      <c r="C181" s="2" t="s">
        <v>423</v>
      </c>
      <c r="D181" s="2" t="s">
        <v>2</v>
      </c>
      <c r="E181" s="2"/>
      <c r="F181" s="2">
        <v>4</v>
      </c>
      <c r="G181" s="2">
        <v>4</v>
      </c>
      <c r="H181" s="2">
        <v>300</v>
      </c>
      <c r="I181" s="2">
        <v>130</v>
      </c>
      <c r="J181" s="2"/>
      <c r="K181" s="2">
        <v>30</v>
      </c>
      <c r="L181" s="2">
        <v>0</v>
      </c>
      <c r="M181" s="2">
        <v>5</v>
      </c>
      <c r="N181" s="2">
        <v>10</v>
      </c>
      <c r="O181" s="2">
        <v>5</v>
      </c>
      <c r="P181" s="2">
        <v>10</v>
      </c>
      <c r="Q181" s="2" t="s">
        <v>3736</v>
      </c>
      <c r="R181" s="2" t="s">
        <v>3737</v>
      </c>
      <c r="S181" s="4">
        <v>44967</v>
      </c>
    </row>
    <row r="182" spans="1:19" ht="12.5" x14ac:dyDescent="0.25">
      <c r="A182" s="14" t="str">
        <f>HYPERLINK("https://gerandofalcoes.my.salesforce.com/0014X00002YggomQAB", "0014X00002YggomQAB")</f>
        <v>0014X00002YggomQAB</v>
      </c>
      <c r="B182" s="2" t="s">
        <v>6803</v>
      </c>
      <c r="C182" s="2" t="s">
        <v>423</v>
      </c>
      <c r="D182" s="2" t="s">
        <v>2</v>
      </c>
      <c r="E182" s="2"/>
      <c r="F182" s="2">
        <v>0</v>
      </c>
      <c r="G182" s="2">
        <v>3</v>
      </c>
      <c r="H182" s="2">
        <v>44682</v>
      </c>
      <c r="I182" s="2">
        <v>0</v>
      </c>
      <c r="J182" s="2"/>
      <c r="K182" s="2">
        <v>18</v>
      </c>
      <c r="L182" s="2">
        <v>0</v>
      </c>
      <c r="M182" s="2">
        <v>0</v>
      </c>
      <c r="N182" s="2">
        <v>8</v>
      </c>
      <c r="O182" s="2">
        <v>10</v>
      </c>
      <c r="P182" s="2">
        <v>0</v>
      </c>
      <c r="Q182" s="2" t="s">
        <v>3769</v>
      </c>
      <c r="R182" s="2" t="s">
        <v>3770</v>
      </c>
      <c r="S182" s="4">
        <v>44967</v>
      </c>
    </row>
    <row r="183" spans="1:19" ht="12.5" hidden="1" x14ac:dyDescent="0.25">
      <c r="A183" s="14" t="str">
        <f>HYPERLINK("https://gerandofalcoes.my.salesforce.com/0014X00002YggngQAB", "0014X00002YggngQAB")</f>
        <v>0014X00002YggngQAB</v>
      </c>
      <c r="B183" s="2" t="s">
        <v>3722</v>
      </c>
      <c r="C183" s="2" t="s">
        <v>1800</v>
      </c>
      <c r="D183" s="2" t="s">
        <v>2</v>
      </c>
      <c r="E183" s="2">
        <v>0</v>
      </c>
      <c r="F183" s="2">
        <v>0</v>
      </c>
      <c r="G183" s="2">
        <v>4</v>
      </c>
      <c r="H183" s="2">
        <v>13562</v>
      </c>
      <c r="I183" s="2">
        <v>0</v>
      </c>
      <c r="J183" s="2" t="s">
        <v>1779</v>
      </c>
      <c r="K183" s="2">
        <v>15</v>
      </c>
      <c r="L183" s="2">
        <v>0</v>
      </c>
      <c r="M183" s="2">
        <v>0</v>
      </c>
      <c r="N183" s="2">
        <v>10</v>
      </c>
      <c r="O183" s="2">
        <v>5</v>
      </c>
      <c r="P183" s="2">
        <v>0</v>
      </c>
      <c r="Q183" s="2" t="s">
        <v>3723</v>
      </c>
      <c r="R183" s="2" t="s">
        <v>3723</v>
      </c>
      <c r="S183" s="4">
        <v>44967</v>
      </c>
    </row>
    <row r="184" spans="1:19" ht="12.5" x14ac:dyDescent="0.25">
      <c r="A184" s="14" t="str">
        <f>HYPERLINK("https://gerandofalcoes.my.salesforce.com/0014X00002YgglaQAB", "0014X00002YgglaQAB")</f>
        <v>0014X00002YgglaQAB</v>
      </c>
      <c r="B184" s="2" t="s">
        <v>3802</v>
      </c>
      <c r="C184" s="2" t="s">
        <v>423</v>
      </c>
      <c r="D184" s="2" t="s">
        <v>2</v>
      </c>
      <c r="E184" s="2"/>
      <c r="F184" s="2">
        <v>10</v>
      </c>
      <c r="G184" s="2">
        <v>2</v>
      </c>
      <c r="H184" s="2">
        <v>6000</v>
      </c>
      <c r="I184" s="2">
        <v>25</v>
      </c>
      <c r="J184" s="2"/>
      <c r="K184" s="2">
        <v>26</v>
      </c>
      <c r="L184" s="2">
        <v>0</v>
      </c>
      <c r="M184" s="2">
        <v>10</v>
      </c>
      <c r="N184" s="2">
        <v>6</v>
      </c>
      <c r="O184" s="2">
        <v>5</v>
      </c>
      <c r="P184" s="2">
        <v>5</v>
      </c>
      <c r="Q184" s="2" t="s">
        <v>3803</v>
      </c>
      <c r="R184" s="2" t="s">
        <v>3804</v>
      </c>
      <c r="S184" s="4">
        <v>44970</v>
      </c>
    </row>
    <row r="185" spans="1:19" ht="12.5" x14ac:dyDescent="0.25">
      <c r="A185" s="14" t="str">
        <f>HYPERLINK("https://gerandofalcoes.my.salesforce.com/0014X00002YggoZQAR", "0014X00002YggoZQAR")</f>
        <v>0014X00002YggoZQAR</v>
      </c>
      <c r="B185" s="2" t="s">
        <v>3810</v>
      </c>
      <c r="C185" s="2" t="s">
        <v>423</v>
      </c>
      <c r="D185" s="2" t="s">
        <v>2</v>
      </c>
      <c r="E185" s="2"/>
      <c r="F185" s="2">
        <v>1</v>
      </c>
      <c r="G185" s="2">
        <v>2</v>
      </c>
      <c r="H185" s="2">
        <v>5000</v>
      </c>
      <c r="I185" s="2">
        <v>40</v>
      </c>
      <c r="J185" s="2"/>
      <c r="K185" s="2">
        <v>21</v>
      </c>
      <c r="L185" s="2">
        <v>0</v>
      </c>
      <c r="M185" s="2">
        <v>5</v>
      </c>
      <c r="N185" s="2">
        <v>6</v>
      </c>
      <c r="O185" s="2">
        <v>5</v>
      </c>
      <c r="P185" s="2">
        <v>5</v>
      </c>
      <c r="Q185" s="2" t="s">
        <v>3811</v>
      </c>
      <c r="R185" s="2" t="s">
        <v>3811</v>
      </c>
      <c r="S185" s="4">
        <v>44988</v>
      </c>
    </row>
    <row r="186" spans="1:19" ht="12.5" x14ac:dyDescent="0.25">
      <c r="A186" s="14" t="str">
        <f>HYPERLINK("https://gerandofalcoes.my.salesforce.com/0014X00002VKCqyQAH", "0014X00002VKCqyQAH")</f>
        <v>0014X00002VKCqyQAH</v>
      </c>
      <c r="B186" s="2" t="s">
        <v>3807</v>
      </c>
      <c r="C186" s="2" t="s">
        <v>423</v>
      </c>
      <c r="D186" s="2" t="s">
        <v>2</v>
      </c>
      <c r="E186" s="2">
        <v>40</v>
      </c>
      <c r="F186" s="2">
        <v>20</v>
      </c>
      <c r="G186" s="2">
        <v>3</v>
      </c>
      <c r="H186" s="2">
        <v>5000</v>
      </c>
      <c r="I186" s="2">
        <v>200</v>
      </c>
      <c r="J186" s="2" t="s">
        <v>1671</v>
      </c>
      <c r="K186" s="2">
        <v>52</v>
      </c>
      <c r="L186" s="2">
        <v>15</v>
      </c>
      <c r="M186" s="2">
        <v>12</v>
      </c>
      <c r="N186" s="2">
        <v>8</v>
      </c>
      <c r="O186" s="2">
        <v>5</v>
      </c>
      <c r="P186" s="2">
        <v>12</v>
      </c>
      <c r="Q186" s="2" t="s">
        <v>3808</v>
      </c>
      <c r="R186" s="2" t="s">
        <v>3809</v>
      </c>
      <c r="S186" s="4">
        <v>44986</v>
      </c>
    </row>
    <row r="187" spans="1:19" ht="12.5" x14ac:dyDescent="0.25">
      <c r="A187" s="14" t="str">
        <f>HYPERLINK("https://gerandofalcoes.my.salesforce.com/0014X00002YggiyQAB", "0014X00002YggiyQAB")</f>
        <v>0014X00002YggiyQAB</v>
      </c>
      <c r="B187" s="2" t="s">
        <v>3815</v>
      </c>
      <c r="C187" s="2" t="s">
        <v>423</v>
      </c>
      <c r="D187" s="2" t="s">
        <v>2</v>
      </c>
      <c r="E187" s="2"/>
      <c r="F187" s="2">
        <v>1</v>
      </c>
      <c r="G187" s="2">
        <v>3</v>
      </c>
      <c r="H187" s="2">
        <v>29000</v>
      </c>
      <c r="I187" s="2">
        <v>120</v>
      </c>
      <c r="J187" s="2"/>
      <c r="K187" s="2">
        <v>33</v>
      </c>
      <c r="L187" s="2">
        <v>0</v>
      </c>
      <c r="M187" s="2">
        <v>5</v>
      </c>
      <c r="N187" s="2">
        <v>8</v>
      </c>
      <c r="O187" s="2">
        <v>10</v>
      </c>
      <c r="P187" s="2">
        <v>10</v>
      </c>
      <c r="Q187" s="2" t="s">
        <v>3816</v>
      </c>
      <c r="R187" s="2" t="s">
        <v>3817</v>
      </c>
      <c r="S187" s="4">
        <v>44992</v>
      </c>
    </row>
    <row r="188" spans="1:19" ht="12.5" x14ac:dyDescent="0.25">
      <c r="A188" s="14" t="str">
        <f>HYPERLINK("https://gerandofalcoes.my.salesforce.com/0014X00002YggmOQAR", "0014X00002YggmOQAR")</f>
        <v>0014X00002YggmOQAR</v>
      </c>
      <c r="B188" s="2" t="s">
        <v>3818</v>
      </c>
      <c r="C188" s="2" t="s">
        <v>423</v>
      </c>
      <c r="D188" s="2" t="s">
        <v>2</v>
      </c>
      <c r="E188" s="2"/>
      <c r="F188" s="2">
        <v>4</v>
      </c>
      <c r="G188" s="2">
        <v>200</v>
      </c>
      <c r="H188" s="2">
        <v>3000</v>
      </c>
      <c r="I188" s="2">
        <v>200</v>
      </c>
      <c r="J188" s="2"/>
      <c r="K188" s="2">
        <v>32</v>
      </c>
      <c r="L188" s="2">
        <v>0</v>
      </c>
      <c r="M188" s="2">
        <v>5</v>
      </c>
      <c r="N188" s="2">
        <v>10</v>
      </c>
      <c r="O188" s="2">
        <v>5</v>
      </c>
      <c r="P188" s="2">
        <v>12</v>
      </c>
      <c r="Q188" s="2" t="s">
        <v>3819</v>
      </c>
      <c r="R188" s="2" t="s">
        <v>3820</v>
      </c>
      <c r="S188" s="4">
        <v>44992</v>
      </c>
    </row>
    <row r="189" spans="1:19" ht="12.5" x14ac:dyDescent="0.25">
      <c r="A189" s="14" t="str">
        <f>HYPERLINK("https://gerandofalcoes.my.salesforce.com/0014X00002YggnGQAR", "0014X00002YggnGQAR")</f>
        <v>0014X00002YggnGQAR</v>
      </c>
      <c r="B189" s="2" t="s">
        <v>3173</v>
      </c>
      <c r="C189" s="2" t="s">
        <v>423</v>
      </c>
      <c r="D189" s="2" t="s">
        <v>2</v>
      </c>
      <c r="E189" s="2"/>
      <c r="F189" s="2">
        <v>0</v>
      </c>
      <c r="G189" s="2">
        <v>3</v>
      </c>
      <c r="H189" s="2">
        <v>10000</v>
      </c>
      <c r="I189" s="2">
        <v>0</v>
      </c>
      <c r="J189" s="2"/>
      <c r="K189" s="2">
        <v>13</v>
      </c>
      <c r="L189" s="2">
        <v>0</v>
      </c>
      <c r="M189" s="2">
        <v>0</v>
      </c>
      <c r="N189" s="2">
        <v>8</v>
      </c>
      <c r="O189" s="2">
        <v>5</v>
      </c>
      <c r="P189" s="2">
        <v>0</v>
      </c>
      <c r="Q189" s="2" t="s">
        <v>3174</v>
      </c>
      <c r="R189" s="2" t="s">
        <v>3175</v>
      </c>
      <c r="S189" s="4">
        <v>44950</v>
      </c>
    </row>
    <row r="190" spans="1:19" ht="12.5" x14ac:dyDescent="0.25">
      <c r="A190" s="14" t="str">
        <f>HYPERLINK("https://gerandofalcoes.my.salesforce.com/0014X00002YggouQAB", "0014X00002YggouQAB")</f>
        <v>0014X00002YggouQAB</v>
      </c>
      <c r="B190" s="2" t="s">
        <v>3176</v>
      </c>
      <c r="C190" s="2" t="s">
        <v>423</v>
      </c>
      <c r="D190" s="2" t="s">
        <v>2</v>
      </c>
      <c r="E190" s="2"/>
      <c r="F190" s="2">
        <v>0</v>
      </c>
      <c r="G190" s="2">
        <v>2</v>
      </c>
      <c r="H190" s="2">
        <v>15000</v>
      </c>
      <c r="I190" s="2">
        <v>100</v>
      </c>
      <c r="J190" s="2"/>
      <c r="K190" s="2">
        <v>21</v>
      </c>
      <c r="L190" s="2">
        <v>0</v>
      </c>
      <c r="M190" s="2">
        <v>0</v>
      </c>
      <c r="N190" s="2">
        <v>6</v>
      </c>
      <c r="O190" s="2">
        <v>5</v>
      </c>
      <c r="P190" s="2">
        <v>10</v>
      </c>
      <c r="Q190" s="2" t="s">
        <v>3177</v>
      </c>
      <c r="R190" s="2" t="s">
        <v>3178</v>
      </c>
      <c r="S190" s="4">
        <v>44951</v>
      </c>
    </row>
    <row r="191" spans="1:19" ht="12.5" x14ac:dyDescent="0.25">
      <c r="A191" s="14" t="str">
        <f>HYPERLINK("https://gerandofalcoes.my.salesforce.com/0014X00002YggnKQAR", "0014X00002YggnKQAR")</f>
        <v>0014X00002YggnKQAR</v>
      </c>
      <c r="B191" s="2" t="s">
        <v>3207</v>
      </c>
      <c r="C191" s="2" t="s">
        <v>423</v>
      </c>
      <c r="D191" s="2" t="s">
        <v>2</v>
      </c>
      <c r="E191" s="2"/>
      <c r="F191" s="2">
        <v>0</v>
      </c>
      <c r="G191" s="2">
        <v>4</v>
      </c>
      <c r="H191" s="2">
        <v>83242522</v>
      </c>
      <c r="I191" s="2">
        <v>1117</v>
      </c>
      <c r="J191" s="2"/>
      <c r="K191" s="2">
        <v>55</v>
      </c>
      <c r="L191" s="2">
        <v>0</v>
      </c>
      <c r="M191" s="2">
        <v>0</v>
      </c>
      <c r="N191" s="2">
        <v>10</v>
      </c>
      <c r="O191" s="2">
        <v>25</v>
      </c>
      <c r="P191" s="2">
        <v>20</v>
      </c>
      <c r="Q191" s="2" t="s">
        <v>3208</v>
      </c>
      <c r="R191" s="2" t="s">
        <v>3209</v>
      </c>
      <c r="S191" s="4">
        <v>44951</v>
      </c>
    </row>
    <row r="192" spans="1:19" ht="12.5" x14ac:dyDescent="0.25">
      <c r="A192" s="14" t="str">
        <f>HYPERLINK("https://gerandofalcoes.my.salesforce.com/0014X00002Yggh0QAB", "0014X00002Yggh0QAB")</f>
        <v>0014X00002Yggh0QAB</v>
      </c>
      <c r="B192" s="2" t="s">
        <v>3220</v>
      </c>
      <c r="C192" s="2" t="s">
        <v>423</v>
      </c>
      <c r="D192" s="2" t="s">
        <v>2</v>
      </c>
      <c r="E192" s="2"/>
      <c r="F192" s="2">
        <v>10</v>
      </c>
      <c r="G192" s="2">
        <v>2</v>
      </c>
      <c r="H192" s="2">
        <v>10000</v>
      </c>
      <c r="I192" s="2">
        <v>65</v>
      </c>
      <c r="J192" s="2"/>
      <c r="K192" s="2">
        <v>26</v>
      </c>
      <c r="L192" s="2">
        <v>0</v>
      </c>
      <c r="M192" s="2">
        <v>10</v>
      </c>
      <c r="N192" s="2">
        <v>6</v>
      </c>
      <c r="O192" s="2">
        <v>5</v>
      </c>
      <c r="P192" s="2">
        <v>5</v>
      </c>
      <c r="Q192" s="2" t="s">
        <v>3221</v>
      </c>
      <c r="R192" s="2" t="s">
        <v>3221</v>
      </c>
      <c r="S192" s="4">
        <v>44951</v>
      </c>
    </row>
    <row r="193" spans="1:19" ht="12.5" x14ac:dyDescent="0.25">
      <c r="A193" s="14" t="str">
        <f>HYPERLINK("https://gerandofalcoes.my.salesforce.com/0014X00002YggiUQAR", "0014X00002YggiUQAR")</f>
        <v>0014X00002YggiUQAR</v>
      </c>
      <c r="B193" s="2" t="s">
        <v>3230</v>
      </c>
      <c r="C193" s="2" t="s">
        <v>423</v>
      </c>
      <c r="D193" s="2" t="s">
        <v>2</v>
      </c>
      <c r="E193" s="2"/>
      <c r="F193" s="2">
        <v>0</v>
      </c>
      <c r="G193" s="2">
        <v>3</v>
      </c>
      <c r="H193" s="2">
        <v>15000</v>
      </c>
      <c r="I193" s="2">
        <v>0</v>
      </c>
      <c r="J193" s="2"/>
      <c r="K193" s="2">
        <v>13</v>
      </c>
      <c r="L193" s="2">
        <v>0</v>
      </c>
      <c r="M193" s="2">
        <v>0</v>
      </c>
      <c r="N193" s="2">
        <v>8</v>
      </c>
      <c r="O193" s="2">
        <v>5</v>
      </c>
      <c r="P193" s="2">
        <v>0</v>
      </c>
      <c r="Q193" s="2" t="s">
        <v>3231</v>
      </c>
      <c r="R193" s="2" t="s">
        <v>3231</v>
      </c>
      <c r="S193" s="4">
        <v>44951</v>
      </c>
    </row>
    <row r="194" spans="1:19" ht="12.5" x14ac:dyDescent="0.25">
      <c r="A194" s="14" t="str">
        <f>HYPERLINK("https://gerandofalcoes.my.salesforce.com/0014X00002Yggi6QAB", "0014X00002Yggi6QAB")</f>
        <v>0014X00002Yggi6QAB</v>
      </c>
      <c r="B194" s="2" t="s">
        <v>3185</v>
      </c>
      <c r="C194" s="2" t="s">
        <v>423</v>
      </c>
      <c r="D194" s="2" t="s">
        <v>2</v>
      </c>
      <c r="E194" s="2"/>
      <c r="F194" s="2">
        <v>0</v>
      </c>
      <c r="G194" s="2">
        <v>2</v>
      </c>
      <c r="H194" s="2">
        <v>5000</v>
      </c>
      <c r="I194" s="2">
        <v>10</v>
      </c>
      <c r="J194" s="2"/>
      <c r="K194" s="2">
        <v>16</v>
      </c>
      <c r="L194" s="2">
        <v>0</v>
      </c>
      <c r="M194" s="2">
        <v>0</v>
      </c>
      <c r="N194" s="2">
        <v>6</v>
      </c>
      <c r="O194" s="2">
        <v>5</v>
      </c>
      <c r="P194" s="2">
        <v>5</v>
      </c>
      <c r="Q194" s="2" t="s">
        <v>3186</v>
      </c>
      <c r="R194" s="2" t="s">
        <v>3187</v>
      </c>
      <c r="S194" s="4">
        <v>44951</v>
      </c>
    </row>
    <row r="195" spans="1:19" ht="12.5" x14ac:dyDescent="0.25">
      <c r="A195" s="14" t="str">
        <f>HYPERLINK("https://gerandofalcoes.my.salesforce.com/0014X00002YggjOQAR", "0014X00002YggjOQAR")</f>
        <v>0014X00002YggjOQAR</v>
      </c>
      <c r="B195" s="2" t="s">
        <v>2649</v>
      </c>
      <c r="C195" s="2" t="s">
        <v>423</v>
      </c>
      <c r="D195" s="2" t="s">
        <v>2</v>
      </c>
      <c r="E195" s="2"/>
      <c r="F195" s="2">
        <v>0</v>
      </c>
      <c r="G195" s="2">
        <v>6</v>
      </c>
      <c r="H195" s="2">
        <v>0</v>
      </c>
      <c r="I195" s="2">
        <v>0</v>
      </c>
      <c r="J195" s="2"/>
      <c r="K195" s="2">
        <v>10</v>
      </c>
      <c r="L195" s="2">
        <v>0</v>
      </c>
      <c r="M195" s="2">
        <v>0</v>
      </c>
      <c r="N195" s="2">
        <v>10</v>
      </c>
      <c r="O195" s="2">
        <v>0</v>
      </c>
      <c r="P195" s="2">
        <v>0</v>
      </c>
      <c r="Q195" s="2" t="s">
        <v>3194</v>
      </c>
      <c r="R195" s="2" t="s">
        <v>3194</v>
      </c>
      <c r="S195" s="4">
        <v>44951</v>
      </c>
    </row>
    <row r="196" spans="1:19" ht="12.5" x14ac:dyDescent="0.25">
      <c r="A196" s="14" t="str">
        <f>HYPERLINK("https://gerandofalcoes.my.salesforce.com/0014X00002YggpNQAR", "0014X00002YggpNQAR")</f>
        <v>0014X00002YggpNQAR</v>
      </c>
      <c r="B196" s="2" t="s">
        <v>3191</v>
      </c>
      <c r="C196" s="2" t="s">
        <v>423</v>
      </c>
      <c r="D196" s="2" t="s">
        <v>2</v>
      </c>
      <c r="E196" s="2"/>
      <c r="F196" s="2">
        <v>0</v>
      </c>
      <c r="G196" s="2">
        <v>2</v>
      </c>
      <c r="H196" s="2">
        <v>3500</v>
      </c>
      <c r="I196" s="2">
        <v>25</v>
      </c>
      <c r="J196" s="2"/>
      <c r="K196" s="2">
        <v>16</v>
      </c>
      <c r="L196" s="2">
        <v>0</v>
      </c>
      <c r="M196" s="2">
        <v>0</v>
      </c>
      <c r="N196" s="2">
        <v>6</v>
      </c>
      <c r="O196" s="2">
        <v>5</v>
      </c>
      <c r="P196" s="2">
        <v>5</v>
      </c>
      <c r="Q196" s="2" t="s">
        <v>3192</v>
      </c>
      <c r="R196" s="2" t="s">
        <v>3193</v>
      </c>
      <c r="S196" s="4">
        <v>44951</v>
      </c>
    </row>
    <row r="197" spans="1:19" ht="12.5" x14ac:dyDescent="0.25">
      <c r="A197" s="14" t="str">
        <f>HYPERLINK("https://gerandofalcoes.my.salesforce.com/0014X00002YgglbQAB", "0014X00002YgglbQAB")</f>
        <v>0014X00002YgglbQAB</v>
      </c>
      <c r="B197" s="2" t="s">
        <v>3218</v>
      </c>
      <c r="C197" s="2" t="s">
        <v>423</v>
      </c>
      <c r="D197" s="2" t="s">
        <v>2</v>
      </c>
      <c r="E197" s="2"/>
      <c r="F197" s="2">
        <v>0</v>
      </c>
      <c r="G197" s="2">
        <v>3</v>
      </c>
      <c r="H197" s="2">
        <v>100000</v>
      </c>
      <c r="I197" s="2">
        <v>75</v>
      </c>
      <c r="J197" s="2"/>
      <c r="K197" s="2">
        <v>28</v>
      </c>
      <c r="L197" s="2">
        <v>0</v>
      </c>
      <c r="M197" s="2">
        <v>0</v>
      </c>
      <c r="N197" s="2">
        <v>8</v>
      </c>
      <c r="O197" s="2">
        <v>15</v>
      </c>
      <c r="P197" s="2">
        <v>5</v>
      </c>
      <c r="Q197" s="2" t="s">
        <v>3219</v>
      </c>
      <c r="R197" s="2" t="s">
        <v>3219</v>
      </c>
      <c r="S197" s="4">
        <v>44951</v>
      </c>
    </row>
    <row r="198" spans="1:19" ht="12.5" x14ac:dyDescent="0.25">
      <c r="A198" s="14" t="str">
        <f>HYPERLINK("https://gerandofalcoes.my.salesforce.com/0014X00002YgghvQAB", "0014X00002YgghvQAB")</f>
        <v>0014X00002YgghvQAB</v>
      </c>
      <c r="B198" s="2" t="s">
        <v>3179</v>
      </c>
      <c r="C198" s="2" t="s">
        <v>423</v>
      </c>
      <c r="D198" s="2" t="s">
        <v>2</v>
      </c>
      <c r="E198" s="2"/>
      <c r="F198" s="2">
        <v>18</v>
      </c>
      <c r="G198" s="2">
        <v>3</v>
      </c>
      <c r="H198" s="2">
        <v>100000</v>
      </c>
      <c r="I198" s="2">
        <v>850</v>
      </c>
      <c r="J198" s="2"/>
      <c r="K198" s="2">
        <v>55</v>
      </c>
      <c r="L198" s="2">
        <v>0</v>
      </c>
      <c r="M198" s="2">
        <v>12</v>
      </c>
      <c r="N198" s="2">
        <v>8</v>
      </c>
      <c r="O198" s="2">
        <v>15</v>
      </c>
      <c r="P198" s="2">
        <v>20</v>
      </c>
      <c r="Q198" s="2" t="s">
        <v>3180</v>
      </c>
      <c r="R198" s="2" t="s">
        <v>3181</v>
      </c>
      <c r="S198" s="4">
        <v>44951</v>
      </c>
    </row>
    <row r="199" spans="1:19" ht="12.5" x14ac:dyDescent="0.25">
      <c r="A199" s="14" t="str">
        <f>HYPERLINK("https://gerandofalcoes.my.salesforce.com/0014X00002YgbkpQAB", "0014X00002YgbkpQAB")</f>
        <v>0014X00002YgbkpQAB</v>
      </c>
      <c r="B199" s="2" t="s">
        <v>3200</v>
      </c>
      <c r="C199" s="2" t="s">
        <v>423</v>
      </c>
      <c r="D199" s="2" t="s">
        <v>2</v>
      </c>
      <c r="E199" s="2"/>
      <c r="F199" s="2">
        <v>0</v>
      </c>
      <c r="G199" s="2">
        <v>0</v>
      </c>
      <c r="H199" s="2">
        <v>0</v>
      </c>
      <c r="I199" s="2">
        <v>0</v>
      </c>
      <c r="J199" s="2"/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 t="s">
        <v>3201</v>
      </c>
      <c r="R199" s="2" t="s">
        <v>3201</v>
      </c>
      <c r="S199" s="4">
        <v>44951</v>
      </c>
    </row>
    <row r="200" spans="1:19" ht="12.5" x14ac:dyDescent="0.25">
      <c r="A200" s="14" t="str">
        <f>HYPERLINK("https://gerandofalcoes.my.salesforce.com/0014X00002YgglNQAR", "0014X00002YgglNQAR")</f>
        <v>0014X00002YgglNQAR</v>
      </c>
      <c r="B200" s="2" t="s">
        <v>3225</v>
      </c>
      <c r="C200" s="2" t="s">
        <v>423</v>
      </c>
      <c r="D200" s="2" t="s">
        <v>2</v>
      </c>
      <c r="E200" s="2"/>
      <c r="F200" s="2">
        <v>0</v>
      </c>
      <c r="G200" s="2">
        <v>2</v>
      </c>
      <c r="H200" s="2">
        <v>8000</v>
      </c>
      <c r="I200" s="2">
        <v>30</v>
      </c>
      <c r="J200" s="2"/>
      <c r="K200" s="2">
        <v>16</v>
      </c>
      <c r="L200" s="2">
        <v>0</v>
      </c>
      <c r="M200" s="2">
        <v>0</v>
      </c>
      <c r="N200" s="2">
        <v>6</v>
      </c>
      <c r="O200" s="2">
        <v>5</v>
      </c>
      <c r="P200" s="2">
        <v>5</v>
      </c>
      <c r="Q200" s="2" t="s">
        <v>3226</v>
      </c>
      <c r="R200" s="2" t="s">
        <v>3227</v>
      </c>
      <c r="S200" s="4">
        <v>44951</v>
      </c>
    </row>
    <row r="201" spans="1:19" ht="12.5" x14ac:dyDescent="0.25">
      <c r="A201" s="14" t="str">
        <f>HYPERLINK("https://gerandofalcoes.my.salesforce.com/0014X00002YggiDQAR", "0014X00002YggiDQAR")</f>
        <v>0014X00002YggiDQAR</v>
      </c>
      <c r="B201" s="2" t="s">
        <v>3400</v>
      </c>
      <c r="C201" s="2" t="s">
        <v>423</v>
      </c>
      <c r="D201" s="2" t="s">
        <v>2</v>
      </c>
      <c r="E201" s="2"/>
      <c r="F201" s="2">
        <v>3</v>
      </c>
      <c r="G201" s="2">
        <v>6</v>
      </c>
      <c r="H201" s="2">
        <v>315738</v>
      </c>
      <c r="I201" s="2">
        <v>8</v>
      </c>
      <c r="J201" s="2"/>
      <c r="K201" s="2">
        <v>40</v>
      </c>
      <c r="L201" s="2">
        <v>0</v>
      </c>
      <c r="M201" s="2">
        <v>5</v>
      </c>
      <c r="N201" s="2">
        <v>10</v>
      </c>
      <c r="O201" s="2">
        <v>20</v>
      </c>
      <c r="P201" s="2">
        <v>5</v>
      </c>
      <c r="Q201" s="2" t="s">
        <v>3401</v>
      </c>
      <c r="R201" s="2" t="s">
        <v>3402</v>
      </c>
      <c r="S201" s="4">
        <v>44958</v>
      </c>
    </row>
    <row r="202" spans="1:19" ht="12.5" x14ac:dyDescent="0.25">
      <c r="A202" s="14" t="str">
        <f>HYPERLINK("https://gerandofalcoes.my.salesforce.com/0014X00002YgglwQAB", "0014X00002YgglwQAB")</f>
        <v>0014X00002YgglwQAB</v>
      </c>
      <c r="B202" s="2" t="s">
        <v>3416</v>
      </c>
      <c r="C202" s="2" t="s">
        <v>423</v>
      </c>
      <c r="D202" s="2" t="s">
        <v>2</v>
      </c>
      <c r="E202" s="2"/>
      <c r="F202" s="2">
        <v>6</v>
      </c>
      <c r="G202" s="2">
        <v>6</v>
      </c>
      <c r="H202" s="2">
        <v>60000</v>
      </c>
      <c r="I202" s="2">
        <v>30</v>
      </c>
      <c r="J202" s="2"/>
      <c r="K202" s="2">
        <v>35</v>
      </c>
      <c r="L202" s="2">
        <v>0</v>
      </c>
      <c r="M202" s="2">
        <v>10</v>
      </c>
      <c r="N202" s="2">
        <v>10</v>
      </c>
      <c r="O202" s="2">
        <v>10</v>
      </c>
      <c r="P202" s="2">
        <v>5</v>
      </c>
      <c r="Q202" s="2" t="s">
        <v>3417</v>
      </c>
      <c r="R202" s="2" t="s">
        <v>3418</v>
      </c>
      <c r="S202" s="4">
        <v>44958</v>
      </c>
    </row>
    <row r="203" spans="1:19" ht="12.5" x14ac:dyDescent="0.25">
      <c r="A203" s="14" t="str">
        <f>HYPERLINK("https://gerandofalcoes.my.salesforce.com/0014X00002YggjLQAR", "0014X00002YggjLQAR")</f>
        <v>0014X00002YggjLQAR</v>
      </c>
      <c r="B203" s="2" t="s">
        <v>3489</v>
      </c>
      <c r="C203" s="2" t="s">
        <v>423</v>
      </c>
      <c r="D203" s="2" t="s">
        <v>2</v>
      </c>
      <c r="E203" s="2"/>
      <c r="F203" s="2">
        <v>0</v>
      </c>
      <c r="G203" s="2">
        <v>2</v>
      </c>
      <c r="H203" s="2">
        <v>1000</v>
      </c>
      <c r="I203" s="2">
        <v>70</v>
      </c>
      <c r="J203" s="2"/>
      <c r="K203" s="2">
        <v>16</v>
      </c>
      <c r="L203" s="2">
        <v>0</v>
      </c>
      <c r="M203" s="2">
        <v>0</v>
      </c>
      <c r="N203" s="2">
        <v>6</v>
      </c>
      <c r="O203" s="2">
        <v>5</v>
      </c>
      <c r="P203" s="2">
        <v>5</v>
      </c>
      <c r="Q203" s="2" t="s">
        <v>3490</v>
      </c>
      <c r="R203" s="2" t="s">
        <v>3491</v>
      </c>
      <c r="S203" s="4">
        <v>44958</v>
      </c>
    </row>
    <row r="204" spans="1:19" ht="12.5" x14ac:dyDescent="0.25">
      <c r="A204" s="14" t="str">
        <f>HYPERLINK("https://gerandofalcoes.my.salesforce.com/0014X00002YggnnQAB", "0014X00002YggnnQAB")</f>
        <v>0014X00002YggnnQAB</v>
      </c>
      <c r="B204" s="2" t="s">
        <v>3405</v>
      </c>
      <c r="C204" s="2" t="s">
        <v>423</v>
      </c>
      <c r="D204" s="2" t="s">
        <v>2</v>
      </c>
      <c r="E204" s="2"/>
      <c r="F204" s="2">
        <v>0</v>
      </c>
      <c r="G204" s="2">
        <v>3</v>
      </c>
      <c r="H204" s="2">
        <v>135000</v>
      </c>
      <c r="I204" s="2">
        <v>50</v>
      </c>
      <c r="J204" s="2"/>
      <c r="K204" s="2">
        <v>28</v>
      </c>
      <c r="L204" s="2">
        <v>0</v>
      </c>
      <c r="M204" s="2">
        <v>0</v>
      </c>
      <c r="N204" s="2">
        <v>8</v>
      </c>
      <c r="O204" s="2">
        <v>15</v>
      </c>
      <c r="P204" s="2">
        <v>5</v>
      </c>
      <c r="Q204" s="2" t="s">
        <v>3406</v>
      </c>
      <c r="R204" s="2" t="s">
        <v>3407</v>
      </c>
      <c r="S204" s="4">
        <v>44958</v>
      </c>
    </row>
    <row r="205" spans="1:19" ht="12.5" x14ac:dyDescent="0.25">
      <c r="A205" s="14" t="str">
        <f>HYPERLINK("https://gerandofalcoes.my.salesforce.com/0014X00002Yggp4QAB", "0014X00002Yggp4QAB")</f>
        <v>0014X00002Yggp4QAB</v>
      </c>
      <c r="B205" s="2" t="s">
        <v>3447</v>
      </c>
      <c r="C205" s="2" t="s">
        <v>423</v>
      </c>
      <c r="D205" s="2" t="s">
        <v>2</v>
      </c>
      <c r="E205" s="2"/>
      <c r="F205" s="2">
        <v>0</v>
      </c>
      <c r="G205" s="2">
        <v>5</v>
      </c>
      <c r="H205" s="2">
        <v>2000</v>
      </c>
      <c r="I205" s="2">
        <v>150</v>
      </c>
      <c r="J205" s="2"/>
      <c r="K205" s="2">
        <v>27</v>
      </c>
      <c r="L205" s="2">
        <v>0</v>
      </c>
      <c r="M205" s="2">
        <v>0</v>
      </c>
      <c r="N205" s="2">
        <v>10</v>
      </c>
      <c r="O205" s="2">
        <v>5</v>
      </c>
      <c r="P205" s="2">
        <v>12</v>
      </c>
      <c r="Q205" s="2" t="s">
        <v>3448</v>
      </c>
      <c r="R205" s="2" t="s">
        <v>3448</v>
      </c>
      <c r="S205" s="4">
        <v>44958</v>
      </c>
    </row>
    <row r="206" spans="1:19" ht="12.5" x14ac:dyDescent="0.25">
      <c r="A206" s="14" t="str">
        <f>HYPERLINK("https://gerandofalcoes.my.salesforce.com/0014X00002YgghnQAB", "0014X00002YgghnQAB")</f>
        <v>0014X00002YgghnQAB</v>
      </c>
      <c r="B206" s="2" t="s">
        <v>3470</v>
      </c>
      <c r="C206" s="2" t="s">
        <v>423</v>
      </c>
      <c r="D206" s="2" t="s">
        <v>2</v>
      </c>
      <c r="E206" s="2"/>
      <c r="F206" s="2">
        <v>20</v>
      </c>
      <c r="G206" s="2">
        <v>3</v>
      </c>
      <c r="H206" s="2">
        <v>263610</v>
      </c>
      <c r="I206" s="2">
        <v>180</v>
      </c>
      <c r="J206" s="2"/>
      <c r="K206" s="2">
        <v>47</v>
      </c>
      <c r="L206" s="2">
        <v>0</v>
      </c>
      <c r="M206" s="2">
        <v>12</v>
      </c>
      <c r="N206" s="2">
        <v>8</v>
      </c>
      <c r="O206" s="2">
        <v>15</v>
      </c>
      <c r="P206" s="2">
        <v>12</v>
      </c>
      <c r="Q206" s="2" t="s">
        <v>3471</v>
      </c>
      <c r="R206" s="2" t="s">
        <v>3472</v>
      </c>
      <c r="S206" s="4">
        <v>44958</v>
      </c>
    </row>
    <row r="207" spans="1:19" ht="12.5" x14ac:dyDescent="0.25">
      <c r="A207" s="14" t="str">
        <f>HYPERLINK("https://gerandofalcoes.my.salesforce.com/0014X00002YgggqQAB", "0014X00002YgggqQAB")</f>
        <v>0014X00002YgggqQAB</v>
      </c>
      <c r="B207" s="2" t="s">
        <v>3522</v>
      </c>
      <c r="C207" s="2" t="s">
        <v>423</v>
      </c>
      <c r="D207" s="2" t="s">
        <v>2</v>
      </c>
      <c r="E207" s="2"/>
      <c r="F207" s="2">
        <v>0</v>
      </c>
      <c r="G207" s="2">
        <v>3</v>
      </c>
      <c r="H207" s="2">
        <v>30000</v>
      </c>
      <c r="I207" s="2">
        <v>0</v>
      </c>
      <c r="J207" s="2"/>
      <c r="K207" s="2">
        <v>18</v>
      </c>
      <c r="L207" s="2">
        <v>0</v>
      </c>
      <c r="M207" s="2">
        <v>0</v>
      </c>
      <c r="N207" s="2">
        <v>8</v>
      </c>
      <c r="O207" s="2">
        <v>10</v>
      </c>
      <c r="P207" s="2">
        <v>0</v>
      </c>
      <c r="Q207" s="2" t="s">
        <v>3523</v>
      </c>
      <c r="R207" s="2" t="s">
        <v>3523</v>
      </c>
      <c r="S207" s="4">
        <v>44958</v>
      </c>
    </row>
    <row r="208" spans="1:19" ht="12.5" x14ac:dyDescent="0.25">
      <c r="A208" s="14" t="str">
        <f>HYPERLINK("https://gerandofalcoes.my.salesforce.com/0014X00002YggkvQAB", "0014X00002YggkvQAB")</f>
        <v>0014X00002YggkvQAB</v>
      </c>
      <c r="B208" s="2" t="s">
        <v>3494</v>
      </c>
      <c r="C208" s="2" t="s">
        <v>423</v>
      </c>
      <c r="D208" s="2" t="s">
        <v>2</v>
      </c>
      <c r="E208" s="2"/>
      <c r="F208" s="2">
        <v>5</v>
      </c>
      <c r="G208" s="2">
        <v>2</v>
      </c>
      <c r="H208" s="2">
        <v>250</v>
      </c>
      <c r="I208" s="2">
        <v>50</v>
      </c>
      <c r="J208" s="2"/>
      <c r="K208" s="2">
        <v>21</v>
      </c>
      <c r="L208" s="2">
        <v>0</v>
      </c>
      <c r="M208" s="2">
        <v>5</v>
      </c>
      <c r="N208" s="2">
        <v>6</v>
      </c>
      <c r="O208" s="2">
        <v>5</v>
      </c>
      <c r="P208" s="2">
        <v>5</v>
      </c>
      <c r="Q208" s="2" t="s">
        <v>3495</v>
      </c>
      <c r="R208" s="2" t="s">
        <v>3496</v>
      </c>
      <c r="S208" s="4">
        <v>44958</v>
      </c>
    </row>
    <row r="209" spans="1:19" ht="12.5" x14ac:dyDescent="0.25">
      <c r="A209" s="14" t="str">
        <f>HYPERLINK("https://gerandofalcoes.my.salesforce.com/0014X00002YggluQAB", "0014X00002YggluQAB")</f>
        <v>0014X00002YggluQAB</v>
      </c>
      <c r="B209" s="2" t="s">
        <v>3524</v>
      </c>
      <c r="C209" s="2" t="s">
        <v>423</v>
      </c>
      <c r="D209" s="2" t="s">
        <v>2</v>
      </c>
      <c r="E209" s="2"/>
      <c r="F209" s="2">
        <v>0</v>
      </c>
      <c r="G209" s="2">
        <v>2</v>
      </c>
      <c r="H209" s="2">
        <v>3745000</v>
      </c>
      <c r="I209" s="2">
        <v>0</v>
      </c>
      <c r="J209" s="2"/>
      <c r="K209" s="2">
        <v>31</v>
      </c>
      <c r="L209" s="2">
        <v>0</v>
      </c>
      <c r="M209" s="2">
        <v>0</v>
      </c>
      <c r="N209" s="2">
        <v>6</v>
      </c>
      <c r="O209" s="2">
        <v>25</v>
      </c>
      <c r="P209" s="2">
        <v>0</v>
      </c>
      <c r="Q209" s="2" t="s">
        <v>3525</v>
      </c>
      <c r="R209" s="2" t="s">
        <v>3526</v>
      </c>
      <c r="S209" s="4">
        <v>44958</v>
      </c>
    </row>
    <row r="210" spans="1:19" ht="12.5" x14ac:dyDescent="0.25">
      <c r="A210" s="14" t="str">
        <f>HYPERLINK("https://gerandofalcoes.my.salesforce.com/0014X00002Yggk5QAB", "0014X00002Yggk5QAB")</f>
        <v>0014X00002Yggk5QAB</v>
      </c>
      <c r="B210" s="2" t="s">
        <v>3413</v>
      </c>
      <c r="C210" s="2" t="s">
        <v>423</v>
      </c>
      <c r="D210" s="2" t="s">
        <v>2</v>
      </c>
      <c r="E210" s="2"/>
      <c r="F210" s="2">
        <v>27</v>
      </c>
      <c r="G210" s="2">
        <v>4</v>
      </c>
      <c r="H210" s="2">
        <v>30000</v>
      </c>
      <c r="I210" s="2">
        <v>25</v>
      </c>
      <c r="J210" s="2"/>
      <c r="K210" s="2">
        <v>37</v>
      </c>
      <c r="L210" s="2">
        <v>0</v>
      </c>
      <c r="M210" s="2">
        <v>12</v>
      </c>
      <c r="N210" s="2">
        <v>10</v>
      </c>
      <c r="O210" s="2">
        <v>10</v>
      </c>
      <c r="P210" s="2">
        <v>5</v>
      </c>
      <c r="Q210" s="2" t="s">
        <v>3414</v>
      </c>
      <c r="R210" s="2" t="s">
        <v>3415</v>
      </c>
      <c r="S210" s="4">
        <v>44958</v>
      </c>
    </row>
    <row r="211" spans="1:19" ht="12.5" x14ac:dyDescent="0.25">
      <c r="A211" s="14" t="str">
        <f>HYPERLINK("https://gerandofalcoes.my.salesforce.com/0014X00002Yggl1QAB", "0014X00002Yggl1QAB")</f>
        <v>0014X00002Yggl1QAB</v>
      </c>
      <c r="B211" s="2" t="s">
        <v>3530</v>
      </c>
      <c r="C211" s="2" t="s">
        <v>423</v>
      </c>
      <c r="D211" s="2" t="s">
        <v>2</v>
      </c>
      <c r="E211" s="2"/>
      <c r="F211" s="2">
        <v>0</v>
      </c>
      <c r="G211" s="2">
        <v>2</v>
      </c>
      <c r="H211" s="2">
        <v>1000</v>
      </c>
      <c r="I211" s="2">
        <v>0</v>
      </c>
      <c r="J211" s="2"/>
      <c r="K211" s="2">
        <v>11</v>
      </c>
      <c r="L211" s="2">
        <v>0</v>
      </c>
      <c r="M211" s="2">
        <v>0</v>
      </c>
      <c r="N211" s="2">
        <v>6</v>
      </c>
      <c r="O211" s="2">
        <v>5</v>
      </c>
      <c r="P211" s="2">
        <v>0</v>
      </c>
      <c r="Q211" s="2" t="s">
        <v>3531</v>
      </c>
      <c r="R211" s="2" t="s">
        <v>3531</v>
      </c>
      <c r="S211" s="4">
        <v>44958</v>
      </c>
    </row>
    <row r="212" spans="1:19" ht="12.5" x14ac:dyDescent="0.25">
      <c r="A212" s="14" t="str">
        <f>HYPERLINK("https://gerandofalcoes.my.salesforce.com/0014X00002YgggHQAR", "0014X00002YgggHQAR")</f>
        <v>0014X00002YgggHQAR</v>
      </c>
      <c r="B212" s="2" t="s">
        <v>3512</v>
      </c>
      <c r="C212" s="2" t="s">
        <v>423</v>
      </c>
      <c r="D212" s="2" t="s">
        <v>2</v>
      </c>
      <c r="E212" s="2"/>
      <c r="F212" s="2">
        <v>15</v>
      </c>
      <c r="G212" s="2">
        <v>4</v>
      </c>
      <c r="H212" s="2">
        <v>23000</v>
      </c>
      <c r="I212" s="2">
        <v>0</v>
      </c>
      <c r="J212" s="2"/>
      <c r="K212" s="2">
        <v>27</v>
      </c>
      <c r="L212" s="2">
        <v>0</v>
      </c>
      <c r="M212" s="2">
        <v>12</v>
      </c>
      <c r="N212" s="2">
        <v>10</v>
      </c>
      <c r="O212" s="2">
        <v>5</v>
      </c>
      <c r="P212" s="2">
        <v>0</v>
      </c>
      <c r="Q212" s="2" t="s">
        <v>3513</v>
      </c>
      <c r="R212" s="2" t="s">
        <v>3514</v>
      </c>
      <c r="S212" s="4">
        <v>44958</v>
      </c>
    </row>
    <row r="213" spans="1:19" ht="12.5" x14ac:dyDescent="0.25">
      <c r="A213" s="14" t="str">
        <f>HYPERLINK("https://gerandofalcoes.my.salesforce.com/0014X00002YgghaQAB", "0014X00002YgghaQAB")</f>
        <v>0014X00002YgghaQAB</v>
      </c>
      <c r="B213" s="2" t="s">
        <v>3580</v>
      </c>
      <c r="C213" s="2" t="s">
        <v>423</v>
      </c>
      <c r="D213" s="2" t="s">
        <v>2</v>
      </c>
      <c r="E213" s="2"/>
      <c r="F213" s="2">
        <v>0</v>
      </c>
      <c r="G213" s="2">
        <v>3</v>
      </c>
      <c r="H213" s="2">
        <v>11000</v>
      </c>
      <c r="I213" s="2">
        <v>100</v>
      </c>
      <c r="J213" s="2"/>
      <c r="K213" s="2">
        <v>23</v>
      </c>
      <c r="L213" s="2">
        <v>0</v>
      </c>
      <c r="M213" s="2">
        <v>0</v>
      </c>
      <c r="N213" s="2">
        <v>8</v>
      </c>
      <c r="O213" s="2">
        <v>5</v>
      </c>
      <c r="P213" s="2">
        <v>10</v>
      </c>
      <c r="Q213" s="2" t="s">
        <v>3581</v>
      </c>
      <c r="R213" s="2" t="s">
        <v>3582</v>
      </c>
      <c r="S213" s="4">
        <v>44961</v>
      </c>
    </row>
    <row r="214" spans="1:19" ht="12.5" x14ac:dyDescent="0.25">
      <c r="A214" s="14" t="str">
        <f>HYPERLINK("https://gerandofalcoes.my.salesforce.com/0014X00002bCkLgQAK", "0014X00002bCkLgQAK")</f>
        <v>0014X00002bCkLgQAK</v>
      </c>
      <c r="B214" s="2" t="s">
        <v>3657</v>
      </c>
      <c r="C214" s="2" t="s">
        <v>423</v>
      </c>
      <c r="D214" s="2" t="s">
        <v>2</v>
      </c>
      <c r="E214" s="2"/>
      <c r="F214" s="2">
        <v>6</v>
      </c>
      <c r="G214" s="2">
        <v>7</v>
      </c>
      <c r="H214" s="2">
        <v>20000</v>
      </c>
      <c r="I214" s="2">
        <v>0</v>
      </c>
      <c r="J214" s="2"/>
      <c r="K214" s="2">
        <v>25</v>
      </c>
      <c r="L214" s="2">
        <v>0</v>
      </c>
      <c r="M214" s="2">
        <v>10</v>
      </c>
      <c r="N214" s="2">
        <v>10</v>
      </c>
      <c r="O214" s="2">
        <v>5</v>
      </c>
      <c r="P214" s="2">
        <v>0</v>
      </c>
      <c r="Q214" s="2" t="s">
        <v>3658</v>
      </c>
      <c r="R214" s="2" t="s">
        <v>3659</v>
      </c>
      <c r="S214" s="4">
        <v>44964</v>
      </c>
    </row>
    <row r="215" spans="1:19" ht="12.5" x14ac:dyDescent="0.25">
      <c r="A215" s="14" t="str">
        <f>HYPERLINK("https://gerandofalcoes.my.salesforce.com/0014X00002YgggkQAB", "0014X00002YgggkQAB")</f>
        <v>0014X00002YgggkQAB</v>
      </c>
      <c r="B215" s="2" t="s">
        <v>3692</v>
      </c>
      <c r="C215" s="2" t="s">
        <v>423</v>
      </c>
      <c r="D215" s="2" t="s">
        <v>2</v>
      </c>
      <c r="E215" s="2"/>
      <c r="F215" s="2">
        <v>1</v>
      </c>
      <c r="G215" s="2">
        <v>3</v>
      </c>
      <c r="H215" s="2">
        <v>51325</v>
      </c>
      <c r="I215" s="2">
        <v>600</v>
      </c>
      <c r="J215" s="2"/>
      <c r="K215" s="2">
        <v>43</v>
      </c>
      <c r="L215" s="2">
        <v>0</v>
      </c>
      <c r="M215" s="2">
        <v>5</v>
      </c>
      <c r="N215" s="2">
        <v>8</v>
      </c>
      <c r="O215" s="2">
        <v>10</v>
      </c>
      <c r="P215" s="2">
        <v>20</v>
      </c>
      <c r="Q215" s="2" t="s">
        <v>3693</v>
      </c>
      <c r="R215" s="2" t="s">
        <v>3694</v>
      </c>
      <c r="S215" s="4">
        <v>44967</v>
      </c>
    </row>
    <row r="216" spans="1:19" ht="12.5" x14ac:dyDescent="0.25">
      <c r="A216" s="14" t="str">
        <f>HYPERLINK("https://gerandofalcoes.my.salesforce.com/0014X00002Yggp7QAB", "0014X00002Yggp7QAB")</f>
        <v>0014X00002Yggp7QAB</v>
      </c>
      <c r="B216" s="2" t="s">
        <v>3250</v>
      </c>
      <c r="C216" s="2" t="s">
        <v>423</v>
      </c>
      <c r="D216" s="2" t="s">
        <v>2</v>
      </c>
      <c r="E216" s="2"/>
      <c r="F216" s="2">
        <v>0</v>
      </c>
      <c r="G216" s="2">
        <v>3</v>
      </c>
      <c r="H216" s="2">
        <v>45500</v>
      </c>
      <c r="I216" s="2">
        <v>500</v>
      </c>
      <c r="J216" s="2"/>
      <c r="K216" s="2">
        <v>38</v>
      </c>
      <c r="L216" s="2">
        <v>0</v>
      </c>
      <c r="M216" s="2">
        <v>0</v>
      </c>
      <c r="N216" s="2">
        <v>8</v>
      </c>
      <c r="O216" s="2">
        <v>10</v>
      </c>
      <c r="P216" s="2">
        <v>20</v>
      </c>
      <c r="Q216" s="2" t="s">
        <v>3251</v>
      </c>
      <c r="R216" s="2" t="s">
        <v>3252</v>
      </c>
      <c r="S216" s="4">
        <v>44952</v>
      </c>
    </row>
    <row r="217" spans="1:19" ht="12.5" x14ac:dyDescent="0.25">
      <c r="A217" s="14" t="str">
        <f>HYPERLINK("https://gerandofalcoes.my.salesforce.com/0014X00002YggpsQAB", "0014X00002YggpsQAB")</f>
        <v>0014X00002YggpsQAB</v>
      </c>
      <c r="B217" s="2" t="s">
        <v>3291</v>
      </c>
      <c r="C217" s="2" t="s">
        <v>423</v>
      </c>
      <c r="D217" s="2" t="s">
        <v>2</v>
      </c>
      <c r="E217" s="2"/>
      <c r="F217" s="2">
        <v>3</v>
      </c>
      <c r="G217" s="2">
        <v>2</v>
      </c>
      <c r="H217" s="2">
        <v>1000</v>
      </c>
      <c r="I217" s="2">
        <v>1</v>
      </c>
      <c r="J217" s="2"/>
      <c r="K217" s="2">
        <v>21</v>
      </c>
      <c r="L217" s="2">
        <v>0</v>
      </c>
      <c r="M217" s="2">
        <v>5</v>
      </c>
      <c r="N217" s="2">
        <v>6</v>
      </c>
      <c r="O217" s="2">
        <v>5</v>
      </c>
      <c r="P217" s="2">
        <v>5</v>
      </c>
      <c r="Q217" s="2" t="s">
        <v>3292</v>
      </c>
      <c r="R217" s="2" t="s">
        <v>3293</v>
      </c>
      <c r="S217" s="4">
        <v>44952</v>
      </c>
    </row>
    <row r="218" spans="1:19" ht="12.5" x14ac:dyDescent="0.25">
      <c r="A218" s="14" t="str">
        <f>HYPERLINK("https://gerandofalcoes.my.salesforce.com/0014X00002YggoSQAR", "0014X00002YggoSQAR")</f>
        <v>0014X00002YggoSQAR</v>
      </c>
      <c r="B218" s="2" t="s">
        <v>3238</v>
      </c>
      <c r="C218" s="2" t="s">
        <v>423</v>
      </c>
      <c r="D218" s="2" t="s">
        <v>2</v>
      </c>
      <c r="E218" s="2"/>
      <c r="F218" s="2">
        <v>15</v>
      </c>
      <c r="G218" s="2">
        <v>7</v>
      </c>
      <c r="H218" s="2">
        <v>3101114</v>
      </c>
      <c r="I218" s="2">
        <v>145</v>
      </c>
      <c r="J218" s="2"/>
      <c r="K218" s="2">
        <v>57</v>
      </c>
      <c r="L218" s="2">
        <v>0</v>
      </c>
      <c r="M218" s="2">
        <v>12</v>
      </c>
      <c r="N218" s="2">
        <v>10</v>
      </c>
      <c r="O218" s="2">
        <v>25</v>
      </c>
      <c r="P218" s="2">
        <v>10</v>
      </c>
      <c r="Q218" s="2" t="s">
        <v>3239</v>
      </c>
      <c r="R218" s="2" t="s">
        <v>3240</v>
      </c>
      <c r="S218" s="4">
        <v>44952</v>
      </c>
    </row>
    <row r="219" spans="1:19" ht="12.5" x14ac:dyDescent="0.25">
      <c r="A219" s="14" t="str">
        <f>HYPERLINK("https://gerandofalcoes.my.salesforce.com/0014X00002YggjEQAR", "0014X00002YggjEQAR")</f>
        <v>0014X00002YggjEQAR</v>
      </c>
      <c r="B219" s="2" t="s">
        <v>3235</v>
      </c>
      <c r="C219" s="2" t="s">
        <v>423</v>
      </c>
      <c r="D219" s="2" t="s">
        <v>2</v>
      </c>
      <c r="E219" s="2"/>
      <c r="F219" s="2">
        <v>5</v>
      </c>
      <c r="G219" s="2">
        <v>3</v>
      </c>
      <c r="H219" s="2">
        <v>238000</v>
      </c>
      <c r="I219" s="2">
        <v>340</v>
      </c>
      <c r="J219" s="2"/>
      <c r="K219" s="2">
        <v>43</v>
      </c>
      <c r="L219" s="2">
        <v>0</v>
      </c>
      <c r="M219" s="2">
        <v>5</v>
      </c>
      <c r="N219" s="2">
        <v>8</v>
      </c>
      <c r="O219" s="2">
        <v>15</v>
      </c>
      <c r="P219" s="2">
        <v>15</v>
      </c>
      <c r="Q219" s="2" t="s">
        <v>3236</v>
      </c>
      <c r="R219" s="2" t="s">
        <v>3237</v>
      </c>
      <c r="S219" s="4">
        <v>44952</v>
      </c>
    </row>
    <row r="220" spans="1:19" ht="12.5" x14ac:dyDescent="0.25">
      <c r="A220" s="14" t="str">
        <f>HYPERLINK("https://gerandofalcoes.my.salesforce.com/0014X00002YgggZQAR", "0014X00002YgggZQAR")</f>
        <v>0014X00002YgggZQAR</v>
      </c>
      <c r="B220" s="2" t="s">
        <v>3278</v>
      </c>
      <c r="C220" s="2" t="s">
        <v>423</v>
      </c>
      <c r="D220" s="2" t="s">
        <v>2</v>
      </c>
      <c r="E220" s="2"/>
      <c r="F220" s="2">
        <v>7</v>
      </c>
      <c r="G220" s="2">
        <v>3</v>
      </c>
      <c r="H220" s="2">
        <v>116906</v>
      </c>
      <c r="I220" s="2">
        <v>110</v>
      </c>
      <c r="J220" s="2"/>
      <c r="K220" s="2">
        <v>43</v>
      </c>
      <c r="L220" s="2">
        <v>0</v>
      </c>
      <c r="M220" s="2">
        <v>10</v>
      </c>
      <c r="N220" s="2">
        <v>8</v>
      </c>
      <c r="O220" s="2">
        <v>15</v>
      </c>
      <c r="P220" s="2">
        <v>10</v>
      </c>
      <c r="Q220" s="2" t="s">
        <v>3279</v>
      </c>
      <c r="R220" s="2" t="s">
        <v>3280</v>
      </c>
      <c r="S220" s="4">
        <v>44952</v>
      </c>
    </row>
    <row r="221" spans="1:19" ht="12.5" x14ac:dyDescent="0.25">
      <c r="A221" s="14" t="str">
        <f>HYPERLINK("https://gerandofalcoes.my.salesforce.com/0014X00002YgggrQAB", "0014X00002YgggrQAB")</f>
        <v>0014X00002YgggrQAB</v>
      </c>
      <c r="B221" s="2" t="s">
        <v>3232</v>
      </c>
      <c r="C221" s="2" t="s">
        <v>423</v>
      </c>
      <c r="D221" s="2" t="s">
        <v>2</v>
      </c>
      <c r="E221" s="2"/>
      <c r="F221" s="2">
        <v>0</v>
      </c>
      <c r="G221" s="2">
        <v>6</v>
      </c>
      <c r="H221" s="2">
        <v>50000</v>
      </c>
      <c r="I221" s="2">
        <v>84</v>
      </c>
      <c r="J221" s="2"/>
      <c r="K221" s="2">
        <v>30</v>
      </c>
      <c r="L221" s="2">
        <v>0</v>
      </c>
      <c r="M221" s="2">
        <v>0</v>
      </c>
      <c r="N221" s="2">
        <v>10</v>
      </c>
      <c r="O221" s="2">
        <v>10</v>
      </c>
      <c r="P221" s="2">
        <v>10</v>
      </c>
      <c r="Q221" s="2" t="s">
        <v>3233</v>
      </c>
      <c r="R221" s="2" t="s">
        <v>3234</v>
      </c>
      <c r="S221" s="4">
        <v>44952</v>
      </c>
    </row>
    <row r="222" spans="1:19" ht="12.5" x14ac:dyDescent="0.25">
      <c r="A222" s="14" t="str">
        <f>HYPERLINK("https://gerandofalcoes.my.salesforce.com/0014X00002bCkJzQAK", "0014X00002bCkJzQAK")</f>
        <v>0014X00002bCkJzQAK</v>
      </c>
      <c r="B222" s="2" t="s">
        <v>3296</v>
      </c>
      <c r="C222" s="2" t="s">
        <v>423</v>
      </c>
      <c r="D222" s="2" t="s">
        <v>2</v>
      </c>
      <c r="E222" s="2"/>
      <c r="F222" s="2">
        <v>25</v>
      </c>
      <c r="G222" s="2">
        <v>2</v>
      </c>
      <c r="H222" s="2">
        <v>1000000</v>
      </c>
      <c r="I222" s="2">
        <v>0</v>
      </c>
      <c r="J222" s="2"/>
      <c r="K222" s="2">
        <v>43</v>
      </c>
      <c r="L222" s="2">
        <v>0</v>
      </c>
      <c r="M222" s="2">
        <v>12</v>
      </c>
      <c r="N222" s="2">
        <v>6</v>
      </c>
      <c r="O222" s="2">
        <v>25</v>
      </c>
      <c r="P222" s="2">
        <v>0</v>
      </c>
      <c r="Q222" s="2" t="s">
        <v>3297</v>
      </c>
      <c r="R222" s="2" t="s">
        <v>3298</v>
      </c>
      <c r="S222" s="4">
        <v>44952</v>
      </c>
    </row>
    <row r="223" spans="1:19" ht="12.5" x14ac:dyDescent="0.25">
      <c r="A223" s="14" t="str">
        <f>HYPERLINK("https://gerandofalcoes.my.salesforce.com/0014X00002YggmaQAB", "0014X00002YggmaQAB")</f>
        <v>0014X00002YggmaQAB</v>
      </c>
      <c r="B223" s="2" t="s">
        <v>3379</v>
      </c>
      <c r="C223" s="2" t="s">
        <v>423</v>
      </c>
      <c r="D223" s="2" t="s">
        <v>2</v>
      </c>
      <c r="E223" s="2"/>
      <c r="F223" s="2">
        <v>0</v>
      </c>
      <c r="G223" s="2">
        <v>2</v>
      </c>
      <c r="H223" s="2">
        <v>1000</v>
      </c>
      <c r="I223" s="2">
        <v>0</v>
      </c>
      <c r="J223" s="2"/>
      <c r="K223" s="2">
        <v>11</v>
      </c>
      <c r="L223" s="2">
        <v>0</v>
      </c>
      <c r="M223" s="2">
        <v>0</v>
      </c>
      <c r="N223" s="2">
        <v>6</v>
      </c>
      <c r="O223" s="2">
        <v>5</v>
      </c>
      <c r="P223" s="2">
        <v>0</v>
      </c>
      <c r="Q223" s="2" t="s">
        <v>3380</v>
      </c>
      <c r="R223" s="2" t="s">
        <v>3380</v>
      </c>
      <c r="S223" s="4">
        <v>44953</v>
      </c>
    </row>
    <row r="224" spans="1:19" ht="12.5" x14ac:dyDescent="0.25">
      <c r="A224" s="14" t="str">
        <f>HYPERLINK("https://gerandofalcoes.my.salesforce.com/0014X00002YggqxQAB", "0014X00002YggqxQAB")</f>
        <v>0014X00002YggqxQAB</v>
      </c>
      <c r="B224" s="2" t="s">
        <v>3375</v>
      </c>
      <c r="C224" s="2" t="s">
        <v>423</v>
      </c>
      <c r="D224" s="2" t="s">
        <v>2</v>
      </c>
      <c r="E224" s="2"/>
      <c r="F224" s="2">
        <v>3</v>
      </c>
      <c r="G224" s="2">
        <v>3</v>
      </c>
      <c r="H224" s="2">
        <v>1000</v>
      </c>
      <c r="I224" s="2">
        <v>6</v>
      </c>
      <c r="J224" s="2"/>
      <c r="K224" s="2">
        <v>23</v>
      </c>
      <c r="L224" s="2">
        <v>0</v>
      </c>
      <c r="M224" s="2">
        <v>5</v>
      </c>
      <c r="N224" s="2">
        <v>8</v>
      </c>
      <c r="O224" s="2">
        <v>5</v>
      </c>
      <c r="P224" s="2">
        <v>5</v>
      </c>
      <c r="Q224" s="2" t="s">
        <v>3376</v>
      </c>
      <c r="R224" s="2" t="s">
        <v>3376</v>
      </c>
      <c r="S224" s="4">
        <v>44953</v>
      </c>
    </row>
    <row r="225" spans="1:19" ht="12.5" x14ac:dyDescent="0.25">
      <c r="A225" s="14" t="str">
        <f>HYPERLINK("https://gerandofalcoes.my.salesforce.com/0014X00002YggnBQAR", "0014X00002YggnBQAR")</f>
        <v>0014X00002YggnBQAR</v>
      </c>
      <c r="B225" s="2" t="s">
        <v>3349</v>
      </c>
      <c r="C225" s="2" t="s">
        <v>423</v>
      </c>
      <c r="D225" s="2" t="s">
        <v>2</v>
      </c>
      <c r="E225" s="2"/>
      <c r="F225" s="2">
        <v>0</v>
      </c>
      <c r="G225" s="2">
        <v>3</v>
      </c>
      <c r="H225" s="2">
        <v>1000</v>
      </c>
      <c r="I225" s="2">
        <v>120</v>
      </c>
      <c r="J225" s="2"/>
      <c r="K225" s="2">
        <v>23</v>
      </c>
      <c r="L225" s="2">
        <v>0</v>
      </c>
      <c r="M225" s="2">
        <v>0</v>
      </c>
      <c r="N225" s="2">
        <v>8</v>
      </c>
      <c r="O225" s="2">
        <v>5</v>
      </c>
      <c r="P225" s="2">
        <v>10</v>
      </c>
      <c r="Q225" s="2" t="s">
        <v>3350</v>
      </c>
      <c r="R225" s="2" t="s">
        <v>3351</v>
      </c>
      <c r="S225" s="4">
        <v>44953</v>
      </c>
    </row>
    <row r="226" spans="1:19" ht="12.5" x14ac:dyDescent="0.25">
      <c r="A226" s="14" t="str">
        <f>HYPERLINK("https://gerandofalcoes.my.salesforce.com/0014X00002YgggYQAR", "0014X00002YgggYQAR")</f>
        <v>0014X00002YgggYQAR</v>
      </c>
      <c r="B226" s="2" t="s">
        <v>3352</v>
      </c>
      <c r="C226" s="2" t="s">
        <v>423</v>
      </c>
      <c r="D226" s="2" t="s">
        <v>2</v>
      </c>
      <c r="E226" s="2"/>
      <c r="F226" s="2">
        <v>10</v>
      </c>
      <c r="G226" s="2">
        <v>3</v>
      </c>
      <c r="H226" s="2">
        <v>471944</v>
      </c>
      <c r="I226" s="2">
        <v>115</v>
      </c>
      <c r="J226" s="2"/>
      <c r="K226" s="2">
        <v>48</v>
      </c>
      <c r="L226" s="2">
        <v>0</v>
      </c>
      <c r="M226" s="2">
        <v>10</v>
      </c>
      <c r="N226" s="2">
        <v>8</v>
      </c>
      <c r="O226" s="2">
        <v>20</v>
      </c>
      <c r="P226" s="2">
        <v>10</v>
      </c>
      <c r="Q226" s="2" t="s">
        <v>3353</v>
      </c>
      <c r="R226" s="2" t="s">
        <v>7157</v>
      </c>
      <c r="S226" s="4">
        <v>44953</v>
      </c>
    </row>
    <row r="227" spans="1:19" ht="12.5" x14ac:dyDescent="0.25">
      <c r="A227" s="14" t="str">
        <f>HYPERLINK("https://gerandofalcoes.my.salesforce.com/0014X00002YggqlQAB", "0014X00002YggqlQAB")</f>
        <v>0014X00002YggqlQAB</v>
      </c>
      <c r="B227" s="2" t="s">
        <v>3308</v>
      </c>
      <c r="C227" s="2" t="s">
        <v>423</v>
      </c>
      <c r="D227" s="2" t="s">
        <v>2</v>
      </c>
      <c r="E227" s="2"/>
      <c r="F227" s="2">
        <v>15</v>
      </c>
      <c r="G227" s="2">
        <v>2</v>
      </c>
      <c r="H227" s="2">
        <v>20000</v>
      </c>
      <c r="I227" s="2">
        <v>120</v>
      </c>
      <c r="J227" s="2"/>
      <c r="K227" s="2">
        <v>33</v>
      </c>
      <c r="L227" s="2">
        <v>0</v>
      </c>
      <c r="M227" s="2">
        <v>12</v>
      </c>
      <c r="N227" s="2">
        <v>6</v>
      </c>
      <c r="O227" s="2">
        <v>5</v>
      </c>
      <c r="P227" s="2">
        <v>10</v>
      </c>
      <c r="Q227" s="2" t="s">
        <v>3309</v>
      </c>
      <c r="R227" s="2" t="s">
        <v>3310</v>
      </c>
      <c r="S227" s="4">
        <v>44953</v>
      </c>
    </row>
    <row r="228" spans="1:19" ht="12.5" x14ac:dyDescent="0.25">
      <c r="A228" s="14" t="str">
        <f>HYPERLINK("https://gerandofalcoes.my.salesforce.com/0014X00002YgglTQAR", "0014X00002YgglTQAR")</f>
        <v>0014X00002YgglTQAR</v>
      </c>
      <c r="B228" s="2" t="s">
        <v>3363</v>
      </c>
      <c r="C228" s="2" t="s">
        <v>423</v>
      </c>
      <c r="D228" s="2" t="s">
        <v>2</v>
      </c>
      <c r="E228" s="2"/>
      <c r="F228" s="2">
        <v>0</v>
      </c>
      <c r="G228" s="2">
        <v>2</v>
      </c>
      <c r="H228" s="2">
        <v>0</v>
      </c>
      <c r="I228" s="2">
        <v>60</v>
      </c>
      <c r="J228" s="2"/>
      <c r="K228" s="2">
        <v>11</v>
      </c>
      <c r="L228" s="2">
        <v>0</v>
      </c>
      <c r="M228" s="2">
        <v>0</v>
      </c>
      <c r="N228" s="2">
        <v>6</v>
      </c>
      <c r="O228" s="2">
        <v>0</v>
      </c>
      <c r="P228" s="2">
        <v>5</v>
      </c>
      <c r="Q228" s="2" t="s">
        <v>3364</v>
      </c>
      <c r="R228" s="2" t="s">
        <v>3364</v>
      </c>
      <c r="S228" s="4">
        <v>44953</v>
      </c>
    </row>
    <row r="229" spans="1:19" ht="12.5" x14ac:dyDescent="0.25">
      <c r="A229" s="14" t="str">
        <f>HYPERLINK("https://gerandofalcoes.my.salesforce.com/0014X00002YggmAQAR", "0014X00002YggmAQAR")</f>
        <v>0014X00002YggmAQAR</v>
      </c>
      <c r="B229" s="2" t="s">
        <v>3311</v>
      </c>
      <c r="C229" s="2" t="s">
        <v>423</v>
      </c>
      <c r="D229" s="2" t="s">
        <v>2</v>
      </c>
      <c r="E229" s="2"/>
      <c r="F229" s="2">
        <v>0</v>
      </c>
      <c r="G229" s="2">
        <v>5</v>
      </c>
      <c r="H229" s="2">
        <v>469000</v>
      </c>
      <c r="I229" s="2">
        <v>0</v>
      </c>
      <c r="J229" s="2"/>
      <c r="K229" s="2">
        <v>30</v>
      </c>
      <c r="L229" s="2">
        <v>0</v>
      </c>
      <c r="M229" s="2">
        <v>0</v>
      </c>
      <c r="N229" s="2">
        <v>10</v>
      </c>
      <c r="O229" s="2">
        <v>20</v>
      </c>
      <c r="P229" s="2">
        <v>0</v>
      </c>
      <c r="Q229" s="2" t="s">
        <v>3312</v>
      </c>
      <c r="R229" s="2" t="s">
        <v>3313</v>
      </c>
      <c r="S229" s="4">
        <v>44953</v>
      </c>
    </row>
    <row r="230" spans="1:19" ht="12.5" x14ac:dyDescent="0.25">
      <c r="A230" s="14" t="str">
        <f>HYPERLINK("https://gerandofalcoes.my.salesforce.com/0014X00002YgghWQAR", "0014X00002YgghWQAR")</f>
        <v>0014X00002YgghWQAR</v>
      </c>
      <c r="B230" s="2" t="s">
        <v>3331</v>
      </c>
      <c r="C230" s="2" t="s">
        <v>423</v>
      </c>
      <c r="D230" s="2" t="s">
        <v>2</v>
      </c>
      <c r="E230" s="2"/>
      <c r="F230" s="2">
        <v>0</v>
      </c>
      <c r="G230" s="2">
        <v>2</v>
      </c>
      <c r="H230" s="2">
        <v>8000</v>
      </c>
      <c r="I230" s="2">
        <v>0</v>
      </c>
      <c r="J230" s="2"/>
      <c r="K230" s="2">
        <v>11</v>
      </c>
      <c r="L230" s="2">
        <v>0</v>
      </c>
      <c r="M230" s="2">
        <v>0</v>
      </c>
      <c r="N230" s="2">
        <v>6</v>
      </c>
      <c r="O230" s="2">
        <v>5</v>
      </c>
      <c r="P230" s="2">
        <v>0</v>
      </c>
      <c r="Q230" s="2" t="s">
        <v>3332</v>
      </c>
      <c r="R230" s="2" t="s">
        <v>3333</v>
      </c>
      <c r="S230" s="4">
        <v>44953</v>
      </c>
    </row>
    <row r="231" spans="1:19" ht="12.5" x14ac:dyDescent="0.25">
      <c r="A231" s="14" t="str">
        <f>HYPERLINK("https://gerandofalcoes.my.salesforce.com/0014X00002YgglrQAB", "0014X00002YgglrQAB")</f>
        <v>0014X00002YgglrQAB</v>
      </c>
      <c r="B231" s="2" t="s">
        <v>3384</v>
      </c>
      <c r="C231" s="2" t="s">
        <v>423</v>
      </c>
      <c r="D231" s="2" t="s">
        <v>2</v>
      </c>
      <c r="E231" s="2"/>
      <c r="F231" s="2">
        <v>0</v>
      </c>
      <c r="G231" s="2">
        <v>5</v>
      </c>
      <c r="H231" s="2">
        <v>10000</v>
      </c>
      <c r="I231" s="2">
        <v>0</v>
      </c>
      <c r="J231" s="2"/>
      <c r="K231" s="2">
        <v>15</v>
      </c>
      <c r="L231" s="2">
        <v>0</v>
      </c>
      <c r="M231" s="2">
        <v>0</v>
      </c>
      <c r="N231" s="2">
        <v>10</v>
      </c>
      <c r="O231" s="2">
        <v>5</v>
      </c>
      <c r="P231" s="2">
        <v>0</v>
      </c>
      <c r="Q231" s="2" t="s">
        <v>3385</v>
      </c>
      <c r="R231" s="2" t="s">
        <v>3386</v>
      </c>
      <c r="S231" s="4">
        <v>44953</v>
      </c>
    </row>
    <row r="232" spans="1:19" ht="12.5" x14ac:dyDescent="0.25">
      <c r="A232" s="14" t="str">
        <f>HYPERLINK("https://gerandofalcoes.my.salesforce.com/0014X00002YggnXQAR", "0014X00002YggnXQAR")</f>
        <v>0014X00002YggnXQAR</v>
      </c>
      <c r="B232" s="2" t="s">
        <v>3387</v>
      </c>
      <c r="C232" s="2" t="s">
        <v>423</v>
      </c>
      <c r="D232" s="2" t="s">
        <v>2</v>
      </c>
      <c r="E232" s="2"/>
      <c r="F232" s="2">
        <v>4</v>
      </c>
      <c r="G232" s="2">
        <v>3</v>
      </c>
      <c r="H232" s="2">
        <v>120</v>
      </c>
      <c r="I232" s="2">
        <v>0</v>
      </c>
      <c r="J232" s="2"/>
      <c r="K232" s="2">
        <v>18</v>
      </c>
      <c r="L232" s="2">
        <v>0</v>
      </c>
      <c r="M232" s="2">
        <v>5</v>
      </c>
      <c r="N232" s="2">
        <v>8</v>
      </c>
      <c r="O232" s="2">
        <v>5</v>
      </c>
      <c r="P232" s="2">
        <v>0</v>
      </c>
      <c r="Q232" s="2" t="s">
        <v>3388</v>
      </c>
      <c r="R232" s="2" t="s">
        <v>3388</v>
      </c>
      <c r="S232" s="4">
        <v>44953</v>
      </c>
    </row>
    <row r="233" spans="1:19" ht="12.5" x14ac:dyDescent="0.25">
      <c r="A233" s="14" t="str">
        <f>HYPERLINK("https://gerandofalcoes.my.salesforce.com/0014X00002Yggk3QAB", "0014X00002Yggk3QAB")</f>
        <v>0014X00002Yggk3QAB</v>
      </c>
      <c r="B233" s="2" t="s">
        <v>3325</v>
      </c>
      <c r="C233" s="2" t="s">
        <v>423</v>
      </c>
      <c r="D233" s="2" t="s">
        <v>2</v>
      </c>
      <c r="E233" s="2"/>
      <c r="F233" s="2">
        <v>0</v>
      </c>
      <c r="G233" s="2">
        <v>3</v>
      </c>
      <c r="H233" s="2">
        <v>8386</v>
      </c>
      <c r="I233" s="2">
        <v>0</v>
      </c>
      <c r="J233" s="2"/>
      <c r="K233" s="2">
        <v>13</v>
      </c>
      <c r="L233" s="2">
        <v>0</v>
      </c>
      <c r="M233" s="2">
        <v>0</v>
      </c>
      <c r="N233" s="2">
        <v>8</v>
      </c>
      <c r="O233" s="2">
        <v>5</v>
      </c>
      <c r="P233" s="2">
        <v>0</v>
      </c>
      <c r="Q233" s="2" t="s">
        <v>3326</v>
      </c>
      <c r="R233" s="2" t="s">
        <v>3327</v>
      </c>
      <c r="S233" s="4">
        <v>44953</v>
      </c>
    </row>
    <row r="234" spans="1:19" ht="12.5" x14ac:dyDescent="0.25">
      <c r="A234" s="14" t="str">
        <f>HYPERLINK("https://gerandofalcoes.my.salesforce.com/0014X00002YggkuQAB", "0014X00002YggkuQAB")</f>
        <v>0014X00002YggkuQAB</v>
      </c>
      <c r="B234" s="2" t="s">
        <v>3302</v>
      </c>
      <c r="C234" s="2" t="s">
        <v>423</v>
      </c>
      <c r="D234" s="2" t="s">
        <v>2</v>
      </c>
      <c r="E234" s="2"/>
      <c r="F234" s="2">
        <v>9</v>
      </c>
      <c r="G234" s="2">
        <v>4</v>
      </c>
      <c r="H234" s="2">
        <v>200000</v>
      </c>
      <c r="I234" s="2">
        <v>60</v>
      </c>
      <c r="J234" s="2"/>
      <c r="K234" s="2">
        <v>40</v>
      </c>
      <c r="L234" s="2">
        <v>0</v>
      </c>
      <c r="M234" s="2">
        <v>10</v>
      </c>
      <c r="N234" s="2">
        <v>10</v>
      </c>
      <c r="O234" s="2">
        <v>15</v>
      </c>
      <c r="P234" s="2">
        <v>5</v>
      </c>
      <c r="Q234" s="2" t="s">
        <v>3303</v>
      </c>
      <c r="R234" s="2" t="s">
        <v>3304</v>
      </c>
      <c r="S234" s="4">
        <v>44953</v>
      </c>
    </row>
    <row r="235" spans="1:19" ht="12.5" x14ac:dyDescent="0.25">
      <c r="A235" s="14" t="str">
        <f>HYPERLINK("https://gerandofalcoes.my.salesforce.com/0014X00002YggnrQAB", "0014X00002YggnrQAB")</f>
        <v>0014X00002YggnrQAB</v>
      </c>
      <c r="B235" s="2" t="s">
        <v>3354</v>
      </c>
      <c r="C235" s="2" t="s">
        <v>423</v>
      </c>
      <c r="D235" s="2" t="s">
        <v>2</v>
      </c>
      <c r="E235" s="2"/>
      <c r="F235" s="2">
        <v>2</v>
      </c>
      <c r="G235" s="2">
        <v>5</v>
      </c>
      <c r="H235" s="2">
        <v>7006467</v>
      </c>
      <c r="I235" s="2">
        <v>100</v>
      </c>
      <c r="J235" s="2"/>
      <c r="K235" s="2">
        <v>50</v>
      </c>
      <c r="L235" s="2">
        <v>0</v>
      </c>
      <c r="M235" s="2">
        <v>5</v>
      </c>
      <c r="N235" s="2">
        <v>10</v>
      </c>
      <c r="O235" s="2">
        <v>25</v>
      </c>
      <c r="P235" s="2">
        <v>10</v>
      </c>
      <c r="Q235" s="2" t="s">
        <v>3355</v>
      </c>
      <c r="R235" s="2" t="s">
        <v>3356</v>
      </c>
      <c r="S235" s="4">
        <v>44953</v>
      </c>
    </row>
    <row r="236" spans="1:19" ht="12.5" x14ac:dyDescent="0.25">
      <c r="A236" s="14" t="str">
        <f>HYPERLINK("https://gerandofalcoes.my.salesforce.com/0014X00002Yggk2QAB", "0014X00002Yggk2QAB")</f>
        <v>0014X00002Yggk2QAB</v>
      </c>
      <c r="B236" s="2" t="s">
        <v>3389</v>
      </c>
      <c r="C236" s="2" t="s">
        <v>423</v>
      </c>
      <c r="D236" s="2" t="s">
        <v>2</v>
      </c>
      <c r="E236" s="2"/>
      <c r="F236" s="2">
        <v>0</v>
      </c>
      <c r="G236" s="2">
        <v>3</v>
      </c>
      <c r="H236" s="2">
        <v>0</v>
      </c>
      <c r="I236" s="2">
        <v>0</v>
      </c>
      <c r="J236" s="2"/>
      <c r="K236" s="2">
        <v>8</v>
      </c>
      <c r="L236" s="2">
        <v>0</v>
      </c>
      <c r="M236" s="2">
        <v>0</v>
      </c>
      <c r="N236" s="2">
        <v>8</v>
      </c>
      <c r="O236" s="2">
        <v>0</v>
      </c>
      <c r="P236" s="2">
        <v>0</v>
      </c>
      <c r="Q236" s="2" t="s">
        <v>3390</v>
      </c>
      <c r="R236" s="2" t="s">
        <v>3391</v>
      </c>
      <c r="S236" s="4">
        <v>44953</v>
      </c>
    </row>
    <row r="237" spans="1:19" ht="12.5" x14ac:dyDescent="0.25">
      <c r="A237" s="14" t="str">
        <f>HYPERLINK("https://gerandofalcoes.my.salesforce.com/0014X00002YgghwQAB", "0014X00002YgghwQAB")</f>
        <v>0014X00002YgghwQAB</v>
      </c>
      <c r="B237" s="2" t="s">
        <v>3549</v>
      </c>
      <c r="C237" s="2" t="s">
        <v>423</v>
      </c>
      <c r="D237" s="2" t="s">
        <v>2</v>
      </c>
      <c r="E237" s="2"/>
      <c r="F237" s="2">
        <v>0</v>
      </c>
      <c r="G237" s="2">
        <v>3</v>
      </c>
      <c r="H237" s="2">
        <v>2403625</v>
      </c>
      <c r="I237" s="2">
        <v>250</v>
      </c>
      <c r="J237" s="2"/>
      <c r="K237" s="2">
        <v>45</v>
      </c>
      <c r="L237" s="2">
        <v>0</v>
      </c>
      <c r="M237" s="2">
        <v>0</v>
      </c>
      <c r="N237" s="2">
        <v>8</v>
      </c>
      <c r="O237" s="2">
        <v>25</v>
      </c>
      <c r="P237" s="2">
        <v>12</v>
      </c>
      <c r="Q237" s="2" t="s">
        <v>3550</v>
      </c>
      <c r="R237" s="2" t="s">
        <v>3551</v>
      </c>
      <c r="S237" s="4">
        <v>44959</v>
      </c>
    </row>
    <row r="238" spans="1:19" ht="12.5" x14ac:dyDescent="0.25">
      <c r="A238" s="14" t="str">
        <f>HYPERLINK("https://gerandofalcoes.my.salesforce.com/0014X00002YggisQAB", "0014X00002YggisQAB")</f>
        <v>0014X00002YggisQAB</v>
      </c>
      <c r="B238" s="2" t="s">
        <v>3537</v>
      </c>
      <c r="C238" s="2" t="s">
        <v>423</v>
      </c>
      <c r="D238" s="2" t="s">
        <v>2</v>
      </c>
      <c r="E238" s="2"/>
      <c r="F238" s="2">
        <v>0</v>
      </c>
      <c r="G238" s="2">
        <v>2</v>
      </c>
      <c r="H238" s="2">
        <v>25000</v>
      </c>
      <c r="I238" s="2">
        <v>0</v>
      </c>
      <c r="J238" s="2"/>
      <c r="K238" s="2">
        <v>16</v>
      </c>
      <c r="L238" s="2">
        <v>0</v>
      </c>
      <c r="M238" s="2">
        <v>0</v>
      </c>
      <c r="N238" s="2">
        <v>6</v>
      </c>
      <c r="O238" s="2">
        <v>10</v>
      </c>
      <c r="P238" s="2">
        <v>0</v>
      </c>
      <c r="Q238" s="2" t="s">
        <v>3538</v>
      </c>
      <c r="R238" s="2" t="s">
        <v>3539</v>
      </c>
      <c r="S238" s="4">
        <v>44959</v>
      </c>
    </row>
    <row r="239" spans="1:19" ht="12.5" x14ac:dyDescent="0.25">
      <c r="A239" s="14" t="str">
        <f>HYPERLINK("https://gerandofalcoes.my.salesforce.com/0014X00002YggiOQAR", "0014X00002YggiOQAR")</f>
        <v>0014X00002YggiOQAR</v>
      </c>
      <c r="B239" s="2" t="s">
        <v>3552</v>
      </c>
      <c r="C239" s="2" t="s">
        <v>423</v>
      </c>
      <c r="D239" s="2" t="s">
        <v>2</v>
      </c>
      <c r="E239" s="2"/>
      <c r="F239" s="2">
        <v>0</v>
      </c>
      <c r="G239" s="2">
        <v>2</v>
      </c>
      <c r="H239" s="2">
        <v>500</v>
      </c>
      <c r="I239" s="2">
        <v>140</v>
      </c>
      <c r="J239" s="2"/>
      <c r="K239" s="2">
        <v>21</v>
      </c>
      <c r="L239" s="2">
        <v>0</v>
      </c>
      <c r="M239" s="2">
        <v>0</v>
      </c>
      <c r="N239" s="2">
        <v>6</v>
      </c>
      <c r="O239" s="2">
        <v>5</v>
      </c>
      <c r="P239" s="2">
        <v>10</v>
      </c>
      <c r="Q239" s="2" t="s">
        <v>3553</v>
      </c>
      <c r="R239" s="2" t="s">
        <v>3554</v>
      </c>
      <c r="S239" s="4">
        <v>44959</v>
      </c>
    </row>
    <row r="240" spans="1:19" ht="12.5" x14ac:dyDescent="0.25">
      <c r="A240" s="14" t="str">
        <f>HYPERLINK("https://gerandofalcoes.my.salesforce.com/0014X00002YggpuQAB", "0014X00002YggpuQAB")</f>
        <v>0014X00002YggpuQAB</v>
      </c>
      <c r="B240" s="2" t="s">
        <v>3555</v>
      </c>
      <c r="C240" s="2" t="s">
        <v>423</v>
      </c>
      <c r="D240" s="2" t="s">
        <v>2</v>
      </c>
      <c r="E240" s="2"/>
      <c r="F240" s="2">
        <v>0</v>
      </c>
      <c r="G240" s="2">
        <v>3</v>
      </c>
      <c r="H240" s="2">
        <v>864</v>
      </c>
      <c r="I240" s="2">
        <v>70</v>
      </c>
      <c r="J240" s="2"/>
      <c r="K240" s="2">
        <v>18</v>
      </c>
      <c r="L240" s="2">
        <v>0</v>
      </c>
      <c r="M240" s="2">
        <v>0</v>
      </c>
      <c r="N240" s="2">
        <v>8</v>
      </c>
      <c r="O240" s="2">
        <v>5</v>
      </c>
      <c r="P240" s="2">
        <v>5</v>
      </c>
      <c r="Q240" s="2" t="s">
        <v>3556</v>
      </c>
      <c r="R240" s="2" t="s">
        <v>3557</v>
      </c>
      <c r="S240" s="4">
        <v>44959</v>
      </c>
    </row>
    <row r="241" spans="1:19" ht="12.5" x14ac:dyDescent="0.25">
      <c r="A241" s="14" t="str">
        <f>HYPERLINK("https://gerandofalcoes.my.salesforce.com/0014X00002YggkUQAR", "0014X00002YggkUQAR")</f>
        <v>0014X00002YggkUQAR</v>
      </c>
      <c r="B241" s="2" t="s">
        <v>3563</v>
      </c>
      <c r="C241" s="2" t="s">
        <v>423</v>
      </c>
      <c r="D241" s="2" t="s">
        <v>2</v>
      </c>
      <c r="E241" s="2"/>
      <c r="F241" s="2">
        <v>0</v>
      </c>
      <c r="G241" s="2">
        <v>5</v>
      </c>
      <c r="H241" s="2">
        <v>5000</v>
      </c>
      <c r="I241" s="2">
        <v>10</v>
      </c>
      <c r="J241" s="2"/>
      <c r="K241" s="2">
        <v>20</v>
      </c>
      <c r="L241" s="2">
        <v>0</v>
      </c>
      <c r="M241" s="2">
        <v>0</v>
      </c>
      <c r="N241" s="2">
        <v>10</v>
      </c>
      <c r="O241" s="2">
        <v>5</v>
      </c>
      <c r="P241" s="2">
        <v>5</v>
      </c>
      <c r="Q241" s="2" t="s">
        <v>3564</v>
      </c>
      <c r="R241" s="2" t="s">
        <v>3565</v>
      </c>
      <c r="S241" s="4">
        <v>44960</v>
      </c>
    </row>
    <row r="242" spans="1:19" ht="12.5" x14ac:dyDescent="0.25">
      <c r="A242" s="14" t="str">
        <f>HYPERLINK("https://gerandofalcoes.my.salesforce.com/0014X00002YgggTQAR", "0014X00002YgggTQAR")</f>
        <v>0014X00002YgggTQAR</v>
      </c>
      <c r="B242" s="2" t="s">
        <v>3569</v>
      </c>
      <c r="C242" s="2" t="s">
        <v>423</v>
      </c>
      <c r="D242" s="2" t="s">
        <v>2</v>
      </c>
      <c r="E242" s="2"/>
      <c r="F242" s="2">
        <v>25</v>
      </c>
      <c r="G242" s="2">
        <v>3</v>
      </c>
      <c r="H242" s="2">
        <v>15000</v>
      </c>
      <c r="I242" s="2">
        <v>1317</v>
      </c>
      <c r="J242" s="2"/>
      <c r="K242" s="2">
        <v>45</v>
      </c>
      <c r="L242" s="2">
        <v>0</v>
      </c>
      <c r="M242" s="2">
        <v>12</v>
      </c>
      <c r="N242" s="2">
        <v>8</v>
      </c>
      <c r="O242" s="2">
        <v>5</v>
      </c>
      <c r="P242" s="2">
        <v>20</v>
      </c>
      <c r="Q242" s="2" t="s">
        <v>3570</v>
      </c>
      <c r="R242" s="2" t="s">
        <v>3570</v>
      </c>
      <c r="S242" s="4">
        <v>44960</v>
      </c>
    </row>
    <row r="243" spans="1:19" ht="12.5" x14ac:dyDescent="0.25">
      <c r="A243" s="14" t="str">
        <f>HYPERLINK("https://gerandofalcoes.my.salesforce.com/0014X00002YggmbQAB", "0014X00002YggmbQAB")</f>
        <v>0014X00002YggmbQAB</v>
      </c>
      <c r="B243" s="2" t="s">
        <v>3586</v>
      </c>
      <c r="C243" s="2" t="s">
        <v>423</v>
      </c>
      <c r="D243" s="2" t="s">
        <v>2</v>
      </c>
      <c r="E243" s="2"/>
      <c r="F243" s="2">
        <v>1</v>
      </c>
      <c r="G243" s="2">
        <v>4</v>
      </c>
      <c r="H243" s="2">
        <v>24000</v>
      </c>
      <c r="I243" s="2">
        <v>15</v>
      </c>
      <c r="J243" s="2"/>
      <c r="K243" s="2">
        <v>25</v>
      </c>
      <c r="L243" s="2">
        <v>0</v>
      </c>
      <c r="M243" s="2">
        <v>5</v>
      </c>
      <c r="N243" s="2">
        <v>10</v>
      </c>
      <c r="O243" s="2">
        <v>5</v>
      </c>
      <c r="P243" s="2">
        <v>5</v>
      </c>
      <c r="Q243" s="2" t="s">
        <v>3587</v>
      </c>
      <c r="R243" s="2" t="s">
        <v>3587</v>
      </c>
      <c r="S243" s="4">
        <v>44961</v>
      </c>
    </row>
    <row r="244" spans="1:19" ht="12.5" x14ac:dyDescent="0.25">
      <c r="A244" s="14" t="str">
        <f>HYPERLINK("https://gerandofalcoes.my.salesforce.com/0014X00002YggjuQAB", "0014X00002YggjuQAB")</f>
        <v>0014X00002YggjuQAB</v>
      </c>
      <c r="B244" s="2" t="s">
        <v>3583</v>
      </c>
      <c r="C244" s="2" t="s">
        <v>423</v>
      </c>
      <c r="D244" s="2" t="s">
        <v>2</v>
      </c>
      <c r="E244" s="2"/>
      <c r="F244" s="2">
        <v>0</v>
      </c>
      <c r="G244" s="2">
        <v>7</v>
      </c>
      <c r="H244" s="2">
        <v>3000</v>
      </c>
      <c r="I244" s="2">
        <v>30</v>
      </c>
      <c r="J244" s="2"/>
      <c r="K244" s="2">
        <v>20</v>
      </c>
      <c r="L244" s="2">
        <v>0</v>
      </c>
      <c r="M244" s="2">
        <v>0</v>
      </c>
      <c r="N244" s="2">
        <v>10</v>
      </c>
      <c r="O244" s="2">
        <v>5</v>
      </c>
      <c r="P244" s="2">
        <v>5</v>
      </c>
      <c r="Q244" s="2" t="s">
        <v>3584</v>
      </c>
      <c r="R244" s="2" t="s">
        <v>3585</v>
      </c>
      <c r="S244" s="4">
        <v>44961</v>
      </c>
    </row>
    <row r="245" spans="1:19" ht="12.5" x14ac:dyDescent="0.25">
      <c r="A245" s="14" t="str">
        <f>HYPERLINK("https://gerandofalcoes.my.salesforce.com/0014X00002YggpAQAR", "0014X00002YggpAQAR")</f>
        <v>0014X00002YggpAQAR</v>
      </c>
      <c r="B245" s="2" t="s">
        <v>3591</v>
      </c>
      <c r="C245" s="2" t="s">
        <v>423</v>
      </c>
      <c r="D245" s="2" t="s">
        <v>2</v>
      </c>
      <c r="E245" s="2"/>
      <c r="F245" s="2">
        <v>17</v>
      </c>
      <c r="G245" s="2">
        <v>5</v>
      </c>
      <c r="H245" s="2">
        <v>586443</v>
      </c>
      <c r="I245" s="2">
        <v>0</v>
      </c>
      <c r="J245" s="2"/>
      <c r="K245" s="2">
        <v>42</v>
      </c>
      <c r="L245" s="2">
        <v>0</v>
      </c>
      <c r="M245" s="2">
        <v>12</v>
      </c>
      <c r="N245" s="2">
        <v>10</v>
      </c>
      <c r="O245" s="2">
        <v>20</v>
      </c>
      <c r="P245" s="2">
        <v>0</v>
      </c>
      <c r="Q245" s="2" t="s">
        <v>3592</v>
      </c>
      <c r="R245" s="2" t="s">
        <v>3593</v>
      </c>
      <c r="S245" s="4">
        <v>44962</v>
      </c>
    </row>
    <row r="246" spans="1:19" ht="12.5" x14ac:dyDescent="0.25">
      <c r="A246" s="14" t="str">
        <f>HYPERLINK("https://gerandofalcoes.my.salesforce.com/0014X00002YggpXQAR", "0014X00002YggpXQAR")</f>
        <v>0014X00002YggpXQAR</v>
      </c>
      <c r="B246" s="2" t="s">
        <v>3597</v>
      </c>
      <c r="C246" s="2" t="s">
        <v>423</v>
      </c>
      <c r="D246" s="2" t="s">
        <v>2</v>
      </c>
      <c r="E246" s="2"/>
      <c r="F246" s="2">
        <v>0</v>
      </c>
      <c r="G246" s="2">
        <v>3</v>
      </c>
      <c r="H246" s="2">
        <v>48</v>
      </c>
      <c r="I246" s="2">
        <v>270</v>
      </c>
      <c r="J246" s="2"/>
      <c r="K246" s="2">
        <v>25</v>
      </c>
      <c r="L246" s="2">
        <v>0</v>
      </c>
      <c r="M246" s="2">
        <v>0</v>
      </c>
      <c r="N246" s="2">
        <v>8</v>
      </c>
      <c r="O246" s="2">
        <v>5</v>
      </c>
      <c r="P246" s="2">
        <v>12</v>
      </c>
      <c r="Q246" s="2" t="s">
        <v>3598</v>
      </c>
      <c r="R246" s="2" t="s">
        <v>3599</v>
      </c>
      <c r="S246" s="4">
        <v>44962</v>
      </c>
    </row>
    <row r="247" spans="1:19" ht="12.5" hidden="1" x14ac:dyDescent="0.25">
      <c r="A247" s="14" t="str">
        <f>HYPERLINK("https://gerandofalcoes.my.salesforce.com/0014X00002UFYFtQAP", "0014X00002UFYFtQAP")</f>
        <v>0014X00002UFYFtQAP</v>
      </c>
      <c r="B247" s="2" t="s">
        <v>3588</v>
      </c>
      <c r="C247" s="2" t="s">
        <v>1684</v>
      </c>
      <c r="D247" s="2" t="s">
        <v>2</v>
      </c>
      <c r="E247" s="2">
        <v>90</v>
      </c>
      <c r="F247" s="2">
        <v>15</v>
      </c>
      <c r="G247" s="2">
        <v>4</v>
      </c>
      <c r="H247" s="2">
        <v>600000</v>
      </c>
      <c r="I247" s="2">
        <v>5000</v>
      </c>
      <c r="J247" s="2"/>
      <c r="K247" s="2">
        <v>92</v>
      </c>
      <c r="L247" s="2">
        <v>30</v>
      </c>
      <c r="M247" s="2">
        <v>12</v>
      </c>
      <c r="N247" s="2">
        <v>10</v>
      </c>
      <c r="O247" s="2">
        <v>20</v>
      </c>
      <c r="P247" s="2">
        <v>20</v>
      </c>
      <c r="Q247" s="2" t="s">
        <v>3589</v>
      </c>
      <c r="R247" s="2" t="s">
        <v>3590</v>
      </c>
      <c r="S247" s="4">
        <v>44962</v>
      </c>
    </row>
    <row r="248" spans="1:19" ht="12.5" x14ac:dyDescent="0.25">
      <c r="A248" s="14" t="str">
        <f>HYPERLINK("https://gerandofalcoes.my.salesforce.com/0014X00002YggjRQAR", "0014X00002YggjRQAR")</f>
        <v>0014X00002YggjRQAR</v>
      </c>
      <c r="B248" s="2" t="s">
        <v>3607</v>
      </c>
      <c r="C248" s="2" t="s">
        <v>423</v>
      </c>
      <c r="D248" s="2" t="s">
        <v>2</v>
      </c>
      <c r="E248" s="2"/>
      <c r="F248" s="2">
        <v>0</v>
      </c>
      <c r="G248" s="2">
        <v>4</v>
      </c>
      <c r="H248" s="2">
        <v>6000</v>
      </c>
      <c r="I248" s="2">
        <v>20</v>
      </c>
      <c r="J248" s="2"/>
      <c r="K248" s="2">
        <v>20</v>
      </c>
      <c r="L248" s="2">
        <v>0</v>
      </c>
      <c r="M248" s="2">
        <v>0</v>
      </c>
      <c r="N248" s="2">
        <v>10</v>
      </c>
      <c r="O248" s="2">
        <v>5</v>
      </c>
      <c r="P248" s="2">
        <v>5</v>
      </c>
      <c r="Q248" s="2" t="s">
        <v>3608</v>
      </c>
      <c r="R248" s="2" t="s">
        <v>3609</v>
      </c>
      <c r="S248" s="4">
        <v>44963</v>
      </c>
    </row>
    <row r="249" spans="1:19" ht="12.5" x14ac:dyDescent="0.25">
      <c r="A249" s="14" t="str">
        <f>HYPERLINK("https://gerandofalcoes.my.salesforce.com/0014X00002YggkzQAB", "0014X00002YggkzQAB")</f>
        <v>0014X00002YggkzQAB</v>
      </c>
      <c r="B249" s="2" t="s">
        <v>3637</v>
      </c>
      <c r="C249" s="2" t="s">
        <v>423</v>
      </c>
      <c r="D249" s="2" t="s">
        <v>2</v>
      </c>
      <c r="E249" s="2"/>
      <c r="F249" s="2">
        <v>0</v>
      </c>
      <c r="G249" s="2">
        <v>3</v>
      </c>
      <c r="H249" s="2">
        <v>3410</v>
      </c>
      <c r="I249" s="2">
        <v>0</v>
      </c>
      <c r="J249" s="2"/>
      <c r="K249" s="2">
        <v>13</v>
      </c>
      <c r="L249" s="2">
        <v>0</v>
      </c>
      <c r="M249" s="2">
        <v>0</v>
      </c>
      <c r="N249" s="2">
        <v>8</v>
      </c>
      <c r="O249" s="2">
        <v>5</v>
      </c>
      <c r="P249" s="2">
        <v>0</v>
      </c>
      <c r="Q249" s="2" t="s">
        <v>3638</v>
      </c>
      <c r="R249" s="2" t="s">
        <v>3639</v>
      </c>
      <c r="S249" s="4">
        <v>44963</v>
      </c>
    </row>
    <row r="250" spans="1:19" ht="12.5" x14ac:dyDescent="0.25">
      <c r="A250" s="14" t="str">
        <f>HYPERLINK("https://gerandofalcoes.my.salesforce.com/0014X00002YggkoQAB", "0014X00002YggkoQAB")</f>
        <v>0014X00002YggkoQAB</v>
      </c>
      <c r="B250" s="2" t="s">
        <v>3631</v>
      </c>
      <c r="C250" s="2" t="s">
        <v>423</v>
      </c>
      <c r="D250" s="2" t="s">
        <v>2</v>
      </c>
      <c r="E250" s="2"/>
      <c r="F250" s="2">
        <v>0</v>
      </c>
      <c r="G250" s="2">
        <v>2</v>
      </c>
      <c r="H250" s="2">
        <v>10000</v>
      </c>
      <c r="I250" s="2">
        <v>30</v>
      </c>
      <c r="J250" s="2"/>
      <c r="K250" s="2">
        <v>16</v>
      </c>
      <c r="L250" s="2">
        <v>0</v>
      </c>
      <c r="M250" s="2">
        <v>0</v>
      </c>
      <c r="N250" s="2">
        <v>6</v>
      </c>
      <c r="O250" s="2">
        <v>5</v>
      </c>
      <c r="P250" s="2">
        <v>5</v>
      </c>
      <c r="Q250" s="2" t="s">
        <v>3632</v>
      </c>
      <c r="R250" s="2" t="s">
        <v>3633</v>
      </c>
      <c r="S250" s="4">
        <v>44963</v>
      </c>
    </row>
    <row r="251" spans="1:19" ht="12.5" x14ac:dyDescent="0.25">
      <c r="A251" s="14" t="str">
        <f>HYPERLINK("https://gerandofalcoes.my.salesforce.com/0014X00002YggovQAB", "0014X00002YggovQAB")</f>
        <v>0014X00002YggovQAB</v>
      </c>
      <c r="B251" s="2" t="s">
        <v>3634</v>
      </c>
      <c r="C251" s="2" t="s">
        <v>423</v>
      </c>
      <c r="D251" s="2" t="s">
        <v>2</v>
      </c>
      <c r="E251" s="2"/>
      <c r="F251" s="2">
        <v>0</v>
      </c>
      <c r="G251" s="2">
        <v>3</v>
      </c>
      <c r="H251" s="2">
        <v>13000</v>
      </c>
      <c r="I251" s="2">
        <v>30</v>
      </c>
      <c r="J251" s="2"/>
      <c r="K251" s="2">
        <v>18</v>
      </c>
      <c r="L251" s="2">
        <v>0</v>
      </c>
      <c r="M251" s="2">
        <v>0</v>
      </c>
      <c r="N251" s="2">
        <v>8</v>
      </c>
      <c r="O251" s="2">
        <v>5</v>
      </c>
      <c r="P251" s="2">
        <v>5</v>
      </c>
      <c r="Q251" s="2" t="s">
        <v>3635</v>
      </c>
      <c r="R251" s="2" t="s">
        <v>3636</v>
      </c>
      <c r="S251" s="4">
        <v>44963</v>
      </c>
    </row>
    <row r="252" spans="1:19" ht="12.5" x14ac:dyDescent="0.25">
      <c r="A252" s="14" t="str">
        <f>HYPERLINK("https://gerandofalcoes.my.salesforce.com/0014X00002YggjsQAB", "0014X00002YggjsQAB")</f>
        <v>0014X00002YggjsQAB</v>
      </c>
      <c r="B252" s="2" t="s">
        <v>3610</v>
      </c>
      <c r="C252" s="2" t="s">
        <v>423</v>
      </c>
      <c r="D252" s="2" t="s">
        <v>2</v>
      </c>
      <c r="E252" s="2"/>
      <c r="F252" s="2">
        <v>10</v>
      </c>
      <c r="G252" s="2">
        <v>2</v>
      </c>
      <c r="H252" s="2">
        <v>40000</v>
      </c>
      <c r="I252" s="2">
        <v>65</v>
      </c>
      <c r="J252" s="2"/>
      <c r="K252" s="2">
        <v>31</v>
      </c>
      <c r="L252" s="2">
        <v>0</v>
      </c>
      <c r="M252" s="2">
        <v>10</v>
      </c>
      <c r="N252" s="2">
        <v>6</v>
      </c>
      <c r="O252" s="2">
        <v>10</v>
      </c>
      <c r="P252" s="2">
        <v>5</v>
      </c>
      <c r="Q252" s="2" t="s">
        <v>7158</v>
      </c>
      <c r="R252" s="2" t="s">
        <v>7159</v>
      </c>
      <c r="S252" s="4">
        <v>44963</v>
      </c>
    </row>
    <row r="253" spans="1:19" ht="12.5" hidden="1" x14ac:dyDescent="0.25">
      <c r="A253" s="14" t="str">
        <f>HYPERLINK("https://gerandofalcoes.my.salesforce.com/0014X00002YgggUQAR", "0014X00002YgggUQAR")</f>
        <v>0014X00002YgggUQAR</v>
      </c>
      <c r="B253" s="2" t="s">
        <v>3640</v>
      </c>
      <c r="C253" s="2" t="s">
        <v>1684</v>
      </c>
      <c r="D253" s="2" t="s">
        <v>2</v>
      </c>
      <c r="E253" s="2"/>
      <c r="F253" s="2">
        <v>0</v>
      </c>
      <c r="G253" s="2">
        <v>2</v>
      </c>
      <c r="H253" s="2">
        <v>45000</v>
      </c>
      <c r="I253" s="2">
        <v>0</v>
      </c>
      <c r="J253" s="2"/>
      <c r="K253" s="2">
        <v>16</v>
      </c>
      <c r="L253" s="2">
        <v>0</v>
      </c>
      <c r="M253" s="2">
        <v>0</v>
      </c>
      <c r="N253" s="2">
        <v>6</v>
      </c>
      <c r="O253" s="2">
        <v>10</v>
      </c>
      <c r="P253" s="2">
        <v>0</v>
      </c>
      <c r="Q253" s="2" t="s">
        <v>3641</v>
      </c>
      <c r="R253" s="2" t="s">
        <v>3641</v>
      </c>
      <c r="S253" s="4">
        <v>44963</v>
      </c>
    </row>
    <row r="254" spans="1:19" ht="12.5" x14ac:dyDescent="0.25">
      <c r="A254" s="14" t="str">
        <f>HYPERLINK("https://gerandofalcoes.my.salesforce.com/0014X00002YggoBQAR", "0014X00002YggoBQAR")</f>
        <v>0014X00002YggoBQAR</v>
      </c>
      <c r="B254" s="2" t="s">
        <v>3642</v>
      </c>
      <c r="C254" s="2" t="s">
        <v>423</v>
      </c>
      <c r="D254" s="2" t="s">
        <v>2</v>
      </c>
      <c r="E254" s="2"/>
      <c r="F254" s="2">
        <v>0</v>
      </c>
      <c r="G254" s="2">
        <v>3</v>
      </c>
      <c r="H254" s="2">
        <v>1200</v>
      </c>
      <c r="I254" s="2">
        <v>0</v>
      </c>
      <c r="J254" s="2"/>
      <c r="K254" s="2">
        <v>13</v>
      </c>
      <c r="L254" s="2">
        <v>0</v>
      </c>
      <c r="M254" s="2">
        <v>0</v>
      </c>
      <c r="N254" s="2">
        <v>8</v>
      </c>
      <c r="O254" s="2">
        <v>5</v>
      </c>
      <c r="P254" s="2">
        <v>0</v>
      </c>
      <c r="Q254" s="2" t="s">
        <v>3643</v>
      </c>
      <c r="R254" s="2" t="s">
        <v>3643</v>
      </c>
      <c r="S254" s="4">
        <v>44963</v>
      </c>
    </row>
    <row r="255" spans="1:19" ht="12.5" x14ac:dyDescent="0.25">
      <c r="A255" s="14" t="str">
        <f>HYPERLINK("https://gerandofalcoes.my.salesforce.com/0014X00002YggnHQAR", "0014X00002YggnHQAR")</f>
        <v>0014X00002YggnHQAR</v>
      </c>
      <c r="B255" s="2" t="s">
        <v>3612</v>
      </c>
      <c r="C255" s="2" t="s">
        <v>423</v>
      </c>
      <c r="D255" s="2" t="s">
        <v>2</v>
      </c>
      <c r="E255" s="2"/>
      <c r="F255" s="2">
        <v>0</v>
      </c>
      <c r="G255" s="2">
        <v>2</v>
      </c>
      <c r="H255" s="2">
        <v>10</v>
      </c>
      <c r="I255" s="2">
        <v>0</v>
      </c>
      <c r="J255" s="2"/>
      <c r="K255" s="2">
        <v>11</v>
      </c>
      <c r="L255" s="2">
        <v>0</v>
      </c>
      <c r="M255" s="2">
        <v>0</v>
      </c>
      <c r="N255" s="2">
        <v>6</v>
      </c>
      <c r="O255" s="2">
        <v>5</v>
      </c>
      <c r="P255" s="2">
        <v>0</v>
      </c>
      <c r="Q255" s="2" t="s">
        <v>3613</v>
      </c>
      <c r="R255" s="2" t="s">
        <v>3613</v>
      </c>
      <c r="S255" s="4">
        <v>44963</v>
      </c>
    </row>
    <row r="256" spans="1:19" ht="12.5" x14ac:dyDescent="0.25">
      <c r="A256" s="14" t="str">
        <f>HYPERLINK("https://gerandofalcoes.my.salesforce.com/0014X00002YggqQQAR", "0014X00002YggqQQAR")</f>
        <v>0014X00002YggqQQAR</v>
      </c>
      <c r="B256" s="2" t="s">
        <v>3665</v>
      </c>
      <c r="C256" s="2" t="s">
        <v>423</v>
      </c>
      <c r="D256" s="2" t="s">
        <v>2</v>
      </c>
      <c r="E256" s="2"/>
      <c r="F256" s="2">
        <v>0</v>
      </c>
      <c r="G256" s="2">
        <v>2</v>
      </c>
      <c r="H256" s="2">
        <v>800</v>
      </c>
      <c r="I256" s="2">
        <v>60</v>
      </c>
      <c r="J256" s="2"/>
      <c r="K256" s="2">
        <v>16</v>
      </c>
      <c r="L256" s="2">
        <v>0</v>
      </c>
      <c r="M256" s="2">
        <v>0</v>
      </c>
      <c r="N256" s="2">
        <v>6</v>
      </c>
      <c r="O256" s="2">
        <v>5</v>
      </c>
      <c r="P256" s="2">
        <v>5</v>
      </c>
      <c r="Q256" s="2" t="s">
        <v>3666</v>
      </c>
      <c r="R256" s="2" t="s">
        <v>3666</v>
      </c>
      <c r="S256" s="4">
        <v>44964</v>
      </c>
    </row>
    <row r="257" spans="1:19" ht="12.5" x14ac:dyDescent="0.25">
      <c r="A257" s="14" t="str">
        <f>HYPERLINK("https://gerandofalcoes.my.salesforce.com/0014X00002YggnEQAR", "0014X00002YggnEQAR")</f>
        <v>0014X00002YggnEQAR</v>
      </c>
      <c r="B257" s="2" t="s">
        <v>3673</v>
      </c>
      <c r="C257" s="2" t="s">
        <v>423</v>
      </c>
      <c r="D257" s="2" t="s">
        <v>2</v>
      </c>
      <c r="E257" s="2"/>
      <c r="F257" s="2">
        <v>4</v>
      </c>
      <c r="G257" s="2">
        <v>2</v>
      </c>
      <c r="H257" s="2">
        <v>10000</v>
      </c>
      <c r="I257" s="2">
        <v>60</v>
      </c>
      <c r="J257" s="2"/>
      <c r="K257" s="2">
        <v>21</v>
      </c>
      <c r="L257" s="2">
        <v>0</v>
      </c>
      <c r="M257" s="2">
        <v>5</v>
      </c>
      <c r="N257" s="2">
        <v>6</v>
      </c>
      <c r="O257" s="2">
        <v>5</v>
      </c>
      <c r="P257" s="2">
        <v>5</v>
      </c>
      <c r="Q257" s="2" t="s">
        <v>3674</v>
      </c>
      <c r="R257" s="2" t="s">
        <v>3674</v>
      </c>
      <c r="S257" s="4">
        <v>44964</v>
      </c>
    </row>
    <row r="258" spans="1:19" ht="12.5" x14ac:dyDescent="0.25">
      <c r="A258" s="14" t="str">
        <f>HYPERLINK("https://gerandofalcoes.my.salesforce.com/0014X00002Yggj7QAB", "0014X00002Yggj7QAB")</f>
        <v>0014X00002Yggj7QAB</v>
      </c>
      <c r="B258" s="2" t="s">
        <v>3650</v>
      </c>
      <c r="C258" s="2" t="s">
        <v>423</v>
      </c>
      <c r="D258" s="2" t="s">
        <v>2</v>
      </c>
      <c r="E258" s="2"/>
      <c r="F258" s="2">
        <v>0</v>
      </c>
      <c r="G258" s="2">
        <v>2</v>
      </c>
      <c r="H258" s="2">
        <v>90000</v>
      </c>
      <c r="I258" s="2">
        <v>40</v>
      </c>
      <c r="J258" s="2"/>
      <c r="K258" s="2">
        <v>21</v>
      </c>
      <c r="L258" s="2">
        <v>0</v>
      </c>
      <c r="M258" s="2">
        <v>0</v>
      </c>
      <c r="N258" s="2">
        <v>6</v>
      </c>
      <c r="O258" s="2">
        <v>10</v>
      </c>
      <c r="P258" s="2">
        <v>5</v>
      </c>
      <c r="Q258" s="2" t="s">
        <v>3651</v>
      </c>
      <c r="R258" s="2" t="s">
        <v>3651</v>
      </c>
      <c r="S258" s="4">
        <v>44964</v>
      </c>
    </row>
    <row r="259" spans="1:19" ht="12.5" x14ac:dyDescent="0.25">
      <c r="A259" s="14" t="str">
        <f>HYPERLINK("https://gerandofalcoes.my.salesforce.com/0014X00002Yggm8QAB", "0014X00002Yggm8QAB")</f>
        <v>0014X00002Yggm8QAB</v>
      </c>
      <c r="B259" s="2" t="s">
        <v>3678</v>
      </c>
      <c r="C259" s="2" t="s">
        <v>423</v>
      </c>
      <c r="D259" s="2" t="s">
        <v>2</v>
      </c>
      <c r="E259" s="2"/>
      <c r="F259" s="2">
        <v>4</v>
      </c>
      <c r="G259" s="2">
        <v>3</v>
      </c>
      <c r="H259" s="2">
        <v>140000</v>
      </c>
      <c r="I259" s="2">
        <v>216</v>
      </c>
      <c r="J259" s="2"/>
      <c r="K259" s="2">
        <v>40</v>
      </c>
      <c r="L259" s="2">
        <v>0</v>
      </c>
      <c r="M259" s="2">
        <v>5</v>
      </c>
      <c r="N259" s="2">
        <v>8</v>
      </c>
      <c r="O259" s="2">
        <v>15</v>
      </c>
      <c r="P259" s="2">
        <v>12</v>
      </c>
      <c r="Q259" s="2" t="s">
        <v>3679</v>
      </c>
      <c r="R259" s="2" t="s">
        <v>3680</v>
      </c>
      <c r="S259" s="4">
        <v>44964</v>
      </c>
    </row>
    <row r="260" spans="1:19" ht="12.5" x14ac:dyDescent="0.25">
      <c r="A260" s="14" t="str">
        <f>HYPERLINK("https://gerandofalcoes.my.salesforce.com/0014X00002YggjFQAR", "0014X00002YggjFQAR")</f>
        <v>0014X00002YggjFQAR</v>
      </c>
      <c r="B260" s="2" t="s">
        <v>3686</v>
      </c>
      <c r="C260" s="2" t="s">
        <v>423</v>
      </c>
      <c r="D260" s="2" t="s">
        <v>2</v>
      </c>
      <c r="E260" s="2"/>
      <c r="F260" s="2">
        <v>0</v>
      </c>
      <c r="G260" s="2">
        <v>2</v>
      </c>
      <c r="H260" s="2">
        <v>0</v>
      </c>
      <c r="I260" s="2">
        <v>0</v>
      </c>
      <c r="J260" s="2"/>
      <c r="K260" s="2">
        <v>6</v>
      </c>
      <c r="L260" s="2">
        <v>0</v>
      </c>
      <c r="M260" s="2">
        <v>0</v>
      </c>
      <c r="N260" s="2">
        <v>6</v>
      </c>
      <c r="O260" s="2">
        <v>0</v>
      </c>
      <c r="P260" s="2">
        <v>0</v>
      </c>
      <c r="Q260" s="2" t="s">
        <v>3687</v>
      </c>
      <c r="R260" s="2" t="s">
        <v>3688</v>
      </c>
      <c r="S260" s="4">
        <v>44964</v>
      </c>
    </row>
    <row r="261" spans="1:19" ht="12.5" x14ac:dyDescent="0.25">
      <c r="A261" s="14" t="str">
        <f>HYPERLINK("https://gerandofalcoes.my.salesforce.com/0014X00002YggkRQAR", "0014X00002YggkRQAR")</f>
        <v>0014X00002YggkRQAR</v>
      </c>
      <c r="B261" s="2" t="s">
        <v>3652</v>
      </c>
      <c r="C261" s="2" t="s">
        <v>423</v>
      </c>
      <c r="D261" s="2" t="s">
        <v>2</v>
      </c>
      <c r="E261" s="2"/>
      <c r="F261" s="2">
        <v>0</v>
      </c>
      <c r="G261" s="2">
        <v>3</v>
      </c>
      <c r="H261" s="2">
        <v>20000</v>
      </c>
      <c r="I261" s="2">
        <v>80</v>
      </c>
      <c r="J261" s="2"/>
      <c r="K261" s="2">
        <v>23</v>
      </c>
      <c r="L261" s="2">
        <v>0</v>
      </c>
      <c r="M261" s="2">
        <v>0</v>
      </c>
      <c r="N261" s="2">
        <v>8</v>
      </c>
      <c r="O261" s="2">
        <v>5</v>
      </c>
      <c r="P261" s="2">
        <v>10</v>
      </c>
      <c r="Q261" s="2" t="s">
        <v>3653</v>
      </c>
      <c r="R261" s="2" t="s">
        <v>3653</v>
      </c>
      <c r="S261" s="4">
        <v>44964</v>
      </c>
    </row>
    <row r="262" spans="1:19" ht="12.5" x14ac:dyDescent="0.25">
      <c r="A262" s="14" t="str">
        <f>HYPERLINK("https://gerandofalcoes.my.salesforce.com/0014X00002YggmvQAB", "0014X00002YggmvQAB")</f>
        <v>0014X00002YggmvQAB</v>
      </c>
      <c r="B262" s="2" t="s">
        <v>3654</v>
      </c>
      <c r="C262" s="2" t="s">
        <v>423</v>
      </c>
      <c r="D262" s="2" t="s">
        <v>2</v>
      </c>
      <c r="E262" s="2"/>
      <c r="F262" s="2">
        <v>0</v>
      </c>
      <c r="G262" s="2">
        <v>2</v>
      </c>
      <c r="H262" s="2">
        <v>17500000</v>
      </c>
      <c r="I262" s="2">
        <v>84</v>
      </c>
      <c r="J262" s="2"/>
      <c r="K262" s="2">
        <v>41</v>
      </c>
      <c r="L262" s="2">
        <v>0</v>
      </c>
      <c r="M262" s="2">
        <v>0</v>
      </c>
      <c r="N262" s="2">
        <v>6</v>
      </c>
      <c r="O262" s="2">
        <v>25</v>
      </c>
      <c r="P262" s="2">
        <v>10</v>
      </c>
      <c r="Q262" s="2" t="s">
        <v>3655</v>
      </c>
      <c r="R262" s="2" t="s">
        <v>3656</v>
      </c>
      <c r="S262" s="4">
        <v>44964</v>
      </c>
    </row>
    <row r="263" spans="1:19" ht="12.5" x14ac:dyDescent="0.25">
      <c r="A263" s="14" t="str">
        <f>HYPERLINK("https://gerandofalcoes.my.salesforce.com/0014X00002Yggh1QAB", "0014X00002Yggh1QAB")</f>
        <v>0014X00002Yggh1QAB</v>
      </c>
      <c r="B263" s="2" t="s">
        <v>3675</v>
      </c>
      <c r="C263" s="2" t="s">
        <v>423</v>
      </c>
      <c r="D263" s="2" t="s">
        <v>2</v>
      </c>
      <c r="E263" s="2"/>
      <c r="F263" s="2">
        <v>23</v>
      </c>
      <c r="G263" s="2">
        <v>6</v>
      </c>
      <c r="H263" s="2">
        <v>99279054</v>
      </c>
      <c r="I263" s="2">
        <v>520</v>
      </c>
      <c r="J263" s="2"/>
      <c r="K263" s="2">
        <v>67</v>
      </c>
      <c r="L263" s="2">
        <v>0</v>
      </c>
      <c r="M263" s="2">
        <v>12</v>
      </c>
      <c r="N263" s="2">
        <v>10</v>
      </c>
      <c r="O263" s="2">
        <v>25</v>
      </c>
      <c r="P263" s="2">
        <v>20</v>
      </c>
      <c r="Q263" s="2" t="s">
        <v>3676</v>
      </c>
      <c r="R263" s="2" t="s">
        <v>3677</v>
      </c>
      <c r="S263" s="4">
        <v>44964</v>
      </c>
    </row>
    <row r="264" spans="1:19" ht="12.5" x14ac:dyDescent="0.25">
      <c r="A264" s="14" t="str">
        <f>HYPERLINK("https://gerandofalcoes.my.salesforce.com/0014X00002YggpeQAB", "0014X00002YggpeQAB")</f>
        <v>0014X00002YggpeQAB</v>
      </c>
      <c r="B264" s="2" t="s">
        <v>3670</v>
      </c>
      <c r="C264" s="2" t="s">
        <v>423</v>
      </c>
      <c r="D264" s="2" t="s">
        <v>2</v>
      </c>
      <c r="E264" s="2"/>
      <c r="F264" s="2">
        <v>0</v>
      </c>
      <c r="G264" s="2">
        <v>4</v>
      </c>
      <c r="H264" s="2">
        <v>32100</v>
      </c>
      <c r="I264" s="2">
        <v>0</v>
      </c>
      <c r="J264" s="2"/>
      <c r="K264" s="2">
        <v>20</v>
      </c>
      <c r="L264" s="2">
        <v>0</v>
      </c>
      <c r="M264" s="2">
        <v>0</v>
      </c>
      <c r="N264" s="2">
        <v>10</v>
      </c>
      <c r="O264" s="2">
        <v>10</v>
      </c>
      <c r="P264" s="2">
        <v>0</v>
      </c>
      <c r="Q264" s="2" t="s">
        <v>3671</v>
      </c>
      <c r="R264" s="2" t="s">
        <v>7149</v>
      </c>
      <c r="S264" s="4">
        <v>44964</v>
      </c>
    </row>
    <row r="265" spans="1:19" ht="12.5" x14ac:dyDescent="0.25">
      <c r="A265" s="14" t="str">
        <f>HYPERLINK("https://gerandofalcoes.my.salesforce.com/0014X00002YggniQAB", "0014X00002YggniQAB")</f>
        <v>0014X00002YggniQAB</v>
      </c>
      <c r="B265" s="2" t="s">
        <v>3647</v>
      </c>
      <c r="C265" s="2" t="s">
        <v>423</v>
      </c>
      <c r="D265" s="2" t="s">
        <v>2</v>
      </c>
      <c r="E265" s="2"/>
      <c r="F265" s="2">
        <v>30</v>
      </c>
      <c r="G265" s="2">
        <v>7</v>
      </c>
      <c r="H265" s="2">
        <v>1235895</v>
      </c>
      <c r="I265" s="2">
        <v>0</v>
      </c>
      <c r="J265" s="2"/>
      <c r="K265" s="2">
        <v>47</v>
      </c>
      <c r="L265" s="2">
        <v>0</v>
      </c>
      <c r="M265" s="2">
        <v>12</v>
      </c>
      <c r="N265" s="2">
        <v>10</v>
      </c>
      <c r="O265" s="2">
        <v>25</v>
      </c>
      <c r="P265" s="2">
        <v>0</v>
      </c>
      <c r="Q265" s="2" t="s">
        <v>3648</v>
      </c>
      <c r="R265" s="2" t="s">
        <v>3649</v>
      </c>
      <c r="S265" s="4">
        <v>44964</v>
      </c>
    </row>
    <row r="266" spans="1:19" ht="12.5" x14ac:dyDescent="0.25">
      <c r="A266" s="14" t="str">
        <f>HYPERLINK("https://gerandofalcoes.my.salesforce.com/0014X00002YgghUQAR", "0014X00002YgghUQAR")</f>
        <v>0014X00002YgghUQAR</v>
      </c>
      <c r="B266" s="2" t="s">
        <v>3771</v>
      </c>
      <c r="C266" s="2" t="s">
        <v>423</v>
      </c>
      <c r="D266" s="2" t="s">
        <v>2</v>
      </c>
      <c r="E266" s="2"/>
      <c r="F266" s="2">
        <v>10</v>
      </c>
      <c r="G266" s="2">
        <v>4</v>
      </c>
      <c r="H266" s="2">
        <v>1600</v>
      </c>
      <c r="I266" s="2">
        <v>0</v>
      </c>
      <c r="J266" s="2"/>
      <c r="K266" s="2">
        <v>25</v>
      </c>
      <c r="L266" s="2">
        <v>0</v>
      </c>
      <c r="M266" s="2">
        <v>10</v>
      </c>
      <c r="N266" s="2">
        <v>10</v>
      </c>
      <c r="O266" s="2">
        <v>5</v>
      </c>
      <c r="P266" s="2">
        <v>0</v>
      </c>
      <c r="Q266" s="2" t="s">
        <v>3772</v>
      </c>
      <c r="R266" s="2" t="s">
        <v>3772</v>
      </c>
      <c r="S266" s="4">
        <v>44967</v>
      </c>
    </row>
    <row r="267" spans="1:19" ht="12.5" x14ac:dyDescent="0.25">
      <c r="A267" s="14" t="str">
        <f>HYPERLINK("https://gerandofalcoes.my.salesforce.com/0014X00002YggkxQAB", "0014X00002YggkxQAB")</f>
        <v>0014X00002YggkxQAB</v>
      </c>
      <c r="B267" s="2" t="s">
        <v>3733</v>
      </c>
      <c r="C267" s="2" t="s">
        <v>423</v>
      </c>
      <c r="D267" s="2" t="s">
        <v>2</v>
      </c>
      <c r="E267" s="2"/>
      <c r="F267" s="2">
        <v>0</v>
      </c>
      <c r="G267" s="2">
        <v>3</v>
      </c>
      <c r="H267" s="2">
        <v>80000</v>
      </c>
      <c r="I267" s="2">
        <v>250</v>
      </c>
      <c r="J267" s="2"/>
      <c r="K267" s="2">
        <v>30</v>
      </c>
      <c r="L267" s="2">
        <v>0</v>
      </c>
      <c r="M267" s="2">
        <v>0</v>
      </c>
      <c r="N267" s="2">
        <v>8</v>
      </c>
      <c r="O267" s="2">
        <v>10</v>
      </c>
      <c r="P267" s="2">
        <v>12</v>
      </c>
      <c r="Q267" s="2" t="s">
        <v>3734</v>
      </c>
      <c r="R267" s="2" t="s">
        <v>3734</v>
      </c>
      <c r="S267" s="4">
        <v>44967</v>
      </c>
    </row>
    <row r="268" spans="1:19" ht="12.5" x14ac:dyDescent="0.25">
      <c r="A268" s="14" t="str">
        <f>HYPERLINK("https://gerandofalcoes.my.salesforce.com/0014X00002YggpvQAB", "0014X00002YggpvQAB")</f>
        <v>0014X00002YggpvQAB</v>
      </c>
      <c r="B268" s="2" t="s">
        <v>3729</v>
      </c>
      <c r="C268" s="2" t="s">
        <v>423</v>
      </c>
      <c r="D268" s="2" t="s">
        <v>2</v>
      </c>
      <c r="E268" s="2"/>
      <c r="F268" s="2">
        <v>12</v>
      </c>
      <c r="G268" s="2">
        <v>3</v>
      </c>
      <c r="H268" s="2">
        <v>50000</v>
      </c>
      <c r="I268" s="2">
        <v>200</v>
      </c>
      <c r="J268" s="2"/>
      <c r="K268" s="2">
        <v>42</v>
      </c>
      <c r="L268" s="2">
        <v>0</v>
      </c>
      <c r="M268" s="2">
        <v>12</v>
      </c>
      <c r="N268" s="2">
        <v>8</v>
      </c>
      <c r="O268" s="2">
        <v>10</v>
      </c>
      <c r="P268" s="2">
        <v>12</v>
      </c>
      <c r="Q268" s="2" t="s">
        <v>3730</v>
      </c>
      <c r="R268" s="2" t="s">
        <v>3730</v>
      </c>
      <c r="S268" s="4">
        <v>44967</v>
      </c>
    </row>
    <row r="269" spans="1:19" ht="12.5" x14ac:dyDescent="0.25">
      <c r="A269" s="14" t="str">
        <f>HYPERLINK("https://gerandofalcoes.my.salesforce.com/0014X00002YggqCQAR", "0014X00002YggqCQAR")</f>
        <v>0014X00002YggqCQAR</v>
      </c>
      <c r="B269" s="2" t="s">
        <v>3745</v>
      </c>
      <c r="C269" s="2" t="s">
        <v>423</v>
      </c>
      <c r="D269" s="2" t="s">
        <v>2</v>
      </c>
      <c r="E269" s="2"/>
      <c r="F269" s="2">
        <v>3</v>
      </c>
      <c r="G269" s="2">
        <v>2</v>
      </c>
      <c r="H269" s="2">
        <v>300</v>
      </c>
      <c r="I269" s="2">
        <v>70</v>
      </c>
      <c r="J269" s="2"/>
      <c r="K269" s="2">
        <v>21</v>
      </c>
      <c r="L269" s="2">
        <v>0</v>
      </c>
      <c r="M269" s="2">
        <v>5</v>
      </c>
      <c r="N269" s="2">
        <v>6</v>
      </c>
      <c r="O269" s="2">
        <v>5</v>
      </c>
      <c r="P269" s="2">
        <v>5</v>
      </c>
      <c r="Q269" s="2" t="s">
        <v>3746</v>
      </c>
      <c r="R269" s="2" t="s">
        <v>3746</v>
      </c>
      <c r="S269" s="4">
        <v>44967</v>
      </c>
    </row>
    <row r="270" spans="1:19" ht="12.5" x14ac:dyDescent="0.25">
      <c r="A270" s="14" t="str">
        <f>HYPERLINK("https://gerandofalcoes.my.salesforce.com/0014X00002YgggxQAB", "0014X00002YgggxQAB")</f>
        <v>0014X00002YgggxQAB</v>
      </c>
      <c r="B270" s="2" t="s">
        <v>3698</v>
      </c>
      <c r="C270" s="2" t="s">
        <v>423</v>
      </c>
      <c r="D270" s="2" t="s">
        <v>2</v>
      </c>
      <c r="E270" s="2"/>
      <c r="F270" s="2">
        <v>0</v>
      </c>
      <c r="G270" s="2">
        <v>2</v>
      </c>
      <c r="H270" s="2">
        <v>131802.91</v>
      </c>
      <c r="I270" s="2">
        <v>50</v>
      </c>
      <c r="J270" s="2" t="s">
        <v>1779</v>
      </c>
      <c r="K270" s="2">
        <v>26</v>
      </c>
      <c r="L270" s="2">
        <v>0</v>
      </c>
      <c r="M270" s="2">
        <v>0</v>
      </c>
      <c r="N270" s="2">
        <v>6</v>
      </c>
      <c r="O270" s="2">
        <v>15</v>
      </c>
      <c r="P270" s="2">
        <v>5</v>
      </c>
      <c r="Q270" s="2" t="s">
        <v>3699</v>
      </c>
      <c r="R270" s="2" t="s">
        <v>3700</v>
      </c>
      <c r="S270" s="4">
        <v>44967</v>
      </c>
    </row>
    <row r="271" spans="1:19" ht="12.5" x14ac:dyDescent="0.25">
      <c r="A271" s="14" t="str">
        <f>HYPERLINK("https://gerandofalcoes.my.salesforce.com/0014X00002YggkOQAR", "0014X00002YggkOQAR")</f>
        <v>0014X00002YggkOQAR</v>
      </c>
      <c r="B271" s="2" t="s">
        <v>3719</v>
      </c>
      <c r="C271" s="2" t="s">
        <v>423</v>
      </c>
      <c r="D271" s="2" t="s">
        <v>2</v>
      </c>
      <c r="E271" s="2"/>
      <c r="F271" s="2">
        <v>20</v>
      </c>
      <c r="G271" s="2">
        <v>4</v>
      </c>
      <c r="H271" s="2">
        <v>180000</v>
      </c>
      <c r="I271" s="2">
        <v>80</v>
      </c>
      <c r="J271" s="2"/>
      <c r="K271" s="2">
        <v>47</v>
      </c>
      <c r="L271" s="2">
        <v>0</v>
      </c>
      <c r="M271" s="2">
        <v>12</v>
      </c>
      <c r="N271" s="2">
        <v>10</v>
      </c>
      <c r="O271" s="2">
        <v>15</v>
      </c>
      <c r="P271" s="2">
        <v>10</v>
      </c>
      <c r="Q271" s="2" t="s">
        <v>3720</v>
      </c>
      <c r="R271" s="2" t="s">
        <v>3721</v>
      </c>
      <c r="S271" s="4">
        <v>44967</v>
      </c>
    </row>
    <row r="272" spans="1:19" ht="12.5" x14ac:dyDescent="0.25">
      <c r="A272" s="14" t="str">
        <f>HYPERLINK("https://gerandofalcoes.my.salesforce.com/0014X00002Yggo4QAB", "0014X00002Yggo4QAB")</f>
        <v>0014X00002Yggo4QAB</v>
      </c>
      <c r="B272" s="2" t="s">
        <v>3707</v>
      </c>
      <c r="C272" s="2" t="s">
        <v>423</v>
      </c>
      <c r="D272" s="2" t="s">
        <v>2</v>
      </c>
      <c r="E272" s="2"/>
      <c r="F272" s="2">
        <v>0</v>
      </c>
      <c r="G272" s="2">
        <v>3</v>
      </c>
      <c r="H272" s="2">
        <v>3000</v>
      </c>
      <c r="I272" s="2">
        <v>0</v>
      </c>
      <c r="J272" s="2"/>
      <c r="K272" s="2">
        <v>13</v>
      </c>
      <c r="L272" s="2">
        <v>0</v>
      </c>
      <c r="M272" s="2">
        <v>0</v>
      </c>
      <c r="N272" s="2">
        <v>8</v>
      </c>
      <c r="O272" s="2">
        <v>5</v>
      </c>
      <c r="P272" s="2">
        <v>0</v>
      </c>
      <c r="Q272" s="2" t="s">
        <v>3708</v>
      </c>
      <c r="R272" s="2" t="s">
        <v>3708</v>
      </c>
      <c r="S272" s="4">
        <v>44967</v>
      </c>
    </row>
    <row r="273" spans="1:19" ht="12.5" x14ac:dyDescent="0.25">
      <c r="A273" s="14" t="str">
        <f>HYPERLINK("https://gerandofalcoes.my.salesforce.com/0014X00002YggiKQAR", "0014X00002YggiKQAR")</f>
        <v>0014X00002YggiKQAR</v>
      </c>
      <c r="B273" s="2" t="s">
        <v>3743</v>
      </c>
      <c r="C273" s="2" t="s">
        <v>423</v>
      </c>
      <c r="D273" s="2" t="s">
        <v>2</v>
      </c>
      <c r="E273" s="2"/>
      <c r="F273" s="2">
        <v>0</v>
      </c>
      <c r="G273" s="2">
        <v>2</v>
      </c>
      <c r="H273" s="2">
        <v>1000</v>
      </c>
      <c r="I273" s="2">
        <v>100</v>
      </c>
      <c r="J273" s="2"/>
      <c r="K273" s="2">
        <v>21</v>
      </c>
      <c r="L273" s="2">
        <v>0</v>
      </c>
      <c r="M273" s="2">
        <v>0</v>
      </c>
      <c r="N273" s="2">
        <v>6</v>
      </c>
      <c r="O273" s="2">
        <v>5</v>
      </c>
      <c r="P273" s="2">
        <v>10</v>
      </c>
      <c r="Q273" s="2" t="s">
        <v>3744</v>
      </c>
      <c r="R273" s="2" t="s">
        <v>3744</v>
      </c>
      <c r="S273" s="4">
        <v>44967</v>
      </c>
    </row>
    <row r="274" spans="1:19" ht="12.5" x14ac:dyDescent="0.25">
      <c r="A274" s="14" t="str">
        <f>HYPERLINK("https://gerandofalcoes.my.salesforce.com/0014X00002Yjq5GQAR", "0014X00002Yjq5GQAR")</f>
        <v>0014X00002Yjq5GQAR</v>
      </c>
      <c r="B274" s="2" t="s">
        <v>3805</v>
      </c>
      <c r="C274" s="2" t="s">
        <v>423</v>
      </c>
      <c r="D274" s="2" t="s">
        <v>2</v>
      </c>
      <c r="E274" s="2">
        <v>0</v>
      </c>
      <c r="F274" s="2">
        <v>0</v>
      </c>
      <c r="G274" s="2">
        <v>1</v>
      </c>
      <c r="H274" s="2">
        <v>3000</v>
      </c>
      <c r="I274" s="2">
        <v>180</v>
      </c>
      <c r="J274" s="2" t="s">
        <v>7150</v>
      </c>
      <c r="K274" s="2">
        <v>21</v>
      </c>
      <c r="L274" s="2">
        <v>0</v>
      </c>
      <c r="M274" s="2">
        <v>0</v>
      </c>
      <c r="N274" s="2">
        <v>4</v>
      </c>
      <c r="O274" s="2">
        <v>5</v>
      </c>
      <c r="P274" s="2">
        <v>12</v>
      </c>
      <c r="Q274" s="2" t="s">
        <v>3806</v>
      </c>
      <c r="R274" s="2" t="s">
        <v>3806</v>
      </c>
      <c r="S274" s="4">
        <v>44985</v>
      </c>
    </row>
    <row r="275" spans="1:19" ht="12.5" x14ac:dyDescent="0.25">
      <c r="A275" s="14" t="str">
        <f>HYPERLINK("https://gerandofalcoes.my.salesforce.com/0014X00002YgghbQAB", "0014X00002YgghbQAB")</f>
        <v>0014X00002YgghbQAB</v>
      </c>
      <c r="B275" s="2" t="s">
        <v>3784</v>
      </c>
      <c r="C275" s="2" t="s">
        <v>423</v>
      </c>
      <c r="D275" s="2" t="s">
        <v>2</v>
      </c>
      <c r="E275" s="2"/>
      <c r="F275" s="2">
        <v>4</v>
      </c>
      <c r="G275" s="2">
        <v>6</v>
      </c>
      <c r="H275" s="2">
        <v>8000</v>
      </c>
      <c r="I275" s="2">
        <v>280</v>
      </c>
      <c r="J275" s="2"/>
      <c r="K275" s="2">
        <v>32</v>
      </c>
      <c r="L275" s="2">
        <v>0</v>
      </c>
      <c r="M275" s="2">
        <v>5</v>
      </c>
      <c r="N275" s="2">
        <v>10</v>
      </c>
      <c r="O275" s="2">
        <v>5</v>
      </c>
      <c r="P275" s="2">
        <v>12</v>
      </c>
      <c r="Q275" s="2" t="s">
        <v>3785</v>
      </c>
      <c r="R275" s="2" t="s">
        <v>3786</v>
      </c>
      <c r="S275" s="4">
        <v>44968</v>
      </c>
    </row>
    <row r="276" spans="1:19" ht="12.5" x14ac:dyDescent="0.25">
      <c r="A276" s="14" t="str">
        <f>HYPERLINK("https://gerandofalcoes.my.salesforce.com/0014X00002YgghrQAB", "0014X00002YgghrQAB")</f>
        <v>0014X00002YgghrQAB</v>
      </c>
      <c r="B276" s="2" t="s">
        <v>3775</v>
      </c>
      <c r="C276" s="2" t="s">
        <v>423</v>
      </c>
      <c r="D276" s="2" t="s">
        <v>2</v>
      </c>
      <c r="E276" s="2"/>
      <c r="F276" s="2">
        <v>12</v>
      </c>
      <c r="G276" s="2">
        <v>4</v>
      </c>
      <c r="H276" s="2">
        <v>700000</v>
      </c>
      <c r="I276" s="2">
        <v>410</v>
      </c>
      <c r="J276" s="2"/>
      <c r="K276" s="2">
        <v>57</v>
      </c>
      <c r="L276" s="2">
        <v>0</v>
      </c>
      <c r="M276" s="2">
        <v>12</v>
      </c>
      <c r="N276" s="2">
        <v>10</v>
      </c>
      <c r="O276" s="2">
        <v>20</v>
      </c>
      <c r="P276" s="2">
        <v>15</v>
      </c>
      <c r="Q276" s="2" t="s">
        <v>3776</v>
      </c>
      <c r="R276" s="2" t="s">
        <v>3776</v>
      </c>
      <c r="S276" s="4">
        <v>44968</v>
      </c>
    </row>
    <row r="277" spans="1:19" ht="12.5" x14ac:dyDescent="0.25">
      <c r="A277" s="14" t="str">
        <f>HYPERLINK("https://gerandofalcoes.my.salesforce.com/0014X00002YggiFQAR", "0014X00002YggiFQAR")</f>
        <v>0014X00002YggiFQAR</v>
      </c>
      <c r="B277" s="2" t="s">
        <v>3794</v>
      </c>
      <c r="C277" s="2" t="s">
        <v>423</v>
      </c>
      <c r="D277" s="2" t="s">
        <v>2</v>
      </c>
      <c r="E277" s="2"/>
      <c r="F277" s="2">
        <v>2</v>
      </c>
      <c r="G277" s="2">
        <v>2</v>
      </c>
      <c r="H277" s="2">
        <v>200</v>
      </c>
      <c r="I277" s="2">
        <v>50</v>
      </c>
      <c r="J277" s="2"/>
      <c r="K277" s="2">
        <v>21</v>
      </c>
      <c r="L277" s="2">
        <v>0</v>
      </c>
      <c r="M277" s="2">
        <v>5</v>
      </c>
      <c r="N277" s="2">
        <v>6</v>
      </c>
      <c r="O277" s="2">
        <v>5</v>
      </c>
      <c r="P277" s="2">
        <v>5</v>
      </c>
      <c r="Q277" s="2" t="s">
        <v>3795</v>
      </c>
      <c r="R277" s="2" t="s">
        <v>3795</v>
      </c>
      <c r="S277" s="4">
        <v>44968</v>
      </c>
    </row>
    <row r="278" spans="1:19" ht="12.5" x14ac:dyDescent="0.25">
      <c r="A278" s="14" t="str">
        <f>HYPERLINK("https://gerandofalcoes.my.salesforce.com/0014X00002YgghAQAR", "0014X00002YgghAQAR")</f>
        <v>0014X00002YgghAQAR</v>
      </c>
      <c r="B278" s="2" t="s">
        <v>3695</v>
      </c>
      <c r="C278" s="2" t="s">
        <v>423</v>
      </c>
      <c r="D278" s="2" t="s">
        <v>2</v>
      </c>
      <c r="E278" s="2"/>
      <c r="F278" s="2">
        <v>36</v>
      </c>
      <c r="G278" s="2">
        <v>11</v>
      </c>
      <c r="H278" s="2">
        <v>237000</v>
      </c>
      <c r="I278" s="2">
        <v>450</v>
      </c>
      <c r="J278" s="2"/>
      <c r="K278" s="2">
        <v>60</v>
      </c>
      <c r="L278" s="2">
        <v>0</v>
      </c>
      <c r="M278" s="2">
        <v>15</v>
      </c>
      <c r="N278" s="2">
        <v>10</v>
      </c>
      <c r="O278" s="2">
        <v>15</v>
      </c>
      <c r="P278" s="2">
        <v>20</v>
      </c>
      <c r="Q278" s="2" t="s">
        <v>3696</v>
      </c>
      <c r="R278" s="2" t="s">
        <v>3697</v>
      </c>
      <c r="S278" s="4">
        <v>44967</v>
      </c>
    </row>
    <row r="279" spans="1:19" ht="12.5" x14ac:dyDescent="0.25">
      <c r="A279" s="14" t="str">
        <f>HYPERLINK("https://gerandofalcoes.my.salesforce.com/0014X00002YggmmQAB", "0014X00002YggmmQAB")</f>
        <v>0014X00002YggmmQAB</v>
      </c>
      <c r="B279" s="2" t="s">
        <v>3752</v>
      </c>
      <c r="C279" s="2" t="s">
        <v>423</v>
      </c>
      <c r="D279" s="2" t="s">
        <v>2</v>
      </c>
      <c r="E279" s="2"/>
      <c r="F279" s="2">
        <v>0</v>
      </c>
      <c r="G279" s="2">
        <v>4</v>
      </c>
      <c r="H279" s="2">
        <v>1500</v>
      </c>
      <c r="I279" s="2">
        <v>30</v>
      </c>
      <c r="J279" s="2"/>
      <c r="K279" s="2">
        <v>20</v>
      </c>
      <c r="L279" s="2">
        <v>0</v>
      </c>
      <c r="M279" s="2">
        <v>0</v>
      </c>
      <c r="N279" s="2">
        <v>10</v>
      </c>
      <c r="O279" s="2">
        <v>5</v>
      </c>
      <c r="P279" s="2">
        <v>5</v>
      </c>
      <c r="Q279" s="2" t="s">
        <v>3753</v>
      </c>
      <c r="R279" s="2" t="s">
        <v>3754</v>
      </c>
      <c r="S279" s="4">
        <v>44967</v>
      </c>
    </row>
    <row r="280" spans="1:19" ht="12.5" x14ac:dyDescent="0.25">
      <c r="A280" s="14" t="str">
        <f>HYPERLINK("https://gerandofalcoes.my.salesforce.com/0014X00002YggoEQAR", "0014X00002YggoEQAR")</f>
        <v>0014X00002YggoEQAR</v>
      </c>
      <c r="B280" s="2" t="s">
        <v>3701</v>
      </c>
      <c r="C280" s="2" t="s">
        <v>423</v>
      </c>
      <c r="D280" s="2" t="s">
        <v>2</v>
      </c>
      <c r="E280" s="2"/>
      <c r="F280" s="2">
        <v>0</v>
      </c>
      <c r="G280" s="2">
        <v>2</v>
      </c>
      <c r="H280" s="2">
        <v>1000</v>
      </c>
      <c r="I280" s="2">
        <v>30</v>
      </c>
      <c r="J280" s="2"/>
      <c r="K280" s="2">
        <v>16</v>
      </c>
      <c r="L280" s="2">
        <v>0</v>
      </c>
      <c r="M280" s="2">
        <v>0</v>
      </c>
      <c r="N280" s="2">
        <v>6</v>
      </c>
      <c r="O280" s="2">
        <v>5</v>
      </c>
      <c r="P280" s="2">
        <v>5</v>
      </c>
      <c r="Q280" s="2" t="s">
        <v>3702</v>
      </c>
      <c r="R280" s="2" t="s">
        <v>3702</v>
      </c>
      <c r="S280" s="4">
        <v>44967</v>
      </c>
    </row>
    <row r="281" spans="1:19" ht="12.5" x14ac:dyDescent="0.25">
      <c r="A281" s="14" t="str">
        <f>HYPERLINK("https://gerandofalcoes.my.salesforce.com/0014X00002YgbkqQAB", "0014X00002YgbkqQAB")</f>
        <v>0014X00002YgbkqQAB</v>
      </c>
      <c r="B281" s="2" t="s">
        <v>3773</v>
      </c>
      <c r="C281" s="2" t="s">
        <v>423</v>
      </c>
      <c r="D281" s="2" t="s">
        <v>2</v>
      </c>
      <c r="E281" s="2"/>
      <c r="F281" s="2">
        <v>0</v>
      </c>
      <c r="G281" s="2">
        <v>0</v>
      </c>
      <c r="H281" s="2">
        <v>0</v>
      </c>
      <c r="I281" s="2">
        <v>0</v>
      </c>
      <c r="J281" s="2"/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 t="s">
        <v>3774</v>
      </c>
      <c r="R281" s="2" t="s">
        <v>3774</v>
      </c>
      <c r="S281" s="4">
        <v>44967</v>
      </c>
    </row>
    <row r="282" spans="1:19" ht="12.5" x14ac:dyDescent="0.25">
      <c r="A282" s="14" t="str">
        <f>HYPERLINK("https://gerandofalcoes.my.salesforce.com/0014X00002YgggVQAR", "0014X00002YgggVQAR")</f>
        <v>0014X00002YgggVQAR</v>
      </c>
      <c r="B282" s="2" t="s">
        <v>3731</v>
      </c>
      <c r="C282" s="2" t="s">
        <v>423</v>
      </c>
      <c r="D282" s="2" t="s">
        <v>2</v>
      </c>
      <c r="E282" s="2"/>
      <c r="F282" s="2">
        <v>2</v>
      </c>
      <c r="G282" s="2">
        <v>2</v>
      </c>
      <c r="H282" s="2">
        <v>150000</v>
      </c>
      <c r="I282" s="2">
        <v>250</v>
      </c>
      <c r="J282" s="2"/>
      <c r="K282" s="2">
        <v>38</v>
      </c>
      <c r="L282" s="2">
        <v>0</v>
      </c>
      <c r="M282" s="2">
        <v>5</v>
      </c>
      <c r="N282" s="2">
        <v>6</v>
      </c>
      <c r="O282" s="2">
        <v>15</v>
      </c>
      <c r="P282" s="2">
        <v>12</v>
      </c>
      <c r="Q282" s="2" t="s">
        <v>3732</v>
      </c>
      <c r="R282" s="2" t="s">
        <v>3732</v>
      </c>
      <c r="S282" s="4">
        <v>44967</v>
      </c>
    </row>
    <row r="283" spans="1:19" ht="12.5" x14ac:dyDescent="0.25">
      <c r="A283" s="14" t="str">
        <f>HYPERLINK("https://gerandofalcoes.my.salesforce.com/0014X00002Yggr5QAB", "0014X00002Yggr5QAB")</f>
        <v>0014X00002Yggr5QAB</v>
      </c>
      <c r="B283" s="2" t="s">
        <v>3779</v>
      </c>
      <c r="C283" s="2" t="s">
        <v>423</v>
      </c>
      <c r="D283" s="2" t="s">
        <v>2</v>
      </c>
      <c r="E283" s="2"/>
      <c r="F283" s="2">
        <v>3</v>
      </c>
      <c r="G283" s="2">
        <v>2</v>
      </c>
      <c r="H283" s="2">
        <v>24000</v>
      </c>
      <c r="I283" s="2">
        <v>0</v>
      </c>
      <c r="J283" s="2"/>
      <c r="K283" s="2">
        <v>16</v>
      </c>
      <c r="L283" s="2">
        <v>0</v>
      </c>
      <c r="M283" s="2">
        <v>5</v>
      </c>
      <c r="N283" s="2">
        <v>6</v>
      </c>
      <c r="O283" s="2">
        <v>5</v>
      </c>
      <c r="P283" s="2">
        <v>0</v>
      </c>
      <c r="Q283" s="2" t="s">
        <v>3780</v>
      </c>
      <c r="R283" s="2" t="s">
        <v>3780</v>
      </c>
      <c r="S283" s="4">
        <v>44968</v>
      </c>
    </row>
    <row r="284" spans="1:19" ht="12.5" x14ac:dyDescent="0.25">
      <c r="A284" s="14" t="str">
        <f>HYPERLINK("https://gerandofalcoes.my.salesforce.com/0014X00002YgbkhQAB", "0014X00002YgbkhQAB")</f>
        <v>0014X00002YgbkhQAB</v>
      </c>
      <c r="B284" s="2" t="s">
        <v>3798</v>
      </c>
      <c r="C284" s="2" t="s">
        <v>423</v>
      </c>
      <c r="D284" s="2" t="s">
        <v>2</v>
      </c>
      <c r="E284" s="2"/>
      <c r="F284" s="2">
        <v>0</v>
      </c>
      <c r="G284" s="2">
        <v>0</v>
      </c>
      <c r="H284" s="2">
        <v>0</v>
      </c>
      <c r="I284" s="2">
        <v>0</v>
      </c>
      <c r="J284" s="2"/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 t="s">
        <v>3799</v>
      </c>
      <c r="R284" s="2" t="s">
        <v>3799</v>
      </c>
      <c r="S284" s="4">
        <v>44970</v>
      </c>
    </row>
    <row r="285" spans="1:19" ht="12.5" x14ac:dyDescent="0.25">
      <c r="A285" s="14" t="str">
        <f>HYPERLINK("https://gerandofalcoes.my.salesforce.com/0014X00002cUXt4QAG", "0014X00002cUXt4QAG")</f>
        <v>0014X00002cUXt4QAG</v>
      </c>
      <c r="B285" s="2" t="s">
        <v>3812</v>
      </c>
      <c r="C285" s="2" t="s">
        <v>423</v>
      </c>
      <c r="D285" s="2" t="s">
        <v>2</v>
      </c>
      <c r="E285" s="2">
        <v>10</v>
      </c>
      <c r="F285" s="2">
        <v>0</v>
      </c>
      <c r="G285" s="2">
        <v>0</v>
      </c>
      <c r="H285" s="2">
        <v>0</v>
      </c>
      <c r="I285" s="2">
        <v>10</v>
      </c>
      <c r="J285" s="2" t="s">
        <v>1671</v>
      </c>
      <c r="K285" s="2">
        <v>15</v>
      </c>
      <c r="L285" s="2">
        <v>10</v>
      </c>
      <c r="M285" s="2">
        <v>0</v>
      </c>
      <c r="N285" s="2">
        <v>0</v>
      </c>
      <c r="O285" s="2">
        <v>0</v>
      </c>
      <c r="P285" s="2">
        <v>5</v>
      </c>
      <c r="Q285" s="2" t="s">
        <v>3813</v>
      </c>
      <c r="R285" s="2" t="s">
        <v>3814</v>
      </c>
      <c r="S285" s="4">
        <v>44991</v>
      </c>
    </row>
    <row r="286" spans="1:19" ht="12.5" x14ac:dyDescent="0.25">
      <c r="A286" s="14" t="str">
        <f>HYPERLINK("https://gerandofalcoes.my.salesforce.com/0014X00002VKCtUQAX", "0014X00002VKCtUQAX")</f>
        <v>0014X00002VKCtUQAX</v>
      </c>
      <c r="B286" s="2" t="s">
        <v>3823</v>
      </c>
      <c r="C286" s="2" t="s">
        <v>423</v>
      </c>
      <c r="D286" s="2" t="s">
        <v>2</v>
      </c>
      <c r="E286" s="2">
        <v>37</v>
      </c>
      <c r="F286" s="2">
        <v>0</v>
      </c>
      <c r="G286" s="2">
        <v>0</v>
      </c>
      <c r="H286" s="2">
        <v>0</v>
      </c>
      <c r="I286" s="2">
        <v>51</v>
      </c>
      <c r="J286" s="2" t="s">
        <v>1779</v>
      </c>
      <c r="K286" s="2">
        <v>20</v>
      </c>
      <c r="L286" s="2">
        <v>15</v>
      </c>
      <c r="M286" s="2">
        <v>0</v>
      </c>
      <c r="N286" s="2">
        <v>0</v>
      </c>
      <c r="O286" s="2">
        <v>0</v>
      </c>
      <c r="P286" s="2">
        <v>5</v>
      </c>
      <c r="Q286" s="2" t="s">
        <v>3824</v>
      </c>
      <c r="R286" s="2" t="s">
        <v>3824</v>
      </c>
      <c r="S286" s="4">
        <v>45015</v>
      </c>
    </row>
    <row r="287" spans="1:19" ht="12.5" x14ac:dyDescent="0.25">
      <c r="A287" s="14" t="str">
        <f>HYPERLINK("https://gerandofalcoes.my.salesforce.com/0014X00002YkLeFQAV", "0014X00002YkLeFQAV")</f>
        <v>0014X00002YkLeFQAV</v>
      </c>
      <c r="B287" s="2" t="s">
        <v>3829</v>
      </c>
      <c r="C287" s="2" t="s">
        <v>423</v>
      </c>
      <c r="D287" s="2" t="s">
        <v>2</v>
      </c>
      <c r="E287" s="2">
        <v>17.97</v>
      </c>
      <c r="F287" s="2">
        <v>1</v>
      </c>
      <c r="G287" s="2">
        <v>0</v>
      </c>
      <c r="H287" s="2">
        <v>0</v>
      </c>
      <c r="I287" s="2">
        <v>1</v>
      </c>
      <c r="J287" s="2" t="s">
        <v>1779</v>
      </c>
      <c r="K287" s="2">
        <v>20</v>
      </c>
      <c r="L287" s="2">
        <v>10</v>
      </c>
      <c r="M287" s="2">
        <v>5</v>
      </c>
      <c r="N287" s="2">
        <v>0</v>
      </c>
      <c r="O287" s="2">
        <v>0</v>
      </c>
      <c r="P287" s="2">
        <v>5</v>
      </c>
      <c r="Q287" s="2" t="s">
        <v>3830</v>
      </c>
      <c r="R287" s="2" t="s">
        <v>3830</v>
      </c>
      <c r="S287" s="4">
        <v>45015</v>
      </c>
    </row>
    <row r="288" spans="1:19" ht="12.5" x14ac:dyDescent="0.25">
      <c r="A288" s="14" t="str">
        <f>HYPERLINK("https://gerandofalcoes.my.salesforce.com/0014X00002VKCq3QAH", "0014X00002VKCq3QAH")</f>
        <v>0014X00002VKCq3QAH</v>
      </c>
      <c r="B288" s="2" t="s">
        <v>3825</v>
      </c>
      <c r="C288" s="2" t="s">
        <v>423</v>
      </c>
      <c r="D288" s="2" t="s">
        <v>2</v>
      </c>
      <c r="E288" s="2">
        <v>28.4</v>
      </c>
      <c r="F288" s="2">
        <v>0</v>
      </c>
      <c r="G288" s="2">
        <v>0</v>
      </c>
      <c r="H288" s="2">
        <v>518799</v>
      </c>
      <c r="I288" s="2">
        <v>22</v>
      </c>
      <c r="J288" s="2" t="s">
        <v>1671</v>
      </c>
      <c r="K288" s="2">
        <v>40</v>
      </c>
      <c r="L288" s="2">
        <v>15</v>
      </c>
      <c r="M288" s="2">
        <v>0</v>
      </c>
      <c r="N288" s="2">
        <v>0</v>
      </c>
      <c r="O288" s="2">
        <v>20</v>
      </c>
      <c r="P288" s="2">
        <v>5</v>
      </c>
      <c r="Q288" s="2" t="s">
        <v>3826</v>
      </c>
      <c r="R288" s="2" t="s">
        <v>3826</v>
      </c>
      <c r="S288" s="4">
        <v>45015</v>
      </c>
    </row>
    <row r="289" spans="1:19" ht="12.5" hidden="1" x14ac:dyDescent="0.25">
      <c r="A289" s="14" t="str">
        <f>HYPERLINK("https://gerandofalcoes.my.salesforce.com/0014X00002YggiPQAR", "0014X00002YggiPQAR")</f>
        <v>0014X00002YggiPQAR</v>
      </c>
      <c r="B289" s="2" t="s">
        <v>3033</v>
      </c>
      <c r="C289" s="2" t="s">
        <v>1684</v>
      </c>
      <c r="D289" s="2" t="s">
        <v>2</v>
      </c>
      <c r="E289" s="2">
        <v>0</v>
      </c>
      <c r="F289" s="2">
        <v>1</v>
      </c>
      <c r="G289" s="2">
        <v>2</v>
      </c>
      <c r="H289" s="2">
        <v>600</v>
      </c>
      <c r="I289" s="2">
        <v>0</v>
      </c>
      <c r="J289" s="2" t="s">
        <v>1779</v>
      </c>
      <c r="K289" s="2">
        <v>16</v>
      </c>
      <c r="L289" s="2">
        <v>0</v>
      </c>
      <c r="M289" s="2">
        <v>5</v>
      </c>
      <c r="N289" s="2">
        <v>6</v>
      </c>
      <c r="O289" s="2">
        <v>5</v>
      </c>
      <c r="P289" s="2">
        <v>0</v>
      </c>
      <c r="Q289" s="2" t="s">
        <v>3034</v>
      </c>
      <c r="R289" s="2" t="s">
        <v>3034</v>
      </c>
      <c r="S289" s="4">
        <v>44945</v>
      </c>
    </row>
    <row r="290" spans="1:19" ht="12.5" x14ac:dyDescent="0.25">
      <c r="A290" s="14" t="str">
        <f>HYPERLINK("https://gerandofalcoes.my.salesforce.com/0014X00002YgbkWQAR", "0014X00002YgbkWQAR")</f>
        <v>0014X00002YgbkWQAR</v>
      </c>
      <c r="B290" s="2" t="s">
        <v>3821</v>
      </c>
      <c r="C290" s="2" t="s">
        <v>423</v>
      </c>
      <c r="D290" s="2" t="s">
        <v>2</v>
      </c>
      <c r="E290" s="2"/>
      <c r="F290" s="2">
        <v>0</v>
      </c>
      <c r="G290" s="2">
        <v>0</v>
      </c>
      <c r="H290" s="2">
        <v>0</v>
      </c>
      <c r="I290" s="2">
        <v>0</v>
      </c>
      <c r="J290" s="2"/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 t="s">
        <v>3822</v>
      </c>
      <c r="R290" s="2" t="s">
        <v>3822</v>
      </c>
      <c r="S290" s="4">
        <v>45001</v>
      </c>
    </row>
    <row r="291" spans="1:19" ht="12.5" x14ac:dyDescent="0.25">
      <c r="A291" s="14" t="str">
        <f>HYPERLINK("https://gerandofalcoes.my.salesforce.com/0014X00002YggjrQAB", "0014X00002YggjrQAB")</f>
        <v>0014X00002YggjrQAB</v>
      </c>
      <c r="B291" s="2" t="s">
        <v>3040</v>
      </c>
      <c r="C291" s="2" t="s">
        <v>423</v>
      </c>
      <c r="D291" s="2" t="s">
        <v>2</v>
      </c>
      <c r="E291" s="2"/>
      <c r="F291" s="2">
        <v>0</v>
      </c>
      <c r="G291" s="2">
        <v>2</v>
      </c>
      <c r="H291" s="2">
        <v>86000</v>
      </c>
      <c r="I291" s="2">
        <v>170</v>
      </c>
      <c r="J291" s="2"/>
      <c r="K291" s="2">
        <v>28</v>
      </c>
      <c r="L291" s="2">
        <v>0</v>
      </c>
      <c r="M291" s="2">
        <v>0</v>
      </c>
      <c r="N291" s="2">
        <v>6</v>
      </c>
      <c r="O291" s="2">
        <v>10</v>
      </c>
      <c r="P291" s="2">
        <v>12</v>
      </c>
      <c r="Q291" s="2" t="s">
        <v>3041</v>
      </c>
      <c r="R291" s="2" t="s">
        <v>3042</v>
      </c>
      <c r="S291" s="4">
        <v>44945</v>
      </c>
    </row>
    <row r="292" spans="1:19" ht="12.5" x14ac:dyDescent="0.25">
      <c r="A292" s="14" t="str">
        <f>HYPERLINK("https://gerandofalcoes.my.salesforce.com/0014X00002YggoGQAR", "0014X00002YggoGQAR")</f>
        <v>0014X00002YggoGQAR</v>
      </c>
      <c r="B292" s="2" t="s">
        <v>3028</v>
      </c>
      <c r="C292" s="2" t="s">
        <v>423</v>
      </c>
      <c r="D292" s="2" t="s">
        <v>2</v>
      </c>
      <c r="E292" s="2"/>
      <c r="F292" s="2">
        <v>12</v>
      </c>
      <c r="G292" s="2">
        <v>3</v>
      </c>
      <c r="H292" s="2">
        <v>3000</v>
      </c>
      <c r="I292" s="2">
        <v>40</v>
      </c>
      <c r="J292" s="2"/>
      <c r="K292" s="2">
        <v>30</v>
      </c>
      <c r="L292" s="2">
        <v>0</v>
      </c>
      <c r="M292" s="2">
        <v>12</v>
      </c>
      <c r="N292" s="2">
        <v>8</v>
      </c>
      <c r="O292" s="2">
        <v>5</v>
      </c>
      <c r="P292" s="2">
        <v>5</v>
      </c>
      <c r="Q292" s="2" t="s">
        <v>3029</v>
      </c>
      <c r="R292" s="2" t="s">
        <v>3030</v>
      </c>
      <c r="S292" s="4">
        <v>44945</v>
      </c>
    </row>
    <row r="293" spans="1:19" ht="12.5" x14ac:dyDescent="0.25">
      <c r="A293" s="14" t="str">
        <f>HYPERLINK("https://gerandofalcoes.my.salesforce.com/0014X00002YggqVQAR", "0014X00002YggqVQAR")</f>
        <v>0014X00002YggqVQAR</v>
      </c>
      <c r="B293" s="2" t="s">
        <v>3013</v>
      </c>
      <c r="C293" s="2" t="s">
        <v>423</v>
      </c>
      <c r="D293" s="2" t="s">
        <v>2</v>
      </c>
      <c r="E293" s="2"/>
      <c r="F293" s="2">
        <v>1</v>
      </c>
      <c r="G293" s="2">
        <v>3</v>
      </c>
      <c r="H293" s="2">
        <v>12000</v>
      </c>
      <c r="I293" s="2">
        <v>40</v>
      </c>
      <c r="J293" s="2"/>
      <c r="K293" s="2">
        <v>23</v>
      </c>
      <c r="L293" s="2">
        <v>0</v>
      </c>
      <c r="M293" s="2">
        <v>5</v>
      </c>
      <c r="N293" s="2">
        <v>8</v>
      </c>
      <c r="O293" s="2">
        <v>5</v>
      </c>
      <c r="P293" s="2">
        <v>5</v>
      </c>
      <c r="Q293" s="2" t="s">
        <v>3014</v>
      </c>
      <c r="R293" s="2" t="s">
        <v>3015</v>
      </c>
      <c r="S293" s="4">
        <v>44945</v>
      </c>
    </row>
    <row r="294" spans="1:19" ht="12.5" x14ac:dyDescent="0.25">
      <c r="A294" s="14" t="str">
        <f>HYPERLINK("https://gerandofalcoes.my.salesforce.com/0014X00002YggpRQAR", "0014X00002YggpRQAR")</f>
        <v>0014X00002YggpRQAR</v>
      </c>
      <c r="B294" s="2" t="s">
        <v>3294</v>
      </c>
      <c r="C294" s="2" t="s">
        <v>423</v>
      </c>
      <c r="D294" s="2" t="s">
        <v>2</v>
      </c>
      <c r="E294" s="2"/>
      <c r="F294" s="2">
        <v>1</v>
      </c>
      <c r="G294" s="2">
        <v>3</v>
      </c>
      <c r="H294" s="2">
        <v>200000</v>
      </c>
      <c r="I294" s="2">
        <v>0</v>
      </c>
      <c r="J294" s="2"/>
      <c r="K294" s="2">
        <v>28</v>
      </c>
      <c r="L294" s="2">
        <v>0</v>
      </c>
      <c r="M294" s="2">
        <v>5</v>
      </c>
      <c r="N294" s="2">
        <v>8</v>
      </c>
      <c r="O294" s="2">
        <v>15</v>
      </c>
      <c r="P294" s="2">
        <v>0</v>
      </c>
      <c r="Q294" s="2" t="s">
        <v>3295</v>
      </c>
      <c r="R294" s="2" t="s">
        <v>3295</v>
      </c>
      <c r="S294" s="4">
        <v>44952</v>
      </c>
    </row>
    <row r="295" spans="1:19" ht="12.5" x14ac:dyDescent="0.25">
      <c r="A295" s="14" t="str">
        <f>HYPERLINK("https://gerandofalcoes.my.salesforce.com/0014X00002YggqDQAR", "0014X00002YggqDQAR")</f>
        <v>0014X00002YggqDQAR</v>
      </c>
      <c r="B295" s="2" t="s">
        <v>3381</v>
      </c>
      <c r="C295" s="2" t="s">
        <v>423</v>
      </c>
      <c r="D295" s="2" t="s">
        <v>2</v>
      </c>
      <c r="E295" s="2"/>
      <c r="F295" s="2">
        <v>0</v>
      </c>
      <c r="G295" s="2">
        <v>3</v>
      </c>
      <c r="H295" s="2">
        <v>50000</v>
      </c>
      <c r="I295" s="2">
        <v>0</v>
      </c>
      <c r="J295" s="2"/>
      <c r="K295" s="2">
        <v>18</v>
      </c>
      <c r="L295" s="2">
        <v>0</v>
      </c>
      <c r="M295" s="2">
        <v>0</v>
      </c>
      <c r="N295" s="2">
        <v>8</v>
      </c>
      <c r="O295" s="2">
        <v>10</v>
      </c>
      <c r="P295" s="2">
        <v>0</v>
      </c>
      <c r="Q295" s="2" t="s">
        <v>3382</v>
      </c>
      <c r="R295" s="2" t="s">
        <v>3383</v>
      </c>
      <c r="S295" s="4">
        <v>44953</v>
      </c>
    </row>
    <row r="296" spans="1:19" ht="12.5" x14ac:dyDescent="0.25">
      <c r="A296" s="14" t="str">
        <f>HYPERLINK("https://gerandofalcoes.my.salesforce.com/0014X00002YgglRQAR", "0014X00002YgglRQAR")</f>
        <v>0014X00002YgglRQAR</v>
      </c>
      <c r="B296" s="2" t="s">
        <v>3305</v>
      </c>
      <c r="C296" s="2" t="s">
        <v>423</v>
      </c>
      <c r="D296" s="2" t="s">
        <v>2</v>
      </c>
      <c r="E296" s="2"/>
      <c r="F296" s="2">
        <v>8</v>
      </c>
      <c r="G296" s="2">
        <v>2</v>
      </c>
      <c r="H296" s="2">
        <v>20000</v>
      </c>
      <c r="I296" s="2">
        <v>120</v>
      </c>
      <c r="J296" s="2"/>
      <c r="K296" s="2">
        <v>31</v>
      </c>
      <c r="L296" s="2">
        <v>0</v>
      </c>
      <c r="M296" s="2">
        <v>10</v>
      </c>
      <c r="N296" s="2">
        <v>6</v>
      </c>
      <c r="O296" s="2">
        <v>5</v>
      </c>
      <c r="P296" s="2">
        <v>10</v>
      </c>
      <c r="Q296" s="2" t="s">
        <v>3306</v>
      </c>
      <c r="R296" s="2" t="s">
        <v>3307</v>
      </c>
      <c r="S296" s="4">
        <v>44953</v>
      </c>
    </row>
    <row r="297" spans="1:19" ht="12.5" hidden="1" x14ac:dyDescent="0.25">
      <c r="A297" s="14" t="str">
        <f>HYPERLINK("https://gerandofalcoes.my.salesforce.com/0014X00002bFKFnQAO", "0014X00002bFKFnQAO")</f>
        <v>0014X00002bFKFnQAO</v>
      </c>
      <c r="B297" s="2" t="s">
        <v>3605</v>
      </c>
      <c r="C297" s="2" t="s">
        <v>1684</v>
      </c>
      <c r="D297" s="2" t="s">
        <v>2</v>
      </c>
      <c r="E297" s="2"/>
      <c r="F297" s="2">
        <v>0</v>
      </c>
      <c r="G297" s="2">
        <v>0</v>
      </c>
      <c r="H297" s="2">
        <v>0</v>
      </c>
      <c r="I297" s="2">
        <v>0</v>
      </c>
      <c r="J297" s="2"/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 t="s">
        <v>3606</v>
      </c>
      <c r="R297" s="2"/>
      <c r="S297" s="4">
        <v>44962</v>
      </c>
    </row>
    <row r="298" spans="1:19" ht="12.5" x14ac:dyDescent="0.25">
      <c r="A298" s="14" t="str">
        <f>HYPERLINK("https://gerandofalcoes.my.salesforce.com/0014X00002YggoCQAR", "0014X00002YggoCQAR")</f>
        <v>0014X00002YggoCQAR</v>
      </c>
      <c r="B298" s="2" t="s">
        <v>3727</v>
      </c>
      <c r="C298" s="2" t="s">
        <v>423</v>
      </c>
      <c r="D298" s="2" t="s">
        <v>2</v>
      </c>
      <c r="E298" s="2"/>
      <c r="F298" s="2">
        <v>0</v>
      </c>
      <c r="G298" s="2">
        <v>2</v>
      </c>
      <c r="H298" s="2">
        <v>5000</v>
      </c>
      <c r="I298" s="2">
        <v>50</v>
      </c>
      <c r="J298" s="2"/>
      <c r="K298" s="2">
        <v>16</v>
      </c>
      <c r="L298" s="2">
        <v>0</v>
      </c>
      <c r="M298" s="2">
        <v>0</v>
      </c>
      <c r="N298" s="2">
        <v>6</v>
      </c>
      <c r="O298" s="2">
        <v>5</v>
      </c>
      <c r="P298" s="2">
        <v>5</v>
      </c>
      <c r="Q298" s="2" t="s">
        <v>3728</v>
      </c>
      <c r="R298" s="2" t="s">
        <v>3728</v>
      </c>
      <c r="S298" s="4">
        <v>44967</v>
      </c>
    </row>
    <row r="299" spans="1:19" ht="12.5" x14ac:dyDescent="0.25">
      <c r="A299" s="14" t="str">
        <f>HYPERLINK("https://gerandofalcoes.my.salesforce.com/0014X00002YggitQAB", "0014X00002YggitQAB")</f>
        <v>0014X00002YggitQAB</v>
      </c>
      <c r="B299" s="2" t="s">
        <v>3781</v>
      </c>
      <c r="C299" s="2" t="s">
        <v>423</v>
      </c>
      <c r="D299" s="2" t="s">
        <v>2</v>
      </c>
      <c r="E299" s="2"/>
      <c r="F299" s="2">
        <v>0</v>
      </c>
      <c r="G299" s="2">
        <v>2</v>
      </c>
      <c r="H299" s="2">
        <v>0</v>
      </c>
      <c r="I299" s="2">
        <v>40</v>
      </c>
      <c r="J299" s="2"/>
      <c r="K299" s="2">
        <v>11</v>
      </c>
      <c r="L299" s="2">
        <v>0</v>
      </c>
      <c r="M299" s="2">
        <v>0</v>
      </c>
      <c r="N299" s="2">
        <v>6</v>
      </c>
      <c r="O299" s="2">
        <v>0</v>
      </c>
      <c r="P299" s="2">
        <v>5</v>
      </c>
      <c r="Q299" s="2" t="s">
        <v>3782</v>
      </c>
      <c r="R299" s="2" t="s">
        <v>3783</v>
      </c>
      <c r="S299" s="4">
        <v>44968</v>
      </c>
    </row>
    <row r="300" spans="1:19" ht="12.5" x14ac:dyDescent="0.25">
      <c r="A300" s="14" t="str">
        <f>HYPERLINK("https://gerandofalcoes.my.salesforce.com/0014X00002VKCqFQAX", "0014X00002VKCqFQAX")</f>
        <v>0014X00002VKCqFQAX</v>
      </c>
      <c r="B300" s="2" t="s">
        <v>3827</v>
      </c>
      <c r="C300" s="2" t="s">
        <v>423</v>
      </c>
      <c r="D300" s="2" t="s">
        <v>2</v>
      </c>
      <c r="E300" s="2">
        <v>21</v>
      </c>
      <c r="F300" s="2">
        <v>0</v>
      </c>
      <c r="G300" s="2">
        <v>0</v>
      </c>
      <c r="H300" s="2">
        <v>0</v>
      </c>
      <c r="I300" s="2">
        <v>0</v>
      </c>
      <c r="J300" s="2" t="s">
        <v>1779</v>
      </c>
      <c r="K300" s="2">
        <v>10</v>
      </c>
      <c r="L300" s="2">
        <v>10</v>
      </c>
      <c r="M300" s="2">
        <v>0</v>
      </c>
      <c r="N300" s="2">
        <v>0</v>
      </c>
      <c r="O300" s="2">
        <v>0</v>
      </c>
      <c r="P300" s="2">
        <v>0</v>
      </c>
      <c r="Q300" s="2" t="s">
        <v>2968</v>
      </c>
      <c r="R300" s="2" t="s">
        <v>2968</v>
      </c>
      <c r="S300" s="4">
        <v>45015</v>
      </c>
    </row>
    <row r="301" spans="1:19" ht="12.5" x14ac:dyDescent="0.25">
      <c r="A301" s="14" t="str">
        <f>HYPERLINK("https://gerandofalcoes.my.salesforce.com/0014X00002VKCrgQAH", "0014X00002VKCrgQAH")</f>
        <v>0014X00002VKCrgQAH</v>
      </c>
      <c r="B301" s="2" t="s">
        <v>3831</v>
      </c>
      <c r="C301" s="2" t="s">
        <v>423</v>
      </c>
      <c r="D301" s="2" t="s">
        <v>2</v>
      </c>
      <c r="E301" s="2">
        <v>17</v>
      </c>
      <c r="F301" s="2">
        <v>0</v>
      </c>
      <c r="G301" s="2">
        <v>1</v>
      </c>
      <c r="H301" s="2">
        <v>0</v>
      </c>
      <c r="I301" s="2">
        <v>22</v>
      </c>
      <c r="J301" s="2" t="s">
        <v>1779</v>
      </c>
      <c r="K301" s="2">
        <v>19</v>
      </c>
      <c r="L301" s="2">
        <v>10</v>
      </c>
      <c r="M301" s="2">
        <v>0</v>
      </c>
      <c r="N301" s="2">
        <v>4</v>
      </c>
      <c r="O301" s="2">
        <v>0</v>
      </c>
      <c r="P301" s="2">
        <v>5</v>
      </c>
      <c r="Q301" s="2" t="s">
        <v>3832</v>
      </c>
      <c r="R301" s="2" t="s">
        <v>3832</v>
      </c>
      <c r="S301" s="4">
        <v>45015</v>
      </c>
    </row>
    <row r="302" spans="1:19" ht="12.5" x14ac:dyDescent="0.25">
      <c r="A302" s="14" t="str">
        <f>HYPERLINK("https://gerandofalcoes.my.salesforce.com/0014X00002YggiJQAR", "0014X00002YggiJQAR")</f>
        <v>0014X00002YggiJQAR</v>
      </c>
      <c r="B302" s="2" t="s">
        <v>3069</v>
      </c>
      <c r="C302" s="2" t="s">
        <v>423</v>
      </c>
      <c r="D302" s="2" t="s">
        <v>2</v>
      </c>
      <c r="E302" s="2"/>
      <c r="F302" s="2">
        <v>1</v>
      </c>
      <c r="G302" s="2">
        <v>2</v>
      </c>
      <c r="H302" s="2">
        <v>0</v>
      </c>
      <c r="I302" s="2">
        <v>1200</v>
      </c>
      <c r="J302" s="2"/>
      <c r="K302" s="2">
        <v>31</v>
      </c>
      <c r="L302" s="2">
        <v>0</v>
      </c>
      <c r="M302" s="2">
        <v>5</v>
      </c>
      <c r="N302" s="2">
        <v>6</v>
      </c>
      <c r="O302" s="2">
        <v>0</v>
      </c>
      <c r="P302" s="2">
        <v>20</v>
      </c>
      <c r="Q302" s="2" t="s">
        <v>3070</v>
      </c>
      <c r="R302" s="2" t="s">
        <v>3071</v>
      </c>
      <c r="S302" s="4">
        <v>44946</v>
      </c>
    </row>
    <row r="303" spans="1:19" ht="12.5" x14ac:dyDescent="0.25">
      <c r="A303" s="14" t="str">
        <f>HYPERLINK("https://gerandofalcoes.my.salesforce.com/0014X00002VKCq1QAH", "0014X00002VKCq1QAH")</f>
        <v>0014X00002VKCq1QAH</v>
      </c>
      <c r="B303" s="2" t="s">
        <v>2164</v>
      </c>
      <c r="C303" s="2" t="s">
        <v>423</v>
      </c>
      <c r="D303" s="2" t="s">
        <v>2</v>
      </c>
      <c r="E303" s="2">
        <v>33</v>
      </c>
      <c r="F303" s="2">
        <v>0</v>
      </c>
      <c r="G303" s="2">
        <v>2</v>
      </c>
      <c r="H303" s="2">
        <v>5000</v>
      </c>
      <c r="I303" s="2">
        <v>250</v>
      </c>
      <c r="J303" s="2" t="s">
        <v>1779</v>
      </c>
      <c r="K303" s="2">
        <v>38</v>
      </c>
      <c r="L303" s="2">
        <v>15</v>
      </c>
      <c r="M303" s="2">
        <v>0</v>
      </c>
      <c r="N303" s="2">
        <v>6</v>
      </c>
      <c r="O303" s="2">
        <v>5</v>
      </c>
      <c r="P303" s="2">
        <v>12</v>
      </c>
      <c r="Q303" s="2" t="s">
        <v>2165</v>
      </c>
      <c r="R303" s="2" t="s">
        <v>2166</v>
      </c>
      <c r="S303" s="4">
        <v>44837</v>
      </c>
    </row>
    <row r="304" spans="1:19" ht="12.5" x14ac:dyDescent="0.25">
      <c r="A304" s="14" t="str">
        <f>HYPERLINK("https://gerandofalcoes.my.salesforce.com/0014X00002VKCoxQAH", "0014X00002VKCoxQAH")</f>
        <v>0014X00002VKCoxQAH</v>
      </c>
      <c r="B304" s="2" t="s">
        <v>2582</v>
      </c>
      <c r="C304" s="2" t="s">
        <v>423</v>
      </c>
      <c r="D304" s="2" t="s">
        <v>2</v>
      </c>
      <c r="E304" s="2">
        <v>38</v>
      </c>
      <c r="F304" s="2">
        <v>6</v>
      </c>
      <c r="G304" s="2">
        <v>1</v>
      </c>
      <c r="H304" s="2">
        <v>550</v>
      </c>
      <c r="I304" s="2">
        <v>0</v>
      </c>
      <c r="J304" s="2" t="s">
        <v>1779</v>
      </c>
      <c r="K304" s="2">
        <v>34</v>
      </c>
      <c r="L304" s="2">
        <v>15</v>
      </c>
      <c r="M304" s="2">
        <v>10</v>
      </c>
      <c r="N304" s="2">
        <v>4</v>
      </c>
      <c r="O304" s="2">
        <v>5</v>
      </c>
      <c r="P304" s="2">
        <v>0</v>
      </c>
      <c r="Q304" s="2" t="s">
        <v>2583</v>
      </c>
      <c r="R304" s="2" t="s">
        <v>2584</v>
      </c>
      <c r="S304" s="4">
        <v>44837</v>
      </c>
    </row>
    <row r="305" spans="1:19" ht="12.5" x14ac:dyDescent="0.25">
      <c r="A305" s="14" t="str">
        <f>HYPERLINK("https://gerandofalcoes.my.salesforce.com/0014X00002VKCsVQAX", "0014X00002VKCsVQAX")</f>
        <v>0014X00002VKCsVQAX</v>
      </c>
      <c r="B305" s="2" t="s">
        <v>1785</v>
      </c>
      <c r="C305" s="2" t="s">
        <v>423</v>
      </c>
      <c r="D305" s="2" t="s">
        <v>2</v>
      </c>
      <c r="E305" s="2">
        <v>56</v>
      </c>
      <c r="F305" s="2">
        <v>0</v>
      </c>
      <c r="G305" s="2">
        <v>3</v>
      </c>
      <c r="H305" s="2">
        <v>22800</v>
      </c>
      <c r="I305" s="2">
        <v>95</v>
      </c>
      <c r="J305" s="2" t="s">
        <v>1671</v>
      </c>
      <c r="K305" s="2">
        <v>43</v>
      </c>
      <c r="L305" s="2">
        <v>20</v>
      </c>
      <c r="M305" s="2">
        <v>0</v>
      </c>
      <c r="N305" s="2">
        <v>8</v>
      </c>
      <c r="O305" s="2">
        <v>5</v>
      </c>
      <c r="P305" s="2">
        <v>10</v>
      </c>
      <c r="Q305" s="2" t="s">
        <v>1786</v>
      </c>
      <c r="R305" s="2" t="s">
        <v>1787</v>
      </c>
      <c r="S305" s="4">
        <v>44837</v>
      </c>
    </row>
    <row r="306" spans="1:19" ht="12.5" x14ac:dyDescent="0.25">
      <c r="A306" s="14" t="str">
        <f>HYPERLINK("https://gerandofalcoes.my.salesforce.com/0014X00002VKCqXQAX", "0014X00002VKCqXQAX")</f>
        <v>0014X00002VKCqXQAX</v>
      </c>
      <c r="B306" s="2" t="s">
        <v>2301</v>
      </c>
      <c r="C306" s="2" t="s">
        <v>423</v>
      </c>
      <c r="D306" s="2" t="s">
        <v>2</v>
      </c>
      <c r="E306" s="2">
        <v>29</v>
      </c>
      <c r="F306" s="2">
        <v>0</v>
      </c>
      <c r="G306" s="2">
        <v>5</v>
      </c>
      <c r="H306" s="2">
        <v>70000</v>
      </c>
      <c r="I306" s="2">
        <v>100</v>
      </c>
      <c r="J306" s="2" t="s">
        <v>1671</v>
      </c>
      <c r="K306" s="2">
        <v>45</v>
      </c>
      <c r="L306" s="2">
        <v>15</v>
      </c>
      <c r="M306" s="2">
        <v>0</v>
      </c>
      <c r="N306" s="2">
        <v>10</v>
      </c>
      <c r="O306" s="2">
        <v>10</v>
      </c>
      <c r="P306" s="2">
        <v>10</v>
      </c>
      <c r="Q306" s="2" t="s">
        <v>2302</v>
      </c>
      <c r="R306" s="2" t="s">
        <v>2303</v>
      </c>
      <c r="S306" s="4">
        <v>44837</v>
      </c>
    </row>
    <row r="307" spans="1:19" ht="12.5" hidden="1" x14ac:dyDescent="0.25">
      <c r="A307" s="14" t="str">
        <f>HYPERLINK("https://gerandofalcoes.my.salesforce.com/0014X00002VKCouQAH", "0014X00002VKCouQAH")</f>
        <v>0014X00002VKCouQAH</v>
      </c>
      <c r="B307" s="2" t="s">
        <v>2642</v>
      </c>
      <c r="C307" s="2" t="s">
        <v>1800</v>
      </c>
      <c r="D307" s="2" t="s">
        <v>2</v>
      </c>
      <c r="E307" s="2">
        <v>18</v>
      </c>
      <c r="F307" s="2">
        <v>0</v>
      </c>
      <c r="G307" s="2">
        <v>2</v>
      </c>
      <c r="H307" s="2">
        <v>11000</v>
      </c>
      <c r="I307" s="2">
        <v>0</v>
      </c>
      <c r="J307" s="2" t="s">
        <v>1779</v>
      </c>
      <c r="K307" s="2">
        <v>21</v>
      </c>
      <c r="L307" s="2">
        <v>10</v>
      </c>
      <c r="M307" s="2">
        <v>0</v>
      </c>
      <c r="N307" s="2">
        <v>6</v>
      </c>
      <c r="O307" s="2">
        <v>5</v>
      </c>
      <c r="P307" s="2">
        <v>0</v>
      </c>
      <c r="Q307" s="2" t="s">
        <v>2643</v>
      </c>
      <c r="R307" s="2" t="s">
        <v>2643</v>
      </c>
      <c r="S307" s="4">
        <v>44837</v>
      </c>
    </row>
    <row r="308" spans="1:19" ht="12.5" x14ac:dyDescent="0.25">
      <c r="A308" s="14" t="str">
        <f>HYPERLINK("https://gerandofalcoes.my.salesforce.com/0014X00002VKCpvQAH", "0014X00002VKCpvQAH")</f>
        <v>0014X00002VKCpvQAH</v>
      </c>
      <c r="B308" s="2" t="s">
        <v>2967</v>
      </c>
      <c r="C308" s="2" t="s">
        <v>423</v>
      </c>
      <c r="D308" s="2" t="s">
        <v>2</v>
      </c>
      <c r="E308" s="2">
        <v>10</v>
      </c>
      <c r="F308" s="2">
        <v>1</v>
      </c>
      <c r="G308" s="2">
        <v>1</v>
      </c>
      <c r="H308" s="2">
        <v>1000</v>
      </c>
      <c r="I308" s="2">
        <v>70</v>
      </c>
      <c r="J308" s="2" t="s">
        <v>1779</v>
      </c>
      <c r="K308" s="2">
        <v>29</v>
      </c>
      <c r="L308" s="2">
        <v>10</v>
      </c>
      <c r="M308" s="2">
        <v>5</v>
      </c>
      <c r="N308" s="2">
        <v>4</v>
      </c>
      <c r="O308" s="2">
        <v>5</v>
      </c>
      <c r="P308" s="2">
        <v>5</v>
      </c>
      <c r="Q308" s="2" t="s">
        <v>2968</v>
      </c>
      <c r="R308" s="2" t="s">
        <v>2969</v>
      </c>
      <c r="S308" s="4">
        <v>44837</v>
      </c>
    </row>
    <row r="309" spans="1:19" ht="12.5" x14ac:dyDescent="0.25">
      <c r="A309" s="14" t="str">
        <f>HYPERLINK("https://gerandofalcoes.my.salesforce.com/0014X00002VKCrDQAX", "0014X00002VKCrDQAX")</f>
        <v>0014X00002VKCrDQAX</v>
      </c>
      <c r="B309" s="2" t="s">
        <v>2755</v>
      </c>
      <c r="C309" s="2" t="s">
        <v>423</v>
      </c>
      <c r="D309" s="2" t="s">
        <v>2</v>
      </c>
      <c r="E309" s="2">
        <v>14</v>
      </c>
      <c r="F309" s="2">
        <v>2</v>
      </c>
      <c r="G309" s="2">
        <v>0</v>
      </c>
      <c r="H309" s="2">
        <v>0</v>
      </c>
      <c r="I309" s="2">
        <v>60</v>
      </c>
      <c r="J309" s="2" t="s">
        <v>1779</v>
      </c>
      <c r="K309" s="2">
        <v>20</v>
      </c>
      <c r="L309" s="2">
        <v>10</v>
      </c>
      <c r="M309" s="2">
        <v>5</v>
      </c>
      <c r="N309" s="2">
        <v>0</v>
      </c>
      <c r="O309" s="2">
        <v>0</v>
      </c>
      <c r="P309" s="2">
        <v>5</v>
      </c>
      <c r="Q309" s="2" t="s">
        <v>2756</v>
      </c>
      <c r="R309" s="2" t="s">
        <v>2756</v>
      </c>
      <c r="S309" s="4">
        <v>44837</v>
      </c>
    </row>
    <row r="310" spans="1:19" ht="12.5" x14ac:dyDescent="0.25">
      <c r="A310" s="14" t="str">
        <f>HYPERLINK("https://gerandofalcoes.my.salesforce.com/0014X00002VKCqRQAX", "0014X00002VKCqRQAX")</f>
        <v>0014X00002VKCqRQAX</v>
      </c>
      <c r="B310" s="2" t="s">
        <v>1758</v>
      </c>
      <c r="C310" s="2" t="s">
        <v>423</v>
      </c>
      <c r="D310" s="2" t="s">
        <v>2</v>
      </c>
      <c r="E310" s="2">
        <v>61.97</v>
      </c>
      <c r="F310" s="2">
        <v>0</v>
      </c>
      <c r="G310" s="2">
        <v>6</v>
      </c>
      <c r="H310" s="2">
        <v>112190</v>
      </c>
      <c r="I310" s="2">
        <v>197</v>
      </c>
      <c r="J310" s="2" t="s">
        <v>1671</v>
      </c>
      <c r="K310" s="2">
        <v>57</v>
      </c>
      <c r="L310" s="2">
        <v>20</v>
      </c>
      <c r="M310" s="2">
        <v>0</v>
      </c>
      <c r="N310" s="2">
        <v>10</v>
      </c>
      <c r="O310" s="2">
        <v>15</v>
      </c>
      <c r="P310" s="2">
        <v>12</v>
      </c>
      <c r="Q310" s="2" t="s">
        <v>1759</v>
      </c>
      <c r="R310" s="2" t="s">
        <v>1760</v>
      </c>
      <c r="S310" s="4">
        <v>44837</v>
      </c>
    </row>
    <row r="311" spans="1:19" ht="12.5" x14ac:dyDescent="0.25">
      <c r="A311" s="14" t="str">
        <f>HYPERLINK("https://gerandofalcoes.my.salesforce.com/0014X00002VKCr1QAH", "0014X00002VKCr1QAH")</f>
        <v>0014X00002VKCr1QAH</v>
      </c>
      <c r="B311" s="2" t="s">
        <v>2494</v>
      </c>
      <c r="C311" s="2" t="s">
        <v>423</v>
      </c>
      <c r="D311" s="2" t="s">
        <v>2</v>
      </c>
      <c r="E311" s="2">
        <v>21.76</v>
      </c>
      <c r="F311" s="2">
        <v>5</v>
      </c>
      <c r="G311" s="2">
        <v>3</v>
      </c>
      <c r="H311" s="2">
        <v>92000</v>
      </c>
      <c r="I311" s="2">
        <v>0</v>
      </c>
      <c r="J311" s="2" t="s">
        <v>1779</v>
      </c>
      <c r="K311" s="2">
        <v>33</v>
      </c>
      <c r="L311" s="2">
        <v>10</v>
      </c>
      <c r="M311" s="2">
        <v>5</v>
      </c>
      <c r="N311" s="2">
        <v>8</v>
      </c>
      <c r="O311" s="2">
        <v>10</v>
      </c>
      <c r="P311" s="2">
        <v>0</v>
      </c>
      <c r="Q311" s="2" t="s">
        <v>2495</v>
      </c>
      <c r="R311" s="2" t="s">
        <v>2496</v>
      </c>
      <c r="S311" s="4">
        <v>44837</v>
      </c>
    </row>
    <row r="312" spans="1:19" ht="12.5" x14ac:dyDescent="0.25">
      <c r="A312" s="14" t="str">
        <f>HYPERLINK("https://gerandofalcoes.my.salesforce.com/0014X00002VKCuWQAX", "0014X00002VKCuWQAX")</f>
        <v>0014X00002VKCuWQAX</v>
      </c>
      <c r="B312" s="2" t="s">
        <v>1930</v>
      </c>
      <c r="C312" s="2" t="s">
        <v>423</v>
      </c>
      <c r="D312" s="2" t="s">
        <v>2</v>
      </c>
      <c r="E312" s="2">
        <v>42</v>
      </c>
      <c r="F312" s="2">
        <v>35</v>
      </c>
      <c r="G312" s="2">
        <v>4</v>
      </c>
      <c r="H312" s="2">
        <v>30000</v>
      </c>
      <c r="I312" s="2">
        <v>30</v>
      </c>
      <c r="J312" s="2" t="s">
        <v>1671</v>
      </c>
      <c r="K312" s="2">
        <v>55</v>
      </c>
      <c r="L312" s="2">
        <v>15</v>
      </c>
      <c r="M312" s="2">
        <v>15</v>
      </c>
      <c r="N312" s="2">
        <v>10</v>
      </c>
      <c r="O312" s="2">
        <v>10</v>
      </c>
      <c r="P312" s="2">
        <v>5</v>
      </c>
      <c r="Q312" s="2" t="s">
        <v>1931</v>
      </c>
      <c r="R312" s="2" t="s">
        <v>1931</v>
      </c>
      <c r="S312" s="4">
        <v>44837</v>
      </c>
    </row>
    <row r="313" spans="1:19" ht="12.5" x14ac:dyDescent="0.25">
      <c r="A313" s="14" t="str">
        <f>HYPERLINK("https://gerandofalcoes.my.salesforce.com/0014X00002VKCpsQAH", "0014X00002VKCpsQAH")</f>
        <v>0014X00002VKCpsQAH</v>
      </c>
      <c r="B313" s="2" t="s">
        <v>1764</v>
      </c>
      <c r="C313" s="2" t="s">
        <v>423</v>
      </c>
      <c r="D313" s="2" t="s">
        <v>2</v>
      </c>
      <c r="E313" s="2">
        <v>52</v>
      </c>
      <c r="F313" s="2">
        <v>36</v>
      </c>
      <c r="G313" s="2">
        <v>2</v>
      </c>
      <c r="H313" s="2">
        <v>2039327</v>
      </c>
      <c r="I313" s="2">
        <v>0</v>
      </c>
      <c r="J313" s="2" t="s">
        <v>1650</v>
      </c>
      <c r="K313" s="2">
        <v>66</v>
      </c>
      <c r="L313" s="2">
        <v>20</v>
      </c>
      <c r="M313" s="2">
        <v>15</v>
      </c>
      <c r="N313" s="2">
        <v>6</v>
      </c>
      <c r="O313" s="2">
        <v>25</v>
      </c>
      <c r="P313" s="2">
        <v>0</v>
      </c>
      <c r="Q313" s="2" t="s">
        <v>1765</v>
      </c>
      <c r="R313" s="2" t="s">
        <v>1766</v>
      </c>
      <c r="S313" s="4">
        <v>44837</v>
      </c>
    </row>
    <row r="314" spans="1:19" ht="12.5" x14ac:dyDescent="0.25">
      <c r="A314" s="14" t="str">
        <f>HYPERLINK("https://gerandofalcoes.my.salesforce.com/0014X00002VKCuIQAX", "0014X00002VKCuIQAX")</f>
        <v>0014X00002VKCuIQAX</v>
      </c>
      <c r="B314" s="2" t="s">
        <v>2217</v>
      </c>
      <c r="C314" s="2" t="s">
        <v>423</v>
      </c>
      <c r="D314" s="2" t="s">
        <v>2</v>
      </c>
      <c r="E314" s="2">
        <v>32</v>
      </c>
      <c r="F314" s="2">
        <v>0</v>
      </c>
      <c r="G314" s="2">
        <v>2</v>
      </c>
      <c r="H314" s="2">
        <v>10000</v>
      </c>
      <c r="I314" s="2">
        <v>300</v>
      </c>
      <c r="J314" s="2" t="s">
        <v>1671</v>
      </c>
      <c r="K314" s="2">
        <v>41</v>
      </c>
      <c r="L314" s="2">
        <v>15</v>
      </c>
      <c r="M314" s="2">
        <v>0</v>
      </c>
      <c r="N314" s="2">
        <v>6</v>
      </c>
      <c r="O314" s="2">
        <v>5</v>
      </c>
      <c r="P314" s="2">
        <v>15</v>
      </c>
      <c r="Q314" s="2" t="s">
        <v>2218</v>
      </c>
      <c r="R314" s="2" t="s">
        <v>2219</v>
      </c>
      <c r="S314" s="4">
        <v>44837</v>
      </c>
    </row>
    <row r="315" spans="1:19" ht="12.5" x14ac:dyDescent="0.25">
      <c r="A315" s="14" t="str">
        <f>HYPERLINK("https://gerandofalcoes.my.salesforce.com/0014X00002VKCt4QAH", "0014X00002VKCt4QAH")</f>
        <v>0014X00002VKCt4QAH</v>
      </c>
      <c r="B315" s="2" t="s">
        <v>1841</v>
      </c>
      <c r="C315" s="2" t="s">
        <v>423</v>
      </c>
      <c r="D315" s="2" t="s">
        <v>2</v>
      </c>
      <c r="E315" s="2">
        <v>80</v>
      </c>
      <c r="F315" s="2">
        <v>0</v>
      </c>
      <c r="G315" s="2">
        <v>2</v>
      </c>
      <c r="H315" s="2">
        <v>272000</v>
      </c>
      <c r="I315" s="2">
        <v>105</v>
      </c>
      <c r="J315" s="2" t="s">
        <v>1671</v>
      </c>
      <c r="K315" s="2">
        <v>56</v>
      </c>
      <c r="L315" s="2">
        <v>25</v>
      </c>
      <c r="M315" s="2">
        <v>0</v>
      </c>
      <c r="N315" s="2">
        <v>6</v>
      </c>
      <c r="O315" s="2">
        <v>15</v>
      </c>
      <c r="P315" s="2">
        <v>10</v>
      </c>
      <c r="Q315" s="2" t="s">
        <v>1842</v>
      </c>
      <c r="R315" s="2" t="s">
        <v>1843</v>
      </c>
      <c r="S315" s="4">
        <v>44837</v>
      </c>
    </row>
    <row r="316" spans="1:19" ht="12.5" x14ac:dyDescent="0.25">
      <c r="A316" s="14" t="str">
        <f>HYPERLINK("https://gerandofalcoes.my.salesforce.com/0014X00002VKCuPQAX", "0014X00002VKCuPQAX")</f>
        <v>0014X00002VKCuPQAX</v>
      </c>
      <c r="B316" s="2" t="s">
        <v>2909</v>
      </c>
      <c r="C316" s="2" t="s">
        <v>423</v>
      </c>
      <c r="D316" s="2" t="s">
        <v>2</v>
      </c>
      <c r="E316" s="2">
        <v>24</v>
      </c>
      <c r="F316" s="2">
        <v>0</v>
      </c>
      <c r="G316" s="2">
        <v>0</v>
      </c>
      <c r="H316" s="2">
        <v>0</v>
      </c>
      <c r="I316" s="2">
        <v>0</v>
      </c>
      <c r="J316" s="2" t="s">
        <v>1779</v>
      </c>
      <c r="K316" s="2">
        <v>10</v>
      </c>
      <c r="L316" s="2">
        <v>10</v>
      </c>
      <c r="M316" s="2">
        <v>0</v>
      </c>
      <c r="N316" s="2">
        <v>0</v>
      </c>
      <c r="O316" s="2">
        <v>0</v>
      </c>
      <c r="P316" s="2">
        <v>0</v>
      </c>
      <c r="Q316" s="2" t="s">
        <v>2910</v>
      </c>
      <c r="R316" s="2" t="s">
        <v>2911</v>
      </c>
      <c r="S316" s="4">
        <v>44837</v>
      </c>
    </row>
    <row r="317" spans="1:19" ht="12.5" hidden="1" x14ac:dyDescent="0.25">
      <c r="A317" s="14" t="str">
        <f>HYPERLINK("https://gerandofalcoes.my.salesforce.com/0014X00002VKCpxQAH", "0014X00002VKCpxQAH")</f>
        <v>0014X00002VKCpxQAH</v>
      </c>
      <c r="B317" s="2" t="s">
        <v>2551</v>
      </c>
      <c r="C317" s="2" t="s">
        <v>1800</v>
      </c>
      <c r="D317" s="2" t="s">
        <v>2</v>
      </c>
      <c r="E317" s="2">
        <v>20</v>
      </c>
      <c r="F317" s="2">
        <v>5</v>
      </c>
      <c r="G317" s="2">
        <v>7</v>
      </c>
      <c r="H317" s="2">
        <v>21530</v>
      </c>
      <c r="I317" s="2">
        <v>387</v>
      </c>
      <c r="J317" s="2" t="s">
        <v>1671</v>
      </c>
      <c r="K317" s="2">
        <v>45</v>
      </c>
      <c r="L317" s="2">
        <v>10</v>
      </c>
      <c r="M317" s="2">
        <v>5</v>
      </c>
      <c r="N317" s="2">
        <v>10</v>
      </c>
      <c r="O317" s="2">
        <v>5</v>
      </c>
      <c r="P317" s="2">
        <v>15</v>
      </c>
      <c r="Q317" s="2" t="s">
        <v>2552</v>
      </c>
      <c r="R317" s="2" t="s">
        <v>2553</v>
      </c>
      <c r="S317" s="4">
        <v>44837</v>
      </c>
    </row>
    <row r="318" spans="1:19" ht="12.5" x14ac:dyDescent="0.25">
      <c r="A318" s="14" t="str">
        <f>HYPERLINK("https://gerandofalcoes.my.salesforce.com/0014X00002VKCqgQAH", "0014X00002VKCqgQAH")</f>
        <v>0014X00002VKCqgQAH</v>
      </c>
      <c r="B318" s="2" t="s">
        <v>1816</v>
      </c>
      <c r="C318" s="2" t="s">
        <v>423</v>
      </c>
      <c r="D318" s="2" t="s">
        <v>2</v>
      </c>
      <c r="E318" s="2">
        <v>43</v>
      </c>
      <c r="F318" s="2">
        <v>12</v>
      </c>
      <c r="G318" s="2">
        <v>2</v>
      </c>
      <c r="H318" s="2">
        <v>472000</v>
      </c>
      <c r="I318" s="2">
        <v>50</v>
      </c>
      <c r="J318" s="2" t="s">
        <v>1671</v>
      </c>
      <c r="K318" s="2">
        <v>58</v>
      </c>
      <c r="L318" s="2">
        <v>15</v>
      </c>
      <c r="M318" s="2">
        <v>12</v>
      </c>
      <c r="N318" s="2">
        <v>6</v>
      </c>
      <c r="O318" s="2">
        <v>20</v>
      </c>
      <c r="P318" s="2">
        <v>5</v>
      </c>
      <c r="Q318" s="2" t="s">
        <v>1817</v>
      </c>
      <c r="R318" s="2" t="s">
        <v>1818</v>
      </c>
      <c r="S318" s="4">
        <v>44837</v>
      </c>
    </row>
    <row r="319" spans="1:19" ht="12.5" hidden="1" x14ac:dyDescent="0.25">
      <c r="A319" s="14" t="str">
        <f>HYPERLINK("https://gerandofalcoes.my.salesforce.com/0014X00002VKCpmQAH", "0014X00002VKCpmQAH")</f>
        <v>0014X00002VKCpmQAH</v>
      </c>
      <c r="B319" s="2" t="s">
        <v>2555</v>
      </c>
      <c r="C319" s="2" t="s">
        <v>1800</v>
      </c>
      <c r="D319" s="2" t="s">
        <v>2</v>
      </c>
      <c r="E319" s="2">
        <v>20</v>
      </c>
      <c r="F319" s="2">
        <v>0</v>
      </c>
      <c r="G319" s="2">
        <v>3</v>
      </c>
      <c r="H319" s="2">
        <v>7000</v>
      </c>
      <c r="I319" s="2">
        <v>80</v>
      </c>
      <c r="J319" s="2" t="s">
        <v>1779</v>
      </c>
      <c r="K319" s="2">
        <v>33</v>
      </c>
      <c r="L319" s="2">
        <v>10</v>
      </c>
      <c r="M319" s="2">
        <v>0</v>
      </c>
      <c r="N319" s="2">
        <v>8</v>
      </c>
      <c r="O319" s="2">
        <v>5</v>
      </c>
      <c r="P319" s="2">
        <v>10</v>
      </c>
      <c r="Q319" s="2" t="s">
        <v>2556</v>
      </c>
      <c r="R319" s="2" t="s">
        <v>2556</v>
      </c>
      <c r="S319" s="4">
        <v>44837</v>
      </c>
    </row>
    <row r="320" spans="1:19" ht="12.5" x14ac:dyDescent="0.25">
      <c r="A320" s="14" t="str">
        <f>HYPERLINK("https://gerandofalcoes.my.salesforce.com/0014X00002VKCuzQAH", "0014X00002VKCuzQAH")</f>
        <v>0014X00002VKCuzQAH</v>
      </c>
      <c r="B320" s="2" t="s">
        <v>2117</v>
      </c>
      <c r="C320" s="2" t="s">
        <v>423</v>
      </c>
      <c r="D320" s="2" t="s">
        <v>2</v>
      </c>
      <c r="E320" s="2">
        <v>35</v>
      </c>
      <c r="F320" s="2">
        <v>0</v>
      </c>
      <c r="G320" s="2">
        <v>3</v>
      </c>
      <c r="H320" s="2">
        <v>34878</v>
      </c>
      <c r="I320" s="2">
        <v>7</v>
      </c>
      <c r="J320" s="2" t="s">
        <v>1779</v>
      </c>
      <c r="K320" s="2">
        <v>38</v>
      </c>
      <c r="L320" s="2">
        <v>15</v>
      </c>
      <c r="M320" s="2">
        <v>0</v>
      </c>
      <c r="N320" s="2">
        <v>8</v>
      </c>
      <c r="O320" s="2">
        <v>10</v>
      </c>
      <c r="P320" s="2">
        <v>5</v>
      </c>
      <c r="Q320" s="2" t="s">
        <v>2118</v>
      </c>
      <c r="R320" s="2" t="s">
        <v>2119</v>
      </c>
      <c r="S320" s="4">
        <v>44837</v>
      </c>
    </row>
    <row r="321" spans="1:19" ht="12.5" x14ac:dyDescent="0.25">
      <c r="A321" s="14" t="str">
        <f>HYPERLINK("https://gerandofalcoes.my.salesforce.com/0014X00002VKCq5QAH", "0014X00002VKCq5QAH")</f>
        <v>0014X00002VKCq5QAH</v>
      </c>
      <c r="B321" s="2" t="s">
        <v>2304</v>
      </c>
      <c r="C321" s="2" t="s">
        <v>423</v>
      </c>
      <c r="D321" s="2" t="s">
        <v>2</v>
      </c>
      <c r="E321" s="2">
        <v>29</v>
      </c>
      <c r="F321" s="2">
        <v>3</v>
      </c>
      <c r="G321" s="2">
        <v>3</v>
      </c>
      <c r="H321" s="2">
        <v>30000</v>
      </c>
      <c r="I321" s="2">
        <v>50</v>
      </c>
      <c r="J321" s="2" t="s">
        <v>1671</v>
      </c>
      <c r="K321" s="2">
        <v>43</v>
      </c>
      <c r="L321" s="2">
        <v>15</v>
      </c>
      <c r="M321" s="2">
        <v>5</v>
      </c>
      <c r="N321" s="2">
        <v>8</v>
      </c>
      <c r="O321" s="2">
        <v>10</v>
      </c>
      <c r="P321" s="2">
        <v>5</v>
      </c>
      <c r="Q321" s="2" t="s">
        <v>2305</v>
      </c>
      <c r="R321" s="2" t="s">
        <v>2306</v>
      </c>
      <c r="S321" s="4">
        <v>44837</v>
      </c>
    </row>
    <row r="322" spans="1:19" ht="12.5" x14ac:dyDescent="0.25">
      <c r="A322" s="14" t="str">
        <f>HYPERLINK("https://gerandofalcoes.my.salesforce.com/0014X00002VKCtIQAX", "0014X00002VKCtIQAX")</f>
        <v>0014X00002VKCtIQAX</v>
      </c>
      <c r="B322" s="2" t="s">
        <v>1927</v>
      </c>
      <c r="C322" s="2" t="s">
        <v>423</v>
      </c>
      <c r="D322" s="2" t="s">
        <v>2</v>
      </c>
      <c r="E322" s="2">
        <v>42</v>
      </c>
      <c r="F322" s="2">
        <v>0</v>
      </c>
      <c r="G322" s="2">
        <v>6</v>
      </c>
      <c r="H322" s="2">
        <v>0</v>
      </c>
      <c r="I322" s="2">
        <v>180</v>
      </c>
      <c r="J322" s="2" t="s">
        <v>1779</v>
      </c>
      <c r="K322" s="2">
        <v>37</v>
      </c>
      <c r="L322" s="2">
        <v>15</v>
      </c>
      <c r="M322" s="2">
        <v>0</v>
      </c>
      <c r="N322" s="2">
        <v>10</v>
      </c>
      <c r="O322" s="2">
        <v>0</v>
      </c>
      <c r="P322" s="2">
        <v>12</v>
      </c>
      <c r="Q322" s="2" t="s">
        <v>1928</v>
      </c>
      <c r="R322" s="2" t="s">
        <v>1929</v>
      </c>
      <c r="S322" s="4">
        <v>44837</v>
      </c>
    </row>
    <row r="323" spans="1:19" ht="12.5" x14ac:dyDescent="0.25">
      <c r="A323" s="14" t="str">
        <f>HYPERLINK("https://gerandofalcoes.my.salesforce.com/0014X00002VKCufQAH", "0014X00002VKCufQAH")</f>
        <v>0014X00002VKCufQAH</v>
      </c>
      <c r="B323" s="2" t="s">
        <v>1895</v>
      </c>
      <c r="C323" s="2" t="s">
        <v>423</v>
      </c>
      <c r="D323" s="2" t="s">
        <v>2</v>
      </c>
      <c r="E323" s="2">
        <v>47</v>
      </c>
      <c r="F323" s="2">
        <v>5</v>
      </c>
      <c r="G323" s="2">
        <v>1</v>
      </c>
      <c r="H323" s="2">
        <v>14040000</v>
      </c>
      <c r="I323" s="2">
        <v>50</v>
      </c>
      <c r="J323" s="2" t="s">
        <v>1671</v>
      </c>
      <c r="K323" s="2">
        <v>54</v>
      </c>
      <c r="L323" s="2">
        <v>15</v>
      </c>
      <c r="M323" s="2">
        <v>5</v>
      </c>
      <c r="N323" s="2">
        <v>4</v>
      </c>
      <c r="O323" s="2">
        <v>25</v>
      </c>
      <c r="P323" s="2">
        <v>5</v>
      </c>
      <c r="Q323" s="2" t="s">
        <v>1896</v>
      </c>
      <c r="R323" s="2" t="s">
        <v>1896</v>
      </c>
      <c r="S323" s="4">
        <v>44837</v>
      </c>
    </row>
    <row r="324" spans="1:19" ht="12.5" hidden="1" x14ac:dyDescent="0.25">
      <c r="A324" s="14" t="str">
        <f>HYPERLINK("https://gerandofalcoes.my.salesforce.com/0014X00002VKCuNQAX", "0014X00002VKCuNQAX")</f>
        <v>0014X00002VKCuNQAX</v>
      </c>
      <c r="B324" s="2" t="s">
        <v>1963</v>
      </c>
      <c r="C324" s="2" t="s">
        <v>1800</v>
      </c>
      <c r="D324" s="2" t="s">
        <v>2</v>
      </c>
      <c r="E324" s="2">
        <v>40</v>
      </c>
      <c r="F324" s="2">
        <v>0</v>
      </c>
      <c r="G324" s="2">
        <v>4</v>
      </c>
      <c r="H324" s="2">
        <v>52814</v>
      </c>
      <c r="I324" s="2">
        <v>96</v>
      </c>
      <c r="J324" s="2" t="s">
        <v>1671</v>
      </c>
      <c r="K324" s="2">
        <v>45</v>
      </c>
      <c r="L324" s="2">
        <v>15</v>
      </c>
      <c r="M324" s="2">
        <v>0</v>
      </c>
      <c r="N324" s="2">
        <v>10</v>
      </c>
      <c r="O324" s="2">
        <v>10</v>
      </c>
      <c r="P324" s="2">
        <v>10</v>
      </c>
      <c r="Q324" s="2" t="s">
        <v>1964</v>
      </c>
      <c r="R324" s="2" t="s">
        <v>1965</v>
      </c>
      <c r="S324" s="4">
        <v>44837</v>
      </c>
    </row>
    <row r="325" spans="1:19" ht="12.5" x14ac:dyDescent="0.25">
      <c r="A325" s="14" t="str">
        <f>HYPERLINK("https://gerandofalcoes.my.salesforce.com/0014X00002VKCuTQAX", "0014X00002VKCuTQAX")</f>
        <v>0014X00002VKCuTQAX</v>
      </c>
      <c r="B325" s="2" t="s">
        <v>1801</v>
      </c>
      <c r="C325" s="2" t="s">
        <v>423</v>
      </c>
      <c r="D325" s="2" t="s">
        <v>2</v>
      </c>
      <c r="E325" s="2">
        <v>53</v>
      </c>
      <c r="F325" s="2">
        <v>14</v>
      </c>
      <c r="G325" s="2">
        <v>2</v>
      </c>
      <c r="H325" s="2">
        <v>350000</v>
      </c>
      <c r="I325" s="2">
        <v>75</v>
      </c>
      <c r="J325" s="2" t="s">
        <v>1671</v>
      </c>
      <c r="K325" s="2">
        <v>63</v>
      </c>
      <c r="L325" s="2">
        <v>20</v>
      </c>
      <c r="M325" s="2">
        <v>12</v>
      </c>
      <c r="N325" s="2">
        <v>6</v>
      </c>
      <c r="O325" s="2">
        <v>20</v>
      </c>
      <c r="P325" s="2">
        <v>5</v>
      </c>
      <c r="Q325" s="2" t="s">
        <v>1802</v>
      </c>
      <c r="R325" s="2" t="s">
        <v>1803</v>
      </c>
      <c r="S325" s="4">
        <v>44837</v>
      </c>
    </row>
    <row r="326" spans="1:19" ht="12.5" x14ac:dyDescent="0.25">
      <c r="A326" s="14" t="str">
        <f>HYPERLINK("https://gerandofalcoes.my.salesforce.com/0014X00002VKCtOQAX", "0014X00002VKCtOQAX")</f>
        <v>0014X00002VKCtOQAX</v>
      </c>
      <c r="B326" s="2" t="s">
        <v>1986</v>
      </c>
      <c r="C326" s="2" t="s">
        <v>423</v>
      </c>
      <c r="D326" s="2" t="s">
        <v>2</v>
      </c>
      <c r="E326" s="2">
        <v>39</v>
      </c>
      <c r="F326" s="2">
        <v>0</v>
      </c>
      <c r="G326" s="2">
        <v>2</v>
      </c>
      <c r="H326" s="2">
        <v>4046</v>
      </c>
      <c r="I326" s="2">
        <v>240</v>
      </c>
      <c r="J326" s="2" t="s">
        <v>1779</v>
      </c>
      <c r="K326" s="2">
        <v>38</v>
      </c>
      <c r="L326" s="2">
        <v>15</v>
      </c>
      <c r="M326" s="2">
        <v>0</v>
      </c>
      <c r="N326" s="2">
        <v>6</v>
      </c>
      <c r="O326" s="2">
        <v>5</v>
      </c>
      <c r="P326" s="2">
        <v>12</v>
      </c>
      <c r="Q326" s="2" t="s">
        <v>1987</v>
      </c>
      <c r="R326" s="2" t="s">
        <v>1988</v>
      </c>
      <c r="S326" s="4">
        <v>44837</v>
      </c>
    </row>
    <row r="327" spans="1:19" ht="12.5" x14ac:dyDescent="0.25">
      <c r="A327" s="14" t="str">
        <f>HYPERLINK("https://gerandofalcoes.my.salesforce.com/0014X00002VKCqeQAH", "0014X00002VKCqeQAH")</f>
        <v>0014X00002VKCqeQAH</v>
      </c>
      <c r="B327" s="2" t="s">
        <v>2338</v>
      </c>
      <c r="C327" s="2" t="s">
        <v>423</v>
      </c>
      <c r="D327" s="2" t="s">
        <v>2</v>
      </c>
      <c r="E327" s="2">
        <v>27.33</v>
      </c>
      <c r="F327" s="2">
        <v>0</v>
      </c>
      <c r="G327" s="2">
        <v>0</v>
      </c>
      <c r="H327" s="2">
        <v>0</v>
      </c>
      <c r="I327" s="2">
        <v>120</v>
      </c>
      <c r="J327" s="2" t="s">
        <v>1779</v>
      </c>
      <c r="K327" s="2">
        <v>25</v>
      </c>
      <c r="L327" s="2">
        <v>15</v>
      </c>
      <c r="M327" s="2">
        <v>0</v>
      </c>
      <c r="N327" s="2">
        <v>0</v>
      </c>
      <c r="O327" s="2">
        <v>0</v>
      </c>
      <c r="P327" s="2">
        <v>10</v>
      </c>
      <c r="Q327" s="2" t="s">
        <v>2339</v>
      </c>
      <c r="R327" s="2" t="s">
        <v>2339</v>
      </c>
      <c r="S327" s="4">
        <v>44837</v>
      </c>
    </row>
    <row r="328" spans="1:19" ht="12.5" x14ac:dyDescent="0.25">
      <c r="A328" s="14" t="str">
        <f>HYPERLINK("https://gerandofalcoes.my.salesforce.com/0014X00002VKCtWQAX", "0014X00002VKCtWQAX")</f>
        <v>0014X00002VKCtWQAX</v>
      </c>
      <c r="B328" s="2" t="s">
        <v>2651</v>
      </c>
      <c r="C328" s="2" t="s">
        <v>423</v>
      </c>
      <c r="D328" s="2" t="s">
        <v>2</v>
      </c>
      <c r="E328" s="2">
        <v>41</v>
      </c>
      <c r="F328" s="2">
        <v>0</v>
      </c>
      <c r="G328" s="2">
        <v>0</v>
      </c>
      <c r="H328" s="2">
        <v>1000</v>
      </c>
      <c r="I328" s="2">
        <v>150</v>
      </c>
      <c r="J328" s="2" t="s">
        <v>1779</v>
      </c>
      <c r="K328" s="2">
        <v>32</v>
      </c>
      <c r="L328" s="2">
        <v>15</v>
      </c>
      <c r="M328" s="2">
        <v>0</v>
      </c>
      <c r="N328" s="2">
        <v>0</v>
      </c>
      <c r="O328" s="2">
        <v>5</v>
      </c>
      <c r="P328" s="2">
        <v>12</v>
      </c>
      <c r="Q328" s="2" t="s">
        <v>2652</v>
      </c>
      <c r="R328" s="2" t="s">
        <v>2653</v>
      </c>
      <c r="S328" s="4">
        <v>44837</v>
      </c>
    </row>
    <row r="329" spans="1:19" ht="12.5" x14ac:dyDescent="0.25">
      <c r="A329" s="14" t="str">
        <f>HYPERLINK("https://gerandofalcoes.my.salesforce.com/0014X00002VKCqsQAH", "0014X00002VKCqsQAH")</f>
        <v>0014X00002VKCqsQAH</v>
      </c>
      <c r="B329" s="2" t="s">
        <v>2700</v>
      </c>
      <c r="C329" s="2" t="s">
        <v>423</v>
      </c>
      <c r="D329" s="2" t="s">
        <v>2</v>
      </c>
      <c r="E329" s="2">
        <v>33</v>
      </c>
      <c r="F329" s="2">
        <v>8</v>
      </c>
      <c r="G329" s="2">
        <v>2</v>
      </c>
      <c r="H329" s="2">
        <v>47000</v>
      </c>
      <c r="I329" s="2">
        <v>100</v>
      </c>
      <c r="J329" s="2" t="s">
        <v>1671</v>
      </c>
      <c r="K329" s="2">
        <v>51</v>
      </c>
      <c r="L329" s="2">
        <v>15</v>
      </c>
      <c r="M329" s="2">
        <v>10</v>
      </c>
      <c r="N329" s="2">
        <v>6</v>
      </c>
      <c r="O329" s="2">
        <v>10</v>
      </c>
      <c r="P329" s="2">
        <v>10</v>
      </c>
      <c r="Q329" s="2" t="s">
        <v>2701</v>
      </c>
      <c r="R329" s="2" t="s">
        <v>2702</v>
      </c>
      <c r="S329" s="4">
        <v>44837</v>
      </c>
    </row>
    <row r="330" spans="1:19" ht="12.5" x14ac:dyDescent="0.25">
      <c r="A330" s="14" t="str">
        <f>HYPERLINK("https://gerandofalcoes.my.salesforce.com/0014X00002VKCqLQAX", "0014X00002VKCqLQAX")</f>
        <v>0014X00002VKCqLQAX</v>
      </c>
      <c r="B330" s="2" t="s">
        <v>1871</v>
      </c>
      <c r="C330" s="2" t="s">
        <v>423</v>
      </c>
      <c r="D330" s="2" t="s">
        <v>2</v>
      </c>
      <c r="E330" s="2">
        <v>79</v>
      </c>
      <c r="F330" s="2">
        <v>462</v>
      </c>
      <c r="G330" s="2">
        <v>2</v>
      </c>
      <c r="H330" s="2">
        <v>9114662</v>
      </c>
      <c r="I330" s="2">
        <v>365</v>
      </c>
      <c r="J330" s="2" t="s">
        <v>1654</v>
      </c>
      <c r="K330" s="2">
        <v>86</v>
      </c>
      <c r="L330" s="2">
        <v>25</v>
      </c>
      <c r="M330" s="2">
        <v>15</v>
      </c>
      <c r="N330" s="2">
        <v>6</v>
      </c>
      <c r="O330" s="2">
        <v>25</v>
      </c>
      <c r="P330" s="2">
        <v>15</v>
      </c>
      <c r="Q330" s="2" t="s">
        <v>1872</v>
      </c>
      <c r="R330" s="2" t="s">
        <v>1873</v>
      </c>
      <c r="S330" s="4">
        <v>44837</v>
      </c>
    </row>
    <row r="331" spans="1:19" ht="12.5" hidden="1" x14ac:dyDescent="0.25">
      <c r="A331" s="14" t="str">
        <f>HYPERLINK("https://gerandofalcoes.my.salesforce.com/0014X00002VKCuDQAX", "0014X00002VKCuDQAX")</f>
        <v>0014X00002VKCuDQAX</v>
      </c>
      <c r="B331" s="2" t="s">
        <v>2900</v>
      </c>
      <c r="C331" s="2" t="s">
        <v>1684</v>
      </c>
      <c r="D331" s="2" t="s">
        <v>2</v>
      </c>
      <c r="E331" s="2">
        <v>22</v>
      </c>
      <c r="F331" s="2">
        <v>0</v>
      </c>
      <c r="G331" s="2">
        <v>1</v>
      </c>
      <c r="H331" s="2">
        <v>20000</v>
      </c>
      <c r="I331" s="2">
        <v>30</v>
      </c>
      <c r="J331" s="2" t="s">
        <v>1779</v>
      </c>
      <c r="K331" s="2">
        <v>24</v>
      </c>
      <c r="L331" s="2">
        <v>10</v>
      </c>
      <c r="M331" s="2">
        <v>0</v>
      </c>
      <c r="N331" s="2">
        <v>4</v>
      </c>
      <c r="O331" s="2">
        <v>5</v>
      </c>
      <c r="P331" s="2">
        <v>5</v>
      </c>
      <c r="Q331" s="2" t="s">
        <v>2901</v>
      </c>
      <c r="R331" s="2" t="s">
        <v>2901</v>
      </c>
      <c r="S331" s="4">
        <v>44837</v>
      </c>
    </row>
    <row r="332" spans="1:19" ht="12.5" hidden="1" x14ac:dyDescent="0.25">
      <c r="A332" s="14" t="str">
        <f>HYPERLINK("https://gerandofalcoes.my.salesforce.com/0014X00002VKCrpQAH", "0014X00002VKCrpQAH")</f>
        <v>0014X00002VKCrpQAH</v>
      </c>
      <c r="B332" s="2" t="s">
        <v>2887</v>
      </c>
      <c r="C332" s="2" t="s">
        <v>1800</v>
      </c>
      <c r="D332" s="2" t="s">
        <v>2</v>
      </c>
      <c r="E332" s="2">
        <v>9</v>
      </c>
      <c r="F332" s="2">
        <v>0</v>
      </c>
      <c r="G332" s="2">
        <v>4</v>
      </c>
      <c r="H332" s="2">
        <v>2700</v>
      </c>
      <c r="I332" s="2">
        <v>80</v>
      </c>
      <c r="J332" s="2" t="s">
        <v>1779</v>
      </c>
      <c r="K332" s="2">
        <v>35</v>
      </c>
      <c r="L332" s="2">
        <v>10</v>
      </c>
      <c r="M332" s="2">
        <v>0</v>
      </c>
      <c r="N332" s="2">
        <v>10</v>
      </c>
      <c r="O332" s="2">
        <v>5</v>
      </c>
      <c r="P332" s="2">
        <v>10</v>
      </c>
      <c r="Q332" s="2" t="s">
        <v>2888</v>
      </c>
      <c r="R332" s="2" t="s">
        <v>2889</v>
      </c>
      <c r="S332" s="4">
        <v>44837</v>
      </c>
    </row>
    <row r="333" spans="1:19" ht="12.5" x14ac:dyDescent="0.25">
      <c r="A333" s="14" t="str">
        <f>HYPERLINK("https://gerandofalcoes.my.salesforce.com/0014P00003AN2FzQAL", "0014P00003AN2FzQAL")</f>
        <v>0014P00003AN2FzQAL</v>
      </c>
      <c r="B333" s="2" t="s">
        <v>2127</v>
      </c>
      <c r="C333" s="2" t="s">
        <v>423</v>
      </c>
      <c r="D333" s="2" t="s">
        <v>2</v>
      </c>
      <c r="E333" s="2">
        <v>87</v>
      </c>
      <c r="F333" s="2">
        <v>5</v>
      </c>
      <c r="G333" s="2">
        <v>5</v>
      </c>
      <c r="H333" s="2">
        <v>304000</v>
      </c>
      <c r="I333" s="2">
        <v>180</v>
      </c>
      <c r="J333" s="2" t="s">
        <v>1650</v>
      </c>
      <c r="K333" s="2">
        <v>72</v>
      </c>
      <c r="L333" s="2">
        <v>25</v>
      </c>
      <c r="M333" s="2">
        <v>5</v>
      </c>
      <c r="N333" s="2">
        <v>10</v>
      </c>
      <c r="O333" s="2">
        <v>20</v>
      </c>
      <c r="P333" s="2">
        <v>12</v>
      </c>
      <c r="Q333" s="2" t="s">
        <v>652</v>
      </c>
      <c r="R333" s="2" t="s">
        <v>652</v>
      </c>
      <c r="S333" s="4">
        <v>44837</v>
      </c>
    </row>
    <row r="334" spans="1:19" ht="12.5" x14ac:dyDescent="0.25">
      <c r="A334" s="14" t="str">
        <f>HYPERLINK("https://gerandofalcoes.my.salesforce.com/0014P00003AN2G0QAL", "0014P00003AN2G0QAL")</f>
        <v>0014P00003AN2G0QAL</v>
      </c>
      <c r="B334" s="2" t="s">
        <v>146</v>
      </c>
      <c r="C334" s="2" t="s">
        <v>423</v>
      </c>
      <c r="D334" s="2" t="s">
        <v>27</v>
      </c>
      <c r="E334" s="2">
        <v>83</v>
      </c>
      <c r="F334" s="2">
        <v>7</v>
      </c>
      <c r="G334" s="2">
        <v>3</v>
      </c>
      <c r="H334" s="2">
        <v>31263.49</v>
      </c>
      <c r="I334" s="2">
        <v>71</v>
      </c>
      <c r="J334" s="2" t="s">
        <v>1671</v>
      </c>
      <c r="K334" s="2">
        <v>58</v>
      </c>
      <c r="L334" s="2">
        <v>25</v>
      </c>
      <c r="M334" s="2">
        <v>10</v>
      </c>
      <c r="N334" s="2">
        <v>8</v>
      </c>
      <c r="O334" s="2">
        <v>10</v>
      </c>
      <c r="P334" s="2">
        <v>5</v>
      </c>
      <c r="Q334" s="2" t="s">
        <v>1699</v>
      </c>
      <c r="R334" s="2" t="s">
        <v>1699</v>
      </c>
      <c r="S334" s="4">
        <v>44837</v>
      </c>
    </row>
    <row r="335" spans="1:19" ht="12.5" x14ac:dyDescent="0.25">
      <c r="A335" s="14" t="str">
        <f>HYPERLINK("https://gerandofalcoes.my.salesforce.com/0014P00003AN2G1QAL", "0014P00003AN2G1QAL")</f>
        <v>0014P00003AN2G1QAL</v>
      </c>
      <c r="B335" s="2" t="s">
        <v>1744</v>
      </c>
      <c r="C335" s="2" t="s">
        <v>423</v>
      </c>
      <c r="D335" s="2" t="s">
        <v>2</v>
      </c>
      <c r="E335" s="2">
        <v>86</v>
      </c>
      <c r="F335" s="2">
        <v>10</v>
      </c>
      <c r="G335" s="2">
        <v>2</v>
      </c>
      <c r="H335" s="2">
        <v>1545600</v>
      </c>
      <c r="I335" s="2">
        <v>123</v>
      </c>
      <c r="J335" s="2" t="s">
        <v>1650</v>
      </c>
      <c r="K335" s="2">
        <v>76</v>
      </c>
      <c r="L335" s="2">
        <v>25</v>
      </c>
      <c r="M335" s="2">
        <v>10</v>
      </c>
      <c r="N335" s="2">
        <v>6</v>
      </c>
      <c r="O335" s="2">
        <v>25</v>
      </c>
      <c r="P335" s="2">
        <v>10</v>
      </c>
      <c r="Q335" s="2" t="s">
        <v>839</v>
      </c>
      <c r="R335" s="2" t="s">
        <v>839</v>
      </c>
      <c r="S335" s="4">
        <v>44837</v>
      </c>
    </row>
    <row r="336" spans="1:19" ht="12.5" x14ac:dyDescent="0.25">
      <c r="A336" s="14" t="str">
        <f>HYPERLINK("https://gerandofalcoes.my.salesforce.com/0014P00003AN2G2QAL", "0014P00003AN2G2QAL")</f>
        <v>0014P00003AN2G2QAL</v>
      </c>
      <c r="B336" s="2" t="s">
        <v>2150</v>
      </c>
      <c r="C336" s="2" t="s">
        <v>423</v>
      </c>
      <c r="D336" s="2" t="s">
        <v>2</v>
      </c>
      <c r="E336" s="2"/>
      <c r="F336" s="2">
        <v>10</v>
      </c>
      <c r="G336" s="2">
        <v>1</v>
      </c>
      <c r="H336" s="2">
        <v>30485954</v>
      </c>
      <c r="I336" s="2">
        <v>200</v>
      </c>
      <c r="J336" s="2" t="s">
        <v>1671</v>
      </c>
      <c r="K336" s="2">
        <v>51</v>
      </c>
      <c r="L336" s="2">
        <v>0</v>
      </c>
      <c r="M336" s="2">
        <v>10</v>
      </c>
      <c r="N336" s="2">
        <v>4</v>
      </c>
      <c r="O336" s="2">
        <v>25</v>
      </c>
      <c r="P336" s="2">
        <v>12</v>
      </c>
      <c r="Q336" s="2" t="s">
        <v>911</v>
      </c>
      <c r="R336" s="2" t="s">
        <v>2151</v>
      </c>
      <c r="S336" s="4">
        <v>44837</v>
      </c>
    </row>
    <row r="337" spans="1:19" ht="12.5" x14ac:dyDescent="0.25">
      <c r="A337" s="14" t="str">
        <f>HYPERLINK("https://gerandofalcoes.my.salesforce.com/0014P00003AN2G3QAL", "0014P00003AN2G3QAL")</f>
        <v>0014P00003AN2G3QAL</v>
      </c>
      <c r="B337" s="2" t="s">
        <v>1677</v>
      </c>
      <c r="C337" s="2" t="s">
        <v>423</v>
      </c>
      <c r="D337" s="2" t="s">
        <v>27</v>
      </c>
      <c r="E337" s="2">
        <v>89</v>
      </c>
      <c r="F337" s="2">
        <v>9</v>
      </c>
      <c r="G337" s="2">
        <v>3</v>
      </c>
      <c r="H337" s="2">
        <v>46396.77</v>
      </c>
      <c r="I337" s="2">
        <v>188</v>
      </c>
      <c r="J337" s="2" t="s">
        <v>1650</v>
      </c>
      <c r="K337" s="2">
        <v>65</v>
      </c>
      <c r="L337" s="2">
        <v>25</v>
      </c>
      <c r="M337" s="2">
        <v>10</v>
      </c>
      <c r="N337" s="2">
        <v>8</v>
      </c>
      <c r="O337" s="2">
        <v>10</v>
      </c>
      <c r="P337" s="2">
        <v>12</v>
      </c>
      <c r="Q337" s="2" t="s">
        <v>153</v>
      </c>
      <c r="R337" s="2" t="s">
        <v>153</v>
      </c>
      <c r="S337" s="4">
        <v>44837</v>
      </c>
    </row>
    <row r="338" spans="1:19" ht="12.5" x14ac:dyDescent="0.25">
      <c r="A338" s="14" t="str">
        <f>HYPERLINK("https://gerandofalcoes.my.salesforce.com/0014P00003AN2G4QAL", "0014P00003AN2G4QAL")</f>
        <v>0014P00003AN2G4QAL</v>
      </c>
      <c r="B338" s="2" t="s">
        <v>1747</v>
      </c>
      <c r="C338" s="2" t="s">
        <v>423</v>
      </c>
      <c r="D338" s="2" t="s">
        <v>27</v>
      </c>
      <c r="E338" s="2">
        <v>56</v>
      </c>
      <c r="F338" s="2">
        <v>0</v>
      </c>
      <c r="G338" s="2">
        <v>2</v>
      </c>
      <c r="H338" s="2">
        <v>37000</v>
      </c>
      <c r="I338" s="2">
        <v>180</v>
      </c>
      <c r="J338" s="2" t="s">
        <v>1671</v>
      </c>
      <c r="K338" s="2">
        <v>48</v>
      </c>
      <c r="L338" s="2">
        <v>20</v>
      </c>
      <c r="M338" s="2">
        <v>0</v>
      </c>
      <c r="N338" s="2">
        <v>6</v>
      </c>
      <c r="O338" s="2">
        <v>10</v>
      </c>
      <c r="P338" s="2">
        <v>12</v>
      </c>
      <c r="Q338" s="2" t="s">
        <v>925</v>
      </c>
      <c r="R338" s="2" t="s">
        <v>925</v>
      </c>
      <c r="S338" s="4">
        <v>44837</v>
      </c>
    </row>
    <row r="339" spans="1:19" ht="12.5" x14ac:dyDescent="0.25">
      <c r="A339" s="14" t="str">
        <f>HYPERLINK("https://gerandofalcoes.my.salesforce.com/0014P00003AN2G5QAL", "0014P00003AN2G5QAL")</f>
        <v>0014P00003AN2G5QAL</v>
      </c>
      <c r="B339" s="2" t="s">
        <v>1712</v>
      </c>
      <c r="C339" s="2" t="s">
        <v>423</v>
      </c>
      <c r="D339" s="2" t="s">
        <v>27</v>
      </c>
      <c r="E339" s="2">
        <v>78</v>
      </c>
      <c r="F339" s="2">
        <v>19</v>
      </c>
      <c r="G339" s="2">
        <v>3</v>
      </c>
      <c r="H339" s="2">
        <v>1912288.57</v>
      </c>
      <c r="I339" s="2">
        <v>193</v>
      </c>
      <c r="J339" s="2" t="s">
        <v>1654</v>
      </c>
      <c r="K339" s="2">
        <v>82</v>
      </c>
      <c r="L339" s="2">
        <v>25</v>
      </c>
      <c r="M339" s="2">
        <v>12</v>
      </c>
      <c r="N339" s="2">
        <v>8</v>
      </c>
      <c r="O339" s="2">
        <v>25</v>
      </c>
      <c r="P339" s="2">
        <v>12</v>
      </c>
      <c r="Q339" s="2" t="s">
        <v>156</v>
      </c>
      <c r="R339" s="2" t="s">
        <v>156</v>
      </c>
      <c r="S339" s="4">
        <v>44837</v>
      </c>
    </row>
    <row r="340" spans="1:19" ht="12.5" x14ac:dyDescent="0.25">
      <c r="A340" s="14" t="str">
        <f>HYPERLINK("https://gerandofalcoes.my.salesforce.com/0014P00003AN2G6QAL", "0014P00003AN2G6QAL")</f>
        <v>0014P00003AN2G6QAL</v>
      </c>
      <c r="B340" s="2" t="s">
        <v>1704</v>
      </c>
      <c r="C340" s="2" t="s">
        <v>423</v>
      </c>
      <c r="D340" s="2" t="s">
        <v>27</v>
      </c>
      <c r="E340" s="2">
        <v>82</v>
      </c>
      <c r="F340" s="2">
        <v>11</v>
      </c>
      <c r="G340" s="2">
        <v>3</v>
      </c>
      <c r="H340" s="2">
        <v>62859.59</v>
      </c>
      <c r="I340" s="2">
        <v>282</v>
      </c>
      <c r="J340" s="2" t="s">
        <v>1650</v>
      </c>
      <c r="K340" s="2">
        <v>67</v>
      </c>
      <c r="L340" s="2">
        <v>25</v>
      </c>
      <c r="M340" s="2">
        <v>12</v>
      </c>
      <c r="N340" s="2">
        <v>8</v>
      </c>
      <c r="O340" s="2">
        <v>10</v>
      </c>
      <c r="P340" s="2">
        <v>12</v>
      </c>
      <c r="Q340" s="2" t="s">
        <v>157</v>
      </c>
      <c r="R340" s="2" t="s">
        <v>157</v>
      </c>
      <c r="S340" s="4">
        <v>44837</v>
      </c>
    </row>
    <row r="341" spans="1:19" ht="12.5" x14ac:dyDescent="0.25">
      <c r="A341" s="14" t="str">
        <f>HYPERLINK("https://gerandofalcoes.my.salesforce.com/0014P00003AN2FyQAL", "0014P00003AN2FyQAL")</f>
        <v>0014P00003AN2FyQAL</v>
      </c>
      <c r="B341" s="2" t="s">
        <v>2876</v>
      </c>
      <c r="C341" s="2" t="s">
        <v>423</v>
      </c>
      <c r="D341" s="2" t="s">
        <v>2</v>
      </c>
      <c r="E341" s="2">
        <v>6</v>
      </c>
      <c r="F341" s="2">
        <v>0</v>
      </c>
      <c r="G341" s="2">
        <v>3</v>
      </c>
      <c r="H341" s="2">
        <v>90000</v>
      </c>
      <c r="I341" s="2">
        <v>200</v>
      </c>
      <c r="J341" s="2" t="s">
        <v>1671</v>
      </c>
      <c r="K341" s="2">
        <v>40</v>
      </c>
      <c r="L341" s="2">
        <v>10</v>
      </c>
      <c r="M341" s="2">
        <v>0</v>
      </c>
      <c r="N341" s="2">
        <v>8</v>
      </c>
      <c r="O341" s="2">
        <v>10</v>
      </c>
      <c r="P341" s="2">
        <v>12</v>
      </c>
      <c r="Q341" s="2" t="s">
        <v>2877</v>
      </c>
      <c r="R341" s="2" t="s">
        <v>2877</v>
      </c>
      <c r="S341" s="4">
        <v>44837</v>
      </c>
    </row>
    <row r="342" spans="1:19" ht="12.5" x14ac:dyDescent="0.25">
      <c r="A342" s="14" t="str">
        <f>HYPERLINK("https://gerandofalcoes.my.salesforce.com/0014P00003AN2G7QAL", "0014P00003AN2G7QAL")</f>
        <v>0014P00003AN2G7QAL</v>
      </c>
      <c r="B342" s="2" t="s">
        <v>1740</v>
      </c>
      <c r="C342" s="2" t="s">
        <v>423</v>
      </c>
      <c r="D342" s="2" t="s">
        <v>2</v>
      </c>
      <c r="E342" s="2">
        <v>78</v>
      </c>
      <c r="F342" s="2">
        <v>3</v>
      </c>
      <c r="G342" s="2">
        <v>4</v>
      </c>
      <c r="H342" s="2">
        <v>140000</v>
      </c>
      <c r="I342" s="2">
        <v>3</v>
      </c>
      <c r="J342" s="2" t="s">
        <v>1671</v>
      </c>
      <c r="K342" s="2">
        <v>60</v>
      </c>
      <c r="L342" s="2">
        <v>25</v>
      </c>
      <c r="M342" s="2">
        <v>5</v>
      </c>
      <c r="N342" s="2">
        <v>10</v>
      </c>
      <c r="O342" s="2">
        <v>15</v>
      </c>
      <c r="P342" s="2">
        <v>5</v>
      </c>
      <c r="Q342" s="2" t="s">
        <v>945</v>
      </c>
      <c r="R342" s="2" t="s">
        <v>945</v>
      </c>
      <c r="S342" s="4">
        <v>44837</v>
      </c>
    </row>
    <row r="343" spans="1:19" ht="12.5" x14ac:dyDescent="0.25">
      <c r="A343" s="14" t="str">
        <f>HYPERLINK("https://gerandofalcoes.my.salesforce.com/0014P00003AN2G8QAL", "0014P00003AN2G8QAL")</f>
        <v>0014P00003AN2G8QAL</v>
      </c>
      <c r="B343" s="2" t="s">
        <v>1897</v>
      </c>
      <c r="C343" s="2" t="s">
        <v>423</v>
      </c>
      <c r="D343" s="2" t="s">
        <v>2</v>
      </c>
      <c r="E343" s="2">
        <v>68</v>
      </c>
      <c r="F343" s="2">
        <v>2</v>
      </c>
      <c r="G343" s="2">
        <v>5</v>
      </c>
      <c r="H343" s="2">
        <v>455000</v>
      </c>
      <c r="I343" s="2">
        <v>545</v>
      </c>
      <c r="J343" s="2" t="s">
        <v>1650</v>
      </c>
      <c r="K343" s="2">
        <v>75</v>
      </c>
      <c r="L343" s="2">
        <v>20</v>
      </c>
      <c r="M343" s="2">
        <v>5</v>
      </c>
      <c r="N343" s="2">
        <v>10</v>
      </c>
      <c r="O343" s="2">
        <v>20</v>
      </c>
      <c r="P343" s="2">
        <v>20</v>
      </c>
      <c r="Q343" s="2" t="s">
        <v>1898</v>
      </c>
      <c r="R343" s="2" t="s">
        <v>1898</v>
      </c>
      <c r="S343" s="4">
        <v>44837</v>
      </c>
    </row>
    <row r="344" spans="1:19" ht="12.5" x14ac:dyDescent="0.25">
      <c r="A344" s="14" t="str">
        <f>HYPERLINK("https://gerandofalcoes.my.salesforce.com/0014P00003AN2G9QAL", "0014P00003AN2G9QAL")</f>
        <v>0014P00003AN2G9QAL</v>
      </c>
      <c r="B344" s="2" t="s">
        <v>1670</v>
      </c>
      <c r="C344" s="2" t="s">
        <v>423</v>
      </c>
      <c r="D344" s="2" t="s">
        <v>27</v>
      </c>
      <c r="E344" s="2">
        <v>78.59</v>
      </c>
      <c r="F344" s="2">
        <v>7</v>
      </c>
      <c r="G344" s="2">
        <v>2</v>
      </c>
      <c r="H344" s="2">
        <v>5950</v>
      </c>
      <c r="I344" s="2">
        <v>210</v>
      </c>
      <c r="J344" s="2" t="s">
        <v>1671</v>
      </c>
      <c r="K344" s="2">
        <v>58</v>
      </c>
      <c r="L344" s="2">
        <v>25</v>
      </c>
      <c r="M344" s="2">
        <v>10</v>
      </c>
      <c r="N344" s="2">
        <v>6</v>
      </c>
      <c r="O344" s="2">
        <v>5</v>
      </c>
      <c r="P344" s="2">
        <v>12</v>
      </c>
      <c r="Q344" s="2" t="s">
        <v>961</v>
      </c>
      <c r="R344" s="2" t="s">
        <v>961</v>
      </c>
      <c r="S344" s="4">
        <v>44837</v>
      </c>
    </row>
    <row r="345" spans="1:19" ht="12.5" x14ac:dyDescent="0.25">
      <c r="A345" s="14" t="str">
        <f>HYPERLINK("https://gerandofalcoes.my.salesforce.com/0014P00003AN2GAQA1", "0014P00003AN2GAQA1")</f>
        <v>0014P00003AN2GAQA1</v>
      </c>
      <c r="B345" s="2" t="s">
        <v>2981</v>
      </c>
      <c r="C345" s="2" t="s">
        <v>423</v>
      </c>
      <c r="D345" s="2" t="s">
        <v>2</v>
      </c>
      <c r="E345" s="2"/>
      <c r="F345" s="2">
        <v>1</v>
      </c>
      <c r="G345" s="2">
        <v>0</v>
      </c>
      <c r="H345" s="2">
        <v>0</v>
      </c>
      <c r="I345" s="2">
        <v>1200</v>
      </c>
      <c r="J345" s="2" t="s">
        <v>1779</v>
      </c>
      <c r="K345" s="2">
        <v>25</v>
      </c>
      <c r="L345" s="2">
        <v>0</v>
      </c>
      <c r="M345" s="2">
        <v>5</v>
      </c>
      <c r="N345" s="2">
        <v>0</v>
      </c>
      <c r="O345" s="2">
        <v>0</v>
      </c>
      <c r="P345" s="2">
        <v>20</v>
      </c>
      <c r="Q345" s="2" t="s">
        <v>2982</v>
      </c>
      <c r="R345" s="2" t="s">
        <v>2982</v>
      </c>
      <c r="S345" s="4">
        <v>44837</v>
      </c>
    </row>
    <row r="346" spans="1:19" ht="12.5" x14ac:dyDescent="0.25">
      <c r="A346" s="14" t="str">
        <f>HYPERLINK("https://gerandofalcoes.my.salesforce.com/0014P00003AN2GBQA1", "0014P00003AN2GBQA1")</f>
        <v>0014P00003AN2GBQA1</v>
      </c>
      <c r="B346" s="2" t="s">
        <v>2228</v>
      </c>
      <c r="C346" s="2" t="s">
        <v>423</v>
      </c>
      <c r="D346" s="2" t="s">
        <v>2</v>
      </c>
      <c r="E346" s="2">
        <v>48</v>
      </c>
      <c r="F346" s="2">
        <v>20</v>
      </c>
      <c r="G346" s="2">
        <v>2</v>
      </c>
      <c r="H346" s="2">
        <v>80000000</v>
      </c>
      <c r="I346" s="2">
        <v>60</v>
      </c>
      <c r="J346" s="2" t="s">
        <v>1671</v>
      </c>
      <c r="K346" s="2">
        <v>63</v>
      </c>
      <c r="L346" s="2">
        <v>15</v>
      </c>
      <c r="M346" s="2">
        <v>12</v>
      </c>
      <c r="N346" s="2">
        <v>6</v>
      </c>
      <c r="O346" s="2">
        <v>25</v>
      </c>
      <c r="P346" s="2">
        <v>5</v>
      </c>
      <c r="Q346" s="2" t="s">
        <v>2229</v>
      </c>
      <c r="R346" s="2" t="s">
        <v>2229</v>
      </c>
      <c r="S346" s="4">
        <v>44837</v>
      </c>
    </row>
    <row r="347" spans="1:19" ht="12.5" x14ac:dyDescent="0.25">
      <c r="A347" s="14" t="str">
        <f>HYPERLINK("https://gerandofalcoes.my.salesforce.com/0014P00003AN2GCQA1", "0014P00003AN2GCQA1")</f>
        <v>0014P00003AN2GCQA1</v>
      </c>
      <c r="B347" s="2" t="s">
        <v>1832</v>
      </c>
      <c r="C347" s="2" t="s">
        <v>423</v>
      </c>
      <c r="D347" s="2" t="s">
        <v>2</v>
      </c>
      <c r="E347" s="2">
        <v>65</v>
      </c>
      <c r="F347" s="2">
        <v>2</v>
      </c>
      <c r="G347" s="2">
        <v>4</v>
      </c>
      <c r="H347" s="2">
        <v>234550</v>
      </c>
      <c r="I347" s="2">
        <v>187</v>
      </c>
      <c r="J347" s="2" t="s">
        <v>1671</v>
      </c>
      <c r="K347" s="2">
        <v>62</v>
      </c>
      <c r="L347" s="2">
        <v>20</v>
      </c>
      <c r="M347" s="2">
        <v>5</v>
      </c>
      <c r="N347" s="2">
        <v>10</v>
      </c>
      <c r="O347" s="2">
        <v>15</v>
      </c>
      <c r="P347" s="2">
        <v>12</v>
      </c>
      <c r="Q347" s="2" t="s">
        <v>978</v>
      </c>
      <c r="R347" s="2" t="s">
        <v>978</v>
      </c>
      <c r="S347" s="4">
        <v>44837</v>
      </c>
    </row>
    <row r="348" spans="1:19" ht="12.5" x14ac:dyDescent="0.25">
      <c r="A348" s="14" t="str">
        <f>HYPERLINK("https://gerandofalcoes.my.salesforce.com/0014P00003AN2GDQA1", "0014P00003AN2GDQA1")</f>
        <v>0014P00003AN2GDQA1</v>
      </c>
      <c r="B348" s="2" t="s">
        <v>1707</v>
      </c>
      <c r="C348" s="2" t="s">
        <v>423</v>
      </c>
      <c r="D348" s="2" t="s">
        <v>27</v>
      </c>
      <c r="E348" s="2">
        <v>73.2</v>
      </c>
      <c r="F348" s="2">
        <v>5</v>
      </c>
      <c r="G348" s="2">
        <v>2</v>
      </c>
      <c r="H348" s="2">
        <v>77000</v>
      </c>
      <c r="I348" s="2">
        <v>157</v>
      </c>
      <c r="J348" s="2" t="s">
        <v>1671</v>
      </c>
      <c r="K348" s="2">
        <v>53</v>
      </c>
      <c r="L348" s="2">
        <v>20</v>
      </c>
      <c r="M348" s="2">
        <v>5</v>
      </c>
      <c r="N348" s="2">
        <v>6</v>
      </c>
      <c r="O348" s="2">
        <v>10</v>
      </c>
      <c r="P348" s="2">
        <v>12</v>
      </c>
      <c r="Q348" s="2" t="s">
        <v>987</v>
      </c>
      <c r="R348" s="2" t="s">
        <v>987</v>
      </c>
      <c r="S348" s="4">
        <v>44837</v>
      </c>
    </row>
    <row r="349" spans="1:19" ht="12.5" x14ac:dyDescent="0.25">
      <c r="A349" s="14" t="str">
        <f>HYPERLINK("https://gerandofalcoes.my.salesforce.com/0014P00003AN2GFQA1", "0014P00003AN2GFQA1")</f>
        <v>0014P00003AN2GFQA1</v>
      </c>
      <c r="B349" s="2" t="s">
        <v>2980</v>
      </c>
      <c r="C349" s="2" t="s">
        <v>423</v>
      </c>
      <c r="D349" s="2" t="s">
        <v>2</v>
      </c>
      <c r="E349" s="2"/>
      <c r="F349" s="2">
        <v>23</v>
      </c>
      <c r="G349" s="2">
        <v>4</v>
      </c>
      <c r="H349" s="2">
        <v>531000</v>
      </c>
      <c r="I349" s="2">
        <v>15185</v>
      </c>
      <c r="J349" s="2" t="s">
        <v>1671</v>
      </c>
      <c r="K349" s="2">
        <v>62</v>
      </c>
      <c r="L349" s="2">
        <v>0</v>
      </c>
      <c r="M349" s="2">
        <v>12</v>
      </c>
      <c r="N349" s="2">
        <v>10</v>
      </c>
      <c r="O349" s="2">
        <v>20</v>
      </c>
      <c r="P349" s="2">
        <v>20</v>
      </c>
      <c r="Q349" s="2" t="s">
        <v>995</v>
      </c>
      <c r="R349" s="2" t="s">
        <v>995</v>
      </c>
      <c r="S349" s="4">
        <v>44837</v>
      </c>
    </row>
    <row r="350" spans="1:19" ht="12.5" x14ac:dyDescent="0.25">
      <c r="A350" s="14" t="str">
        <f>HYPERLINK("https://gerandofalcoes.my.salesforce.com/0014P00003AN2GGQA1", "0014P00003AN2GGQA1")</f>
        <v>0014P00003AN2GGQA1</v>
      </c>
      <c r="B350" s="2" t="s">
        <v>2711</v>
      </c>
      <c r="C350" s="2" t="s">
        <v>423</v>
      </c>
      <c r="D350" s="2" t="s">
        <v>2</v>
      </c>
      <c r="E350" s="2">
        <v>39</v>
      </c>
      <c r="F350" s="2">
        <v>5</v>
      </c>
      <c r="G350" s="2">
        <v>1</v>
      </c>
      <c r="H350" s="2">
        <v>0</v>
      </c>
      <c r="I350" s="2">
        <v>25</v>
      </c>
      <c r="J350" s="2" t="s">
        <v>1779</v>
      </c>
      <c r="K350" s="2">
        <v>29</v>
      </c>
      <c r="L350" s="2">
        <v>15</v>
      </c>
      <c r="M350" s="2">
        <v>5</v>
      </c>
      <c r="N350" s="2">
        <v>4</v>
      </c>
      <c r="O350" s="2">
        <v>0</v>
      </c>
      <c r="P350" s="2">
        <v>5</v>
      </c>
      <c r="Q350" s="2" t="s">
        <v>2712</v>
      </c>
      <c r="R350" s="2" t="s">
        <v>2712</v>
      </c>
      <c r="S350" s="4">
        <v>44837</v>
      </c>
    </row>
    <row r="351" spans="1:19" ht="12.5" hidden="1" x14ac:dyDescent="0.25">
      <c r="A351" s="14" t="str">
        <f>HYPERLINK("https://gerandofalcoes.my.salesforce.com/0014X00002VKCpLQAX", "0014X00002VKCpLQAX")</f>
        <v>0014X00002VKCpLQAX</v>
      </c>
      <c r="B351" s="2" t="s">
        <v>2335</v>
      </c>
      <c r="C351" s="2" t="s">
        <v>1800</v>
      </c>
      <c r="D351" s="2" t="s">
        <v>2</v>
      </c>
      <c r="E351" s="2">
        <v>10</v>
      </c>
      <c r="F351" s="2">
        <v>0</v>
      </c>
      <c r="G351" s="2">
        <v>3</v>
      </c>
      <c r="H351" s="2">
        <v>5000</v>
      </c>
      <c r="I351" s="2">
        <v>0</v>
      </c>
      <c r="J351" s="2" t="s">
        <v>1779</v>
      </c>
      <c r="K351" s="2">
        <v>23</v>
      </c>
      <c r="L351" s="2">
        <v>10</v>
      </c>
      <c r="M351" s="2">
        <v>0</v>
      </c>
      <c r="N351" s="2">
        <v>8</v>
      </c>
      <c r="O351" s="2">
        <v>5</v>
      </c>
      <c r="P351" s="2">
        <v>0</v>
      </c>
      <c r="Q351" s="2" t="s">
        <v>2863</v>
      </c>
      <c r="R351" s="2" t="s">
        <v>2864</v>
      </c>
      <c r="S351" s="4">
        <v>44837</v>
      </c>
    </row>
    <row r="352" spans="1:19" ht="12.5" x14ac:dyDescent="0.25">
      <c r="A352" s="14" t="str">
        <f>HYPERLINK("https://gerandofalcoes.my.salesforce.com/0014X00002VKCpWQAX", "0014X00002VKCpWQAX")</f>
        <v>0014X00002VKCpWQAX</v>
      </c>
      <c r="B352" s="2" t="s">
        <v>2844</v>
      </c>
      <c r="C352" s="2" t="s">
        <v>423</v>
      </c>
      <c r="D352" s="2" t="s">
        <v>2</v>
      </c>
      <c r="E352" s="2">
        <v>10.64</v>
      </c>
      <c r="F352" s="2">
        <v>5</v>
      </c>
      <c r="G352" s="2">
        <v>1</v>
      </c>
      <c r="H352" s="2">
        <v>35619</v>
      </c>
      <c r="I352" s="2">
        <v>500</v>
      </c>
      <c r="J352" s="2" t="s">
        <v>1671</v>
      </c>
      <c r="K352" s="2">
        <v>49</v>
      </c>
      <c r="L352" s="2">
        <v>10</v>
      </c>
      <c r="M352" s="2">
        <v>5</v>
      </c>
      <c r="N352" s="2">
        <v>4</v>
      </c>
      <c r="O352" s="2">
        <v>10</v>
      </c>
      <c r="P352" s="2">
        <v>20</v>
      </c>
      <c r="Q352" s="2" t="s">
        <v>2845</v>
      </c>
      <c r="R352" s="2" t="s">
        <v>2846</v>
      </c>
      <c r="S352" s="4">
        <v>44837</v>
      </c>
    </row>
    <row r="353" spans="1:19" ht="12.5" x14ac:dyDescent="0.25">
      <c r="A353" s="14" t="str">
        <f>HYPERLINK("https://gerandofalcoes.my.salesforce.com/0014X00002VKCqMQAX", "0014X00002VKCqMQAX")</f>
        <v>0014X00002VKCqMQAX</v>
      </c>
      <c r="B353" s="2" t="s">
        <v>2737</v>
      </c>
      <c r="C353" s="2" t="s">
        <v>423</v>
      </c>
      <c r="D353" s="2" t="s">
        <v>2</v>
      </c>
      <c r="E353" s="2">
        <v>51</v>
      </c>
      <c r="F353" s="2">
        <v>2</v>
      </c>
      <c r="G353" s="2">
        <v>3</v>
      </c>
      <c r="H353" s="2">
        <v>5010380</v>
      </c>
      <c r="I353" s="2">
        <v>86</v>
      </c>
      <c r="J353" s="2" t="s">
        <v>1650</v>
      </c>
      <c r="K353" s="2">
        <v>68</v>
      </c>
      <c r="L353" s="2">
        <v>20</v>
      </c>
      <c r="M353" s="2">
        <v>5</v>
      </c>
      <c r="N353" s="2">
        <v>8</v>
      </c>
      <c r="O353" s="2">
        <v>25</v>
      </c>
      <c r="P353" s="2">
        <v>10</v>
      </c>
      <c r="Q353" s="2" t="s">
        <v>2738</v>
      </c>
      <c r="R353" s="2" t="s">
        <v>2739</v>
      </c>
      <c r="S353" s="4">
        <v>44837</v>
      </c>
    </row>
    <row r="354" spans="1:19" ht="12.5" x14ac:dyDescent="0.25">
      <c r="A354" s="14" t="str">
        <f>HYPERLINK("https://gerandofalcoes.my.salesforce.com/0014X00002VKCpKQAX", "0014X00002VKCpKQAX")</f>
        <v>0014X00002VKCpKQAX</v>
      </c>
      <c r="B354" s="2" t="s">
        <v>2225</v>
      </c>
      <c r="C354" s="2" t="s">
        <v>423</v>
      </c>
      <c r="D354" s="2" t="s">
        <v>2</v>
      </c>
      <c r="E354" s="2">
        <v>42</v>
      </c>
      <c r="F354" s="2">
        <v>0</v>
      </c>
      <c r="G354" s="2">
        <v>0</v>
      </c>
      <c r="H354" s="2">
        <v>0</v>
      </c>
      <c r="I354" s="2">
        <v>78</v>
      </c>
      <c r="J354" s="2" t="s">
        <v>1779</v>
      </c>
      <c r="K354" s="2">
        <v>20</v>
      </c>
      <c r="L354" s="2">
        <v>15</v>
      </c>
      <c r="M354" s="2">
        <v>0</v>
      </c>
      <c r="N354" s="2">
        <v>0</v>
      </c>
      <c r="O354" s="2">
        <v>0</v>
      </c>
      <c r="P354" s="2">
        <v>5</v>
      </c>
      <c r="Q354" s="2" t="s">
        <v>2233</v>
      </c>
      <c r="R354" s="2" t="s">
        <v>2234</v>
      </c>
      <c r="S354" s="4">
        <v>44837</v>
      </c>
    </row>
    <row r="355" spans="1:19" ht="12.5" x14ac:dyDescent="0.25">
      <c r="A355" s="14" t="str">
        <f>HYPERLINK("https://gerandofalcoes.my.salesforce.com/0014X00002VKCqtQAH", "0014X00002VKCqtQAH")</f>
        <v>0014X00002VKCqtQAH</v>
      </c>
      <c r="B355" s="2" t="s">
        <v>2543</v>
      </c>
      <c r="C355" s="2" t="s">
        <v>423</v>
      </c>
      <c r="D355" s="2" t="s">
        <v>2</v>
      </c>
      <c r="E355" s="2">
        <v>47</v>
      </c>
      <c r="F355" s="2">
        <v>0</v>
      </c>
      <c r="G355" s="2">
        <v>1</v>
      </c>
      <c r="H355" s="2">
        <v>5</v>
      </c>
      <c r="I355" s="2">
        <v>105</v>
      </c>
      <c r="J355" s="2" t="s">
        <v>1779</v>
      </c>
      <c r="K355" s="2">
        <v>34</v>
      </c>
      <c r="L355" s="2">
        <v>15</v>
      </c>
      <c r="M355" s="2">
        <v>0</v>
      </c>
      <c r="N355" s="2">
        <v>4</v>
      </c>
      <c r="O355" s="2">
        <v>5</v>
      </c>
      <c r="P355" s="2">
        <v>10</v>
      </c>
      <c r="Q355" s="2" t="s">
        <v>2544</v>
      </c>
      <c r="R355" s="2" t="s">
        <v>2545</v>
      </c>
      <c r="S355" s="4">
        <v>44837</v>
      </c>
    </row>
    <row r="356" spans="1:19" ht="12.5" x14ac:dyDescent="0.25">
      <c r="A356" s="14" t="str">
        <f>HYPERLINK("https://gerandofalcoes.my.salesforce.com/0014X00002VKCrAQAX", "0014X00002VKCrAQAX")</f>
        <v>0014X00002VKCrAQAX</v>
      </c>
      <c r="B356" s="2" t="s">
        <v>1795</v>
      </c>
      <c r="C356" s="2" t="s">
        <v>423</v>
      </c>
      <c r="D356" s="2" t="s">
        <v>2</v>
      </c>
      <c r="E356" s="2">
        <v>53.7</v>
      </c>
      <c r="F356" s="2">
        <v>2</v>
      </c>
      <c r="G356" s="2">
        <v>4</v>
      </c>
      <c r="H356" s="2">
        <v>87500</v>
      </c>
      <c r="I356" s="2">
        <v>19</v>
      </c>
      <c r="J356" s="2" t="s">
        <v>1671</v>
      </c>
      <c r="K356" s="2">
        <v>50</v>
      </c>
      <c r="L356" s="2">
        <v>20</v>
      </c>
      <c r="M356" s="2">
        <v>5</v>
      </c>
      <c r="N356" s="2">
        <v>10</v>
      </c>
      <c r="O356" s="2">
        <v>10</v>
      </c>
      <c r="P356" s="2">
        <v>5</v>
      </c>
      <c r="Q356" s="2" t="s">
        <v>1796</v>
      </c>
      <c r="R356" s="2" t="s">
        <v>1797</v>
      </c>
      <c r="S356" s="4">
        <v>44837</v>
      </c>
    </row>
    <row r="357" spans="1:19" ht="12.5" x14ac:dyDescent="0.25">
      <c r="A357" s="14" t="str">
        <f>HYPERLINK("https://gerandofalcoes.my.salesforce.com/0014X00002VKCpCQAX", "0014X00002VKCpCQAX")</f>
        <v>0014X00002VKCpCQAX</v>
      </c>
      <c r="B357" s="2" t="s">
        <v>2182</v>
      </c>
      <c r="C357" s="2" t="s">
        <v>423</v>
      </c>
      <c r="D357" s="2" t="s">
        <v>2</v>
      </c>
      <c r="E357" s="2">
        <v>33</v>
      </c>
      <c r="F357" s="2">
        <v>0</v>
      </c>
      <c r="G357" s="2">
        <v>0</v>
      </c>
      <c r="H357" s="2">
        <v>0</v>
      </c>
      <c r="I357" s="2">
        <v>30</v>
      </c>
      <c r="J357" s="2" t="s">
        <v>1779</v>
      </c>
      <c r="K357" s="2">
        <v>20</v>
      </c>
      <c r="L357" s="2">
        <v>15</v>
      </c>
      <c r="M357" s="2">
        <v>0</v>
      </c>
      <c r="N357" s="2">
        <v>0</v>
      </c>
      <c r="O357" s="2">
        <v>0</v>
      </c>
      <c r="P357" s="2">
        <v>5</v>
      </c>
      <c r="Q357" s="2" t="s">
        <v>2183</v>
      </c>
      <c r="R357" s="2" t="s">
        <v>2184</v>
      </c>
      <c r="S357" s="4">
        <v>44837</v>
      </c>
    </row>
    <row r="358" spans="1:19" ht="12.5" hidden="1" x14ac:dyDescent="0.25">
      <c r="A358" s="14" t="str">
        <f>HYPERLINK("https://gerandofalcoes.my.salesforce.com/0014X00002VKCpRQAX", "0014X00002VKCpRQAX")</f>
        <v>0014X00002VKCpRQAX</v>
      </c>
      <c r="B358" s="2" t="s">
        <v>2332</v>
      </c>
      <c r="C358" s="2" t="s">
        <v>1800</v>
      </c>
      <c r="D358" s="2" t="s">
        <v>2</v>
      </c>
      <c r="E358" s="2">
        <v>28</v>
      </c>
      <c r="F358" s="2">
        <v>0</v>
      </c>
      <c r="G358" s="2">
        <v>2</v>
      </c>
      <c r="H358" s="2">
        <v>32500000</v>
      </c>
      <c r="I358" s="2">
        <v>0</v>
      </c>
      <c r="J358" s="2" t="s">
        <v>1671</v>
      </c>
      <c r="K358" s="2">
        <v>46</v>
      </c>
      <c r="L358" s="2">
        <v>15</v>
      </c>
      <c r="M358" s="2">
        <v>0</v>
      </c>
      <c r="N358" s="2">
        <v>6</v>
      </c>
      <c r="O358" s="2">
        <v>25</v>
      </c>
      <c r="P358" s="2">
        <v>0</v>
      </c>
      <c r="Q358" s="2" t="s">
        <v>2333</v>
      </c>
      <c r="R358" s="2" t="s">
        <v>2334</v>
      </c>
      <c r="S358" s="4">
        <v>44837</v>
      </c>
    </row>
    <row r="359" spans="1:19" ht="12.5" x14ac:dyDescent="0.25">
      <c r="A359" s="14" t="str">
        <f>HYPERLINK("https://gerandofalcoes.my.salesforce.com/0014X00002VKCrVQAX", "0014X00002VKCrVQAX")</f>
        <v>0014X00002VKCrVQAX</v>
      </c>
      <c r="B359" s="2" t="s">
        <v>2973</v>
      </c>
      <c r="C359" s="2" t="s">
        <v>423</v>
      </c>
      <c r="D359" s="2" t="s">
        <v>2</v>
      </c>
      <c r="E359" s="2">
        <v>20</v>
      </c>
      <c r="F359" s="2">
        <v>0</v>
      </c>
      <c r="G359" s="2">
        <v>0</v>
      </c>
      <c r="H359" s="2">
        <v>0</v>
      </c>
      <c r="I359" s="2">
        <v>0</v>
      </c>
      <c r="J359" s="2" t="s">
        <v>1779</v>
      </c>
      <c r="K359" s="2">
        <v>10</v>
      </c>
      <c r="L359" s="2">
        <v>10</v>
      </c>
      <c r="M359" s="2">
        <v>0</v>
      </c>
      <c r="N359" s="2">
        <v>0</v>
      </c>
      <c r="O359" s="2">
        <v>0</v>
      </c>
      <c r="P359" s="2">
        <v>0</v>
      </c>
      <c r="Q359" s="2" t="s">
        <v>2974</v>
      </c>
      <c r="R359" s="2" t="s">
        <v>2975</v>
      </c>
      <c r="S359" s="4">
        <v>44837</v>
      </c>
    </row>
    <row r="360" spans="1:19" ht="12.5" x14ac:dyDescent="0.25">
      <c r="A360" s="14" t="str">
        <f>HYPERLINK("https://gerandofalcoes.my.salesforce.com/0014X00002VKCrcQAH", "0014X00002VKCrcQAH")</f>
        <v>0014X00002VKCrcQAH</v>
      </c>
      <c r="B360" s="2" t="s">
        <v>2609</v>
      </c>
      <c r="C360" s="2" t="s">
        <v>423</v>
      </c>
      <c r="D360" s="2" t="s">
        <v>2</v>
      </c>
      <c r="E360" s="2">
        <v>19</v>
      </c>
      <c r="F360" s="2">
        <v>0</v>
      </c>
      <c r="G360" s="2">
        <v>3</v>
      </c>
      <c r="H360" s="2">
        <v>2000</v>
      </c>
      <c r="I360" s="2">
        <v>0</v>
      </c>
      <c r="J360" s="2" t="s">
        <v>1779</v>
      </c>
      <c r="K360" s="2">
        <v>23</v>
      </c>
      <c r="L360" s="2">
        <v>10</v>
      </c>
      <c r="M360" s="2">
        <v>0</v>
      </c>
      <c r="N360" s="2">
        <v>8</v>
      </c>
      <c r="O360" s="2">
        <v>5</v>
      </c>
      <c r="P360" s="2">
        <v>0</v>
      </c>
      <c r="Q360" s="2" t="s">
        <v>2610</v>
      </c>
      <c r="R360" s="2" t="s">
        <v>2611</v>
      </c>
      <c r="S360" s="4">
        <v>44837</v>
      </c>
    </row>
    <row r="361" spans="1:19" ht="12.5" x14ac:dyDescent="0.25">
      <c r="A361" s="14" t="str">
        <f>HYPERLINK("https://gerandofalcoes.my.salesforce.com/0014X00002VKCr9QAH", "0014X00002VKCr9QAH")</f>
        <v>0014X00002VKCr9QAH</v>
      </c>
      <c r="B361" s="2" t="s">
        <v>2357</v>
      </c>
      <c r="C361" s="2" t="s">
        <v>423</v>
      </c>
      <c r="D361" s="2" t="s">
        <v>2</v>
      </c>
      <c r="E361" s="2">
        <v>27</v>
      </c>
      <c r="F361" s="2">
        <v>0</v>
      </c>
      <c r="G361" s="2">
        <v>2</v>
      </c>
      <c r="H361" s="2">
        <v>0</v>
      </c>
      <c r="I361" s="2">
        <v>30</v>
      </c>
      <c r="J361" s="2" t="s">
        <v>1779</v>
      </c>
      <c r="K361" s="2">
        <v>26</v>
      </c>
      <c r="L361" s="2">
        <v>15</v>
      </c>
      <c r="M361" s="2">
        <v>0</v>
      </c>
      <c r="N361" s="2">
        <v>6</v>
      </c>
      <c r="O361" s="2">
        <v>0</v>
      </c>
      <c r="P361" s="2">
        <v>5</v>
      </c>
      <c r="Q361" s="2" t="s">
        <v>2358</v>
      </c>
      <c r="R361" s="2" t="s">
        <v>2358</v>
      </c>
      <c r="S361" s="4">
        <v>44837</v>
      </c>
    </row>
    <row r="362" spans="1:19" ht="12.5" x14ac:dyDescent="0.25">
      <c r="A362" s="14" t="str">
        <f>HYPERLINK("https://gerandofalcoes.my.salesforce.com/0014X00002VKCu5QAH", "0014X00002VKCu5QAH")</f>
        <v>0014X00002VKCu5QAH</v>
      </c>
      <c r="B362" s="2" t="s">
        <v>2172</v>
      </c>
      <c r="C362" s="2" t="s">
        <v>423</v>
      </c>
      <c r="D362" s="2" t="s">
        <v>2</v>
      </c>
      <c r="E362" s="2">
        <v>33</v>
      </c>
      <c r="F362" s="2">
        <v>17</v>
      </c>
      <c r="G362" s="2">
        <v>1</v>
      </c>
      <c r="H362" s="2">
        <v>12000</v>
      </c>
      <c r="I362" s="2">
        <v>125</v>
      </c>
      <c r="J362" s="2" t="s">
        <v>1671</v>
      </c>
      <c r="K362" s="2">
        <v>46</v>
      </c>
      <c r="L362" s="2">
        <v>15</v>
      </c>
      <c r="M362" s="2">
        <v>12</v>
      </c>
      <c r="N362" s="2">
        <v>4</v>
      </c>
      <c r="O362" s="2">
        <v>5</v>
      </c>
      <c r="P362" s="2">
        <v>10</v>
      </c>
      <c r="Q362" s="2" t="s">
        <v>2173</v>
      </c>
      <c r="R362" s="2" t="s">
        <v>2174</v>
      </c>
      <c r="S362" s="4">
        <v>44837</v>
      </c>
    </row>
    <row r="363" spans="1:19" ht="12.5" x14ac:dyDescent="0.25">
      <c r="A363" s="14" t="str">
        <f>HYPERLINK("https://gerandofalcoes.my.salesforce.com/0014X00002VKCraQAH", "0014X00002VKCraQAH")</f>
        <v>0014X00002VKCraQAH</v>
      </c>
      <c r="B363" s="2" t="s">
        <v>2836</v>
      </c>
      <c r="C363" s="2" t="s">
        <v>423</v>
      </c>
      <c r="D363" s="2" t="s">
        <v>2</v>
      </c>
      <c r="E363" s="2">
        <v>35</v>
      </c>
      <c r="F363" s="2">
        <v>0</v>
      </c>
      <c r="G363" s="2">
        <v>1</v>
      </c>
      <c r="H363" s="2">
        <v>970224</v>
      </c>
      <c r="I363" s="2">
        <v>150</v>
      </c>
      <c r="J363" s="2" t="s">
        <v>1671</v>
      </c>
      <c r="K363" s="2">
        <v>56</v>
      </c>
      <c r="L363" s="2">
        <v>15</v>
      </c>
      <c r="M363" s="2">
        <v>0</v>
      </c>
      <c r="N363" s="2">
        <v>4</v>
      </c>
      <c r="O363" s="2">
        <v>25</v>
      </c>
      <c r="P363" s="2">
        <v>12</v>
      </c>
      <c r="Q363" s="2" t="s">
        <v>2837</v>
      </c>
      <c r="R363" s="2" t="s">
        <v>2838</v>
      </c>
      <c r="S363" s="4">
        <v>44837</v>
      </c>
    </row>
    <row r="364" spans="1:19" ht="12.5" x14ac:dyDescent="0.25">
      <c r="A364" s="14" t="str">
        <f>HYPERLINK("https://gerandofalcoes.my.salesforce.com/0014X00002VKCp7QAH", "0014X00002VKCp7QAH")</f>
        <v>0014X00002VKCp7QAH</v>
      </c>
      <c r="B364" s="2" t="s">
        <v>2043</v>
      </c>
      <c r="C364" s="2" t="s">
        <v>423</v>
      </c>
      <c r="D364" s="2" t="s">
        <v>2</v>
      </c>
      <c r="E364" s="2">
        <v>37</v>
      </c>
      <c r="F364" s="2">
        <v>4</v>
      </c>
      <c r="G364" s="2">
        <v>3</v>
      </c>
      <c r="H364" s="2">
        <v>96000</v>
      </c>
      <c r="I364" s="2">
        <v>70</v>
      </c>
      <c r="J364" s="2" t="s">
        <v>1671</v>
      </c>
      <c r="K364" s="2">
        <v>43</v>
      </c>
      <c r="L364" s="2">
        <v>15</v>
      </c>
      <c r="M364" s="2">
        <v>5</v>
      </c>
      <c r="N364" s="2">
        <v>8</v>
      </c>
      <c r="O364" s="2">
        <v>10</v>
      </c>
      <c r="P364" s="2">
        <v>5</v>
      </c>
      <c r="Q364" s="2" t="s">
        <v>2044</v>
      </c>
      <c r="R364" s="2" t="s">
        <v>2045</v>
      </c>
      <c r="S364" s="4">
        <v>44837</v>
      </c>
    </row>
    <row r="365" spans="1:19" ht="12.5" x14ac:dyDescent="0.25">
      <c r="A365" s="14" t="str">
        <f>HYPERLINK("https://gerandofalcoes.my.salesforce.com/0014X00002VKCrMQAX", "0014X00002VKCrMQAX")</f>
        <v>0014X00002VKCrMQAX</v>
      </c>
      <c r="B365" s="2" t="s">
        <v>2881</v>
      </c>
      <c r="C365" s="2" t="s">
        <v>423</v>
      </c>
      <c r="D365" s="2" t="s">
        <v>2</v>
      </c>
      <c r="E365" s="2">
        <v>9.0299999999999994</v>
      </c>
      <c r="F365" s="2">
        <v>0</v>
      </c>
      <c r="G365" s="2">
        <v>6</v>
      </c>
      <c r="H365" s="2">
        <v>3057</v>
      </c>
      <c r="I365" s="2">
        <v>3</v>
      </c>
      <c r="J365" s="2" t="s">
        <v>1779</v>
      </c>
      <c r="K365" s="2">
        <v>30</v>
      </c>
      <c r="L365" s="2">
        <v>10</v>
      </c>
      <c r="M365" s="2">
        <v>0</v>
      </c>
      <c r="N365" s="2">
        <v>10</v>
      </c>
      <c r="O365" s="2">
        <v>5</v>
      </c>
      <c r="P365" s="2">
        <v>5</v>
      </c>
      <c r="Q365" s="2" t="s">
        <v>2882</v>
      </c>
      <c r="R365" s="2" t="s">
        <v>2883</v>
      </c>
      <c r="S365" s="4">
        <v>44837</v>
      </c>
    </row>
    <row r="366" spans="1:19" ht="12.5" hidden="1" x14ac:dyDescent="0.25">
      <c r="A366" s="14" t="str">
        <f>HYPERLINK("https://gerandofalcoes.my.salesforce.com/0014X00002VKCqUQAX", "0014X00002VKCqUQAX")</f>
        <v>0014X00002VKCqUQAX</v>
      </c>
      <c r="B366" s="2" t="s">
        <v>2807</v>
      </c>
      <c r="C366" s="2" t="s">
        <v>1800</v>
      </c>
      <c r="D366" s="2" t="s">
        <v>2</v>
      </c>
      <c r="E366" s="2">
        <v>13</v>
      </c>
      <c r="F366" s="2">
        <v>0</v>
      </c>
      <c r="G366" s="2">
        <v>3</v>
      </c>
      <c r="H366" s="2">
        <v>10000</v>
      </c>
      <c r="I366" s="2">
        <v>0</v>
      </c>
      <c r="J366" s="2" t="s">
        <v>1779</v>
      </c>
      <c r="K366" s="2">
        <v>23</v>
      </c>
      <c r="L366" s="2">
        <v>10</v>
      </c>
      <c r="M366" s="2">
        <v>0</v>
      </c>
      <c r="N366" s="2">
        <v>8</v>
      </c>
      <c r="O366" s="2">
        <v>5</v>
      </c>
      <c r="P366" s="2">
        <v>0</v>
      </c>
      <c r="Q366" s="2" t="s">
        <v>2808</v>
      </c>
      <c r="R366" s="2" t="s">
        <v>2808</v>
      </c>
      <c r="S366" s="4">
        <v>44837</v>
      </c>
    </row>
    <row r="367" spans="1:19" ht="12.5" hidden="1" x14ac:dyDescent="0.25">
      <c r="A367" s="14" t="str">
        <f>HYPERLINK("https://gerandofalcoes.my.salesforce.com/0014X00002VKCrOQAX", "0014X00002VKCrOQAX")</f>
        <v>0014X00002VKCrOQAX</v>
      </c>
      <c r="B367" s="2" t="s">
        <v>2715</v>
      </c>
      <c r="C367" s="2" t="s">
        <v>1800</v>
      </c>
      <c r="D367" s="2" t="s">
        <v>2</v>
      </c>
      <c r="E367" s="2">
        <v>15</v>
      </c>
      <c r="F367" s="2">
        <v>0</v>
      </c>
      <c r="G367" s="2">
        <v>3</v>
      </c>
      <c r="H367" s="2">
        <v>15000</v>
      </c>
      <c r="I367" s="2">
        <v>255</v>
      </c>
      <c r="J367" s="2" t="s">
        <v>1779</v>
      </c>
      <c r="K367" s="2">
        <v>35</v>
      </c>
      <c r="L367" s="2">
        <v>10</v>
      </c>
      <c r="M367" s="2">
        <v>0</v>
      </c>
      <c r="N367" s="2">
        <v>8</v>
      </c>
      <c r="O367" s="2">
        <v>5</v>
      </c>
      <c r="P367" s="2">
        <v>12</v>
      </c>
      <c r="Q367" s="2" t="s">
        <v>2716</v>
      </c>
      <c r="R367" s="2" t="s">
        <v>2716</v>
      </c>
      <c r="S367" s="4">
        <v>44837</v>
      </c>
    </row>
    <row r="368" spans="1:19" ht="12.5" x14ac:dyDescent="0.25">
      <c r="A368" s="14" t="str">
        <f>HYPERLINK("https://gerandofalcoes.my.salesforce.com/0014X00002VKCqVQAX", "0014X00002VKCqVQAX")</f>
        <v>0014X00002VKCqVQAX</v>
      </c>
      <c r="B368" s="2" t="s">
        <v>2759</v>
      </c>
      <c r="C368" s="2" t="s">
        <v>423</v>
      </c>
      <c r="D368" s="2" t="s">
        <v>2</v>
      </c>
      <c r="E368" s="2">
        <v>14</v>
      </c>
      <c r="F368" s="2">
        <v>0</v>
      </c>
      <c r="G368" s="2">
        <v>15</v>
      </c>
      <c r="H368" s="2">
        <v>1850078</v>
      </c>
      <c r="I368" s="2">
        <v>20</v>
      </c>
      <c r="J368" s="2" t="s">
        <v>1671</v>
      </c>
      <c r="K368" s="2">
        <v>50</v>
      </c>
      <c r="L368" s="2">
        <v>10</v>
      </c>
      <c r="M368" s="2">
        <v>0</v>
      </c>
      <c r="N368" s="2">
        <v>10</v>
      </c>
      <c r="O368" s="2">
        <v>25</v>
      </c>
      <c r="P368" s="2">
        <v>5</v>
      </c>
      <c r="Q368" s="2" t="s">
        <v>2760</v>
      </c>
      <c r="R368" s="2" t="s">
        <v>2761</v>
      </c>
      <c r="S368" s="4">
        <v>44837</v>
      </c>
    </row>
    <row r="369" spans="1:19" ht="12.5" x14ac:dyDescent="0.25">
      <c r="A369" s="14" t="str">
        <f>HYPERLINK("https://gerandofalcoes.my.salesforce.com/0014X00002VKCtxQAH", "0014X00002VKCtxQAH")</f>
        <v>0014X00002VKCtxQAH</v>
      </c>
      <c r="B369" s="2" t="s">
        <v>1813</v>
      </c>
      <c r="C369" s="2" t="s">
        <v>423</v>
      </c>
      <c r="D369" s="2" t="s">
        <v>2</v>
      </c>
      <c r="E369" s="2">
        <v>52</v>
      </c>
      <c r="F369" s="2">
        <v>10</v>
      </c>
      <c r="G369" s="2">
        <v>3</v>
      </c>
      <c r="H369" s="2">
        <v>5000</v>
      </c>
      <c r="I369" s="2">
        <v>580</v>
      </c>
      <c r="J369" s="2" t="s">
        <v>1671</v>
      </c>
      <c r="K369" s="2">
        <v>63</v>
      </c>
      <c r="L369" s="2">
        <v>20</v>
      </c>
      <c r="M369" s="2">
        <v>10</v>
      </c>
      <c r="N369" s="2">
        <v>8</v>
      </c>
      <c r="O369" s="2">
        <v>5</v>
      </c>
      <c r="P369" s="2">
        <v>20</v>
      </c>
      <c r="Q369" s="2" t="s">
        <v>1814</v>
      </c>
      <c r="R369" s="2" t="s">
        <v>1815</v>
      </c>
      <c r="S369" s="4">
        <v>44837</v>
      </c>
    </row>
    <row r="370" spans="1:19" ht="12.5" x14ac:dyDescent="0.25">
      <c r="A370" s="14" t="str">
        <f>HYPERLINK("https://gerandofalcoes.my.salesforce.com/0014P00003AN2GHQA1", "0014P00003AN2GHQA1")</f>
        <v>0014P00003AN2GHQA1</v>
      </c>
      <c r="B370" s="2" t="s">
        <v>2503</v>
      </c>
      <c r="C370" s="2" t="s">
        <v>423</v>
      </c>
      <c r="D370" s="2" t="s">
        <v>2</v>
      </c>
      <c r="E370" s="2">
        <v>63</v>
      </c>
      <c r="F370" s="2">
        <v>2</v>
      </c>
      <c r="G370" s="2">
        <v>3</v>
      </c>
      <c r="H370" s="2">
        <v>165000</v>
      </c>
      <c r="I370" s="2">
        <v>90</v>
      </c>
      <c r="J370" s="2" t="s">
        <v>1671</v>
      </c>
      <c r="K370" s="2">
        <v>58</v>
      </c>
      <c r="L370" s="2">
        <v>20</v>
      </c>
      <c r="M370" s="2">
        <v>5</v>
      </c>
      <c r="N370" s="2">
        <v>8</v>
      </c>
      <c r="O370" s="2">
        <v>15</v>
      </c>
      <c r="P370" s="2">
        <v>10</v>
      </c>
      <c r="Q370" s="2" t="s">
        <v>1010</v>
      </c>
      <c r="R370" s="2" t="s">
        <v>1010</v>
      </c>
      <c r="S370" s="4">
        <v>44837</v>
      </c>
    </row>
    <row r="371" spans="1:19" ht="12.5" x14ac:dyDescent="0.25">
      <c r="A371" s="14" t="str">
        <f>HYPERLINK("https://gerandofalcoes.my.salesforce.com/0014P00003SGWPWQA5", "0014P00003SGWPWQA5")</f>
        <v>0014P00003SGWPWQA5</v>
      </c>
      <c r="B371" s="2" t="s">
        <v>171</v>
      </c>
      <c r="C371" s="2" t="s">
        <v>423</v>
      </c>
      <c r="D371" s="2" t="s">
        <v>27</v>
      </c>
      <c r="E371" s="2">
        <v>89</v>
      </c>
      <c r="F371" s="2">
        <v>7</v>
      </c>
      <c r="G371" s="2">
        <v>4</v>
      </c>
      <c r="H371" s="2">
        <v>30000</v>
      </c>
      <c r="I371" s="2">
        <v>278</v>
      </c>
      <c r="J371" s="2" t="s">
        <v>1650</v>
      </c>
      <c r="K371" s="2">
        <v>67</v>
      </c>
      <c r="L371" s="2">
        <v>25</v>
      </c>
      <c r="M371" s="2">
        <v>10</v>
      </c>
      <c r="N371" s="2">
        <v>10</v>
      </c>
      <c r="O371" s="2">
        <v>10</v>
      </c>
      <c r="P371" s="2">
        <v>12</v>
      </c>
      <c r="Q371" s="2" t="s">
        <v>172</v>
      </c>
      <c r="R371" s="2" t="s">
        <v>172</v>
      </c>
      <c r="S371" s="4">
        <v>44837</v>
      </c>
    </row>
    <row r="372" spans="1:19" ht="12.5" x14ac:dyDescent="0.25">
      <c r="A372" s="14" t="str">
        <f>HYPERLINK("https://gerandofalcoes.my.salesforce.com/0014P00003SGWPYQA5", "0014P00003SGWPYQA5")</f>
        <v>0014P00003SGWPYQA5</v>
      </c>
      <c r="B372" s="2" t="s">
        <v>175</v>
      </c>
      <c r="C372" s="2" t="s">
        <v>423</v>
      </c>
      <c r="D372" s="2" t="s">
        <v>2</v>
      </c>
      <c r="E372" s="2">
        <v>50.15</v>
      </c>
      <c r="F372" s="2">
        <v>0</v>
      </c>
      <c r="G372" s="2">
        <v>2</v>
      </c>
      <c r="H372" s="2">
        <v>23420</v>
      </c>
      <c r="I372" s="2">
        <v>200</v>
      </c>
      <c r="J372" s="2" t="s">
        <v>1671</v>
      </c>
      <c r="K372" s="2">
        <v>43</v>
      </c>
      <c r="L372" s="2">
        <v>20</v>
      </c>
      <c r="M372" s="2">
        <v>0</v>
      </c>
      <c r="N372" s="2">
        <v>6</v>
      </c>
      <c r="O372" s="2">
        <v>5</v>
      </c>
      <c r="P372" s="2">
        <v>12</v>
      </c>
      <c r="Q372" s="2" t="s">
        <v>176</v>
      </c>
      <c r="R372" s="2" t="s">
        <v>176</v>
      </c>
      <c r="S372" s="4">
        <v>44837</v>
      </c>
    </row>
    <row r="373" spans="1:19" ht="12.5" x14ac:dyDescent="0.25">
      <c r="A373" s="14" t="str">
        <f>HYPERLINK("https://gerandofalcoes.my.salesforce.com/0014P00003SGWPZQA5", "0014P00003SGWPZQA5")</f>
        <v>0014P00003SGWPZQA5</v>
      </c>
      <c r="B373" s="2" t="s">
        <v>160</v>
      </c>
      <c r="C373" s="2" t="s">
        <v>423</v>
      </c>
      <c r="D373" s="2" t="s">
        <v>2</v>
      </c>
      <c r="E373" s="2">
        <v>44</v>
      </c>
      <c r="F373" s="2">
        <v>2</v>
      </c>
      <c r="G373" s="2">
        <v>3</v>
      </c>
      <c r="H373" s="2">
        <v>140000</v>
      </c>
      <c r="I373" s="2">
        <v>78</v>
      </c>
      <c r="J373" s="2" t="s">
        <v>1671</v>
      </c>
      <c r="K373" s="2">
        <v>48</v>
      </c>
      <c r="L373" s="2">
        <v>15</v>
      </c>
      <c r="M373" s="2">
        <v>5</v>
      </c>
      <c r="N373" s="2">
        <v>8</v>
      </c>
      <c r="O373" s="2">
        <v>15</v>
      </c>
      <c r="P373" s="2">
        <v>5</v>
      </c>
      <c r="Q373" s="2" t="s">
        <v>161</v>
      </c>
      <c r="R373" s="2" t="s">
        <v>1828</v>
      </c>
      <c r="S373" s="4">
        <v>44837</v>
      </c>
    </row>
    <row r="374" spans="1:19" ht="12.5" x14ac:dyDescent="0.25">
      <c r="A374" s="14" t="str">
        <f>HYPERLINK("https://gerandofalcoes.my.salesforce.com/0014P00003SGWPaQAP", "0014P00003SGWPaQAP")</f>
        <v>0014P00003SGWPaQAP</v>
      </c>
      <c r="B374" s="2" t="s">
        <v>179</v>
      </c>
      <c r="C374" s="2" t="s">
        <v>423</v>
      </c>
      <c r="D374" s="2" t="s">
        <v>2</v>
      </c>
      <c r="E374" s="2">
        <v>37</v>
      </c>
      <c r="F374" s="2">
        <v>4</v>
      </c>
      <c r="G374" s="2">
        <v>3</v>
      </c>
      <c r="H374" s="2">
        <v>50000</v>
      </c>
      <c r="I374" s="2">
        <v>511</v>
      </c>
      <c r="J374" s="2" t="s">
        <v>1671</v>
      </c>
      <c r="K374" s="2">
        <v>58</v>
      </c>
      <c r="L374" s="2">
        <v>15</v>
      </c>
      <c r="M374" s="2">
        <v>5</v>
      </c>
      <c r="N374" s="2">
        <v>8</v>
      </c>
      <c r="O374" s="2">
        <v>10</v>
      </c>
      <c r="P374" s="2">
        <v>20</v>
      </c>
      <c r="Q374" s="2" t="s">
        <v>180</v>
      </c>
      <c r="R374" s="2" t="s">
        <v>2031</v>
      </c>
      <c r="S374" s="4">
        <v>44837</v>
      </c>
    </row>
    <row r="375" spans="1:19" ht="12.5" x14ac:dyDescent="0.25">
      <c r="A375" s="14" t="str">
        <f>HYPERLINK("https://gerandofalcoes.my.salesforce.com/0014P00003SGWPuQAP", "0014P00003SGWPuQAP")</f>
        <v>0014P00003SGWPuQAP</v>
      </c>
      <c r="B375" s="2" t="s">
        <v>1672</v>
      </c>
      <c r="C375" s="2" t="s">
        <v>423</v>
      </c>
      <c r="D375" s="2" t="s">
        <v>27</v>
      </c>
      <c r="E375" s="2">
        <v>86.4</v>
      </c>
      <c r="F375" s="2">
        <v>0</v>
      </c>
      <c r="G375" s="2">
        <v>4</v>
      </c>
      <c r="H375" s="2">
        <v>3000</v>
      </c>
      <c r="I375" s="2">
        <v>268</v>
      </c>
      <c r="J375" s="2" t="s">
        <v>1671</v>
      </c>
      <c r="K375" s="2">
        <v>52</v>
      </c>
      <c r="L375" s="2">
        <v>25</v>
      </c>
      <c r="M375" s="2">
        <v>0</v>
      </c>
      <c r="N375" s="2">
        <v>10</v>
      </c>
      <c r="O375" s="2">
        <v>5</v>
      </c>
      <c r="P375" s="2">
        <v>12</v>
      </c>
      <c r="Q375" s="2" t="s">
        <v>186</v>
      </c>
      <c r="R375" s="2" t="s">
        <v>1673</v>
      </c>
      <c r="S375" s="4">
        <v>44837</v>
      </c>
    </row>
    <row r="376" spans="1:19" ht="12.5" x14ac:dyDescent="0.25">
      <c r="A376" s="14" t="str">
        <f>HYPERLINK("https://gerandofalcoes.my.salesforce.com/0014P00003SGWPTQA5", "0014P00003SGWPTQA5")</f>
        <v>0014P00003SGWPTQA5</v>
      </c>
      <c r="B376" s="2" t="s">
        <v>376</v>
      </c>
      <c r="C376" s="2" t="s">
        <v>423</v>
      </c>
      <c r="D376" s="2" t="s">
        <v>2</v>
      </c>
      <c r="E376" s="2">
        <v>36.65</v>
      </c>
      <c r="F376" s="2">
        <v>0</v>
      </c>
      <c r="G376" s="2">
        <v>1</v>
      </c>
      <c r="H376" s="2">
        <v>6000</v>
      </c>
      <c r="I376" s="2">
        <v>104</v>
      </c>
      <c r="J376" s="2" t="s">
        <v>1779</v>
      </c>
      <c r="K376" s="2">
        <v>34</v>
      </c>
      <c r="L376" s="2">
        <v>15</v>
      </c>
      <c r="M376" s="2">
        <v>0</v>
      </c>
      <c r="N376" s="2">
        <v>4</v>
      </c>
      <c r="O376" s="2">
        <v>5</v>
      </c>
      <c r="P376" s="2">
        <v>10</v>
      </c>
      <c r="Q376" s="2" t="s">
        <v>377</v>
      </c>
      <c r="R376" s="2" t="s">
        <v>1586</v>
      </c>
      <c r="S376" s="4">
        <v>44837</v>
      </c>
    </row>
    <row r="377" spans="1:19" ht="12.5" x14ac:dyDescent="0.25">
      <c r="A377" s="14" t="str">
        <f>HYPERLINK("https://gerandofalcoes.my.salesforce.com/0014P00003SGWPUQA5", "0014P00003SGWPUQA5")</f>
        <v>0014P00003SGWPUQA5</v>
      </c>
      <c r="B377" s="2" t="s">
        <v>379</v>
      </c>
      <c r="C377" s="2" t="s">
        <v>423</v>
      </c>
      <c r="D377" s="2" t="s">
        <v>2</v>
      </c>
      <c r="E377" s="2">
        <v>58</v>
      </c>
      <c r="F377" s="2">
        <v>0</v>
      </c>
      <c r="G377" s="2">
        <v>3</v>
      </c>
      <c r="H377" s="2">
        <v>88255</v>
      </c>
      <c r="I377" s="2">
        <v>60</v>
      </c>
      <c r="J377" s="2" t="s">
        <v>1671</v>
      </c>
      <c r="K377" s="2">
        <v>43</v>
      </c>
      <c r="L377" s="2">
        <v>20</v>
      </c>
      <c r="M377" s="2">
        <v>0</v>
      </c>
      <c r="N377" s="2">
        <v>8</v>
      </c>
      <c r="O377" s="2">
        <v>10</v>
      </c>
      <c r="P377" s="2">
        <v>5</v>
      </c>
      <c r="Q377" s="2" t="s">
        <v>380</v>
      </c>
      <c r="R377" s="2" t="s">
        <v>1595</v>
      </c>
      <c r="S377" s="4">
        <v>44837</v>
      </c>
    </row>
    <row r="378" spans="1:19" ht="12.5" hidden="1" x14ac:dyDescent="0.25">
      <c r="A378" s="14" t="str">
        <f>HYPERLINK("https://gerandofalcoes.my.salesforce.com/0014P00003SGWPVQA5", "0014P00003SGWPVQA5")</f>
        <v>0014P00003SGWPVQA5</v>
      </c>
      <c r="B378" s="2" t="s">
        <v>2352</v>
      </c>
      <c r="C378" s="2" t="s">
        <v>1684</v>
      </c>
      <c r="D378" s="2" t="s">
        <v>2</v>
      </c>
      <c r="E378" s="2">
        <v>27</v>
      </c>
      <c r="F378" s="2">
        <v>0</v>
      </c>
      <c r="G378" s="2">
        <v>1</v>
      </c>
      <c r="H378" s="2">
        <v>2000</v>
      </c>
      <c r="I378" s="2">
        <v>70</v>
      </c>
      <c r="J378" s="2" t="s">
        <v>1779</v>
      </c>
      <c r="K378" s="2">
        <v>29</v>
      </c>
      <c r="L378" s="2">
        <v>15</v>
      </c>
      <c r="M378" s="2">
        <v>0</v>
      </c>
      <c r="N378" s="2">
        <v>4</v>
      </c>
      <c r="O378" s="2">
        <v>5</v>
      </c>
      <c r="P378" s="2">
        <v>5</v>
      </c>
      <c r="Q378" s="2" t="s">
        <v>381</v>
      </c>
      <c r="R378" s="2" t="s">
        <v>2353</v>
      </c>
      <c r="S378" s="4">
        <v>44837</v>
      </c>
    </row>
    <row r="379" spans="1:19" ht="12.5" x14ac:dyDescent="0.25">
      <c r="A379" s="14" t="str">
        <f>HYPERLINK("https://gerandofalcoes.my.salesforce.com/0014X00002QTry4QAD", "0014X00002QTry4QAD")</f>
        <v>0014X00002QTry4QAD</v>
      </c>
      <c r="B379" s="2" t="s">
        <v>1701</v>
      </c>
      <c r="C379" s="2" t="s">
        <v>423</v>
      </c>
      <c r="D379" s="2" t="s">
        <v>27</v>
      </c>
      <c r="E379" s="2">
        <v>76.38</v>
      </c>
      <c r="F379" s="2">
        <v>0</v>
      </c>
      <c r="G379" s="2">
        <v>3</v>
      </c>
      <c r="H379" s="2">
        <v>350</v>
      </c>
      <c r="I379" s="2">
        <v>40</v>
      </c>
      <c r="J379" s="2" t="s">
        <v>1671</v>
      </c>
      <c r="K379" s="2">
        <v>43</v>
      </c>
      <c r="L379" s="2">
        <v>25</v>
      </c>
      <c r="M379" s="2">
        <v>0</v>
      </c>
      <c r="N379" s="2">
        <v>8</v>
      </c>
      <c r="O379" s="2">
        <v>5</v>
      </c>
      <c r="P379" s="2">
        <v>5</v>
      </c>
      <c r="Q379" s="2" t="s">
        <v>1702</v>
      </c>
      <c r="R379" s="2" t="s">
        <v>1703</v>
      </c>
      <c r="S379" s="4">
        <v>44837</v>
      </c>
    </row>
    <row r="380" spans="1:19" ht="12.5" x14ac:dyDescent="0.25">
      <c r="A380" s="14" t="str">
        <f>HYPERLINK("https://gerandofalcoes.my.salesforce.com/0014X00002PUOY7QAP", "0014X00002PUOY7QAP")</f>
        <v>0014X00002PUOY7QAP</v>
      </c>
      <c r="B380" s="2" t="s">
        <v>2317</v>
      </c>
      <c r="C380" s="2" t="s">
        <v>423</v>
      </c>
      <c r="D380" s="2" t="s">
        <v>2</v>
      </c>
      <c r="E380" s="2">
        <v>28</v>
      </c>
      <c r="F380" s="2">
        <v>28</v>
      </c>
      <c r="G380" s="2">
        <v>3</v>
      </c>
      <c r="H380" s="2">
        <v>200000</v>
      </c>
      <c r="I380" s="2">
        <v>500</v>
      </c>
      <c r="J380" s="2" t="s">
        <v>1650</v>
      </c>
      <c r="K380" s="2">
        <v>70</v>
      </c>
      <c r="L380" s="2">
        <v>15</v>
      </c>
      <c r="M380" s="2">
        <v>12</v>
      </c>
      <c r="N380" s="2">
        <v>8</v>
      </c>
      <c r="O380" s="2">
        <v>15</v>
      </c>
      <c r="P380" s="2">
        <v>20</v>
      </c>
      <c r="Q380" s="2" t="s">
        <v>448</v>
      </c>
      <c r="R380" s="2" t="s">
        <v>448</v>
      </c>
      <c r="S380" s="4">
        <v>44837</v>
      </c>
    </row>
    <row r="381" spans="1:19" ht="12.5" x14ac:dyDescent="0.25">
      <c r="A381" s="14" t="str">
        <f>HYPERLINK("https://gerandofalcoes.my.salesforce.com/0014X00002PUOZAQA5", "0014X00002PUOZAQA5")</f>
        <v>0014X00002PUOZAQA5</v>
      </c>
      <c r="B381" s="2" t="s">
        <v>1717</v>
      </c>
      <c r="C381" s="2" t="s">
        <v>423</v>
      </c>
      <c r="D381" s="2" t="s">
        <v>2</v>
      </c>
      <c r="E381" s="2">
        <v>76.81</v>
      </c>
      <c r="F381" s="2">
        <v>0</v>
      </c>
      <c r="G381" s="2">
        <v>3</v>
      </c>
      <c r="H381" s="2">
        <v>286000</v>
      </c>
      <c r="I381" s="2">
        <v>127</v>
      </c>
      <c r="J381" s="2" t="s">
        <v>1671</v>
      </c>
      <c r="K381" s="2">
        <v>58</v>
      </c>
      <c r="L381" s="2">
        <v>25</v>
      </c>
      <c r="M381" s="2">
        <v>0</v>
      </c>
      <c r="N381" s="2">
        <v>8</v>
      </c>
      <c r="O381" s="2">
        <v>15</v>
      </c>
      <c r="P381" s="2">
        <v>10</v>
      </c>
      <c r="Q381" s="2" t="s">
        <v>1718</v>
      </c>
      <c r="R381" s="2" t="s">
        <v>1718</v>
      </c>
      <c r="S381" s="4">
        <v>44837</v>
      </c>
    </row>
    <row r="382" spans="1:19" ht="12.5" x14ac:dyDescent="0.25">
      <c r="A382" s="14" t="str">
        <f>HYPERLINK("https://gerandofalcoes.my.salesforce.com/0014P00003ESKdlQAH", "0014P00003ESKdlQAH")</f>
        <v>0014P00003ESKdlQAH</v>
      </c>
      <c r="B382" s="2" t="s">
        <v>1719</v>
      </c>
      <c r="C382" s="2" t="s">
        <v>423</v>
      </c>
      <c r="D382" s="2" t="s">
        <v>2</v>
      </c>
      <c r="E382" s="2">
        <v>76</v>
      </c>
      <c r="F382" s="2">
        <v>0</v>
      </c>
      <c r="G382" s="2">
        <v>3</v>
      </c>
      <c r="H382" s="2">
        <v>97514224</v>
      </c>
      <c r="I382" s="2">
        <v>500</v>
      </c>
      <c r="J382" s="2" t="s">
        <v>1650</v>
      </c>
      <c r="K382" s="2">
        <v>78</v>
      </c>
      <c r="L382" s="2">
        <v>25</v>
      </c>
      <c r="M382" s="2">
        <v>0</v>
      </c>
      <c r="N382" s="2">
        <v>8</v>
      </c>
      <c r="O382" s="2">
        <v>25</v>
      </c>
      <c r="P382" s="2">
        <v>20</v>
      </c>
      <c r="Q382" s="2" t="s">
        <v>898</v>
      </c>
      <c r="R382" s="2" t="s">
        <v>898</v>
      </c>
      <c r="S382" s="4">
        <v>44837</v>
      </c>
    </row>
    <row r="383" spans="1:19" ht="12.5" x14ac:dyDescent="0.25">
      <c r="A383" s="14" t="str">
        <f>HYPERLINK("https://gerandofalcoes.my.salesforce.com/0014P00003AN2FVQA1", "0014P00003AN2FVQA1")</f>
        <v>0014P00003AN2FVQA1</v>
      </c>
      <c r="B383" s="2" t="s">
        <v>1738</v>
      </c>
      <c r="C383" s="2" t="s">
        <v>423</v>
      </c>
      <c r="D383" s="2" t="s">
        <v>2</v>
      </c>
      <c r="E383" s="2">
        <v>70</v>
      </c>
      <c r="F383" s="2">
        <v>22</v>
      </c>
      <c r="G383" s="2">
        <v>3</v>
      </c>
      <c r="H383" s="2">
        <v>1385871</v>
      </c>
      <c r="I383" s="2">
        <v>700</v>
      </c>
      <c r="J383" s="2" t="s">
        <v>1654</v>
      </c>
      <c r="K383" s="2">
        <v>85</v>
      </c>
      <c r="L383" s="2">
        <v>20</v>
      </c>
      <c r="M383" s="2">
        <v>12</v>
      </c>
      <c r="N383" s="2">
        <v>8</v>
      </c>
      <c r="O383" s="2">
        <v>25</v>
      </c>
      <c r="P383" s="2">
        <v>20</v>
      </c>
      <c r="Q383" s="2" t="s">
        <v>632</v>
      </c>
      <c r="R383" s="2" t="s">
        <v>632</v>
      </c>
      <c r="S383" s="4">
        <v>44837</v>
      </c>
    </row>
    <row r="384" spans="1:19" ht="12.5" x14ac:dyDescent="0.25">
      <c r="A384" s="14" t="str">
        <f>HYPERLINK("https://gerandofalcoes.my.salesforce.com/0014P00003AN2FWQA1", "0014P00003AN2FWQA1")</f>
        <v>0014P00003AN2FWQA1</v>
      </c>
      <c r="B384" s="2" t="s">
        <v>2395</v>
      </c>
      <c r="C384" s="2" t="s">
        <v>423</v>
      </c>
      <c r="D384" s="2" t="s">
        <v>2</v>
      </c>
      <c r="E384" s="2">
        <v>43</v>
      </c>
      <c r="F384" s="2">
        <v>2</v>
      </c>
      <c r="G384" s="2">
        <v>1</v>
      </c>
      <c r="H384" s="2">
        <v>300000</v>
      </c>
      <c r="I384" s="2">
        <v>280</v>
      </c>
      <c r="J384" s="2" t="s">
        <v>1671</v>
      </c>
      <c r="K384" s="2">
        <v>56</v>
      </c>
      <c r="L384" s="2">
        <v>15</v>
      </c>
      <c r="M384" s="2">
        <v>5</v>
      </c>
      <c r="N384" s="2">
        <v>4</v>
      </c>
      <c r="O384" s="2">
        <v>20</v>
      </c>
      <c r="P384" s="2">
        <v>12</v>
      </c>
      <c r="Q384" s="2" t="s">
        <v>2396</v>
      </c>
      <c r="R384" s="2" t="s">
        <v>2396</v>
      </c>
      <c r="S384" s="4">
        <v>44837</v>
      </c>
    </row>
    <row r="385" spans="1:19" ht="12.5" hidden="1" x14ac:dyDescent="0.25">
      <c r="A385" s="14" t="str">
        <f>HYPERLINK("https://gerandofalcoes.my.salesforce.com/0014P00003AN2FXQA1", "0014P00003AN2FXQA1")</f>
        <v>0014P00003AN2FXQA1</v>
      </c>
      <c r="B385" s="2" t="s">
        <v>1799</v>
      </c>
      <c r="C385" s="2" t="s">
        <v>1800</v>
      </c>
      <c r="D385" s="2" t="s">
        <v>2</v>
      </c>
      <c r="E385" s="2">
        <v>53</v>
      </c>
      <c r="F385" s="2">
        <v>8</v>
      </c>
      <c r="G385" s="2">
        <v>3</v>
      </c>
      <c r="H385" s="2">
        <v>250000</v>
      </c>
      <c r="I385" s="2">
        <v>238</v>
      </c>
      <c r="J385" s="2" t="s">
        <v>1650</v>
      </c>
      <c r="K385" s="2">
        <v>65</v>
      </c>
      <c r="L385" s="2">
        <v>20</v>
      </c>
      <c r="M385" s="2">
        <v>10</v>
      </c>
      <c r="N385" s="2">
        <v>8</v>
      </c>
      <c r="O385" s="2">
        <v>15</v>
      </c>
      <c r="P385" s="2">
        <v>12</v>
      </c>
      <c r="Q385" s="2" t="s">
        <v>646</v>
      </c>
      <c r="R385" s="2" t="s">
        <v>646</v>
      </c>
      <c r="S385" s="4">
        <v>44837</v>
      </c>
    </row>
    <row r="386" spans="1:19" ht="12.5" x14ac:dyDescent="0.25">
      <c r="A386" s="14" t="str">
        <f>HYPERLINK("https://gerandofalcoes.my.salesforce.com/0014P00003AN2FYQA1", "0014P00003AN2FYQA1")</f>
        <v>0014P00003AN2FYQA1</v>
      </c>
      <c r="B386" s="2" t="s">
        <v>1874</v>
      </c>
      <c r="C386" s="2" t="s">
        <v>423</v>
      </c>
      <c r="D386" s="2" t="s">
        <v>2</v>
      </c>
      <c r="E386" s="2">
        <v>45</v>
      </c>
      <c r="F386" s="2">
        <v>4</v>
      </c>
      <c r="G386" s="2">
        <v>5</v>
      </c>
      <c r="H386" s="2">
        <v>100000</v>
      </c>
      <c r="I386" s="2">
        <v>50</v>
      </c>
      <c r="J386" s="2" t="s">
        <v>1671</v>
      </c>
      <c r="K386" s="2">
        <v>50</v>
      </c>
      <c r="L386" s="2">
        <v>15</v>
      </c>
      <c r="M386" s="2">
        <v>5</v>
      </c>
      <c r="N386" s="2">
        <v>10</v>
      </c>
      <c r="O386" s="2">
        <v>15</v>
      </c>
      <c r="P386" s="2">
        <v>5</v>
      </c>
      <c r="Q386" s="2" t="s">
        <v>7147</v>
      </c>
      <c r="R386" s="2" t="s">
        <v>7147</v>
      </c>
      <c r="S386" s="4">
        <v>44837</v>
      </c>
    </row>
    <row r="387" spans="1:19" ht="12.5" x14ac:dyDescent="0.25">
      <c r="A387" s="14" t="str">
        <f>HYPERLINK("https://gerandofalcoes.my.salesforce.com/0014P00003AN2FZQA1", "0014P00003AN2FZQA1")</f>
        <v>0014P00003AN2FZQA1</v>
      </c>
      <c r="B387" s="2" t="s">
        <v>1685</v>
      </c>
      <c r="C387" s="2" t="s">
        <v>423</v>
      </c>
      <c r="D387" s="2" t="s">
        <v>2</v>
      </c>
      <c r="E387" s="2">
        <v>94</v>
      </c>
      <c r="F387" s="2">
        <v>51</v>
      </c>
      <c r="G387" s="2">
        <v>8</v>
      </c>
      <c r="H387" s="2">
        <v>501000</v>
      </c>
      <c r="I387" s="2">
        <v>400</v>
      </c>
      <c r="J387" s="2" t="s">
        <v>1654</v>
      </c>
      <c r="K387" s="2">
        <v>90</v>
      </c>
      <c r="L387" s="2">
        <v>30</v>
      </c>
      <c r="M387" s="2">
        <v>15</v>
      </c>
      <c r="N387" s="2">
        <v>10</v>
      </c>
      <c r="O387" s="2">
        <v>20</v>
      </c>
      <c r="P387" s="2">
        <v>15</v>
      </c>
      <c r="Q387" s="2" t="s">
        <v>1686</v>
      </c>
      <c r="R387" s="2" t="s">
        <v>1686</v>
      </c>
      <c r="S387" s="4">
        <v>44837</v>
      </c>
    </row>
    <row r="388" spans="1:19" ht="12.5" x14ac:dyDescent="0.25">
      <c r="A388" s="14" t="str">
        <f>HYPERLINK("https://gerandofalcoes.my.salesforce.com/0014P00003AN2FaQAL", "0014P00003AN2FaQAL")</f>
        <v>0014P00003AN2FaQAL</v>
      </c>
      <c r="B388" s="2" t="s">
        <v>81</v>
      </c>
      <c r="C388" s="2" t="s">
        <v>423</v>
      </c>
      <c r="D388" s="2" t="s">
        <v>2</v>
      </c>
      <c r="E388" s="2">
        <v>43.16</v>
      </c>
      <c r="F388" s="2">
        <v>7</v>
      </c>
      <c r="G388" s="2">
        <v>2</v>
      </c>
      <c r="H388" s="2">
        <v>150000</v>
      </c>
      <c r="I388" s="2">
        <v>102</v>
      </c>
      <c r="J388" s="2" t="s">
        <v>1671</v>
      </c>
      <c r="K388" s="2">
        <v>56</v>
      </c>
      <c r="L388" s="2">
        <v>15</v>
      </c>
      <c r="M388" s="2">
        <v>10</v>
      </c>
      <c r="N388" s="2">
        <v>6</v>
      </c>
      <c r="O388" s="2">
        <v>15</v>
      </c>
      <c r="P388" s="2">
        <v>10</v>
      </c>
      <c r="Q388" s="2" t="s">
        <v>82</v>
      </c>
      <c r="R388" s="2" t="s">
        <v>660</v>
      </c>
      <c r="S388" s="4">
        <v>44837</v>
      </c>
    </row>
    <row r="389" spans="1:19" ht="12.5" x14ac:dyDescent="0.25">
      <c r="A389" s="14" t="str">
        <f>HYPERLINK("https://gerandofalcoes.my.salesforce.com/0014P00003AN2FbQAL", "0014P00003AN2FbQAL")</f>
        <v>0014P00003AN2FbQAL</v>
      </c>
      <c r="B389" s="2" t="s">
        <v>2318</v>
      </c>
      <c r="C389" s="2" t="s">
        <v>423</v>
      </c>
      <c r="D389" s="2" t="s">
        <v>2</v>
      </c>
      <c r="E389" s="2">
        <v>28</v>
      </c>
      <c r="F389" s="2">
        <v>0</v>
      </c>
      <c r="G389" s="2">
        <v>0</v>
      </c>
      <c r="H389" s="2">
        <v>20000</v>
      </c>
      <c r="I389" s="2">
        <v>330</v>
      </c>
      <c r="J389" s="2" t="s">
        <v>1779</v>
      </c>
      <c r="K389" s="2">
        <v>35</v>
      </c>
      <c r="L389" s="2">
        <v>15</v>
      </c>
      <c r="M389" s="2">
        <v>0</v>
      </c>
      <c r="N389" s="2">
        <v>0</v>
      </c>
      <c r="O389" s="2">
        <v>5</v>
      </c>
      <c r="P389" s="2">
        <v>15</v>
      </c>
      <c r="Q389" s="2" t="s">
        <v>88</v>
      </c>
      <c r="R389" s="2" t="s">
        <v>88</v>
      </c>
      <c r="S389" s="4">
        <v>44837</v>
      </c>
    </row>
    <row r="390" spans="1:19" ht="12.5" x14ac:dyDescent="0.25">
      <c r="A390" s="14" t="str">
        <f>HYPERLINK("https://gerandofalcoes.my.salesforce.com/0014P00003AN2FcQAL", "0014P00003AN2FcQAL")</f>
        <v>0014P00003AN2FcQAL</v>
      </c>
      <c r="B390" s="2" t="s">
        <v>1681</v>
      </c>
      <c r="C390" s="2" t="s">
        <v>423</v>
      </c>
      <c r="D390" s="2" t="s">
        <v>27</v>
      </c>
      <c r="E390" s="2">
        <v>87</v>
      </c>
      <c r="F390" s="2">
        <v>10</v>
      </c>
      <c r="G390" s="2">
        <v>3</v>
      </c>
      <c r="H390" s="2">
        <v>501150</v>
      </c>
      <c r="I390" s="2">
        <v>171</v>
      </c>
      <c r="J390" s="2" t="s">
        <v>1650</v>
      </c>
      <c r="K390" s="2">
        <v>75</v>
      </c>
      <c r="L390" s="2">
        <v>25</v>
      </c>
      <c r="M390" s="2">
        <v>10</v>
      </c>
      <c r="N390" s="2">
        <v>8</v>
      </c>
      <c r="O390" s="2">
        <v>20</v>
      </c>
      <c r="P390" s="2">
        <v>12</v>
      </c>
      <c r="Q390" s="2" t="s">
        <v>91</v>
      </c>
      <c r="R390" s="2" t="s">
        <v>91</v>
      </c>
      <c r="S390" s="4">
        <v>44837</v>
      </c>
    </row>
    <row r="391" spans="1:19" ht="12.5" x14ac:dyDescent="0.25">
      <c r="A391" s="14" t="str">
        <f>HYPERLINK("https://gerandofalcoes.my.salesforce.com/0014P00003AN2FdQAL", "0014P00003AN2FdQAL")</f>
        <v>0014P00003AN2FdQAL</v>
      </c>
      <c r="B391" s="2" t="s">
        <v>95</v>
      </c>
      <c r="C391" s="2" t="s">
        <v>423</v>
      </c>
      <c r="D391" s="2" t="s">
        <v>2</v>
      </c>
      <c r="E391" s="2">
        <v>7</v>
      </c>
      <c r="F391" s="2">
        <v>0</v>
      </c>
      <c r="G391" s="2">
        <v>0</v>
      </c>
      <c r="H391" s="2">
        <v>0</v>
      </c>
      <c r="I391" s="2">
        <v>300</v>
      </c>
      <c r="J391" s="2" t="s">
        <v>1779</v>
      </c>
      <c r="K391" s="2">
        <v>25</v>
      </c>
      <c r="L391" s="2">
        <v>10</v>
      </c>
      <c r="M391" s="2">
        <v>0</v>
      </c>
      <c r="N391" s="2">
        <v>0</v>
      </c>
      <c r="O391" s="2">
        <v>0</v>
      </c>
      <c r="P391" s="2">
        <v>15</v>
      </c>
      <c r="Q391" s="2" t="s">
        <v>96</v>
      </c>
      <c r="R391" s="2" t="s">
        <v>685</v>
      </c>
      <c r="S391" s="4">
        <v>44837</v>
      </c>
    </row>
    <row r="392" spans="1:19" ht="12.5" x14ac:dyDescent="0.25">
      <c r="A392" s="14" t="str">
        <f>HYPERLINK("https://gerandofalcoes.my.salesforce.com/0014P00003AN2FeQAL", "0014P00003AN2FeQAL")</f>
        <v>0014P00003AN2FeQAL</v>
      </c>
      <c r="B392" s="2" t="s">
        <v>100</v>
      </c>
      <c r="C392" s="2" t="s">
        <v>423</v>
      </c>
      <c r="D392" s="2" t="s">
        <v>2</v>
      </c>
      <c r="E392" s="2">
        <v>25</v>
      </c>
      <c r="F392" s="2">
        <v>10</v>
      </c>
      <c r="G392" s="2">
        <v>3</v>
      </c>
      <c r="H392" s="2">
        <v>105000</v>
      </c>
      <c r="I392" s="2">
        <v>64</v>
      </c>
      <c r="J392" s="2" t="s">
        <v>1671</v>
      </c>
      <c r="K392" s="2">
        <v>53</v>
      </c>
      <c r="L392" s="2">
        <v>15</v>
      </c>
      <c r="M392" s="2">
        <v>10</v>
      </c>
      <c r="N392" s="2">
        <v>8</v>
      </c>
      <c r="O392" s="2">
        <v>15</v>
      </c>
      <c r="P392" s="2">
        <v>5</v>
      </c>
      <c r="Q392" s="2" t="s">
        <v>101</v>
      </c>
      <c r="R392" s="2" t="s">
        <v>2472</v>
      </c>
      <c r="S392" s="4">
        <v>44837</v>
      </c>
    </row>
    <row r="393" spans="1:19" ht="12.5" hidden="1" x14ac:dyDescent="0.25">
      <c r="A393" s="14" t="str">
        <f>HYPERLINK("https://gerandofalcoes.my.salesforce.com/0014X00002VKCqYQAX", "0014X00002VKCqYQAX")</f>
        <v>0014X00002VKCqYQAX</v>
      </c>
      <c r="B393" s="2" t="s">
        <v>2322</v>
      </c>
      <c r="C393" s="2" t="s">
        <v>1800</v>
      </c>
      <c r="D393" s="2" t="s">
        <v>2</v>
      </c>
      <c r="E393" s="2">
        <v>28</v>
      </c>
      <c r="F393" s="2">
        <v>1</v>
      </c>
      <c r="G393" s="2">
        <v>6</v>
      </c>
      <c r="H393" s="2">
        <v>5000</v>
      </c>
      <c r="I393" s="2">
        <v>80</v>
      </c>
      <c r="J393" s="2" t="s">
        <v>1671</v>
      </c>
      <c r="K393" s="2">
        <v>45</v>
      </c>
      <c r="L393" s="2">
        <v>15</v>
      </c>
      <c r="M393" s="2">
        <v>5</v>
      </c>
      <c r="N393" s="2">
        <v>10</v>
      </c>
      <c r="O393" s="2">
        <v>5</v>
      </c>
      <c r="P393" s="2">
        <v>10</v>
      </c>
      <c r="Q393" s="2" t="s">
        <v>2323</v>
      </c>
      <c r="R393" s="2" t="s">
        <v>2324</v>
      </c>
      <c r="S393" s="4">
        <v>44837</v>
      </c>
    </row>
    <row r="394" spans="1:19" ht="12.5" hidden="1" x14ac:dyDescent="0.25">
      <c r="A394" s="14" t="str">
        <f>HYPERLINK("https://gerandofalcoes.my.salesforce.com/0014X00002VKCukQAH", "0014X00002VKCukQAH")</f>
        <v>0014X00002VKCukQAH</v>
      </c>
      <c r="B394" s="2" t="s">
        <v>2990</v>
      </c>
      <c r="C394" s="2" t="s">
        <v>1800</v>
      </c>
      <c r="D394" s="2" t="s">
        <v>2</v>
      </c>
      <c r="E394" s="2"/>
      <c r="F394" s="2">
        <v>8</v>
      </c>
      <c r="G394" s="2">
        <v>2</v>
      </c>
      <c r="H394" s="2">
        <v>0</v>
      </c>
      <c r="I394" s="2">
        <v>50</v>
      </c>
      <c r="J394" s="2" t="s">
        <v>1779</v>
      </c>
      <c r="K394" s="2">
        <v>21</v>
      </c>
      <c r="L394" s="2">
        <v>0</v>
      </c>
      <c r="M394" s="2">
        <v>10</v>
      </c>
      <c r="N394" s="2">
        <v>6</v>
      </c>
      <c r="O394" s="2">
        <v>0</v>
      </c>
      <c r="P394" s="2">
        <v>5</v>
      </c>
      <c r="Q394" s="2" t="s">
        <v>2991</v>
      </c>
      <c r="R394" s="2" t="s">
        <v>2991</v>
      </c>
      <c r="S394" s="4">
        <v>44837</v>
      </c>
    </row>
    <row r="395" spans="1:19" ht="12.5" x14ac:dyDescent="0.25">
      <c r="A395" s="14" t="str">
        <f>HYPERLINK("https://gerandofalcoes.my.salesforce.com/0014X00002VKCsmQAH", "0014X00002VKCsmQAH")</f>
        <v>0014X00002VKCsmQAH</v>
      </c>
      <c r="B395" s="2" t="s">
        <v>2370</v>
      </c>
      <c r="C395" s="2" t="s">
        <v>423</v>
      </c>
      <c r="D395" s="2" t="s">
        <v>2</v>
      </c>
      <c r="E395" s="2">
        <v>26</v>
      </c>
      <c r="F395" s="2">
        <v>0</v>
      </c>
      <c r="G395" s="2">
        <v>2</v>
      </c>
      <c r="H395" s="2">
        <v>8000</v>
      </c>
      <c r="I395" s="2">
        <v>20</v>
      </c>
      <c r="J395" s="2" t="s">
        <v>1779</v>
      </c>
      <c r="K395" s="2">
        <v>31</v>
      </c>
      <c r="L395" s="2">
        <v>15</v>
      </c>
      <c r="M395" s="2">
        <v>0</v>
      </c>
      <c r="N395" s="2">
        <v>6</v>
      </c>
      <c r="O395" s="2">
        <v>5</v>
      </c>
      <c r="P395" s="2">
        <v>5</v>
      </c>
      <c r="Q395" s="2" t="s">
        <v>2371</v>
      </c>
      <c r="R395" s="2" t="s">
        <v>2371</v>
      </c>
      <c r="S395" s="4">
        <v>44837</v>
      </c>
    </row>
    <row r="396" spans="1:19" ht="12.5" x14ac:dyDescent="0.25">
      <c r="A396" s="14" t="str">
        <f>HYPERLINK("https://gerandofalcoes.my.salesforce.com/0014X00002VKCpUQAX", "0014X00002VKCpUQAX")</f>
        <v>0014X00002VKCpUQAX</v>
      </c>
      <c r="B396" s="2" t="s">
        <v>2795</v>
      </c>
      <c r="C396" s="2" t="s">
        <v>423</v>
      </c>
      <c r="D396" s="2" t="s">
        <v>2</v>
      </c>
      <c r="E396" s="2">
        <v>13</v>
      </c>
      <c r="F396" s="2">
        <v>3</v>
      </c>
      <c r="G396" s="2">
        <v>1</v>
      </c>
      <c r="H396" s="2">
        <v>1200</v>
      </c>
      <c r="I396" s="2">
        <v>50</v>
      </c>
      <c r="J396" s="2" t="s">
        <v>1779</v>
      </c>
      <c r="K396" s="2">
        <v>29</v>
      </c>
      <c r="L396" s="2">
        <v>10</v>
      </c>
      <c r="M396" s="2">
        <v>5</v>
      </c>
      <c r="N396" s="2">
        <v>4</v>
      </c>
      <c r="O396" s="2">
        <v>5</v>
      </c>
      <c r="P396" s="2">
        <v>5</v>
      </c>
      <c r="Q396" s="2" t="s">
        <v>2796</v>
      </c>
      <c r="R396" s="2" t="s">
        <v>2797</v>
      </c>
      <c r="S396" s="4">
        <v>44837</v>
      </c>
    </row>
    <row r="397" spans="1:19" ht="12.5" hidden="1" x14ac:dyDescent="0.25">
      <c r="A397" s="14" t="str">
        <f>HYPERLINK("https://gerandofalcoes.my.salesforce.com/0014X00002VKCpcQAH", "0014X00002VKCpcQAH")</f>
        <v>0014X00002VKCpcQAH</v>
      </c>
      <c r="B397" s="2" t="s">
        <v>2689</v>
      </c>
      <c r="C397" s="2" t="s">
        <v>1800</v>
      </c>
      <c r="D397" s="2" t="s">
        <v>2</v>
      </c>
      <c r="E397" s="2">
        <v>16</v>
      </c>
      <c r="F397" s="2">
        <v>0</v>
      </c>
      <c r="G397" s="2">
        <v>2</v>
      </c>
      <c r="H397" s="2">
        <v>98000</v>
      </c>
      <c r="I397" s="2">
        <v>20</v>
      </c>
      <c r="J397" s="2" t="s">
        <v>1779</v>
      </c>
      <c r="K397" s="2">
        <v>31</v>
      </c>
      <c r="L397" s="2">
        <v>10</v>
      </c>
      <c r="M397" s="2">
        <v>0</v>
      </c>
      <c r="N397" s="2">
        <v>6</v>
      </c>
      <c r="O397" s="2">
        <v>10</v>
      </c>
      <c r="P397" s="2">
        <v>5</v>
      </c>
      <c r="Q397" s="2" t="s">
        <v>2690</v>
      </c>
      <c r="R397" s="2" t="s">
        <v>2690</v>
      </c>
      <c r="S397" s="4">
        <v>44837</v>
      </c>
    </row>
    <row r="398" spans="1:19" ht="12.5" hidden="1" x14ac:dyDescent="0.25">
      <c r="A398" s="14" t="str">
        <f>HYPERLINK("https://gerandofalcoes.my.salesforce.com/0014X00002VKCtwQAH", "0014X00002VKCtwQAH")</f>
        <v>0014X00002VKCtwQAH</v>
      </c>
      <c r="B398" s="2" t="s">
        <v>1954</v>
      </c>
      <c r="C398" s="2" t="s">
        <v>1800</v>
      </c>
      <c r="D398" s="2" t="s">
        <v>2</v>
      </c>
      <c r="E398" s="2">
        <v>41</v>
      </c>
      <c r="F398" s="2">
        <v>4</v>
      </c>
      <c r="G398" s="2">
        <v>3</v>
      </c>
      <c r="H398" s="2">
        <v>186011</v>
      </c>
      <c r="I398" s="2">
        <v>0</v>
      </c>
      <c r="J398" s="2" t="s">
        <v>1671</v>
      </c>
      <c r="K398" s="2">
        <v>43</v>
      </c>
      <c r="L398" s="2">
        <v>15</v>
      </c>
      <c r="M398" s="2">
        <v>5</v>
      </c>
      <c r="N398" s="2">
        <v>8</v>
      </c>
      <c r="O398" s="2">
        <v>15</v>
      </c>
      <c r="P398" s="2">
        <v>0</v>
      </c>
      <c r="Q398" s="2" t="s">
        <v>1955</v>
      </c>
      <c r="R398" s="2" t="s">
        <v>1956</v>
      </c>
      <c r="S398" s="4">
        <v>44837</v>
      </c>
    </row>
    <row r="399" spans="1:19" ht="12.5" x14ac:dyDescent="0.25">
      <c r="A399" s="14" t="str">
        <f>HYPERLINK("https://gerandofalcoes.my.salesforce.com/0014X00002VMXzNQAX", "0014X00002VMXzNQAX")</f>
        <v>0014X00002VMXzNQAX</v>
      </c>
      <c r="B399" s="2" t="s">
        <v>1778</v>
      </c>
      <c r="C399" s="2" t="s">
        <v>423</v>
      </c>
      <c r="D399" s="2" t="s">
        <v>2</v>
      </c>
      <c r="E399" s="2">
        <v>57</v>
      </c>
      <c r="F399" s="2">
        <v>0</v>
      </c>
      <c r="G399" s="2">
        <v>3</v>
      </c>
      <c r="H399" s="2">
        <v>65000</v>
      </c>
      <c r="I399" s="2">
        <v>0</v>
      </c>
      <c r="J399" s="2" t="s">
        <v>1779</v>
      </c>
      <c r="K399" s="2">
        <v>38</v>
      </c>
      <c r="L399" s="2">
        <v>20</v>
      </c>
      <c r="M399" s="2">
        <v>0</v>
      </c>
      <c r="N399" s="2">
        <v>8</v>
      </c>
      <c r="O399" s="2">
        <v>10</v>
      </c>
      <c r="P399" s="2">
        <v>0</v>
      </c>
      <c r="Q399" s="2" t="s">
        <v>1780</v>
      </c>
      <c r="R399" s="2" t="s">
        <v>1781</v>
      </c>
      <c r="S399" s="4">
        <v>44837</v>
      </c>
    </row>
    <row r="400" spans="1:19" ht="12.5" x14ac:dyDescent="0.25">
      <c r="A400" s="14" t="str">
        <f>HYPERLINK("https://gerandofalcoes.my.salesforce.com/0014X00002VKCv9QAH", "0014X00002VKCv9QAH")</f>
        <v>0014X00002VKCv9QAH</v>
      </c>
      <c r="B400" s="2" t="s">
        <v>2874</v>
      </c>
      <c r="C400" s="2" t="s">
        <v>423</v>
      </c>
      <c r="D400" s="2" t="s">
        <v>2</v>
      </c>
      <c r="E400" s="2">
        <v>35</v>
      </c>
      <c r="F400" s="2">
        <v>0</v>
      </c>
      <c r="G400" s="2">
        <v>0</v>
      </c>
      <c r="H400" s="2">
        <v>0</v>
      </c>
      <c r="I400" s="2">
        <v>200</v>
      </c>
      <c r="J400" s="2" t="s">
        <v>1779</v>
      </c>
      <c r="K400" s="2">
        <v>27</v>
      </c>
      <c r="L400" s="2">
        <v>15</v>
      </c>
      <c r="M400" s="2">
        <v>0</v>
      </c>
      <c r="N400" s="2">
        <v>0</v>
      </c>
      <c r="O400" s="2">
        <v>0</v>
      </c>
      <c r="P400" s="2">
        <v>12</v>
      </c>
      <c r="Q400" s="2" t="s">
        <v>2875</v>
      </c>
      <c r="R400" s="2" t="s">
        <v>2875</v>
      </c>
      <c r="S400" s="4">
        <v>44837</v>
      </c>
    </row>
    <row r="401" spans="1:19" ht="12.5" hidden="1" x14ac:dyDescent="0.25">
      <c r="A401" s="14" t="str">
        <f>HYPERLINK("https://gerandofalcoes.my.salesforce.com/0014X00002VKCrIQAX", "0014X00002VKCrIQAX")</f>
        <v>0014X00002VKCrIQAX</v>
      </c>
      <c r="B401" s="2" t="s">
        <v>2670</v>
      </c>
      <c r="C401" s="2" t="s">
        <v>1684</v>
      </c>
      <c r="D401" s="2" t="s">
        <v>2</v>
      </c>
      <c r="E401" s="2">
        <v>17</v>
      </c>
      <c r="F401" s="2">
        <v>0</v>
      </c>
      <c r="G401" s="2">
        <v>2</v>
      </c>
      <c r="H401" s="2">
        <v>1</v>
      </c>
      <c r="I401" s="2">
        <v>0</v>
      </c>
      <c r="J401" s="2" t="s">
        <v>1779</v>
      </c>
      <c r="K401" s="2">
        <v>21</v>
      </c>
      <c r="L401" s="2">
        <v>10</v>
      </c>
      <c r="M401" s="2">
        <v>0</v>
      </c>
      <c r="N401" s="2">
        <v>6</v>
      </c>
      <c r="O401" s="2">
        <v>5</v>
      </c>
      <c r="P401" s="2">
        <v>0</v>
      </c>
      <c r="Q401" s="2" t="s">
        <v>2671</v>
      </c>
      <c r="R401" s="2" t="s">
        <v>2671</v>
      </c>
      <c r="S401" s="4">
        <v>44837</v>
      </c>
    </row>
    <row r="402" spans="1:19" ht="12.5" x14ac:dyDescent="0.25">
      <c r="A402" s="14" t="str">
        <f>HYPERLINK("https://gerandofalcoes.my.salesforce.com/0014X00002VKCuRQAX", "0014X00002VKCuRQAX")</f>
        <v>0014X00002VKCuRQAX</v>
      </c>
      <c r="B402" s="2" t="s">
        <v>2243</v>
      </c>
      <c r="C402" s="2" t="s">
        <v>423</v>
      </c>
      <c r="D402" s="2" t="s">
        <v>2</v>
      </c>
      <c r="E402" s="2">
        <v>31</v>
      </c>
      <c r="F402" s="2">
        <v>3</v>
      </c>
      <c r="G402" s="2">
        <v>6</v>
      </c>
      <c r="H402" s="2">
        <v>100000</v>
      </c>
      <c r="I402" s="2">
        <v>0</v>
      </c>
      <c r="J402" s="2" t="s">
        <v>1671</v>
      </c>
      <c r="K402" s="2">
        <v>45</v>
      </c>
      <c r="L402" s="2">
        <v>15</v>
      </c>
      <c r="M402" s="2">
        <v>5</v>
      </c>
      <c r="N402" s="2">
        <v>10</v>
      </c>
      <c r="O402" s="2">
        <v>15</v>
      </c>
      <c r="P402" s="2">
        <v>0</v>
      </c>
      <c r="Q402" s="2" t="s">
        <v>2244</v>
      </c>
      <c r="R402" s="2" t="s">
        <v>2244</v>
      </c>
      <c r="S402" s="4">
        <v>44837</v>
      </c>
    </row>
    <row r="403" spans="1:19" ht="12.5" x14ac:dyDescent="0.25">
      <c r="A403" s="14" t="str">
        <f>HYPERLINK("https://gerandofalcoes.my.salesforce.com/0014X00002VKCrwQAH", "0014X00002VKCrwQAH")</f>
        <v>0014X00002VKCrwQAH</v>
      </c>
      <c r="B403" s="2" t="s">
        <v>2959</v>
      </c>
      <c r="C403" s="2" t="s">
        <v>423</v>
      </c>
      <c r="D403" s="2" t="s">
        <v>2</v>
      </c>
      <c r="E403" s="2">
        <v>16</v>
      </c>
      <c r="F403" s="2">
        <v>0</v>
      </c>
      <c r="G403" s="2">
        <v>2</v>
      </c>
      <c r="H403" s="2">
        <v>15000</v>
      </c>
      <c r="I403" s="2">
        <v>30</v>
      </c>
      <c r="J403" s="2" t="s">
        <v>1779</v>
      </c>
      <c r="K403" s="2">
        <v>26</v>
      </c>
      <c r="L403" s="2">
        <v>10</v>
      </c>
      <c r="M403" s="2">
        <v>0</v>
      </c>
      <c r="N403" s="2">
        <v>6</v>
      </c>
      <c r="O403" s="2">
        <v>5</v>
      </c>
      <c r="P403" s="2">
        <v>5</v>
      </c>
      <c r="Q403" s="2" t="s">
        <v>2960</v>
      </c>
      <c r="R403" s="2" t="s">
        <v>2961</v>
      </c>
      <c r="S403" s="4">
        <v>44837</v>
      </c>
    </row>
    <row r="404" spans="1:19" ht="12.5" hidden="1" x14ac:dyDescent="0.25">
      <c r="A404" s="14" t="str">
        <f>HYPERLINK("https://gerandofalcoes.my.salesforce.com/0014X00002VKCsLQAX", "0014X00002VKCsLQAX")</f>
        <v>0014X00002VKCsLQAX</v>
      </c>
      <c r="B404" s="2" t="s">
        <v>2798</v>
      </c>
      <c r="C404" s="2" t="s">
        <v>1800</v>
      </c>
      <c r="D404" s="2" t="s">
        <v>2</v>
      </c>
      <c r="E404" s="2">
        <v>13</v>
      </c>
      <c r="F404" s="2">
        <v>0</v>
      </c>
      <c r="G404" s="2">
        <v>3</v>
      </c>
      <c r="H404" s="2">
        <v>500</v>
      </c>
      <c r="I404" s="2">
        <v>30</v>
      </c>
      <c r="J404" s="2" t="s">
        <v>1779</v>
      </c>
      <c r="K404" s="2">
        <v>28</v>
      </c>
      <c r="L404" s="2">
        <v>10</v>
      </c>
      <c r="M404" s="2">
        <v>0</v>
      </c>
      <c r="N404" s="2">
        <v>8</v>
      </c>
      <c r="O404" s="2">
        <v>5</v>
      </c>
      <c r="P404" s="2">
        <v>5</v>
      </c>
      <c r="Q404" s="2" t="s">
        <v>2799</v>
      </c>
      <c r="R404" s="2" t="s">
        <v>2800</v>
      </c>
      <c r="S404" s="4">
        <v>44837</v>
      </c>
    </row>
    <row r="405" spans="1:19" ht="12.5" x14ac:dyDescent="0.25">
      <c r="A405" s="14" t="str">
        <f>HYPERLINK("https://gerandofalcoes.my.salesforce.com/0014X00002VKCrTQAX", "0014X00002VKCrTQAX")</f>
        <v>0014X00002VKCrTQAX</v>
      </c>
      <c r="B405" s="2" t="s">
        <v>2180</v>
      </c>
      <c r="C405" s="2" t="s">
        <v>423</v>
      </c>
      <c r="D405" s="2" t="s">
        <v>2</v>
      </c>
      <c r="E405" s="2">
        <v>33</v>
      </c>
      <c r="F405" s="2">
        <v>0</v>
      </c>
      <c r="G405" s="2">
        <v>5</v>
      </c>
      <c r="H405" s="2">
        <v>0</v>
      </c>
      <c r="I405" s="2">
        <v>40</v>
      </c>
      <c r="J405" s="2" t="s">
        <v>1779</v>
      </c>
      <c r="K405" s="2">
        <v>30</v>
      </c>
      <c r="L405" s="2">
        <v>15</v>
      </c>
      <c r="M405" s="2">
        <v>0</v>
      </c>
      <c r="N405" s="2">
        <v>10</v>
      </c>
      <c r="O405" s="2">
        <v>0</v>
      </c>
      <c r="P405" s="2">
        <v>5</v>
      </c>
      <c r="Q405" s="2" t="s">
        <v>2181</v>
      </c>
      <c r="R405" s="2" t="s">
        <v>2181</v>
      </c>
      <c r="S405" s="4">
        <v>44837</v>
      </c>
    </row>
    <row r="406" spans="1:19" ht="12.5" x14ac:dyDescent="0.25">
      <c r="A406" s="14" t="str">
        <f>HYPERLINK("https://gerandofalcoes.my.salesforce.com/0014P00003SGWQ3QAP", "0014P00003SGWQ3QAP")</f>
        <v>0014P00003SGWQ3QAP</v>
      </c>
      <c r="B406" s="2" t="s">
        <v>210</v>
      </c>
      <c r="C406" s="2" t="s">
        <v>423</v>
      </c>
      <c r="D406" s="2" t="s">
        <v>2</v>
      </c>
      <c r="E406" s="2">
        <v>51</v>
      </c>
      <c r="F406" s="2">
        <v>34</v>
      </c>
      <c r="G406" s="2">
        <v>4</v>
      </c>
      <c r="H406" s="2">
        <v>140000</v>
      </c>
      <c r="I406" s="2">
        <v>40</v>
      </c>
      <c r="J406" s="2" t="s">
        <v>1650</v>
      </c>
      <c r="K406" s="2">
        <v>65</v>
      </c>
      <c r="L406" s="2">
        <v>20</v>
      </c>
      <c r="M406" s="2">
        <v>15</v>
      </c>
      <c r="N406" s="2">
        <v>10</v>
      </c>
      <c r="O406" s="2">
        <v>15</v>
      </c>
      <c r="P406" s="2">
        <v>5</v>
      </c>
      <c r="Q406" s="2" t="s">
        <v>211</v>
      </c>
      <c r="R406" s="2" t="s">
        <v>1459</v>
      </c>
      <c r="S406" s="4">
        <v>44837</v>
      </c>
    </row>
    <row r="407" spans="1:19" ht="12.5" x14ac:dyDescent="0.25">
      <c r="A407" s="14" t="str">
        <f>HYPERLINK("https://gerandofalcoes.my.salesforce.com/0014P00003SGWQ4QAP", "0014P00003SGWQ4QAP")</f>
        <v>0014P00003SGWQ4QAP</v>
      </c>
      <c r="B407" s="2" t="s">
        <v>217</v>
      </c>
      <c r="C407" s="2" t="s">
        <v>423</v>
      </c>
      <c r="D407" s="2" t="s">
        <v>2</v>
      </c>
      <c r="E407" s="2">
        <v>33</v>
      </c>
      <c r="F407" s="2">
        <v>0</v>
      </c>
      <c r="G407" s="2">
        <v>2</v>
      </c>
      <c r="H407" s="2">
        <v>8324</v>
      </c>
      <c r="I407" s="2">
        <v>117</v>
      </c>
      <c r="J407" s="2" t="s">
        <v>1779</v>
      </c>
      <c r="K407" s="2">
        <v>36</v>
      </c>
      <c r="L407" s="2">
        <v>15</v>
      </c>
      <c r="M407" s="2">
        <v>0</v>
      </c>
      <c r="N407" s="2">
        <v>6</v>
      </c>
      <c r="O407" s="2">
        <v>5</v>
      </c>
      <c r="P407" s="2">
        <v>10</v>
      </c>
      <c r="Q407" s="2" t="s">
        <v>218</v>
      </c>
      <c r="R407" s="2" t="s">
        <v>1140</v>
      </c>
      <c r="S407" s="4">
        <v>44837</v>
      </c>
    </row>
    <row r="408" spans="1:19" ht="12.5" x14ac:dyDescent="0.25">
      <c r="A408" s="14" t="str">
        <f>HYPERLINK("https://gerandofalcoes.my.salesforce.com/0014P00003SGWQ6QAP", "0014P00003SGWQ6QAP")</f>
        <v>0014P00003SGWQ6QAP</v>
      </c>
      <c r="B408" s="2" t="s">
        <v>221</v>
      </c>
      <c r="C408" s="2" t="s">
        <v>423</v>
      </c>
      <c r="D408" s="2" t="s">
        <v>2</v>
      </c>
      <c r="E408" s="2"/>
      <c r="F408" s="2">
        <v>20</v>
      </c>
      <c r="G408" s="2">
        <v>3</v>
      </c>
      <c r="H408" s="2">
        <v>149830</v>
      </c>
      <c r="I408" s="2">
        <v>250</v>
      </c>
      <c r="J408" s="2" t="s">
        <v>1671</v>
      </c>
      <c r="K408" s="2">
        <v>47</v>
      </c>
      <c r="L408" s="2">
        <v>0</v>
      </c>
      <c r="M408" s="2">
        <v>12</v>
      </c>
      <c r="N408" s="2">
        <v>8</v>
      </c>
      <c r="O408" s="2">
        <v>15</v>
      </c>
      <c r="P408" s="2">
        <v>12</v>
      </c>
      <c r="Q408" s="2" t="s">
        <v>222</v>
      </c>
      <c r="R408" s="2" t="s">
        <v>2985</v>
      </c>
      <c r="S408" s="4">
        <v>44837</v>
      </c>
    </row>
    <row r="409" spans="1:19" ht="12.5" x14ac:dyDescent="0.25">
      <c r="A409" s="14" t="str">
        <f>HYPERLINK("https://gerandofalcoes.my.salesforce.com/0014P00003SGWQ7QAP", "0014P00003SGWQ7QAP")</f>
        <v>0014P00003SGWQ7QAP</v>
      </c>
      <c r="B409" s="2" t="s">
        <v>226</v>
      </c>
      <c r="C409" s="2" t="s">
        <v>423</v>
      </c>
      <c r="D409" s="2" t="s">
        <v>27</v>
      </c>
      <c r="E409" s="2">
        <v>39</v>
      </c>
      <c r="F409" s="2">
        <v>6</v>
      </c>
      <c r="G409" s="2">
        <v>2</v>
      </c>
      <c r="H409" s="2">
        <v>9291.52</v>
      </c>
      <c r="I409" s="2">
        <v>150</v>
      </c>
      <c r="J409" s="2" t="s">
        <v>1671</v>
      </c>
      <c r="K409" s="2">
        <v>48</v>
      </c>
      <c r="L409" s="2">
        <v>15</v>
      </c>
      <c r="M409" s="2">
        <v>10</v>
      </c>
      <c r="N409" s="2">
        <v>6</v>
      </c>
      <c r="O409" s="2">
        <v>5</v>
      </c>
      <c r="P409" s="2">
        <v>12</v>
      </c>
      <c r="Q409" s="2" t="s">
        <v>227</v>
      </c>
      <c r="R409" s="2" t="s">
        <v>1159</v>
      </c>
      <c r="S409" s="4">
        <v>44837</v>
      </c>
    </row>
    <row r="410" spans="1:19" ht="12.5" x14ac:dyDescent="0.25">
      <c r="A410" s="14" t="str">
        <f>HYPERLINK("https://gerandofalcoes.my.salesforce.com/0014P00003SGWQ8QAP", "0014P00003SGWQ8QAP")</f>
        <v>0014P00003SGWQ8QAP</v>
      </c>
      <c r="B410" s="2" t="s">
        <v>213</v>
      </c>
      <c r="C410" s="2" t="s">
        <v>423</v>
      </c>
      <c r="D410" s="2" t="s">
        <v>2</v>
      </c>
      <c r="E410" s="2">
        <v>14</v>
      </c>
      <c r="F410" s="2">
        <v>0</v>
      </c>
      <c r="G410" s="2">
        <v>2</v>
      </c>
      <c r="H410" s="2">
        <v>300000</v>
      </c>
      <c r="I410" s="2">
        <v>0</v>
      </c>
      <c r="J410" s="2" t="s">
        <v>1779</v>
      </c>
      <c r="K410" s="2">
        <v>36</v>
      </c>
      <c r="L410" s="2">
        <v>10</v>
      </c>
      <c r="M410" s="2">
        <v>0</v>
      </c>
      <c r="N410" s="2">
        <v>6</v>
      </c>
      <c r="O410" s="2">
        <v>20</v>
      </c>
      <c r="P410" s="2">
        <v>0</v>
      </c>
      <c r="Q410" s="2" t="s">
        <v>214</v>
      </c>
      <c r="R410" s="2" t="s">
        <v>1170</v>
      </c>
      <c r="S410" s="4">
        <v>44837</v>
      </c>
    </row>
    <row r="411" spans="1:19" ht="12.5" x14ac:dyDescent="0.25">
      <c r="A411" s="14" t="str">
        <f>HYPERLINK("https://gerandofalcoes.my.salesforce.com/0014P00003SGWQ9QAP", "0014P00003SGWQ9QAP")</f>
        <v>0014P00003SGWQ9QAP</v>
      </c>
      <c r="B411" s="2" t="s">
        <v>232</v>
      </c>
      <c r="C411" s="2" t="s">
        <v>423</v>
      </c>
      <c r="D411" s="2" t="s">
        <v>2</v>
      </c>
      <c r="E411" s="2">
        <v>51</v>
      </c>
      <c r="F411" s="2">
        <v>5</v>
      </c>
      <c r="G411" s="2">
        <v>3</v>
      </c>
      <c r="H411" s="2">
        <v>191584</v>
      </c>
      <c r="I411" s="2">
        <v>245</v>
      </c>
      <c r="J411" s="2" t="s">
        <v>1671</v>
      </c>
      <c r="K411" s="2">
        <v>60</v>
      </c>
      <c r="L411" s="2">
        <v>20</v>
      </c>
      <c r="M411" s="2">
        <v>5</v>
      </c>
      <c r="N411" s="2">
        <v>8</v>
      </c>
      <c r="O411" s="2">
        <v>15</v>
      </c>
      <c r="P411" s="2">
        <v>12</v>
      </c>
      <c r="Q411" s="2" t="s">
        <v>233</v>
      </c>
      <c r="R411" s="2" t="s">
        <v>2285</v>
      </c>
      <c r="S411" s="4">
        <v>44837</v>
      </c>
    </row>
    <row r="412" spans="1:19" ht="12.5" x14ac:dyDescent="0.25">
      <c r="A412" s="14" t="str">
        <f>HYPERLINK("https://gerandofalcoes.my.salesforce.com/0014P00003SGWQAQA5", "0014P00003SGWQAQA5")</f>
        <v>0014P00003SGWQAQA5</v>
      </c>
      <c r="B412" s="2" t="s">
        <v>2958</v>
      </c>
      <c r="C412" s="2" t="s">
        <v>423</v>
      </c>
      <c r="D412" s="2" t="s">
        <v>2</v>
      </c>
      <c r="E412" s="2">
        <v>4</v>
      </c>
      <c r="F412" s="2">
        <v>0</v>
      </c>
      <c r="G412" s="2">
        <v>1</v>
      </c>
      <c r="H412" s="2">
        <v>16000</v>
      </c>
      <c r="I412" s="2">
        <v>200</v>
      </c>
      <c r="J412" s="2" t="s">
        <v>1779</v>
      </c>
      <c r="K412" s="2">
        <v>31</v>
      </c>
      <c r="L412" s="2">
        <v>10</v>
      </c>
      <c r="M412" s="2">
        <v>0</v>
      </c>
      <c r="N412" s="2">
        <v>4</v>
      </c>
      <c r="O412" s="2">
        <v>5</v>
      </c>
      <c r="P412" s="2">
        <v>12</v>
      </c>
      <c r="Q412" s="2" t="s">
        <v>238</v>
      </c>
      <c r="R412" s="2" t="s">
        <v>1191</v>
      </c>
      <c r="S412" s="4">
        <v>44837</v>
      </c>
    </row>
    <row r="413" spans="1:19" ht="12.5" x14ac:dyDescent="0.25">
      <c r="A413" s="14" t="str">
        <f>HYPERLINK("https://gerandofalcoes.my.salesforce.com/0014P00003SGWQBQA5", "0014P00003SGWQBQA5")</f>
        <v>0014P00003SGWQBQA5</v>
      </c>
      <c r="B413" s="2" t="s">
        <v>242</v>
      </c>
      <c r="C413" s="2" t="s">
        <v>423</v>
      </c>
      <c r="D413" s="2" t="s">
        <v>2</v>
      </c>
      <c r="E413" s="2">
        <v>50</v>
      </c>
      <c r="F413" s="2">
        <v>12</v>
      </c>
      <c r="G413" s="2">
        <v>0</v>
      </c>
      <c r="H413" s="2">
        <v>0</v>
      </c>
      <c r="I413" s="2">
        <v>300</v>
      </c>
      <c r="J413" s="2" t="s">
        <v>1671</v>
      </c>
      <c r="K413" s="2">
        <v>47</v>
      </c>
      <c r="L413" s="2">
        <v>20</v>
      </c>
      <c r="M413" s="2">
        <v>12</v>
      </c>
      <c r="N413" s="2">
        <v>0</v>
      </c>
      <c r="O413" s="2">
        <v>0</v>
      </c>
      <c r="P413" s="2">
        <v>15</v>
      </c>
      <c r="Q413" s="2" t="s">
        <v>243</v>
      </c>
      <c r="R413" s="2" t="s">
        <v>1201</v>
      </c>
      <c r="S413" s="4">
        <v>44837</v>
      </c>
    </row>
    <row r="414" spans="1:19" ht="12.5" x14ac:dyDescent="0.25">
      <c r="A414" s="14" t="str">
        <f>HYPERLINK("https://gerandofalcoes.my.salesforce.com/0014P00003SGWQCQA5", "0014P00003SGWQCQA5")</f>
        <v>0014P00003SGWQCQA5</v>
      </c>
      <c r="B414" s="2" t="s">
        <v>248</v>
      </c>
      <c r="C414" s="2" t="s">
        <v>423</v>
      </c>
      <c r="D414" s="2" t="s">
        <v>2</v>
      </c>
      <c r="E414" s="2">
        <v>47</v>
      </c>
      <c r="F414" s="2">
        <v>5</v>
      </c>
      <c r="G414" s="2">
        <v>3</v>
      </c>
      <c r="H414" s="2">
        <v>500000</v>
      </c>
      <c r="I414" s="2">
        <v>72</v>
      </c>
      <c r="J414" s="2" t="s">
        <v>1671</v>
      </c>
      <c r="K414" s="2">
        <v>53</v>
      </c>
      <c r="L414" s="2">
        <v>15</v>
      </c>
      <c r="M414" s="2">
        <v>5</v>
      </c>
      <c r="N414" s="2">
        <v>8</v>
      </c>
      <c r="O414" s="2">
        <v>20</v>
      </c>
      <c r="P414" s="2">
        <v>5</v>
      </c>
      <c r="Q414" s="2" t="s">
        <v>249</v>
      </c>
      <c r="R414" s="2" t="s">
        <v>2025</v>
      </c>
      <c r="S414" s="4">
        <v>44837</v>
      </c>
    </row>
    <row r="415" spans="1:19" ht="12.5" x14ac:dyDescent="0.25">
      <c r="A415" s="14" t="str">
        <f>HYPERLINK("https://gerandofalcoes.my.salesforce.com/0014P00003SGWQDQA5", "0014P00003SGWQDQA5")</f>
        <v>0014P00003SGWQDQA5</v>
      </c>
      <c r="B415" s="2" t="s">
        <v>1669</v>
      </c>
      <c r="C415" s="2" t="s">
        <v>423</v>
      </c>
      <c r="D415" s="2" t="s">
        <v>27</v>
      </c>
      <c r="E415" s="2">
        <v>91</v>
      </c>
      <c r="F415" s="2">
        <v>10</v>
      </c>
      <c r="G415" s="2">
        <v>3</v>
      </c>
      <c r="H415" s="2">
        <v>707090.8</v>
      </c>
      <c r="I415" s="2">
        <v>390</v>
      </c>
      <c r="J415" s="2" t="s">
        <v>1654</v>
      </c>
      <c r="K415" s="2">
        <v>83</v>
      </c>
      <c r="L415" s="2">
        <v>30</v>
      </c>
      <c r="M415" s="2">
        <v>10</v>
      </c>
      <c r="N415" s="2">
        <v>8</v>
      </c>
      <c r="O415" s="2">
        <v>20</v>
      </c>
      <c r="P415" s="2">
        <v>15</v>
      </c>
      <c r="Q415" s="2" t="s">
        <v>251</v>
      </c>
      <c r="R415" s="2" t="s">
        <v>251</v>
      </c>
      <c r="S415" s="4">
        <v>44837</v>
      </c>
    </row>
    <row r="416" spans="1:19" ht="12.5" x14ac:dyDescent="0.25">
      <c r="A416" s="14" t="str">
        <f>HYPERLINK("https://gerandofalcoes.my.salesforce.com/0014P00003SGWQFQA5", "0014P00003SGWQFQA5")</f>
        <v>0014P00003SGWQFQA5</v>
      </c>
      <c r="B416" s="2" t="s">
        <v>2856</v>
      </c>
      <c r="C416" s="2" t="s">
        <v>423</v>
      </c>
      <c r="D416" s="2" t="s">
        <v>2</v>
      </c>
      <c r="E416" s="2">
        <v>10</v>
      </c>
      <c r="F416" s="2">
        <v>2</v>
      </c>
      <c r="G416" s="2">
        <v>1</v>
      </c>
      <c r="H416" s="2">
        <v>8000</v>
      </c>
      <c r="I416" s="2">
        <v>210</v>
      </c>
      <c r="J416" s="2" t="s">
        <v>1779</v>
      </c>
      <c r="K416" s="2">
        <v>36</v>
      </c>
      <c r="L416" s="2">
        <v>10</v>
      </c>
      <c r="M416" s="2">
        <v>5</v>
      </c>
      <c r="N416" s="2">
        <v>4</v>
      </c>
      <c r="O416" s="2">
        <v>5</v>
      </c>
      <c r="P416" s="2">
        <v>12</v>
      </c>
      <c r="Q416" s="2" t="s">
        <v>256</v>
      </c>
      <c r="R416" s="2" t="s">
        <v>1221</v>
      </c>
      <c r="S416" s="4">
        <v>44837</v>
      </c>
    </row>
    <row r="417" spans="1:19" ht="12.5" x14ac:dyDescent="0.25">
      <c r="A417" s="14" t="str">
        <f>HYPERLINK("https://gerandofalcoes.my.salesforce.com/0014P00003SGWQGQA5", "0014P00003SGWQGQA5")</f>
        <v>0014P00003SGWQGQA5</v>
      </c>
      <c r="B417" s="2" t="s">
        <v>259</v>
      </c>
      <c r="C417" s="2" t="s">
        <v>423</v>
      </c>
      <c r="D417" s="2" t="s">
        <v>2</v>
      </c>
      <c r="E417" s="2">
        <v>11</v>
      </c>
      <c r="F417" s="2">
        <v>7</v>
      </c>
      <c r="G417" s="2">
        <v>1</v>
      </c>
      <c r="H417" s="2">
        <v>32000</v>
      </c>
      <c r="I417" s="2">
        <v>30</v>
      </c>
      <c r="J417" s="2" t="s">
        <v>1779</v>
      </c>
      <c r="K417" s="2">
        <v>39</v>
      </c>
      <c r="L417" s="2">
        <v>10</v>
      </c>
      <c r="M417" s="2">
        <v>10</v>
      </c>
      <c r="N417" s="2">
        <v>4</v>
      </c>
      <c r="O417" s="2">
        <v>10</v>
      </c>
      <c r="P417" s="2">
        <v>5</v>
      </c>
      <c r="Q417" s="2" t="s">
        <v>260</v>
      </c>
      <c r="R417" s="2" t="s">
        <v>1232</v>
      </c>
      <c r="S417" s="4">
        <v>44837</v>
      </c>
    </row>
    <row r="418" spans="1:19" ht="12.5" x14ac:dyDescent="0.25">
      <c r="A418" s="14" t="str">
        <f>HYPERLINK("https://gerandofalcoes.my.salesforce.com/0014P00003SGWQHQA5", "0014P00003SGWQHQA5")</f>
        <v>0014P00003SGWQHQA5</v>
      </c>
      <c r="B418" s="2" t="s">
        <v>265</v>
      </c>
      <c r="C418" s="2" t="s">
        <v>423</v>
      </c>
      <c r="D418" s="2" t="s">
        <v>2</v>
      </c>
      <c r="E418" s="2">
        <v>5</v>
      </c>
      <c r="F418" s="2">
        <v>0</v>
      </c>
      <c r="G418" s="2">
        <v>1</v>
      </c>
      <c r="H418" s="2">
        <v>13000</v>
      </c>
      <c r="I418" s="2">
        <v>100</v>
      </c>
      <c r="J418" s="2" t="s">
        <v>1779</v>
      </c>
      <c r="K418" s="2">
        <v>29</v>
      </c>
      <c r="L418" s="2">
        <v>10</v>
      </c>
      <c r="M418" s="2">
        <v>0</v>
      </c>
      <c r="N418" s="2">
        <v>4</v>
      </c>
      <c r="O418" s="2">
        <v>5</v>
      </c>
      <c r="P418" s="2">
        <v>10</v>
      </c>
      <c r="Q418" s="2" t="s">
        <v>266</v>
      </c>
      <c r="R418" s="2" t="s">
        <v>266</v>
      </c>
      <c r="S418" s="4">
        <v>44837</v>
      </c>
    </row>
    <row r="419" spans="1:19" ht="12.5" hidden="1" x14ac:dyDescent="0.25">
      <c r="A419" s="14" t="str">
        <f>HYPERLINK("https://gerandofalcoes.my.salesforce.com/0014P00003SGWQIQA5", "0014P00003SGWQIQA5")</f>
        <v>0014P00003SGWQIQA5</v>
      </c>
      <c r="B419" s="2" t="s">
        <v>2992</v>
      </c>
      <c r="C419" s="2" t="s">
        <v>1684</v>
      </c>
      <c r="D419" s="2" t="s">
        <v>2</v>
      </c>
      <c r="E419" s="2"/>
      <c r="F419" s="2">
        <v>0</v>
      </c>
      <c r="G419" s="2">
        <v>2</v>
      </c>
      <c r="H419" s="2">
        <v>20000</v>
      </c>
      <c r="I419" s="2">
        <v>0</v>
      </c>
      <c r="J419" s="2" t="s">
        <v>1779</v>
      </c>
      <c r="K419" s="2">
        <v>11</v>
      </c>
      <c r="L419" s="2">
        <v>0</v>
      </c>
      <c r="M419" s="2">
        <v>0</v>
      </c>
      <c r="N419" s="2">
        <v>6</v>
      </c>
      <c r="O419" s="2">
        <v>5</v>
      </c>
      <c r="P419" s="2">
        <v>0</v>
      </c>
      <c r="Q419" s="2" t="s">
        <v>2993</v>
      </c>
      <c r="R419" s="2" t="s">
        <v>2994</v>
      </c>
      <c r="S419" s="4">
        <v>44837</v>
      </c>
    </row>
    <row r="420" spans="1:19" ht="12.5" x14ac:dyDescent="0.25">
      <c r="A420" s="14" t="str">
        <f>HYPERLINK("https://gerandofalcoes.my.salesforce.com/0014P00003SGWQJQA5", "0014P00003SGWQJQA5")</f>
        <v>0014P00003SGWQJQA5</v>
      </c>
      <c r="B420" s="2" t="s">
        <v>2480</v>
      </c>
      <c r="C420" s="2" t="s">
        <v>423</v>
      </c>
      <c r="D420" s="2" t="s">
        <v>2</v>
      </c>
      <c r="E420" s="2">
        <v>22</v>
      </c>
      <c r="F420" s="2">
        <v>2</v>
      </c>
      <c r="G420" s="2">
        <v>2</v>
      </c>
      <c r="H420" s="2">
        <v>11000</v>
      </c>
      <c r="I420" s="2">
        <v>103</v>
      </c>
      <c r="J420" s="2" t="s">
        <v>1779</v>
      </c>
      <c r="K420" s="2">
        <v>36</v>
      </c>
      <c r="L420" s="2">
        <v>10</v>
      </c>
      <c r="M420" s="2">
        <v>5</v>
      </c>
      <c r="N420" s="2">
        <v>6</v>
      </c>
      <c r="O420" s="2">
        <v>5</v>
      </c>
      <c r="P420" s="2">
        <v>10</v>
      </c>
      <c r="Q420" s="2" t="s">
        <v>269</v>
      </c>
      <c r="R420" s="2" t="s">
        <v>1248</v>
      </c>
      <c r="S420" s="4">
        <v>44837</v>
      </c>
    </row>
    <row r="421" spans="1:19" ht="12.5" x14ac:dyDescent="0.25">
      <c r="A421" s="14" t="str">
        <f>HYPERLINK("https://gerandofalcoes.my.salesforce.com/0014P00003YSm8CQAT", "0014P00003YSm8CQAT")</f>
        <v>0014P00003YSm8CQAT</v>
      </c>
      <c r="B421" s="2" t="s">
        <v>272</v>
      </c>
      <c r="C421" s="2" t="s">
        <v>423</v>
      </c>
      <c r="D421" s="2" t="s">
        <v>2</v>
      </c>
      <c r="E421" s="2">
        <v>33</v>
      </c>
      <c r="F421" s="2">
        <v>8</v>
      </c>
      <c r="G421" s="2">
        <v>0</v>
      </c>
      <c r="H421" s="2">
        <v>0</v>
      </c>
      <c r="I421" s="2">
        <v>98</v>
      </c>
      <c r="J421" s="2" t="s">
        <v>1779</v>
      </c>
      <c r="K421" s="2">
        <v>35</v>
      </c>
      <c r="L421" s="2">
        <v>15</v>
      </c>
      <c r="M421" s="2">
        <v>10</v>
      </c>
      <c r="N421" s="2">
        <v>0</v>
      </c>
      <c r="O421" s="2">
        <v>0</v>
      </c>
      <c r="P421" s="2">
        <v>10</v>
      </c>
      <c r="Q421" s="2" t="s">
        <v>273</v>
      </c>
      <c r="R421" s="2" t="s">
        <v>1518</v>
      </c>
      <c r="S421" s="4">
        <v>44837</v>
      </c>
    </row>
    <row r="422" spans="1:19" ht="12.5" x14ac:dyDescent="0.25">
      <c r="A422" s="14" t="str">
        <f>HYPERLINK("https://gerandofalcoes.my.salesforce.com/0014P00003SGWPbQAP", "0014P00003SGWPbQAP")</f>
        <v>0014P00003SGWPbQAP</v>
      </c>
      <c r="B422" s="2" t="s">
        <v>276</v>
      </c>
      <c r="C422" s="2" t="s">
        <v>423</v>
      </c>
      <c r="D422" s="2" t="s">
        <v>2</v>
      </c>
      <c r="E422" s="2">
        <v>25</v>
      </c>
      <c r="F422" s="2">
        <v>21</v>
      </c>
      <c r="G422" s="2">
        <v>8</v>
      </c>
      <c r="H422" s="2">
        <v>1406000</v>
      </c>
      <c r="I422" s="2">
        <v>121</v>
      </c>
      <c r="J422" s="2" t="s">
        <v>1650</v>
      </c>
      <c r="K422" s="2">
        <v>72</v>
      </c>
      <c r="L422" s="2">
        <v>15</v>
      </c>
      <c r="M422" s="2">
        <v>12</v>
      </c>
      <c r="N422" s="2">
        <v>10</v>
      </c>
      <c r="O422" s="2">
        <v>25</v>
      </c>
      <c r="P422" s="2">
        <v>10</v>
      </c>
      <c r="Q422" s="2" t="s">
        <v>277</v>
      </c>
      <c r="R422" s="2" t="s">
        <v>1257</v>
      </c>
      <c r="S422" s="4">
        <v>44837</v>
      </c>
    </row>
    <row r="423" spans="1:19" ht="12.5" x14ac:dyDescent="0.25">
      <c r="A423" s="14" t="str">
        <f>HYPERLINK("https://gerandofalcoes.my.salesforce.com/0014P00003SGWPcQAP", "0014P00003SGWPcQAP")</f>
        <v>0014P00003SGWPcQAP</v>
      </c>
      <c r="B423" s="2" t="s">
        <v>2896</v>
      </c>
      <c r="C423" s="2" t="s">
        <v>423</v>
      </c>
      <c r="D423" s="2" t="s">
        <v>2</v>
      </c>
      <c r="E423" s="2">
        <v>25</v>
      </c>
      <c r="F423" s="2">
        <v>0</v>
      </c>
      <c r="G423" s="2">
        <v>0</v>
      </c>
      <c r="H423" s="2">
        <v>0</v>
      </c>
      <c r="I423" s="2">
        <v>-25</v>
      </c>
      <c r="J423" s="2" t="s">
        <v>1779</v>
      </c>
      <c r="K423" s="2">
        <v>15</v>
      </c>
      <c r="L423" s="2">
        <v>15</v>
      </c>
      <c r="M423" s="2">
        <v>0</v>
      </c>
      <c r="N423" s="2">
        <v>0</v>
      </c>
      <c r="O423" s="2">
        <v>0</v>
      </c>
      <c r="P423" s="2">
        <v>0</v>
      </c>
      <c r="Q423" s="2" t="s">
        <v>282</v>
      </c>
      <c r="R423" s="2" t="s">
        <v>2897</v>
      </c>
      <c r="S423" s="4">
        <v>44837</v>
      </c>
    </row>
    <row r="424" spans="1:19" ht="12.5" x14ac:dyDescent="0.25">
      <c r="A424" s="14" t="str">
        <f>HYPERLINK("https://gerandofalcoes.my.salesforce.com/0014P00003SGWPdQAP", "0014P00003SGWPdQAP")</f>
        <v>0014P00003SGWPdQAP</v>
      </c>
      <c r="B424" s="2" t="s">
        <v>2397</v>
      </c>
      <c r="C424" s="2" t="s">
        <v>423</v>
      </c>
      <c r="D424" s="2" t="s">
        <v>2</v>
      </c>
      <c r="E424" s="2">
        <v>25</v>
      </c>
      <c r="F424" s="2">
        <v>1</v>
      </c>
      <c r="G424" s="2">
        <v>5</v>
      </c>
      <c r="H424" s="2">
        <v>22850</v>
      </c>
      <c r="I424" s="2">
        <v>1500</v>
      </c>
      <c r="J424" s="2" t="s">
        <v>1671</v>
      </c>
      <c r="K424" s="2">
        <v>55</v>
      </c>
      <c r="L424" s="2">
        <v>15</v>
      </c>
      <c r="M424" s="2">
        <v>5</v>
      </c>
      <c r="N424" s="2">
        <v>10</v>
      </c>
      <c r="O424" s="2">
        <v>5</v>
      </c>
      <c r="P424" s="2">
        <v>20</v>
      </c>
      <c r="Q424" s="2" t="s">
        <v>283</v>
      </c>
      <c r="R424" s="2" t="s">
        <v>2398</v>
      </c>
      <c r="S424" s="4">
        <v>44837</v>
      </c>
    </row>
    <row r="425" spans="1:19" ht="12.5" x14ac:dyDescent="0.25">
      <c r="A425" s="14" t="str">
        <f>HYPERLINK("https://gerandofalcoes.my.salesforce.com/0014P00003SGWPeQAP", "0014P00003SGWPeQAP")</f>
        <v>0014P00003SGWPeQAP</v>
      </c>
      <c r="B425" s="2" t="s">
        <v>2720</v>
      </c>
      <c r="C425" s="2" t="s">
        <v>423</v>
      </c>
      <c r="D425" s="2" t="s">
        <v>2</v>
      </c>
      <c r="E425" s="2">
        <v>15</v>
      </c>
      <c r="F425" s="2">
        <v>0</v>
      </c>
      <c r="G425" s="2">
        <v>1</v>
      </c>
      <c r="H425" s="2">
        <v>12000</v>
      </c>
      <c r="I425" s="2">
        <v>70</v>
      </c>
      <c r="J425" s="2" t="s">
        <v>1779</v>
      </c>
      <c r="K425" s="2">
        <v>24</v>
      </c>
      <c r="L425" s="2">
        <v>10</v>
      </c>
      <c r="M425" s="2">
        <v>0</v>
      </c>
      <c r="N425" s="2">
        <v>4</v>
      </c>
      <c r="O425" s="2">
        <v>5</v>
      </c>
      <c r="P425" s="2">
        <v>5</v>
      </c>
      <c r="Q425" s="2" t="s">
        <v>291</v>
      </c>
      <c r="R425" s="2" t="s">
        <v>1288</v>
      </c>
      <c r="S425" s="4">
        <v>44837</v>
      </c>
    </row>
    <row r="426" spans="1:19" ht="12.5" hidden="1" x14ac:dyDescent="0.25">
      <c r="A426" s="14" t="str">
        <f>HYPERLINK("https://gerandofalcoes.my.salesforce.com/0014P00003SGWPfQAP", "0014P00003SGWPfQAP")</f>
        <v>0014P00003SGWPfQAP</v>
      </c>
      <c r="B426" s="2" t="s">
        <v>294</v>
      </c>
      <c r="C426" s="2" t="s">
        <v>1800</v>
      </c>
      <c r="D426" s="2" t="s">
        <v>2</v>
      </c>
      <c r="E426" s="2">
        <v>46</v>
      </c>
      <c r="F426" s="2">
        <v>0</v>
      </c>
      <c r="G426" s="2">
        <v>3</v>
      </c>
      <c r="H426" s="2">
        <v>6605</v>
      </c>
      <c r="I426" s="2">
        <v>100</v>
      </c>
      <c r="J426" s="2" t="s">
        <v>1779</v>
      </c>
      <c r="K426" s="2">
        <v>38</v>
      </c>
      <c r="L426" s="2">
        <v>15</v>
      </c>
      <c r="M426" s="2">
        <v>0</v>
      </c>
      <c r="N426" s="2">
        <v>8</v>
      </c>
      <c r="O426" s="2">
        <v>5</v>
      </c>
      <c r="P426" s="2">
        <v>10</v>
      </c>
      <c r="Q426" s="2" t="s">
        <v>295</v>
      </c>
      <c r="R426" s="2" t="s">
        <v>1298</v>
      </c>
      <c r="S426" s="4">
        <v>44837</v>
      </c>
    </row>
    <row r="427" spans="1:19" ht="12.5" hidden="1" x14ac:dyDescent="0.25">
      <c r="A427" s="14" t="str">
        <f>HYPERLINK("https://gerandofalcoes.my.salesforce.com/0014P00003SGWPgQAP", "0014P00003SGWPgQAP")</f>
        <v>0014P00003SGWPgQAP</v>
      </c>
      <c r="B427" s="2" t="s">
        <v>298</v>
      </c>
      <c r="C427" s="2" t="s">
        <v>1684</v>
      </c>
      <c r="D427" s="2" t="s">
        <v>2</v>
      </c>
      <c r="E427" s="2">
        <v>20</v>
      </c>
      <c r="F427" s="2">
        <v>4</v>
      </c>
      <c r="G427" s="2">
        <v>0</v>
      </c>
      <c r="H427" s="2">
        <v>11000</v>
      </c>
      <c r="I427" s="2">
        <v>20</v>
      </c>
      <c r="J427" s="2" t="s">
        <v>1779</v>
      </c>
      <c r="K427" s="2">
        <v>25</v>
      </c>
      <c r="L427" s="2">
        <v>10</v>
      </c>
      <c r="M427" s="2">
        <v>5</v>
      </c>
      <c r="N427" s="2">
        <v>0</v>
      </c>
      <c r="O427" s="2">
        <v>5</v>
      </c>
      <c r="P427" s="2">
        <v>5</v>
      </c>
      <c r="Q427" s="2" t="s">
        <v>299</v>
      </c>
      <c r="R427" s="2" t="s">
        <v>1310</v>
      </c>
      <c r="S427" s="4">
        <v>44837</v>
      </c>
    </row>
    <row r="428" spans="1:19" ht="12.5" x14ac:dyDescent="0.25">
      <c r="A428" s="14" t="str">
        <f>HYPERLINK("https://gerandofalcoes.my.salesforce.com/0014P00003SGWPhQAP", "0014P00003SGWPhQAP")</f>
        <v>0014P00003SGWPhQAP</v>
      </c>
      <c r="B428" s="2" t="s">
        <v>1693</v>
      </c>
      <c r="C428" s="2" t="s">
        <v>423</v>
      </c>
      <c r="D428" s="2" t="s">
        <v>27</v>
      </c>
      <c r="E428" s="2">
        <v>82.68</v>
      </c>
      <c r="F428" s="2">
        <v>14</v>
      </c>
      <c r="G428" s="2">
        <v>3</v>
      </c>
      <c r="H428" s="2">
        <v>173994</v>
      </c>
      <c r="I428" s="2">
        <v>310</v>
      </c>
      <c r="J428" s="2" t="s">
        <v>1650</v>
      </c>
      <c r="K428" s="2">
        <v>75</v>
      </c>
      <c r="L428" s="2">
        <v>25</v>
      </c>
      <c r="M428" s="2">
        <v>12</v>
      </c>
      <c r="N428" s="2">
        <v>8</v>
      </c>
      <c r="O428" s="2">
        <v>15</v>
      </c>
      <c r="P428" s="2">
        <v>15</v>
      </c>
      <c r="Q428" s="2" t="s">
        <v>286</v>
      </c>
      <c r="R428" s="2" t="s">
        <v>1321</v>
      </c>
      <c r="S428" s="4">
        <v>44837</v>
      </c>
    </row>
    <row r="429" spans="1:19" ht="12.5" x14ac:dyDescent="0.25">
      <c r="A429" s="14" t="str">
        <f>HYPERLINK("https://gerandofalcoes.my.salesforce.com/0014P00003SGWPlQAP", "0014P00003SGWPlQAP")</f>
        <v>0014P00003SGWPlQAP</v>
      </c>
      <c r="B429" s="2" t="s">
        <v>311</v>
      </c>
      <c r="C429" s="2" t="s">
        <v>423</v>
      </c>
      <c r="D429" s="2" t="s">
        <v>2</v>
      </c>
      <c r="E429" s="2">
        <v>30</v>
      </c>
      <c r="F429" s="2">
        <v>0</v>
      </c>
      <c r="G429" s="2">
        <v>2</v>
      </c>
      <c r="H429" s="2">
        <v>30000</v>
      </c>
      <c r="I429" s="2">
        <v>120</v>
      </c>
      <c r="J429" s="2" t="s">
        <v>1671</v>
      </c>
      <c r="K429" s="2">
        <v>41</v>
      </c>
      <c r="L429" s="2">
        <v>15</v>
      </c>
      <c r="M429" s="2">
        <v>0</v>
      </c>
      <c r="N429" s="2">
        <v>6</v>
      </c>
      <c r="O429" s="2">
        <v>10</v>
      </c>
      <c r="P429" s="2">
        <v>10</v>
      </c>
      <c r="Q429" s="2" t="s">
        <v>312</v>
      </c>
      <c r="R429" s="2" t="s">
        <v>312</v>
      </c>
      <c r="S429" s="4">
        <v>44837</v>
      </c>
    </row>
    <row r="430" spans="1:19" ht="12.5" x14ac:dyDescent="0.25">
      <c r="A430" s="14" t="str">
        <f>HYPERLINK("https://gerandofalcoes.my.salesforce.com/0014P00003SGWPmQAP", "0014P00003SGWPmQAP")</f>
        <v>0014P00003SGWPmQAP</v>
      </c>
      <c r="B430" s="2" t="s">
        <v>315</v>
      </c>
      <c r="C430" s="2" t="s">
        <v>423</v>
      </c>
      <c r="D430" s="2" t="s">
        <v>2</v>
      </c>
      <c r="E430" s="2">
        <v>49</v>
      </c>
      <c r="F430" s="2">
        <v>2</v>
      </c>
      <c r="G430" s="2">
        <v>4</v>
      </c>
      <c r="H430" s="2">
        <v>75550</v>
      </c>
      <c r="I430" s="2">
        <v>239</v>
      </c>
      <c r="J430" s="2" t="s">
        <v>1779</v>
      </c>
      <c r="K430" s="2">
        <v>37</v>
      </c>
      <c r="L430" s="2">
        <v>0</v>
      </c>
      <c r="M430" s="2">
        <v>5</v>
      </c>
      <c r="N430" s="2">
        <v>10</v>
      </c>
      <c r="O430" s="2">
        <v>10</v>
      </c>
      <c r="P430" s="2">
        <v>12</v>
      </c>
      <c r="Q430" s="2" t="s">
        <v>316</v>
      </c>
      <c r="R430" s="2" t="s">
        <v>1370</v>
      </c>
      <c r="S430" s="4">
        <v>44837</v>
      </c>
    </row>
    <row r="431" spans="1:19" ht="12.5" x14ac:dyDescent="0.25">
      <c r="A431" s="14" t="str">
        <f>HYPERLINK("https://gerandofalcoes.my.salesforce.com/0014P00003SGWPnQAP", "0014P00003SGWPnQAP")</f>
        <v>0014P00003SGWPnQAP</v>
      </c>
      <c r="B431" s="2" t="s">
        <v>1745</v>
      </c>
      <c r="C431" s="2" t="s">
        <v>423</v>
      </c>
      <c r="D431" s="2" t="s">
        <v>2</v>
      </c>
      <c r="E431" s="2">
        <v>64</v>
      </c>
      <c r="F431" s="2">
        <v>20</v>
      </c>
      <c r="G431" s="2">
        <v>1</v>
      </c>
      <c r="H431" s="2">
        <v>1266000</v>
      </c>
      <c r="I431" s="2">
        <v>250</v>
      </c>
      <c r="J431" s="2" t="s">
        <v>1650</v>
      </c>
      <c r="K431" s="2">
        <v>73</v>
      </c>
      <c r="L431" s="2">
        <v>20</v>
      </c>
      <c r="M431" s="2">
        <v>12</v>
      </c>
      <c r="N431" s="2">
        <v>4</v>
      </c>
      <c r="O431" s="2">
        <v>25</v>
      </c>
      <c r="P431" s="2">
        <v>12</v>
      </c>
      <c r="Q431" s="2" t="s">
        <v>319</v>
      </c>
      <c r="R431" s="2" t="s">
        <v>1379</v>
      </c>
      <c r="S431" s="4">
        <v>44837</v>
      </c>
    </row>
    <row r="432" spans="1:19" ht="12.5" x14ac:dyDescent="0.25">
      <c r="A432" s="14" t="str">
        <f>HYPERLINK("https://gerandofalcoes.my.salesforce.com/0014P00003SGWPoQAP", "0014P00003SGWPoQAP")</f>
        <v>0014P00003SGWPoQAP</v>
      </c>
      <c r="B432" s="2" t="s">
        <v>1705</v>
      </c>
      <c r="C432" s="2" t="s">
        <v>423</v>
      </c>
      <c r="D432" s="2" t="s">
        <v>27</v>
      </c>
      <c r="E432" s="2">
        <v>78.08</v>
      </c>
      <c r="F432" s="2">
        <v>0</v>
      </c>
      <c r="G432" s="2">
        <v>2</v>
      </c>
      <c r="H432" s="2">
        <v>1000</v>
      </c>
      <c r="I432" s="2">
        <v>120</v>
      </c>
      <c r="J432" s="2" t="s">
        <v>1671</v>
      </c>
      <c r="K432" s="2">
        <v>46</v>
      </c>
      <c r="L432" s="2">
        <v>25</v>
      </c>
      <c r="M432" s="2">
        <v>0</v>
      </c>
      <c r="N432" s="2">
        <v>6</v>
      </c>
      <c r="O432" s="2">
        <v>5</v>
      </c>
      <c r="P432" s="2">
        <v>10</v>
      </c>
      <c r="Q432" s="2" t="s">
        <v>321</v>
      </c>
      <c r="R432" s="2" t="s">
        <v>1706</v>
      </c>
      <c r="S432" s="4">
        <v>44837</v>
      </c>
    </row>
    <row r="433" spans="1:19" ht="12.5" x14ac:dyDescent="0.25">
      <c r="A433" s="14" t="str">
        <f>HYPERLINK("https://gerandofalcoes.my.salesforce.com/0014P00003SGWPpQAP", "0014P00003SGWPpQAP")</f>
        <v>0014P00003SGWPpQAP</v>
      </c>
      <c r="B433" s="2" t="s">
        <v>1694</v>
      </c>
      <c r="C433" s="2" t="s">
        <v>423</v>
      </c>
      <c r="D433" s="2" t="s">
        <v>27</v>
      </c>
      <c r="E433" s="2">
        <v>74.349999999999994</v>
      </c>
      <c r="F433" s="2">
        <v>1</v>
      </c>
      <c r="G433" s="2">
        <v>5</v>
      </c>
      <c r="H433" s="2">
        <v>36000</v>
      </c>
      <c r="I433" s="2">
        <v>80</v>
      </c>
      <c r="J433" s="2" t="s">
        <v>1671</v>
      </c>
      <c r="K433" s="2">
        <v>55</v>
      </c>
      <c r="L433" s="2">
        <v>20</v>
      </c>
      <c r="M433" s="2">
        <v>5</v>
      </c>
      <c r="N433" s="2">
        <v>10</v>
      </c>
      <c r="O433" s="2">
        <v>10</v>
      </c>
      <c r="P433" s="2">
        <v>10</v>
      </c>
      <c r="Q433" s="2" t="s">
        <v>323</v>
      </c>
      <c r="R433" s="2" t="s">
        <v>1402</v>
      </c>
      <c r="S433" s="4">
        <v>44837</v>
      </c>
    </row>
    <row r="434" spans="1:19" ht="12.5" x14ac:dyDescent="0.25">
      <c r="A434" s="14" t="str">
        <f>HYPERLINK("https://gerandofalcoes.my.salesforce.com/0014X00002VKCuvQAH", "0014X00002VKCuvQAH")</f>
        <v>0014X00002VKCuvQAH</v>
      </c>
      <c r="B434" s="2" t="s">
        <v>1924</v>
      </c>
      <c r="C434" s="2" t="s">
        <v>423</v>
      </c>
      <c r="D434" s="2" t="s">
        <v>2</v>
      </c>
      <c r="E434" s="2">
        <v>42</v>
      </c>
      <c r="F434" s="2">
        <v>44</v>
      </c>
      <c r="G434" s="2">
        <v>6</v>
      </c>
      <c r="H434" s="2">
        <v>900000</v>
      </c>
      <c r="I434" s="2">
        <v>380</v>
      </c>
      <c r="J434" s="2" t="s">
        <v>1654</v>
      </c>
      <c r="K434" s="2">
        <v>80</v>
      </c>
      <c r="L434" s="2">
        <v>15</v>
      </c>
      <c r="M434" s="2">
        <v>15</v>
      </c>
      <c r="N434" s="2">
        <v>10</v>
      </c>
      <c r="O434" s="2">
        <v>25</v>
      </c>
      <c r="P434" s="2">
        <v>15</v>
      </c>
      <c r="Q434" s="2" t="s">
        <v>1925</v>
      </c>
      <c r="R434" s="2" t="s">
        <v>1926</v>
      </c>
      <c r="S434" s="4">
        <v>44837</v>
      </c>
    </row>
    <row r="435" spans="1:19" ht="12.5" x14ac:dyDescent="0.25">
      <c r="A435" s="14" t="str">
        <f>HYPERLINK("https://gerandofalcoes.my.salesforce.com/0014X00002VKCpIQAX", "0014X00002VKCpIQAX")</f>
        <v>0014X00002VKCpIQAX</v>
      </c>
      <c r="B435" s="2" t="s">
        <v>2523</v>
      </c>
      <c r="C435" s="2" t="s">
        <v>423</v>
      </c>
      <c r="D435" s="2" t="s">
        <v>2</v>
      </c>
      <c r="E435" s="2">
        <v>21</v>
      </c>
      <c r="F435" s="2">
        <v>0</v>
      </c>
      <c r="G435" s="2">
        <v>4</v>
      </c>
      <c r="H435" s="2">
        <v>300</v>
      </c>
      <c r="I435" s="2">
        <v>50</v>
      </c>
      <c r="J435" s="2" t="s">
        <v>1779</v>
      </c>
      <c r="K435" s="2">
        <v>30</v>
      </c>
      <c r="L435" s="2">
        <v>10</v>
      </c>
      <c r="M435" s="2">
        <v>0</v>
      </c>
      <c r="N435" s="2">
        <v>10</v>
      </c>
      <c r="O435" s="2">
        <v>5</v>
      </c>
      <c r="P435" s="2">
        <v>5</v>
      </c>
      <c r="Q435" s="2" t="s">
        <v>2524</v>
      </c>
      <c r="R435" s="2" t="s">
        <v>2525</v>
      </c>
      <c r="S435" s="4">
        <v>44837</v>
      </c>
    </row>
    <row r="436" spans="1:19" ht="12.5" x14ac:dyDescent="0.25">
      <c r="A436" s="14" t="str">
        <f>HYPERLINK("https://gerandofalcoes.my.salesforce.com/0014X00002VKCqHQAX", "0014X00002VKCqHQAX")</f>
        <v>0014X00002VKCqHQAX</v>
      </c>
      <c r="B436" s="2" t="s">
        <v>1829</v>
      </c>
      <c r="C436" s="2" t="s">
        <v>423</v>
      </c>
      <c r="D436" s="2" t="s">
        <v>2</v>
      </c>
      <c r="E436" s="2">
        <v>50</v>
      </c>
      <c r="F436" s="2">
        <v>0</v>
      </c>
      <c r="G436" s="2">
        <v>5</v>
      </c>
      <c r="H436" s="2">
        <v>521000</v>
      </c>
      <c r="I436" s="2">
        <v>155</v>
      </c>
      <c r="J436" s="2" t="s">
        <v>1671</v>
      </c>
      <c r="K436" s="2">
        <v>62</v>
      </c>
      <c r="L436" s="2">
        <v>20</v>
      </c>
      <c r="M436" s="2">
        <v>0</v>
      </c>
      <c r="N436" s="2">
        <v>10</v>
      </c>
      <c r="O436" s="2">
        <v>20</v>
      </c>
      <c r="P436" s="2">
        <v>12</v>
      </c>
      <c r="Q436" s="2" t="s">
        <v>1830</v>
      </c>
      <c r="R436" s="2" t="s">
        <v>1831</v>
      </c>
      <c r="S436" s="4">
        <v>44837</v>
      </c>
    </row>
    <row r="437" spans="1:19" ht="12.5" x14ac:dyDescent="0.25">
      <c r="A437" s="14" t="str">
        <f>HYPERLINK("https://gerandofalcoes.my.salesforce.com/0014X00002VKCqZQAX", "0014X00002VKCqZQAX")</f>
        <v>0014X00002VKCqZQAX</v>
      </c>
      <c r="B437" s="2" t="s">
        <v>2315</v>
      </c>
      <c r="C437" s="2" t="s">
        <v>423</v>
      </c>
      <c r="D437" s="2" t="s">
        <v>2</v>
      </c>
      <c r="E437" s="2">
        <v>38</v>
      </c>
      <c r="F437" s="2">
        <v>0</v>
      </c>
      <c r="G437" s="2">
        <v>25</v>
      </c>
      <c r="H437" s="2">
        <v>31680</v>
      </c>
      <c r="I437" s="2">
        <v>30</v>
      </c>
      <c r="J437" s="2" t="s">
        <v>1671</v>
      </c>
      <c r="K437" s="2">
        <v>40</v>
      </c>
      <c r="L437" s="2">
        <v>15</v>
      </c>
      <c r="M437" s="2">
        <v>0</v>
      </c>
      <c r="N437" s="2">
        <v>10</v>
      </c>
      <c r="O437" s="2">
        <v>10</v>
      </c>
      <c r="P437" s="2">
        <v>5</v>
      </c>
      <c r="Q437" s="2" t="s">
        <v>2316</v>
      </c>
      <c r="R437" s="2" t="s">
        <v>2316</v>
      </c>
      <c r="S437" s="4">
        <v>44837</v>
      </c>
    </row>
    <row r="438" spans="1:19" ht="12.5" x14ac:dyDescent="0.25">
      <c r="A438" s="14" t="str">
        <f>HYPERLINK("https://gerandofalcoes.my.salesforce.com/0014X00002VKCuBQAX", "0014X00002VKCuBQAX")</f>
        <v>0014X00002VKCuBQAX</v>
      </c>
      <c r="B438" s="2" t="s">
        <v>2038</v>
      </c>
      <c r="C438" s="2" t="s">
        <v>423</v>
      </c>
      <c r="D438" s="2" t="s">
        <v>2</v>
      </c>
      <c r="E438" s="2">
        <v>37</v>
      </c>
      <c r="F438" s="2">
        <v>0</v>
      </c>
      <c r="G438" s="2">
        <v>2</v>
      </c>
      <c r="H438" s="2">
        <v>10000</v>
      </c>
      <c r="I438" s="2">
        <v>102</v>
      </c>
      <c r="J438" s="2" t="s">
        <v>1779</v>
      </c>
      <c r="K438" s="2">
        <v>36</v>
      </c>
      <c r="L438" s="2">
        <v>15</v>
      </c>
      <c r="M438" s="2">
        <v>0</v>
      </c>
      <c r="N438" s="2">
        <v>6</v>
      </c>
      <c r="O438" s="2">
        <v>5</v>
      </c>
      <c r="P438" s="2">
        <v>10</v>
      </c>
      <c r="Q438" s="2" t="s">
        <v>2039</v>
      </c>
      <c r="R438" s="2" t="s">
        <v>2039</v>
      </c>
      <c r="S438" s="4">
        <v>44837</v>
      </c>
    </row>
    <row r="439" spans="1:19" ht="12.5" x14ac:dyDescent="0.25">
      <c r="A439" s="14" t="str">
        <f>HYPERLINK("https://gerandofalcoes.my.salesforce.com/0014X00002VKCuKQAX", "0014X00002VKCuKQAX")</f>
        <v>0014X00002VKCuKQAX</v>
      </c>
      <c r="B439" s="2" t="s">
        <v>1879</v>
      </c>
      <c r="C439" s="2" t="s">
        <v>423</v>
      </c>
      <c r="D439" s="2" t="s">
        <v>2</v>
      </c>
      <c r="E439" s="2">
        <v>40</v>
      </c>
      <c r="F439" s="2">
        <v>2</v>
      </c>
      <c r="G439" s="2">
        <v>1</v>
      </c>
      <c r="H439" s="2">
        <v>50000</v>
      </c>
      <c r="I439" s="2">
        <v>20</v>
      </c>
      <c r="J439" s="2" t="s">
        <v>1779</v>
      </c>
      <c r="K439" s="2">
        <v>39</v>
      </c>
      <c r="L439" s="2">
        <v>15</v>
      </c>
      <c r="M439" s="2">
        <v>5</v>
      </c>
      <c r="N439" s="2">
        <v>4</v>
      </c>
      <c r="O439" s="2">
        <v>10</v>
      </c>
      <c r="P439" s="2">
        <v>5</v>
      </c>
      <c r="Q439" s="2" t="s">
        <v>1880</v>
      </c>
      <c r="R439" s="2" t="s">
        <v>1880</v>
      </c>
      <c r="S439" s="4">
        <v>44837</v>
      </c>
    </row>
    <row r="440" spans="1:19" ht="12.5" x14ac:dyDescent="0.25">
      <c r="A440" s="14" t="str">
        <f>HYPERLINK("https://gerandofalcoes.my.salesforce.com/0014X00002VKCptQAH", "0014X00002VKCptQAH")</f>
        <v>0014X00002VKCptQAH</v>
      </c>
      <c r="B440" s="2" t="s">
        <v>2230</v>
      </c>
      <c r="C440" s="2" t="s">
        <v>423</v>
      </c>
      <c r="D440" s="2" t="s">
        <v>2</v>
      </c>
      <c r="E440" s="2">
        <v>40</v>
      </c>
      <c r="F440" s="2">
        <v>8</v>
      </c>
      <c r="G440" s="2">
        <v>0</v>
      </c>
      <c r="H440" s="2">
        <v>0</v>
      </c>
      <c r="I440" s="2">
        <v>44</v>
      </c>
      <c r="J440" s="2" t="s">
        <v>1779</v>
      </c>
      <c r="K440" s="2">
        <v>30</v>
      </c>
      <c r="L440" s="2">
        <v>15</v>
      </c>
      <c r="M440" s="2">
        <v>10</v>
      </c>
      <c r="N440" s="2">
        <v>0</v>
      </c>
      <c r="O440" s="2">
        <v>0</v>
      </c>
      <c r="P440" s="2">
        <v>5</v>
      </c>
      <c r="Q440" s="2" t="s">
        <v>2231</v>
      </c>
      <c r="R440" s="2" t="s">
        <v>2232</v>
      </c>
      <c r="S440" s="4">
        <v>44837</v>
      </c>
    </row>
    <row r="441" spans="1:19" ht="12.5" x14ac:dyDescent="0.25">
      <c r="A441" s="14" t="str">
        <f>HYPERLINK("https://gerandofalcoes.my.salesforce.com/0014X00002VKCowQAH", "0014X00002VKCowQAH")</f>
        <v>0014X00002VKCowQAH</v>
      </c>
      <c r="B441" s="2" t="s">
        <v>2549</v>
      </c>
      <c r="C441" s="2" t="s">
        <v>423</v>
      </c>
      <c r="D441" s="2" t="s">
        <v>2</v>
      </c>
      <c r="E441" s="2">
        <v>27</v>
      </c>
      <c r="F441" s="2">
        <v>0</v>
      </c>
      <c r="G441" s="2">
        <v>0</v>
      </c>
      <c r="H441" s="2">
        <v>0</v>
      </c>
      <c r="I441" s="2">
        <v>100</v>
      </c>
      <c r="J441" s="2" t="s">
        <v>1779</v>
      </c>
      <c r="K441" s="2">
        <v>25</v>
      </c>
      <c r="L441" s="2">
        <v>15</v>
      </c>
      <c r="M441" s="2">
        <v>0</v>
      </c>
      <c r="N441" s="2">
        <v>0</v>
      </c>
      <c r="O441" s="2">
        <v>0</v>
      </c>
      <c r="P441" s="2">
        <v>10</v>
      </c>
      <c r="Q441" s="2" t="s">
        <v>2550</v>
      </c>
      <c r="R441" s="2" t="s">
        <v>2550</v>
      </c>
      <c r="S441" s="4">
        <v>44837</v>
      </c>
    </row>
    <row r="442" spans="1:19" ht="12.5" x14ac:dyDescent="0.25">
      <c r="A442" s="14" t="str">
        <f>HYPERLINK("https://gerandofalcoes.my.salesforce.com/0014X00002VKCsYQAX", "0014X00002VKCsYQAX")</f>
        <v>0014X00002VKCsYQAX</v>
      </c>
      <c r="B442" s="2" t="s">
        <v>2413</v>
      </c>
      <c r="C442" s="2" t="s">
        <v>423</v>
      </c>
      <c r="D442" s="2" t="s">
        <v>2</v>
      </c>
      <c r="E442" s="2">
        <v>25</v>
      </c>
      <c r="F442" s="2">
        <v>0</v>
      </c>
      <c r="G442" s="2">
        <v>1</v>
      </c>
      <c r="H442" s="2">
        <v>0</v>
      </c>
      <c r="I442" s="2">
        <v>64</v>
      </c>
      <c r="J442" s="2" t="s">
        <v>1779</v>
      </c>
      <c r="K442" s="2">
        <v>24</v>
      </c>
      <c r="L442" s="2">
        <v>15</v>
      </c>
      <c r="M442" s="2">
        <v>0</v>
      </c>
      <c r="N442" s="2">
        <v>4</v>
      </c>
      <c r="O442" s="2">
        <v>0</v>
      </c>
      <c r="P442" s="2">
        <v>5</v>
      </c>
      <c r="Q442" s="2" t="s">
        <v>2414</v>
      </c>
      <c r="R442" s="2" t="s">
        <v>2414</v>
      </c>
      <c r="S442" s="4">
        <v>44837</v>
      </c>
    </row>
    <row r="443" spans="1:19" ht="12.5" x14ac:dyDescent="0.25">
      <c r="A443" s="14" t="str">
        <f>HYPERLINK("https://gerandofalcoes.my.salesforce.com/0014X00002VKCusQAH", "0014X00002VKCusQAH")</f>
        <v>0014X00002VKCusQAH</v>
      </c>
      <c r="B443" s="2" t="s">
        <v>1946</v>
      </c>
      <c r="C443" s="2" t="s">
        <v>423</v>
      </c>
      <c r="D443" s="2" t="s">
        <v>2</v>
      </c>
      <c r="E443" s="2">
        <v>41</v>
      </c>
      <c r="F443" s="2">
        <v>0</v>
      </c>
      <c r="G443" s="2">
        <v>2</v>
      </c>
      <c r="H443" s="2">
        <v>3000</v>
      </c>
      <c r="I443" s="2">
        <v>262</v>
      </c>
      <c r="J443" s="2" t="s">
        <v>1779</v>
      </c>
      <c r="K443" s="2">
        <v>38</v>
      </c>
      <c r="L443" s="2">
        <v>15</v>
      </c>
      <c r="M443" s="2">
        <v>0</v>
      </c>
      <c r="N443" s="2">
        <v>6</v>
      </c>
      <c r="O443" s="2">
        <v>5</v>
      </c>
      <c r="P443" s="2">
        <v>12</v>
      </c>
      <c r="Q443" s="2" t="s">
        <v>1947</v>
      </c>
      <c r="R443" s="2" t="s">
        <v>1948</v>
      </c>
      <c r="S443" s="4">
        <v>44837</v>
      </c>
    </row>
    <row r="444" spans="1:19" ht="12.5" x14ac:dyDescent="0.25">
      <c r="A444" s="14" t="str">
        <f>HYPERLINK("https://gerandofalcoes.my.salesforce.com/0014X00002VKCpnQAH", "0014X00002VKCpnQAH")</f>
        <v>0014X00002VKCpnQAH</v>
      </c>
      <c r="B444" s="2" t="s">
        <v>2965</v>
      </c>
      <c r="C444" s="2" t="s">
        <v>423</v>
      </c>
      <c r="D444" s="2" t="s">
        <v>2</v>
      </c>
      <c r="E444" s="2">
        <v>13</v>
      </c>
      <c r="F444" s="2">
        <v>0</v>
      </c>
      <c r="G444" s="2">
        <v>1</v>
      </c>
      <c r="H444" s="2">
        <v>10000</v>
      </c>
      <c r="I444" s="2">
        <v>0</v>
      </c>
      <c r="J444" s="2" t="s">
        <v>1779</v>
      </c>
      <c r="K444" s="2">
        <v>19</v>
      </c>
      <c r="L444" s="2">
        <v>10</v>
      </c>
      <c r="M444" s="2">
        <v>0</v>
      </c>
      <c r="N444" s="2">
        <v>4</v>
      </c>
      <c r="O444" s="2">
        <v>5</v>
      </c>
      <c r="P444" s="2">
        <v>0</v>
      </c>
      <c r="Q444" s="2" t="s">
        <v>2966</v>
      </c>
      <c r="R444" s="2" t="s">
        <v>2966</v>
      </c>
      <c r="S444" s="4">
        <v>44837</v>
      </c>
    </row>
    <row r="445" spans="1:19" ht="12.5" x14ac:dyDescent="0.25">
      <c r="A445" s="14" t="str">
        <f>HYPERLINK("https://gerandofalcoes.my.salesforce.com/0014X00002VKCqQQAX", "0014X00002VKCqQQAX")</f>
        <v>0014X00002VKCqQQAX</v>
      </c>
      <c r="B445" s="2" t="s">
        <v>2952</v>
      </c>
      <c r="C445" s="2" t="s">
        <v>423</v>
      </c>
      <c r="D445" s="2" t="s">
        <v>2</v>
      </c>
      <c r="E445" s="2">
        <v>17</v>
      </c>
      <c r="F445" s="2">
        <v>0</v>
      </c>
      <c r="G445" s="2">
        <v>2</v>
      </c>
      <c r="H445" s="2">
        <v>0</v>
      </c>
      <c r="I445" s="2">
        <v>40</v>
      </c>
      <c r="J445" s="2" t="s">
        <v>1779</v>
      </c>
      <c r="K445" s="2">
        <v>21</v>
      </c>
      <c r="L445" s="2">
        <v>10</v>
      </c>
      <c r="M445" s="2">
        <v>0</v>
      </c>
      <c r="N445" s="2">
        <v>6</v>
      </c>
      <c r="O445" s="2">
        <v>0</v>
      </c>
      <c r="P445" s="2">
        <v>5</v>
      </c>
      <c r="Q445" s="2" t="s">
        <v>2953</v>
      </c>
      <c r="R445" s="2" t="s">
        <v>2954</v>
      </c>
      <c r="S445" s="4">
        <v>44837</v>
      </c>
    </row>
    <row r="446" spans="1:19" ht="12.5" hidden="1" x14ac:dyDescent="0.25">
      <c r="A446" s="14" t="str">
        <f>HYPERLINK("https://gerandofalcoes.my.salesforce.com/0014X00002VKCqfQAH", "0014X00002VKCqfQAH")</f>
        <v>0014X00002VKCqfQAH</v>
      </c>
      <c r="B446" s="2" t="s">
        <v>1998</v>
      </c>
      <c r="C446" s="2" t="s">
        <v>1800</v>
      </c>
      <c r="D446" s="2" t="s">
        <v>2</v>
      </c>
      <c r="E446" s="2">
        <v>39</v>
      </c>
      <c r="F446" s="2">
        <v>0</v>
      </c>
      <c r="G446" s="2">
        <v>2</v>
      </c>
      <c r="H446" s="2">
        <v>14000</v>
      </c>
      <c r="I446" s="2">
        <v>0</v>
      </c>
      <c r="J446" s="2" t="s">
        <v>1779</v>
      </c>
      <c r="K446" s="2">
        <v>26</v>
      </c>
      <c r="L446" s="2">
        <v>15</v>
      </c>
      <c r="M446" s="2">
        <v>0</v>
      </c>
      <c r="N446" s="2">
        <v>6</v>
      </c>
      <c r="O446" s="2">
        <v>5</v>
      </c>
      <c r="P446" s="2">
        <v>0</v>
      </c>
      <c r="Q446" s="2" t="s">
        <v>1999</v>
      </c>
      <c r="R446" s="2" t="s">
        <v>2000</v>
      </c>
      <c r="S446" s="4">
        <v>44837</v>
      </c>
    </row>
    <row r="447" spans="1:19" ht="12.5" x14ac:dyDescent="0.25">
      <c r="A447" s="14" t="str">
        <f>HYPERLINK("https://gerandofalcoes.my.salesforce.com/0014X00002VKCsWQAX", "0014X00002VKCsWQAX")</f>
        <v>0014X00002VKCsWQAX</v>
      </c>
      <c r="B447" s="2" t="s">
        <v>2211</v>
      </c>
      <c r="C447" s="2" t="s">
        <v>423</v>
      </c>
      <c r="D447" s="2" t="s">
        <v>2</v>
      </c>
      <c r="E447" s="2">
        <v>32</v>
      </c>
      <c r="F447" s="2">
        <v>3</v>
      </c>
      <c r="G447" s="2">
        <v>2</v>
      </c>
      <c r="H447" s="2">
        <v>1000</v>
      </c>
      <c r="I447" s="2">
        <v>1200</v>
      </c>
      <c r="J447" s="2" t="s">
        <v>1671</v>
      </c>
      <c r="K447" s="2">
        <v>51</v>
      </c>
      <c r="L447" s="2">
        <v>15</v>
      </c>
      <c r="M447" s="2">
        <v>5</v>
      </c>
      <c r="N447" s="2">
        <v>6</v>
      </c>
      <c r="O447" s="2">
        <v>5</v>
      </c>
      <c r="P447" s="2">
        <v>20</v>
      </c>
      <c r="Q447" s="2" t="s">
        <v>2212</v>
      </c>
      <c r="R447" s="2" t="s">
        <v>2213</v>
      </c>
      <c r="S447" s="4">
        <v>44837</v>
      </c>
    </row>
    <row r="448" spans="1:19" ht="12.5" x14ac:dyDescent="0.25">
      <c r="A448" s="14" t="str">
        <f>HYPERLINK("https://gerandofalcoes.my.salesforce.com/0014X00002VKCrNQAX", "0014X00002VKCrNQAX")</f>
        <v>0014X00002VKCrNQAX</v>
      </c>
      <c r="B448" s="2" t="s">
        <v>2035</v>
      </c>
      <c r="C448" s="2" t="s">
        <v>423</v>
      </c>
      <c r="D448" s="2" t="s">
        <v>2</v>
      </c>
      <c r="E448" s="2">
        <v>37</v>
      </c>
      <c r="F448" s="2">
        <v>10</v>
      </c>
      <c r="G448" s="2">
        <v>2</v>
      </c>
      <c r="H448" s="2">
        <v>20000</v>
      </c>
      <c r="I448" s="2">
        <v>130</v>
      </c>
      <c r="J448" s="2" t="s">
        <v>1671</v>
      </c>
      <c r="K448" s="2">
        <v>46</v>
      </c>
      <c r="L448" s="2">
        <v>15</v>
      </c>
      <c r="M448" s="2">
        <v>10</v>
      </c>
      <c r="N448" s="2">
        <v>6</v>
      </c>
      <c r="O448" s="2">
        <v>5</v>
      </c>
      <c r="P448" s="2">
        <v>10</v>
      </c>
      <c r="Q448" s="2" t="s">
        <v>2036</v>
      </c>
      <c r="R448" s="2" t="s">
        <v>2037</v>
      </c>
      <c r="S448" s="4">
        <v>44837</v>
      </c>
    </row>
    <row r="449" spans="1:19" ht="12.5" hidden="1" x14ac:dyDescent="0.25">
      <c r="A449" s="14" t="str">
        <f>HYPERLINK("https://gerandofalcoes.my.salesforce.com/0014X00002VKCqWQAX", "0014X00002VKCqWQAX")</f>
        <v>0014X00002VKCqWQAX</v>
      </c>
      <c r="B449" s="2" t="s">
        <v>2114</v>
      </c>
      <c r="C449" s="2" t="s">
        <v>1800</v>
      </c>
      <c r="D449" s="2" t="s">
        <v>2</v>
      </c>
      <c r="E449" s="2">
        <v>35</v>
      </c>
      <c r="F449" s="2">
        <v>2</v>
      </c>
      <c r="G449" s="2">
        <v>3</v>
      </c>
      <c r="H449" s="2">
        <v>11579</v>
      </c>
      <c r="I449" s="2">
        <v>20</v>
      </c>
      <c r="J449" s="2" t="s">
        <v>1779</v>
      </c>
      <c r="K449" s="2">
        <v>38</v>
      </c>
      <c r="L449" s="2">
        <v>15</v>
      </c>
      <c r="M449" s="2">
        <v>5</v>
      </c>
      <c r="N449" s="2">
        <v>8</v>
      </c>
      <c r="O449" s="2">
        <v>5</v>
      </c>
      <c r="P449" s="2">
        <v>5</v>
      </c>
      <c r="Q449" s="2" t="s">
        <v>2115</v>
      </c>
      <c r="R449" s="2" t="s">
        <v>2116</v>
      </c>
      <c r="S449" s="4">
        <v>44837</v>
      </c>
    </row>
    <row r="450" spans="1:19" ht="12.5" x14ac:dyDescent="0.25">
      <c r="A450" s="14" t="str">
        <f>HYPERLINK("https://gerandofalcoes.my.salesforce.com/0014X00002VKCqPQAX", "0014X00002VKCqPQAX")</f>
        <v>0014X00002VKCqPQAX</v>
      </c>
      <c r="B450" s="2" t="s">
        <v>2122</v>
      </c>
      <c r="C450" s="2" t="s">
        <v>423</v>
      </c>
      <c r="D450" s="2" t="s">
        <v>2</v>
      </c>
      <c r="E450" s="2">
        <v>34</v>
      </c>
      <c r="F450" s="2">
        <v>5</v>
      </c>
      <c r="G450" s="2">
        <v>1</v>
      </c>
      <c r="H450" s="2">
        <v>0</v>
      </c>
      <c r="I450" s="2">
        <v>186</v>
      </c>
      <c r="J450" s="2" t="s">
        <v>1779</v>
      </c>
      <c r="K450" s="2">
        <v>36</v>
      </c>
      <c r="L450" s="2">
        <v>15</v>
      </c>
      <c r="M450" s="2">
        <v>5</v>
      </c>
      <c r="N450" s="2">
        <v>4</v>
      </c>
      <c r="O450" s="2">
        <v>0</v>
      </c>
      <c r="P450" s="2">
        <v>12</v>
      </c>
      <c r="Q450" s="2" t="s">
        <v>2123</v>
      </c>
      <c r="R450" s="2" t="s">
        <v>2124</v>
      </c>
      <c r="S450" s="4">
        <v>44837</v>
      </c>
    </row>
    <row r="451" spans="1:19" ht="12.5" hidden="1" x14ac:dyDescent="0.25">
      <c r="A451" s="14" t="str">
        <f>HYPERLINK("https://gerandofalcoes.my.salesforce.com/0014X00002VKCqkQAH", "0014X00002VKCqkQAH")</f>
        <v>0014X00002VKCqkQAH</v>
      </c>
      <c r="B451" s="2" t="s">
        <v>2847</v>
      </c>
      <c r="C451" s="2" t="s">
        <v>1800</v>
      </c>
      <c r="D451" s="2" t="s">
        <v>2</v>
      </c>
      <c r="E451" s="2">
        <v>41</v>
      </c>
      <c r="F451" s="2">
        <v>0</v>
      </c>
      <c r="G451" s="2">
        <v>2</v>
      </c>
      <c r="H451" s="2">
        <v>12000</v>
      </c>
      <c r="I451" s="2">
        <v>500</v>
      </c>
      <c r="J451" s="2" t="s">
        <v>1671</v>
      </c>
      <c r="K451" s="2">
        <v>46</v>
      </c>
      <c r="L451" s="2">
        <v>15</v>
      </c>
      <c r="M451" s="2">
        <v>0</v>
      </c>
      <c r="N451" s="2">
        <v>6</v>
      </c>
      <c r="O451" s="2">
        <v>5</v>
      </c>
      <c r="P451" s="2">
        <v>20</v>
      </c>
      <c r="Q451" s="2" t="s">
        <v>2848</v>
      </c>
      <c r="R451" s="2" t="s">
        <v>2849</v>
      </c>
      <c r="S451" s="4">
        <v>44837</v>
      </c>
    </row>
    <row r="452" spans="1:19" ht="12.5" x14ac:dyDescent="0.25">
      <c r="A452" s="14" t="str">
        <f>HYPERLINK("https://gerandofalcoes.my.salesforce.com/0014X00002VKCt2QAH", "0014X00002VKCt2QAH")</f>
        <v>0014X00002VKCt2QAH</v>
      </c>
      <c r="B452" s="2" t="s">
        <v>1792</v>
      </c>
      <c r="C452" s="2" t="s">
        <v>423</v>
      </c>
      <c r="D452" s="2" t="s">
        <v>2</v>
      </c>
      <c r="E452" s="2">
        <v>71</v>
      </c>
      <c r="F452" s="2">
        <v>4</v>
      </c>
      <c r="G452" s="2">
        <v>4</v>
      </c>
      <c r="H452" s="2">
        <v>143565</v>
      </c>
      <c r="I452" s="2">
        <v>240</v>
      </c>
      <c r="J452" s="2" t="s">
        <v>1671</v>
      </c>
      <c r="K452" s="2">
        <v>62</v>
      </c>
      <c r="L452" s="2">
        <v>20</v>
      </c>
      <c r="M452" s="2">
        <v>5</v>
      </c>
      <c r="N452" s="2">
        <v>10</v>
      </c>
      <c r="O452" s="2">
        <v>15</v>
      </c>
      <c r="P452" s="2">
        <v>12</v>
      </c>
      <c r="Q452" s="2" t="s">
        <v>1793</v>
      </c>
      <c r="R452" s="2" t="s">
        <v>1794</v>
      </c>
      <c r="S452" s="4">
        <v>44837</v>
      </c>
    </row>
    <row r="453" spans="1:19" ht="12.5" x14ac:dyDescent="0.25">
      <c r="A453" s="14" t="str">
        <f>HYPERLINK("https://gerandofalcoes.my.salesforce.com/0014X00002VKCt3QAH", "0014X00002VKCt3QAH")</f>
        <v>0014X00002VKCt3QAH</v>
      </c>
      <c r="B453" s="2" t="s">
        <v>2706</v>
      </c>
      <c r="C453" s="2" t="s">
        <v>423</v>
      </c>
      <c r="D453" s="2" t="s">
        <v>2</v>
      </c>
      <c r="E453" s="2">
        <v>21</v>
      </c>
      <c r="F453" s="2">
        <v>0</v>
      </c>
      <c r="G453" s="2">
        <v>0</v>
      </c>
      <c r="H453" s="2">
        <v>0</v>
      </c>
      <c r="I453" s="2">
        <v>100</v>
      </c>
      <c r="J453" s="2" t="s">
        <v>1779</v>
      </c>
      <c r="K453" s="2">
        <v>20</v>
      </c>
      <c r="L453" s="2">
        <v>10</v>
      </c>
      <c r="M453" s="2">
        <v>0</v>
      </c>
      <c r="N453" s="2">
        <v>0</v>
      </c>
      <c r="O453" s="2">
        <v>0</v>
      </c>
      <c r="P453" s="2">
        <v>10</v>
      </c>
      <c r="Q453" s="2" t="s">
        <v>2707</v>
      </c>
      <c r="R453" s="2" t="s">
        <v>2708</v>
      </c>
      <c r="S453" s="4">
        <v>44837</v>
      </c>
    </row>
    <row r="454" spans="1:19" ht="12.5" x14ac:dyDescent="0.25">
      <c r="A454" s="14" t="str">
        <f>HYPERLINK("https://gerandofalcoes.my.salesforce.com/0014P00003SGWPiQAP", "0014P00003SGWPiQAP")</f>
        <v>0014P00003SGWPiQAP</v>
      </c>
      <c r="B454" s="2" t="s">
        <v>1656</v>
      </c>
      <c r="C454" s="2" t="s">
        <v>423</v>
      </c>
      <c r="D454" s="2" t="s">
        <v>27</v>
      </c>
      <c r="E454" s="2">
        <v>96</v>
      </c>
      <c r="F454" s="2">
        <v>8</v>
      </c>
      <c r="G454" s="2">
        <v>4</v>
      </c>
      <c r="H454" s="2">
        <v>587278.81999999995</v>
      </c>
      <c r="I454" s="2">
        <v>115</v>
      </c>
      <c r="J454" s="2" t="s">
        <v>1654</v>
      </c>
      <c r="K454" s="2">
        <v>80</v>
      </c>
      <c r="L454" s="2">
        <v>30</v>
      </c>
      <c r="M454" s="2">
        <v>10</v>
      </c>
      <c r="N454" s="2">
        <v>10</v>
      </c>
      <c r="O454" s="2">
        <v>20</v>
      </c>
      <c r="P454" s="2">
        <v>10</v>
      </c>
      <c r="Q454" s="2" t="s">
        <v>1657</v>
      </c>
      <c r="R454" s="2" t="s">
        <v>1657</v>
      </c>
      <c r="S454" s="4">
        <v>44837</v>
      </c>
    </row>
    <row r="455" spans="1:19" ht="12.5" x14ac:dyDescent="0.25">
      <c r="A455" s="14" t="str">
        <f>HYPERLINK("https://gerandofalcoes.my.salesforce.com/0014P00003SGWPjQAP", "0014P00003SGWPjQAP")</f>
        <v>0014P00003SGWPjQAP</v>
      </c>
      <c r="B455" s="2" t="s">
        <v>2986</v>
      </c>
      <c r="C455" s="2" t="s">
        <v>423</v>
      </c>
      <c r="D455" s="2" t="s">
        <v>2</v>
      </c>
      <c r="E455" s="2"/>
      <c r="F455" s="2">
        <v>0</v>
      </c>
      <c r="G455" s="2">
        <v>0</v>
      </c>
      <c r="H455" s="2">
        <v>0</v>
      </c>
      <c r="I455" s="2">
        <v>250</v>
      </c>
      <c r="J455" s="2" t="s">
        <v>1779</v>
      </c>
      <c r="K455" s="2">
        <v>12</v>
      </c>
      <c r="L455" s="2">
        <v>0</v>
      </c>
      <c r="M455" s="2">
        <v>0</v>
      </c>
      <c r="N455" s="2">
        <v>0</v>
      </c>
      <c r="O455" s="2">
        <v>0</v>
      </c>
      <c r="P455" s="2">
        <v>12</v>
      </c>
      <c r="Q455" s="2" t="s">
        <v>303</v>
      </c>
      <c r="R455" s="2" t="s">
        <v>2987</v>
      </c>
      <c r="S455" s="4">
        <v>44837</v>
      </c>
    </row>
    <row r="456" spans="1:19" ht="12.5" x14ac:dyDescent="0.25">
      <c r="A456" s="14" t="str">
        <f>HYPERLINK("https://gerandofalcoes.my.salesforce.com/0014P00003SGWPkQAP", "0014P00003SGWPkQAP")</f>
        <v>0014P00003SGWPkQAP</v>
      </c>
      <c r="B456" s="2" t="s">
        <v>306</v>
      </c>
      <c r="C456" s="2" t="s">
        <v>423</v>
      </c>
      <c r="D456" s="2" t="s">
        <v>2</v>
      </c>
      <c r="E456" s="2">
        <v>49</v>
      </c>
      <c r="F456" s="2">
        <v>7</v>
      </c>
      <c r="G456" s="2">
        <v>3</v>
      </c>
      <c r="H456" s="2">
        <v>264000</v>
      </c>
      <c r="I456" s="2">
        <v>240</v>
      </c>
      <c r="J456" s="2" t="s">
        <v>1671</v>
      </c>
      <c r="K456" s="2">
        <v>45</v>
      </c>
      <c r="L456" s="2">
        <v>0</v>
      </c>
      <c r="M456" s="2">
        <v>10</v>
      </c>
      <c r="N456" s="2">
        <v>8</v>
      </c>
      <c r="O456" s="2">
        <v>15</v>
      </c>
      <c r="P456" s="2">
        <v>12</v>
      </c>
      <c r="Q456" s="2" t="s">
        <v>307</v>
      </c>
      <c r="R456" s="2" t="s">
        <v>1867</v>
      </c>
      <c r="S456" s="4">
        <v>44837</v>
      </c>
    </row>
    <row r="457" spans="1:19" ht="12.5" x14ac:dyDescent="0.25">
      <c r="A457" s="14" t="str">
        <f>HYPERLINK("https://gerandofalcoes.my.salesforce.com/0014P00003YSp7ZQAT", "0014P00003YSp7ZQAT")</f>
        <v>0014P00003YSp7ZQAT</v>
      </c>
      <c r="B457" s="2" t="s">
        <v>2136</v>
      </c>
      <c r="C457" s="2" t="s">
        <v>423</v>
      </c>
      <c r="D457" s="2" t="s">
        <v>2</v>
      </c>
      <c r="E457" s="2">
        <v>34</v>
      </c>
      <c r="F457" s="2">
        <v>0</v>
      </c>
      <c r="G457" s="2">
        <v>2</v>
      </c>
      <c r="H457" s="2">
        <v>50000</v>
      </c>
      <c r="I457" s="2">
        <v>210</v>
      </c>
      <c r="J457" s="2" t="s">
        <v>1671</v>
      </c>
      <c r="K457" s="2">
        <v>43</v>
      </c>
      <c r="L457" s="2">
        <v>15</v>
      </c>
      <c r="M457" s="2">
        <v>0</v>
      </c>
      <c r="N457" s="2">
        <v>6</v>
      </c>
      <c r="O457" s="2">
        <v>10</v>
      </c>
      <c r="P457" s="2">
        <v>12</v>
      </c>
      <c r="Q457" s="2" t="s">
        <v>2137</v>
      </c>
      <c r="R457" s="2" t="s">
        <v>2138</v>
      </c>
      <c r="S457" s="4">
        <v>44837</v>
      </c>
    </row>
    <row r="458" spans="1:19" ht="12.5" x14ac:dyDescent="0.25">
      <c r="A458" s="14" t="str">
        <f>HYPERLINK("https://gerandofalcoes.my.salesforce.com/0014P00003YSp7aQAD", "0014P00003YSp7aQAD")</f>
        <v>0014P00003YSp7aQAD</v>
      </c>
      <c r="B458" s="2" t="s">
        <v>2922</v>
      </c>
      <c r="C458" s="2" t="s">
        <v>423</v>
      </c>
      <c r="D458" s="2" t="s">
        <v>2</v>
      </c>
      <c r="E458" s="2">
        <v>14</v>
      </c>
      <c r="F458" s="2">
        <v>8</v>
      </c>
      <c r="G458" s="2">
        <v>0</v>
      </c>
      <c r="H458" s="2">
        <v>5000</v>
      </c>
      <c r="I458" s="2">
        <v>30</v>
      </c>
      <c r="J458" s="2" t="s">
        <v>1779</v>
      </c>
      <c r="K458" s="2">
        <v>30</v>
      </c>
      <c r="L458" s="2">
        <v>10</v>
      </c>
      <c r="M458" s="2">
        <v>10</v>
      </c>
      <c r="N458" s="2">
        <v>0</v>
      </c>
      <c r="O458" s="2">
        <v>5</v>
      </c>
      <c r="P458" s="2">
        <v>5</v>
      </c>
      <c r="Q458" s="2" t="s">
        <v>2923</v>
      </c>
      <c r="R458" s="2" t="s">
        <v>2924</v>
      </c>
      <c r="S458" s="4">
        <v>44837</v>
      </c>
    </row>
    <row r="459" spans="1:19" ht="12.5" hidden="1" x14ac:dyDescent="0.25">
      <c r="A459" s="14" t="str">
        <f>HYPERLINK("https://gerandofalcoes.my.salesforce.com/0014P00003YSp7bQAD", "0014P00003YSp7bQAD")</f>
        <v>0014P00003YSp7bQAD</v>
      </c>
      <c r="B459" s="2" t="s">
        <v>2169</v>
      </c>
      <c r="C459" s="2" t="s">
        <v>1684</v>
      </c>
      <c r="D459" s="2" t="s">
        <v>2</v>
      </c>
      <c r="E459" s="2">
        <v>33</v>
      </c>
      <c r="F459" s="2">
        <v>40</v>
      </c>
      <c r="G459" s="2">
        <v>2</v>
      </c>
      <c r="H459" s="2">
        <v>50000</v>
      </c>
      <c r="I459" s="2">
        <v>150</v>
      </c>
      <c r="J459" s="2" t="s">
        <v>1671</v>
      </c>
      <c r="K459" s="2">
        <v>58</v>
      </c>
      <c r="L459" s="2">
        <v>15</v>
      </c>
      <c r="M459" s="2">
        <v>15</v>
      </c>
      <c r="N459" s="2">
        <v>6</v>
      </c>
      <c r="O459" s="2">
        <v>10</v>
      </c>
      <c r="P459" s="2">
        <v>12</v>
      </c>
      <c r="Q459" s="2" t="s">
        <v>2170</v>
      </c>
      <c r="R459" s="2" t="s">
        <v>2171</v>
      </c>
      <c r="S459" s="4">
        <v>44837</v>
      </c>
    </row>
    <row r="460" spans="1:19" ht="12.5" x14ac:dyDescent="0.25">
      <c r="A460" s="14" t="str">
        <f>HYPERLINK("https://gerandofalcoes.my.salesforce.com/0014P00003YSp7dQAD", "0014P00003YSp7dQAD")</f>
        <v>0014P00003YSp7dQAD</v>
      </c>
      <c r="B460" s="2" t="s">
        <v>1855</v>
      </c>
      <c r="C460" s="2" t="s">
        <v>423</v>
      </c>
      <c r="D460" s="2" t="s">
        <v>2</v>
      </c>
      <c r="E460" s="2">
        <v>34</v>
      </c>
      <c r="F460" s="2">
        <v>6</v>
      </c>
      <c r="G460" s="2">
        <v>5</v>
      </c>
      <c r="H460" s="2">
        <v>42178400</v>
      </c>
      <c r="I460" s="2">
        <v>243</v>
      </c>
      <c r="J460" s="2" t="s">
        <v>1650</v>
      </c>
      <c r="K460" s="2">
        <v>72</v>
      </c>
      <c r="L460" s="2">
        <v>15</v>
      </c>
      <c r="M460" s="2">
        <v>10</v>
      </c>
      <c r="N460" s="2">
        <v>10</v>
      </c>
      <c r="O460" s="2">
        <v>25</v>
      </c>
      <c r="P460" s="2">
        <v>12</v>
      </c>
      <c r="Q460" s="2" t="s">
        <v>1856</v>
      </c>
      <c r="R460" s="2" t="s">
        <v>1857</v>
      </c>
      <c r="S460" s="4">
        <v>44837</v>
      </c>
    </row>
    <row r="461" spans="1:19" ht="12.5" x14ac:dyDescent="0.25">
      <c r="A461" s="14" t="str">
        <f>HYPERLINK("https://gerandofalcoes.my.salesforce.com/0014P00003YSp7eQAD", "0014P00003YSp7eQAD")</f>
        <v>0014P00003YSp7eQAD</v>
      </c>
      <c r="B461" s="2" t="s">
        <v>1804</v>
      </c>
      <c r="C461" s="2" t="s">
        <v>423</v>
      </c>
      <c r="D461" s="2" t="s">
        <v>2</v>
      </c>
      <c r="E461" s="2">
        <v>45</v>
      </c>
      <c r="F461" s="2">
        <v>6</v>
      </c>
      <c r="G461" s="2">
        <v>3</v>
      </c>
      <c r="H461" s="2">
        <v>43600000</v>
      </c>
      <c r="I461" s="2">
        <v>131</v>
      </c>
      <c r="J461" s="2" t="s">
        <v>1650</v>
      </c>
      <c r="K461" s="2">
        <v>68</v>
      </c>
      <c r="L461" s="2">
        <v>15</v>
      </c>
      <c r="M461" s="2">
        <v>10</v>
      </c>
      <c r="N461" s="2">
        <v>8</v>
      </c>
      <c r="O461" s="2">
        <v>25</v>
      </c>
      <c r="P461" s="2">
        <v>10</v>
      </c>
      <c r="Q461" s="2" t="s">
        <v>1805</v>
      </c>
      <c r="R461" s="2" t="s">
        <v>1806</v>
      </c>
      <c r="S461" s="4">
        <v>44837</v>
      </c>
    </row>
    <row r="462" spans="1:19" ht="12.5" hidden="1" x14ac:dyDescent="0.25">
      <c r="A462" s="14" t="str">
        <f>HYPERLINK("https://gerandofalcoes.my.salesforce.com/0014X00002VKCpXQAX", "0014X00002VKCpXQAX")</f>
        <v>0014X00002VKCpXQAX</v>
      </c>
      <c r="B462" s="2" t="s">
        <v>2565</v>
      </c>
      <c r="C462" s="2" t="s">
        <v>1800</v>
      </c>
      <c r="D462" s="2" t="s">
        <v>2</v>
      </c>
      <c r="E462" s="2">
        <v>20</v>
      </c>
      <c r="F462" s="2">
        <v>6</v>
      </c>
      <c r="G462" s="2">
        <v>4</v>
      </c>
      <c r="H462" s="2">
        <v>0</v>
      </c>
      <c r="I462" s="2">
        <v>0</v>
      </c>
      <c r="J462" s="2" t="s">
        <v>1779</v>
      </c>
      <c r="K462" s="2">
        <v>30</v>
      </c>
      <c r="L462" s="2">
        <v>10</v>
      </c>
      <c r="M462" s="2">
        <v>10</v>
      </c>
      <c r="N462" s="2">
        <v>10</v>
      </c>
      <c r="O462" s="2">
        <v>0</v>
      </c>
      <c r="P462" s="2">
        <v>0</v>
      </c>
      <c r="Q462" s="2" t="s">
        <v>2566</v>
      </c>
      <c r="R462" s="2" t="s">
        <v>2567</v>
      </c>
      <c r="S462" s="4">
        <v>44837</v>
      </c>
    </row>
    <row r="463" spans="1:19" ht="12.5" x14ac:dyDescent="0.25">
      <c r="A463" s="14" t="str">
        <f>HYPERLINK("https://gerandofalcoes.my.salesforce.com/0014X00002VKCpPQAX", "0014X00002VKCpPQAX")</f>
        <v>0014X00002VKCpPQAX</v>
      </c>
      <c r="B463" s="2" t="s">
        <v>2591</v>
      </c>
      <c r="C463" s="2" t="s">
        <v>423</v>
      </c>
      <c r="D463" s="2" t="s">
        <v>2</v>
      </c>
      <c r="E463" s="2">
        <v>29</v>
      </c>
      <c r="F463" s="2">
        <v>0</v>
      </c>
      <c r="G463" s="2">
        <v>3</v>
      </c>
      <c r="H463" s="2">
        <v>75000</v>
      </c>
      <c r="I463" s="2">
        <v>0</v>
      </c>
      <c r="J463" s="2" t="s">
        <v>1779</v>
      </c>
      <c r="K463" s="2">
        <v>33</v>
      </c>
      <c r="L463" s="2">
        <v>15</v>
      </c>
      <c r="M463" s="2">
        <v>0</v>
      </c>
      <c r="N463" s="2">
        <v>8</v>
      </c>
      <c r="O463" s="2">
        <v>10</v>
      </c>
      <c r="P463" s="2">
        <v>0</v>
      </c>
      <c r="Q463" s="2" t="s">
        <v>2592</v>
      </c>
      <c r="R463" s="2" t="s">
        <v>2592</v>
      </c>
      <c r="S463" s="4">
        <v>44837</v>
      </c>
    </row>
    <row r="464" spans="1:19" ht="12.5" x14ac:dyDescent="0.25">
      <c r="A464" s="14" t="str">
        <f>HYPERLINK("https://gerandofalcoes.my.salesforce.com/0014X00002VKCvCQAX", "0014X00002VKCvCQAX")</f>
        <v>0014X00002VKCvCQAX</v>
      </c>
      <c r="B464" s="2" t="s">
        <v>2415</v>
      </c>
      <c r="C464" s="2" t="s">
        <v>423</v>
      </c>
      <c r="D464" s="2" t="s">
        <v>2</v>
      </c>
      <c r="E464" s="2">
        <v>25</v>
      </c>
      <c r="F464" s="2">
        <v>0</v>
      </c>
      <c r="G464" s="2">
        <v>4</v>
      </c>
      <c r="H464" s="2">
        <v>25000</v>
      </c>
      <c r="I464" s="2">
        <v>0</v>
      </c>
      <c r="J464" s="2" t="s">
        <v>1779</v>
      </c>
      <c r="K464" s="2">
        <v>35</v>
      </c>
      <c r="L464" s="2">
        <v>15</v>
      </c>
      <c r="M464" s="2">
        <v>0</v>
      </c>
      <c r="N464" s="2">
        <v>10</v>
      </c>
      <c r="O464" s="2">
        <v>10</v>
      </c>
      <c r="P464" s="2">
        <v>0</v>
      </c>
      <c r="Q464" s="2" t="s">
        <v>2416</v>
      </c>
      <c r="R464" s="2" t="s">
        <v>2417</v>
      </c>
      <c r="S464" s="4">
        <v>44837</v>
      </c>
    </row>
    <row r="465" spans="1:19" ht="12.5" x14ac:dyDescent="0.25">
      <c r="A465" s="14" t="str">
        <f>HYPERLINK("https://gerandofalcoes.my.salesforce.com/0014X00002VKCsaQAH", "0014X00002VKCsaQAH")</f>
        <v>0014X00002VKCsaQAH</v>
      </c>
      <c r="B465" s="2" t="s">
        <v>1961</v>
      </c>
      <c r="C465" s="2" t="s">
        <v>423</v>
      </c>
      <c r="D465" s="2" t="s">
        <v>2</v>
      </c>
      <c r="E465" s="2">
        <v>40.25</v>
      </c>
      <c r="F465" s="2">
        <v>0</v>
      </c>
      <c r="G465" s="2">
        <v>3</v>
      </c>
      <c r="H465" s="2">
        <v>10749</v>
      </c>
      <c r="I465" s="2">
        <v>15</v>
      </c>
      <c r="J465" s="2" t="s">
        <v>1779</v>
      </c>
      <c r="K465" s="2">
        <v>33</v>
      </c>
      <c r="L465" s="2">
        <v>15</v>
      </c>
      <c r="M465" s="2">
        <v>0</v>
      </c>
      <c r="N465" s="2">
        <v>8</v>
      </c>
      <c r="O465" s="2">
        <v>5</v>
      </c>
      <c r="P465" s="2">
        <v>5</v>
      </c>
      <c r="Q465" s="2" t="s">
        <v>1962</v>
      </c>
      <c r="R465" s="2" t="s">
        <v>1962</v>
      </c>
      <c r="S465" s="4">
        <v>44837</v>
      </c>
    </row>
    <row r="466" spans="1:19" ht="12.5" hidden="1" x14ac:dyDescent="0.25">
      <c r="A466" s="14" t="str">
        <f>HYPERLINK("https://gerandofalcoes.my.salesforce.com/0014X00002VKCt9QAH", "0014X00002VKCt9QAH")</f>
        <v>0014X00002VKCt9QAH</v>
      </c>
      <c r="B466" s="2" t="s">
        <v>2100</v>
      </c>
      <c r="C466" s="2" t="s">
        <v>1684</v>
      </c>
      <c r="D466" s="2" t="s">
        <v>2</v>
      </c>
      <c r="E466" s="2">
        <v>35</v>
      </c>
      <c r="F466" s="2">
        <v>0</v>
      </c>
      <c r="G466" s="2">
        <v>2</v>
      </c>
      <c r="H466" s="2">
        <v>600</v>
      </c>
      <c r="I466" s="2">
        <v>150</v>
      </c>
      <c r="J466" s="2" t="s">
        <v>1779</v>
      </c>
      <c r="K466" s="2">
        <v>38</v>
      </c>
      <c r="L466" s="2">
        <v>15</v>
      </c>
      <c r="M466" s="2">
        <v>0</v>
      </c>
      <c r="N466" s="2">
        <v>6</v>
      </c>
      <c r="O466" s="2">
        <v>5</v>
      </c>
      <c r="P466" s="2">
        <v>12</v>
      </c>
      <c r="Q466" s="2" t="s">
        <v>2101</v>
      </c>
      <c r="R466" s="2" t="s">
        <v>2102</v>
      </c>
      <c r="S466" s="4">
        <v>44837</v>
      </c>
    </row>
    <row r="467" spans="1:19" ht="12.5" x14ac:dyDescent="0.25">
      <c r="A467" s="14" t="str">
        <f>HYPERLINK("https://gerandofalcoes.my.salesforce.com/0014X00002VKCtvQAH", "0014X00002VKCtvQAH")</f>
        <v>0014X00002VKCtvQAH</v>
      </c>
      <c r="B467" s="2" t="s">
        <v>1959</v>
      </c>
      <c r="C467" s="2" t="s">
        <v>423</v>
      </c>
      <c r="D467" s="2" t="s">
        <v>2</v>
      </c>
      <c r="E467" s="2">
        <v>54</v>
      </c>
      <c r="F467" s="2">
        <v>0</v>
      </c>
      <c r="G467" s="2">
        <v>3</v>
      </c>
      <c r="H467" s="2">
        <v>100000</v>
      </c>
      <c r="I467" s="2">
        <v>120</v>
      </c>
      <c r="J467" s="2" t="s">
        <v>1671</v>
      </c>
      <c r="K467" s="2">
        <v>53</v>
      </c>
      <c r="L467" s="2">
        <v>20</v>
      </c>
      <c r="M467" s="2">
        <v>0</v>
      </c>
      <c r="N467" s="2">
        <v>8</v>
      </c>
      <c r="O467" s="2">
        <v>15</v>
      </c>
      <c r="P467" s="2">
        <v>10</v>
      </c>
      <c r="Q467" s="2" t="s">
        <v>7153</v>
      </c>
      <c r="R467" s="2" t="s">
        <v>1960</v>
      </c>
      <c r="S467" s="4">
        <v>44837</v>
      </c>
    </row>
    <row r="468" spans="1:19" ht="12.5" hidden="1" x14ac:dyDescent="0.25">
      <c r="A468" s="14" t="str">
        <f>HYPERLINK("https://gerandofalcoes.my.salesforce.com/0014X00002VKCpMQAX", "0014X00002VKCpMQAX")</f>
        <v>0014X00002VKCpMQAX</v>
      </c>
      <c r="B468" s="2" t="s">
        <v>2660</v>
      </c>
      <c r="C468" s="2" t="s">
        <v>1800</v>
      </c>
      <c r="D468" s="2" t="s">
        <v>2</v>
      </c>
      <c r="E468" s="2">
        <v>17</v>
      </c>
      <c r="F468" s="2">
        <v>0</v>
      </c>
      <c r="G468" s="2">
        <v>2</v>
      </c>
      <c r="H468" s="2">
        <v>6000</v>
      </c>
      <c r="I468" s="2">
        <v>90</v>
      </c>
      <c r="J468" s="2" t="s">
        <v>1779</v>
      </c>
      <c r="K468" s="2">
        <v>31</v>
      </c>
      <c r="L468" s="2">
        <v>10</v>
      </c>
      <c r="M468" s="2">
        <v>0</v>
      </c>
      <c r="N468" s="2">
        <v>6</v>
      </c>
      <c r="O468" s="2">
        <v>5</v>
      </c>
      <c r="P468" s="2">
        <v>10</v>
      </c>
      <c r="Q468" s="2" t="s">
        <v>2661</v>
      </c>
      <c r="R468" s="2" t="s">
        <v>2661</v>
      </c>
      <c r="S468" s="4">
        <v>44837</v>
      </c>
    </row>
    <row r="469" spans="1:19" ht="12.5" x14ac:dyDescent="0.25">
      <c r="A469" s="14" t="str">
        <f>HYPERLINK("https://gerandofalcoes.my.salesforce.com/0014X00002VKCtJQAX", "0014X00002VKCtJQAX")</f>
        <v>0014X00002VKCtJQAX</v>
      </c>
      <c r="B469" s="2" t="s">
        <v>2672</v>
      </c>
      <c r="C469" s="2" t="s">
        <v>423</v>
      </c>
      <c r="D469" s="2" t="s">
        <v>2</v>
      </c>
      <c r="E469" s="2">
        <v>17</v>
      </c>
      <c r="F469" s="2">
        <v>0</v>
      </c>
      <c r="G469" s="2">
        <v>3</v>
      </c>
      <c r="H469" s="2">
        <v>0</v>
      </c>
      <c r="I469" s="2">
        <v>0</v>
      </c>
      <c r="J469" s="2" t="s">
        <v>1779</v>
      </c>
      <c r="K469" s="2">
        <v>18</v>
      </c>
      <c r="L469" s="2">
        <v>10</v>
      </c>
      <c r="M469" s="2">
        <v>0</v>
      </c>
      <c r="N469" s="2">
        <v>8</v>
      </c>
      <c r="O469" s="2">
        <v>0</v>
      </c>
      <c r="P469" s="2">
        <v>0</v>
      </c>
      <c r="Q469" s="2" t="s">
        <v>2673</v>
      </c>
      <c r="R469" s="2" t="s">
        <v>2674</v>
      </c>
      <c r="S469" s="4">
        <v>44837</v>
      </c>
    </row>
    <row r="470" spans="1:19" ht="12.5" hidden="1" x14ac:dyDescent="0.25">
      <c r="A470" s="14" t="str">
        <f>HYPERLINK("https://gerandofalcoes.my.salesforce.com/0014X00002VKCttQAH", "0014X00002VKCttQAH")</f>
        <v>0014X00002VKCttQAH</v>
      </c>
      <c r="B470" s="2" t="s">
        <v>1966</v>
      </c>
      <c r="C470" s="2" t="s">
        <v>1684</v>
      </c>
      <c r="D470" s="2" t="s">
        <v>2</v>
      </c>
      <c r="E470" s="2">
        <v>40</v>
      </c>
      <c r="F470" s="2">
        <v>5</v>
      </c>
      <c r="G470" s="2">
        <v>3</v>
      </c>
      <c r="H470" s="2">
        <v>20</v>
      </c>
      <c r="I470" s="2">
        <v>30</v>
      </c>
      <c r="J470" s="2" t="s">
        <v>1779</v>
      </c>
      <c r="K470" s="2">
        <v>38</v>
      </c>
      <c r="L470" s="2">
        <v>15</v>
      </c>
      <c r="M470" s="2">
        <v>5</v>
      </c>
      <c r="N470" s="2">
        <v>8</v>
      </c>
      <c r="O470" s="2">
        <v>5</v>
      </c>
      <c r="P470" s="2">
        <v>5</v>
      </c>
      <c r="Q470" s="2" t="s">
        <v>1967</v>
      </c>
      <c r="R470" s="2" t="s">
        <v>1968</v>
      </c>
      <c r="S470" s="4">
        <v>44837</v>
      </c>
    </row>
    <row r="471" spans="1:19" ht="12.5" x14ac:dyDescent="0.25">
      <c r="A471" s="14" t="str">
        <f>HYPERLINK("https://gerandofalcoes.my.salesforce.com/0014X00002VKCsQQAX", "0014X00002VKCsQQAX")</f>
        <v>0014X00002VKCsQQAX</v>
      </c>
      <c r="B471" s="2" t="s">
        <v>2780</v>
      </c>
      <c r="C471" s="2" t="s">
        <v>423</v>
      </c>
      <c r="D471" s="2" t="s">
        <v>2</v>
      </c>
      <c r="E471" s="2">
        <v>13</v>
      </c>
      <c r="F471" s="2">
        <v>0</v>
      </c>
      <c r="G471" s="2">
        <v>2</v>
      </c>
      <c r="H471" s="2">
        <v>0</v>
      </c>
      <c r="I471" s="2">
        <v>585</v>
      </c>
      <c r="J471" s="2" t="s">
        <v>1779</v>
      </c>
      <c r="K471" s="2">
        <v>36</v>
      </c>
      <c r="L471" s="2">
        <v>10</v>
      </c>
      <c r="M471" s="2">
        <v>0</v>
      </c>
      <c r="N471" s="2">
        <v>6</v>
      </c>
      <c r="O471" s="2">
        <v>0</v>
      </c>
      <c r="P471" s="2">
        <v>20</v>
      </c>
      <c r="Q471" s="2" t="s">
        <v>2781</v>
      </c>
      <c r="R471" s="2" t="s">
        <v>2782</v>
      </c>
      <c r="S471" s="4">
        <v>44837</v>
      </c>
    </row>
    <row r="472" spans="1:19" ht="12.5" x14ac:dyDescent="0.25">
      <c r="A472" s="14" t="str">
        <f>HYPERLINK("https://gerandofalcoes.my.salesforce.com/0014P00003YSp7vQAD", "0014P00003YSp7vQAD")</f>
        <v>0014P00003YSp7vQAD</v>
      </c>
      <c r="B472" s="2" t="s">
        <v>2492</v>
      </c>
      <c r="C472" s="2" t="s">
        <v>423</v>
      </c>
      <c r="D472" s="2" t="s">
        <v>2</v>
      </c>
      <c r="E472" s="2">
        <v>20</v>
      </c>
      <c r="F472" s="2">
        <v>2</v>
      </c>
      <c r="G472" s="2">
        <v>1</v>
      </c>
      <c r="H472" s="2">
        <v>42000</v>
      </c>
      <c r="I472" s="2">
        <v>71</v>
      </c>
      <c r="J472" s="2" t="s">
        <v>1779</v>
      </c>
      <c r="K472" s="2">
        <v>34</v>
      </c>
      <c r="L472" s="2">
        <v>10</v>
      </c>
      <c r="M472" s="2">
        <v>5</v>
      </c>
      <c r="N472" s="2">
        <v>4</v>
      </c>
      <c r="O472" s="2">
        <v>10</v>
      </c>
      <c r="P472" s="2">
        <v>5</v>
      </c>
      <c r="Q472" s="2" t="s">
        <v>2493</v>
      </c>
      <c r="R472" s="2" t="s">
        <v>2493</v>
      </c>
      <c r="S472" s="4">
        <v>44837</v>
      </c>
    </row>
    <row r="473" spans="1:19" ht="12.5" hidden="1" x14ac:dyDescent="0.25">
      <c r="A473" s="14" t="str">
        <f>HYPERLINK("https://gerandofalcoes.my.salesforce.com/0014P00003YSp7xQAD", "0014P00003YSp7xQAD")</f>
        <v>0014P00003YSp7xQAD</v>
      </c>
      <c r="B473" s="2" t="s">
        <v>2801</v>
      </c>
      <c r="C473" s="2" t="s">
        <v>1800</v>
      </c>
      <c r="D473" s="2" t="s">
        <v>2</v>
      </c>
      <c r="E473" s="2">
        <v>13</v>
      </c>
      <c r="F473" s="2">
        <v>7</v>
      </c>
      <c r="G473" s="2">
        <v>3</v>
      </c>
      <c r="H473" s="2">
        <v>1000</v>
      </c>
      <c r="I473" s="2">
        <v>30</v>
      </c>
      <c r="J473" s="2" t="s">
        <v>1779</v>
      </c>
      <c r="K473" s="2">
        <v>38</v>
      </c>
      <c r="L473" s="2">
        <v>10</v>
      </c>
      <c r="M473" s="2">
        <v>10</v>
      </c>
      <c r="N473" s="2">
        <v>8</v>
      </c>
      <c r="O473" s="2">
        <v>5</v>
      </c>
      <c r="P473" s="2">
        <v>5</v>
      </c>
      <c r="Q473" s="2" t="s">
        <v>2802</v>
      </c>
      <c r="R473" s="2" t="s">
        <v>2803</v>
      </c>
      <c r="S473" s="4">
        <v>44837</v>
      </c>
    </row>
    <row r="474" spans="1:19" ht="12.5" x14ac:dyDescent="0.25">
      <c r="A474" s="14" t="str">
        <f>HYPERLINK("https://gerandofalcoes.my.salesforce.com/0014P00003YSp7fQAD", "0014P00003YSp7fQAD")</f>
        <v>0014P00003YSp7fQAD</v>
      </c>
      <c r="B474" s="2" t="s">
        <v>2465</v>
      </c>
      <c r="C474" s="2" t="s">
        <v>423</v>
      </c>
      <c r="D474" s="2" t="s">
        <v>2</v>
      </c>
      <c r="E474" s="2">
        <v>23</v>
      </c>
      <c r="F474" s="2">
        <v>0</v>
      </c>
      <c r="G474" s="2">
        <v>2</v>
      </c>
      <c r="H474" s="2">
        <v>5000</v>
      </c>
      <c r="I474" s="2">
        <v>50</v>
      </c>
      <c r="J474" s="2" t="s">
        <v>1779</v>
      </c>
      <c r="K474" s="2">
        <v>26</v>
      </c>
      <c r="L474" s="2">
        <v>10</v>
      </c>
      <c r="M474" s="2">
        <v>0</v>
      </c>
      <c r="N474" s="2">
        <v>6</v>
      </c>
      <c r="O474" s="2">
        <v>5</v>
      </c>
      <c r="P474" s="2">
        <v>5</v>
      </c>
      <c r="Q474" s="2" t="s">
        <v>6552</v>
      </c>
      <c r="R474" s="2" t="s">
        <v>6552</v>
      </c>
      <c r="S474" s="4">
        <v>44837</v>
      </c>
    </row>
    <row r="475" spans="1:19" ht="12.5" x14ac:dyDescent="0.25">
      <c r="A475" s="14" t="str">
        <f>HYPERLINK("https://gerandofalcoes.my.salesforce.com/0014P00003YSp7hQAD", "0014P00003YSp7hQAD")</f>
        <v>0014P00003YSp7hQAD</v>
      </c>
      <c r="B475" s="2" t="s">
        <v>2713</v>
      </c>
      <c r="C475" s="2" t="s">
        <v>423</v>
      </c>
      <c r="D475" s="2" t="s">
        <v>2</v>
      </c>
      <c r="E475" s="2">
        <v>15</v>
      </c>
      <c r="F475" s="2">
        <v>4</v>
      </c>
      <c r="G475" s="2">
        <v>3</v>
      </c>
      <c r="H475" s="2">
        <v>89000</v>
      </c>
      <c r="I475" s="2">
        <v>820</v>
      </c>
      <c r="J475" s="2" t="s">
        <v>1671</v>
      </c>
      <c r="K475" s="2">
        <v>53</v>
      </c>
      <c r="L475" s="2">
        <v>10</v>
      </c>
      <c r="M475" s="2">
        <v>5</v>
      </c>
      <c r="N475" s="2">
        <v>8</v>
      </c>
      <c r="O475" s="2">
        <v>10</v>
      </c>
      <c r="P475" s="2">
        <v>20</v>
      </c>
      <c r="Q475" s="2" t="s">
        <v>2714</v>
      </c>
      <c r="R475" s="2" t="s">
        <v>2714</v>
      </c>
      <c r="S475" s="4">
        <v>44837</v>
      </c>
    </row>
    <row r="476" spans="1:19" ht="12.5" x14ac:dyDescent="0.25">
      <c r="A476" s="14" t="str">
        <f>HYPERLINK("https://gerandofalcoes.my.salesforce.com/0014P00003YSp7iQAD", "0014P00003YSp7iQAD")</f>
        <v>0014P00003YSp7iQAD</v>
      </c>
      <c r="B476" s="2" t="s">
        <v>2680</v>
      </c>
      <c r="C476" s="2" t="s">
        <v>423</v>
      </c>
      <c r="D476" s="2" t="s">
        <v>2</v>
      </c>
      <c r="E476" s="2">
        <v>35</v>
      </c>
      <c r="F476" s="2">
        <v>0</v>
      </c>
      <c r="G476" s="2">
        <v>1</v>
      </c>
      <c r="H476" s="2">
        <v>2000</v>
      </c>
      <c r="I476" s="2">
        <v>300</v>
      </c>
      <c r="J476" s="2" t="s">
        <v>1779</v>
      </c>
      <c r="K476" s="2">
        <v>39</v>
      </c>
      <c r="L476" s="2">
        <v>15</v>
      </c>
      <c r="M476" s="2">
        <v>0</v>
      </c>
      <c r="N476" s="2">
        <v>4</v>
      </c>
      <c r="O476" s="2">
        <v>5</v>
      </c>
      <c r="P476" s="2">
        <v>15</v>
      </c>
      <c r="Q476" s="2" t="s">
        <v>2681</v>
      </c>
      <c r="R476" s="2" t="s">
        <v>2682</v>
      </c>
      <c r="S476" s="4">
        <v>44837</v>
      </c>
    </row>
    <row r="477" spans="1:19" ht="12.5" hidden="1" x14ac:dyDescent="0.25">
      <c r="A477" s="14" t="str">
        <f>HYPERLINK("https://gerandofalcoes.my.salesforce.com/0014P00003YSp7kQAD", "0014P00003YSp7kQAD")</f>
        <v>0014P00003YSp7kQAD</v>
      </c>
      <c r="B477" s="2" t="s">
        <v>2225</v>
      </c>
      <c r="C477" s="2" t="s">
        <v>1800</v>
      </c>
      <c r="D477" s="2" t="s">
        <v>2</v>
      </c>
      <c r="E477" s="2">
        <v>32</v>
      </c>
      <c r="F477" s="2">
        <v>0</v>
      </c>
      <c r="G477" s="2">
        <v>2</v>
      </c>
      <c r="H477" s="2">
        <v>0</v>
      </c>
      <c r="I477" s="2">
        <v>17</v>
      </c>
      <c r="J477" s="2" t="s">
        <v>1779</v>
      </c>
      <c r="K477" s="2">
        <v>26</v>
      </c>
      <c r="L477" s="2">
        <v>15</v>
      </c>
      <c r="M477" s="2">
        <v>0</v>
      </c>
      <c r="N477" s="2">
        <v>6</v>
      </c>
      <c r="O477" s="2">
        <v>0</v>
      </c>
      <c r="P477" s="2">
        <v>5</v>
      </c>
      <c r="Q477" s="2" t="s">
        <v>2226</v>
      </c>
      <c r="R477" s="2" t="s">
        <v>2227</v>
      </c>
      <c r="S477" s="4">
        <v>44837</v>
      </c>
    </row>
    <row r="478" spans="1:19" ht="12.5" x14ac:dyDescent="0.25">
      <c r="A478" s="14" t="str">
        <f>HYPERLINK("https://gerandofalcoes.my.salesforce.com/0014P00003YSp7lQAD", "0014P00003YSp7lQAD")</f>
        <v>0014P00003YSp7lQAD</v>
      </c>
      <c r="B478" s="2" t="s">
        <v>2057</v>
      </c>
      <c r="C478" s="2" t="s">
        <v>423</v>
      </c>
      <c r="D478" s="2" t="s">
        <v>2</v>
      </c>
      <c r="E478" s="2">
        <v>37</v>
      </c>
      <c r="F478" s="2">
        <v>0</v>
      </c>
      <c r="G478" s="2">
        <v>2</v>
      </c>
      <c r="H478" s="2">
        <v>50000</v>
      </c>
      <c r="I478" s="2">
        <v>0</v>
      </c>
      <c r="J478" s="2" t="s">
        <v>1779</v>
      </c>
      <c r="K478" s="2">
        <v>31</v>
      </c>
      <c r="L478" s="2">
        <v>15</v>
      </c>
      <c r="M478" s="2">
        <v>0</v>
      </c>
      <c r="N478" s="2">
        <v>6</v>
      </c>
      <c r="O478" s="2">
        <v>10</v>
      </c>
      <c r="P478" s="2">
        <v>0</v>
      </c>
      <c r="Q478" s="2" t="s">
        <v>2058</v>
      </c>
      <c r="R478" s="2" t="s">
        <v>2059</v>
      </c>
      <c r="S478" s="4">
        <v>44837</v>
      </c>
    </row>
    <row r="479" spans="1:19" ht="12.5" hidden="1" x14ac:dyDescent="0.25">
      <c r="A479" s="14" t="str">
        <f>HYPERLINK("https://gerandofalcoes.my.salesforce.com/0014P00003YSp7mQAD", "0014P00003YSp7mQAD")</f>
        <v>0014P00003YSp7mQAD</v>
      </c>
      <c r="B479" s="2" t="s">
        <v>2109</v>
      </c>
      <c r="C479" s="2" t="s">
        <v>1800</v>
      </c>
      <c r="D479" s="2" t="s">
        <v>2</v>
      </c>
      <c r="E479" s="2">
        <v>35</v>
      </c>
      <c r="F479" s="2">
        <v>5</v>
      </c>
      <c r="G479" s="2">
        <v>4</v>
      </c>
      <c r="H479" s="2">
        <v>0</v>
      </c>
      <c r="I479" s="2">
        <v>53</v>
      </c>
      <c r="J479" s="2" t="s">
        <v>1779</v>
      </c>
      <c r="K479" s="2">
        <v>35</v>
      </c>
      <c r="L479" s="2">
        <v>15</v>
      </c>
      <c r="M479" s="2">
        <v>5</v>
      </c>
      <c r="N479" s="2">
        <v>10</v>
      </c>
      <c r="O479" s="2">
        <v>0</v>
      </c>
      <c r="P479" s="2">
        <v>5</v>
      </c>
      <c r="Q479" s="2" t="s">
        <v>2110</v>
      </c>
      <c r="R479" s="2" t="s">
        <v>2111</v>
      </c>
      <c r="S479" s="4">
        <v>44837</v>
      </c>
    </row>
    <row r="480" spans="1:19" ht="12.5" hidden="1" x14ac:dyDescent="0.25">
      <c r="A480" s="14" t="str">
        <f>HYPERLINK("https://gerandofalcoes.my.salesforce.com/0014P00003YSp7nQAD", "0014P00003YSp7nQAD")</f>
        <v>0014P00003YSp7nQAD</v>
      </c>
      <c r="B480" s="2" t="s">
        <v>2401</v>
      </c>
      <c r="C480" s="2" t="s">
        <v>1800</v>
      </c>
      <c r="D480" s="2" t="s">
        <v>2</v>
      </c>
      <c r="E480" s="2">
        <v>25</v>
      </c>
      <c r="F480" s="2">
        <v>7</v>
      </c>
      <c r="G480" s="2">
        <v>6</v>
      </c>
      <c r="H480" s="2">
        <v>200000</v>
      </c>
      <c r="I480" s="2">
        <v>350</v>
      </c>
      <c r="J480" s="2" t="s">
        <v>1650</v>
      </c>
      <c r="K480" s="2">
        <v>65</v>
      </c>
      <c r="L480" s="2">
        <v>15</v>
      </c>
      <c r="M480" s="2">
        <v>10</v>
      </c>
      <c r="N480" s="2">
        <v>10</v>
      </c>
      <c r="O480" s="2">
        <v>15</v>
      </c>
      <c r="P480" s="2">
        <v>15</v>
      </c>
      <c r="Q480" s="2" t="s">
        <v>2402</v>
      </c>
      <c r="R480" s="2" t="s">
        <v>2403</v>
      </c>
      <c r="S480" s="4">
        <v>44837</v>
      </c>
    </row>
    <row r="481" spans="1:19" ht="12.5" hidden="1" x14ac:dyDescent="0.25">
      <c r="A481" s="14" t="str">
        <f>HYPERLINK("https://gerandofalcoes.my.salesforce.com/0014P00003YSp7oQAD", "0014P00003YSp7oQAD")</f>
        <v>0014P00003YSp7oQAD</v>
      </c>
      <c r="B481" s="2" t="s">
        <v>2746</v>
      </c>
      <c r="C481" s="2" t="s">
        <v>1800</v>
      </c>
      <c r="D481" s="2" t="s">
        <v>2</v>
      </c>
      <c r="E481" s="2">
        <v>14</v>
      </c>
      <c r="F481" s="2">
        <v>30</v>
      </c>
      <c r="G481" s="2">
        <v>2</v>
      </c>
      <c r="H481" s="2">
        <v>10000</v>
      </c>
      <c r="I481" s="2">
        <v>350</v>
      </c>
      <c r="J481" s="2" t="s">
        <v>1671</v>
      </c>
      <c r="K481" s="2">
        <v>48</v>
      </c>
      <c r="L481" s="2">
        <v>10</v>
      </c>
      <c r="M481" s="2">
        <v>12</v>
      </c>
      <c r="N481" s="2">
        <v>6</v>
      </c>
      <c r="O481" s="2">
        <v>5</v>
      </c>
      <c r="P481" s="2">
        <v>15</v>
      </c>
      <c r="Q481" s="2" t="s">
        <v>2747</v>
      </c>
      <c r="R481" s="2" t="s">
        <v>2748</v>
      </c>
      <c r="S481" s="4">
        <v>44837</v>
      </c>
    </row>
    <row r="482" spans="1:19" ht="12.5" hidden="1" x14ac:dyDescent="0.25">
      <c r="A482" s="14" t="str">
        <f>HYPERLINK("https://gerandofalcoes.my.salesforce.com/0014P00003YSp7pQAD", "0014P00003YSp7pQAD")</f>
        <v>0014P00003YSp7pQAD</v>
      </c>
      <c r="B482" s="2" t="s">
        <v>2596</v>
      </c>
      <c r="C482" s="2" t="s">
        <v>1800</v>
      </c>
      <c r="D482" s="2" t="s">
        <v>2</v>
      </c>
      <c r="E482" s="2">
        <v>19</v>
      </c>
      <c r="F482" s="2">
        <v>0</v>
      </c>
      <c r="G482" s="2">
        <v>3</v>
      </c>
      <c r="H482" s="2">
        <v>150000</v>
      </c>
      <c r="I482" s="2">
        <v>190</v>
      </c>
      <c r="J482" s="2" t="s">
        <v>1671</v>
      </c>
      <c r="K482" s="2">
        <v>45</v>
      </c>
      <c r="L482" s="2">
        <v>10</v>
      </c>
      <c r="M482" s="2">
        <v>0</v>
      </c>
      <c r="N482" s="2">
        <v>8</v>
      </c>
      <c r="O482" s="2">
        <v>15</v>
      </c>
      <c r="P482" s="2">
        <v>12</v>
      </c>
      <c r="Q482" s="2" t="s">
        <v>2597</v>
      </c>
      <c r="R482" s="2" t="s">
        <v>2598</v>
      </c>
      <c r="S482" s="4">
        <v>44837</v>
      </c>
    </row>
    <row r="483" spans="1:19" ht="12.5" x14ac:dyDescent="0.25">
      <c r="A483" s="14" t="str">
        <f>HYPERLINK("https://gerandofalcoes.my.salesforce.com/0014P00003YSp7qQAD", "0014P00003YSp7qQAD")</f>
        <v>0014P00003YSp7qQAD</v>
      </c>
      <c r="B483" s="2" t="s">
        <v>2438</v>
      </c>
      <c r="C483" s="2" t="s">
        <v>423</v>
      </c>
      <c r="D483" s="2" t="s">
        <v>2</v>
      </c>
      <c r="E483" s="2">
        <v>24</v>
      </c>
      <c r="F483" s="2">
        <v>5</v>
      </c>
      <c r="G483" s="2">
        <v>2</v>
      </c>
      <c r="H483" s="2">
        <v>7000</v>
      </c>
      <c r="I483" s="2">
        <v>1250</v>
      </c>
      <c r="J483" s="2" t="s">
        <v>1671</v>
      </c>
      <c r="K483" s="2">
        <v>46</v>
      </c>
      <c r="L483" s="2">
        <v>10</v>
      </c>
      <c r="M483" s="2">
        <v>5</v>
      </c>
      <c r="N483" s="2">
        <v>6</v>
      </c>
      <c r="O483" s="2">
        <v>5</v>
      </c>
      <c r="P483" s="2">
        <v>20</v>
      </c>
      <c r="Q483" s="2" t="s">
        <v>2439</v>
      </c>
      <c r="R483" s="2" t="s">
        <v>2440</v>
      </c>
      <c r="S483" s="4">
        <v>44837</v>
      </c>
    </row>
    <row r="484" spans="1:19" ht="12.5" hidden="1" x14ac:dyDescent="0.25">
      <c r="A484" s="14" t="str">
        <f>HYPERLINK("https://gerandofalcoes.my.salesforce.com/0014P00003YSp7rQAD", "0014P00003YSp7rQAD")</f>
        <v>0014P00003YSp7rQAD</v>
      </c>
      <c r="B484" s="2" t="s">
        <v>2509</v>
      </c>
      <c r="C484" s="2" t="s">
        <v>1800</v>
      </c>
      <c r="D484" s="2" t="s">
        <v>2</v>
      </c>
      <c r="E484" s="2">
        <v>21</v>
      </c>
      <c r="F484" s="2">
        <v>1</v>
      </c>
      <c r="G484" s="2">
        <v>2</v>
      </c>
      <c r="H484" s="2">
        <v>11000</v>
      </c>
      <c r="I484" s="2">
        <v>320</v>
      </c>
      <c r="J484" s="2" t="s">
        <v>1671</v>
      </c>
      <c r="K484" s="2">
        <v>41</v>
      </c>
      <c r="L484" s="2">
        <v>10</v>
      </c>
      <c r="M484" s="2">
        <v>5</v>
      </c>
      <c r="N484" s="2">
        <v>6</v>
      </c>
      <c r="O484" s="2">
        <v>5</v>
      </c>
      <c r="P484" s="2">
        <v>15</v>
      </c>
      <c r="Q484" s="2" t="s">
        <v>2510</v>
      </c>
      <c r="R484" s="2" t="s">
        <v>2510</v>
      </c>
      <c r="S484" s="4">
        <v>44837</v>
      </c>
    </row>
    <row r="485" spans="1:19" ht="12.5" x14ac:dyDescent="0.25">
      <c r="A485" s="14" t="str">
        <f>HYPERLINK("https://gerandofalcoes.my.salesforce.com/0014P00003YSp7sQAD", "0014P00003YSp7sQAD")</f>
        <v>0014P00003YSp7sQAD</v>
      </c>
      <c r="B485" s="2" t="s">
        <v>1674</v>
      </c>
      <c r="C485" s="2" t="s">
        <v>423</v>
      </c>
      <c r="D485" s="2" t="s">
        <v>27</v>
      </c>
      <c r="E485" s="2">
        <v>88.17</v>
      </c>
      <c r="F485" s="2">
        <v>12</v>
      </c>
      <c r="G485" s="2">
        <v>3</v>
      </c>
      <c r="H485" s="2">
        <v>60000</v>
      </c>
      <c r="I485" s="2">
        <v>300</v>
      </c>
      <c r="J485" s="2" t="s">
        <v>1650</v>
      </c>
      <c r="K485" s="2">
        <v>70</v>
      </c>
      <c r="L485" s="2">
        <v>25</v>
      </c>
      <c r="M485" s="2">
        <v>12</v>
      </c>
      <c r="N485" s="2">
        <v>8</v>
      </c>
      <c r="O485" s="2">
        <v>10</v>
      </c>
      <c r="P485" s="2">
        <v>15</v>
      </c>
      <c r="Q485" s="2" t="s">
        <v>1675</v>
      </c>
      <c r="R485" s="2" t="s">
        <v>1675</v>
      </c>
      <c r="S485" s="4">
        <v>44837</v>
      </c>
    </row>
    <row r="486" spans="1:19" ht="12.5" hidden="1" x14ac:dyDescent="0.25">
      <c r="A486" s="14" t="str">
        <f>HYPERLINK("https://gerandofalcoes.my.salesforce.com/0014P00003YSp7tQAD", "0014P00003YSp7tQAD")</f>
        <v>0014P00003YSp7tQAD</v>
      </c>
      <c r="B486" s="2" t="s">
        <v>2418</v>
      </c>
      <c r="C486" s="2" t="s">
        <v>1800</v>
      </c>
      <c r="D486" s="2" t="s">
        <v>2</v>
      </c>
      <c r="E486" s="2">
        <v>25</v>
      </c>
      <c r="F486" s="2">
        <v>8</v>
      </c>
      <c r="G486" s="2">
        <v>2</v>
      </c>
      <c r="H486" s="2">
        <v>0</v>
      </c>
      <c r="I486" s="2">
        <v>0</v>
      </c>
      <c r="J486" s="2" t="s">
        <v>1779</v>
      </c>
      <c r="K486" s="2">
        <v>31</v>
      </c>
      <c r="L486" s="2">
        <v>15</v>
      </c>
      <c r="M486" s="2">
        <v>10</v>
      </c>
      <c r="N486" s="2">
        <v>6</v>
      </c>
      <c r="O486" s="2">
        <v>0</v>
      </c>
      <c r="P486" s="2">
        <v>0</v>
      </c>
      <c r="Q486" s="2" t="s">
        <v>2419</v>
      </c>
      <c r="R486" s="2" t="s">
        <v>2419</v>
      </c>
      <c r="S486" s="4">
        <v>44837</v>
      </c>
    </row>
    <row r="487" spans="1:19" ht="12.5" x14ac:dyDescent="0.25">
      <c r="A487" s="14" t="str">
        <f>HYPERLINK("https://gerandofalcoes.my.salesforce.com/0014P00003YSp7uQAD", "0014P00003YSp7uQAD")</f>
        <v>0014P00003YSp7uQAD</v>
      </c>
      <c r="B487" s="2" t="s">
        <v>2120</v>
      </c>
      <c r="C487" s="2" t="s">
        <v>423</v>
      </c>
      <c r="D487" s="2" t="s">
        <v>2</v>
      </c>
      <c r="E487" s="2">
        <v>35</v>
      </c>
      <c r="F487" s="2">
        <v>5</v>
      </c>
      <c r="G487" s="2">
        <v>2</v>
      </c>
      <c r="H487" s="2">
        <v>100000</v>
      </c>
      <c r="I487" s="2">
        <v>0</v>
      </c>
      <c r="J487" s="2" t="s">
        <v>1671</v>
      </c>
      <c r="K487" s="2">
        <v>41</v>
      </c>
      <c r="L487" s="2">
        <v>15</v>
      </c>
      <c r="M487" s="2">
        <v>5</v>
      </c>
      <c r="N487" s="2">
        <v>6</v>
      </c>
      <c r="O487" s="2">
        <v>15</v>
      </c>
      <c r="P487" s="2">
        <v>0</v>
      </c>
      <c r="Q487" s="2" t="s">
        <v>2121</v>
      </c>
      <c r="R487" s="2" t="s">
        <v>2121</v>
      </c>
      <c r="S487" s="4">
        <v>44837</v>
      </c>
    </row>
    <row r="488" spans="1:19" ht="12.5" hidden="1" x14ac:dyDescent="0.25">
      <c r="A488" s="14" t="str">
        <f>HYPERLINK("https://gerandofalcoes.my.salesforce.com/0014X00002VKCtVQAX", "0014X00002VKCtVQAX")</f>
        <v>0014X00002VKCtVQAX</v>
      </c>
      <c r="B488" s="2" t="s">
        <v>2665</v>
      </c>
      <c r="C488" s="2" t="s">
        <v>1800</v>
      </c>
      <c r="D488" s="2" t="s">
        <v>2</v>
      </c>
      <c r="E488" s="2">
        <v>17</v>
      </c>
      <c r="F488" s="2">
        <v>8</v>
      </c>
      <c r="G488" s="2">
        <v>2</v>
      </c>
      <c r="H488" s="2">
        <v>8000</v>
      </c>
      <c r="I488" s="2">
        <v>16</v>
      </c>
      <c r="J488" s="2" t="s">
        <v>1779</v>
      </c>
      <c r="K488" s="2">
        <v>36</v>
      </c>
      <c r="L488" s="2">
        <v>10</v>
      </c>
      <c r="M488" s="2">
        <v>10</v>
      </c>
      <c r="N488" s="2">
        <v>6</v>
      </c>
      <c r="O488" s="2">
        <v>5</v>
      </c>
      <c r="P488" s="2">
        <v>5</v>
      </c>
      <c r="Q488" s="2" t="s">
        <v>2666</v>
      </c>
      <c r="R488" s="2" t="s">
        <v>2666</v>
      </c>
      <c r="S488" s="4">
        <v>44837</v>
      </c>
    </row>
    <row r="489" spans="1:19" ht="12.5" x14ac:dyDescent="0.25">
      <c r="A489" s="14" t="str">
        <f>HYPERLINK("https://gerandofalcoes.my.salesforce.com/0014X00002VKCuqQAH", "0014X00002VKCuqQAH")</f>
        <v>0014X00002VKCuqQAH</v>
      </c>
      <c r="B489" s="2" t="s">
        <v>2649</v>
      </c>
      <c r="C489" s="2" t="s">
        <v>423</v>
      </c>
      <c r="D489" s="2" t="s">
        <v>2</v>
      </c>
      <c r="E489" s="2">
        <v>17.440000000000001</v>
      </c>
      <c r="F489" s="2">
        <v>0</v>
      </c>
      <c r="G489" s="2">
        <v>3</v>
      </c>
      <c r="H489" s="2">
        <v>7019</v>
      </c>
      <c r="I489" s="2">
        <v>100</v>
      </c>
      <c r="J489" s="2" t="s">
        <v>1779</v>
      </c>
      <c r="K489" s="2">
        <v>33</v>
      </c>
      <c r="L489" s="2">
        <v>10</v>
      </c>
      <c r="M489" s="2">
        <v>0</v>
      </c>
      <c r="N489" s="2">
        <v>8</v>
      </c>
      <c r="O489" s="2">
        <v>5</v>
      </c>
      <c r="P489" s="2">
        <v>10</v>
      </c>
      <c r="Q489" s="2" t="s">
        <v>2650</v>
      </c>
      <c r="R489" s="2" t="s">
        <v>2650</v>
      </c>
      <c r="S489" s="4">
        <v>44837</v>
      </c>
    </row>
    <row r="490" spans="1:19" ht="12.5" hidden="1" x14ac:dyDescent="0.25">
      <c r="A490" s="14" t="str">
        <f>HYPERLINK("https://gerandofalcoes.my.salesforce.com/0014X00002VKCrhQAH", "0014X00002VKCrhQAH")</f>
        <v>0014X00002VKCrhQAH</v>
      </c>
      <c r="B490" s="2" t="s">
        <v>3895</v>
      </c>
      <c r="C490" s="2" t="s">
        <v>1800</v>
      </c>
      <c r="D490" s="2" t="s">
        <v>2</v>
      </c>
      <c r="E490" s="2">
        <v>45</v>
      </c>
      <c r="F490" s="2">
        <v>6</v>
      </c>
      <c r="G490" s="2">
        <v>5</v>
      </c>
      <c r="H490" s="2">
        <v>150000</v>
      </c>
      <c r="I490" s="2">
        <v>200</v>
      </c>
      <c r="J490" s="2" t="s">
        <v>1671</v>
      </c>
      <c r="K490" s="2">
        <v>62</v>
      </c>
      <c r="L490" s="2">
        <v>15</v>
      </c>
      <c r="M490" s="2">
        <v>10</v>
      </c>
      <c r="N490" s="2">
        <v>10</v>
      </c>
      <c r="O490" s="2">
        <v>15</v>
      </c>
      <c r="P490" s="2">
        <v>12</v>
      </c>
      <c r="Q490" s="2" t="s">
        <v>3896</v>
      </c>
      <c r="R490" s="2" t="s">
        <v>3897</v>
      </c>
      <c r="S490" s="4">
        <v>44837</v>
      </c>
    </row>
    <row r="491" spans="1:19" ht="12.5" hidden="1" x14ac:dyDescent="0.25">
      <c r="A491" s="14" t="str">
        <f>HYPERLINK("https://gerandofalcoes.my.salesforce.com/0014X00002VKCuSQAX", "0014X00002VKCuSQAX")</f>
        <v>0014X00002VKCuSQAX</v>
      </c>
      <c r="B491" s="2" t="s">
        <v>2444</v>
      </c>
      <c r="C491" s="2" t="s">
        <v>1800</v>
      </c>
      <c r="D491" s="2" t="s">
        <v>2</v>
      </c>
      <c r="E491" s="2">
        <v>24</v>
      </c>
      <c r="F491" s="2">
        <v>6</v>
      </c>
      <c r="G491" s="2">
        <v>2</v>
      </c>
      <c r="H491" s="2">
        <v>15000</v>
      </c>
      <c r="I491" s="2">
        <v>336</v>
      </c>
      <c r="J491" s="2" t="s">
        <v>1671</v>
      </c>
      <c r="K491" s="2">
        <v>46</v>
      </c>
      <c r="L491" s="2">
        <v>10</v>
      </c>
      <c r="M491" s="2">
        <v>10</v>
      </c>
      <c r="N491" s="2">
        <v>6</v>
      </c>
      <c r="O491" s="2">
        <v>5</v>
      </c>
      <c r="P491" s="2">
        <v>15</v>
      </c>
      <c r="Q491" s="2" t="s">
        <v>2445</v>
      </c>
      <c r="R491" s="2" t="s">
        <v>2446</v>
      </c>
      <c r="S491" s="4">
        <v>44837</v>
      </c>
    </row>
    <row r="492" spans="1:19" ht="12.5" x14ac:dyDescent="0.25">
      <c r="A492" s="14" t="str">
        <f>HYPERLINK("https://gerandofalcoes.my.salesforce.com/0014X00002VKCr2QAH", "0014X00002VKCr2QAH")</f>
        <v>0014X00002VKCr2QAH</v>
      </c>
      <c r="B492" s="2" t="s">
        <v>1915</v>
      </c>
      <c r="C492" s="2" t="s">
        <v>423</v>
      </c>
      <c r="D492" s="2" t="s">
        <v>2</v>
      </c>
      <c r="E492" s="2">
        <v>36</v>
      </c>
      <c r="F492" s="2">
        <v>8</v>
      </c>
      <c r="G492" s="2">
        <v>2</v>
      </c>
      <c r="H492" s="2">
        <v>4500000</v>
      </c>
      <c r="I492" s="2">
        <v>-40</v>
      </c>
      <c r="J492" s="2" t="s">
        <v>1671</v>
      </c>
      <c r="K492" s="2">
        <v>56</v>
      </c>
      <c r="L492" s="2">
        <v>15</v>
      </c>
      <c r="M492" s="2">
        <v>10</v>
      </c>
      <c r="N492" s="2">
        <v>6</v>
      </c>
      <c r="O492" s="2">
        <v>25</v>
      </c>
      <c r="P492" s="2">
        <v>0</v>
      </c>
      <c r="Q492" s="2" t="s">
        <v>1916</v>
      </c>
      <c r="R492" s="2" t="s">
        <v>1917</v>
      </c>
      <c r="S492" s="4">
        <v>44837</v>
      </c>
    </row>
    <row r="493" spans="1:19" ht="12.5" x14ac:dyDescent="0.25">
      <c r="A493" s="14" t="str">
        <f>HYPERLINK("https://gerandofalcoes.my.salesforce.com/0014X00002VKCtHQAX", "0014X00002VKCtHQAX")</f>
        <v>0014X00002VKCtHQAX</v>
      </c>
      <c r="B493" s="2" t="s">
        <v>2188</v>
      </c>
      <c r="C493" s="2" t="s">
        <v>423</v>
      </c>
      <c r="D493" s="2" t="s">
        <v>2</v>
      </c>
      <c r="E493" s="2">
        <v>33</v>
      </c>
      <c r="F493" s="2">
        <v>0</v>
      </c>
      <c r="G493" s="2">
        <v>3</v>
      </c>
      <c r="H493" s="2">
        <v>3000</v>
      </c>
      <c r="I493" s="2">
        <v>0</v>
      </c>
      <c r="J493" s="2" t="s">
        <v>1779</v>
      </c>
      <c r="K493" s="2">
        <v>28</v>
      </c>
      <c r="L493" s="2">
        <v>15</v>
      </c>
      <c r="M493" s="2">
        <v>0</v>
      </c>
      <c r="N493" s="2">
        <v>8</v>
      </c>
      <c r="O493" s="2">
        <v>5</v>
      </c>
      <c r="P493" s="2">
        <v>0</v>
      </c>
      <c r="Q493" s="2" t="s">
        <v>2189</v>
      </c>
      <c r="R493" s="2" t="s">
        <v>2190</v>
      </c>
      <c r="S493" s="4">
        <v>44837</v>
      </c>
    </row>
    <row r="494" spans="1:19" ht="12.5" x14ac:dyDescent="0.25">
      <c r="A494" s="14" t="str">
        <f>HYPERLINK("https://gerandofalcoes.my.salesforce.com/0014X00002VKCtXQAX", "0014X00002VKCtXQAX")</f>
        <v>0014X00002VKCtXQAX</v>
      </c>
      <c r="B494" s="2" t="s">
        <v>2462</v>
      </c>
      <c r="C494" s="2" t="s">
        <v>423</v>
      </c>
      <c r="D494" s="2" t="s">
        <v>2</v>
      </c>
      <c r="E494" s="2">
        <v>23</v>
      </c>
      <c r="F494" s="2">
        <v>0</v>
      </c>
      <c r="G494" s="2">
        <v>2</v>
      </c>
      <c r="H494" s="2">
        <v>25000</v>
      </c>
      <c r="I494" s="2">
        <v>60</v>
      </c>
      <c r="J494" s="2" t="s">
        <v>1779</v>
      </c>
      <c r="K494" s="2">
        <v>31</v>
      </c>
      <c r="L494" s="2">
        <v>10</v>
      </c>
      <c r="M494" s="2">
        <v>0</v>
      </c>
      <c r="N494" s="2">
        <v>6</v>
      </c>
      <c r="O494" s="2">
        <v>10</v>
      </c>
      <c r="P494" s="2">
        <v>5</v>
      </c>
      <c r="Q494" s="2" t="s">
        <v>2463</v>
      </c>
      <c r="R494" s="2" t="s">
        <v>2464</v>
      </c>
      <c r="S494" s="4">
        <v>44837</v>
      </c>
    </row>
    <row r="495" spans="1:19" ht="12.5" x14ac:dyDescent="0.25">
      <c r="A495" s="14" t="str">
        <f>HYPERLINK("https://gerandofalcoes.my.salesforce.com/0014X00002VKCsDQAX", "0014X00002VKCsDQAX")</f>
        <v>0014X00002VKCsDQAX</v>
      </c>
      <c r="B495" s="2" t="s">
        <v>2789</v>
      </c>
      <c r="C495" s="2" t="s">
        <v>423</v>
      </c>
      <c r="D495" s="2" t="s">
        <v>2</v>
      </c>
      <c r="E495" s="2">
        <v>13</v>
      </c>
      <c r="F495" s="2">
        <v>0</v>
      </c>
      <c r="G495" s="2">
        <v>2</v>
      </c>
      <c r="H495" s="2">
        <v>14000</v>
      </c>
      <c r="I495" s="2">
        <v>60</v>
      </c>
      <c r="J495" s="2" t="s">
        <v>1779</v>
      </c>
      <c r="K495" s="2">
        <v>26</v>
      </c>
      <c r="L495" s="2">
        <v>10</v>
      </c>
      <c r="M495" s="2">
        <v>0</v>
      </c>
      <c r="N495" s="2">
        <v>6</v>
      </c>
      <c r="O495" s="2">
        <v>5</v>
      </c>
      <c r="P495" s="2">
        <v>5</v>
      </c>
      <c r="Q495" s="2" t="s">
        <v>2790</v>
      </c>
      <c r="R495" s="2" t="s">
        <v>2791</v>
      </c>
      <c r="S495" s="4">
        <v>44837</v>
      </c>
    </row>
    <row r="496" spans="1:19" ht="12.5" hidden="1" x14ac:dyDescent="0.25">
      <c r="A496" s="14" t="str">
        <f>HYPERLINK("https://gerandofalcoes.my.salesforce.com/0014X00002VKCrLQAX", "0014X00002VKCrLQAX")</f>
        <v>0014X00002VKCrLQAX</v>
      </c>
      <c r="B496" s="2" t="s">
        <v>2637</v>
      </c>
      <c r="C496" s="2" t="s">
        <v>1800</v>
      </c>
      <c r="D496" s="2" t="s">
        <v>2</v>
      </c>
      <c r="E496" s="2">
        <v>18</v>
      </c>
      <c r="F496" s="2">
        <v>0</v>
      </c>
      <c r="G496" s="2">
        <v>4</v>
      </c>
      <c r="H496" s="2">
        <v>6.5</v>
      </c>
      <c r="I496" s="2">
        <v>45</v>
      </c>
      <c r="J496" s="2" t="s">
        <v>1779</v>
      </c>
      <c r="K496" s="2">
        <v>30</v>
      </c>
      <c r="L496" s="2">
        <v>10</v>
      </c>
      <c r="M496" s="2">
        <v>0</v>
      </c>
      <c r="N496" s="2">
        <v>10</v>
      </c>
      <c r="O496" s="2">
        <v>5</v>
      </c>
      <c r="P496" s="2">
        <v>5</v>
      </c>
      <c r="Q496" s="2" t="s">
        <v>2638</v>
      </c>
      <c r="R496" s="2" t="s">
        <v>2638</v>
      </c>
      <c r="S496" s="4">
        <v>44837</v>
      </c>
    </row>
    <row r="497" spans="1:19" ht="12.5" hidden="1" x14ac:dyDescent="0.25">
      <c r="A497" s="14" t="str">
        <f>HYPERLINK("https://gerandofalcoes.my.salesforce.com/0014X00002VKCtMQAX", "0014X00002VKCtMQAX")</f>
        <v>0014X00002VKCtMQAX</v>
      </c>
      <c r="B497" s="2" t="s">
        <v>2762</v>
      </c>
      <c r="C497" s="2" t="s">
        <v>1800</v>
      </c>
      <c r="D497" s="2" t="s">
        <v>2</v>
      </c>
      <c r="E497" s="2">
        <v>14</v>
      </c>
      <c r="F497" s="2">
        <v>5</v>
      </c>
      <c r="G497" s="2">
        <v>2</v>
      </c>
      <c r="H497" s="2">
        <v>500</v>
      </c>
      <c r="I497" s="2">
        <v>0</v>
      </c>
      <c r="J497" s="2" t="s">
        <v>1779</v>
      </c>
      <c r="K497" s="2">
        <v>26</v>
      </c>
      <c r="L497" s="2">
        <v>10</v>
      </c>
      <c r="M497" s="2">
        <v>5</v>
      </c>
      <c r="N497" s="2">
        <v>6</v>
      </c>
      <c r="O497" s="2">
        <v>5</v>
      </c>
      <c r="P497" s="2">
        <v>0</v>
      </c>
      <c r="Q497" s="2" t="s">
        <v>2763</v>
      </c>
      <c r="R497" s="2" t="s">
        <v>2764</v>
      </c>
      <c r="S497" s="4">
        <v>44837</v>
      </c>
    </row>
    <row r="498" spans="1:19" ht="12.5" x14ac:dyDescent="0.25">
      <c r="A498" s="14" t="str">
        <f>HYPERLINK("https://gerandofalcoes.my.salesforce.com/0014X00002VKCqNQAX", "0014X00002VKCqNQAX")</f>
        <v>0014X00002VKCqNQAX</v>
      </c>
      <c r="B498" s="2" t="s">
        <v>2783</v>
      </c>
      <c r="C498" s="2" t="s">
        <v>423</v>
      </c>
      <c r="D498" s="2" t="s">
        <v>2</v>
      </c>
      <c r="E498" s="2">
        <v>13</v>
      </c>
      <c r="F498" s="2">
        <v>10</v>
      </c>
      <c r="G498" s="2">
        <v>10</v>
      </c>
      <c r="H498" s="2">
        <v>275000</v>
      </c>
      <c r="I498" s="2">
        <v>348</v>
      </c>
      <c r="J498" s="2" t="s">
        <v>1671</v>
      </c>
      <c r="K498" s="2">
        <v>60</v>
      </c>
      <c r="L498" s="2">
        <v>10</v>
      </c>
      <c r="M498" s="2">
        <v>10</v>
      </c>
      <c r="N498" s="2">
        <v>10</v>
      </c>
      <c r="O498" s="2">
        <v>15</v>
      </c>
      <c r="P498" s="2">
        <v>15</v>
      </c>
      <c r="Q498" s="2" t="s">
        <v>2784</v>
      </c>
      <c r="R498" s="2" t="s">
        <v>2785</v>
      </c>
      <c r="S498" s="4">
        <v>44837</v>
      </c>
    </row>
    <row r="499" spans="1:19" ht="12.5" hidden="1" x14ac:dyDescent="0.25">
      <c r="A499" s="14" t="str">
        <f>HYPERLINK("https://gerandofalcoes.my.salesforce.com/0014X00002VKCtRQAX", "0014X00002VKCtRQAX")</f>
        <v>0014X00002VKCtRQAX</v>
      </c>
      <c r="B499" s="2" t="s">
        <v>2529</v>
      </c>
      <c r="C499" s="2" t="s">
        <v>1800</v>
      </c>
      <c r="D499" s="2" t="s">
        <v>2</v>
      </c>
      <c r="E499" s="2">
        <v>21</v>
      </c>
      <c r="F499" s="2">
        <v>1</v>
      </c>
      <c r="G499" s="2">
        <v>6</v>
      </c>
      <c r="H499" s="2">
        <v>300</v>
      </c>
      <c r="I499" s="2">
        <v>30</v>
      </c>
      <c r="J499" s="2" t="s">
        <v>1779</v>
      </c>
      <c r="K499" s="2">
        <v>35</v>
      </c>
      <c r="L499" s="2">
        <v>10</v>
      </c>
      <c r="M499" s="2">
        <v>5</v>
      </c>
      <c r="N499" s="2">
        <v>10</v>
      </c>
      <c r="O499" s="2">
        <v>5</v>
      </c>
      <c r="P499" s="2">
        <v>5</v>
      </c>
      <c r="Q499" s="2" t="s">
        <v>2530</v>
      </c>
      <c r="R499" s="2" t="s">
        <v>2530</v>
      </c>
      <c r="S499" s="4">
        <v>44837</v>
      </c>
    </row>
    <row r="500" spans="1:19" ht="12.5" x14ac:dyDescent="0.25">
      <c r="A500" s="14" t="str">
        <f>HYPERLINK("https://gerandofalcoes.my.salesforce.com/0014X00002VKCrvQAH", "0014X00002VKCrvQAH")</f>
        <v>0014X00002VKCrvQAH</v>
      </c>
      <c r="B500" s="2" t="s">
        <v>2816</v>
      </c>
      <c r="C500" s="2" t="s">
        <v>423</v>
      </c>
      <c r="D500" s="2" t="s">
        <v>2</v>
      </c>
      <c r="E500" s="2">
        <v>10</v>
      </c>
      <c r="F500" s="2">
        <v>4</v>
      </c>
      <c r="G500" s="2">
        <v>1</v>
      </c>
      <c r="H500" s="2">
        <v>1200</v>
      </c>
      <c r="I500" s="2">
        <v>150</v>
      </c>
      <c r="J500" s="2" t="s">
        <v>1779</v>
      </c>
      <c r="K500" s="2">
        <v>36</v>
      </c>
      <c r="L500" s="2">
        <v>10</v>
      </c>
      <c r="M500" s="2">
        <v>5</v>
      </c>
      <c r="N500" s="2">
        <v>4</v>
      </c>
      <c r="O500" s="2">
        <v>5</v>
      </c>
      <c r="P500" s="2">
        <v>12</v>
      </c>
      <c r="Q500" s="2" t="s">
        <v>7160</v>
      </c>
      <c r="R500" s="2" t="s">
        <v>7160</v>
      </c>
      <c r="S500" s="4">
        <v>44837</v>
      </c>
    </row>
    <row r="501" spans="1:19" ht="12.5" x14ac:dyDescent="0.25">
      <c r="A501" s="14" t="str">
        <f>HYPERLINK("https://gerandofalcoes.my.salesforce.com/0014X00002VKD04QAH", "0014X00002VKD04QAH")</f>
        <v>0014X00002VKD04QAH</v>
      </c>
      <c r="B501" s="2" t="s">
        <v>2282</v>
      </c>
      <c r="C501" s="2" t="s">
        <v>423</v>
      </c>
      <c r="D501" s="2" t="s">
        <v>2</v>
      </c>
      <c r="E501" s="2">
        <v>37</v>
      </c>
      <c r="F501" s="2">
        <v>24</v>
      </c>
      <c r="G501" s="2">
        <v>3</v>
      </c>
      <c r="H501" s="2">
        <v>1200000</v>
      </c>
      <c r="I501" s="2">
        <v>35</v>
      </c>
      <c r="J501" s="2" t="s">
        <v>1650</v>
      </c>
      <c r="K501" s="2">
        <v>65</v>
      </c>
      <c r="L501" s="2">
        <v>15</v>
      </c>
      <c r="M501" s="2">
        <v>12</v>
      </c>
      <c r="N501" s="2">
        <v>8</v>
      </c>
      <c r="O501" s="2">
        <v>25</v>
      </c>
      <c r="P501" s="2">
        <v>5</v>
      </c>
      <c r="Q501" s="2" t="s">
        <v>2283</v>
      </c>
      <c r="R501" s="2" t="s">
        <v>2284</v>
      </c>
      <c r="S501" s="4">
        <v>44837</v>
      </c>
    </row>
    <row r="502" spans="1:19" ht="12.5" x14ac:dyDescent="0.25">
      <c r="A502" s="14" t="str">
        <f>HYPERLINK("https://gerandofalcoes.my.salesforce.com/0014X00002VKCvAQAX", "0014X00002VKCvAQAX")</f>
        <v>0014X00002VKCvAQAX</v>
      </c>
      <c r="B502" s="2" t="s">
        <v>2927</v>
      </c>
      <c r="C502" s="2" t="s">
        <v>423</v>
      </c>
      <c r="D502" s="2" t="s">
        <v>2</v>
      </c>
      <c r="E502" s="2">
        <v>6.68</v>
      </c>
      <c r="F502" s="2">
        <v>0</v>
      </c>
      <c r="G502" s="2">
        <v>1</v>
      </c>
      <c r="H502" s="2">
        <v>35000</v>
      </c>
      <c r="I502" s="2">
        <v>0</v>
      </c>
      <c r="J502" s="2" t="s">
        <v>1779</v>
      </c>
      <c r="K502" s="2">
        <v>24</v>
      </c>
      <c r="L502" s="2">
        <v>10</v>
      </c>
      <c r="M502" s="2">
        <v>0</v>
      </c>
      <c r="N502" s="2">
        <v>4</v>
      </c>
      <c r="O502" s="2">
        <v>10</v>
      </c>
      <c r="P502" s="2">
        <v>0</v>
      </c>
      <c r="Q502" s="2" t="s">
        <v>2928</v>
      </c>
      <c r="R502" s="2" t="s">
        <v>2929</v>
      </c>
      <c r="S502" s="4">
        <v>44837</v>
      </c>
    </row>
    <row r="503" spans="1:19" ht="12.5" x14ac:dyDescent="0.25">
      <c r="A503" s="14" t="str">
        <f>HYPERLINK("https://gerandofalcoes.my.salesforce.com/0014X00002VKCrZQAX", "0014X00002VKCrZQAX")</f>
        <v>0014X00002VKCrZQAX</v>
      </c>
      <c r="B503" s="2" t="s">
        <v>1724</v>
      </c>
      <c r="C503" s="2" t="s">
        <v>423</v>
      </c>
      <c r="D503" s="2" t="s">
        <v>2</v>
      </c>
      <c r="E503" s="2">
        <v>80</v>
      </c>
      <c r="F503" s="2">
        <v>5</v>
      </c>
      <c r="G503" s="2">
        <v>7</v>
      </c>
      <c r="H503" s="2">
        <v>701915</v>
      </c>
      <c r="I503" s="2">
        <v>259</v>
      </c>
      <c r="J503" s="2" t="s">
        <v>1650</v>
      </c>
      <c r="K503" s="2">
        <v>72</v>
      </c>
      <c r="L503" s="2">
        <v>25</v>
      </c>
      <c r="M503" s="2">
        <v>5</v>
      </c>
      <c r="N503" s="2">
        <v>10</v>
      </c>
      <c r="O503" s="2">
        <v>20</v>
      </c>
      <c r="P503" s="2">
        <v>12</v>
      </c>
      <c r="Q503" s="2" t="s">
        <v>1725</v>
      </c>
      <c r="R503" s="2" t="s">
        <v>1726</v>
      </c>
      <c r="S503" s="4">
        <v>44837</v>
      </c>
    </row>
    <row r="504" spans="1:19" ht="12.5" x14ac:dyDescent="0.25">
      <c r="A504" s="14" t="str">
        <f>HYPERLINK("https://gerandofalcoes.my.salesforce.com/0014X00002VMXzMQAX", "0014X00002VMXzMQAX")</f>
        <v>0014X00002VMXzMQAX</v>
      </c>
      <c r="B504" s="2" t="s">
        <v>2916</v>
      </c>
      <c r="C504" s="2" t="s">
        <v>423</v>
      </c>
      <c r="D504" s="2" t="s">
        <v>2</v>
      </c>
      <c r="E504" s="2">
        <v>20</v>
      </c>
      <c r="F504" s="2">
        <v>1</v>
      </c>
      <c r="G504" s="2">
        <v>2</v>
      </c>
      <c r="H504" s="2">
        <v>18000</v>
      </c>
      <c r="I504" s="2">
        <v>10</v>
      </c>
      <c r="J504" s="2" t="s">
        <v>1779</v>
      </c>
      <c r="K504" s="2">
        <v>31</v>
      </c>
      <c r="L504" s="2">
        <v>10</v>
      </c>
      <c r="M504" s="2">
        <v>5</v>
      </c>
      <c r="N504" s="2">
        <v>6</v>
      </c>
      <c r="O504" s="2">
        <v>5</v>
      </c>
      <c r="P504" s="2">
        <v>5</v>
      </c>
      <c r="Q504" s="2" t="s">
        <v>2917</v>
      </c>
      <c r="R504" s="2" t="s">
        <v>2918</v>
      </c>
      <c r="S504" s="4">
        <v>44837</v>
      </c>
    </row>
    <row r="505" spans="1:19" ht="12.5" x14ac:dyDescent="0.25">
      <c r="A505" s="14" t="str">
        <f>HYPERLINK("https://gerandofalcoes.my.salesforce.com/0014X00002VKCtEQAX", "0014X00002VKCtEQAX")</f>
        <v>0014X00002VKCtEQAX</v>
      </c>
      <c r="B505" s="2" t="s">
        <v>2717</v>
      </c>
      <c r="C505" s="2" t="s">
        <v>423</v>
      </c>
      <c r="D505" s="2" t="s">
        <v>2</v>
      </c>
      <c r="E505" s="2">
        <v>15</v>
      </c>
      <c r="F505" s="2">
        <v>0</v>
      </c>
      <c r="G505" s="2">
        <v>3</v>
      </c>
      <c r="H505" s="2">
        <v>0</v>
      </c>
      <c r="I505" s="2">
        <v>187</v>
      </c>
      <c r="J505" s="2" t="s">
        <v>1779</v>
      </c>
      <c r="K505" s="2">
        <v>30</v>
      </c>
      <c r="L505" s="2">
        <v>10</v>
      </c>
      <c r="M505" s="2">
        <v>0</v>
      </c>
      <c r="N505" s="2">
        <v>8</v>
      </c>
      <c r="O505" s="2">
        <v>0</v>
      </c>
      <c r="P505" s="2">
        <v>12</v>
      </c>
      <c r="Q505" s="2" t="s">
        <v>2718</v>
      </c>
      <c r="R505" s="2" t="s">
        <v>2719</v>
      </c>
      <c r="S505" s="4">
        <v>44837</v>
      </c>
    </row>
    <row r="506" spans="1:19" ht="12.5" x14ac:dyDescent="0.25">
      <c r="A506" s="14" t="str">
        <f>HYPERLINK("https://gerandofalcoes.my.salesforce.com/0014X00002VKCqTQAX", "0014X00002VKCqTQAX")</f>
        <v>0014X00002VKCqTQAX</v>
      </c>
      <c r="B506" s="2" t="s">
        <v>2431</v>
      </c>
      <c r="C506" s="2" t="s">
        <v>423</v>
      </c>
      <c r="D506" s="2" t="s">
        <v>2</v>
      </c>
      <c r="E506" s="2">
        <v>33</v>
      </c>
      <c r="F506" s="2">
        <v>0</v>
      </c>
      <c r="G506" s="2">
        <v>1</v>
      </c>
      <c r="H506" s="2">
        <v>7500</v>
      </c>
      <c r="I506" s="2">
        <v>250</v>
      </c>
      <c r="J506" s="2" t="s">
        <v>1779</v>
      </c>
      <c r="K506" s="2">
        <v>36</v>
      </c>
      <c r="L506" s="2">
        <v>15</v>
      </c>
      <c r="M506" s="2">
        <v>0</v>
      </c>
      <c r="N506" s="2">
        <v>4</v>
      </c>
      <c r="O506" s="2">
        <v>5</v>
      </c>
      <c r="P506" s="2">
        <v>12</v>
      </c>
      <c r="Q506" s="2" t="s">
        <v>2432</v>
      </c>
      <c r="R506" s="2" t="s">
        <v>2432</v>
      </c>
      <c r="S506" s="4">
        <v>44837</v>
      </c>
    </row>
    <row r="507" spans="1:19" ht="12.5" x14ac:dyDescent="0.25">
      <c r="A507" s="14" t="str">
        <f>HYPERLINK("https://gerandofalcoes.my.salesforce.com/0014X00002VKCriQAH", "0014X00002VKCriQAH")</f>
        <v>0014X00002VKCriQAH</v>
      </c>
      <c r="B507" s="2" t="s">
        <v>1905</v>
      </c>
      <c r="C507" s="2" t="s">
        <v>423</v>
      </c>
      <c r="D507" s="2" t="s">
        <v>2</v>
      </c>
      <c r="E507" s="2">
        <v>43.02</v>
      </c>
      <c r="F507" s="2">
        <v>0</v>
      </c>
      <c r="G507" s="2">
        <v>2</v>
      </c>
      <c r="H507" s="2">
        <v>2105801</v>
      </c>
      <c r="I507" s="2">
        <v>84</v>
      </c>
      <c r="J507" s="2" t="s">
        <v>1671</v>
      </c>
      <c r="K507" s="2">
        <v>56</v>
      </c>
      <c r="L507" s="2">
        <v>15</v>
      </c>
      <c r="M507" s="2">
        <v>0</v>
      </c>
      <c r="N507" s="2">
        <v>6</v>
      </c>
      <c r="O507" s="2">
        <v>25</v>
      </c>
      <c r="P507" s="2">
        <v>10</v>
      </c>
      <c r="Q507" s="2" t="s">
        <v>1906</v>
      </c>
      <c r="R507" s="2" t="s">
        <v>1907</v>
      </c>
      <c r="S507" s="4">
        <v>44837</v>
      </c>
    </row>
    <row r="508" spans="1:19" ht="12.5" hidden="1" x14ac:dyDescent="0.25">
      <c r="A508" s="14" t="str">
        <f>HYPERLINK("https://gerandofalcoes.my.salesforce.com/0014X00002VKCrCQAX", "0014X00002VKCrCQAX")</f>
        <v>0014X00002VKCrCQAX</v>
      </c>
      <c r="B508" s="2" t="s">
        <v>2534</v>
      </c>
      <c r="C508" s="2" t="s">
        <v>1684</v>
      </c>
      <c r="D508" s="2" t="s">
        <v>2</v>
      </c>
      <c r="E508" s="2">
        <v>21</v>
      </c>
      <c r="F508" s="2">
        <v>0</v>
      </c>
      <c r="G508" s="2">
        <v>2</v>
      </c>
      <c r="H508" s="2">
        <v>12000</v>
      </c>
      <c r="I508" s="2">
        <v>0</v>
      </c>
      <c r="J508" s="2" t="s">
        <v>1779</v>
      </c>
      <c r="K508" s="2">
        <v>21</v>
      </c>
      <c r="L508" s="2">
        <v>10</v>
      </c>
      <c r="M508" s="2">
        <v>0</v>
      </c>
      <c r="N508" s="2">
        <v>6</v>
      </c>
      <c r="O508" s="2">
        <v>5</v>
      </c>
      <c r="P508" s="2">
        <v>0</v>
      </c>
      <c r="Q508" s="2" t="s">
        <v>2535</v>
      </c>
      <c r="R508" s="2" t="s">
        <v>2535</v>
      </c>
      <c r="S508" s="4">
        <v>44837</v>
      </c>
    </row>
    <row r="509" spans="1:19" ht="12.5" x14ac:dyDescent="0.25">
      <c r="A509" s="14" t="str">
        <f>HYPERLINK("https://gerandofalcoes.my.salesforce.com/0014X00002VKCtbQAH", "0014X00002VKCtbQAH")</f>
        <v>0014X00002VKCtbQAH</v>
      </c>
      <c r="B509" s="2" t="s">
        <v>2871</v>
      </c>
      <c r="C509" s="2" t="s">
        <v>423</v>
      </c>
      <c r="D509" s="2" t="s">
        <v>2</v>
      </c>
      <c r="E509" s="2">
        <v>9.98</v>
      </c>
      <c r="F509" s="2">
        <v>11</v>
      </c>
      <c r="G509" s="2">
        <v>0</v>
      </c>
      <c r="H509" s="2">
        <v>0</v>
      </c>
      <c r="I509" s="2">
        <v>80</v>
      </c>
      <c r="J509" s="2" t="s">
        <v>1779</v>
      </c>
      <c r="K509" s="2">
        <v>32</v>
      </c>
      <c r="L509" s="2">
        <v>10</v>
      </c>
      <c r="M509" s="2">
        <v>12</v>
      </c>
      <c r="N509" s="2">
        <v>0</v>
      </c>
      <c r="O509" s="2">
        <v>0</v>
      </c>
      <c r="P509" s="2">
        <v>10</v>
      </c>
      <c r="Q509" s="2" t="s">
        <v>2872</v>
      </c>
      <c r="R509" s="2" t="s">
        <v>2873</v>
      </c>
      <c r="S509" s="4">
        <v>44837</v>
      </c>
    </row>
    <row r="510" spans="1:19" ht="12.5" x14ac:dyDescent="0.25">
      <c r="A510" s="14" t="str">
        <f>HYPERLINK("https://gerandofalcoes.my.salesforce.com/0014X00002VKCpwQAH", "0014X00002VKCpwQAH")</f>
        <v>0014X00002VKCpwQAH</v>
      </c>
      <c r="B510" s="2" t="s">
        <v>1940</v>
      </c>
      <c r="C510" s="2" t="s">
        <v>423</v>
      </c>
      <c r="D510" s="2" t="s">
        <v>2</v>
      </c>
      <c r="E510" s="2">
        <v>23</v>
      </c>
      <c r="F510" s="2">
        <v>0</v>
      </c>
      <c r="G510" s="2">
        <v>3</v>
      </c>
      <c r="H510" s="2">
        <v>4289056</v>
      </c>
      <c r="I510" s="2">
        <v>400</v>
      </c>
      <c r="J510" s="2" t="s">
        <v>1671</v>
      </c>
      <c r="K510" s="2">
        <v>58</v>
      </c>
      <c r="L510" s="2">
        <v>10</v>
      </c>
      <c r="M510" s="2">
        <v>0</v>
      </c>
      <c r="N510" s="2">
        <v>8</v>
      </c>
      <c r="O510" s="2">
        <v>25</v>
      </c>
      <c r="P510" s="2">
        <v>15</v>
      </c>
      <c r="Q510" s="2" t="s">
        <v>1941</v>
      </c>
      <c r="R510" s="2" t="s">
        <v>1942</v>
      </c>
      <c r="S510" s="4">
        <v>44837</v>
      </c>
    </row>
    <row r="511" spans="1:19" ht="12.5" x14ac:dyDescent="0.25">
      <c r="A511" s="14" t="str">
        <f>HYPERLINK("https://gerandofalcoes.my.salesforce.com/0014X00002VKCt8QAH", "0014X00002VKCt8QAH")</f>
        <v>0014X00002VKCt8QAH</v>
      </c>
      <c r="B511" s="2" t="s">
        <v>2938</v>
      </c>
      <c r="C511" s="2" t="s">
        <v>423</v>
      </c>
      <c r="D511" s="2" t="s">
        <v>2</v>
      </c>
      <c r="E511" s="2">
        <v>5.84</v>
      </c>
      <c r="F511" s="2">
        <v>0</v>
      </c>
      <c r="G511" s="2">
        <v>0</v>
      </c>
      <c r="H511" s="2">
        <v>0</v>
      </c>
      <c r="I511" s="2">
        <v>0</v>
      </c>
      <c r="J511" s="2" t="s">
        <v>1779</v>
      </c>
      <c r="K511" s="2">
        <v>10</v>
      </c>
      <c r="L511" s="2">
        <v>10</v>
      </c>
      <c r="M511" s="2">
        <v>0</v>
      </c>
      <c r="N511" s="2">
        <v>0</v>
      </c>
      <c r="O511" s="2">
        <v>0</v>
      </c>
      <c r="P511" s="2">
        <v>0</v>
      </c>
      <c r="Q511" s="2" t="s">
        <v>2939</v>
      </c>
      <c r="R511" s="2" t="s">
        <v>2940</v>
      </c>
      <c r="S511" s="4">
        <v>44837</v>
      </c>
    </row>
    <row r="512" spans="1:19" ht="12.5" x14ac:dyDescent="0.25">
      <c r="A512" s="14" t="str">
        <f>HYPERLINK("https://gerandofalcoes.my.salesforce.com/0014X00002VKCuJQAX", "0014X00002VKCuJQAX")</f>
        <v>0014X00002VKCuJQAX</v>
      </c>
      <c r="B512" s="2" t="s">
        <v>2073</v>
      </c>
      <c r="C512" s="2" t="s">
        <v>423</v>
      </c>
      <c r="D512" s="2" t="s">
        <v>2</v>
      </c>
      <c r="E512" s="2">
        <v>36</v>
      </c>
      <c r="F512" s="2">
        <v>0</v>
      </c>
      <c r="G512" s="2">
        <v>3</v>
      </c>
      <c r="H512" s="2">
        <v>3000</v>
      </c>
      <c r="I512" s="2">
        <v>100</v>
      </c>
      <c r="J512" s="2" t="s">
        <v>1779</v>
      </c>
      <c r="K512" s="2">
        <v>38</v>
      </c>
      <c r="L512" s="2">
        <v>15</v>
      </c>
      <c r="M512" s="2">
        <v>0</v>
      </c>
      <c r="N512" s="2">
        <v>8</v>
      </c>
      <c r="O512" s="2">
        <v>5</v>
      </c>
      <c r="P512" s="2">
        <v>10</v>
      </c>
      <c r="Q512" s="2" t="s">
        <v>2074</v>
      </c>
      <c r="R512" s="2" t="s">
        <v>2075</v>
      </c>
      <c r="S512" s="4">
        <v>44837</v>
      </c>
    </row>
    <row r="513" spans="1:19" ht="12.5" x14ac:dyDescent="0.25">
      <c r="A513" s="14" t="str">
        <f>HYPERLINK("https://gerandofalcoes.my.salesforce.com/0014X00002VKCtjQAH", "0014X00002VKCtjQAH")</f>
        <v>0014X00002VKCtjQAH</v>
      </c>
      <c r="B513" s="2" t="s">
        <v>2144</v>
      </c>
      <c r="C513" s="2" t="s">
        <v>423</v>
      </c>
      <c r="D513" s="2" t="s">
        <v>2</v>
      </c>
      <c r="E513" s="2">
        <v>33.86</v>
      </c>
      <c r="F513" s="2">
        <v>0</v>
      </c>
      <c r="G513" s="2">
        <v>5</v>
      </c>
      <c r="H513" s="2">
        <v>120000</v>
      </c>
      <c r="I513" s="2">
        <v>100</v>
      </c>
      <c r="J513" s="2" t="s">
        <v>1671</v>
      </c>
      <c r="K513" s="2">
        <v>50</v>
      </c>
      <c r="L513" s="2">
        <v>15</v>
      </c>
      <c r="M513" s="2">
        <v>0</v>
      </c>
      <c r="N513" s="2">
        <v>10</v>
      </c>
      <c r="O513" s="2">
        <v>15</v>
      </c>
      <c r="P513" s="2">
        <v>10</v>
      </c>
      <c r="Q513" s="2" t="s">
        <v>2145</v>
      </c>
      <c r="R513" s="2" t="s">
        <v>2146</v>
      </c>
      <c r="S513" s="4">
        <v>44837</v>
      </c>
    </row>
    <row r="514" spans="1:19" ht="12.5" x14ac:dyDescent="0.25">
      <c r="A514" s="14" t="str">
        <f>HYPERLINK("https://gerandofalcoes.my.salesforce.com/0014X00002VKCryQAH", "0014X00002VKCryQAH")</f>
        <v>0014X00002VKCryQAH</v>
      </c>
      <c r="B514" s="2" t="s">
        <v>1824</v>
      </c>
      <c r="C514" s="2" t="s">
        <v>423</v>
      </c>
      <c r="D514" s="2" t="s">
        <v>2</v>
      </c>
      <c r="E514" s="2">
        <v>51</v>
      </c>
      <c r="F514" s="2">
        <v>2</v>
      </c>
      <c r="G514" s="2">
        <v>7</v>
      </c>
      <c r="H514" s="2">
        <v>200000</v>
      </c>
      <c r="I514" s="2">
        <v>90</v>
      </c>
      <c r="J514" s="2" t="s">
        <v>1671</v>
      </c>
      <c r="K514" s="2">
        <v>60</v>
      </c>
      <c r="L514" s="2">
        <v>20</v>
      </c>
      <c r="M514" s="2">
        <v>5</v>
      </c>
      <c r="N514" s="2">
        <v>10</v>
      </c>
      <c r="O514" s="2">
        <v>15</v>
      </c>
      <c r="P514" s="2">
        <v>10</v>
      </c>
      <c r="Q514" s="2" t="s">
        <v>1825</v>
      </c>
      <c r="R514" s="2" t="s">
        <v>1826</v>
      </c>
      <c r="S514" s="4">
        <v>44837</v>
      </c>
    </row>
    <row r="515" spans="1:19" ht="12.5" x14ac:dyDescent="0.25">
      <c r="A515" s="14" t="str">
        <f>HYPERLINK("https://gerandofalcoes.my.salesforce.com/0014X00002VKCtFQAX", "0014X00002VKCtFQAX")</f>
        <v>0014X00002VKCtFQAX</v>
      </c>
      <c r="B515" s="2" t="s">
        <v>2112</v>
      </c>
      <c r="C515" s="2" t="s">
        <v>423</v>
      </c>
      <c r="D515" s="2" t="s">
        <v>2</v>
      </c>
      <c r="E515" s="2">
        <v>35</v>
      </c>
      <c r="F515" s="2">
        <v>12</v>
      </c>
      <c r="G515" s="2">
        <v>2</v>
      </c>
      <c r="H515" s="2">
        <v>100000</v>
      </c>
      <c r="I515" s="2">
        <v>40</v>
      </c>
      <c r="J515" s="2" t="s">
        <v>1671</v>
      </c>
      <c r="K515" s="2">
        <v>53</v>
      </c>
      <c r="L515" s="2">
        <v>15</v>
      </c>
      <c r="M515" s="2">
        <v>12</v>
      </c>
      <c r="N515" s="2">
        <v>6</v>
      </c>
      <c r="O515" s="2">
        <v>15</v>
      </c>
      <c r="P515" s="2">
        <v>5</v>
      </c>
      <c r="Q515" s="2" t="s">
        <v>2113</v>
      </c>
      <c r="R515" s="2" t="s">
        <v>2113</v>
      </c>
      <c r="S515" s="4">
        <v>44837</v>
      </c>
    </row>
    <row r="516" spans="1:19" ht="12.5" x14ac:dyDescent="0.25">
      <c r="A516" s="14" t="str">
        <f>HYPERLINK("https://gerandofalcoes.my.salesforce.com/0014X00002VKCsRQAX", "0014X00002VKCsRQAX")</f>
        <v>0014X00002VKCsRQAX</v>
      </c>
      <c r="B516" s="2" t="s">
        <v>2878</v>
      </c>
      <c r="C516" s="2" t="s">
        <v>423</v>
      </c>
      <c r="D516" s="2" t="s">
        <v>2</v>
      </c>
      <c r="E516" s="2">
        <v>29</v>
      </c>
      <c r="F516" s="2">
        <v>0</v>
      </c>
      <c r="G516" s="2">
        <v>1</v>
      </c>
      <c r="H516" s="2">
        <v>15000</v>
      </c>
      <c r="I516" s="2">
        <v>250</v>
      </c>
      <c r="J516" s="2" t="s">
        <v>1779</v>
      </c>
      <c r="K516" s="2">
        <v>36</v>
      </c>
      <c r="L516" s="2">
        <v>15</v>
      </c>
      <c r="M516" s="2">
        <v>0</v>
      </c>
      <c r="N516" s="2">
        <v>4</v>
      </c>
      <c r="O516" s="2">
        <v>5</v>
      </c>
      <c r="P516" s="2">
        <v>12</v>
      </c>
      <c r="Q516" s="2" t="s">
        <v>2879</v>
      </c>
      <c r="R516" s="2" t="s">
        <v>2880</v>
      </c>
      <c r="S516" s="4">
        <v>44837</v>
      </c>
    </row>
    <row r="517" spans="1:19" ht="12.5" hidden="1" x14ac:dyDescent="0.25">
      <c r="A517" s="14" t="str">
        <f>HYPERLINK("https://gerandofalcoes.my.salesforce.com/0014X00002VKCsdQAH", "0014X00002VKCsdQAH")</f>
        <v>0014X00002VKCsdQAH</v>
      </c>
      <c r="B517" s="2" t="s">
        <v>2857</v>
      </c>
      <c r="C517" s="2" t="s">
        <v>1800</v>
      </c>
      <c r="D517" s="2" t="s">
        <v>2</v>
      </c>
      <c r="E517" s="2">
        <v>10</v>
      </c>
      <c r="F517" s="2">
        <v>0</v>
      </c>
      <c r="G517" s="2">
        <v>2</v>
      </c>
      <c r="H517" s="2">
        <v>24000</v>
      </c>
      <c r="I517" s="2">
        <v>95</v>
      </c>
      <c r="J517" s="2" t="s">
        <v>1779</v>
      </c>
      <c r="K517" s="2">
        <v>31</v>
      </c>
      <c r="L517" s="2">
        <v>10</v>
      </c>
      <c r="M517" s="2">
        <v>0</v>
      </c>
      <c r="N517" s="2">
        <v>6</v>
      </c>
      <c r="O517" s="2">
        <v>5</v>
      </c>
      <c r="P517" s="2">
        <v>10</v>
      </c>
      <c r="Q517" s="2" t="s">
        <v>2858</v>
      </c>
      <c r="R517" s="2" t="s">
        <v>2859</v>
      </c>
      <c r="S517" s="4">
        <v>44837</v>
      </c>
    </row>
    <row r="518" spans="1:19" ht="12.5" x14ac:dyDescent="0.25">
      <c r="A518" s="14" t="str">
        <f>HYPERLINK("https://gerandofalcoes.my.salesforce.com/0014X00002VKCurQAH", "0014X00002VKCurQAH")</f>
        <v>0014X00002VKCurQAH</v>
      </c>
      <c r="B518" s="2" t="s">
        <v>2484</v>
      </c>
      <c r="C518" s="2" t="s">
        <v>423</v>
      </c>
      <c r="D518" s="2" t="s">
        <v>2</v>
      </c>
      <c r="E518" s="2">
        <v>22</v>
      </c>
      <c r="F518" s="2">
        <v>0</v>
      </c>
      <c r="G518" s="2">
        <v>2</v>
      </c>
      <c r="H518" s="2">
        <v>30000</v>
      </c>
      <c r="I518" s="2">
        <v>90</v>
      </c>
      <c r="J518" s="2" t="s">
        <v>1779</v>
      </c>
      <c r="K518" s="2">
        <v>36</v>
      </c>
      <c r="L518" s="2">
        <v>10</v>
      </c>
      <c r="M518" s="2">
        <v>0</v>
      </c>
      <c r="N518" s="2">
        <v>6</v>
      </c>
      <c r="O518" s="2">
        <v>10</v>
      </c>
      <c r="P518" s="2">
        <v>10</v>
      </c>
      <c r="Q518" s="2" t="s">
        <v>2485</v>
      </c>
      <c r="R518" s="2" t="s">
        <v>2486</v>
      </c>
      <c r="S518" s="4">
        <v>44837</v>
      </c>
    </row>
    <row r="519" spans="1:19" ht="12.5" x14ac:dyDescent="0.25">
      <c r="A519" s="14" t="str">
        <f>HYPERLINK("https://gerandofalcoes.my.salesforce.com/0014X00002VKCqGQAX", "0014X00002VKCqGQAX")</f>
        <v>0014X00002VKCqGQAX</v>
      </c>
      <c r="B519" s="2" t="s">
        <v>2372</v>
      </c>
      <c r="C519" s="2" t="s">
        <v>423</v>
      </c>
      <c r="D519" s="2" t="s">
        <v>2</v>
      </c>
      <c r="E519" s="2">
        <v>26</v>
      </c>
      <c r="F519" s="2">
        <v>0</v>
      </c>
      <c r="G519" s="2">
        <v>2</v>
      </c>
      <c r="H519" s="2">
        <v>0</v>
      </c>
      <c r="I519" s="2">
        <v>0</v>
      </c>
      <c r="J519" s="2" t="s">
        <v>1779</v>
      </c>
      <c r="K519" s="2">
        <v>21</v>
      </c>
      <c r="L519" s="2">
        <v>15</v>
      </c>
      <c r="M519" s="2">
        <v>0</v>
      </c>
      <c r="N519" s="2">
        <v>6</v>
      </c>
      <c r="O519" s="2">
        <v>0</v>
      </c>
      <c r="P519" s="2">
        <v>0</v>
      </c>
      <c r="Q519" s="2" t="s">
        <v>2373</v>
      </c>
      <c r="R519" s="2" t="s">
        <v>2374</v>
      </c>
      <c r="S519" s="4">
        <v>44837</v>
      </c>
    </row>
    <row r="520" spans="1:19" ht="12.5" x14ac:dyDescent="0.25">
      <c r="A520" s="14" t="str">
        <f>HYPERLINK("https://gerandofalcoes.my.salesforce.com/0014X00002VKD06QAH", "0014X00002VKD06QAH")</f>
        <v>0014X00002VKD06QAH</v>
      </c>
      <c r="B520" s="2" t="s">
        <v>2677</v>
      </c>
      <c r="C520" s="2" t="s">
        <v>423</v>
      </c>
      <c r="D520" s="2" t="s">
        <v>2</v>
      </c>
      <c r="E520" s="2">
        <v>44</v>
      </c>
      <c r="F520" s="2">
        <v>17</v>
      </c>
      <c r="G520" s="2">
        <v>4</v>
      </c>
      <c r="H520" s="2">
        <v>56138481</v>
      </c>
      <c r="I520" s="2">
        <v>74</v>
      </c>
      <c r="J520" s="2" t="s">
        <v>1650</v>
      </c>
      <c r="K520" s="2">
        <v>67</v>
      </c>
      <c r="L520" s="2">
        <v>15</v>
      </c>
      <c r="M520" s="2">
        <v>12</v>
      </c>
      <c r="N520" s="2">
        <v>10</v>
      </c>
      <c r="O520" s="2">
        <v>25</v>
      </c>
      <c r="P520" s="2">
        <v>5</v>
      </c>
      <c r="Q520" s="2" t="s">
        <v>2678</v>
      </c>
      <c r="R520" s="2" t="s">
        <v>2679</v>
      </c>
      <c r="S520" s="4">
        <v>44837</v>
      </c>
    </row>
    <row r="521" spans="1:19" ht="12.5" hidden="1" x14ac:dyDescent="0.25">
      <c r="A521" s="14" t="str">
        <f>HYPERLINK("https://gerandofalcoes.my.salesforce.com/0014X00002VKCv7QAH", "0014X00002VKCv7QAH")</f>
        <v>0014X00002VKCv7QAH</v>
      </c>
      <c r="B521" s="2" t="s">
        <v>2568</v>
      </c>
      <c r="C521" s="2" t="s">
        <v>1800</v>
      </c>
      <c r="D521" s="2" t="s">
        <v>2</v>
      </c>
      <c r="E521" s="2">
        <v>20</v>
      </c>
      <c r="F521" s="2">
        <v>0</v>
      </c>
      <c r="G521" s="2">
        <v>3</v>
      </c>
      <c r="H521" s="2">
        <v>2000</v>
      </c>
      <c r="I521" s="2">
        <v>0</v>
      </c>
      <c r="J521" s="2" t="s">
        <v>1779</v>
      </c>
      <c r="K521" s="2">
        <v>23</v>
      </c>
      <c r="L521" s="2">
        <v>10</v>
      </c>
      <c r="M521" s="2">
        <v>0</v>
      </c>
      <c r="N521" s="2">
        <v>8</v>
      </c>
      <c r="O521" s="2">
        <v>5</v>
      </c>
      <c r="P521" s="2">
        <v>0</v>
      </c>
      <c r="Q521" s="2" t="s">
        <v>2569</v>
      </c>
      <c r="R521" s="2" t="s">
        <v>2570</v>
      </c>
      <c r="S521" s="4">
        <v>44837</v>
      </c>
    </row>
    <row r="522" spans="1:19" ht="12.5" x14ac:dyDescent="0.25">
      <c r="A522" s="14" t="str">
        <f>HYPERLINK("https://gerandofalcoes.my.salesforce.com/0014X00002VKCreQAH", "0014X00002VKCreQAH")</f>
        <v>0014X00002VKCreQAH</v>
      </c>
      <c r="B522" s="2" t="s">
        <v>2914</v>
      </c>
      <c r="C522" s="2" t="s">
        <v>423</v>
      </c>
      <c r="D522" s="2" t="s">
        <v>2</v>
      </c>
      <c r="E522" s="2">
        <v>29</v>
      </c>
      <c r="F522" s="2">
        <v>0</v>
      </c>
      <c r="G522" s="2">
        <v>1</v>
      </c>
      <c r="H522" s="2">
        <v>3245</v>
      </c>
      <c r="I522" s="2">
        <v>0</v>
      </c>
      <c r="J522" s="2" t="s">
        <v>1779</v>
      </c>
      <c r="K522" s="2">
        <v>24</v>
      </c>
      <c r="L522" s="2">
        <v>15</v>
      </c>
      <c r="M522" s="2">
        <v>0</v>
      </c>
      <c r="N522" s="2">
        <v>4</v>
      </c>
      <c r="O522" s="2">
        <v>5</v>
      </c>
      <c r="P522" s="2">
        <v>0</v>
      </c>
      <c r="Q522" s="2" t="s">
        <v>2915</v>
      </c>
      <c r="R522" s="2" t="s">
        <v>2915</v>
      </c>
      <c r="S522" s="4">
        <v>44837</v>
      </c>
    </row>
    <row r="523" spans="1:19" ht="12.5" x14ac:dyDescent="0.25">
      <c r="A523" s="14" t="str">
        <f>HYPERLINK("https://gerandofalcoes.my.salesforce.com/0014X00002VKCrbQAH", "0014X00002VKCrbQAH")</f>
        <v>0014X00002VKCrbQAH</v>
      </c>
      <c r="B523" s="2" t="s">
        <v>2820</v>
      </c>
      <c r="C523" s="2" t="s">
        <v>423</v>
      </c>
      <c r="D523" s="2" t="s">
        <v>2</v>
      </c>
      <c r="E523" s="2">
        <v>12</v>
      </c>
      <c r="F523" s="2">
        <v>0</v>
      </c>
      <c r="G523" s="2">
        <v>0</v>
      </c>
      <c r="H523" s="2">
        <v>0</v>
      </c>
      <c r="I523" s="2">
        <v>300</v>
      </c>
      <c r="J523" s="2" t="s">
        <v>1779</v>
      </c>
      <c r="K523" s="2">
        <v>25</v>
      </c>
      <c r="L523" s="2">
        <v>10</v>
      </c>
      <c r="M523" s="2">
        <v>0</v>
      </c>
      <c r="N523" s="2">
        <v>0</v>
      </c>
      <c r="O523" s="2">
        <v>0</v>
      </c>
      <c r="P523" s="2">
        <v>15</v>
      </c>
      <c r="Q523" s="2" t="s">
        <v>2821</v>
      </c>
      <c r="R523" s="2" t="s">
        <v>2822</v>
      </c>
      <c r="S523" s="4">
        <v>44837</v>
      </c>
    </row>
    <row r="524" spans="1:19" ht="12.5" hidden="1" x14ac:dyDescent="0.25">
      <c r="A524" s="14" t="str">
        <f>HYPERLINK("https://gerandofalcoes.my.salesforce.com/0014X00002VKCs2QAH", "0014X00002VKCs2QAH")</f>
        <v>0014X00002VKCs2QAH</v>
      </c>
      <c r="B524" s="2" t="s">
        <v>2727</v>
      </c>
      <c r="C524" s="2" t="s">
        <v>1800</v>
      </c>
      <c r="D524" s="2" t="s">
        <v>2</v>
      </c>
      <c r="E524" s="2">
        <v>15</v>
      </c>
      <c r="F524" s="2">
        <v>0</v>
      </c>
      <c r="G524" s="2">
        <v>2</v>
      </c>
      <c r="H524" s="2">
        <v>2500</v>
      </c>
      <c r="I524" s="2">
        <v>0</v>
      </c>
      <c r="J524" s="2" t="s">
        <v>1779</v>
      </c>
      <c r="K524" s="2">
        <v>21</v>
      </c>
      <c r="L524" s="2">
        <v>10</v>
      </c>
      <c r="M524" s="2">
        <v>0</v>
      </c>
      <c r="N524" s="2">
        <v>6</v>
      </c>
      <c r="O524" s="2">
        <v>5</v>
      </c>
      <c r="P524" s="2">
        <v>0</v>
      </c>
      <c r="Q524" s="2" t="s">
        <v>2728</v>
      </c>
      <c r="R524" s="2" t="s">
        <v>2729</v>
      </c>
      <c r="S524" s="4">
        <v>44837</v>
      </c>
    </row>
    <row r="525" spans="1:19" ht="12.5" x14ac:dyDescent="0.25">
      <c r="A525" s="14" t="str">
        <f>HYPERLINK("https://gerandofalcoes.my.salesforce.com/0014X00002VKCr5QAH", "0014X00002VKCr5QAH")</f>
        <v>0014X00002VKCr5QAH</v>
      </c>
      <c r="B525" s="2" t="s">
        <v>2067</v>
      </c>
      <c r="C525" s="2" t="s">
        <v>423</v>
      </c>
      <c r="D525" s="2" t="s">
        <v>2</v>
      </c>
      <c r="E525" s="2">
        <v>36.520000000000003</v>
      </c>
      <c r="F525" s="2">
        <v>6</v>
      </c>
      <c r="G525" s="2">
        <v>2</v>
      </c>
      <c r="H525" s="2">
        <v>5356022</v>
      </c>
      <c r="I525" s="2">
        <v>0</v>
      </c>
      <c r="J525" s="2" t="s">
        <v>1671</v>
      </c>
      <c r="K525" s="2">
        <v>56</v>
      </c>
      <c r="L525" s="2">
        <v>15</v>
      </c>
      <c r="M525" s="2">
        <v>10</v>
      </c>
      <c r="N525" s="2">
        <v>6</v>
      </c>
      <c r="O525" s="2">
        <v>25</v>
      </c>
      <c r="P525" s="2">
        <v>0</v>
      </c>
      <c r="Q525" s="2" t="s">
        <v>2068</v>
      </c>
      <c r="R525" s="2" t="s">
        <v>2069</v>
      </c>
      <c r="S525" s="4">
        <v>44837</v>
      </c>
    </row>
    <row r="526" spans="1:19" ht="12.5" x14ac:dyDescent="0.25">
      <c r="A526" s="14" t="str">
        <f>HYPERLINK("https://gerandofalcoes.my.salesforce.com/0014X00002VKCsxQAH", "0014X00002VKCsxQAH")</f>
        <v>0014X00002VKCsxQAH</v>
      </c>
      <c r="B526" s="2" t="s">
        <v>2500</v>
      </c>
      <c r="C526" s="2" t="s">
        <v>423</v>
      </c>
      <c r="D526" s="2" t="s">
        <v>2</v>
      </c>
      <c r="E526" s="2">
        <v>25</v>
      </c>
      <c r="F526" s="2">
        <v>0</v>
      </c>
      <c r="G526" s="2">
        <v>1</v>
      </c>
      <c r="H526" s="2">
        <v>3500000</v>
      </c>
      <c r="I526" s="2">
        <v>150</v>
      </c>
      <c r="J526" s="2" t="s">
        <v>1671</v>
      </c>
      <c r="K526" s="2">
        <v>56</v>
      </c>
      <c r="L526" s="2">
        <v>15</v>
      </c>
      <c r="M526" s="2">
        <v>0</v>
      </c>
      <c r="N526" s="2">
        <v>4</v>
      </c>
      <c r="O526" s="2">
        <v>25</v>
      </c>
      <c r="P526" s="2">
        <v>12</v>
      </c>
      <c r="Q526" s="2" t="s">
        <v>2501</v>
      </c>
      <c r="R526" s="2" t="s">
        <v>2502</v>
      </c>
      <c r="S526" s="4">
        <v>44837</v>
      </c>
    </row>
    <row r="527" spans="1:19" ht="12.5" x14ac:dyDescent="0.25">
      <c r="A527" s="14" t="str">
        <f>HYPERLINK("https://gerandofalcoes.my.salesforce.com/0014X00002VKCuAQAX", "0014X00002VKCuAQAX")</f>
        <v>0014X00002VKCuAQAX</v>
      </c>
      <c r="B527" s="2" t="s">
        <v>2155</v>
      </c>
      <c r="C527" s="2" t="s">
        <v>423</v>
      </c>
      <c r="D527" s="2" t="s">
        <v>2</v>
      </c>
      <c r="E527" s="2">
        <v>33.15</v>
      </c>
      <c r="F527" s="2">
        <v>0</v>
      </c>
      <c r="G527" s="2">
        <v>2</v>
      </c>
      <c r="H527" s="2">
        <v>25000</v>
      </c>
      <c r="I527" s="2">
        <v>25</v>
      </c>
      <c r="J527" s="2" t="s">
        <v>1779</v>
      </c>
      <c r="K527" s="2">
        <v>36</v>
      </c>
      <c r="L527" s="2">
        <v>15</v>
      </c>
      <c r="M527" s="2">
        <v>0</v>
      </c>
      <c r="N527" s="2">
        <v>6</v>
      </c>
      <c r="O527" s="2">
        <v>10</v>
      </c>
      <c r="P527" s="2">
        <v>5</v>
      </c>
      <c r="Q527" s="2" t="s">
        <v>2156</v>
      </c>
      <c r="R527" s="2" t="s">
        <v>2157</v>
      </c>
      <c r="S527" s="4">
        <v>44837</v>
      </c>
    </row>
    <row r="528" spans="1:19" ht="12.5" x14ac:dyDescent="0.25">
      <c r="A528" s="14" t="str">
        <f>HYPERLINK("https://gerandofalcoes.my.salesforce.com/0014X00002VKCrHQAX", "0014X00002VKCrHQAX")</f>
        <v>0014X00002VKCrHQAX</v>
      </c>
      <c r="B528" s="2" t="s">
        <v>2478</v>
      </c>
      <c r="C528" s="2" t="s">
        <v>423</v>
      </c>
      <c r="D528" s="2" t="s">
        <v>2</v>
      </c>
      <c r="E528" s="2">
        <v>22</v>
      </c>
      <c r="F528" s="2">
        <v>0</v>
      </c>
      <c r="G528" s="2">
        <v>3</v>
      </c>
      <c r="H528" s="2">
        <v>500</v>
      </c>
      <c r="I528" s="2">
        <v>114</v>
      </c>
      <c r="J528" s="2" t="s">
        <v>1779</v>
      </c>
      <c r="K528" s="2">
        <v>33</v>
      </c>
      <c r="L528" s="2">
        <v>10</v>
      </c>
      <c r="M528" s="2">
        <v>0</v>
      </c>
      <c r="N528" s="2">
        <v>8</v>
      </c>
      <c r="O528" s="2">
        <v>5</v>
      </c>
      <c r="P528" s="2">
        <v>10</v>
      </c>
      <c r="Q528" s="2" t="s">
        <v>2479</v>
      </c>
      <c r="R528" s="2" t="s">
        <v>2479</v>
      </c>
      <c r="S528" s="4">
        <v>44837</v>
      </c>
    </row>
    <row r="529" spans="1:19" ht="12.5" x14ac:dyDescent="0.25">
      <c r="A529" s="14" t="str">
        <f>HYPERLINK("https://gerandofalcoes.my.salesforce.com/0014X00002VKCsFQAX", "0014X00002VKCsFQAX")</f>
        <v>0014X00002VKCsFQAX</v>
      </c>
      <c r="B529" s="2" t="s">
        <v>2625</v>
      </c>
      <c r="C529" s="2" t="s">
        <v>423</v>
      </c>
      <c r="D529" s="2" t="s">
        <v>2</v>
      </c>
      <c r="E529" s="2">
        <v>18.13</v>
      </c>
      <c r="F529" s="2">
        <v>0</v>
      </c>
      <c r="G529" s="2">
        <v>1</v>
      </c>
      <c r="H529" s="2">
        <v>998</v>
      </c>
      <c r="I529" s="2">
        <v>70</v>
      </c>
      <c r="J529" s="2" t="s">
        <v>1779</v>
      </c>
      <c r="K529" s="2">
        <v>24</v>
      </c>
      <c r="L529" s="2">
        <v>10</v>
      </c>
      <c r="M529" s="2">
        <v>0</v>
      </c>
      <c r="N529" s="2">
        <v>4</v>
      </c>
      <c r="O529" s="2">
        <v>5</v>
      </c>
      <c r="P529" s="2">
        <v>5</v>
      </c>
      <c r="Q529" s="2" t="s">
        <v>2626</v>
      </c>
      <c r="R529" s="2" t="s">
        <v>2627</v>
      </c>
      <c r="S529" s="4">
        <v>44837</v>
      </c>
    </row>
    <row r="530" spans="1:19" ht="12.5" x14ac:dyDescent="0.25">
      <c r="A530" s="14" t="str">
        <f>HYPERLINK("https://gerandofalcoes.my.salesforce.com/0014X00002VKCsMQAX", "0014X00002VKCsMQAX")</f>
        <v>0014X00002VKCsMQAX</v>
      </c>
      <c r="B530" s="2" t="s">
        <v>2902</v>
      </c>
      <c r="C530" s="2" t="s">
        <v>423</v>
      </c>
      <c r="D530" s="2" t="s">
        <v>2</v>
      </c>
      <c r="E530" s="2">
        <v>8</v>
      </c>
      <c r="F530" s="2">
        <v>10</v>
      </c>
      <c r="G530" s="2">
        <v>2</v>
      </c>
      <c r="H530" s="2">
        <v>5000</v>
      </c>
      <c r="I530" s="2">
        <v>106</v>
      </c>
      <c r="J530" s="2" t="s">
        <v>1671</v>
      </c>
      <c r="K530" s="2">
        <v>41</v>
      </c>
      <c r="L530" s="2">
        <v>10</v>
      </c>
      <c r="M530" s="2">
        <v>10</v>
      </c>
      <c r="N530" s="2">
        <v>6</v>
      </c>
      <c r="O530" s="2">
        <v>5</v>
      </c>
      <c r="P530" s="2">
        <v>10</v>
      </c>
      <c r="Q530" s="2" t="s">
        <v>2903</v>
      </c>
      <c r="R530" s="2" t="s">
        <v>2904</v>
      </c>
      <c r="S530" s="4">
        <v>44837</v>
      </c>
    </row>
    <row r="531" spans="1:19" ht="12.5" hidden="1" x14ac:dyDescent="0.25">
      <c r="A531" s="14" t="str">
        <f>HYPERLINK("https://gerandofalcoes.my.salesforce.com/0014X00002VKCrJQAX", "0014X00002VKCrJQAX")</f>
        <v>0014X00002VKCrJQAX</v>
      </c>
      <c r="B531" s="2" t="s">
        <v>2375</v>
      </c>
      <c r="C531" s="2" t="s">
        <v>1684</v>
      </c>
      <c r="D531" s="2" t="s">
        <v>2</v>
      </c>
      <c r="E531" s="2">
        <v>26</v>
      </c>
      <c r="F531" s="2">
        <v>0</v>
      </c>
      <c r="G531" s="2">
        <v>4</v>
      </c>
      <c r="H531" s="2">
        <v>1</v>
      </c>
      <c r="I531" s="2">
        <v>0</v>
      </c>
      <c r="J531" s="2" t="s">
        <v>1779</v>
      </c>
      <c r="K531" s="2">
        <v>30</v>
      </c>
      <c r="L531" s="2">
        <v>15</v>
      </c>
      <c r="M531" s="2">
        <v>0</v>
      </c>
      <c r="N531" s="2">
        <v>10</v>
      </c>
      <c r="O531" s="2">
        <v>5</v>
      </c>
      <c r="P531" s="2">
        <v>0</v>
      </c>
      <c r="Q531" s="2" t="s">
        <v>2376</v>
      </c>
      <c r="R531" s="2" t="s">
        <v>2377</v>
      </c>
      <c r="S531" s="4">
        <v>44837</v>
      </c>
    </row>
    <row r="532" spans="1:19" ht="12.5" x14ac:dyDescent="0.25">
      <c r="A532" s="14" t="str">
        <f>HYPERLINK("https://gerandofalcoes.my.salesforce.com/0014X00002VKCpjQAH", "0014X00002VKCpjQAH")</f>
        <v>0014X00002VKCpjQAH</v>
      </c>
      <c r="B532" s="2" t="s">
        <v>2152</v>
      </c>
      <c r="C532" s="2" t="s">
        <v>423</v>
      </c>
      <c r="D532" s="2" t="s">
        <v>2</v>
      </c>
      <c r="E532" s="2">
        <v>46</v>
      </c>
      <c r="F532" s="2">
        <v>0</v>
      </c>
      <c r="G532" s="2">
        <v>2</v>
      </c>
      <c r="H532" s="2">
        <v>160028</v>
      </c>
      <c r="I532" s="2">
        <v>156</v>
      </c>
      <c r="J532" s="2" t="s">
        <v>1671</v>
      </c>
      <c r="K532" s="2">
        <v>48</v>
      </c>
      <c r="L532" s="2">
        <v>15</v>
      </c>
      <c r="M532" s="2">
        <v>0</v>
      </c>
      <c r="N532" s="2">
        <v>6</v>
      </c>
      <c r="O532" s="2">
        <v>15</v>
      </c>
      <c r="P532" s="2">
        <v>12</v>
      </c>
      <c r="Q532" s="2" t="s">
        <v>2153</v>
      </c>
      <c r="R532" s="2" t="s">
        <v>2154</v>
      </c>
      <c r="S532" s="4">
        <v>44837</v>
      </c>
    </row>
    <row r="533" spans="1:19" ht="12.5" x14ac:dyDescent="0.25">
      <c r="A533" s="14" t="str">
        <f>HYPERLINK("https://gerandofalcoes.my.salesforce.com/0014X00002VKCv2QAH", "0014X00002VKCv2QAH")</f>
        <v>0014X00002VKCv2QAH</v>
      </c>
      <c r="B533" s="2" t="s">
        <v>2450</v>
      </c>
      <c r="C533" s="2" t="s">
        <v>423</v>
      </c>
      <c r="D533" s="2" t="s">
        <v>2</v>
      </c>
      <c r="E533" s="2">
        <v>24</v>
      </c>
      <c r="F533" s="2">
        <v>5</v>
      </c>
      <c r="G533" s="2">
        <v>3</v>
      </c>
      <c r="H533" s="2">
        <v>500</v>
      </c>
      <c r="I533" s="2">
        <v>0</v>
      </c>
      <c r="J533" s="2" t="s">
        <v>1779</v>
      </c>
      <c r="K533" s="2">
        <v>28</v>
      </c>
      <c r="L533" s="2">
        <v>10</v>
      </c>
      <c r="M533" s="2">
        <v>5</v>
      </c>
      <c r="N533" s="2">
        <v>8</v>
      </c>
      <c r="O533" s="2">
        <v>5</v>
      </c>
      <c r="P533" s="2">
        <v>0</v>
      </c>
      <c r="Q533" s="2" t="s">
        <v>2451</v>
      </c>
      <c r="R533" s="2" t="s">
        <v>2451</v>
      </c>
      <c r="S533" s="4">
        <v>44837</v>
      </c>
    </row>
    <row r="534" spans="1:19" ht="12.5" x14ac:dyDescent="0.25">
      <c r="A534" s="14" t="str">
        <f>HYPERLINK("https://gerandofalcoes.my.salesforce.com/0014X00002VKCtTQAX", "0014X00002VKCtTQAX")</f>
        <v>0014X00002VKCtTQAX</v>
      </c>
      <c r="B534" s="2" t="s">
        <v>2091</v>
      </c>
      <c r="C534" s="2" t="s">
        <v>423</v>
      </c>
      <c r="D534" s="2" t="s">
        <v>2</v>
      </c>
      <c r="E534" s="2">
        <v>44</v>
      </c>
      <c r="F534" s="2">
        <v>0</v>
      </c>
      <c r="G534" s="2">
        <v>2</v>
      </c>
      <c r="H534" s="2">
        <v>21451</v>
      </c>
      <c r="I534" s="2">
        <v>56</v>
      </c>
      <c r="J534" s="2" t="s">
        <v>1779</v>
      </c>
      <c r="K534" s="2">
        <v>31</v>
      </c>
      <c r="L534" s="2">
        <v>15</v>
      </c>
      <c r="M534" s="2">
        <v>0</v>
      </c>
      <c r="N534" s="2">
        <v>6</v>
      </c>
      <c r="O534" s="2">
        <v>5</v>
      </c>
      <c r="P534" s="2">
        <v>5</v>
      </c>
      <c r="Q534" s="2" t="s">
        <v>2092</v>
      </c>
      <c r="R534" s="2" t="s">
        <v>2092</v>
      </c>
      <c r="S534" s="4">
        <v>44837</v>
      </c>
    </row>
    <row r="535" spans="1:19" ht="12.5" x14ac:dyDescent="0.25">
      <c r="A535" s="14" t="str">
        <f>HYPERLINK("https://gerandofalcoes.my.salesforce.com/0014X00002VKCtNQAX", "0014X00002VKCtNQAX")</f>
        <v>0014X00002VKCtNQAX</v>
      </c>
      <c r="B535" s="2" t="s">
        <v>2703</v>
      </c>
      <c r="C535" s="2" t="s">
        <v>423</v>
      </c>
      <c r="D535" s="2" t="s">
        <v>2</v>
      </c>
      <c r="E535" s="2">
        <v>26</v>
      </c>
      <c r="F535" s="2">
        <v>0</v>
      </c>
      <c r="G535" s="2">
        <v>2</v>
      </c>
      <c r="H535" s="2">
        <v>2014715</v>
      </c>
      <c r="I535" s="2">
        <v>50</v>
      </c>
      <c r="J535" s="2" t="s">
        <v>1671</v>
      </c>
      <c r="K535" s="2">
        <v>51</v>
      </c>
      <c r="L535" s="2">
        <v>15</v>
      </c>
      <c r="M535" s="2">
        <v>0</v>
      </c>
      <c r="N535" s="2">
        <v>6</v>
      </c>
      <c r="O535" s="2">
        <v>25</v>
      </c>
      <c r="P535" s="2">
        <v>5</v>
      </c>
      <c r="Q535" s="2" t="s">
        <v>2704</v>
      </c>
      <c r="R535" s="2" t="s">
        <v>2705</v>
      </c>
      <c r="S535" s="4">
        <v>44837</v>
      </c>
    </row>
    <row r="536" spans="1:19" ht="12.5" x14ac:dyDescent="0.25">
      <c r="A536" s="14" t="str">
        <f>HYPERLINK("https://gerandofalcoes.my.salesforce.com/0014X00002VKCu0QAH", "0014X00002VKCu0QAH")</f>
        <v>0014X00002VKCu0QAH</v>
      </c>
      <c r="B536" s="2" t="s">
        <v>2457</v>
      </c>
      <c r="C536" s="2" t="s">
        <v>423</v>
      </c>
      <c r="D536" s="2" t="s">
        <v>2</v>
      </c>
      <c r="E536" s="2">
        <v>23</v>
      </c>
      <c r="F536" s="2">
        <v>0</v>
      </c>
      <c r="G536" s="2">
        <v>2</v>
      </c>
      <c r="H536" s="2">
        <v>2500</v>
      </c>
      <c r="I536" s="2">
        <v>120</v>
      </c>
      <c r="J536" s="2" t="s">
        <v>1779</v>
      </c>
      <c r="K536" s="2">
        <v>31</v>
      </c>
      <c r="L536" s="2">
        <v>10</v>
      </c>
      <c r="M536" s="2">
        <v>0</v>
      </c>
      <c r="N536" s="2">
        <v>6</v>
      </c>
      <c r="O536" s="2">
        <v>5</v>
      </c>
      <c r="P536" s="2">
        <v>10</v>
      </c>
      <c r="Q536" s="2" t="s">
        <v>2458</v>
      </c>
      <c r="R536" s="2" t="s">
        <v>2458</v>
      </c>
      <c r="S536" s="4">
        <v>44837</v>
      </c>
    </row>
    <row r="537" spans="1:19" ht="12.5" x14ac:dyDescent="0.25">
      <c r="A537" s="14" t="str">
        <f>HYPERLINK("https://gerandofalcoes.my.salesforce.com/0014X00002VKCspQAH", "0014X00002VKCspQAH")</f>
        <v>0014X00002VKCspQAH</v>
      </c>
      <c r="B537" s="2" t="s">
        <v>2506</v>
      </c>
      <c r="C537" s="2" t="s">
        <v>423</v>
      </c>
      <c r="D537" s="2" t="s">
        <v>2</v>
      </c>
      <c r="E537" s="2">
        <v>32</v>
      </c>
      <c r="F537" s="2">
        <v>0</v>
      </c>
      <c r="G537" s="2">
        <v>0</v>
      </c>
      <c r="H537" s="2">
        <v>0</v>
      </c>
      <c r="I537" s="2">
        <v>100</v>
      </c>
      <c r="J537" s="2" t="s">
        <v>1779</v>
      </c>
      <c r="K537" s="2">
        <v>25</v>
      </c>
      <c r="L537" s="2">
        <v>15</v>
      </c>
      <c r="M537" s="2">
        <v>0</v>
      </c>
      <c r="N537" s="2">
        <v>0</v>
      </c>
      <c r="O537" s="2">
        <v>0</v>
      </c>
      <c r="P537" s="2">
        <v>10</v>
      </c>
      <c r="Q537" s="2" t="s">
        <v>2507</v>
      </c>
      <c r="R537" s="2" t="s">
        <v>2508</v>
      </c>
      <c r="S537" s="4">
        <v>44837</v>
      </c>
    </row>
    <row r="538" spans="1:19" ht="12.5" x14ac:dyDescent="0.25">
      <c r="A538" s="14" t="str">
        <f>HYPERLINK("https://gerandofalcoes.my.salesforce.com/0014X00002VKCuCQAX", "0014X00002VKCuCQAX")</f>
        <v>0014X00002VKCuCQAX</v>
      </c>
      <c r="B538" s="2" t="s">
        <v>1847</v>
      </c>
      <c r="C538" s="2" t="s">
        <v>423</v>
      </c>
      <c r="D538" s="2" t="s">
        <v>2</v>
      </c>
      <c r="E538" s="2">
        <v>62</v>
      </c>
      <c r="F538" s="2">
        <v>3</v>
      </c>
      <c r="G538" s="2">
        <v>3</v>
      </c>
      <c r="H538" s="2">
        <v>20593734</v>
      </c>
      <c r="I538" s="2">
        <v>37</v>
      </c>
      <c r="J538" s="2" t="s">
        <v>1671</v>
      </c>
      <c r="K538" s="2">
        <v>63</v>
      </c>
      <c r="L538" s="2">
        <v>20</v>
      </c>
      <c r="M538" s="2">
        <v>5</v>
      </c>
      <c r="N538" s="2">
        <v>8</v>
      </c>
      <c r="O538" s="2">
        <v>25</v>
      </c>
      <c r="P538" s="2">
        <v>5</v>
      </c>
      <c r="Q538" s="2" t="s">
        <v>1848</v>
      </c>
      <c r="R538" s="2" t="s">
        <v>1849</v>
      </c>
      <c r="S538" s="4">
        <v>44837</v>
      </c>
    </row>
    <row r="539" spans="1:19" ht="12.5" hidden="1" x14ac:dyDescent="0.25">
      <c r="A539" s="14" t="str">
        <f>HYPERLINK("https://gerandofalcoes.my.salesforce.com/0014X00002VKCrfQAH", "0014X00002VKCrfQAH")</f>
        <v>0014X00002VKCrfQAH</v>
      </c>
      <c r="B539" s="2" t="s">
        <v>2804</v>
      </c>
      <c r="C539" s="2" t="s">
        <v>1800</v>
      </c>
      <c r="D539" s="2" t="s">
        <v>2</v>
      </c>
      <c r="E539" s="2">
        <v>13</v>
      </c>
      <c r="F539" s="2">
        <v>0</v>
      </c>
      <c r="G539" s="2">
        <v>4</v>
      </c>
      <c r="H539" s="2">
        <v>10000</v>
      </c>
      <c r="I539" s="2">
        <v>2</v>
      </c>
      <c r="J539" s="2" t="s">
        <v>1779</v>
      </c>
      <c r="K539" s="2">
        <v>30</v>
      </c>
      <c r="L539" s="2">
        <v>10</v>
      </c>
      <c r="M539" s="2">
        <v>0</v>
      </c>
      <c r="N539" s="2">
        <v>10</v>
      </c>
      <c r="O539" s="2">
        <v>5</v>
      </c>
      <c r="P539" s="2">
        <v>5</v>
      </c>
      <c r="Q539" s="2" t="s">
        <v>2805</v>
      </c>
      <c r="R539" s="2" t="s">
        <v>2806</v>
      </c>
      <c r="S539" s="4">
        <v>44837</v>
      </c>
    </row>
    <row r="540" spans="1:19" ht="12.5" hidden="1" x14ac:dyDescent="0.25">
      <c r="A540" s="14" t="str">
        <f>HYPERLINK("https://gerandofalcoes.my.salesforce.com/0014X00002VKCrQQAX", "0014X00002VKCrQQAX")</f>
        <v>0014X00002VKCrQQAX</v>
      </c>
      <c r="B540" s="2" t="s">
        <v>2765</v>
      </c>
      <c r="C540" s="2" t="s">
        <v>1800</v>
      </c>
      <c r="D540" s="2" t="s">
        <v>2</v>
      </c>
      <c r="E540" s="2">
        <v>14</v>
      </c>
      <c r="F540" s="2">
        <v>0</v>
      </c>
      <c r="G540" s="2">
        <v>2</v>
      </c>
      <c r="H540" s="2">
        <v>40000</v>
      </c>
      <c r="I540" s="2">
        <v>0</v>
      </c>
      <c r="J540" s="2" t="s">
        <v>1779</v>
      </c>
      <c r="K540" s="2">
        <v>26</v>
      </c>
      <c r="L540" s="2">
        <v>10</v>
      </c>
      <c r="M540" s="2">
        <v>0</v>
      </c>
      <c r="N540" s="2">
        <v>6</v>
      </c>
      <c r="O540" s="2">
        <v>10</v>
      </c>
      <c r="P540" s="2">
        <v>0</v>
      </c>
      <c r="Q540" s="2" t="s">
        <v>2766</v>
      </c>
      <c r="R540" s="2" t="s">
        <v>2767</v>
      </c>
      <c r="S540" s="4">
        <v>44837</v>
      </c>
    </row>
    <row r="541" spans="1:19" ht="12.5" hidden="1" x14ac:dyDescent="0.25">
      <c r="A541" s="14" t="str">
        <f>HYPERLINK("https://gerandofalcoes.my.salesforce.com/0014X00002VKCroQAH", "0014X00002VKCroQAH")</f>
        <v>0014X00002VKCroQAH</v>
      </c>
      <c r="B541" s="2" t="s">
        <v>2632</v>
      </c>
      <c r="C541" s="2" t="s">
        <v>1800</v>
      </c>
      <c r="D541" s="2" t="s">
        <v>2</v>
      </c>
      <c r="E541" s="2">
        <v>18</v>
      </c>
      <c r="F541" s="2">
        <v>0</v>
      </c>
      <c r="G541" s="2">
        <v>3</v>
      </c>
      <c r="H541" s="2">
        <v>8400</v>
      </c>
      <c r="I541" s="2">
        <v>100</v>
      </c>
      <c r="J541" s="2" t="s">
        <v>1779</v>
      </c>
      <c r="K541" s="2">
        <v>33</v>
      </c>
      <c r="L541" s="2">
        <v>10</v>
      </c>
      <c r="M541" s="2">
        <v>0</v>
      </c>
      <c r="N541" s="2">
        <v>8</v>
      </c>
      <c r="O541" s="2">
        <v>5</v>
      </c>
      <c r="P541" s="2">
        <v>10</v>
      </c>
      <c r="Q541" s="2" t="s">
        <v>2633</v>
      </c>
      <c r="R541" s="2" t="s">
        <v>2634</v>
      </c>
      <c r="S541" s="4">
        <v>44837</v>
      </c>
    </row>
    <row r="542" spans="1:19" ht="12.5" x14ac:dyDescent="0.25">
      <c r="A542" s="14" t="str">
        <f>HYPERLINK("https://gerandofalcoes.my.salesforce.com/0014X00002VKCueQAH", "0014X00002VKCueQAH")</f>
        <v>0014X00002VKCueQAH</v>
      </c>
      <c r="B542" s="2" t="s">
        <v>2128</v>
      </c>
      <c r="C542" s="2" t="s">
        <v>423</v>
      </c>
      <c r="D542" s="2" t="s">
        <v>2</v>
      </c>
      <c r="E542" s="2">
        <v>33</v>
      </c>
      <c r="F542" s="2">
        <v>0</v>
      </c>
      <c r="G542" s="2">
        <v>3</v>
      </c>
      <c r="H542" s="2">
        <v>40000</v>
      </c>
      <c r="I542" s="2">
        <v>10</v>
      </c>
      <c r="J542" s="2" t="s">
        <v>1779</v>
      </c>
      <c r="K542" s="2">
        <v>38</v>
      </c>
      <c r="L542" s="2">
        <v>15</v>
      </c>
      <c r="M542" s="2">
        <v>0</v>
      </c>
      <c r="N542" s="2">
        <v>8</v>
      </c>
      <c r="O542" s="2">
        <v>10</v>
      </c>
      <c r="P542" s="2">
        <v>5</v>
      </c>
      <c r="Q542" s="2" t="s">
        <v>2129</v>
      </c>
      <c r="R542" s="2" t="s">
        <v>2130</v>
      </c>
      <c r="S542" s="4">
        <v>44837</v>
      </c>
    </row>
    <row r="543" spans="1:19" ht="12.5" x14ac:dyDescent="0.25">
      <c r="A543" s="14" t="str">
        <f>HYPERLINK("https://gerandofalcoes.my.salesforce.com/0014X00002VKCqnQAH", "0014X00002VKCqnQAH")</f>
        <v>0014X00002VKCqnQAH</v>
      </c>
      <c r="B543" s="2" t="s">
        <v>2743</v>
      </c>
      <c r="C543" s="2" t="s">
        <v>423</v>
      </c>
      <c r="D543" s="2" t="s">
        <v>2</v>
      </c>
      <c r="E543" s="2">
        <v>48</v>
      </c>
      <c r="F543" s="2">
        <v>0</v>
      </c>
      <c r="G543" s="2">
        <v>4</v>
      </c>
      <c r="H543" s="2">
        <v>99683</v>
      </c>
      <c r="I543" s="2">
        <v>180</v>
      </c>
      <c r="J543" s="2" t="s">
        <v>1671</v>
      </c>
      <c r="K543" s="2">
        <v>47</v>
      </c>
      <c r="L543" s="2">
        <v>15</v>
      </c>
      <c r="M543" s="2">
        <v>0</v>
      </c>
      <c r="N543" s="2">
        <v>10</v>
      </c>
      <c r="O543" s="2">
        <v>10</v>
      </c>
      <c r="P543" s="2">
        <v>12</v>
      </c>
      <c r="Q543" s="2" t="s">
        <v>2744</v>
      </c>
      <c r="R543" s="2" t="s">
        <v>2745</v>
      </c>
      <c r="S543" s="4">
        <v>44837</v>
      </c>
    </row>
    <row r="544" spans="1:19" ht="12.5" x14ac:dyDescent="0.25">
      <c r="A544" s="14" t="str">
        <f>HYPERLINK("https://gerandofalcoes.my.salesforce.com/0014X00002VKCr7QAH", "0014X00002VKCr7QAH")</f>
        <v>0014X00002VKCr7QAH</v>
      </c>
      <c r="B544" s="2" t="s">
        <v>2730</v>
      </c>
      <c r="C544" s="2" t="s">
        <v>423</v>
      </c>
      <c r="D544" s="2" t="s">
        <v>2</v>
      </c>
      <c r="E544" s="2">
        <v>15</v>
      </c>
      <c r="F544" s="2">
        <v>0</v>
      </c>
      <c r="G544" s="2">
        <v>2</v>
      </c>
      <c r="H544" s="2">
        <v>0</v>
      </c>
      <c r="I544" s="2">
        <v>0</v>
      </c>
      <c r="J544" s="2" t="s">
        <v>1779</v>
      </c>
      <c r="K544" s="2">
        <v>16</v>
      </c>
      <c r="L544" s="2">
        <v>10</v>
      </c>
      <c r="M544" s="2">
        <v>0</v>
      </c>
      <c r="N544" s="2">
        <v>6</v>
      </c>
      <c r="O544" s="2">
        <v>0</v>
      </c>
      <c r="P544" s="2">
        <v>0</v>
      </c>
      <c r="Q544" s="2" t="s">
        <v>2731</v>
      </c>
      <c r="R544" s="2" t="s">
        <v>2731</v>
      </c>
      <c r="S544" s="4">
        <v>44837</v>
      </c>
    </row>
    <row r="545" spans="1:19" ht="12.5" x14ac:dyDescent="0.25">
      <c r="A545" s="14" t="str">
        <f>HYPERLINK("https://gerandofalcoes.my.salesforce.com/0014X00002VKCtCQAX", "0014X00002VKCtCQAX")</f>
        <v>0014X00002VKCtCQAX</v>
      </c>
      <c r="B545" s="2" t="s">
        <v>2724</v>
      </c>
      <c r="C545" s="2" t="s">
        <v>423</v>
      </c>
      <c r="D545" s="2" t="s">
        <v>2</v>
      </c>
      <c r="E545" s="2">
        <v>15</v>
      </c>
      <c r="F545" s="2">
        <v>0</v>
      </c>
      <c r="G545" s="2">
        <v>1</v>
      </c>
      <c r="H545" s="2">
        <v>6000</v>
      </c>
      <c r="I545" s="2">
        <v>40</v>
      </c>
      <c r="J545" s="2" t="s">
        <v>1779</v>
      </c>
      <c r="K545" s="2">
        <v>24</v>
      </c>
      <c r="L545" s="2">
        <v>10</v>
      </c>
      <c r="M545" s="2">
        <v>0</v>
      </c>
      <c r="N545" s="2">
        <v>4</v>
      </c>
      <c r="O545" s="2">
        <v>5</v>
      </c>
      <c r="P545" s="2">
        <v>5</v>
      </c>
      <c r="Q545" s="2" t="s">
        <v>2725</v>
      </c>
      <c r="R545" s="2" t="s">
        <v>2726</v>
      </c>
      <c r="S545" s="4">
        <v>44837</v>
      </c>
    </row>
    <row r="546" spans="1:19" ht="12.5" x14ac:dyDescent="0.25">
      <c r="A546" s="14" t="str">
        <f>HYPERLINK("https://gerandofalcoes.my.salesforce.com/0014X00002VKCr3QAH", "0014X00002VKCr3QAH")</f>
        <v>0014X00002VKCr3QAH</v>
      </c>
      <c r="B546" s="2" t="s">
        <v>2399</v>
      </c>
      <c r="C546" s="2" t="s">
        <v>423</v>
      </c>
      <c r="D546" s="2" t="s">
        <v>2</v>
      </c>
      <c r="E546" s="2">
        <v>25</v>
      </c>
      <c r="F546" s="2">
        <v>0</v>
      </c>
      <c r="G546" s="2">
        <v>0</v>
      </c>
      <c r="H546" s="2">
        <v>0</v>
      </c>
      <c r="I546" s="2">
        <v>700</v>
      </c>
      <c r="J546" s="2" t="s">
        <v>1779</v>
      </c>
      <c r="K546" s="2">
        <v>35</v>
      </c>
      <c r="L546" s="2">
        <v>15</v>
      </c>
      <c r="M546" s="2">
        <v>0</v>
      </c>
      <c r="N546" s="2">
        <v>0</v>
      </c>
      <c r="O546" s="2">
        <v>0</v>
      </c>
      <c r="P546" s="2">
        <v>20</v>
      </c>
      <c r="Q546" s="2" t="s">
        <v>2400</v>
      </c>
      <c r="R546" s="2" t="s">
        <v>2400</v>
      </c>
      <c r="S546" s="4">
        <v>44837</v>
      </c>
    </row>
    <row r="547" spans="1:19" ht="12.5" x14ac:dyDescent="0.25">
      <c r="A547" s="14" t="str">
        <f>HYPERLINK("https://gerandofalcoes.my.salesforce.com/0014X00002VKCqmQAH", "0014X00002VKCqmQAH")</f>
        <v>0014X00002VKCqmQAH</v>
      </c>
      <c r="B547" s="2" t="s">
        <v>2032</v>
      </c>
      <c r="C547" s="2" t="s">
        <v>423</v>
      </c>
      <c r="D547" s="2" t="s">
        <v>2</v>
      </c>
      <c r="E547" s="2">
        <v>37</v>
      </c>
      <c r="F547" s="2">
        <v>5</v>
      </c>
      <c r="G547" s="2">
        <v>1</v>
      </c>
      <c r="H547" s="2">
        <v>40000</v>
      </c>
      <c r="I547" s="2">
        <v>250</v>
      </c>
      <c r="J547" s="2" t="s">
        <v>1671</v>
      </c>
      <c r="K547" s="2">
        <v>46</v>
      </c>
      <c r="L547" s="2">
        <v>15</v>
      </c>
      <c r="M547" s="2">
        <v>5</v>
      </c>
      <c r="N547" s="2">
        <v>4</v>
      </c>
      <c r="O547" s="2">
        <v>10</v>
      </c>
      <c r="P547" s="2">
        <v>12</v>
      </c>
      <c r="Q547" s="2" t="s">
        <v>2033</v>
      </c>
      <c r="R547" s="2" t="s">
        <v>2034</v>
      </c>
      <c r="S547" s="4">
        <v>44837</v>
      </c>
    </row>
    <row r="548" spans="1:19" ht="12.5" hidden="1" x14ac:dyDescent="0.25">
      <c r="A548" s="14" t="str">
        <f>HYPERLINK("https://gerandofalcoes.my.salesforce.com/0014X00002VKCu1QAH", "0014X00002VKCu1QAH")</f>
        <v>0014X00002VKCu1QAH</v>
      </c>
      <c r="B548" s="2" t="s">
        <v>2158</v>
      </c>
      <c r="C548" s="2" t="s">
        <v>1800</v>
      </c>
      <c r="D548" s="2" t="s">
        <v>2</v>
      </c>
      <c r="E548" s="2">
        <v>33</v>
      </c>
      <c r="F548" s="2">
        <v>0</v>
      </c>
      <c r="G548" s="2">
        <v>3</v>
      </c>
      <c r="H548" s="2">
        <v>10000</v>
      </c>
      <c r="I548" s="2">
        <v>3500</v>
      </c>
      <c r="J548" s="2" t="s">
        <v>1671</v>
      </c>
      <c r="K548" s="2">
        <v>48</v>
      </c>
      <c r="L548" s="2">
        <v>15</v>
      </c>
      <c r="M548" s="2">
        <v>0</v>
      </c>
      <c r="N548" s="2">
        <v>8</v>
      </c>
      <c r="O548" s="2">
        <v>5</v>
      </c>
      <c r="P548" s="2">
        <v>20</v>
      </c>
      <c r="Q548" s="2" t="s">
        <v>2159</v>
      </c>
      <c r="R548" s="2" t="s">
        <v>2160</v>
      </c>
      <c r="S548" s="4">
        <v>44837</v>
      </c>
    </row>
    <row r="549" spans="1:19" ht="12.5" x14ac:dyDescent="0.25">
      <c r="A549" s="14" t="str">
        <f>HYPERLINK("https://gerandofalcoes.my.salesforce.com/0014X00002VKD05QAH", "0014X00002VKD05QAH")</f>
        <v>0014X00002VKD05QAH</v>
      </c>
      <c r="B549" s="2" t="s">
        <v>2264</v>
      </c>
      <c r="C549" s="2" t="s">
        <v>423</v>
      </c>
      <c r="D549" s="2" t="s">
        <v>2</v>
      </c>
      <c r="E549" s="2">
        <v>30</v>
      </c>
      <c r="F549" s="2">
        <v>0</v>
      </c>
      <c r="G549" s="2">
        <v>2</v>
      </c>
      <c r="H549" s="2">
        <v>199010</v>
      </c>
      <c r="I549" s="2">
        <v>240</v>
      </c>
      <c r="J549" s="2" t="s">
        <v>1671</v>
      </c>
      <c r="K549" s="2">
        <v>48</v>
      </c>
      <c r="L549" s="2">
        <v>15</v>
      </c>
      <c r="M549" s="2">
        <v>0</v>
      </c>
      <c r="N549" s="2">
        <v>6</v>
      </c>
      <c r="O549" s="2">
        <v>15</v>
      </c>
      <c r="P549" s="2">
        <v>12</v>
      </c>
      <c r="Q549" s="2" t="s">
        <v>2265</v>
      </c>
      <c r="R549" s="2" t="s">
        <v>2266</v>
      </c>
      <c r="S549" s="4">
        <v>44837</v>
      </c>
    </row>
    <row r="550" spans="1:19" ht="12.5" x14ac:dyDescent="0.25">
      <c r="A550" s="14" t="str">
        <f>HYPERLINK("https://gerandofalcoes.my.salesforce.com/0014X00002VKCsSQAX", "0014X00002VKCsSQAX")</f>
        <v>0014X00002VKCsSQAX</v>
      </c>
      <c r="B550" s="2" t="s">
        <v>2354</v>
      </c>
      <c r="C550" s="2" t="s">
        <v>423</v>
      </c>
      <c r="D550" s="2" t="s">
        <v>2</v>
      </c>
      <c r="E550" s="2">
        <v>27</v>
      </c>
      <c r="F550" s="2">
        <v>0</v>
      </c>
      <c r="G550" s="2">
        <v>3</v>
      </c>
      <c r="H550" s="2">
        <v>28800</v>
      </c>
      <c r="I550" s="2">
        <v>65</v>
      </c>
      <c r="J550" s="2" t="s">
        <v>1779</v>
      </c>
      <c r="K550" s="2">
        <v>38</v>
      </c>
      <c r="L550" s="2">
        <v>15</v>
      </c>
      <c r="M550" s="2">
        <v>0</v>
      </c>
      <c r="N550" s="2">
        <v>8</v>
      </c>
      <c r="O550" s="2">
        <v>10</v>
      </c>
      <c r="P550" s="2">
        <v>5</v>
      </c>
      <c r="Q550" s="2" t="s">
        <v>2355</v>
      </c>
      <c r="R550" s="2" t="s">
        <v>2356</v>
      </c>
      <c r="S550" s="4">
        <v>44837</v>
      </c>
    </row>
    <row r="551" spans="1:19" ht="12.5" x14ac:dyDescent="0.25">
      <c r="A551" s="14" t="str">
        <f>HYPERLINK("https://gerandofalcoes.my.salesforce.com/0014X00002UGqWjQAL", "0014X00002UGqWjQAL")</f>
        <v>0014X00002UGqWjQAL</v>
      </c>
      <c r="B551" s="2" t="s">
        <v>2654</v>
      </c>
      <c r="C551" s="2" t="s">
        <v>423</v>
      </c>
      <c r="D551" s="2" t="s">
        <v>2</v>
      </c>
      <c r="E551" s="2">
        <v>17</v>
      </c>
      <c r="F551" s="2">
        <v>0</v>
      </c>
      <c r="G551" s="2">
        <v>2</v>
      </c>
      <c r="H551" s="2">
        <v>2000</v>
      </c>
      <c r="I551" s="2">
        <v>150</v>
      </c>
      <c r="J551" s="2" t="s">
        <v>1779</v>
      </c>
      <c r="K551" s="2">
        <v>33</v>
      </c>
      <c r="L551" s="2">
        <v>10</v>
      </c>
      <c r="M551" s="2">
        <v>0</v>
      </c>
      <c r="N551" s="2">
        <v>6</v>
      </c>
      <c r="O551" s="2">
        <v>5</v>
      </c>
      <c r="P551" s="2">
        <v>12</v>
      </c>
      <c r="Q551" s="2" t="s">
        <v>2655</v>
      </c>
      <c r="R551" s="2" t="s">
        <v>2656</v>
      </c>
      <c r="S551" s="4">
        <v>44837</v>
      </c>
    </row>
    <row r="552" spans="1:19" ht="12.5" hidden="1" x14ac:dyDescent="0.25">
      <c r="A552" s="14" t="str">
        <f>HYPERLINK("https://gerandofalcoes.my.salesforce.com/0014X00002UGscXQAT", "0014X00002UGscXQAT")</f>
        <v>0014X00002UGscXQAT</v>
      </c>
      <c r="B552" s="2" t="s">
        <v>2995</v>
      </c>
      <c r="C552" s="2" t="s">
        <v>1800</v>
      </c>
      <c r="D552" s="2" t="s">
        <v>2</v>
      </c>
      <c r="E552" s="2"/>
      <c r="F552" s="2">
        <v>2</v>
      </c>
      <c r="G552" s="2">
        <v>2</v>
      </c>
      <c r="H552" s="2">
        <v>1000</v>
      </c>
      <c r="I552" s="2">
        <v>0</v>
      </c>
      <c r="J552" s="2" t="s">
        <v>1779</v>
      </c>
      <c r="K552" s="2">
        <v>16</v>
      </c>
      <c r="L552" s="2">
        <v>0</v>
      </c>
      <c r="M552" s="2">
        <v>5</v>
      </c>
      <c r="N552" s="2">
        <v>6</v>
      </c>
      <c r="O552" s="2">
        <v>5</v>
      </c>
      <c r="P552" s="2">
        <v>0</v>
      </c>
      <c r="Q552" s="2" t="s">
        <v>2996</v>
      </c>
      <c r="R552" s="2" t="s">
        <v>2997</v>
      </c>
      <c r="S552" s="4">
        <v>44837</v>
      </c>
    </row>
    <row r="553" spans="1:19" ht="12.5" x14ac:dyDescent="0.25">
      <c r="A553" s="14" t="str">
        <f>HYPERLINK("https://gerandofalcoes.my.salesforce.com/0014P00003AN2FoQAL", "0014P00003AN2FoQAL")</f>
        <v>0014P00003AN2FoQAL</v>
      </c>
      <c r="B553" s="2" t="s">
        <v>1938</v>
      </c>
      <c r="C553" s="2" t="s">
        <v>423</v>
      </c>
      <c r="D553" s="2" t="s">
        <v>2</v>
      </c>
      <c r="E553" s="2">
        <v>41.14</v>
      </c>
      <c r="F553" s="2">
        <v>5</v>
      </c>
      <c r="G553" s="2">
        <v>1</v>
      </c>
      <c r="H553" s="2">
        <v>25000</v>
      </c>
      <c r="I553" s="2">
        <v>300</v>
      </c>
      <c r="J553" s="2" t="s">
        <v>1671</v>
      </c>
      <c r="K553" s="2">
        <v>49</v>
      </c>
      <c r="L553" s="2">
        <v>15</v>
      </c>
      <c r="M553" s="2">
        <v>5</v>
      </c>
      <c r="N553" s="2">
        <v>4</v>
      </c>
      <c r="O553" s="2">
        <v>10</v>
      </c>
      <c r="P553" s="2">
        <v>15</v>
      </c>
      <c r="Q553" s="2" t="s">
        <v>130</v>
      </c>
      <c r="R553" s="2" t="s">
        <v>1939</v>
      </c>
      <c r="S553" s="4">
        <v>44837</v>
      </c>
    </row>
    <row r="554" spans="1:19" ht="12.5" x14ac:dyDescent="0.25">
      <c r="A554" s="14" t="str">
        <f>HYPERLINK("https://gerandofalcoes.my.salesforce.com/0014P00003AN2FpQAL", "0014P00003AN2FpQAL")</f>
        <v>0014P00003AN2FpQAL</v>
      </c>
      <c r="B554" s="2" t="s">
        <v>1678</v>
      </c>
      <c r="C554" s="2" t="s">
        <v>423</v>
      </c>
      <c r="D554" s="2" t="s">
        <v>27</v>
      </c>
      <c r="E554" s="2">
        <v>89</v>
      </c>
      <c r="F554" s="2">
        <v>16</v>
      </c>
      <c r="G554" s="2">
        <v>2</v>
      </c>
      <c r="H554" s="2">
        <v>76727.45</v>
      </c>
      <c r="I554" s="2">
        <v>173</v>
      </c>
      <c r="J554" s="2" t="s">
        <v>1650</v>
      </c>
      <c r="K554" s="2">
        <v>65</v>
      </c>
      <c r="L554" s="2">
        <v>25</v>
      </c>
      <c r="M554" s="2">
        <v>12</v>
      </c>
      <c r="N554" s="2">
        <v>6</v>
      </c>
      <c r="O554" s="2">
        <v>10</v>
      </c>
      <c r="P554" s="2">
        <v>12</v>
      </c>
      <c r="Q554" s="2" t="s">
        <v>131</v>
      </c>
      <c r="R554" s="2" t="s">
        <v>131</v>
      </c>
      <c r="S554" s="4">
        <v>44837</v>
      </c>
    </row>
    <row r="555" spans="1:19" ht="12.5" x14ac:dyDescent="0.25">
      <c r="A555" s="14" t="str">
        <f>HYPERLINK("https://gerandofalcoes.my.salesforce.com/0014P00003AN2FvQAL", "0014P00003AN2FvQAL")</f>
        <v>0014P00003AN2FvQAL</v>
      </c>
      <c r="B555" s="2" t="s">
        <v>1746</v>
      </c>
      <c r="C555" s="2" t="s">
        <v>423</v>
      </c>
      <c r="D555" s="2" t="s">
        <v>27</v>
      </c>
      <c r="E555" s="2">
        <v>64</v>
      </c>
      <c r="F555" s="2">
        <v>7</v>
      </c>
      <c r="G555" s="2">
        <v>2</v>
      </c>
      <c r="H555" s="2">
        <v>109514.68</v>
      </c>
      <c r="I555" s="2">
        <v>127</v>
      </c>
      <c r="J555" s="2" t="s">
        <v>1671</v>
      </c>
      <c r="K555" s="2">
        <v>61</v>
      </c>
      <c r="L555" s="2">
        <v>20</v>
      </c>
      <c r="M555" s="2">
        <v>10</v>
      </c>
      <c r="N555" s="2">
        <v>6</v>
      </c>
      <c r="O555" s="2">
        <v>15</v>
      </c>
      <c r="P555" s="2">
        <v>10</v>
      </c>
      <c r="Q555" s="2" t="s">
        <v>142</v>
      </c>
      <c r="R555" s="2" t="s">
        <v>142</v>
      </c>
      <c r="S555" s="4">
        <v>44837</v>
      </c>
    </row>
    <row r="556" spans="1:19" ht="12.5" x14ac:dyDescent="0.25">
      <c r="A556" s="14" t="str">
        <f>HYPERLINK("https://gerandofalcoes.my.salesforce.com/0014P00003AN2FqQAL", "0014P00003AN2FqQAL")</f>
        <v>0014P00003AN2FqQAL</v>
      </c>
      <c r="B556" s="2" t="s">
        <v>1658</v>
      </c>
      <c r="C556" s="2" t="s">
        <v>423</v>
      </c>
      <c r="D556" s="2" t="s">
        <v>27</v>
      </c>
      <c r="E556" s="2">
        <v>95</v>
      </c>
      <c r="F556" s="2">
        <v>46</v>
      </c>
      <c r="G556" s="2">
        <v>4</v>
      </c>
      <c r="H556" s="2">
        <v>1272655.06</v>
      </c>
      <c r="I556" s="2">
        <v>348</v>
      </c>
      <c r="J556" s="2" t="s">
        <v>1654</v>
      </c>
      <c r="K556" s="2">
        <v>95</v>
      </c>
      <c r="L556" s="2">
        <v>30</v>
      </c>
      <c r="M556" s="2">
        <v>15</v>
      </c>
      <c r="N556" s="2">
        <v>10</v>
      </c>
      <c r="O556" s="2">
        <v>25</v>
      </c>
      <c r="P556" s="2">
        <v>15</v>
      </c>
      <c r="Q556" s="2" t="s">
        <v>132</v>
      </c>
      <c r="R556" s="2" t="s">
        <v>132</v>
      </c>
      <c r="S556" s="4">
        <v>44837</v>
      </c>
    </row>
    <row r="557" spans="1:19" ht="12.5" x14ac:dyDescent="0.25">
      <c r="A557" s="14" t="str">
        <f>HYPERLINK("https://gerandofalcoes.my.salesforce.com/0014P00003AN2FsQAL", "0014P00003AN2FsQAL")</f>
        <v>0014P00003AN2FsQAL</v>
      </c>
      <c r="B557" s="2" t="s">
        <v>1688</v>
      </c>
      <c r="C557" s="2" t="s">
        <v>423</v>
      </c>
      <c r="D557" s="2" t="s">
        <v>27</v>
      </c>
      <c r="E557" s="2">
        <v>85</v>
      </c>
      <c r="F557" s="2">
        <v>6</v>
      </c>
      <c r="G557" s="2">
        <v>3</v>
      </c>
      <c r="H557" s="2">
        <v>93122.27</v>
      </c>
      <c r="I557" s="2">
        <v>206</v>
      </c>
      <c r="J557" s="2" t="s">
        <v>1650</v>
      </c>
      <c r="K557" s="2">
        <v>65</v>
      </c>
      <c r="L557" s="2">
        <v>25</v>
      </c>
      <c r="M557" s="2">
        <v>10</v>
      </c>
      <c r="N557" s="2">
        <v>8</v>
      </c>
      <c r="O557" s="2">
        <v>10</v>
      </c>
      <c r="P557" s="2">
        <v>12</v>
      </c>
      <c r="Q557" s="2" t="s">
        <v>134</v>
      </c>
      <c r="R557" s="2" t="s">
        <v>134</v>
      </c>
      <c r="S557" s="4">
        <v>44837</v>
      </c>
    </row>
    <row r="558" spans="1:19" ht="12.5" x14ac:dyDescent="0.25">
      <c r="A558" s="14" t="str">
        <f>HYPERLINK("https://gerandofalcoes.my.salesforce.com/0014X00002VKCteQAH", "0014X00002VKCteQAH")</f>
        <v>0014X00002VKCteQAH</v>
      </c>
      <c r="B558" s="2" t="s">
        <v>2368</v>
      </c>
      <c r="C558" s="2" t="s">
        <v>423</v>
      </c>
      <c r="D558" s="2" t="s">
        <v>2</v>
      </c>
      <c r="E558" s="2">
        <v>26</v>
      </c>
      <c r="F558" s="2">
        <v>0</v>
      </c>
      <c r="G558" s="2">
        <v>4</v>
      </c>
      <c r="H558" s="2">
        <v>120000</v>
      </c>
      <c r="I558" s="2">
        <v>60</v>
      </c>
      <c r="J558" s="2" t="s">
        <v>1671</v>
      </c>
      <c r="K558" s="2">
        <v>45</v>
      </c>
      <c r="L558" s="2">
        <v>15</v>
      </c>
      <c r="M558" s="2">
        <v>0</v>
      </c>
      <c r="N558" s="2">
        <v>10</v>
      </c>
      <c r="O558" s="2">
        <v>15</v>
      </c>
      <c r="P558" s="2">
        <v>5</v>
      </c>
      <c r="Q558" s="2" t="s">
        <v>2369</v>
      </c>
      <c r="R558" s="2" t="s">
        <v>2369</v>
      </c>
      <c r="S558" s="4">
        <v>44837</v>
      </c>
    </row>
    <row r="559" spans="1:19" ht="12.5" x14ac:dyDescent="0.25">
      <c r="A559" s="14" t="str">
        <f>HYPERLINK("https://gerandofalcoes.my.salesforce.com/0014P00003AN2FtQAL", "0014P00003AN2FtQAL")</f>
        <v>0014P00003AN2FtQAL</v>
      </c>
      <c r="B559" s="2" t="s">
        <v>137</v>
      </c>
      <c r="C559" s="2" t="s">
        <v>423</v>
      </c>
      <c r="D559" s="2" t="s">
        <v>27</v>
      </c>
      <c r="E559" s="2">
        <v>86</v>
      </c>
      <c r="F559" s="2">
        <v>7</v>
      </c>
      <c r="G559" s="2">
        <v>4</v>
      </c>
      <c r="H559" s="2">
        <v>67399.429999999993</v>
      </c>
      <c r="I559" s="2">
        <v>159</v>
      </c>
      <c r="J559" s="2" t="s">
        <v>1650</v>
      </c>
      <c r="K559" s="2">
        <v>67</v>
      </c>
      <c r="L559" s="2">
        <v>25</v>
      </c>
      <c r="M559" s="2">
        <v>10</v>
      </c>
      <c r="N559" s="2">
        <v>10</v>
      </c>
      <c r="O559" s="2">
        <v>10</v>
      </c>
      <c r="P559" s="2">
        <v>12</v>
      </c>
      <c r="Q559" s="2" t="s">
        <v>138</v>
      </c>
      <c r="R559" s="2" t="s">
        <v>1682</v>
      </c>
      <c r="S559" s="4">
        <v>44837</v>
      </c>
    </row>
    <row r="560" spans="1:19" ht="12.5" x14ac:dyDescent="0.25">
      <c r="A560" s="14" t="str">
        <f>HYPERLINK("https://gerandofalcoes.my.salesforce.com/0014P00003AN2FuQAL", "0014P00003AN2FuQAL")</f>
        <v>0014P00003AN2FuQAL</v>
      </c>
      <c r="B560" s="2" t="s">
        <v>1659</v>
      </c>
      <c r="C560" s="2" t="s">
        <v>423</v>
      </c>
      <c r="D560" s="2" t="s">
        <v>27</v>
      </c>
      <c r="E560" s="2">
        <v>95</v>
      </c>
      <c r="F560" s="2">
        <v>23</v>
      </c>
      <c r="G560" s="2">
        <v>3</v>
      </c>
      <c r="H560" s="2">
        <v>243360.63</v>
      </c>
      <c r="I560" s="2">
        <v>291</v>
      </c>
      <c r="J560" s="2" t="s">
        <v>1650</v>
      </c>
      <c r="K560" s="2">
        <v>77</v>
      </c>
      <c r="L560" s="2">
        <v>30</v>
      </c>
      <c r="M560" s="2">
        <v>12</v>
      </c>
      <c r="N560" s="2">
        <v>8</v>
      </c>
      <c r="O560" s="2">
        <v>15</v>
      </c>
      <c r="P560" s="2">
        <v>12</v>
      </c>
      <c r="Q560" s="2" t="s">
        <v>140</v>
      </c>
      <c r="R560" s="2" t="s">
        <v>140</v>
      </c>
      <c r="S560" s="4">
        <v>44837</v>
      </c>
    </row>
    <row r="561" spans="1:19" ht="12.5" x14ac:dyDescent="0.25">
      <c r="A561" s="14" t="str">
        <f>HYPERLINK("https://gerandofalcoes.my.salesforce.com/0014P00003AN2FwQAL", "0014P00003AN2FwQAL")</f>
        <v>0014P00003AN2FwQAL</v>
      </c>
      <c r="B561" s="2" t="s">
        <v>115</v>
      </c>
      <c r="C561" s="2" t="s">
        <v>423</v>
      </c>
      <c r="D561" s="2" t="s">
        <v>27</v>
      </c>
      <c r="E561" s="2">
        <v>73</v>
      </c>
      <c r="F561" s="2">
        <v>15</v>
      </c>
      <c r="G561" s="2">
        <v>1</v>
      </c>
      <c r="H561" s="2">
        <v>65923</v>
      </c>
      <c r="I561" s="2">
        <v>77</v>
      </c>
      <c r="J561" s="2" t="s">
        <v>1671</v>
      </c>
      <c r="K561" s="2">
        <v>51</v>
      </c>
      <c r="L561" s="2">
        <v>20</v>
      </c>
      <c r="M561" s="2">
        <v>12</v>
      </c>
      <c r="N561" s="2">
        <v>4</v>
      </c>
      <c r="O561" s="2">
        <v>10</v>
      </c>
      <c r="P561" s="2">
        <v>5</v>
      </c>
      <c r="Q561" s="2" t="s">
        <v>116</v>
      </c>
      <c r="R561" s="2" t="s">
        <v>1723</v>
      </c>
      <c r="S561" s="4">
        <v>44837</v>
      </c>
    </row>
    <row r="562" spans="1:19" ht="12.5" x14ac:dyDescent="0.25">
      <c r="A562" s="14" t="str">
        <f>HYPERLINK("https://gerandofalcoes.my.salesforce.com/0014P00003AN2FxQAL", "0014P00003AN2FxQAL")</f>
        <v>0014P00003AN2FxQAL</v>
      </c>
      <c r="B562" s="2" t="s">
        <v>1664</v>
      </c>
      <c r="C562" s="2" t="s">
        <v>423</v>
      </c>
      <c r="D562" s="2" t="s">
        <v>27</v>
      </c>
      <c r="E562" s="2">
        <v>93</v>
      </c>
      <c r="F562" s="2">
        <v>29</v>
      </c>
      <c r="G562" s="2">
        <v>1</v>
      </c>
      <c r="H562" s="2">
        <v>621309.18999999994</v>
      </c>
      <c r="I562" s="2">
        <v>203</v>
      </c>
      <c r="J562" s="2" t="s">
        <v>1650</v>
      </c>
      <c r="K562" s="2">
        <v>78</v>
      </c>
      <c r="L562" s="2">
        <v>30</v>
      </c>
      <c r="M562" s="2">
        <v>12</v>
      </c>
      <c r="N562" s="2">
        <v>4</v>
      </c>
      <c r="O562" s="2">
        <v>20</v>
      </c>
      <c r="P562" s="2">
        <v>12</v>
      </c>
      <c r="Q562" s="2" t="s">
        <v>144</v>
      </c>
      <c r="R562" s="2" t="s">
        <v>144</v>
      </c>
      <c r="S562" s="4">
        <v>44837</v>
      </c>
    </row>
    <row r="563" spans="1:19" ht="12.5" x14ac:dyDescent="0.25">
      <c r="A563" s="14" t="str">
        <f>HYPERLINK("https://gerandofalcoes.my.salesforce.com/0014X00002VKCunQAH", "0014X00002VKCunQAH")</f>
        <v>0014X00002VKCunQAH</v>
      </c>
      <c r="B563" s="2" t="s">
        <v>2054</v>
      </c>
      <c r="C563" s="2" t="s">
        <v>423</v>
      </c>
      <c r="D563" s="2" t="s">
        <v>2</v>
      </c>
      <c r="E563" s="2">
        <v>37</v>
      </c>
      <c r="F563" s="2">
        <v>4</v>
      </c>
      <c r="G563" s="2">
        <v>6</v>
      </c>
      <c r="H563" s="2">
        <v>240</v>
      </c>
      <c r="I563" s="2">
        <v>12</v>
      </c>
      <c r="J563" s="2" t="s">
        <v>1671</v>
      </c>
      <c r="K563" s="2">
        <v>40</v>
      </c>
      <c r="L563" s="2">
        <v>15</v>
      </c>
      <c r="M563" s="2">
        <v>5</v>
      </c>
      <c r="N563" s="2">
        <v>10</v>
      </c>
      <c r="O563" s="2">
        <v>5</v>
      </c>
      <c r="P563" s="2">
        <v>5</v>
      </c>
      <c r="Q563" s="2" t="s">
        <v>2055</v>
      </c>
      <c r="R563" s="2" t="s">
        <v>2056</v>
      </c>
      <c r="S563" s="4">
        <v>44837</v>
      </c>
    </row>
    <row r="564" spans="1:19" ht="12.5" x14ac:dyDescent="0.25">
      <c r="A564" s="14" t="str">
        <f>HYPERLINK("https://gerandofalcoes.my.salesforce.com/0014X00002VKCpOQAX", "0014X00002VKCpOQAX")</f>
        <v>0014X00002VKCpOQAX</v>
      </c>
      <c r="B564" s="2" t="s">
        <v>2905</v>
      </c>
      <c r="C564" s="2" t="s">
        <v>423</v>
      </c>
      <c r="D564" s="2" t="s">
        <v>2</v>
      </c>
      <c r="E564" s="2">
        <v>8</v>
      </c>
      <c r="F564" s="2">
        <v>4</v>
      </c>
      <c r="G564" s="2">
        <v>10</v>
      </c>
      <c r="H564" s="2">
        <v>0</v>
      </c>
      <c r="I564" s="2">
        <v>100</v>
      </c>
      <c r="J564" s="2" t="s">
        <v>1779</v>
      </c>
      <c r="K564" s="2">
        <v>35</v>
      </c>
      <c r="L564" s="2">
        <v>10</v>
      </c>
      <c r="M564" s="2">
        <v>5</v>
      </c>
      <c r="N564" s="2">
        <v>10</v>
      </c>
      <c r="O564" s="2">
        <v>0</v>
      </c>
      <c r="P564" s="2">
        <v>10</v>
      </c>
      <c r="Q564" s="2" t="s">
        <v>2906</v>
      </c>
      <c r="R564" s="2" t="s">
        <v>2906</v>
      </c>
      <c r="S564" s="4">
        <v>44837</v>
      </c>
    </row>
    <row r="565" spans="1:19" ht="12.5" x14ac:dyDescent="0.25">
      <c r="A565" s="14" t="str">
        <f>HYPERLINK("https://gerandofalcoes.my.salesforce.com/0014X00002VKCv1QAH", "0014X00002VKCv1QAH")</f>
        <v>0014X00002VKCv1QAH</v>
      </c>
      <c r="B565" s="2" t="s">
        <v>2307</v>
      </c>
      <c r="C565" s="2" t="s">
        <v>423</v>
      </c>
      <c r="D565" s="2" t="s">
        <v>2</v>
      </c>
      <c r="E565" s="2">
        <v>29</v>
      </c>
      <c r="F565" s="2">
        <v>0</v>
      </c>
      <c r="G565" s="2">
        <v>2</v>
      </c>
      <c r="H565" s="2">
        <v>10000</v>
      </c>
      <c r="I565" s="2">
        <v>20</v>
      </c>
      <c r="J565" s="2" t="s">
        <v>1779</v>
      </c>
      <c r="K565" s="2">
        <v>31</v>
      </c>
      <c r="L565" s="2">
        <v>15</v>
      </c>
      <c r="M565" s="2">
        <v>0</v>
      </c>
      <c r="N565" s="2">
        <v>6</v>
      </c>
      <c r="O565" s="2">
        <v>5</v>
      </c>
      <c r="P565" s="2">
        <v>5</v>
      </c>
      <c r="Q565" s="2" t="s">
        <v>2308</v>
      </c>
      <c r="R565" s="2" t="s">
        <v>2308</v>
      </c>
      <c r="S565" s="4">
        <v>44837</v>
      </c>
    </row>
    <row r="566" spans="1:19" ht="12.5" x14ac:dyDescent="0.25">
      <c r="A566" s="14" t="str">
        <f>HYPERLINK("https://gerandofalcoes.my.salesforce.com/0014X00002VKCrtQAH", "0014X00002VKCrtQAH")</f>
        <v>0014X00002VKCrtQAH</v>
      </c>
      <c r="B566" s="2" t="s">
        <v>2579</v>
      </c>
      <c r="C566" s="2" t="s">
        <v>423</v>
      </c>
      <c r="D566" s="2" t="s">
        <v>2</v>
      </c>
      <c r="E566" s="2">
        <v>34</v>
      </c>
      <c r="F566" s="2">
        <v>0</v>
      </c>
      <c r="G566" s="2">
        <v>2</v>
      </c>
      <c r="H566" s="2">
        <v>6000</v>
      </c>
      <c r="I566" s="2">
        <v>33</v>
      </c>
      <c r="J566" s="2" t="s">
        <v>1779</v>
      </c>
      <c r="K566" s="2">
        <v>31</v>
      </c>
      <c r="L566" s="2">
        <v>15</v>
      </c>
      <c r="M566" s="2">
        <v>0</v>
      </c>
      <c r="N566" s="2">
        <v>6</v>
      </c>
      <c r="O566" s="2">
        <v>5</v>
      </c>
      <c r="P566" s="2">
        <v>5</v>
      </c>
      <c r="Q566" s="2" t="s">
        <v>2580</v>
      </c>
      <c r="R566" s="2" t="s">
        <v>2581</v>
      </c>
      <c r="S566" s="4">
        <v>44837</v>
      </c>
    </row>
    <row r="567" spans="1:19" ht="12.5" x14ac:dyDescent="0.25">
      <c r="A567" s="14" t="str">
        <f>HYPERLINK("https://gerandofalcoes.my.salesforce.com/0014X00002VKCrxQAH", "0014X00002VKCrxQAH")</f>
        <v>0014X00002VKCrxQAH</v>
      </c>
      <c r="B567" s="2" t="s">
        <v>2970</v>
      </c>
      <c r="C567" s="2" t="s">
        <v>423</v>
      </c>
      <c r="D567" s="2" t="s">
        <v>2</v>
      </c>
      <c r="E567" s="2">
        <v>18</v>
      </c>
      <c r="F567" s="2">
        <v>0</v>
      </c>
      <c r="G567" s="2">
        <v>0</v>
      </c>
      <c r="H567" s="2">
        <v>0</v>
      </c>
      <c r="I567" s="2">
        <v>60</v>
      </c>
      <c r="J567" s="2" t="s">
        <v>1779</v>
      </c>
      <c r="K567" s="2">
        <v>15</v>
      </c>
      <c r="L567" s="2">
        <v>10</v>
      </c>
      <c r="M567" s="2">
        <v>0</v>
      </c>
      <c r="N567" s="2">
        <v>0</v>
      </c>
      <c r="O567" s="2">
        <v>0</v>
      </c>
      <c r="P567" s="2">
        <v>5</v>
      </c>
      <c r="Q567" s="2" t="s">
        <v>2971</v>
      </c>
      <c r="R567" s="2" t="s">
        <v>2972</v>
      </c>
      <c r="S567" s="4">
        <v>44837</v>
      </c>
    </row>
    <row r="568" spans="1:19" ht="12.5" hidden="1" x14ac:dyDescent="0.25">
      <c r="A568" s="14" t="str">
        <f>HYPERLINK("https://gerandofalcoes.my.salesforce.com/0014X00002VKCv3QAH", "0014X00002VKCv3QAH")</f>
        <v>0014X00002VKCv3QAH</v>
      </c>
      <c r="B568" s="2" t="s">
        <v>2141</v>
      </c>
      <c r="C568" s="2" t="s">
        <v>1800</v>
      </c>
      <c r="D568" s="2" t="s">
        <v>2</v>
      </c>
      <c r="E568" s="2">
        <v>34</v>
      </c>
      <c r="F568" s="2">
        <v>0</v>
      </c>
      <c r="G568" s="2">
        <v>3</v>
      </c>
      <c r="H568" s="2">
        <v>12000</v>
      </c>
      <c r="I568" s="2">
        <v>20</v>
      </c>
      <c r="J568" s="2" t="s">
        <v>1779</v>
      </c>
      <c r="K568" s="2">
        <v>33</v>
      </c>
      <c r="L568" s="2">
        <v>15</v>
      </c>
      <c r="M568" s="2">
        <v>0</v>
      </c>
      <c r="N568" s="2">
        <v>8</v>
      </c>
      <c r="O568" s="2">
        <v>5</v>
      </c>
      <c r="P568" s="2">
        <v>5</v>
      </c>
      <c r="Q568" s="2" t="s">
        <v>2142</v>
      </c>
      <c r="R568" s="2" t="s">
        <v>2143</v>
      </c>
      <c r="S568" s="4">
        <v>44837</v>
      </c>
    </row>
    <row r="569" spans="1:19" ht="12.5" hidden="1" x14ac:dyDescent="0.25">
      <c r="A569" s="14" t="str">
        <f>HYPERLINK("https://gerandofalcoes.my.salesforce.com/0014P00003SGWPqQAP", "0014P00003SGWPqQAP")</f>
        <v>0014P00003SGWPqQAP</v>
      </c>
      <c r="B569" s="2" t="s">
        <v>2835</v>
      </c>
      <c r="C569" s="2" t="s">
        <v>1800</v>
      </c>
      <c r="D569" s="2" t="s">
        <v>2</v>
      </c>
      <c r="E569" s="2">
        <v>11</v>
      </c>
      <c r="F569" s="2">
        <v>2</v>
      </c>
      <c r="G569" s="2">
        <v>0</v>
      </c>
      <c r="H569" s="2">
        <v>140000</v>
      </c>
      <c r="I569" s="2">
        <v>200</v>
      </c>
      <c r="J569" s="2" t="s">
        <v>1671</v>
      </c>
      <c r="K569" s="2">
        <v>42</v>
      </c>
      <c r="L569" s="2">
        <v>10</v>
      </c>
      <c r="M569" s="2">
        <v>5</v>
      </c>
      <c r="N569" s="2">
        <v>0</v>
      </c>
      <c r="O569" s="2">
        <v>15</v>
      </c>
      <c r="P569" s="2">
        <v>12</v>
      </c>
      <c r="Q569" s="2" t="s">
        <v>327</v>
      </c>
      <c r="R569" s="2" t="s">
        <v>1409</v>
      </c>
      <c r="S569" s="4">
        <v>44837</v>
      </c>
    </row>
    <row r="570" spans="1:19" ht="12.5" x14ac:dyDescent="0.25">
      <c r="A570" s="14" t="str">
        <f>HYPERLINK("https://gerandofalcoes.my.salesforce.com/0014P00003SGWPrQAP", "0014P00003SGWPrQAP")</f>
        <v>0014P00003SGWPrQAP</v>
      </c>
      <c r="B570" s="2" t="s">
        <v>2774</v>
      </c>
      <c r="C570" s="2" t="s">
        <v>423</v>
      </c>
      <c r="D570" s="2" t="s">
        <v>2</v>
      </c>
      <c r="E570" s="2">
        <v>31</v>
      </c>
      <c r="F570" s="2">
        <v>0</v>
      </c>
      <c r="G570" s="2">
        <v>2</v>
      </c>
      <c r="H570" s="2">
        <v>50000</v>
      </c>
      <c r="I570" s="2">
        <v>52</v>
      </c>
      <c r="J570" s="2" t="s">
        <v>1779</v>
      </c>
      <c r="K570" s="2">
        <v>36</v>
      </c>
      <c r="L570" s="2">
        <v>15</v>
      </c>
      <c r="M570" s="2">
        <v>0</v>
      </c>
      <c r="N570" s="2">
        <v>6</v>
      </c>
      <c r="O570" s="2">
        <v>10</v>
      </c>
      <c r="P570" s="2">
        <v>5</v>
      </c>
      <c r="Q570" s="2" t="s">
        <v>329</v>
      </c>
      <c r="R570" s="2" t="s">
        <v>1419</v>
      </c>
      <c r="S570" s="4">
        <v>44837</v>
      </c>
    </row>
    <row r="571" spans="1:19" ht="12.5" x14ac:dyDescent="0.25">
      <c r="A571" s="14" t="str">
        <f>HYPERLINK("https://gerandofalcoes.my.salesforce.com/0014P00003SGWPsQAP", "0014P00003SGWPsQAP")</f>
        <v>0014P00003SGWPsQAP</v>
      </c>
      <c r="B571" s="2" t="s">
        <v>1663</v>
      </c>
      <c r="C571" s="2" t="s">
        <v>423</v>
      </c>
      <c r="D571" s="2" t="s">
        <v>27</v>
      </c>
      <c r="E571" s="2">
        <v>93</v>
      </c>
      <c r="F571" s="2">
        <v>49</v>
      </c>
      <c r="G571" s="2">
        <v>3</v>
      </c>
      <c r="H571" s="2">
        <v>1126099.1000000001</v>
      </c>
      <c r="I571" s="2">
        <v>390</v>
      </c>
      <c r="J571" s="2" t="s">
        <v>1654</v>
      </c>
      <c r="K571" s="2">
        <v>93</v>
      </c>
      <c r="L571" s="2">
        <v>30</v>
      </c>
      <c r="M571" s="2">
        <v>15</v>
      </c>
      <c r="N571" s="2">
        <v>8</v>
      </c>
      <c r="O571" s="2">
        <v>25</v>
      </c>
      <c r="P571" s="2">
        <v>15</v>
      </c>
      <c r="Q571" s="2" t="s">
        <v>332</v>
      </c>
      <c r="R571" s="2" t="s">
        <v>1429</v>
      </c>
      <c r="S571" s="4">
        <v>44837</v>
      </c>
    </row>
    <row r="572" spans="1:19" ht="12.5" x14ac:dyDescent="0.25">
      <c r="A572" s="14" t="str">
        <f>HYPERLINK("https://gerandofalcoes.my.salesforce.com/0014P00003SGWPtQAP", "0014P00003SGWPtQAP")</f>
        <v>0014P00003SGWPtQAP</v>
      </c>
      <c r="B572" s="2" t="s">
        <v>2628</v>
      </c>
      <c r="C572" s="2" t="s">
        <v>423</v>
      </c>
      <c r="D572" s="2" t="s">
        <v>2</v>
      </c>
      <c r="E572" s="2">
        <v>24</v>
      </c>
      <c r="F572" s="2">
        <v>3</v>
      </c>
      <c r="G572" s="2">
        <v>0</v>
      </c>
      <c r="H572" s="2">
        <v>400000</v>
      </c>
      <c r="I572" s="2">
        <v>134</v>
      </c>
      <c r="J572" s="2" t="s">
        <v>1671</v>
      </c>
      <c r="K572" s="2">
        <v>45</v>
      </c>
      <c r="L572" s="2">
        <v>10</v>
      </c>
      <c r="M572" s="2">
        <v>5</v>
      </c>
      <c r="N572" s="2">
        <v>0</v>
      </c>
      <c r="O572" s="2">
        <v>20</v>
      </c>
      <c r="P572" s="2">
        <v>10</v>
      </c>
      <c r="Q572" s="2" t="s">
        <v>336</v>
      </c>
      <c r="R572" s="2" t="s">
        <v>336</v>
      </c>
      <c r="S572" s="4">
        <v>44837</v>
      </c>
    </row>
    <row r="573" spans="1:19" ht="12.5" x14ac:dyDescent="0.25">
      <c r="A573" s="14" t="str">
        <f>HYPERLINK("https://gerandofalcoes.my.salesforce.com/0014P00003SGWFqQAP", "0014P00003SGWFqQAP")</f>
        <v>0014P00003SGWFqQAP</v>
      </c>
      <c r="B573" s="2" t="s">
        <v>343</v>
      </c>
      <c r="C573" s="2" t="s">
        <v>423</v>
      </c>
      <c r="D573" s="2" t="s">
        <v>2</v>
      </c>
      <c r="E573" s="2">
        <v>67</v>
      </c>
      <c r="F573" s="2">
        <v>10</v>
      </c>
      <c r="G573" s="2">
        <v>6</v>
      </c>
      <c r="H573" s="2">
        <v>796000</v>
      </c>
      <c r="I573" s="2">
        <v>80</v>
      </c>
      <c r="J573" s="2" t="s">
        <v>1650</v>
      </c>
      <c r="K573" s="2">
        <v>70</v>
      </c>
      <c r="L573" s="2">
        <v>20</v>
      </c>
      <c r="M573" s="2">
        <v>10</v>
      </c>
      <c r="N573" s="2">
        <v>10</v>
      </c>
      <c r="O573" s="2">
        <v>20</v>
      </c>
      <c r="P573" s="2">
        <v>10</v>
      </c>
      <c r="Q573" s="2" t="s">
        <v>344</v>
      </c>
      <c r="R573" s="2" t="s">
        <v>1479</v>
      </c>
      <c r="S573" s="4">
        <v>44837</v>
      </c>
    </row>
    <row r="574" spans="1:19" ht="12.5" x14ac:dyDescent="0.25">
      <c r="A574" s="14" t="str">
        <f>HYPERLINK("https://gerandofalcoes.my.salesforce.com/0014P00003SGWPMQA5", "0014P00003SGWPMQA5")</f>
        <v>0014P00003SGWPMQA5</v>
      </c>
      <c r="B574" s="2" t="s">
        <v>347</v>
      </c>
      <c r="C574" s="2" t="s">
        <v>423</v>
      </c>
      <c r="D574" s="2" t="s">
        <v>2</v>
      </c>
      <c r="E574" s="2">
        <v>3.21</v>
      </c>
      <c r="F574" s="2">
        <v>0</v>
      </c>
      <c r="G574" s="2">
        <v>0</v>
      </c>
      <c r="H574" s="2">
        <v>0</v>
      </c>
      <c r="I574" s="2">
        <v>0</v>
      </c>
      <c r="J574" s="2" t="s">
        <v>1779</v>
      </c>
      <c r="K574" s="2">
        <v>10</v>
      </c>
      <c r="L574" s="2">
        <v>10</v>
      </c>
      <c r="M574" s="2">
        <v>0</v>
      </c>
      <c r="N574" s="2">
        <v>0</v>
      </c>
      <c r="O574" s="2">
        <v>0</v>
      </c>
      <c r="P574" s="2">
        <v>0</v>
      </c>
      <c r="Q574" s="2" t="s">
        <v>348</v>
      </c>
      <c r="R574" s="2" t="s">
        <v>1488</v>
      </c>
      <c r="S574" s="4">
        <v>44837</v>
      </c>
    </row>
    <row r="575" spans="1:19" ht="12.5" x14ac:dyDescent="0.25">
      <c r="A575" s="14" t="str">
        <f>HYPERLINK("https://gerandofalcoes.my.salesforce.com/0014P00003SGWFrQAP", "0014P00003SGWFrQAP")</f>
        <v>0014P00003SGWFrQAP</v>
      </c>
      <c r="B575" s="2" t="s">
        <v>350</v>
      </c>
      <c r="C575" s="2" t="s">
        <v>423</v>
      </c>
      <c r="D575" s="2" t="s">
        <v>2</v>
      </c>
      <c r="E575" s="2">
        <v>43</v>
      </c>
      <c r="F575" s="2">
        <v>7</v>
      </c>
      <c r="G575" s="2">
        <v>0</v>
      </c>
      <c r="H575" s="2">
        <v>290000</v>
      </c>
      <c r="I575" s="2">
        <v>183</v>
      </c>
      <c r="J575" s="2" t="s">
        <v>1671</v>
      </c>
      <c r="K575" s="2">
        <v>52</v>
      </c>
      <c r="L575" s="2">
        <v>15</v>
      </c>
      <c r="M575" s="2">
        <v>10</v>
      </c>
      <c r="N575" s="2">
        <v>0</v>
      </c>
      <c r="O575" s="2">
        <v>15</v>
      </c>
      <c r="P575" s="2">
        <v>12</v>
      </c>
      <c r="Q575" s="2" t="s">
        <v>351</v>
      </c>
      <c r="R575" s="2" t="s">
        <v>1499</v>
      </c>
      <c r="S575" s="4">
        <v>44837</v>
      </c>
    </row>
    <row r="576" spans="1:19" ht="12.5" x14ac:dyDescent="0.25">
      <c r="A576" s="14" t="str">
        <f>HYPERLINK("https://gerandofalcoes.my.salesforce.com/0014P00003SGWFsQAP", "0014P00003SGWFsQAP")</f>
        <v>0014P00003SGWFsQAP</v>
      </c>
      <c r="B576" s="2" t="s">
        <v>339</v>
      </c>
      <c r="C576" s="2" t="s">
        <v>423</v>
      </c>
      <c r="D576" s="2" t="s">
        <v>2</v>
      </c>
      <c r="E576" s="2">
        <v>33</v>
      </c>
      <c r="F576" s="2">
        <v>0</v>
      </c>
      <c r="G576" s="2">
        <v>0</v>
      </c>
      <c r="H576" s="2">
        <v>0</v>
      </c>
      <c r="I576" s="2">
        <v>106</v>
      </c>
      <c r="J576" s="2" t="s">
        <v>1779</v>
      </c>
      <c r="K576" s="2">
        <v>25</v>
      </c>
      <c r="L576" s="2">
        <v>15</v>
      </c>
      <c r="M576" s="2">
        <v>0</v>
      </c>
      <c r="N576" s="2">
        <v>0</v>
      </c>
      <c r="O576" s="2">
        <v>0</v>
      </c>
      <c r="P576" s="2">
        <v>10</v>
      </c>
      <c r="Q576" s="2" t="s">
        <v>340</v>
      </c>
      <c r="R576" s="2" t="s">
        <v>340</v>
      </c>
      <c r="S576" s="4">
        <v>44837</v>
      </c>
    </row>
    <row r="577" spans="1:19" ht="12.5" x14ac:dyDescent="0.25">
      <c r="A577" s="14" t="str">
        <f>HYPERLINK("https://gerandofalcoes.my.salesforce.com/0014P00003SGWFtQAP", "0014P00003SGWFtQAP")</f>
        <v>0014P00003SGWFtQAP</v>
      </c>
      <c r="B577" s="2" t="s">
        <v>354</v>
      </c>
      <c r="C577" s="2" t="s">
        <v>423</v>
      </c>
      <c r="D577" s="2" t="s">
        <v>27</v>
      </c>
      <c r="E577" s="2">
        <v>85</v>
      </c>
      <c r="F577" s="2">
        <v>4</v>
      </c>
      <c r="G577" s="2">
        <v>1</v>
      </c>
      <c r="H577" s="2">
        <v>11500</v>
      </c>
      <c r="I577" s="2">
        <v>78</v>
      </c>
      <c r="J577" s="2" t="s">
        <v>1671</v>
      </c>
      <c r="K577" s="2">
        <v>44</v>
      </c>
      <c r="L577" s="2">
        <v>25</v>
      </c>
      <c r="M577" s="2">
        <v>5</v>
      </c>
      <c r="N577" s="2">
        <v>4</v>
      </c>
      <c r="O577" s="2">
        <v>5</v>
      </c>
      <c r="P577" s="2">
        <v>5</v>
      </c>
      <c r="Q577" s="2" t="s">
        <v>1692</v>
      </c>
      <c r="R577" s="2" t="s">
        <v>1449</v>
      </c>
      <c r="S577" s="4">
        <v>44837</v>
      </c>
    </row>
    <row r="578" spans="1:19" ht="12.5" x14ac:dyDescent="0.25">
      <c r="A578" s="14" t="str">
        <f>HYPERLINK("https://gerandofalcoes.my.salesforce.com/0014P00003YSp7WQAT", "0014P00003YSp7WQAT")</f>
        <v>0014P00003YSp7WQAT</v>
      </c>
      <c r="B578" s="2" t="s">
        <v>1782</v>
      </c>
      <c r="C578" s="2" t="s">
        <v>423</v>
      </c>
      <c r="D578" s="2" t="s">
        <v>2</v>
      </c>
      <c r="E578" s="2">
        <v>45</v>
      </c>
      <c r="F578" s="2">
        <v>11</v>
      </c>
      <c r="G578" s="2">
        <v>5</v>
      </c>
      <c r="H578" s="2">
        <v>18433245</v>
      </c>
      <c r="I578" s="2">
        <v>150</v>
      </c>
      <c r="J578" s="2" t="s">
        <v>1650</v>
      </c>
      <c r="K578" s="2">
        <v>74</v>
      </c>
      <c r="L578" s="2">
        <v>15</v>
      </c>
      <c r="M578" s="2">
        <v>12</v>
      </c>
      <c r="N578" s="2">
        <v>10</v>
      </c>
      <c r="O578" s="2">
        <v>25</v>
      </c>
      <c r="P578" s="2">
        <v>12</v>
      </c>
      <c r="Q578" s="2" t="s">
        <v>1783</v>
      </c>
      <c r="R578" s="2" t="s">
        <v>1784</v>
      </c>
      <c r="S578" s="4">
        <v>44837</v>
      </c>
    </row>
    <row r="579" spans="1:19" ht="12.5" x14ac:dyDescent="0.25">
      <c r="A579" s="14" t="str">
        <f>HYPERLINK("https://gerandofalcoes.my.salesforce.com/0014P00003SGWPLQA5", "0014P00003SGWPLQA5")</f>
        <v>0014P00003SGWPLQA5</v>
      </c>
      <c r="B579" s="2" t="s">
        <v>356</v>
      </c>
      <c r="C579" s="2" t="s">
        <v>423</v>
      </c>
      <c r="D579" s="2" t="s">
        <v>2</v>
      </c>
      <c r="E579" s="2">
        <v>63</v>
      </c>
      <c r="F579" s="2">
        <v>0</v>
      </c>
      <c r="G579" s="2">
        <v>3</v>
      </c>
      <c r="H579" s="2">
        <v>43894</v>
      </c>
      <c r="I579" s="2">
        <v>100</v>
      </c>
      <c r="J579" s="2" t="s">
        <v>1671</v>
      </c>
      <c r="K579" s="2">
        <v>48</v>
      </c>
      <c r="L579" s="2">
        <v>20</v>
      </c>
      <c r="M579" s="2">
        <v>0</v>
      </c>
      <c r="N579" s="2">
        <v>8</v>
      </c>
      <c r="O579" s="2">
        <v>10</v>
      </c>
      <c r="P579" s="2">
        <v>10</v>
      </c>
      <c r="Q579" s="2" t="s">
        <v>357</v>
      </c>
      <c r="R579" s="2" t="s">
        <v>2314</v>
      </c>
      <c r="S579" s="4">
        <v>44837</v>
      </c>
    </row>
    <row r="580" spans="1:19" ht="12.5" hidden="1" x14ac:dyDescent="0.25">
      <c r="A580" s="14" t="str">
        <f>HYPERLINK("https://gerandofalcoes.my.salesforce.com/0014P00003SGWPNQA5", "0014P00003SGWPNQA5")</f>
        <v>0014P00003SGWPNQA5</v>
      </c>
      <c r="B580" s="2" t="s">
        <v>2998</v>
      </c>
      <c r="C580" s="2" t="s">
        <v>1684</v>
      </c>
      <c r="D580" s="2" t="s">
        <v>2</v>
      </c>
      <c r="E580" s="2"/>
      <c r="F580" s="2">
        <v>0</v>
      </c>
      <c r="G580" s="2">
        <v>1</v>
      </c>
      <c r="H580" s="2">
        <v>6000</v>
      </c>
      <c r="I580" s="2">
        <v>0</v>
      </c>
      <c r="J580" s="2" t="s">
        <v>1779</v>
      </c>
      <c r="K580" s="2">
        <v>9</v>
      </c>
      <c r="L580" s="2">
        <v>0</v>
      </c>
      <c r="M580" s="2">
        <v>0</v>
      </c>
      <c r="N580" s="2">
        <v>4</v>
      </c>
      <c r="O580" s="2">
        <v>5</v>
      </c>
      <c r="P580" s="2">
        <v>0</v>
      </c>
      <c r="Q580" s="2" t="s">
        <v>359</v>
      </c>
      <c r="R580" s="2" t="s">
        <v>359</v>
      </c>
      <c r="S580" s="4">
        <v>44837</v>
      </c>
    </row>
    <row r="581" spans="1:19" ht="12.5" x14ac:dyDescent="0.25">
      <c r="A581" s="14" t="str">
        <f>HYPERLINK("https://gerandofalcoes.my.salesforce.com/0014P00003SGWPQQA5", "0014P00003SGWPQQA5")</f>
        <v>0014P00003SGWPQQA5</v>
      </c>
      <c r="B581" s="2" t="s">
        <v>363</v>
      </c>
      <c r="C581" s="2" t="s">
        <v>423</v>
      </c>
      <c r="D581" s="2" t="s">
        <v>27</v>
      </c>
      <c r="E581" s="2">
        <v>93</v>
      </c>
      <c r="F581" s="2">
        <v>32</v>
      </c>
      <c r="G581" s="2">
        <v>4</v>
      </c>
      <c r="H581" s="2">
        <v>1010730.87</v>
      </c>
      <c r="I581" s="2">
        <v>192</v>
      </c>
      <c r="J581" s="2" t="s">
        <v>1654</v>
      </c>
      <c r="K581" s="2">
        <v>92</v>
      </c>
      <c r="L581" s="2">
        <v>30</v>
      </c>
      <c r="M581" s="2">
        <v>15</v>
      </c>
      <c r="N581" s="2">
        <v>10</v>
      </c>
      <c r="O581" s="2">
        <v>25</v>
      </c>
      <c r="P581" s="2">
        <v>12</v>
      </c>
      <c r="Q581" s="2" t="s">
        <v>364</v>
      </c>
      <c r="R581" s="2" t="s">
        <v>1545</v>
      </c>
      <c r="S581" s="4">
        <v>44837</v>
      </c>
    </row>
    <row r="582" spans="1:19" ht="12.5" x14ac:dyDescent="0.25">
      <c r="A582" s="14" t="str">
        <f>HYPERLINK("https://gerandofalcoes.my.salesforce.com/0014P00003SGWPPQA5", "0014P00003SGWPPQA5")</f>
        <v>0014P00003SGWPPQA5</v>
      </c>
      <c r="B582" s="2" t="s">
        <v>1700</v>
      </c>
      <c r="C582" s="2" t="s">
        <v>423</v>
      </c>
      <c r="D582" s="2" t="s">
        <v>27</v>
      </c>
      <c r="E582" s="2">
        <v>76.849999999999994</v>
      </c>
      <c r="F582" s="2">
        <v>10</v>
      </c>
      <c r="G582" s="2">
        <v>2</v>
      </c>
      <c r="H582" s="2">
        <v>60000</v>
      </c>
      <c r="I582" s="2">
        <v>120</v>
      </c>
      <c r="J582" s="2" t="s">
        <v>1671</v>
      </c>
      <c r="K582" s="2">
        <v>61</v>
      </c>
      <c r="L582" s="2">
        <v>25</v>
      </c>
      <c r="M582" s="2">
        <v>10</v>
      </c>
      <c r="N582" s="2">
        <v>6</v>
      </c>
      <c r="O582" s="2">
        <v>10</v>
      </c>
      <c r="P582" s="2">
        <v>10</v>
      </c>
      <c r="Q582" s="2" t="s">
        <v>366</v>
      </c>
      <c r="R582" s="2" t="s">
        <v>1557</v>
      </c>
      <c r="S582" s="4">
        <v>44837</v>
      </c>
    </row>
    <row r="583" spans="1:19" ht="12.5" x14ac:dyDescent="0.25">
      <c r="A583" s="14" t="str">
        <f>HYPERLINK("https://gerandofalcoes.my.salesforce.com/0014P00003SGWPRQA5", "0014P00003SGWPRQA5")</f>
        <v>0014P00003SGWPRQA5</v>
      </c>
      <c r="B583" s="2" t="s">
        <v>367</v>
      </c>
      <c r="C583" s="2" t="s">
        <v>423</v>
      </c>
      <c r="D583" s="2" t="s">
        <v>2</v>
      </c>
      <c r="E583" s="2">
        <v>57.96</v>
      </c>
      <c r="F583" s="2">
        <v>4</v>
      </c>
      <c r="G583" s="2">
        <v>6</v>
      </c>
      <c r="H583" s="2">
        <v>11100000</v>
      </c>
      <c r="I583" s="2">
        <v>200</v>
      </c>
      <c r="J583" s="2" t="s">
        <v>1650</v>
      </c>
      <c r="K583" s="2">
        <v>72</v>
      </c>
      <c r="L583" s="2">
        <v>20</v>
      </c>
      <c r="M583" s="2">
        <v>5</v>
      </c>
      <c r="N583" s="2">
        <v>10</v>
      </c>
      <c r="O583" s="2">
        <v>25</v>
      </c>
      <c r="P583" s="2">
        <v>12</v>
      </c>
      <c r="Q583" s="2" t="s">
        <v>369</v>
      </c>
      <c r="R583" s="2" t="s">
        <v>369</v>
      </c>
      <c r="S583" s="4">
        <v>44837</v>
      </c>
    </row>
    <row r="584" spans="1:19" ht="12.5" x14ac:dyDescent="0.25">
      <c r="A584" s="14" t="str">
        <f>HYPERLINK("https://gerandofalcoes.my.salesforce.com/0014P00003SGWPSQA5", "0014P00003SGWPSQA5")</f>
        <v>0014P00003SGWPSQA5</v>
      </c>
      <c r="B584" s="2" t="s">
        <v>372</v>
      </c>
      <c r="C584" s="2" t="s">
        <v>423</v>
      </c>
      <c r="D584" s="2" t="s">
        <v>2</v>
      </c>
      <c r="E584" s="2">
        <v>57</v>
      </c>
      <c r="F584" s="2">
        <v>10</v>
      </c>
      <c r="G584" s="2">
        <v>2</v>
      </c>
      <c r="H584" s="2">
        <v>657000000</v>
      </c>
      <c r="I584" s="2">
        <v>110</v>
      </c>
      <c r="J584" s="2" t="s">
        <v>1650</v>
      </c>
      <c r="K584" s="2">
        <v>71</v>
      </c>
      <c r="L584" s="2">
        <v>20</v>
      </c>
      <c r="M584" s="2">
        <v>10</v>
      </c>
      <c r="N584" s="2">
        <v>6</v>
      </c>
      <c r="O584" s="2">
        <v>25</v>
      </c>
      <c r="P584" s="2">
        <v>10</v>
      </c>
      <c r="Q584" s="2" t="s">
        <v>373</v>
      </c>
      <c r="R584" s="2" t="s">
        <v>373</v>
      </c>
      <c r="S584" s="4">
        <v>44837</v>
      </c>
    </row>
    <row r="585" spans="1:19" ht="12.5" x14ac:dyDescent="0.25">
      <c r="A585" s="14" t="str">
        <f>HYPERLINK("https://gerandofalcoes.my.salesforce.com/0014X00002OEuauQAD", "0014X00002OEuauQAD")</f>
        <v>0014X00002OEuauQAD</v>
      </c>
      <c r="B585" s="2" t="s">
        <v>2639</v>
      </c>
      <c r="C585" s="2" t="s">
        <v>423</v>
      </c>
      <c r="D585" s="2" t="s">
        <v>2</v>
      </c>
      <c r="E585" s="2">
        <v>18</v>
      </c>
      <c r="F585" s="2">
        <v>2</v>
      </c>
      <c r="G585" s="2">
        <v>2</v>
      </c>
      <c r="H585" s="2">
        <v>5000</v>
      </c>
      <c r="I585" s="2">
        <v>14</v>
      </c>
      <c r="J585" s="2" t="s">
        <v>1779</v>
      </c>
      <c r="K585" s="2">
        <v>31</v>
      </c>
      <c r="L585" s="2">
        <v>10</v>
      </c>
      <c r="M585" s="2">
        <v>5</v>
      </c>
      <c r="N585" s="2">
        <v>6</v>
      </c>
      <c r="O585" s="2">
        <v>5</v>
      </c>
      <c r="P585" s="2">
        <v>5</v>
      </c>
      <c r="Q585" s="2" t="s">
        <v>2640</v>
      </c>
      <c r="R585" s="2" t="s">
        <v>2641</v>
      </c>
      <c r="S585" s="4">
        <v>44837</v>
      </c>
    </row>
    <row r="586" spans="1:19" ht="12.5" hidden="1" x14ac:dyDescent="0.25">
      <c r="A586" s="14" t="str">
        <f>HYPERLINK("https://gerandofalcoes.my.salesforce.com/0014X00002OEualQAD", "0014X00002OEualQAD")</f>
        <v>0014X00002OEualQAD</v>
      </c>
      <c r="B586" s="2" t="s">
        <v>2220</v>
      </c>
      <c r="C586" s="2" t="s">
        <v>1800</v>
      </c>
      <c r="D586" s="2" t="s">
        <v>2</v>
      </c>
      <c r="E586" s="2">
        <v>32</v>
      </c>
      <c r="F586" s="2">
        <v>2</v>
      </c>
      <c r="G586" s="2">
        <v>3</v>
      </c>
      <c r="H586" s="2">
        <v>40000</v>
      </c>
      <c r="I586" s="2">
        <v>80</v>
      </c>
      <c r="J586" s="2" t="s">
        <v>1671</v>
      </c>
      <c r="K586" s="2">
        <v>48</v>
      </c>
      <c r="L586" s="2">
        <v>15</v>
      </c>
      <c r="M586" s="2">
        <v>5</v>
      </c>
      <c r="N586" s="2">
        <v>8</v>
      </c>
      <c r="O586" s="2">
        <v>10</v>
      </c>
      <c r="P586" s="2">
        <v>10</v>
      </c>
      <c r="Q586" s="2" t="s">
        <v>2221</v>
      </c>
      <c r="R586" s="2" t="s">
        <v>2222</v>
      </c>
      <c r="S586" s="4">
        <v>44837</v>
      </c>
    </row>
    <row r="587" spans="1:19" ht="12.5" hidden="1" x14ac:dyDescent="0.25">
      <c r="A587" s="14" t="str">
        <f>HYPERLINK("https://gerandofalcoes.my.salesforce.com/0014X00002OEuamQAD", "0014X00002OEuamQAD")</f>
        <v>0014X00002OEuamQAD</v>
      </c>
      <c r="B587" s="2" t="s">
        <v>2612</v>
      </c>
      <c r="C587" s="2" t="s">
        <v>1800</v>
      </c>
      <c r="D587" s="2" t="s">
        <v>2</v>
      </c>
      <c r="E587" s="2">
        <v>19</v>
      </c>
      <c r="F587" s="2">
        <v>0</v>
      </c>
      <c r="G587" s="2">
        <v>4</v>
      </c>
      <c r="H587" s="2">
        <v>7000</v>
      </c>
      <c r="I587" s="2">
        <v>0</v>
      </c>
      <c r="J587" s="2" t="s">
        <v>1779</v>
      </c>
      <c r="K587" s="2">
        <v>25</v>
      </c>
      <c r="L587" s="2">
        <v>10</v>
      </c>
      <c r="M587" s="2">
        <v>0</v>
      </c>
      <c r="N587" s="2">
        <v>10</v>
      </c>
      <c r="O587" s="2">
        <v>5</v>
      </c>
      <c r="P587" s="2">
        <v>0</v>
      </c>
      <c r="Q587" s="2" t="s">
        <v>2613</v>
      </c>
      <c r="R587" s="2" t="s">
        <v>2613</v>
      </c>
      <c r="S587" s="4">
        <v>44837</v>
      </c>
    </row>
    <row r="588" spans="1:19" ht="12.5" hidden="1" x14ac:dyDescent="0.25">
      <c r="A588" s="14" t="str">
        <f>HYPERLINK("https://gerandofalcoes.my.salesforce.com/0014X00002OEuaoQAD", "0014X00002OEuaoQAD")</f>
        <v>0014X00002OEuaoQAD</v>
      </c>
      <c r="B588" s="2" t="s">
        <v>2749</v>
      </c>
      <c r="C588" s="2" t="s">
        <v>1800</v>
      </c>
      <c r="D588" s="2" t="s">
        <v>2</v>
      </c>
      <c r="E588" s="2">
        <v>14</v>
      </c>
      <c r="F588" s="2">
        <v>0</v>
      </c>
      <c r="G588" s="2">
        <v>2</v>
      </c>
      <c r="H588" s="2">
        <v>0</v>
      </c>
      <c r="I588" s="2">
        <v>230</v>
      </c>
      <c r="J588" s="2" t="s">
        <v>1779</v>
      </c>
      <c r="K588" s="2">
        <v>28</v>
      </c>
      <c r="L588" s="2">
        <v>10</v>
      </c>
      <c r="M588" s="2">
        <v>0</v>
      </c>
      <c r="N588" s="2">
        <v>6</v>
      </c>
      <c r="O588" s="2">
        <v>0</v>
      </c>
      <c r="P588" s="2">
        <v>12</v>
      </c>
      <c r="Q588" s="2" t="s">
        <v>2750</v>
      </c>
      <c r="R588" s="2" t="s">
        <v>2751</v>
      </c>
      <c r="S588" s="4">
        <v>44837</v>
      </c>
    </row>
    <row r="589" spans="1:19" ht="12.5" hidden="1" x14ac:dyDescent="0.25">
      <c r="A589" s="14" t="str">
        <f>HYPERLINK("https://gerandofalcoes.my.salesforce.com/0014X00002OEuapQAD", "0014X00002OEuapQAD")</f>
        <v>0014X00002OEuapQAD</v>
      </c>
      <c r="B589" s="2" t="s">
        <v>2732</v>
      </c>
      <c r="C589" s="2" t="s">
        <v>1800</v>
      </c>
      <c r="D589" s="2" t="s">
        <v>2</v>
      </c>
      <c r="E589" s="2">
        <v>15</v>
      </c>
      <c r="F589" s="2">
        <v>0</v>
      </c>
      <c r="G589" s="2">
        <v>0</v>
      </c>
      <c r="H589" s="2">
        <v>0</v>
      </c>
      <c r="I589" s="2">
        <v>0</v>
      </c>
      <c r="J589" s="2" t="s">
        <v>1779</v>
      </c>
      <c r="K589" s="2">
        <v>10</v>
      </c>
      <c r="L589" s="2">
        <v>10</v>
      </c>
      <c r="M589" s="2">
        <v>0</v>
      </c>
      <c r="N589" s="2">
        <v>0</v>
      </c>
      <c r="O589" s="2">
        <v>0</v>
      </c>
      <c r="P589" s="2">
        <v>0</v>
      </c>
      <c r="Q589" s="2" t="s">
        <v>2733</v>
      </c>
      <c r="R589" s="2" t="s">
        <v>2733</v>
      </c>
      <c r="S589" s="4">
        <v>44837</v>
      </c>
    </row>
    <row r="590" spans="1:19" ht="12.5" x14ac:dyDescent="0.25">
      <c r="A590" s="14" t="str">
        <f>HYPERLINK("https://gerandofalcoes.my.salesforce.com/0014X00002OEuaqQAD", "0014X00002OEuaqQAD")</f>
        <v>0014X00002OEuaqQAD</v>
      </c>
      <c r="B590" s="2" t="s">
        <v>2629</v>
      </c>
      <c r="C590" s="2" t="s">
        <v>423</v>
      </c>
      <c r="D590" s="2" t="s">
        <v>2</v>
      </c>
      <c r="E590" s="2">
        <v>18</v>
      </c>
      <c r="F590" s="2">
        <v>20</v>
      </c>
      <c r="G590" s="2">
        <v>2</v>
      </c>
      <c r="H590" s="2">
        <v>3000</v>
      </c>
      <c r="I590" s="2">
        <v>300</v>
      </c>
      <c r="J590" s="2" t="s">
        <v>1671</v>
      </c>
      <c r="K590" s="2">
        <v>48</v>
      </c>
      <c r="L590" s="2">
        <v>10</v>
      </c>
      <c r="M590" s="2">
        <v>12</v>
      </c>
      <c r="N590" s="2">
        <v>6</v>
      </c>
      <c r="O590" s="2">
        <v>5</v>
      </c>
      <c r="P590" s="2">
        <v>15</v>
      </c>
      <c r="Q590" s="2" t="s">
        <v>2630</v>
      </c>
      <c r="R590" s="2" t="s">
        <v>2631</v>
      </c>
      <c r="S590" s="4">
        <v>44837</v>
      </c>
    </row>
    <row r="591" spans="1:19" ht="12.5" x14ac:dyDescent="0.25">
      <c r="A591" s="14" t="str">
        <f>HYPERLINK("https://gerandofalcoes.my.salesforce.com/0014X00002OEuasQAD", "0014X00002OEuasQAD")</f>
        <v>0014X00002OEuasQAD</v>
      </c>
      <c r="B591" s="2" t="s">
        <v>2420</v>
      </c>
      <c r="C591" s="2" t="s">
        <v>423</v>
      </c>
      <c r="D591" s="2" t="s">
        <v>2</v>
      </c>
      <c r="E591" s="2">
        <v>25</v>
      </c>
      <c r="F591" s="2">
        <v>0</v>
      </c>
      <c r="G591" s="2">
        <v>4</v>
      </c>
      <c r="H591" s="2">
        <v>20000</v>
      </c>
      <c r="I591" s="2">
        <v>0</v>
      </c>
      <c r="J591" s="2" t="s">
        <v>1779</v>
      </c>
      <c r="K591" s="2">
        <v>30</v>
      </c>
      <c r="L591" s="2">
        <v>15</v>
      </c>
      <c r="M591" s="2">
        <v>0</v>
      </c>
      <c r="N591" s="2">
        <v>10</v>
      </c>
      <c r="O591" s="2">
        <v>5</v>
      </c>
      <c r="P591" s="2">
        <v>0</v>
      </c>
      <c r="Q591" s="2" t="s">
        <v>2421</v>
      </c>
      <c r="R591" s="2" t="s">
        <v>2422</v>
      </c>
      <c r="S591" s="4">
        <v>44837</v>
      </c>
    </row>
    <row r="592" spans="1:19" ht="12.5" hidden="1" x14ac:dyDescent="0.25">
      <c r="A592" s="14" t="str">
        <f>HYPERLINK("https://gerandofalcoes.my.salesforce.com/0014X00002OEuawQAD", "0014X00002OEuawQAD")</f>
        <v>0014X00002OEuawQAD</v>
      </c>
      <c r="B592" s="2" t="s">
        <v>1995</v>
      </c>
      <c r="C592" s="2" t="s">
        <v>1800</v>
      </c>
      <c r="D592" s="2" t="s">
        <v>2</v>
      </c>
      <c r="E592" s="2">
        <v>39</v>
      </c>
      <c r="F592" s="2">
        <v>13</v>
      </c>
      <c r="G592" s="2">
        <v>3</v>
      </c>
      <c r="H592" s="2">
        <v>120000</v>
      </c>
      <c r="I592" s="2">
        <v>130</v>
      </c>
      <c r="J592" s="2" t="s">
        <v>1671</v>
      </c>
      <c r="K592" s="2">
        <v>60</v>
      </c>
      <c r="L592" s="2">
        <v>15</v>
      </c>
      <c r="M592" s="2">
        <v>12</v>
      </c>
      <c r="N592" s="2">
        <v>8</v>
      </c>
      <c r="O592" s="2">
        <v>15</v>
      </c>
      <c r="P592" s="2">
        <v>10</v>
      </c>
      <c r="Q592" s="2" t="s">
        <v>1996</v>
      </c>
      <c r="R592" s="2" t="s">
        <v>1997</v>
      </c>
      <c r="S592" s="4">
        <v>44837</v>
      </c>
    </row>
    <row r="593" spans="1:19" ht="12.5" hidden="1" x14ac:dyDescent="0.25">
      <c r="A593" s="14" t="str">
        <f>HYPERLINK("https://gerandofalcoes.my.salesforce.com/0014X00002OFqnrQAD", "0014X00002OFqnrQAD")</f>
        <v>0014X00002OFqnrQAD</v>
      </c>
      <c r="B593" s="2" t="s">
        <v>1791</v>
      </c>
      <c r="C593" s="2" t="s">
        <v>1684</v>
      </c>
      <c r="D593" s="2" t="s">
        <v>27</v>
      </c>
      <c r="E593" s="2">
        <v>56</v>
      </c>
      <c r="F593" s="2">
        <v>0</v>
      </c>
      <c r="G593" s="2">
        <v>0</v>
      </c>
      <c r="H593" s="2">
        <v>0</v>
      </c>
      <c r="I593" s="2">
        <v>0</v>
      </c>
      <c r="J593" s="2" t="s">
        <v>1779</v>
      </c>
      <c r="K593" s="2">
        <v>20</v>
      </c>
      <c r="L593" s="2">
        <v>20</v>
      </c>
      <c r="M593" s="2">
        <v>0</v>
      </c>
      <c r="N593" s="2">
        <v>0</v>
      </c>
      <c r="O593" s="2">
        <v>0</v>
      </c>
      <c r="P593" s="2">
        <v>0</v>
      </c>
      <c r="Q593" s="2"/>
      <c r="R593" s="2"/>
      <c r="S593" s="4">
        <v>44837</v>
      </c>
    </row>
    <row r="594" spans="1:19" ht="12.5" hidden="1" x14ac:dyDescent="0.25">
      <c r="A594" s="14" t="str">
        <f>HYPERLINK("https://gerandofalcoes.my.salesforce.com/0014X00002QTWZVQA5", "0014X00002QTWZVQA5")</f>
        <v>0014X00002QTWZVQA5</v>
      </c>
      <c r="B594" s="2" t="s">
        <v>2662</v>
      </c>
      <c r="C594" s="2" t="s">
        <v>1800</v>
      </c>
      <c r="D594" s="2" t="s">
        <v>2</v>
      </c>
      <c r="E594" s="2">
        <v>17</v>
      </c>
      <c r="F594" s="2">
        <v>4</v>
      </c>
      <c r="G594" s="2">
        <v>3</v>
      </c>
      <c r="H594" s="2">
        <v>69000</v>
      </c>
      <c r="I594" s="2">
        <v>35</v>
      </c>
      <c r="J594" s="2" t="s">
        <v>1779</v>
      </c>
      <c r="K594" s="2">
        <v>38</v>
      </c>
      <c r="L594" s="2">
        <v>10</v>
      </c>
      <c r="M594" s="2">
        <v>5</v>
      </c>
      <c r="N594" s="2">
        <v>8</v>
      </c>
      <c r="O594" s="2">
        <v>10</v>
      </c>
      <c r="P594" s="2">
        <v>5</v>
      </c>
      <c r="Q594" s="2" t="s">
        <v>2663</v>
      </c>
      <c r="R594" s="2" t="s">
        <v>2664</v>
      </c>
      <c r="S594" s="4">
        <v>44837</v>
      </c>
    </row>
    <row r="595" spans="1:19" ht="12.5" hidden="1" x14ac:dyDescent="0.25">
      <c r="A595" s="14" t="str">
        <f>HYPERLINK("https://gerandofalcoes.my.salesforce.com/0014X00002PUOTvQAP", "0014X00002PUOTvQAP")</f>
        <v>0014X00002PUOTvQAP</v>
      </c>
      <c r="B595" s="2" t="s">
        <v>1883</v>
      </c>
      <c r="C595" s="2" t="s">
        <v>1800</v>
      </c>
      <c r="D595" s="2" t="s">
        <v>2</v>
      </c>
      <c r="E595" s="2">
        <v>44</v>
      </c>
      <c r="F595" s="2">
        <v>3</v>
      </c>
      <c r="G595" s="2">
        <v>1</v>
      </c>
      <c r="H595" s="2">
        <v>150000</v>
      </c>
      <c r="I595" s="2">
        <v>800</v>
      </c>
      <c r="J595" s="2" t="s">
        <v>1671</v>
      </c>
      <c r="K595" s="2">
        <v>59</v>
      </c>
      <c r="L595" s="2">
        <v>15</v>
      </c>
      <c r="M595" s="2">
        <v>5</v>
      </c>
      <c r="N595" s="2">
        <v>4</v>
      </c>
      <c r="O595" s="2">
        <v>15</v>
      </c>
      <c r="P595" s="2">
        <v>20</v>
      </c>
      <c r="Q595" s="2" t="s">
        <v>1884</v>
      </c>
      <c r="R595" s="2" t="s">
        <v>424</v>
      </c>
      <c r="S595" s="4">
        <v>44837</v>
      </c>
    </row>
    <row r="596" spans="1:19" ht="12.5" x14ac:dyDescent="0.25">
      <c r="A596" s="14" t="str">
        <f>HYPERLINK("https://gerandofalcoes.my.salesforce.com/0014X00002PUOaDQAX", "0014X00002PUOaDQAX")</f>
        <v>0014X00002PUOaDQAX</v>
      </c>
      <c r="B596" s="2" t="s">
        <v>1767</v>
      </c>
      <c r="C596" s="2" t="s">
        <v>423</v>
      </c>
      <c r="D596" s="2" t="s">
        <v>2</v>
      </c>
      <c r="E596" s="2">
        <v>80</v>
      </c>
      <c r="F596" s="2">
        <v>11</v>
      </c>
      <c r="G596" s="2">
        <v>10</v>
      </c>
      <c r="H596" s="2">
        <v>30139720</v>
      </c>
      <c r="I596" s="2">
        <v>139</v>
      </c>
      <c r="J596" s="2" t="s">
        <v>1654</v>
      </c>
      <c r="K596" s="2">
        <v>82</v>
      </c>
      <c r="L596" s="2">
        <v>25</v>
      </c>
      <c r="M596" s="2">
        <v>12</v>
      </c>
      <c r="N596" s="2">
        <v>10</v>
      </c>
      <c r="O596" s="2">
        <v>25</v>
      </c>
      <c r="P596" s="2">
        <v>10</v>
      </c>
      <c r="Q596" s="2" t="s">
        <v>439</v>
      </c>
      <c r="R596" s="2" t="s">
        <v>439</v>
      </c>
      <c r="S596" s="4">
        <v>44837</v>
      </c>
    </row>
    <row r="597" spans="1:19" ht="12.5" x14ac:dyDescent="0.25">
      <c r="A597" s="14" t="str">
        <f>HYPERLINK("https://gerandofalcoes.my.salesforce.com/0014X00002PUOUaQAP", "0014X00002PUOUaQAP")</f>
        <v>0014X00002PUOUaQAP</v>
      </c>
      <c r="B597" s="2" t="s">
        <v>8</v>
      </c>
      <c r="C597" s="2" t="s">
        <v>423</v>
      </c>
      <c r="D597" s="2" t="s">
        <v>2</v>
      </c>
      <c r="E597" s="2">
        <v>30.77</v>
      </c>
      <c r="F597" s="2">
        <v>2</v>
      </c>
      <c r="G597" s="2">
        <v>1</v>
      </c>
      <c r="H597" s="2">
        <v>24000</v>
      </c>
      <c r="I597" s="2">
        <v>200</v>
      </c>
      <c r="J597" s="2" t="s">
        <v>1671</v>
      </c>
      <c r="K597" s="2">
        <v>41</v>
      </c>
      <c r="L597" s="2">
        <v>15</v>
      </c>
      <c r="M597" s="2">
        <v>5</v>
      </c>
      <c r="N597" s="2">
        <v>4</v>
      </c>
      <c r="O597" s="2">
        <v>5</v>
      </c>
      <c r="P597" s="2">
        <v>12</v>
      </c>
      <c r="Q597" s="2" t="s">
        <v>2252</v>
      </c>
      <c r="R597" s="2" t="s">
        <v>2252</v>
      </c>
      <c r="S597" s="4">
        <v>44837</v>
      </c>
    </row>
    <row r="598" spans="1:19" ht="12.5" x14ac:dyDescent="0.25">
      <c r="A598" s="14" t="str">
        <f>HYPERLINK("https://gerandofalcoes.my.salesforce.com/0014X00002PUObkQAH", "0014X00002PUObkQAH")</f>
        <v>0014X00002PUObkQAH</v>
      </c>
      <c r="B598" s="2" t="s">
        <v>2065</v>
      </c>
      <c r="C598" s="2" t="s">
        <v>423</v>
      </c>
      <c r="D598" s="2" t="s">
        <v>2</v>
      </c>
      <c r="E598" s="2">
        <v>39</v>
      </c>
      <c r="F598" s="2">
        <v>0</v>
      </c>
      <c r="G598" s="2">
        <v>2</v>
      </c>
      <c r="H598" s="2">
        <v>3520653</v>
      </c>
      <c r="I598" s="2">
        <v>313</v>
      </c>
      <c r="J598" s="2" t="s">
        <v>1671</v>
      </c>
      <c r="K598" s="2">
        <v>61</v>
      </c>
      <c r="L598" s="2">
        <v>15</v>
      </c>
      <c r="M598" s="2">
        <v>0</v>
      </c>
      <c r="N598" s="2">
        <v>6</v>
      </c>
      <c r="O598" s="2">
        <v>25</v>
      </c>
      <c r="P598" s="2">
        <v>15</v>
      </c>
      <c r="Q598" s="2" t="s">
        <v>2066</v>
      </c>
      <c r="R598" s="2" t="s">
        <v>477</v>
      </c>
      <c r="S598" s="4">
        <v>44837</v>
      </c>
    </row>
    <row r="599" spans="1:19" ht="12.5" x14ac:dyDescent="0.25">
      <c r="A599" s="14" t="str">
        <f>HYPERLINK("https://gerandofalcoes.my.salesforce.com/0014X00002PUOdWQAX", "0014X00002PUOdWQAX")</f>
        <v>0014X00002PUOdWQAX</v>
      </c>
      <c r="B599" s="2" t="s">
        <v>22</v>
      </c>
      <c r="C599" s="2" t="s">
        <v>423</v>
      </c>
      <c r="D599" s="2" t="s">
        <v>2</v>
      </c>
      <c r="E599" s="2">
        <v>29</v>
      </c>
      <c r="F599" s="2">
        <v>10</v>
      </c>
      <c r="G599" s="2">
        <v>0</v>
      </c>
      <c r="H599" s="2">
        <v>0</v>
      </c>
      <c r="I599" s="2">
        <v>100</v>
      </c>
      <c r="J599" s="2" t="s">
        <v>1779</v>
      </c>
      <c r="K599" s="2">
        <v>35</v>
      </c>
      <c r="L599" s="2">
        <v>15</v>
      </c>
      <c r="M599" s="2">
        <v>10</v>
      </c>
      <c r="N599" s="2">
        <v>0</v>
      </c>
      <c r="O599" s="2">
        <v>0</v>
      </c>
      <c r="P599" s="2">
        <v>10</v>
      </c>
      <c r="Q599" s="2" t="s">
        <v>485</v>
      </c>
      <c r="R599" s="2" t="s">
        <v>485</v>
      </c>
      <c r="S599" s="4">
        <v>44837</v>
      </c>
    </row>
    <row r="600" spans="1:19" ht="12.5" x14ac:dyDescent="0.25">
      <c r="A600" s="14" t="str">
        <f>HYPERLINK("https://gerandofalcoes.my.salesforce.com/0014P00003YSp7OQAT", "0014P00003YSp7OQAT")</f>
        <v>0014P00003YSp7OQAT</v>
      </c>
      <c r="B600" s="2" t="s">
        <v>2694</v>
      </c>
      <c r="C600" s="2" t="s">
        <v>423</v>
      </c>
      <c r="D600" s="2" t="s">
        <v>2</v>
      </c>
      <c r="E600" s="2">
        <v>22</v>
      </c>
      <c r="F600" s="2">
        <v>5</v>
      </c>
      <c r="G600" s="2">
        <v>1</v>
      </c>
      <c r="H600" s="2">
        <v>20785</v>
      </c>
      <c r="I600" s="2">
        <v>20</v>
      </c>
      <c r="J600" s="2" t="s">
        <v>1779</v>
      </c>
      <c r="K600" s="2">
        <v>29</v>
      </c>
      <c r="L600" s="2">
        <v>10</v>
      </c>
      <c r="M600" s="2">
        <v>5</v>
      </c>
      <c r="N600" s="2">
        <v>4</v>
      </c>
      <c r="O600" s="2">
        <v>5</v>
      </c>
      <c r="P600" s="2">
        <v>5</v>
      </c>
      <c r="Q600" s="2" t="s">
        <v>2695</v>
      </c>
      <c r="R600" s="2" t="s">
        <v>2696</v>
      </c>
      <c r="S600" s="4">
        <v>44837</v>
      </c>
    </row>
    <row r="601" spans="1:19" ht="12.5" x14ac:dyDescent="0.25">
      <c r="A601" s="14" t="str">
        <f>HYPERLINK("https://gerandofalcoes.my.salesforce.com/0014P00003YSp7PQAT", "0014P00003YSp7PQAT")</f>
        <v>0014P00003YSp7PQAT</v>
      </c>
      <c r="B601" s="2" t="s">
        <v>1807</v>
      </c>
      <c r="C601" s="2" t="s">
        <v>423</v>
      </c>
      <c r="D601" s="2" t="s">
        <v>2</v>
      </c>
      <c r="E601" s="2">
        <v>41</v>
      </c>
      <c r="F601" s="2">
        <v>5</v>
      </c>
      <c r="G601" s="2">
        <v>4</v>
      </c>
      <c r="H601" s="2">
        <v>465000</v>
      </c>
      <c r="I601" s="2">
        <v>55</v>
      </c>
      <c r="J601" s="2" t="s">
        <v>1671</v>
      </c>
      <c r="K601" s="2">
        <v>55</v>
      </c>
      <c r="L601" s="2">
        <v>15</v>
      </c>
      <c r="M601" s="2">
        <v>5</v>
      </c>
      <c r="N601" s="2">
        <v>10</v>
      </c>
      <c r="O601" s="2">
        <v>20</v>
      </c>
      <c r="P601" s="2">
        <v>5</v>
      </c>
      <c r="Q601" s="2" t="s">
        <v>1808</v>
      </c>
      <c r="R601" s="2" t="s">
        <v>1809</v>
      </c>
      <c r="S601" s="4">
        <v>44837</v>
      </c>
    </row>
    <row r="602" spans="1:19" ht="12.5" hidden="1" x14ac:dyDescent="0.25">
      <c r="A602" s="14" t="str">
        <f>HYPERLINK("https://gerandofalcoes.my.salesforce.com/0014X00002VKCuUQAX", "0014X00002VKCuUQAX")</f>
        <v>0014X00002VKCuUQAX</v>
      </c>
      <c r="B602" s="2" t="s">
        <v>2860</v>
      </c>
      <c r="C602" s="2" t="s">
        <v>1800</v>
      </c>
      <c r="D602" s="2" t="s">
        <v>2</v>
      </c>
      <c r="E602" s="2">
        <v>10</v>
      </c>
      <c r="F602" s="2">
        <v>83</v>
      </c>
      <c r="G602" s="2">
        <v>8</v>
      </c>
      <c r="H602" s="2">
        <v>0</v>
      </c>
      <c r="I602" s="2">
        <v>5</v>
      </c>
      <c r="J602" s="2" t="s">
        <v>1671</v>
      </c>
      <c r="K602" s="2">
        <v>40</v>
      </c>
      <c r="L602" s="2">
        <v>10</v>
      </c>
      <c r="M602" s="2">
        <v>15</v>
      </c>
      <c r="N602" s="2">
        <v>10</v>
      </c>
      <c r="O602" s="2">
        <v>0</v>
      </c>
      <c r="P602" s="2">
        <v>5</v>
      </c>
      <c r="Q602" s="2" t="s">
        <v>2861</v>
      </c>
      <c r="R602" s="2" t="s">
        <v>2862</v>
      </c>
      <c r="S602" s="4">
        <v>44837</v>
      </c>
    </row>
    <row r="603" spans="1:19" ht="12.5" hidden="1" x14ac:dyDescent="0.25">
      <c r="A603" s="14" t="str">
        <f>HYPERLINK("https://gerandofalcoes.my.salesforce.com/0014X00002VKCpNQAX", "0014X00002VKCpNQAX")</f>
        <v>0014X00002VKCpNQAX</v>
      </c>
      <c r="B603" s="2" t="s">
        <v>2185</v>
      </c>
      <c r="C603" s="2" t="s">
        <v>1800</v>
      </c>
      <c r="D603" s="2" t="s">
        <v>2</v>
      </c>
      <c r="E603" s="2">
        <v>33</v>
      </c>
      <c r="F603" s="2">
        <v>0</v>
      </c>
      <c r="G603" s="2">
        <v>4</v>
      </c>
      <c r="H603" s="2">
        <v>800</v>
      </c>
      <c r="I603" s="2">
        <v>25</v>
      </c>
      <c r="J603" s="2" t="s">
        <v>1779</v>
      </c>
      <c r="K603" s="2">
        <v>35</v>
      </c>
      <c r="L603" s="2">
        <v>15</v>
      </c>
      <c r="M603" s="2">
        <v>0</v>
      </c>
      <c r="N603" s="2">
        <v>10</v>
      </c>
      <c r="O603" s="2">
        <v>5</v>
      </c>
      <c r="P603" s="2">
        <v>5</v>
      </c>
      <c r="Q603" s="2" t="s">
        <v>2186</v>
      </c>
      <c r="R603" s="2" t="s">
        <v>2187</v>
      </c>
      <c r="S603" s="4">
        <v>44837</v>
      </c>
    </row>
    <row r="604" spans="1:19" ht="12.5" x14ac:dyDescent="0.25">
      <c r="A604" s="14" t="str">
        <f>HYPERLINK("https://gerandofalcoes.my.salesforce.com/0014X00002VKCuYQAX", "0014X00002VKCuYQAX")</f>
        <v>0014X00002VKCuYQAX</v>
      </c>
      <c r="B604" s="2" t="s">
        <v>2049</v>
      </c>
      <c r="C604" s="2" t="s">
        <v>423</v>
      </c>
      <c r="D604" s="2" t="s">
        <v>2</v>
      </c>
      <c r="E604" s="2">
        <v>37</v>
      </c>
      <c r="F604" s="2">
        <v>0</v>
      </c>
      <c r="G604" s="2">
        <v>4</v>
      </c>
      <c r="H604" s="2">
        <v>2500</v>
      </c>
      <c r="I604" s="2">
        <v>55</v>
      </c>
      <c r="J604" s="2" t="s">
        <v>1779</v>
      </c>
      <c r="K604" s="2">
        <v>35</v>
      </c>
      <c r="L604" s="2">
        <v>15</v>
      </c>
      <c r="M604" s="2">
        <v>0</v>
      </c>
      <c r="N604" s="2">
        <v>10</v>
      </c>
      <c r="O604" s="2">
        <v>5</v>
      </c>
      <c r="P604" s="2">
        <v>5</v>
      </c>
      <c r="Q604" s="2" t="s">
        <v>2050</v>
      </c>
      <c r="R604" s="2" t="s">
        <v>2050</v>
      </c>
      <c r="S604" s="4">
        <v>44837</v>
      </c>
    </row>
    <row r="605" spans="1:19" ht="12.5" x14ac:dyDescent="0.25">
      <c r="A605" s="14" t="str">
        <f>HYPERLINK("https://gerandofalcoes.my.salesforce.com/0014P00003YSp7yQAD", "0014P00003YSp7yQAD")</f>
        <v>0014P00003YSp7yQAD</v>
      </c>
      <c r="B605" s="2" t="s">
        <v>2823</v>
      </c>
      <c r="C605" s="2" t="s">
        <v>423</v>
      </c>
      <c r="D605" s="2" t="s">
        <v>2</v>
      </c>
      <c r="E605" s="2">
        <v>12</v>
      </c>
      <c r="F605" s="2">
        <v>0</v>
      </c>
      <c r="G605" s="2">
        <v>3</v>
      </c>
      <c r="H605" s="2">
        <v>10000</v>
      </c>
      <c r="I605" s="2">
        <v>200</v>
      </c>
      <c r="J605" s="2" t="s">
        <v>1779</v>
      </c>
      <c r="K605" s="2">
        <v>35</v>
      </c>
      <c r="L605" s="2">
        <v>10</v>
      </c>
      <c r="M605" s="2">
        <v>0</v>
      </c>
      <c r="N605" s="2">
        <v>8</v>
      </c>
      <c r="O605" s="2">
        <v>5</v>
      </c>
      <c r="P605" s="2">
        <v>12</v>
      </c>
      <c r="Q605" s="2" t="s">
        <v>2824</v>
      </c>
      <c r="R605" s="2" t="s">
        <v>2825</v>
      </c>
      <c r="S605" s="4">
        <v>44837</v>
      </c>
    </row>
    <row r="606" spans="1:19" ht="12.5" x14ac:dyDescent="0.25">
      <c r="A606" s="14" t="str">
        <f>HYPERLINK("https://gerandofalcoes.my.salesforce.com/0014P00003YSp7zQAD", "0014P00003YSp7zQAD")</f>
        <v>0014P00003YSp7zQAD</v>
      </c>
      <c r="B606" s="2" t="s">
        <v>2441</v>
      </c>
      <c r="C606" s="2" t="s">
        <v>423</v>
      </c>
      <c r="D606" s="2" t="s">
        <v>2</v>
      </c>
      <c r="E606" s="2">
        <v>24</v>
      </c>
      <c r="F606" s="2">
        <v>1</v>
      </c>
      <c r="G606" s="2">
        <v>0</v>
      </c>
      <c r="H606" s="2">
        <v>380000</v>
      </c>
      <c r="I606" s="2">
        <v>780</v>
      </c>
      <c r="J606" s="2" t="s">
        <v>1671</v>
      </c>
      <c r="K606" s="2">
        <v>55</v>
      </c>
      <c r="L606" s="2">
        <v>10</v>
      </c>
      <c r="M606" s="2">
        <v>5</v>
      </c>
      <c r="N606" s="2">
        <v>0</v>
      </c>
      <c r="O606" s="2">
        <v>20</v>
      </c>
      <c r="P606" s="2">
        <v>20</v>
      </c>
      <c r="Q606" s="2" t="s">
        <v>2442</v>
      </c>
      <c r="R606" s="2" t="s">
        <v>2443</v>
      </c>
      <c r="S606" s="4">
        <v>44837</v>
      </c>
    </row>
    <row r="607" spans="1:19" ht="12.5" hidden="1" x14ac:dyDescent="0.25">
      <c r="A607" s="14" t="str">
        <f>HYPERLINK("https://gerandofalcoes.my.salesforce.com/0014P00003YSp81QAD", "0014P00003YSp81QAD")</f>
        <v>0014P00003YSp81QAD</v>
      </c>
      <c r="B607" s="2" t="s">
        <v>1992</v>
      </c>
      <c r="C607" s="2" t="s">
        <v>1800</v>
      </c>
      <c r="D607" s="2" t="s">
        <v>2</v>
      </c>
      <c r="E607" s="2">
        <v>39</v>
      </c>
      <c r="F607" s="2">
        <v>0</v>
      </c>
      <c r="G607" s="2">
        <v>2</v>
      </c>
      <c r="H607" s="2">
        <v>5000</v>
      </c>
      <c r="I607" s="2">
        <v>150</v>
      </c>
      <c r="J607" s="2" t="s">
        <v>1779</v>
      </c>
      <c r="K607" s="2">
        <v>38</v>
      </c>
      <c r="L607" s="2">
        <v>15</v>
      </c>
      <c r="M607" s="2">
        <v>0</v>
      </c>
      <c r="N607" s="2">
        <v>6</v>
      </c>
      <c r="O607" s="2">
        <v>5</v>
      </c>
      <c r="P607" s="2">
        <v>12</v>
      </c>
      <c r="Q607" s="2" t="s">
        <v>1993</v>
      </c>
      <c r="R607" s="2" t="s">
        <v>1994</v>
      </c>
      <c r="S607" s="4">
        <v>44837</v>
      </c>
    </row>
    <row r="608" spans="1:19" ht="12.5" x14ac:dyDescent="0.25">
      <c r="A608" s="14" t="str">
        <f>HYPERLINK("https://gerandofalcoes.my.salesforce.com/0014P00003YSp82QAD", "0014P00003YSp82QAD")</f>
        <v>0014P00003YSp82QAD</v>
      </c>
      <c r="B608" s="2" t="s">
        <v>2362</v>
      </c>
      <c r="C608" s="2" t="s">
        <v>423</v>
      </c>
      <c r="D608" s="2" t="s">
        <v>2</v>
      </c>
      <c r="E608" s="2">
        <v>25</v>
      </c>
      <c r="F608" s="2">
        <v>9</v>
      </c>
      <c r="G608" s="2">
        <v>5</v>
      </c>
      <c r="H608" s="2">
        <v>5224158</v>
      </c>
      <c r="I608" s="2">
        <v>80</v>
      </c>
      <c r="J608" s="2" t="s">
        <v>1650</v>
      </c>
      <c r="K608" s="2">
        <v>70</v>
      </c>
      <c r="L608" s="2">
        <v>15</v>
      </c>
      <c r="M608" s="2">
        <v>10</v>
      </c>
      <c r="N608" s="2">
        <v>10</v>
      </c>
      <c r="O608" s="2">
        <v>25</v>
      </c>
      <c r="P608" s="2">
        <v>10</v>
      </c>
      <c r="Q608" s="2" t="s">
        <v>2363</v>
      </c>
      <c r="R608" s="2" t="s">
        <v>2364</v>
      </c>
      <c r="S608" s="4">
        <v>44837</v>
      </c>
    </row>
    <row r="609" spans="1:19" ht="12.5" x14ac:dyDescent="0.25">
      <c r="A609" s="14" t="str">
        <f>HYPERLINK("https://gerandofalcoes.my.salesforce.com/0014P00003YSp83QAD", "0014P00003YSp83QAD")</f>
        <v>0014P00003YSp83QAD</v>
      </c>
      <c r="B609" s="2" t="s">
        <v>1727</v>
      </c>
      <c r="C609" s="2" t="s">
        <v>423</v>
      </c>
      <c r="D609" s="2" t="s">
        <v>2</v>
      </c>
      <c r="E609" s="2">
        <v>45</v>
      </c>
      <c r="F609" s="2">
        <v>3</v>
      </c>
      <c r="G609" s="2">
        <v>2</v>
      </c>
      <c r="H609" s="2">
        <v>15844866</v>
      </c>
      <c r="I609" s="2">
        <v>502</v>
      </c>
      <c r="J609" s="2" t="s">
        <v>1650</v>
      </c>
      <c r="K609" s="2">
        <v>71</v>
      </c>
      <c r="L609" s="2">
        <v>15</v>
      </c>
      <c r="M609" s="2">
        <v>5</v>
      </c>
      <c r="N609" s="2">
        <v>6</v>
      </c>
      <c r="O609" s="2">
        <v>25</v>
      </c>
      <c r="P609" s="2">
        <v>20</v>
      </c>
      <c r="Q609" s="2" t="s">
        <v>1728</v>
      </c>
      <c r="R609" s="2" t="s">
        <v>1729</v>
      </c>
      <c r="S609" s="4">
        <v>44837</v>
      </c>
    </row>
    <row r="610" spans="1:19" ht="12.5" x14ac:dyDescent="0.25">
      <c r="A610" s="14" t="str">
        <f>HYPERLINK("https://gerandofalcoes.my.salesforce.com/0014P00003YSp84QAD", "0014P00003YSp84QAD")</f>
        <v>0014P00003YSp84QAD</v>
      </c>
      <c r="B610" s="2" t="s">
        <v>2454</v>
      </c>
      <c r="C610" s="2" t="s">
        <v>423</v>
      </c>
      <c r="D610" s="2" t="s">
        <v>2</v>
      </c>
      <c r="E610" s="2">
        <v>35</v>
      </c>
      <c r="F610" s="2">
        <v>0</v>
      </c>
      <c r="G610" s="2">
        <v>0</v>
      </c>
      <c r="H610" s="2">
        <v>0</v>
      </c>
      <c r="I610" s="2">
        <v>203</v>
      </c>
      <c r="J610" s="2" t="s">
        <v>1779</v>
      </c>
      <c r="K610" s="2">
        <v>27</v>
      </c>
      <c r="L610" s="2">
        <v>15</v>
      </c>
      <c r="M610" s="2">
        <v>0</v>
      </c>
      <c r="N610" s="2">
        <v>0</v>
      </c>
      <c r="O610" s="2">
        <v>0</v>
      </c>
      <c r="P610" s="2">
        <v>12</v>
      </c>
      <c r="Q610" s="2" t="s">
        <v>2455</v>
      </c>
      <c r="R610" s="2" t="s">
        <v>2456</v>
      </c>
      <c r="S610" s="4">
        <v>44837</v>
      </c>
    </row>
    <row r="611" spans="1:19" ht="12.5" x14ac:dyDescent="0.25">
      <c r="A611" s="14" t="str">
        <f>HYPERLINK("https://gerandofalcoes.my.salesforce.com/0014P00003YSp86QAD", "0014P00003YSp86QAD")</f>
        <v>0014P00003YSp86QAD</v>
      </c>
      <c r="B611" s="2" t="s">
        <v>2514</v>
      </c>
      <c r="C611" s="2" t="s">
        <v>423</v>
      </c>
      <c r="D611" s="2" t="s">
        <v>2</v>
      </c>
      <c r="E611" s="2">
        <v>21</v>
      </c>
      <c r="F611" s="2">
        <v>0</v>
      </c>
      <c r="G611" s="2">
        <v>2</v>
      </c>
      <c r="H611" s="2">
        <v>10000</v>
      </c>
      <c r="I611" s="2">
        <v>100</v>
      </c>
      <c r="J611" s="2" t="s">
        <v>1779</v>
      </c>
      <c r="K611" s="2">
        <v>31</v>
      </c>
      <c r="L611" s="2">
        <v>10</v>
      </c>
      <c r="M611" s="2">
        <v>0</v>
      </c>
      <c r="N611" s="2">
        <v>6</v>
      </c>
      <c r="O611" s="2">
        <v>5</v>
      </c>
      <c r="P611" s="2">
        <v>10</v>
      </c>
      <c r="Q611" s="2" t="s">
        <v>2515</v>
      </c>
      <c r="R611" s="2" t="s">
        <v>2515</v>
      </c>
      <c r="S611" s="4">
        <v>44837</v>
      </c>
    </row>
    <row r="612" spans="1:19" ht="12.5" x14ac:dyDescent="0.25">
      <c r="A612" s="14" t="str">
        <f>HYPERLINK("https://gerandofalcoes.my.salesforce.com/0014P00003YSp87QAD", "0014P00003YSp87QAD")</f>
        <v>0014P00003YSp87QAD</v>
      </c>
      <c r="B612" s="2" t="s">
        <v>1755</v>
      </c>
      <c r="C612" s="2" t="s">
        <v>423</v>
      </c>
      <c r="D612" s="2" t="s">
        <v>2</v>
      </c>
      <c r="E612" s="2">
        <v>41</v>
      </c>
      <c r="F612" s="2">
        <v>19</v>
      </c>
      <c r="G612" s="2">
        <v>3</v>
      </c>
      <c r="H612" s="2">
        <v>223000</v>
      </c>
      <c r="I612" s="2">
        <v>50</v>
      </c>
      <c r="J612" s="2" t="s">
        <v>1671</v>
      </c>
      <c r="K612" s="2">
        <v>55</v>
      </c>
      <c r="L612" s="2">
        <v>15</v>
      </c>
      <c r="M612" s="2">
        <v>12</v>
      </c>
      <c r="N612" s="2">
        <v>8</v>
      </c>
      <c r="O612" s="2">
        <v>15</v>
      </c>
      <c r="P612" s="2">
        <v>5</v>
      </c>
      <c r="Q612" s="2" t="s">
        <v>1756</v>
      </c>
      <c r="R612" s="2" t="s">
        <v>1757</v>
      </c>
      <c r="S612" s="4">
        <v>44837</v>
      </c>
    </row>
    <row r="613" spans="1:19" ht="12.5" hidden="1" x14ac:dyDescent="0.25">
      <c r="A613" s="14" t="str">
        <f>HYPERLINK("https://gerandofalcoes.my.salesforce.com/0014P00003YSp88QAD", "0014P00003YSp88QAD")</f>
        <v>0014P00003YSp88QAD</v>
      </c>
      <c r="B613" s="2" t="s">
        <v>2325</v>
      </c>
      <c r="C613" s="2" t="s">
        <v>1800</v>
      </c>
      <c r="D613" s="2" t="s">
        <v>2</v>
      </c>
      <c r="E613" s="2">
        <v>28</v>
      </c>
      <c r="F613" s="2">
        <v>0</v>
      </c>
      <c r="G613" s="2">
        <v>2</v>
      </c>
      <c r="H613" s="2">
        <v>0</v>
      </c>
      <c r="I613" s="2">
        <v>80</v>
      </c>
      <c r="J613" s="2" t="s">
        <v>1779</v>
      </c>
      <c r="K613" s="2">
        <v>31</v>
      </c>
      <c r="L613" s="2">
        <v>15</v>
      </c>
      <c r="M613" s="2">
        <v>0</v>
      </c>
      <c r="N613" s="2">
        <v>6</v>
      </c>
      <c r="O613" s="2">
        <v>0</v>
      </c>
      <c r="P613" s="2">
        <v>10</v>
      </c>
      <c r="Q613" s="2" t="s">
        <v>2326</v>
      </c>
      <c r="R613" s="2" t="s">
        <v>2327</v>
      </c>
      <c r="S613" s="4">
        <v>44837</v>
      </c>
    </row>
    <row r="614" spans="1:19" ht="12.5" x14ac:dyDescent="0.25">
      <c r="A614" s="14" t="str">
        <f>HYPERLINK("https://gerandofalcoes.my.salesforce.com/0014P00003YSp8AQAT", "0014P00003YSp8AQAT")</f>
        <v>0014P00003YSp8AQAT</v>
      </c>
      <c r="B614" s="2" t="s">
        <v>1943</v>
      </c>
      <c r="C614" s="2" t="s">
        <v>423</v>
      </c>
      <c r="D614" s="2" t="s">
        <v>2</v>
      </c>
      <c r="E614" s="2">
        <v>31</v>
      </c>
      <c r="F614" s="2">
        <v>15</v>
      </c>
      <c r="G614" s="2">
        <v>2</v>
      </c>
      <c r="H614" s="2">
        <v>50000</v>
      </c>
      <c r="I614" s="2">
        <v>200</v>
      </c>
      <c r="J614" s="2" t="s">
        <v>1671</v>
      </c>
      <c r="K614" s="2">
        <v>55</v>
      </c>
      <c r="L614" s="2">
        <v>15</v>
      </c>
      <c r="M614" s="2">
        <v>12</v>
      </c>
      <c r="N614" s="2">
        <v>6</v>
      </c>
      <c r="O614" s="2">
        <v>10</v>
      </c>
      <c r="P614" s="2">
        <v>12</v>
      </c>
      <c r="Q614" s="2" t="s">
        <v>1944</v>
      </c>
      <c r="R614" s="2" t="s">
        <v>1945</v>
      </c>
      <c r="S614" s="4">
        <v>44837</v>
      </c>
    </row>
    <row r="615" spans="1:19" ht="12.5" x14ac:dyDescent="0.25">
      <c r="A615" s="14" t="str">
        <f>HYPERLINK("https://gerandofalcoes.my.salesforce.com/0014P00003YSp8BQAT", "0014P00003YSp8BQAT")</f>
        <v>0014P00003YSp8BQAT</v>
      </c>
      <c r="B615" s="2" t="s">
        <v>2813</v>
      </c>
      <c r="C615" s="2" t="s">
        <v>423</v>
      </c>
      <c r="D615" s="2" t="s">
        <v>2</v>
      </c>
      <c r="E615" s="2">
        <v>24</v>
      </c>
      <c r="F615" s="2">
        <v>0</v>
      </c>
      <c r="G615" s="2">
        <v>0</v>
      </c>
      <c r="H615" s="2">
        <v>0</v>
      </c>
      <c r="I615" s="2">
        <v>239</v>
      </c>
      <c r="J615" s="2" t="s">
        <v>1779</v>
      </c>
      <c r="K615" s="2">
        <v>22</v>
      </c>
      <c r="L615" s="2">
        <v>10</v>
      </c>
      <c r="M615" s="2">
        <v>0</v>
      </c>
      <c r="N615" s="2">
        <v>0</v>
      </c>
      <c r="O615" s="2">
        <v>0</v>
      </c>
      <c r="P615" s="2">
        <v>12</v>
      </c>
      <c r="Q615" s="2" t="s">
        <v>2814</v>
      </c>
      <c r="R615" s="2" t="s">
        <v>2815</v>
      </c>
      <c r="S615" s="4">
        <v>44837</v>
      </c>
    </row>
    <row r="616" spans="1:19" ht="12.5" x14ac:dyDescent="0.25">
      <c r="A616" s="14" t="str">
        <f>HYPERLINK("https://gerandofalcoes.my.salesforce.com/0014P00003YSp8CQAT", "0014P00003YSp8CQAT")</f>
        <v>0014P00003YSp8CQAT</v>
      </c>
      <c r="B616" s="2" t="s">
        <v>2139</v>
      </c>
      <c r="C616" s="2" t="s">
        <v>423</v>
      </c>
      <c r="D616" s="2" t="s">
        <v>2</v>
      </c>
      <c r="E616" s="2">
        <v>34</v>
      </c>
      <c r="F616" s="2">
        <v>11</v>
      </c>
      <c r="G616" s="2">
        <v>4</v>
      </c>
      <c r="H616" s="2">
        <v>309270</v>
      </c>
      <c r="I616" s="2">
        <v>200</v>
      </c>
      <c r="J616" s="2" t="s">
        <v>1650</v>
      </c>
      <c r="K616" s="2">
        <v>69</v>
      </c>
      <c r="L616" s="2">
        <v>15</v>
      </c>
      <c r="M616" s="2">
        <v>12</v>
      </c>
      <c r="N616" s="2">
        <v>10</v>
      </c>
      <c r="O616" s="2">
        <v>20</v>
      </c>
      <c r="P616" s="2">
        <v>12</v>
      </c>
      <c r="Q616" s="2" t="s">
        <v>2140</v>
      </c>
      <c r="R616" s="2" t="s">
        <v>2140</v>
      </c>
      <c r="S616" s="4">
        <v>44837</v>
      </c>
    </row>
    <row r="617" spans="1:19" ht="12.5" x14ac:dyDescent="0.25">
      <c r="A617" s="14" t="str">
        <f>HYPERLINK("https://gerandofalcoes.my.salesforce.com/0014P00003YSp8EQAT", "0014P00003YSp8EQAT")</f>
        <v>0014P00003YSp8EQAT</v>
      </c>
      <c r="B617" s="2" t="s">
        <v>2407</v>
      </c>
      <c r="C617" s="2" t="s">
        <v>423</v>
      </c>
      <c r="D617" s="2" t="s">
        <v>2</v>
      </c>
      <c r="E617" s="2">
        <v>25</v>
      </c>
      <c r="F617" s="2">
        <v>0</v>
      </c>
      <c r="G617" s="2">
        <v>2</v>
      </c>
      <c r="H617" s="2">
        <v>6300</v>
      </c>
      <c r="I617" s="2">
        <v>250</v>
      </c>
      <c r="J617" s="2" t="s">
        <v>1779</v>
      </c>
      <c r="K617" s="2">
        <v>38</v>
      </c>
      <c r="L617" s="2">
        <v>15</v>
      </c>
      <c r="M617" s="2">
        <v>0</v>
      </c>
      <c r="N617" s="2">
        <v>6</v>
      </c>
      <c r="O617" s="2">
        <v>5</v>
      </c>
      <c r="P617" s="2">
        <v>12</v>
      </c>
      <c r="Q617" s="2" t="s">
        <v>2408</v>
      </c>
      <c r="R617" s="2" t="s">
        <v>2409</v>
      </c>
      <c r="S617" s="4">
        <v>44837</v>
      </c>
    </row>
    <row r="618" spans="1:19" ht="12.5" hidden="1" x14ac:dyDescent="0.25">
      <c r="A618" s="14" t="str">
        <f>HYPERLINK("https://gerandofalcoes.my.salesforce.com/0014P00003YSp8FQAT", "0014P00003YSp8FQAT")</f>
        <v>0014P00003YSp8FQAT</v>
      </c>
      <c r="B618" s="2" t="s">
        <v>2178</v>
      </c>
      <c r="C618" s="2" t="s">
        <v>1684</v>
      </c>
      <c r="D618" s="2" t="s">
        <v>2</v>
      </c>
      <c r="E618" s="2">
        <v>33</v>
      </c>
      <c r="F618" s="2">
        <v>10</v>
      </c>
      <c r="G618" s="2">
        <v>0</v>
      </c>
      <c r="H618" s="2">
        <v>0</v>
      </c>
      <c r="I618" s="2">
        <v>60</v>
      </c>
      <c r="J618" s="2" t="s">
        <v>1779</v>
      </c>
      <c r="K618" s="2">
        <v>30</v>
      </c>
      <c r="L618" s="2">
        <v>15</v>
      </c>
      <c r="M618" s="2">
        <v>10</v>
      </c>
      <c r="N618" s="2">
        <v>0</v>
      </c>
      <c r="O618" s="2">
        <v>0</v>
      </c>
      <c r="P618" s="2">
        <v>5</v>
      </c>
      <c r="Q618" s="2" t="s">
        <v>2179</v>
      </c>
      <c r="R618" s="2" t="s">
        <v>2179</v>
      </c>
      <c r="S618" s="4">
        <v>44837</v>
      </c>
    </row>
    <row r="619" spans="1:19" ht="12.5" hidden="1" x14ac:dyDescent="0.25">
      <c r="A619" s="14" t="str">
        <f>HYPERLINK("https://gerandofalcoes.my.salesforce.com/0014P00003YSp8GQAT", "0014P00003YSp8GQAT")</f>
        <v>0014P00003YSp8GQAT</v>
      </c>
      <c r="B619" s="2" t="s">
        <v>2214</v>
      </c>
      <c r="C619" s="2" t="s">
        <v>1800</v>
      </c>
      <c r="D619" s="2" t="s">
        <v>2</v>
      </c>
      <c r="E619" s="2">
        <v>32</v>
      </c>
      <c r="F619" s="2">
        <v>1</v>
      </c>
      <c r="G619" s="2">
        <v>2</v>
      </c>
      <c r="H619" s="2">
        <v>0</v>
      </c>
      <c r="I619" s="2">
        <v>600</v>
      </c>
      <c r="J619" s="2" t="s">
        <v>1671</v>
      </c>
      <c r="K619" s="2">
        <v>46</v>
      </c>
      <c r="L619" s="2">
        <v>15</v>
      </c>
      <c r="M619" s="2">
        <v>5</v>
      </c>
      <c r="N619" s="2">
        <v>6</v>
      </c>
      <c r="O619" s="2">
        <v>0</v>
      </c>
      <c r="P619" s="2">
        <v>20</v>
      </c>
      <c r="Q619" s="2" t="s">
        <v>2215</v>
      </c>
      <c r="R619" s="2" t="s">
        <v>2216</v>
      </c>
      <c r="S619" s="4">
        <v>44837</v>
      </c>
    </row>
    <row r="620" spans="1:19" ht="12.5" x14ac:dyDescent="0.25">
      <c r="A620" s="14" t="str">
        <f>HYPERLINK("https://gerandofalcoes.my.salesforce.com/0014P00003YSp8HQAT", "0014P00003YSp8HQAT")</f>
        <v>0014P00003YSp8HQAT</v>
      </c>
      <c r="B620" s="2" t="s">
        <v>2359</v>
      </c>
      <c r="C620" s="2" t="s">
        <v>423</v>
      </c>
      <c r="D620" s="2" t="s">
        <v>2</v>
      </c>
      <c r="E620" s="2">
        <v>28</v>
      </c>
      <c r="F620" s="2">
        <v>2</v>
      </c>
      <c r="G620" s="2">
        <v>1</v>
      </c>
      <c r="H620" s="2">
        <v>35000</v>
      </c>
      <c r="I620" s="2">
        <v>729</v>
      </c>
      <c r="J620" s="2" t="s">
        <v>1671</v>
      </c>
      <c r="K620" s="2">
        <v>54</v>
      </c>
      <c r="L620" s="2">
        <v>15</v>
      </c>
      <c r="M620" s="2">
        <v>5</v>
      </c>
      <c r="N620" s="2">
        <v>4</v>
      </c>
      <c r="O620" s="2">
        <v>10</v>
      </c>
      <c r="P620" s="2">
        <v>20</v>
      </c>
      <c r="Q620" s="2" t="s">
        <v>2360</v>
      </c>
      <c r="R620" s="2" t="s">
        <v>2361</v>
      </c>
      <c r="S620" s="4">
        <v>44837</v>
      </c>
    </row>
    <row r="621" spans="1:19" ht="12.5" x14ac:dyDescent="0.25">
      <c r="A621" s="14" t="str">
        <f>HYPERLINK("https://gerandofalcoes.my.salesforce.com/0014P00003YSp8IQAT", "0014P00003YSp8IQAT")</f>
        <v>0014P00003YSp8IQAT</v>
      </c>
      <c r="B621" s="2" t="s">
        <v>2335</v>
      </c>
      <c r="C621" s="2" t="s">
        <v>423</v>
      </c>
      <c r="D621" s="2" t="s">
        <v>2</v>
      </c>
      <c r="E621" s="2">
        <v>27.89</v>
      </c>
      <c r="F621" s="2">
        <v>0</v>
      </c>
      <c r="G621" s="2">
        <v>3</v>
      </c>
      <c r="H621" s="2">
        <v>9000000</v>
      </c>
      <c r="I621" s="2">
        <v>250</v>
      </c>
      <c r="J621" s="2" t="s">
        <v>1671</v>
      </c>
      <c r="K621" s="2">
        <v>60</v>
      </c>
      <c r="L621" s="2">
        <v>15</v>
      </c>
      <c r="M621" s="2">
        <v>0</v>
      </c>
      <c r="N621" s="2">
        <v>8</v>
      </c>
      <c r="O621" s="2">
        <v>25</v>
      </c>
      <c r="P621" s="2">
        <v>12</v>
      </c>
      <c r="Q621" s="2" t="s">
        <v>2336</v>
      </c>
      <c r="R621" s="2" t="s">
        <v>2337</v>
      </c>
      <c r="S621" s="4">
        <v>44837</v>
      </c>
    </row>
    <row r="622" spans="1:19" ht="12.5" x14ac:dyDescent="0.25">
      <c r="A622" s="14" t="str">
        <f>HYPERLINK("https://gerandofalcoes.my.salesforce.com/0014P00003YSp80QAD", "0014P00003YSp80QAD")</f>
        <v>0014P00003YSp80QAD</v>
      </c>
      <c r="B622" s="2" t="s">
        <v>2709</v>
      </c>
      <c r="C622" s="2" t="s">
        <v>423</v>
      </c>
      <c r="D622" s="2" t="s">
        <v>2</v>
      </c>
      <c r="E622" s="2">
        <v>15.15</v>
      </c>
      <c r="F622" s="2">
        <v>1</v>
      </c>
      <c r="G622" s="2">
        <v>4</v>
      </c>
      <c r="H622" s="2">
        <v>17400</v>
      </c>
      <c r="I622" s="2">
        <v>87</v>
      </c>
      <c r="J622" s="2" t="s">
        <v>1671</v>
      </c>
      <c r="K622" s="2">
        <v>40</v>
      </c>
      <c r="L622" s="2">
        <v>10</v>
      </c>
      <c r="M622" s="2">
        <v>5</v>
      </c>
      <c r="N622" s="2">
        <v>10</v>
      </c>
      <c r="O622" s="2">
        <v>5</v>
      </c>
      <c r="P622" s="2">
        <v>10</v>
      </c>
      <c r="Q622" s="2" t="s">
        <v>2710</v>
      </c>
      <c r="R622" s="2" t="s">
        <v>2710</v>
      </c>
      <c r="S622" s="4">
        <v>44837</v>
      </c>
    </row>
    <row r="623" spans="1:19" ht="12.5" x14ac:dyDescent="0.25">
      <c r="A623" s="14" t="str">
        <f>HYPERLINK("https://gerandofalcoes.my.salesforce.com/0014P00003YSp8JQAT", "0014P00003YSp8JQAT")</f>
        <v>0014P00003YSp8JQAT</v>
      </c>
      <c r="B623" s="2" t="s">
        <v>2393</v>
      </c>
      <c r="C623" s="2" t="s">
        <v>423</v>
      </c>
      <c r="D623" s="2" t="s">
        <v>2</v>
      </c>
      <c r="E623" s="2">
        <v>33</v>
      </c>
      <c r="F623" s="2">
        <v>9</v>
      </c>
      <c r="G623" s="2">
        <v>2</v>
      </c>
      <c r="H623" s="2">
        <v>85000000</v>
      </c>
      <c r="I623" s="2">
        <v>309</v>
      </c>
      <c r="J623" s="2" t="s">
        <v>1650</v>
      </c>
      <c r="K623" s="2">
        <v>71</v>
      </c>
      <c r="L623" s="2">
        <v>15</v>
      </c>
      <c r="M623" s="2">
        <v>10</v>
      </c>
      <c r="N623" s="2">
        <v>6</v>
      </c>
      <c r="O623" s="2">
        <v>25</v>
      </c>
      <c r="P623" s="2">
        <v>15</v>
      </c>
      <c r="Q623" s="2" t="s">
        <v>2394</v>
      </c>
      <c r="R623" s="2" t="s">
        <v>2394</v>
      </c>
      <c r="S623" s="4">
        <v>44837</v>
      </c>
    </row>
    <row r="624" spans="1:19" ht="12.5" hidden="1" x14ac:dyDescent="0.25">
      <c r="A624" s="14" t="str">
        <f>HYPERLINK("https://gerandofalcoes.my.salesforce.com/0014P00003YSp8KQAT", "0014P00003YSp8KQAT")</f>
        <v>0014P00003YSp8KQAT</v>
      </c>
      <c r="B624" s="2" t="s">
        <v>2167</v>
      </c>
      <c r="C624" s="2" t="s">
        <v>1800</v>
      </c>
      <c r="D624" s="2" t="s">
        <v>2</v>
      </c>
      <c r="E624" s="2">
        <v>33</v>
      </c>
      <c r="F624" s="2">
        <v>2</v>
      </c>
      <c r="G624" s="2">
        <v>4</v>
      </c>
      <c r="H624" s="2">
        <v>400000</v>
      </c>
      <c r="I624" s="2">
        <v>250</v>
      </c>
      <c r="J624" s="2" t="s">
        <v>1671</v>
      </c>
      <c r="K624" s="2">
        <v>62</v>
      </c>
      <c r="L624" s="2">
        <v>15</v>
      </c>
      <c r="M624" s="2">
        <v>5</v>
      </c>
      <c r="N624" s="2">
        <v>10</v>
      </c>
      <c r="O624" s="2">
        <v>20</v>
      </c>
      <c r="P624" s="2">
        <v>12</v>
      </c>
      <c r="Q624" s="2" t="s">
        <v>2168</v>
      </c>
      <c r="R624" s="2" t="s">
        <v>2168</v>
      </c>
      <c r="S624" s="4">
        <v>44837</v>
      </c>
    </row>
    <row r="625" spans="1:19" ht="12.5" x14ac:dyDescent="0.25">
      <c r="A625" s="14" t="str">
        <f>HYPERLINK("https://gerandofalcoes.my.salesforce.com/0014P00003YSp8LQAT", "0014P00003YSp8LQAT")</f>
        <v>0014P00003YSp8LQAT</v>
      </c>
      <c r="B625" s="2" t="s">
        <v>2907</v>
      </c>
      <c r="C625" s="2" t="s">
        <v>423</v>
      </c>
      <c r="D625" s="2" t="s">
        <v>2</v>
      </c>
      <c r="E625" s="2">
        <v>24</v>
      </c>
      <c r="F625" s="2">
        <v>0</v>
      </c>
      <c r="G625" s="2">
        <v>0</v>
      </c>
      <c r="H625" s="2">
        <v>0</v>
      </c>
      <c r="I625" s="2">
        <v>200</v>
      </c>
      <c r="J625" s="2" t="s">
        <v>1779</v>
      </c>
      <c r="K625" s="2">
        <v>22</v>
      </c>
      <c r="L625" s="2">
        <v>10</v>
      </c>
      <c r="M625" s="2">
        <v>0</v>
      </c>
      <c r="N625" s="2">
        <v>0</v>
      </c>
      <c r="O625" s="2">
        <v>0</v>
      </c>
      <c r="P625" s="2">
        <v>12</v>
      </c>
      <c r="Q625" s="2" t="s">
        <v>2908</v>
      </c>
      <c r="R625" s="2" t="s">
        <v>2908</v>
      </c>
      <c r="S625" s="4">
        <v>44837</v>
      </c>
    </row>
    <row r="626" spans="1:19" ht="12.5" x14ac:dyDescent="0.25">
      <c r="A626" s="14" t="str">
        <f>HYPERLINK("https://gerandofalcoes.my.salesforce.com/0014P00003YSp8MQAT", "0014P00003YSp8MQAT")</f>
        <v>0014P00003YSp8MQAT</v>
      </c>
      <c r="B626" s="2" t="s">
        <v>1761</v>
      </c>
      <c r="C626" s="2" t="s">
        <v>423</v>
      </c>
      <c r="D626" s="2" t="s">
        <v>2</v>
      </c>
      <c r="E626" s="2">
        <v>35</v>
      </c>
      <c r="F626" s="2">
        <v>15</v>
      </c>
      <c r="G626" s="2">
        <v>3</v>
      </c>
      <c r="H626" s="2">
        <v>359</v>
      </c>
      <c r="I626" s="2">
        <v>173</v>
      </c>
      <c r="J626" s="2" t="s">
        <v>1671</v>
      </c>
      <c r="K626" s="2">
        <v>52</v>
      </c>
      <c r="L626" s="2">
        <v>15</v>
      </c>
      <c r="M626" s="2">
        <v>12</v>
      </c>
      <c r="N626" s="2">
        <v>8</v>
      </c>
      <c r="O626" s="2">
        <v>5</v>
      </c>
      <c r="P626" s="2">
        <v>12</v>
      </c>
      <c r="Q626" s="2" t="s">
        <v>1762</v>
      </c>
      <c r="R626" s="2" t="s">
        <v>1763</v>
      </c>
      <c r="S626" s="4">
        <v>44837</v>
      </c>
    </row>
    <row r="627" spans="1:19" ht="12.5" hidden="1" x14ac:dyDescent="0.25">
      <c r="A627" s="14" t="str">
        <f>HYPERLINK("https://gerandofalcoes.my.salesforce.com/0014P00003YSp8NQAT", "0014P00003YSp8NQAT")</f>
        <v>0014P00003YSp8NQAT</v>
      </c>
      <c r="B627" s="2" t="s">
        <v>2292</v>
      </c>
      <c r="C627" s="2" t="s">
        <v>1800</v>
      </c>
      <c r="D627" s="2" t="s">
        <v>2</v>
      </c>
      <c r="E627" s="2">
        <v>29</v>
      </c>
      <c r="F627" s="2">
        <v>3</v>
      </c>
      <c r="G627" s="2">
        <v>2</v>
      </c>
      <c r="H627" s="2">
        <v>13121</v>
      </c>
      <c r="I627" s="2">
        <v>800</v>
      </c>
      <c r="J627" s="2" t="s">
        <v>1671</v>
      </c>
      <c r="K627" s="2">
        <v>51</v>
      </c>
      <c r="L627" s="2">
        <v>15</v>
      </c>
      <c r="M627" s="2">
        <v>5</v>
      </c>
      <c r="N627" s="2">
        <v>6</v>
      </c>
      <c r="O627" s="2">
        <v>5</v>
      </c>
      <c r="P627" s="2">
        <v>20</v>
      </c>
      <c r="Q627" s="2" t="s">
        <v>2293</v>
      </c>
      <c r="R627" s="2" t="s">
        <v>2294</v>
      </c>
      <c r="S627" s="4">
        <v>44837</v>
      </c>
    </row>
    <row r="628" spans="1:19" ht="12.5" hidden="1" x14ac:dyDescent="0.25">
      <c r="A628" s="14" t="str">
        <f>HYPERLINK("https://gerandofalcoes.my.salesforce.com/0014P00003YSp8OQAT", "0014P00003YSp8OQAT")</f>
        <v>0014P00003YSp8OQAT</v>
      </c>
      <c r="B628" s="2" t="s">
        <v>1952</v>
      </c>
      <c r="C628" s="2" t="s">
        <v>1800</v>
      </c>
      <c r="D628" s="2" t="s">
        <v>2</v>
      </c>
      <c r="E628" s="2">
        <v>41</v>
      </c>
      <c r="F628" s="2">
        <v>1</v>
      </c>
      <c r="G628" s="2">
        <v>3</v>
      </c>
      <c r="H628" s="2">
        <v>25000</v>
      </c>
      <c r="I628" s="2">
        <v>90</v>
      </c>
      <c r="J628" s="2" t="s">
        <v>1671</v>
      </c>
      <c r="K628" s="2">
        <v>48</v>
      </c>
      <c r="L628" s="2">
        <v>15</v>
      </c>
      <c r="M628" s="2">
        <v>5</v>
      </c>
      <c r="N628" s="2">
        <v>8</v>
      </c>
      <c r="O628" s="2">
        <v>10</v>
      </c>
      <c r="P628" s="2">
        <v>10</v>
      </c>
      <c r="Q628" s="2" t="s">
        <v>1953</v>
      </c>
      <c r="R628" s="2" t="s">
        <v>1953</v>
      </c>
      <c r="S628" s="4">
        <v>44837</v>
      </c>
    </row>
    <row r="629" spans="1:19" ht="12.5" x14ac:dyDescent="0.25">
      <c r="A629" s="14" t="str">
        <f>HYPERLINK("https://gerandofalcoes.my.salesforce.com/0014P00003YSp8PQAT", "0014P00003YSp8PQAT")</f>
        <v>0014P00003YSp8PQAT</v>
      </c>
      <c r="B629" s="2" t="s">
        <v>2832</v>
      </c>
      <c r="C629" s="2" t="s">
        <v>423</v>
      </c>
      <c r="D629" s="2" t="s">
        <v>2</v>
      </c>
      <c r="E629" s="2">
        <v>24</v>
      </c>
      <c r="F629" s="2">
        <v>0</v>
      </c>
      <c r="G629" s="2">
        <v>1</v>
      </c>
      <c r="H629" s="2">
        <v>4546832</v>
      </c>
      <c r="I629" s="2">
        <v>0</v>
      </c>
      <c r="J629" s="2" t="s">
        <v>1779</v>
      </c>
      <c r="K629" s="2">
        <v>39</v>
      </c>
      <c r="L629" s="2">
        <v>10</v>
      </c>
      <c r="M629" s="2">
        <v>0</v>
      </c>
      <c r="N629" s="2">
        <v>4</v>
      </c>
      <c r="O629" s="2">
        <v>25</v>
      </c>
      <c r="P629" s="2">
        <v>0</v>
      </c>
      <c r="Q629" s="2" t="s">
        <v>2833</v>
      </c>
      <c r="R629" s="2" t="s">
        <v>2834</v>
      </c>
      <c r="S629" s="4">
        <v>44837</v>
      </c>
    </row>
    <row r="630" spans="1:19" ht="12.5" x14ac:dyDescent="0.25">
      <c r="A630" s="14" t="str">
        <f>HYPERLINK("https://gerandofalcoes.my.salesforce.com/0014P00003YSp8QQAT", "0014P00003YSp8QQAT")</f>
        <v>0014P00003YSp8QQAT</v>
      </c>
      <c r="B630" s="2" t="s">
        <v>1890</v>
      </c>
      <c r="C630" s="2" t="s">
        <v>423</v>
      </c>
      <c r="D630" s="2" t="s">
        <v>2</v>
      </c>
      <c r="E630" s="2">
        <v>43.85</v>
      </c>
      <c r="F630" s="2">
        <v>7</v>
      </c>
      <c r="G630" s="2">
        <v>150</v>
      </c>
      <c r="H630" s="2">
        <v>337433</v>
      </c>
      <c r="I630" s="2">
        <v>80</v>
      </c>
      <c r="J630" s="2" t="s">
        <v>1650</v>
      </c>
      <c r="K630" s="2">
        <v>65</v>
      </c>
      <c r="L630" s="2">
        <v>15</v>
      </c>
      <c r="M630" s="2">
        <v>10</v>
      </c>
      <c r="N630" s="2">
        <v>10</v>
      </c>
      <c r="O630" s="2">
        <v>20</v>
      </c>
      <c r="P630" s="2">
        <v>10</v>
      </c>
      <c r="Q630" s="2" t="s">
        <v>1891</v>
      </c>
      <c r="R630" s="2" t="s">
        <v>1891</v>
      </c>
      <c r="S630" s="4">
        <v>44837</v>
      </c>
    </row>
    <row r="631" spans="1:19" ht="12.5" hidden="1" x14ac:dyDescent="0.25">
      <c r="A631" s="14" t="str">
        <f>HYPERLINK("https://gerandofalcoes.my.salesforce.com/0014P00003YSp8RQAT", "0014P00003YSp8RQAT")</f>
        <v>0014P00003YSp8RQAT</v>
      </c>
      <c r="B631" s="2" t="s">
        <v>1989</v>
      </c>
      <c r="C631" s="2" t="s">
        <v>1800</v>
      </c>
      <c r="D631" s="2" t="s">
        <v>2</v>
      </c>
      <c r="E631" s="2">
        <v>39</v>
      </c>
      <c r="F631" s="2">
        <v>1</v>
      </c>
      <c r="G631" s="2">
        <v>2</v>
      </c>
      <c r="H631" s="2">
        <v>11000</v>
      </c>
      <c r="I631" s="2">
        <v>200</v>
      </c>
      <c r="J631" s="2" t="s">
        <v>1671</v>
      </c>
      <c r="K631" s="2">
        <v>43</v>
      </c>
      <c r="L631" s="2">
        <v>15</v>
      </c>
      <c r="M631" s="2">
        <v>5</v>
      </c>
      <c r="N631" s="2">
        <v>6</v>
      </c>
      <c r="O631" s="2">
        <v>5</v>
      </c>
      <c r="P631" s="2">
        <v>12</v>
      </c>
      <c r="Q631" s="2" t="s">
        <v>1990</v>
      </c>
      <c r="R631" s="2" t="s">
        <v>1991</v>
      </c>
      <c r="S631" s="4">
        <v>44837</v>
      </c>
    </row>
    <row r="632" spans="1:19" ht="12.5" x14ac:dyDescent="0.25">
      <c r="A632" s="14" t="str">
        <f>HYPERLINK("https://gerandofalcoes.my.salesforce.com/0014P00003YSp8SQAT", "0014P00003YSp8SQAT")</f>
        <v>0014P00003YSp8SQAT</v>
      </c>
      <c r="B632" s="2" t="s">
        <v>2476</v>
      </c>
      <c r="C632" s="2" t="s">
        <v>423</v>
      </c>
      <c r="D632" s="2" t="s">
        <v>2</v>
      </c>
      <c r="E632" s="2">
        <v>22</v>
      </c>
      <c r="F632" s="2">
        <v>0</v>
      </c>
      <c r="G632" s="2">
        <v>2</v>
      </c>
      <c r="H632" s="2">
        <v>150000</v>
      </c>
      <c r="I632" s="2">
        <v>382</v>
      </c>
      <c r="J632" s="2" t="s">
        <v>1671</v>
      </c>
      <c r="K632" s="2">
        <v>46</v>
      </c>
      <c r="L632" s="2">
        <v>10</v>
      </c>
      <c r="M632" s="2">
        <v>0</v>
      </c>
      <c r="N632" s="2">
        <v>6</v>
      </c>
      <c r="O632" s="2">
        <v>15</v>
      </c>
      <c r="P632" s="2">
        <v>15</v>
      </c>
      <c r="Q632" s="2" t="s">
        <v>2477</v>
      </c>
      <c r="R632" s="2" t="s">
        <v>2477</v>
      </c>
      <c r="S632" s="4">
        <v>44837</v>
      </c>
    </row>
    <row r="633" spans="1:19" ht="12.5" x14ac:dyDescent="0.25">
      <c r="A633" s="14" t="str">
        <f>HYPERLINK("https://gerandofalcoes.my.salesforce.com/0014P00003YSp8UQAT", "0014P00003YSp8UQAT")</f>
        <v>0014P00003YSp8UQAT</v>
      </c>
      <c r="B633" s="2" t="s">
        <v>2319</v>
      </c>
      <c r="C633" s="2" t="s">
        <v>423</v>
      </c>
      <c r="D633" s="2" t="s">
        <v>2</v>
      </c>
      <c r="E633" s="2">
        <v>28</v>
      </c>
      <c r="F633" s="2">
        <v>0</v>
      </c>
      <c r="G633" s="2">
        <v>3</v>
      </c>
      <c r="H633" s="2">
        <v>9994</v>
      </c>
      <c r="I633" s="2">
        <v>110</v>
      </c>
      <c r="J633" s="2" t="s">
        <v>1779</v>
      </c>
      <c r="K633" s="2">
        <v>38</v>
      </c>
      <c r="L633" s="2">
        <v>15</v>
      </c>
      <c r="M633" s="2">
        <v>0</v>
      </c>
      <c r="N633" s="2">
        <v>8</v>
      </c>
      <c r="O633" s="2">
        <v>5</v>
      </c>
      <c r="P633" s="2">
        <v>10</v>
      </c>
      <c r="Q633" s="2" t="s">
        <v>2321</v>
      </c>
      <c r="R633" s="2" t="s">
        <v>2321</v>
      </c>
      <c r="S633" s="4">
        <v>44837</v>
      </c>
    </row>
    <row r="634" spans="1:19" ht="12.5" hidden="1" x14ac:dyDescent="0.25">
      <c r="A634" s="14" t="str">
        <f>HYPERLINK("https://gerandofalcoes.my.salesforce.com/0014P00003YSp8VQAT", "0014P00003YSp8VQAT")</f>
        <v>0014P00003YSp8VQAT</v>
      </c>
      <c r="B634" s="2" t="s">
        <v>2865</v>
      </c>
      <c r="C634" s="2" t="s">
        <v>1800</v>
      </c>
      <c r="D634" s="2" t="s">
        <v>2</v>
      </c>
      <c r="E634" s="2">
        <v>10</v>
      </c>
      <c r="F634" s="2">
        <v>0</v>
      </c>
      <c r="G634" s="2">
        <v>0</v>
      </c>
      <c r="H634" s="2">
        <v>0</v>
      </c>
      <c r="I634" s="2">
        <v>0</v>
      </c>
      <c r="J634" s="2" t="s">
        <v>1779</v>
      </c>
      <c r="K634" s="2">
        <v>10</v>
      </c>
      <c r="L634" s="2">
        <v>10</v>
      </c>
      <c r="M634" s="2">
        <v>0</v>
      </c>
      <c r="N634" s="2">
        <v>0</v>
      </c>
      <c r="O634" s="2">
        <v>0</v>
      </c>
      <c r="P634" s="2">
        <v>0</v>
      </c>
      <c r="Q634" s="2" t="s">
        <v>2866</v>
      </c>
      <c r="R634" s="2" t="s">
        <v>2867</v>
      </c>
      <c r="S634" s="4">
        <v>44837</v>
      </c>
    </row>
    <row r="635" spans="1:19" ht="12.5" x14ac:dyDescent="0.25">
      <c r="A635" s="14" t="str">
        <f>HYPERLINK("https://gerandofalcoes.my.salesforce.com/0014P00003YSp8XQAT", "0014P00003YSp8XQAT")</f>
        <v>0014P00003YSp8XQAT</v>
      </c>
      <c r="B635" s="2" t="s">
        <v>2526</v>
      </c>
      <c r="C635" s="2" t="s">
        <v>423</v>
      </c>
      <c r="D635" s="2" t="s">
        <v>2</v>
      </c>
      <c r="E635" s="2">
        <v>21</v>
      </c>
      <c r="F635" s="2">
        <v>0</v>
      </c>
      <c r="G635" s="2">
        <v>1</v>
      </c>
      <c r="H635" s="2">
        <v>250</v>
      </c>
      <c r="I635" s="2">
        <v>50</v>
      </c>
      <c r="J635" s="2" t="s">
        <v>1779</v>
      </c>
      <c r="K635" s="2">
        <v>24</v>
      </c>
      <c r="L635" s="2">
        <v>10</v>
      </c>
      <c r="M635" s="2">
        <v>0</v>
      </c>
      <c r="N635" s="2">
        <v>4</v>
      </c>
      <c r="O635" s="2">
        <v>5</v>
      </c>
      <c r="P635" s="2">
        <v>5</v>
      </c>
      <c r="Q635" s="2" t="s">
        <v>2527</v>
      </c>
      <c r="R635" s="2" t="s">
        <v>2528</v>
      </c>
      <c r="S635" s="4">
        <v>44837</v>
      </c>
    </row>
    <row r="636" spans="1:19" ht="12.5" x14ac:dyDescent="0.25">
      <c r="A636" s="14" t="str">
        <f>HYPERLINK("https://gerandofalcoes.my.salesforce.com/0014P00003YSp8YQAT", "0014P00003YSp8YQAT")</f>
        <v>0014P00003YSp8YQAT</v>
      </c>
      <c r="B636" s="2" t="s">
        <v>1921</v>
      </c>
      <c r="C636" s="2" t="s">
        <v>423</v>
      </c>
      <c r="D636" s="2" t="s">
        <v>2</v>
      </c>
      <c r="E636" s="2">
        <v>45</v>
      </c>
      <c r="F636" s="2">
        <v>9</v>
      </c>
      <c r="G636" s="2">
        <v>3</v>
      </c>
      <c r="H636" s="2">
        <v>97000</v>
      </c>
      <c r="I636" s="2">
        <v>100</v>
      </c>
      <c r="J636" s="2" t="s">
        <v>1671</v>
      </c>
      <c r="K636" s="2">
        <v>53</v>
      </c>
      <c r="L636" s="2">
        <v>15</v>
      </c>
      <c r="M636" s="2">
        <v>10</v>
      </c>
      <c r="N636" s="2">
        <v>8</v>
      </c>
      <c r="O636" s="2">
        <v>10</v>
      </c>
      <c r="P636" s="2">
        <v>10</v>
      </c>
      <c r="Q636" s="2" t="s">
        <v>1922</v>
      </c>
      <c r="R636" s="2" t="s">
        <v>1923</v>
      </c>
      <c r="S636" s="4">
        <v>44837</v>
      </c>
    </row>
    <row r="637" spans="1:19" ht="12.5" x14ac:dyDescent="0.25">
      <c r="A637" s="14" t="str">
        <f>HYPERLINK("https://gerandofalcoes.my.salesforce.com/0014P00003YSp8aQAD", "0014P00003YSp8aQAD")</f>
        <v>0014P00003YSp8aQAD</v>
      </c>
      <c r="B637" s="2" t="s">
        <v>2447</v>
      </c>
      <c r="C637" s="2" t="s">
        <v>423</v>
      </c>
      <c r="D637" s="2" t="s">
        <v>2</v>
      </c>
      <c r="E637" s="2">
        <v>24</v>
      </c>
      <c r="F637" s="2">
        <v>0</v>
      </c>
      <c r="G637" s="2">
        <v>2</v>
      </c>
      <c r="H637" s="2">
        <v>40000</v>
      </c>
      <c r="I637" s="2">
        <v>200</v>
      </c>
      <c r="J637" s="2" t="s">
        <v>1779</v>
      </c>
      <c r="K637" s="2">
        <v>38</v>
      </c>
      <c r="L637" s="2">
        <v>10</v>
      </c>
      <c r="M637" s="2">
        <v>0</v>
      </c>
      <c r="N637" s="2">
        <v>6</v>
      </c>
      <c r="O637" s="2">
        <v>10</v>
      </c>
      <c r="P637" s="2">
        <v>12</v>
      </c>
      <c r="Q637" s="2" t="s">
        <v>2448</v>
      </c>
      <c r="R637" s="2" t="s">
        <v>2449</v>
      </c>
      <c r="S637" s="4">
        <v>44837</v>
      </c>
    </row>
    <row r="638" spans="1:19" ht="12.5" x14ac:dyDescent="0.25">
      <c r="A638" s="14" t="str">
        <f>HYPERLINK("https://gerandofalcoes.my.salesforce.com/0014P00003YSp8bQAD", "0014P00003YSp8bQAD")</f>
        <v>0014P00003YSp8bQAD</v>
      </c>
      <c r="B638" s="2" t="s">
        <v>2481</v>
      </c>
      <c r="C638" s="2" t="s">
        <v>423</v>
      </c>
      <c r="D638" s="2" t="s">
        <v>2</v>
      </c>
      <c r="E638" s="2">
        <v>22</v>
      </c>
      <c r="F638" s="2">
        <v>4</v>
      </c>
      <c r="G638" s="2">
        <v>2</v>
      </c>
      <c r="H638" s="2">
        <v>80000</v>
      </c>
      <c r="I638" s="2">
        <v>100</v>
      </c>
      <c r="J638" s="2" t="s">
        <v>1671</v>
      </c>
      <c r="K638" s="2">
        <v>41</v>
      </c>
      <c r="L638" s="2">
        <v>10</v>
      </c>
      <c r="M638" s="2">
        <v>5</v>
      </c>
      <c r="N638" s="2">
        <v>6</v>
      </c>
      <c r="O638" s="2">
        <v>10</v>
      </c>
      <c r="P638" s="2">
        <v>10</v>
      </c>
      <c r="Q638" s="2" t="s">
        <v>2482</v>
      </c>
      <c r="R638" s="2" t="s">
        <v>2483</v>
      </c>
      <c r="S638" s="4">
        <v>44837</v>
      </c>
    </row>
    <row r="639" spans="1:19" ht="12.5" x14ac:dyDescent="0.25">
      <c r="A639" s="14" t="str">
        <f>HYPERLINK("https://gerandofalcoes.my.salesforce.com/0014P00003YSp8cQAD", "0014P00003YSp8cQAD")</f>
        <v>0014P00003YSp8cQAD</v>
      </c>
      <c r="B639" s="2" t="s">
        <v>1768</v>
      </c>
      <c r="C639" s="2" t="s">
        <v>423</v>
      </c>
      <c r="D639" s="2" t="s">
        <v>2</v>
      </c>
      <c r="E639" s="2">
        <v>35</v>
      </c>
      <c r="F639" s="2">
        <v>8</v>
      </c>
      <c r="G639" s="2">
        <v>1</v>
      </c>
      <c r="H639" s="2">
        <v>2200000</v>
      </c>
      <c r="I639" s="2">
        <v>300</v>
      </c>
      <c r="J639" s="2" t="s">
        <v>1650</v>
      </c>
      <c r="K639" s="2">
        <v>69</v>
      </c>
      <c r="L639" s="2">
        <v>15</v>
      </c>
      <c r="M639" s="2">
        <v>10</v>
      </c>
      <c r="N639" s="2">
        <v>4</v>
      </c>
      <c r="O639" s="2">
        <v>25</v>
      </c>
      <c r="P639" s="2">
        <v>15</v>
      </c>
      <c r="Q639" s="2" t="s">
        <v>1769</v>
      </c>
      <c r="R639" s="2" t="s">
        <v>1769</v>
      </c>
      <c r="S639" s="4">
        <v>44837</v>
      </c>
    </row>
    <row r="640" spans="1:19" ht="12.5" x14ac:dyDescent="0.25">
      <c r="A640" s="14" t="str">
        <f>HYPERLINK("https://gerandofalcoes.my.salesforce.com/0014P00003YSp8dQAD", "0014P00003YSp8dQAD")</f>
        <v>0014P00003YSp8dQAD</v>
      </c>
      <c r="B640" s="2" t="s">
        <v>2925</v>
      </c>
      <c r="C640" s="2" t="s">
        <v>423</v>
      </c>
      <c r="D640" s="2" t="s">
        <v>2</v>
      </c>
      <c r="E640" s="2">
        <v>7</v>
      </c>
      <c r="F640" s="2">
        <v>3</v>
      </c>
      <c r="G640" s="2">
        <v>2</v>
      </c>
      <c r="H640" s="2">
        <v>0</v>
      </c>
      <c r="I640" s="2">
        <v>150</v>
      </c>
      <c r="J640" s="2" t="s">
        <v>1779</v>
      </c>
      <c r="K640" s="2">
        <v>33</v>
      </c>
      <c r="L640" s="2">
        <v>10</v>
      </c>
      <c r="M640" s="2">
        <v>5</v>
      </c>
      <c r="N640" s="2">
        <v>6</v>
      </c>
      <c r="O640" s="2">
        <v>0</v>
      </c>
      <c r="P640" s="2">
        <v>12</v>
      </c>
      <c r="Q640" s="2" t="s">
        <v>2926</v>
      </c>
      <c r="R640" s="2" t="s">
        <v>2926</v>
      </c>
      <c r="S640" s="4">
        <v>44837</v>
      </c>
    </row>
    <row r="641" spans="1:19" ht="12.5" x14ac:dyDescent="0.25">
      <c r="A641" s="14" t="str">
        <f>HYPERLINK("https://gerandofalcoes.my.salesforce.com/0014P00003Ck8NjQAJ", "0014P00003Ck8NjQAJ")</f>
        <v>0014P00003Ck8NjQAJ</v>
      </c>
      <c r="B641" s="2" t="s">
        <v>1734</v>
      </c>
      <c r="C641" s="2" t="s">
        <v>423</v>
      </c>
      <c r="D641" s="2" t="s">
        <v>2</v>
      </c>
      <c r="E641" s="2">
        <v>32</v>
      </c>
      <c r="F641" s="2">
        <v>30</v>
      </c>
      <c r="G641" s="2">
        <v>4</v>
      </c>
      <c r="H641" s="2">
        <v>168000</v>
      </c>
      <c r="I641" s="2">
        <v>200</v>
      </c>
      <c r="J641" s="2" t="s">
        <v>1671</v>
      </c>
      <c r="K641" s="2">
        <v>64</v>
      </c>
      <c r="L641" s="2">
        <v>15</v>
      </c>
      <c r="M641" s="2">
        <v>12</v>
      </c>
      <c r="N641" s="2">
        <v>10</v>
      </c>
      <c r="O641" s="2">
        <v>15</v>
      </c>
      <c r="P641" s="2">
        <v>12</v>
      </c>
      <c r="Q641" s="2" t="s">
        <v>1735</v>
      </c>
      <c r="R641" s="2" t="s">
        <v>1735</v>
      </c>
      <c r="S641" s="4">
        <v>44837</v>
      </c>
    </row>
    <row r="642" spans="1:19" ht="12.5" x14ac:dyDescent="0.25">
      <c r="A642" s="14" t="str">
        <f>HYPERLINK("https://gerandofalcoes.my.salesforce.com/0014P00003I7WH2QAN", "0014P00003I7WH2QAN")</f>
        <v>0014P00003I7WH2QAN</v>
      </c>
      <c r="B642" s="2" t="s">
        <v>1748</v>
      </c>
      <c r="C642" s="2" t="s">
        <v>423</v>
      </c>
      <c r="D642" s="2" t="s">
        <v>2</v>
      </c>
      <c r="E642" s="2">
        <v>75</v>
      </c>
      <c r="F642" s="2">
        <v>5</v>
      </c>
      <c r="G642" s="2">
        <v>3</v>
      </c>
      <c r="H642" s="2">
        <v>300000</v>
      </c>
      <c r="I642" s="2">
        <v>216</v>
      </c>
      <c r="J642" s="2" t="s">
        <v>1650</v>
      </c>
      <c r="K642" s="2">
        <v>70</v>
      </c>
      <c r="L642" s="2">
        <v>25</v>
      </c>
      <c r="M642" s="2">
        <v>5</v>
      </c>
      <c r="N642" s="2">
        <v>8</v>
      </c>
      <c r="O642" s="2">
        <v>20</v>
      </c>
      <c r="P642" s="2">
        <v>12</v>
      </c>
      <c r="Q642" s="2" t="s">
        <v>1749</v>
      </c>
      <c r="R642" s="2" t="s">
        <v>906</v>
      </c>
      <c r="S642" s="4">
        <v>44837</v>
      </c>
    </row>
    <row r="643" spans="1:19" ht="12.5" x14ac:dyDescent="0.25">
      <c r="A643" s="14" t="str">
        <f>HYPERLINK("https://gerandofalcoes.my.salesforce.com/0014P00003AN2FfQAL", "0014P00003AN2FfQAL")</f>
        <v>0014P00003AN2FfQAL</v>
      </c>
      <c r="B643" s="2" t="s">
        <v>105</v>
      </c>
      <c r="C643" s="2" t="s">
        <v>423</v>
      </c>
      <c r="D643" s="2" t="s">
        <v>2</v>
      </c>
      <c r="E643" s="2">
        <v>20</v>
      </c>
      <c r="F643" s="2">
        <v>0</v>
      </c>
      <c r="G643" s="2">
        <v>1</v>
      </c>
      <c r="H643" s="2">
        <v>10000</v>
      </c>
      <c r="I643" s="2">
        <v>120</v>
      </c>
      <c r="J643" s="2" t="s">
        <v>1779</v>
      </c>
      <c r="K643" s="2">
        <v>29</v>
      </c>
      <c r="L643" s="2">
        <v>10</v>
      </c>
      <c r="M643" s="2">
        <v>0</v>
      </c>
      <c r="N643" s="2">
        <v>4</v>
      </c>
      <c r="O643" s="2">
        <v>5</v>
      </c>
      <c r="P643" s="2">
        <v>10</v>
      </c>
      <c r="Q643" s="2" t="s">
        <v>106</v>
      </c>
      <c r="R643" s="2" t="s">
        <v>7161</v>
      </c>
      <c r="S643" s="4">
        <v>44837</v>
      </c>
    </row>
    <row r="644" spans="1:19" ht="12.5" hidden="1" x14ac:dyDescent="0.25">
      <c r="A644" s="14" t="str">
        <f>HYPERLINK("https://gerandofalcoes.my.salesforce.com/0014P00003AN2FgQAL", "0014P00003AN2FgQAL")</f>
        <v>0014P00003AN2FgQAL</v>
      </c>
      <c r="B644" s="2" t="s">
        <v>109</v>
      </c>
      <c r="C644" s="2" t="s">
        <v>1800</v>
      </c>
      <c r="D644" s="2" t="s">
        <v>2</v>
      </c>
      <c r="E644" s="2">
        <v>36</v>
      </c>
      <c r="F644" s="2">
        <v>2</v>
      </c>
      <c r="G644" s="2">
        <v>7</v>
      </c>
      <c r="H644" s="2">
        <v>290735</v>
      </c>
      <c r="I644" s="2">
        <v>750</v>
      </c>
      <c r="J644" s="2" t="s">
        <v>1650</v>
      </c>
      <c r="K644" s="2">
        <v>65</v>
      </c>
      <c r="L644" s="2">
        <v>15</v>
      </c>
      <c r="M644" s="2">
        <v>5</v>
      </c>
      <c r="N644" s="2">
        <v>10</v>
      </c>
      <c r="O644" s="2">
        <v>15</v>
      </c>
      <c r="P644" s="2">
        <v>20</v>
      </c>
      <c r="Q644" s="2" t="s">
        <v>110</v>
      </c>
      <c r="R644" s="2" t="s">
        <v>110</v>
      </c>
      <c r="S644" s="4">
        <v>44837</v>
      </c>
    </row>
    <row r="645" spans="1:19" ht="12.5" x14ac:dyDescent="0.25">
      <c r="A645" s="14" t="str">
        <f>HYPERLINK("https://gerandofalcoes.my.salesforce.com/0014P00003AN2FhQAL", "0014P00003AN2FhQAL")</f>
        <v>0014P00003AN2FhQAL</v>
      </c>
      <c r="B645" s="2" t="s">
        <v>1889</v>
      </c>
      <c r="C645" s="2" t="s">
        <v>423</v>
      </c>
      <c r="D645" s="2" t="s">
        <v>2</v>
      </c>
      <c r="E645" s="2">
        <v>55</v>
      </c>
      <c r="F645" s="2">
        <v>3</v>
      </c>
      <c r="G645" s="2">
        <v>2</v>
      </c>
      <c r="H645" s="2">
        <v>472000</v>
      </c>
      <c r="I645" s="2">
        <v>381</v>
      </c>
      <c r="J645" s="2" t="s">
        <v>1650</v>
      </c>
      <c r="K645" s="2">
        <v>66</v>
      </c>
      <c r="L645" s="2">
        <v>20</v>
      </c>
      <c r="M645" s="2">
        <v>5</v>
      </c>
      <c r="N645" s="2">
        <v>6</v>
      </c>
      <c r="O645" s="2">
        <v>20</v>
      </c>
      <c r="P645" s="2">
        <v>15</v>
      </c>
      <c r="Q645" s="2" t="s">
        <v>715</v>
      </c>
      <c r="R645" s="2" t="s">
        <v>715</v>
      </c>
      <c r="S645" s="4">
        <v>44837</v>
      </c>
    </row>
    <row r="646" spans="1:19" ht="12.5" x14ac:dyDescent="0.25">
      <c r="A646" s="14" t="str">
        <f>HYPERLINK("https://gerandofalcoes.my.salesforce.com/0014P00003AN2FiQAL", "0014P00003AN2FiQAL")</f>
        <v>0014P00003AN2FiQAL</v>
      </c>
      <c r="B646" s="2" t="s">
        <v>2541</v>
      </c>
      <c r="C646" s="2" t="s">
        <v>423</v>
      </c>
      <c r="D646" s="2" t="s">
        <v>2</v>
      </c>
      <c r="E646" s="2">
        <v>40</v>
      </c>
      <c r="F646" s="2">
        <v>2</v>
      </c>
      <c r="G646" s="2">
        <v>3</v>
      </c>
      <c r="H646" s="2">
        <v>230600</v>
      </c>
      <c r="I646" s="2">
        <v>170</v>
      </c>
      <c r="J646" s="2" t="s">
        <v>1671</v>
      </c>
      <c r="K646" s="2">
        <v>55</v>
      </c>
      <c r="L646" s="2">
        <v>15</v>
      </c>
      <c r="M646" s="2">
        <v>5</v>
      </c>
      <c r="N646" s="2">
        <v>8</v>
      </c>
      <c r="O646" s="2">
        <v>15</v>
      </c>
      <c r="P646" s="2">
        <v>12</v>
      </c>
      <c r="Q646" s="2" t="s">
        <v>2542</v>
      </c>
      <c r="R646" s="2" t="s">
        <v>2542</v>
      </c>
      <c r="S646" s="4">
        <v>44837</v>
      </c>
    </row>
    <row r="647" spans="1:19" ht="12.5" x14ac:dyDescent="0.25">
      <c r="A647" s="14" t="str">
        <f>HYPERLINK("https://gerandofalcoes.my.salesforce.com/0014P00003AN2FjQAL", "0014P00003AN2FjQAL")</f>
        <v>0014P00003AN2FjQAL</v>
      </c>
      <c r="B647" s="2" t="s">
        <v>1679</v>
      </c>
      <c r="C647" s="2" t="s">
        <v>423</v>
      </c>
      <c r="D647" s="2" t="s">
        <v>27</v>
      </c>
      <c r="E647" s="2">
        <v>89</v>
      </c>
      <c r="F647" s="2">
        <v>5</v>
      </c>
      <c r="G647" s="2">
        <v>4</v>
      </c>
      <c r="H647" s="2">
        <v>49628.39</v>
      </c>
      <c r="I647" s="2">
        <v>79</v>
      </c>
      <c r="J647" s="2" t="s">
        <v>1671</v>
      </c>
      <c r="K647" s="2">
        <v>55</v>
      </c>
      <c r="L647" s="2">
        <v>25</v>
      </c>
      <c r="M647" s="2">
        <v>5</v>
      </c>
      <c r="N647" s="2">
        <v>10</v>
      </c>
      <c r="O647" s="2">
        <v>10</v>
      </c>
      <c r="P647" s="2">
        <v>5</v>
      </c>
      <c r="Q647" s="2" t="s">
        <v>63</v>
      </c>
      <c r="R647" s="2" t="s">
        <v>1680</v>
      </c>
      <c r="S647" s="4">
        <v>44837</v>
      </c>
    </row>
    <row r="648" spans="1:19" ht="12.5" x14ac:dyDescent="0.25">
      <c r="A648" s="14" t="str">
        <f>HYPERLINK("https://gerandofalcoes.my.salesforce.com/0014P00003AN2FkQAL", "0014P00003AN2FkQAL")</f>
        <v>0014P00003AN2FkQAL</v>
      </c>
      <c r="B648" s="2" t="s">
        <v>1753</v>
      </c>
      <c r="C648" s="2" t="s">
        <v>423</v>
      </c>
      <c r="D648" s="2" t="s">
        <v>27</v>
      </c>
      <c r="E648" s="2">
        <v>58.76</v>
      </c>
      <c r="F648" s="2">
        <v>0</v>
      </c>
      <c r="G648" s="2">
        <v>4</v>
      </c>
      <c r="H648" s="2">
        <v>45000</v>
      </c>
      <c r="I648" s="2">
        <v>700</v>
      </c>
      <c r="J648" s="2" t="s">
        <v>1671</v>
      </c>
      <c r="K648" s="2">
        <v>60</v>
      </c>
      <c r="L648" s="2">
        <v>20</v>
      </c>
      <c r="M648" s="2">
        <v>0</v>
      </c>
      <c r="N648" s="2">
        <v>10</v>
      </c>
      <c r="O648" s="2">
        <v>10</v>
      </c>
      <c r="P648" s="2">
        <v>20</v>
      </c>
      <c r="Q648" s="2" t="s">
        <v>1754</v>
      </c>
      <c r="R648" s="2" t="s">
        <v>738</v>
      </c>
      <c r="S648" s="4">
        <v>44837</v>
      </c>
    </row>
    <row r="649" spans="1:19" ht="12.5" x14ac:dyDescent="0.25">
      <c r="A649" s="14" t="str">
        <f>HYPERLINK("https://gerandofalcoes.my.salesforce.com/0014P00003AN2FlQAL", "0014P00003AN2FlQAL")</f>
        <v>0014P00003AN2FlQAL</v>
      </c>
      <c r="B649" s="2" t="s">
        <v>1689</v>
      </c>
      <c r="C649" s="2" t="s">
        <v>423</v>
      </c>
      <c r="D649" s="2" t="s">
        <v>27</v>
      </c>
      <c r="E649" s="2">
        <v>85</v>
      </c>
      <c r="F649" s="2">
        <v>9</v>
      </c>
      <c r="G649" s="2">
        <v>5</v>
      </c>
      <c r="H649" s="2">
        <v>128126.51</v>
      </c>
      <c r="I649" s="2">
        <v>196</v>
      </c>
      <c r="J649" s="2" t="s">
        <v>1650</v>
      </c>
      <c r="K649" s="2">
        <v>72</v>
      </c>
      <c r="L649" s="2">
        <v>25</v>
      </c>
      <c r="M649" s="2">
        <v>10</v>
      </c>
      <c r="N649" s="2">
        <v>10</v>
      </c>
      <c r="O649" s="2">
        <v>15</v>
      </c>
      <c r="P649" s="2">
        <v>12</v>
      </c>
      <c r="Q649" s="2" t="s">
        <v>126</v>
      </c>
      <c r="R649" s="2" t="s">
        <v>1690</v>
      </c>
      <c r="S649" s="4">
        <v>44837</v>
      </c>
    </row>
    <row r="650" spans="1:19" ht="12.5" hidden="1" x14ac:dyDescent="0.25">
      <c r="A650" s="14" t="str">
        <f>HYPERLINK("https://gerandofalcoes.my.salesforce.com/0014P00003AN2FmQAL", "0014P00003AN2FmQAL")</f>
        <v>0014P00003AN2FmQAL</v>
      </c>
      <c r="B650" s="2" t="s">
        <v>1683</v>
      </c>
      <c r="C650" s="2" t="s">
        <v>1684</v>
      </c>
      <c r="D650" s="2" t="s">
        <v>27</v>
      </c>
      <c r="E650" s="2">
        <v>86</v>
      </c>
      <c r="F650" s="2">
        <v>30</v>
      </c>
      <c r="G650" s="2">
        <v>5</v>
      </c>
      <c r="H650" s="2">
        <v>969799.69</v>
      </c>
      <c r="I650" s="2">
        <v>111</v>
      </c>
      <c r="J650" s="2" t="s">
        <v>1654</v>
      </c>
      <c r="K650" s="2">
        <v>82</v>
      </c>
      <c r="L650" s="2">
        <v>25</v>
      </c>
      <c r="M650" s="2">
        <v>12</v>
      </c>
      <c r="N650" s="2">
        <v>10</v>
      </c>
      <c r="O650" s="2">
        <v>25</v>
      </c>
      <c r="P650" s="2">
        <v>10</v>
      </c>
      <c r="Q650" s="2" t="s">
        <v>127</v>
      </c>
      <c r="R650" s="2" t="s">
        <v>127</v>
      </c>
      <c r="S650" s="4">
        <v>44837</v>
      </c>
    </row>
    <row r="651" spans="1:19" ht="12.5" x14ac:dyDescent="0.25">
      <c r="A651" s="14" t="str">
        <f>HYPERLINK("https://gerandofalcoes.my.salesforce.com/0014P00003AN2FnQAL", "0014P00003AN2FnQAL")</f>
        <v>0014P00003AN2FnQAL</v>
      </c>
      <c r="B651" s="2" t="s">
        <v>128</v>
      </c>
      <c r="C651" s="2" t="s">
        <v>423</v>
      </c>
      <c r="D651" s="2" t="s">
        <v>27</v>
      </c>
      <c r="E651" s="2">
        <v>90</v>
      </c>
      <c r="F651" s="2">
        <v>22</v>
      </c>
      <c r="G651" s="2">
        <v>3</v>
      </c>
      <c r="H651" s="2">
        <v>850231.83</v>
      </c>
      <c r="I651" s="2">
        <v>323</v>
      </c>
      <c r="J651" s="2" t="s">
        <v>1654</v>
      </c>
      <c r="K651" s="2">
        <v>90</v>
      </c>
      <c r="L651" s="2">
        <v>30</v>
      </c>
      <c r="M651" s="2">
        <v>12</v>
      </c>
      <c r="N651" s="2">
        <v>8</v>
      </c>
      <c r="O651" s="2">
        <v>25</v>
      </c>
      <c r="P651" s="2">
        <v>15</v>
      </c>
      <c r="Q651" s="2" t="s">
        <v>129</v>
      </c>
      <c r="R651" s="2" t="s">
        <v>129</v>
      </c>
      <c r="S651" s="4">
        <v>44837</v>
      </c>
    </row>
    <row r="652" spans="1:19" ht="12.5" x14ac:dyDescent="0.25">
      <c r="A652" s="14" t="str">
        <f>HYPERLINK("https://gerandofalcoes.my.salesforce.com/0014P00003SGWPvQAP", "0014P00003SGWPvQAP")</f>
        <v>0014P00003SGWPvQAP</v>
      </c>
      <c r="B652" s="2" t="s">
        <v>2499</v>
      </c>
      <c r="C652" s="2" t="s">
        <v>423</v>
      </c>
      <c r="D652" s="2" t="s">
        <v>2</v>
      </c>
      <c r="E652" s="2">
        <v>21.55</v>
      </c>
      <c r="F652" s="2">
        <v>0</v>
      </c>
      <c r="G652" s="2">
        <v>1</v>
      </c>
      <c r="H652" s="2">
        <v>33000</v>
      </c>
      <c r="I652" s="2">
        <v>100</v>
      </c>
      <c r="J652" s="2" t="s">
        <v>1779</v>
      </c>
      <c r="K652" s="2">
        <v>34</v>
      </c>
      <c r="L652" s="2">
        <v>10</v>
      </c>
      <c r="M652" s="2">
        <v>0</v>
      </c>
      <c r="N652" s="2">
        <v>4</v>
      </c>
      <c r="O652" s="2">
        <v>10</v>
      </c>
      <c r="P652" s="2">
        <v>10</v>
      </c>
      <c r="Q652" s="2" t="s">
        <v>189</v>
      </c>
      <c r="R652" s="2" t="s">
        <v>189</v>
      </c>
      <c r="S652" s="4">
        <v>44837</v>
      </c>
    </row>
    <row r="653" spans="1:19" ht="12.5" hidden="1" x14ac:dyDescent="0.25">
      <c r="A653" s="14" t="str">
        <f>HYPERLINK("https://gerandofalcoes.my.salesforce.com/0014P00003SGWPwQAP", "0014P00003SGWPwQAP")</f>
        <v>0014P00003SGWPwQAP</v>
      </c>
      <c r="B653" s="2" t="s">
        <v>2999</v>
      </c>
      <c r="C653" s="2" t="s">
        <v>1684</v>
      </c>
      <c r="D653" s="2" t="s">
        <v>2</v>
      </c>
      <c r="E653" s="2"/>
      <c r="F653" s="2">
        <v>0</v>
      </c>
      <c r="G653" s="2">
        <v>1</v>
      </c>
      <c r="H653" s="2">
        <v>0</v>
      </c>
      <c r="I653" s="2">
        <v>0</v>
      </c>
      <c r="J653" s="2" t="s">
        <v>1779</v>
      </c>
      <c r="K653" s="2">
        <v>4</v>
      </c>
      <c r="L653" s="2">
        <v>0</v>
      </c>
      <c r="M653" s="2">
        <v>0</v>
      </c>
      <c r="N653" s="2">
        <v>4</v>
      </c>
      <c r="O653" s="2">
        <v>0</v>
      </c>
      <c r="P653" s="2">
        <v>0</v>
      </c>
      <c r="Q653" s="2" t="s">
        <v>193</v>
      </c>
      <c r="R653" s="2" t="s">
        <v>1095</v>
      </c>
      <c r="S653" s="4">
        <v>44837</v>
      </c>
    </row>
    <row r="654" spans="1:19" ht="12.5" x14ac:dyDescent="0.25">
      <c r="A654" s="14" t="str">
        <f>HYPERLINK("https://gerandofalcoes.my.salesforce.com/0014P00003SGWPxQAP", "0014P00003SGWPxQAP")</f>
        <v>0014P00003SGWPxQAP</v>
      </c>
      <c r="B654" s="2" t="s">
        <v>1739</v>
      </c>
      <c r="C654" s="2" t="s">
        <v>423</v>
      </c>
      <c r="D654" s="2" t="s">
        <v>2</v>
      </c>
      <c r="E654" s="2">
        <v>41</v>
      </c>
      <c r="F654" s="2">
        <v>4</v>
      </c>
      <c r="G654" s="2">
        <v>3</v>
      </c>
      <c r="H654" s="2">
        <v>135000</v>
      </c>
      <c r="I654" s="2">
        <v>442</v>
      </c>
      <c r="J654" s="2" t="s">
        <v>1671</v>
      </c>
      <c r="K654" s="2">
        <v>58</v>
      </c>
      <c r="L654" s="2">
        <v>15</v>
      </c>
      <c r="M654" s="2">
        <v>5</v>
      </c>
      <c r="N654" s="2">
        <v>8</v>
      </c>
      <c r="O654" s="2">
        <v>15</v>
      </c>
      <c r="P654" s="2">
        <v>15</v>
      </c>
      <c r="Q654" s="2" t="s">
        <v>1106</v>
      </c>
      <c r="R654" s="2" t="s">
        <v>1106</v>
      </c>
      <c r="S654" s="4">
        <v>44837</v>
      </c>
    </row>
    <row r="655" spans="1:19" ht="12.5" x14ac:dyDescent="0.25">
      <c r="A655" s="14" t="str">
        <f>HYPERLINK("https://gerandofalcoes.my.salesforce.com/0014P00003SGWPzQAP", "0014P00003SGWPzQAP")</f>
        <v>0014P00003SGWPzQAP</v>
      </c>
      <c r="B655" s="2" t="s">
        <v>1708</v>
      </c>
      <c r="C655" s="2" t="s">
        <v>423</v>
      </c>
      <c r="D655" s="2" t="s">
        <v>2</v>
      </c>
      <c r="E655" s="2">
        <v>94</v>
      </c>
      <c r="F655" s="2">
        <v>10</v>
      </c>
      <c r="G655" s="2">
        <v>3</v>
      </c>
      <c r="H655" s="2">
        <v>330138</v>
      </c>
      <c r="I655" s="2">
        <v>100</v>
      </c>
      <c r="J655" s="2" t="s">
        <v>1650</v>
      </c>
      <c r="K655" s="2">
        <v>78</v>
      </c>
      <c r="L655" s="2">
        <v>30</v>
      </c>
      <c r="M655" s="2">
        <v>10</v>
      </c>
      <c r="N655" s="2">
        <v>8</v>
      </c>
      <c r="O655" s="2">
        <v>20</v>
      </c>
      <c r="P655" s="2">
        <v>10</v>
      </c>
      <c r="Q655" s="2" t="s">
        <v>1709</v>
      </c>
      <c r="R655" s="2" t="s">
        <v>199</v>
      </c>
      <c r="S655" s="4">
        <v>44837</v>
      </c>
    </row>
    <row r="656" spans="1:19" ht="12.5" x14ac:dyDescent="0.25">
      <c r="A656" s="14" t="str">
        <f>HYPERLINK("https://gerandofalcoes.my.salesforce.com/0014P00003SGWQ0QAP", "0014P00003SGWQ0QAP")</f>
        <v>0014P00003SGWQ0QAP</v>
      </c>
      <c r="B656" s="2" t="s">
        <v>201</v>
      </c>
      <c r="C656" s="2" t="s">
        <v>423</v>
      </c>
      <c r="D656" s="2" t="s">
        <v>2</v>
      </c>
      <c r="E656" s="2">
        <v>39</v>
      </c>
      <c r="F656" s="2">
        <v>6</v>
      </c>
      <c r="G656" s="2">
        <v>3</v>
      </c>
      <c r="H656" s="2">
        <v>24338140</v>
      </c>
      <c r="I656" s="2">
        <v>90</v>
      </c>
      <c r="J656" s="2" t="s">
        <v>1650</v>
      </c>
      <c r="K656" s="2">
        <v>68</v>
      </c>
      <c r="L656" s="2">
        <v>15</v>
      </c>
      <c r="M656" s="2">
        <v>10</v>
      </c>
      <c r="N656" s="2">
        <v>8</v>
      </c>
      <c r="O656" s="2">
        <v>25</v>
      </c>
      <c r="P656" s="2">
        <v>10</v>
      </c>
      <c r="Q656" s="2" t="s">
        <v>202</v>
      </c>
      <c r="R656" s="2" t="s">
        <v>1077</v>
      </c>
      <c r="S656" s="4">
        <v>44837</v>
      </c>
    </row>
    <row r="657" spans="1:19" ht="12.5" x14ac:dyDescent="0.25">
      <c r="A657" s="14" t="str">
        <f>HYPERLINK("https://gerandofalcoes.my.salesforce.com/0014P00003SGWQ1QAP", "0014P00003SGWQ1QAP")</f>
        <v>0014P00003SGWQ1QAP</v>
      </c>
      <c r="B657" s="2" t="s">
        <v>205</v>
      </c>
      <c r="C657" s="2" t="s">
        <v>423</v>
      </c>
      <c r="D657" s="2" t="s">
        <v>2</v>
      </c>
      <c r="E657" s="2">
        <v>30</v>
      </c>
      <c r="F657" s="2">
        <v>6</v>
      </c>
      <c r="G657" s="2">
        <v>2</v>
      </c>
      <c r="H657" s="2">
        <v>926170</v>
      </c>
      <c r="I657" s="2">
        <v>600</v>
      </c>
      <c r="J657" s="2" t="s">
        <v>1650</v>
      </c>
      <c r="K657" s="2">
        <v>76</v>
      </c>
      <c r="L657" s="2">
        <v>15</v>
      </c>
      <c r="M657" s="2">
        <v>10</v>
      </c>
      <c r="N657" s="2">
        <v>6</v>
      </c>
      <c r="O657" s="2">
        <v>25</v>
      </c>
      <c r="P657" s="2">
        <v>20</v>
      </c>
      <c r="Q657" s="2" t="s">
        <v>206</v>
      </c>
      <c r="R657" s="2" t="s">
        <v>2090</v>
      </c>
      <c r="S657" s="4">
        <v>44837</v>
      </c>
    </row>
    <row r="658" spans="1:19" ht="12.5" x14ac:dyDescent="0.25">
      <c r="A658" s="14" t="str">
        <f>HYPERLINK("https://gerandofalcoes.my.salesforce.com/0014P00003SGWQ2QAP", "0014P00003SGWQ2QAP")</f>
        <v>0014P00003SGWQ2QAP</v>
      </c>
      <c r="B658" s="2" t="s">
        <v>194</v>
      </c>
      <c r="C658" s="2" t="s">
        <v>423</v>
      </c>
      <c r="D658" s="2" t="s">
        <v>2</v>
      </c>
      <c r="E658" s="2">
        <v>28.78</v>
      </c>
      <c r="F658" s="2">
        <v>0</v>
      </c>
      <c r="G658" s="2">
        <v>3</v>
      </c>
      <c r="H658" s="2">
        <v>0</v>
      </c>
      <c r="I658" s="2">
        <v>150</v>
      </c>
      <c r="J658" s="2" t="s">
        <v>1779</v>
      </c>
      <c r="K658" s="2">
        <v>35</v>
      </c>
      <c r="L658" s="2">
        <v>15</v>
      </c>
      <c r="M658" s="2">
        <v>0</v>
      </c>
      <c r="N658" s="2">
        <v>8</v>
      </c>
      <c r="O658" s="2">
        <v>0</v>
      </c>
      <c r="P658" s="2">
        <v>12</v>
      </c>
      <c r="Q658" s="2" t="s">
        <v>195</v>
      </c>
      <c r="R658" s="2" t="s">
        <v>1128</v>
      </c>
      <c r="S658" s="4">
        <v>44837</v>
      </c>
    </row>
    <row r="659" spans="1:19" ht="12.5" x14ac:dyDescent="0.25">
      <c r="A659" s="14" t="str">
        <f>HYPERLINK("https://gerandofalcoes.my.salesforce.com/0014P00003YSp7RQAT", "0014P00003YSp7RQAT")</f>
        <v>0014P00003YSp7RQAT</v>
      </c>
      <c r="B659" s="2" t="s">
        <v>2272</v>
      </c>
      <c r="C659" s="2" t="s">
        <v>423</v>
      </c>
      <c r="D659" s="2" t="s">
        <v>2</v>
      </c>
      <c r="E659" s="2">
        <v>30</v>
      </c>
      <c r="F659" s="2">
        <v>1</v>
      </c>
      <c r="G659" s="2">
        <v>2</v>
      </c>
      <c r="H659" s="2">
        <v>25000</v>
      </c>
      <c r="I659" s="2">
        <v>60</v>
      </c>
      <c r="J659" s="2" t="s">
        <v>1671</v>
      </c>
      <c r="K659" s="2">
        <v>41</v>
      </c>
      <c r="L659" s="2">
        <v>15</v>
      </c>
      <c r="M659" s="2">
        <v>5</v>
      </c>
      <c r="N659" s="2">
        <v>6</v>
      </c>
      <c r="O659" s="2">
        <v>10</v>
      </c>
      <c r="P659" s="2">
        <v>5</v>
      </c>
      <c r="Q659" s="2" t="s">
        <v>2273</v>
      </c>
      <c r="R659" s="2" t="s">
        <v>2274</v>
      </c>
      <c r="S659" s="4">
        <v>44837</v>
      </c>
    </row>
    <row r="660" spans="1:19" ht="12.5" x14ac:dyDescent="0.25">
      <c r="A660" s="14" t="str">
        <f>HYPERLINK("https://gerandofalcoes.my.salesforce.com/0014P00003YSp7SQAT", "0014P00003YSp7SQAT")</f>
        <v>0014P00003YSp7SQAT</v>
      </c>
      <c r="B660" s="2" t="s">
        <v>2619</v>
      </c>
      <c r="C660" s="2" t="s">
        <v>423</v>
      </c>
      <c r="D660" s="2" t="s">
        <v>2</v>
      </c>
      <c r="E660" s="2">
        <v>25</v>
      </c>
      <c r="F660" s="2">
        <v>0</v>
      </c>
      <c r="G660" s="2">
        <v>4</v>
      </c>
      <c r="H660" s="2">
        <v>39200</v>
      </c>
      <c r="I660" s="2">
        <v>1</v>
      </c>
      <c r="J660" s="2" t="s">
        <v>1671</v>
      </c>
      <c r="K660" s="2">
        <v>40</v>
      </c>
      <c r="L660" s="2">
        <v>15</v>
      </c>
      <c r="M660" s="2">
        <v>0</v>
      </c>
      <c r="N660" s="2">
        <v>10</v>
      </c>
      <c r="O660" s="2">
        <v>10</v>
      </c>
      <c r="P660" s="2">
        <v>5</v>
      </c>
      <c r="Q660" s="2" t="s">
        <v>2620</v>
      </c>
      <c r="R660" s="2" t="s">
        <v>2621</v>
      </c>
      <c r="S660" s="4">
        <v>44837</v>
      </c>
    </row>
    <row r="661" spans="1:19" ht="12.5" hidden="1" x14ac:dyDescent="0.25">
      <c r="A661" s="14" t="str">
        <f>HYPERLINK("https://gerandofalcoes.my.salesforce.com/0014P00003YSp7TQAT", "0014P00003YSp7TQAT")</f>
        <v>0014P00003YSp7TQAT</v>
      </c>
      <c r="B661" s="2" t="s">
        <v>2614</v>
      </c>
      <c r="C661" s="2" t="s">
        <v>1800</v>
      </c>
      <c r="D661" s="2" t="s">
        <v>2</v>
      </c>
      <c r="E661" s="2">
        <v>19</v>
      </c>
      <c r="F661" s="2">
        <v>0</v>
      </c>
      <c r="G661" s="2">
        <v>0</v>
      </c>
      <c r="H661" s="2">
        <v>0</v>
      </c>
      <c r="I661" s="2">
        <v>0</v>
      </c>
      <c r="J661" s="2" t="s">
        <v>1779</v>
      </c>
      <c r="K661" s="2">
        <v>10</v>
      </c>
      <c r="L661" s="2">
        <v>10</v>
      </c>
      <c r="M661" s="2">
        <v>0</v>
      </c>
      <c r="N661" s="2">
        <v>0</v>
      </c>
      <c r="O661" s="2">
        <v>0</v>
      </c>
      <c r="P661" s="2">
        <v>0</v>
      </c>
      <c r="Q661" s="2" t="s">
        <v>2615</v>
      </c>
      <c r="R661" s="2" t="s">
        <v>2615</v>
      </c>
      <c r="S661" s="4">
        <v>44837</v>
      </c>
    </row>
    <row r="662" spans="1:19" ht="12.5" hidden="1" x14ac:dyDescent="0.25">
      <c r="A662" s="14" t="str">
        <f>HYPERLINK("https://gerandofalcoes.my.salesforce.com/0014P00003YSp7UQAT", "0014P00003YSp7UQAT")</f>
        <v>0014P00003YSp7UQAT</v>
      </c>
      <c r="B662" s="2" t="s">
        <v>2098</v>
      </c>
      <c r="C662" s="2" t="s">
        <v>1800</v>
      </c>
      <c r="D662" s="2" t="s">
        <v>2</v>
      </c>
      <c r="E662" s="2">
        <v>35</v>
      </c>
      <c r="F662" s="2">
        <v>3</v>
      </c>
      <c r="G662" s="2">
        <v>0</v>
      </c>
      <c r="H662" s="2">
        <v>11000</v>
      </c>
      <c r="I662" s="2">
        <v>200</v>
      </c>
      <c r="J662" s="2" t="s">
        <v>1779</v>
      </c>
      <c r="K662" s="2">
        <v>37</v>
      </c>
      <c r="L662" s="2">
        <v>15</v>
      </c>
      <c r="M662" s="2">
        <v>5</v>
      </c>
      <c r="N662" s="2">
        <v>0</v>
      </c>
      <c r="O662" s="2">
        <v>5</v>
      </c>
      <c r="P662" s="2">
        <v>12</v>
      </c>
      <c r="Q662" s="2" t="s">
        <v>2099</v>
      </c>
      <c r="R662" s="2" t="s">
        <v>2099</v>
      </c>
      <c r="S662" s="4">
        <v>44837</v>
      </c>
    </row>
    <row r="663" spans="1:19" ht="12.5" x14ac:dyDescent="0.25">
      <c r="A663" s="14" t="str">
        <f>HYPERLINK("https://gerandofalcoes.my.salesforce.com/0014P00003YSp7VQAT", "0014P00003YSp7VQAT")</f>
        <v>0014P00003YSp7VQAT</v>
      </c>
      <c r="B663" s="2" t="s">
        <v>2546</v>
      </c>
      <c r="C663" s="2" t="s">
        <v>423</v>
      </c>
      <c r="D663" s="2" t="s">
        <v>2</v>
      </c>
      <c r="E663" s="2">
        <v>20.14</v>
      </c>
      <c r="F663" s="2">
        <v>0</v>
      </c>
      <c r="G663" s="2">
        <v>2</v>
      </c>
      <c r="H663" s="2">
        <v>12700</v>
      </c>
      <c r="I663" s="2">
        <v>50</v>
      </c>
      <c r="J663" s="2" t="s">
        <v>1779</v>
      </c>
      <c r="K663" s="2">
        <v>26</v>
      </c>
      <c r="L663" s="2">
        <v>10</v>
      </c>
      <c r="M663" s="2">
        <v>0</v>
      </c>
      <c r="N663" s="2">
        <v>6</v>
      </c>
      <c r="O663" s="2">
        <v>5</v>
      </c>
      <c r="P663" s="2">
        <v>5</v>
      </c>
      <c r="Q663" s="2" t="s">
        <v>2547</v>
      </c>
      <c r="R663" s="2" t="s">
        <v>2548</v>
      </c>
      <c r="S663" s="4">
        <v>44837</v>
      </c>
    </row>
    <row r="664" spans="1:19" ht="12.5" x14ac:dyDescent="0.25">
      <c r="A664" s="14" t="str">
        <f>HYPERLINK("https://gerandofalcoes.my.salesforce.com/0014P00003YSp7XQAT", "0014P00003YSp7XQAT")</f>
        <v>0014P00003YSp7XQAT</v>
      </c>
      <c r="B664" s="2" t="s">
        <v>2511</v>
      </c>
      <c r="C664" s="2" t="s">
        <v>423</v>
      </c>
      <c r="D664" s="2" t="s">
        <v>2</v>
      </c>
      <c r="E664" s="2">
        <v>21</v>
      </c>
      <c r="F664" s="2">
        <v>0</v>
      </c>
      <c r="G664" s="2">
        <v>3</v>
      </c>
      <c r="H664" s="2">
        <v>8200</v>
      </c>
      <c r="I664" s="2">
        <v>109</v>
      </c>
      <c r="J664" s="2" t="s">
        <v>1779</v>
      </c>
      <c r="K664" s="2">
        <v>33</v>
      </c>
      <c r="L664" s="2">
        <v>10</v>
      </c>
      <c r="M664" s="2">
        <v>0</v>
      </c>
      <c r="N664" s="2">
        <v>8</v>
      </c>
      <c r="O664" s="2">
        <v>5</v>
      </c>
      <c r="P664" s="2">
        <v>10</v>
      </c>
      <c r="Q664" s="2" t="s">
        <v>2512</v>
      </c>
      <c r="R664" s="2" t="s">
        <v>2513</v>
      </c>
      <c r="S664" s="4">
        <v>44837</v>
      </c>
    </row>
    <row r="665" spans="1:19" ht="12.5" hidden="1" x14ac:dyDescent="0.25">
      <c r="A665" s="14" t="str">
        <f>HYPERLINK("https://gerandofalcoes.my.salesforce.com/0014P00003YSp7YQAT", "0014P00003YSp7YQAT")</f>
        <v>0014P00003YSp7YQAT</v>
      </c>
      <c r="B665" s="2" t="s">
        <v>2001</v>
      </c>
      <c r="C665" s="2" t="s">
        <v>1684</v>
      </c>
      <c r="D665" s="2" t="s">
        <v>2</v>
      </c>
      <c r="E665" s="2">
        <v>39</v>
      </c>
      <c r="F665" s="2">
        <v>1</v>
      </c>
      <c r="G665" s="2">
        <v>0</v>
      </c>
      <c r="H665" s="2">
        <v>0</v>
      </c>
      <c r="I665" s="2">
        <v>0</v>
      </c>
      <c r="J665" s="2" t="s">
        <v>1779</v>
      </c>
      <c r="K665" s="2">
        <v>20</v>
      </c>
      <c r="L665" s="2">
        <v>15</v>
      </c>
      <c r="M665" s="2">
        <v>5</v>
      </c>
      <c r="N665" s="2">
        <v>0</v>
      </c>
      <c r="O665" s="2">
        <v>0</v>
      </c>
      <c r="P665" s="2">
        <v>0</v>
      </c>
      <c r="Q665" s="2" t="s">
        <v>2002</v>
      </c>
      <c r="R665" s="2" t="s">
        <v>2003</v>
      </c>
      <c r="S665" s="4">
        <v>44837</v>
      </c>
    </row>
    <row r="666" spans="1:19" ht="12.5" x14ac:dyDescent="0.25">
      <c r="A666" s="14" t="str">
        <f>HYPERLINK("https://gerandofalcoes.my.salesforce.com/0014X00002VKCq2QAH", "0014X00002VKCq2QAH")</f>
        <v>0014X00002VKCq2QAH</v>
      </c>
      <c r="B666" s="2" t="s">
        <v>2390</v>
      </c>
      <c r="C666" s="2" t="s">
        <v>423</v>
      </c>
      <c r="D666" s="2" t="s">
        <v>2</v>
      </c>
      <c r="E666" s="2">
        <v>25.27</v>
      </c>
      <c r="F666" s="2">
        <v>0</v>
      </c>
      <c r="G666" s="2">
        <v>0</v>
      </c>
      <c r="H666" s="2">
        <v>0</v>
      </c>
      <c r="I666" s="2">
        <v>312</v>
      </c>
      <c r="J666" s="2" t="s">
        <v>1779</v>
      </c>
      <c r="K666" s="2">
        <v>30</v>
      </c>
      <c r="L666" s="2">
        <v>15</v>
      </c>
      <c r="M666" s="2">
        <v>0</v>
      </c>
      <c r="N666" s="2">
        <v>0</v>
      </c>
      <c r="O666" s="2">
        <v>0</v>
      </c>
      <c r="P666" s="2">
        <v>15</v>
      </c>
      <c r="Q666" s="2" t="s">
        <v>2391</v>
      </c>
      <c r="R666" s="2" t="s">
        <v>2392</v>
      </c>
      <c r="S666" s="4">
        <v>44837</v>
      </c>
    </row>
    <row r="667" spans="1:19" ht="12.5" x14ac:dyDescent="0.25">
      <c r="A667" s="14" t="str">
        <f>HYPERLINK("https://gerandofalcoes.my.salesforce.com/0014X00002VKCsGQAX", "0014X00002VKCsGQAX")</f>
        <v>0014X00002VKCsGQAX</v>
      </c>
      <c r="B667" s="2" t="s">
        <v>2657</v>
      </c>
      <c r="C667" s="2" t="s">
        <v>423</v>
      </c>
      <c r="D667" s="2" t="s">
        <v>2</v>
      </c>
      <c r="E667" s="2">
        <v>17</v>
      </c>
      <c r="F667" s="2">
        <v>0</v>
      </c>
      <c r="G667" s="2">
        <v>2</v>
      </c>
      <c r="H667" s="2">
        <v>50</v>
      </c>
      <c r="I667" s="2">
        <v>100</v>
      </c>
      <c r="J667" s="2" t="s">
        <v>1779</v>
      </c>
      <c r="K667" s="2">
        <v>31</v>
      </c>
      <c r="L667" s="2">
        <v>10</v>
      </c>
      <c r="M667" s="2">
        <v>0</v>
      </c>
      <c r="N667" s="2">
        <v>6</v>
      </c>
      <c r="O667" s="2">
        <v>5</v>
      </c>
      <c r="P667" s="2">
        <v>10</v>
      </c>
      <c r="Q667" s="2" t="s">
        <v>2658</v>
      </c>
      <c r="R667" s="2" t="s">
        <v>2659</v>
      </c>
      <c r="S667" s="4">
        <v>44837</v>
      </c>
    </row>
    <row r="668" spans="1:19" ht="12.5" hidden="1" x14ac:dyDescent="0.25">
      <c r="A668" s="14" t="str">
        <f>HYPERLINK("https://gerandofalcoes.my.salesforce.com/0014X00002VKCuhQAH", "0014X00002VKCuhQAH")</f>
        <v>0014X00002VKCuhQAH</v>
      </c>
      <c r="B668" s="2" t="s">
        <v>2423</v>
      </c>
      <c r="C668" s="2" t="s">
        <v>1800</v>
      </c>
      <c r="D668" s="2" t="s">
        <v>2</v>
      </c>
      <c r="E668" s="2">
        <v>25</v>
      </c>
      <c r="F668" s="2">
        <v>0</v>
      </c>
      <c r="G668" s="2">
        <v>3</v>
      </c>
      <c r="H668" s="2">
        <v>12000</v>
      </c>
      <c r="I668" s="2">
        <v>0</v>
      </c>
      <c r="J668" s="2" t="s">
        <v>1779</v>
      </c>
      <c r="K668" s="2">
        <v>28</v>
      </c>
      <c r="L668" s="2">
        <v>15</v>
      </c>
      <c r="M668" s="2">
        <v>0</v>
      </c>
      <c r="N668" s="2">
        <v>8</v>
      </c>
      <c r="O668" s="2">
        <v>5</v>
      </c>
      <c r="P668" s="2">
        <v>0</v>
      </c>
      <c r="Q668" s="2" t="s">
        <v>2424</v>
      </c>
      <c r="R668" s="2" t="s">
        <v>2424</v>
      </c>
      <c r="S668" s="4">
        <v>44837</v>
      </c>
    </row>
    <row r="669" spans="1:19" ht="12.5" x14ac:dyDescent="0.25">
      <c r="A669" s="14" t="str">
        <f>HYPERLINK("https://gerandofalcoes.my.salesforce.com/0014X00002VKCp6QAH", "0014X00002VKCp6QAH")</f>
        <v>0014X00002VKCp6QAH</v>
      </c>
      <c r="B669" s="2" t="s">
        <v>2256</v>
      </c>
      <c r="C669" s="2" t="s">
        <v>423</v>
      </c>
      <c r="D669" s="2" t="s">
        <v>2</v>
      </c>
      <c r="E669" s="2">
        <v>30.75</v>
      </c>
      <c r="F669" s="2">
        <v>0</v>
      </c>
      <c r="G669" s="2">
        <v>1</v>
      </c>
      <c r="H669" s="2">
        <v>155845</v>
      </c>
      <c r="I669" s="2">
        <v>50</v>
      </c>
      <c r="J669" s="2" t="s">
        <v>1779</v>
      </c>
      <c r="K669" s="2">
        <v>39</v>
      </c>
      <c r="L669" s="2">
        <v>15</v>
      </c>
      <c r="M669" s="2">
        <v>0</v>
      </c>
      <c r="N669" s="2">
        <v>4</v>
      </c>
      <c r="O669" s="2">
        <v>15</v>
      </c>
      <c r="P669" s="2">
        <v>5</v>
      </c>
      <c r="Q669" s="2" t="s">
        <v>2257</v>
      </c>
      <c r="R669" s="2" t="s">
        <v>2258</v>
      </c>
      <c r="S669" s="4">
        <v>44837</v>
      </c>
    </row>
    <row r="670" spans="1:19" ht="12.5" x14ac:dyDescent="0.25">
      <c r="A670" s="14" t="str">
        <f>HYPERLINK("https://gerandofalcoes.my.salesforce.com/0014X00002VKCuLQAX", "0014X00002VKCuLQAX")</f>
        <v>0014X00002VKCuLQAX</v>
      </c>
      <c r="B670" s="2" t="s">
        <v>2950</v>
      </c>
      <c r="C670" s="2" t="s">
        <v>423</v>
      </c>
      <c r="D670" s="2" t="s">
        <v>2</v>
      </c>
      <c r="E670" s="2">
        <v>24</v>
      </c>
      <c r="F670" s="2">
        <v>0</v>
      </c>
      <c r="G670" s="2">
        <v>2</v>
      </c>
      <c r="H670" s="2">
        <v>5000</v>
      </c>
      <c r="I670" s="2">
        <v>130</v>
      </c>
      <c r="J670" s="2" t="s">
        <v>1779</v>
      </c>
      <c r="K670" s="2">
        <v>31</v>
      </c>
      <c r="L670" s="2">
        <v>10</v>
      </c>
      <c r="M670" s="2">
        <v>0</v>
      </c>
      <c r="N670" s="2">
        <v>6</v>
      </c>
      <c r="O670" s="2">
        <v>5</v>
      </c>
      <c r="P670" s="2">
        <v>10</v>
      </c>
      <c r="Q670" s="2" t="s">
        <v>2951</v>
      </c>
      <c r="R670" s="2" t="s">
        <v>2951</v>
      </c>
      <c r="S670" s="4">
        <v>44837</v>
      </c>
    </row>
    <row r="671" spans="1:19" ht="12.5" x14ac:dyDescent="0.25">
      <c r="A671" s="14" t="str">
        <f>HYPERLINK("https://gerandofalcoes.my.salesforce.com/0014X00002VKCpFQAX", "0014X00002VKCpFQAX")</f>
        <v>0014X00002VKCpFQAX</v>
      </c>
      <c r="B671" s="2" t="s">
        <v>2757</v>
      </c>
      <c r="C671" s="2" t="s">
        <v>423</v>
      </c>
      <c r="D671" s="2" t="s">
        <v>2</v>
      </c>
      <c r="E671" s="2">
        <v>14</v>
      </c>
      <c r="F671" s="2">
        <v>0</v>
      </c>
      <c r="G671" s="2">
        <v>2</v>
      </c>
      <c r="H671" s="2">
        <v>5000</v>
      </c>
      <c r="I671" s="2">
        <v>30</v>
      </c>
      <c r="J671" s="2" t="s">
        <v>1779</v>
      </c>
      <c r="K671" s="2">
        <v>26</v>
      </c>
      <c r="L671" s="2">
        <v>10</v>
      </c>
      <c r="M671" s="2">
        <v>0</v>
      </c>
      <c r="N671" s="2">
        <v>6</v>
      </c>
      <c r="O671" s="2">
        <v>5</v>
      </c>
      <c r="P671" s="2">
        <v>5</v>
      </c>
      <c r="Q671" s="2" t="s">
        <v>2758</v>
      </c>
      <c r="R671" s="2" t="s">
        <v>2758</v>
      </c>
      <c r="S671" s="4">
        <v>44837</v>
      </c>
    </row>
    <row r="672" spans="1:19" ht="12.5" x14ac:dyDescent="0.25">
      <c r="A672" s="14" t="str">
        <f>HYPERLINK("https://gerandofalcoes.my.salesforce.com/0014X00002VKCt0QAH", "0014X00002VKCt0QAH")</f>
        <v>0014X00002VKCt0QAH</v>
      </c>
      <c r="B672" s="2" t="s">
        <v>1975</v>
      </c>
      <c r="C672" s="2" t="s">
        <v>423</v>
      </c>
      <c r="D672" s="2" t="s">
        <v>2</v>
      </c>
      <c r="E672" s="2">
        <v>53</v>
      </c>
      <c r="F672" s="2">
        <v>0</v>
      </c>
      <c r="G672" s="2">
        <v>4</v>
      </c>
      <c r="H672" s="2">
        <v>124243</v>
      </c>
      <c r="I672" s="2">
        <v>50</v>
      </c>
      <c r="J672" s="2" t="s">
        <v>1671</v>
      </c>
      <c r="K672" s="2">
        <v>50</v>
      </c>
      <c r="L672" s="2">
        <v>20</v>
      </c>
      <c r="M672" s="2">
        <v>0</v>
      </c>
      <c r="N672" s="2">
        <v>10</v>
      </c>
      <c r="O672" s="2">
        <v>15</v>
      </c>
      <c r="P672" s="2">
        <v>5</v>
      </c>
      <c r="Q672" s="2" t="s">
        <v>1976</v>
      </c>
      <c r="R672" s="2" t="s">
        <v>1976</v>
      </c>
      <c r="S672" s="4">
        <v>44837</v>
      </c>
    </row>
    <row r="673" spans="1:19" ht="12.5" x14ac:dyDescent="0.25">
      <c r="A673" s="14" t="str">
        <f>HYPERLINK("https://gerandofalcoes.my.salesforce.com/0014X00002VKCv4QAH", "0014X00002VKCv4QAH")</f>
        <v>0014X00002VKCv4QAH</v>
      </c>
      <c r="B673" s="2" t="s">
        <v>1788</v>
      </c>
      <c r="C673" s="2" t="s">
        <v>423</v>
      </c>
      <c r="D673" s="2" t="s">
        <v>2</v>
      </c>
      <c r="E673" s="2">
        <v>56</v>
      </c>
      <c r="F673" s="2">
        <v>1</v>
      </c>
      <c r="G673" s="2">
        <v>2</v>
      </c>
      <c r="H673" s="2">
        <v>63500</v>
      </c>
      <c r="I673" s="2">
        <v>74</v>
      </c>
      <c r="J673" s="2" t="s">
        <v>1671</v>
      </c>
      <c r="K673" s="2">
        <v>46</v>
      </c>
      <c r="L673" s="2">
        <v>20</v>
      </c>
      <c r="M673" s="2">
        <v>5</v>
      </c>
      <c r="N673" s="2">
        <v>6</v>
      </c>
      <c r="O673" s="2">
        <v>10</v>
      </c>
      <c r="P673" s="2">
        <v>5</v>
      </c>
      <c r="Q673" s="2" t="s">
        <v>1789</v>
      </c>
      <c r="R673" s="2" t="s">
        <v>1790</v>
      </c>
      <c r="S673" s="4">
        <v>44837</v>
      </c>
    </row>
    <row r="674" spans="1:19" ht="12.5" x14ac:dyDescent="0.25">
      <c r="A674" s="14" t="str">
        <f>HYPERLINK("https://gerandofalcoes.my.salesforce.com/0014X00002VKCpzQAH", "0014X00002VKCpzQAH")</f>
        <v>0014X00002VKCpzQAH</v>
      </c>
      <c r="B674" s="2" t="s">
        <v>2346</v>
      </c>
      <c r="C674" s="2" t="s">
        <v>423</v>
      </c>
      <c r="D674" s="2" t="s">
        <v>2</v>
      </c>
      <c r="E674" s="2">
        <v>27.04</v>
      </c>
      <c r="F674" s="2">
        <v>0</v>
      </c>
      <c r="G674" s="2">
        <v>2</v>
      </c>
      <c r="H674" s="2">
        <v>38315</v>
      </c>
      <c r="I674" s="2">
        <v>120</v>
      </c>
      <c r="J674" s="2" t="s">
        <v>1671</v>
      </c>
      <c r="K674" s="2">
        <v>41</v>
      </c>
      <c r="L674" s="2">
        <v>15</v>
      </c>
      <c r="M674" s="2">
        <v>0</v>
      </c>
      <c r="N674" s="2">
        <v>6</v>
      </c>
      <c r="O674" s="2">
        <v>10</v>
      </c>
      <c r="P674" s="2">
        <v>10</v>
      </c>
      <c r="Q674" s="2" t="s">
        <v>2347</v>
      </c>
      <c r="R674" s="2" t="s">
        <v>2348</v>
      </c>
      <c r="S674" s="4">
        <v>44837</v>
      </c>
    </row>
    <row r="675" spans="1:19" ht="12.5" x14ac:dyDescent="0.25">
      <c r="A675" s="14" t="str">
        <f>HYPERLINK("https://gerandofalcoes.my.salesforce.com/0014X00002VKCtuQAH", "0014X00002VKCtuQAH")</f>
        <v>0014X00002VKCtuQAH</v>
      </c>
      <c r="B675" s="2" t="s">
        <v>2768</v>
      </c>
      <c r="C675" s="2" t="s">
        <v>423</v>
      </c>
      <c r="D675" s="2" t="s">
        <v>2</v>
      </c>
      <c r="E675" s="2">
        <v>38</v>
      </c>
      <c r="F675" s="2">
        <v>0</v>
      </c>
      <c r="G675" s="2">
        <v>2</v>
      </c>
      <c r="H675" s="2">
        <v>254344</v>
      </c>
      <c r="I675" s="2">
        <v>0</v>
      </c>
      <c r="J675" s="2" t="s">
        <v>1779</v>
      </c>
      <c r="K675" s="2">
        <v>36</v>
      </c>
      <c r="L675" s="2">
        <v>15</v>
      </c>
      <c r="M675" s="2">
        <v>0</v>
      </c>
      <c r="N675" s="2">
        <v>6</v>
      </c>
      <c r="O675" s="2">
        <v>15</v>
      </c>
      <c r="P675" s="2">
        <v>0</v>
      </c>
      <c r="Q675" s="2" t="s">
        <v>2769</v>
      </c>
      <c r="R675" s="2" t="s">
        <v>2770</v>
      </c>
      <c r="S675" s="4">
        <v>44837</v>
      </c>
    </row>
    <row r="676" spans="1:19" ht="12.5" x14ac:dyDescent="0.25">
      <c r="A676" s="14" t="str">
        <f>HYPERLINK("https://gerandofalcoes.my.salesforce.com/0014X00002VKCr8QAH", "0014X00002VKCr8QAH")</f>
        <v>0014X00002VKCr8QAH</v>
      </c>
      <c r="B676" s="2" t="s">
        <v>2830</v>
      </c>
      <c r="C676" s="2" t="s">
        <v>423</v>
      </c>
      <c r="D676" s="2" t="s">
        <v>2</v>
      </c>
      <c r="E676" s="2">
        <v>60</v>
      </c>
      <c r="F676" s="2">
        <v>9</v>
      </c>
      <c r="G676" s="2">
        <v>3</v>
      </c>
      <c r="H676" s="2">
        <v>56000000</v>
      </c>
      <c r="I676" s="2">
        <v>0</v>
      </c>
      <c r="J676" s="2" t="s">
        <v>1671</v>
      </c>
      <c r="K676" s="2">
        <v>63</v>
      </c>
      <c r="L676" s="2">
        <v>20</v>
      </c>
      <c r="M676" s="2">
        <v>10</v>
      </c>
      <c r="N676" s="2">
        <v>8</v>
      </c>
      <c r="O676" s="2">
        <v>25</v>
      </c>
      <c r="P676" s="2">
        <v>0</v>
      </c>
      <c r="Q676" s="2" t="s">
        <v>2831</v>
      </c>
      <c r="R676" s="2" t="s">
        <v>2831</v>
      </c>
      <c r="S676" s="4">
        <v>44837</v>
      </c>
    </row>
    <row r="677" spans="1:19" ht="12.5" x14ac:dyDescent="0.25">
      <c r="A677" s="14" t="str">
        <f>HYPERLINK("https://gerandofalcoes.my.salesforce.com/0014X00002VKCr4QAH", "0014X00002VKCr4QAH")</f>
        <v>0014X00002VKCr4QAH</v>
      </c>
      <c r="B677" s="2" t="s">
        <v>2026</v>
      </c>
      <c r="C677" s="2" t="s">
        <v>423</v>
      </c>
      <c r="D677" s="2" t="s">
        <v>2</v>
      </c>
      <c r="E677" s="2">
        <v>47</v>
      </c>
      <c r="F677" s="2">
        <v>12</v>
      </c>
      <c r="G677" s="2">
        <v>5</v>
      </c>
      <c r="H677" s="2">
        <v>414092</v>
      </c>
      <c r="I677" s="2">
        <v>327</v>
      </c>
      <c r="J677" s="2" t="s">
        <v>1650</v>
      </c>
      <c r="K677" s="2">
        <v>72</v>
      </c>
      <c r="L677" s="2">
        <v>15</v>
      </c>
      <c r="M677" s="2">
        <v>12</v>
      </c>
      <c r="N677" s="2">
        <v>10</v>
      </c>
      <c r="O677" s="2">
        <v>20</v>
      </c>
      <c r="P677" s="2">
        <v>15</v>
      </c>
      <c r="Q677" s="2" t="s">
        <v>2027</v>
      </c>
      <c r="R677" s="2" t="s">
        <v>2027</v>
      </c>
      <c r="S677" s="4">
        <v>44837</v>
      </c>
    </row>
    <row r="678" spans="1:19" ht="12.5" x14ac:dyDescent="0.25">
      <c r="A678" s="14" t="str">
        <f>HYPERLINK("https://gerandofalcoes.my.salesforce.com/0014X00002VKCrlQAH", "0014X00002VKCrlQAH")</f>
        <v>0014X00002VKCrlQAH</v>
      </c>
      <c r="B678" s="2" t="s">
        <v>1850</v>
      </c>
      <c r="C678" s="2" t="s">
        <v>423</v>
      </c>
      <c r="D678" s="2" t="s">
        <v>2</v>
      </c>
      <c r="E678" s="2">
        <v>48</v>
      </c>
      <c r="F678" s="2">
        <v>0</v>
      </c>
      <c r="G678" s="2">
        <v>2</v>
      </c>
      <c r="H678" s="2">
        <v>30000</v>
      </c>
      <c r="I678" s="2">
        <v>30</v>
      </c>
      <c r="J678" s="2" t="s">
        <v>1779</v>
      </c>
      <c r="K678" s="2">
        <v>36</v>
      </c>
      <c r="L678" s="2">
        <v>15</v>
      </c>
      <c r="M678" s="2">
        <v>0</v>
      </c>
      <c r="N678" s="2">
        <v>6</v>
      </c>
      <c r="O678" s="2">
        <v>10</v>
      </c>
      <c r="P678" s="2">
        <v>5</v>
      </c>
      <c r="Q678" s="2" t="s">
        <v>1851</v>
      </c>
      <c r="R678" s="2" t="s">
        <v>1851</v>
      </c>
      <c r="S678" s="4">
        <v>44837</v>
      </c>
    </row>
    <row r="679" spans="1:19" ht="12.5" x14ac:dyDescent="0.25">
      <c r="A679" s="14" t="str">
        <f>HYPERLINK("https://gerandofalcoes.my.salesforce.com/0014X00002VKCpbQAH", "0014X00002VKCpbQAH")</f>
        <v>0014X00002VKCpbQAH</v>
      </c>
      <c r="B679" s="2" t="s">
        <v>1913</v>
      </c>
      <c r="C679" s="2" t="s">
        <v>423</v>
      </c>
      <c r="D679" s="2" t="s">
        <v>2</v>
      </c>
      <c r="E679" s="2">
        <v>43</v>
      </c>
      <c r="F679" s="2">
        <v>20</v>
      </c>
      <c r="G679" s="2">
        <v>3</v>
      </c>
      <c r="H679" s="2">
        <v>2000</v>
      </c>
      <c r="I679" s="2">
        <v>25</v>
      </c>
      <c r="J679" s="2" t="s">
        <v>1671</v>
      </c>
      <c r="K679" s="2">
        <v>45</v>
      </c>
      <c r="L679" s="2">
        <v>15</v>
      </c>
      <c r="M679" s="2">
        <v>12</v>
      </c>
      <c r="N679" s="2">
        <v>8</v>
      </c>
      <c r="O679" s="2">
        <v>5</v>
      </c>
      <c r="P679" s="2">
        <v>5</v>
      </c>
      <c r="Q679" s="2" t="s">
        <v>1914</v>
      </c>
      <c r="R679" s="2" t="s">
        <v>1914</v>
      </c>
      <c r="S679" s="4">
        <v>44837</v>
      </c>
    </row>
    <row r="680" spans="1:19" ht="12.5" x14ac:dyDescent="0.25">
      <c r="A680" s="14" t="str">
        <f>HYPERLINK("https://gerandofalcoes.my.salesforce.com/0014X00002VKCpYQAX", "0014X00002VKCpYQAX")</f>
        <v>0014X00002VKCpYQAX</v>
      </c>
      <c r="B680" s="2" t="s">
        <v>2328</v>
      </c>
      <c r="C680" s="2" t="s">
        <v>423</v>
      </c>
      <c r="D680" s="2" t="s">
        <v>2</v>
      </c>
      <c r="E680" s="2">
        <v>28</v>
      </c>
      <c r="F680" s="2">
        <v>0</v>
      </c>
      <c r="G680" s="2">
        <v>5</v>
      </c>
      <c r="H680" s="2">
        <v>4000</v>
      </c>
      <c r="I680" s="2">
        <v>30</v>
      </c>
      <c r="J680" s="2" t="s">
        <v>1779</v>
      </c>
      <c r="K680" s="2">
        <v>35</v>
      </c>
      <c r="L680" s="2">
        <v>15</v>
      </c>
      <c r="M680" s="2">
        <v>0</v>
      </c>
      <c r="N680" s="2">
        <v>10</v>
      </c>
      <c r="O680" s="2">
        <v>5</v>
      </c>
      <c r="P680" s="2">
        <v>5</v>
      </c>
      <c r="Q680" s="2" t="s">
        <v>2329</v>
      </c>
      <c r="R680" s="2" t="s">
        <v>2329</v>
      </c>
      <c r="S680" s="4">
        <v>44837</v>
      </c>
    </row>
    <row r="681" spans="1:19" ht="12.5" hidden="1" x14ac:dyDescent="0.25">
      <c r="A681" s="14" t="str">
        <f>HYPERLINK("https://gerandofalcoes.my.salesforce.com/0014X00002VKCuwQAH", "0014X00002VKCuwQAH")</f>
        <v>0014X00002VKCuwQAH</v>
      </c>
      <c r="B681" s="2" t="s">
        <v>2378</v>
      </c>
      <c r="C681" s="2" t="s">
        <v>1800</v>
      </c>
      <c r="D681" s="2" t="s">
        <v>2</v>
      </c>
      <c r="E681" s="2">
        <v>26</v>
      </c>
      <c r="F681" s="2">
        <v>0</v>
      </c>
      <c r="G681" s="2">
        <v>2</v>
      </c>
      <c r="H681" s="2">
        <v>50000</v>
      </c>
      <c r="I681" s="2">
        <v>0</v>
      </c>
      <c r="J681" s="2" t="s">
        <v>1779</v>
      </c>
      <c r="K681" s="2">
        <v>31</v>
      </c>
      <c r="L681" s="2">
        <v>15</v>
      </c>
      <c r="M681" s="2">
        <v>0</v>
      </c>
      <c r="N681" s="2">
        <v>6</v>
      </c>
      <c r="O681" s="2">
        <v>10</v>
      </c>
      <c r="P681" s="2">
        <v>0</v>
      </c>
      <c r="Q681" s="2" t="s">
        <v>2379</v>
      </c>
      <c r="R681" s="2" t="s">
        <v>2380</v>
      </c>
      <c r="S681" s="4">
        <v>44837</v>
      </c>
    </row>
    <row r="682" spans="1:19" ht="12.5" hidden="1" x14ac:dyDescent="0.25">
      <c r="A682" s="14" t="str">
        <f>HYPERLINK("https://gerandofalcoes.my.salesforce.com/0014X00002VKCugQAH", "0014X00002VKCugQAH")</f>
        <v>0014X00002VKCugQAH</v>
      </c>
      <c r="B682" s="2" t="s">
        <v>2935</v>
      </c>
      <c r="C682" s="2" t="s">
        <v>1800</v>
      </c>
      <c r="D682" s="2" t="s">
        <v>2</v>
      </c>
      <c r="E682" s="2">
        <v>6</v>
      </c>
      <c r="F682" s="2">
        <v>0</v>
      </c>
      <c r="G682" s="2">
        <v>2</v>
      </c>
      <c r="H682" s="2">
        <v>3000</v>
      </c>
      <c r="I682" s="2">
        <v>0</v>
      </c>
      <c r="J682" s="2" t="s">
        <v>1779</v>
      </c>
      <c r="K682" s="2">
        <v>21</v>
      </c>
      <c r="L682" s="2">
        <v>10</v>
      </c>
      <c r="M682" s="2">
        <v>0</v>
      </c>
      <c r="N682" s="2">
        <v>6</v>
      </c>
      <c r="O682" s="2">
        <v>5</v>
      </c>
      <c r="P682" s="2">
        <v>0</v>
      </c>
      <c r="Q682" s="2" t="s">
        <v>2936</v>
      </c>
      <c r="R682" s="2" t="s">
        <v>2937</v>
      </c>
      <c r="S682" s="4">
        <v>44837</v>
      </c>
    </row>
    <row r="683" spans="1:19" ht="12.5" x14ac:dyDescent="0.25">
      <c r="A683" s="14" t="str">
        <f>HYPERLINK("https://gerandofalcoes.my.salesforce.com/0014X00002VKCtDQAX", "0014X00002VKCtDQAX")</f>
        <v>0014X00002VKCtDQAX</v>
      </c>
      <c r="B683" s="2" t="s">
        <v>2955</v>
      </c>
      <c r="C683" s="2" t="s">
        <v>423</v>
      </c>
      <c r="D683" s="2" t="s">
        <v>2</v>
      </c>
      <c r="E683" s="2">
        <v>13</v>
      </c>
      <c r="F683" s="2">
        <v>5</v>
      </c>
      <c r="G683" s="2">
        <v>0</v>
      </c>
      <c r="H683" s="2">
        <v>0</v>
      </c>
      <c r="I683" s="2">
        <v>50</v>
      </c>
      <c r="J683" s="2" t="s">
        <v>1779</v>
      </c>
      <c r="K683" s="2">
        <v>20</v>
      </c>
      <c r="L683" s="2">
        <v>10</v>
      </c>
      <c r="M683" s="2">
        <v>5</v>
      </c>
      <c r="N683" s="2">
        <v>0</v>
      </c>
      <c r="O683" s="2">
        <v>0</v>
      </c>
      <c r="P683" s="2">
        <v>5</v>
      </c>
      <c r="Q683" s="2" t="s">
        <v>2956</v>
      </c>
      <c r="R683" s="2" t="s">
        <v>2957</v>
      </c>
      <c r="S683" s="4">
        <v>44837</v>
      </c>
    </row>
    <row r="684" spans="1:19" ht="12.5" hidden="1" x14ac:dyDescent="0.25">
      <c r="A684" s="14" t="str">
        <f>HYPERLINK("https://gerandofalcoes.my.salesforce.com/0014X00002VKCuVQAX", "0014X00002VKCuVQAX")</f>
        <v>0014X00002VKCuVQAX</v>
      </c>
      <c r="B684" s="2" t="s">
        <v>2675</v>
      </c>
      <c r="C684" s="2" t="s">
        <v>1800</v>
      </c>
      <c r="D684" s="2" t="s">
        <v>2</v>
      </c>
      <c r="E684" s="2">
        <v>17</v>
      </c>
      <c r="F684" s="2">
        <v>0</v>
      </c>
      <c r="G684" s="2">
        <v>2</v>
      </c>
      <c r="H684" s="2">
        <v>12000</v>
      </c>
      <c r="I684" s="2">
        <v>0</v>
      </c>
      <c r="J684" s="2" t="s">
        <v>1779</v>
      </c>
      <c r="K684" s="2">
        <v>21</v>
      </c>
      <c r="L684" s="2">
        <v>10</v>
      </c>
      <c r="M684" s="2">
        <v>0</v>
      </c>
      <c r="N684" s="2">
        <v>6</v>
      </c>
      <c r="O684" s="2">
        <v>5</v>
      </c>
      <c r="P684" s="2">
        <v>0</v>
      </c>
      <c r="Q684" s="2" t="s">
        <v>2676</v>
      </c>
      <c r="R684" s="2" t="s">
        <v>2676</v>
      </c>
      <c r="S684" s="4">
        <v>44837</v>
      </c>
    </row>
    <row r="685" spans="1:19" ht="12.5" hidden="1" x14ac:dyDescent="0.25">
      <c r="A685" s="14" t="str">
        <f>HYPERLINK("https://gerandofalcoes.my.salesforce.com/0014X00002VKCsoQAH", "0014X00002VKCsoQAH")</f>
        <v>0014X00002VKCsoQAH</v>
      </c>
      <c r="B685" s="2" t="s">
        <v>1885</v>
      </c>
      <c r="C685" s="2" t="s">
        <v>1684</v>
      </c>
      <c r="D685" s="2" t="s">
        <v>2</v>
      </c>
      <c r="E685" s="2">
        <v>44</v>
      </c>
      <c r="F685" s="2">
        <v>0</v>
      </c>
      <c r="G685" s="2">
        <v>5</v>
      </c>
      <c r="H685" s="2">
        <v>35000</v>
      </c>
      <c r="I685" s="2">
        <v>240</v>
      </c>
      <c r="J685" s="2" t="s">
        <v>1671</v>
      </c>
      <c r="K685" s="2">
        <v>47</v>
      </c>
      <c r="L685" s="2">
        <v>15</v>
      </c>
      <c r="M685" s="2">
        <v>0</v>
      </c>
      <c r="N685" s="2">
        <v>10</v>
      </c>
      <c r="O685" s="2">
        <v>10</v>
      </c>
      <c r="P685" s="2">
        <v>12</v>
      </c>
      <c r="Q685" s="2" t="s">
        <v>1886</v>
      </c>
      <c r="R685" s="2" t="s">
        <v>1886</v>
      </c>
      <c r="S685" s="4">
        <v>44837</v>
      </c>
    </row>
    <row r="686" spans="1:19" ht="12.5" hidden="1" x14ac:dyDescent="0.25">
      <c r="A686" s="14" t="str">
        <f>HYPERLINK("https://gerandofalcoes.my.salesforce.com/0014X00002VKCqzQAH", "0014X00002VKCqzQAH")</f>
        <v>0014X00002VKCqzQAH</v>
      </c>
      <c r="B686" s="2" t="s">
        <v>2490</v>
      </c>
      <c r="C686" s="2" t="s">
        <v>1800</v>
      </c>
      <c r="D686" s="2" t="s">
        <v>2</v>
      </c>
      <c r="E686" s="2">
        <v>22</v>
      </c>
      <c r="F686" s="2">
        <v>0</v>
      </c>
      <c r="G686" s="2">
        <v>3</v>
      </c>
      <c r="H686" s="2">
        <v>3000</v>
      </c>
      <c r="I686" s="2">
        <v>0</v>
      </c>
      <c r="J686" s="2" t="s">
        <v>1779</v>
      </c>
      <c r="K686" s="2">
        <v>23</v>
      </c>
      <c r="L686" s="2">
        <v>10</v>
      </c>
      <c r="M686" s="2">
        <v>0</v>
      </c>
      <c r="N686" s="2">
        <v>8</v>
      </c>
      <c r="O686" s="2">
        <v>5</v>
      </c>
      <c r="P686" s="2">
        <v>0</v>
      </c>
      <c r="Q686" s="2" t="s">
        <v>2491</v>
      </c>
      <c r="R686" s="2" t="s">
        <v>2491</v>
      </c>
      <c r="S686" s="4">
        <v>44837</v>
      </c>
    </row>
    <row r="687" spans="1:19" ht="12.5" hidden="1" x14ac:dyDescent="0.25">
      <c r="A687" s="14" t="str">
        <f>HYPERLINK("https://gerandofalcoes.my.salesforce.com/0014X00002VKCtAQAX", "0014X00002VKCtAQAX")</f>
        <v>0014X00002VKCtAQAX</v>
      </c>
      <c r="B687" s="2" t="s">
        <v>2267</v>
      </c>
      <c r="C687" s="2" t="s">
        <v>1800</v>
      </c>
      <c r="D687" s="2" t="s">
        <v>2</v>
      </c>
      <c r="E687" s="2">
        <v>30</v>
      </c>
      <c r="F687" s="2">
        <v>0</v>
      </c>
      <c r="G687" s="2">
        <v>3</v>
      </c>
      <c r="H687" s="2">
        <v>12000</v>
      </c>
      <c r="I687" s="2">
        <v>140</v>
      </c>
      <c r="J687" s="2" t="s">
        <v>1779</v>
      </c>
      <c r="K687" s="2">
        <v>38</v>
      </c>
      <c r="L687" s="2">
        <v>15</v>
      </c>
      <c r="M687" s="2">
        <v>0</v>
      </c>
      <c r="N687" s="2">
        <v>8</v>
      </c>
      <c r="O687" s="2">
        <v>5</v>
      </c>
      <c r="P687" s="2">
        <v>10</v>
      </c>
      <c r="Q687" s="2" t="s">
        <v>2268</v>
      </c>
      <c r="R687" s="2" t="s">
        <v>2269</v>
      </c>
      <c r="S687" s="4">
        <v>44837</v>
      </c>
    </row>
    <row r="688" spans="1:19" ht="12.5" x14ac:dyDescent="0.25">
      <c r="A688" s="14" t="str">
        <f>HYPERLINK("https://gerandofalcoes.my.salesforce.com/0014X00002YggkqQAB", "0014X00002YggkqQAB")</f>
        <v>0014X00002YggkqQAB</v>
      </c>
      <c r="B688" s="2" t="s">
        <v>3035</v>
      </c>
      <c r="C688" s="2" t="s">
        <v>423</v>
      </c>
      <c r="D688" s="2" t="s">
        <v>2</v>
      </c>
      <c r="E688" s="2"/>
      <c r="F688" s="2">
        <v>0</v>
      </c>
      <c r="G688" s="2">
        <v>3</v>
      </c>
      <c r="H688" s="2">
        <v>11000</v>
      </c>
      <c r="I688" s="2">
        <v>530</v>
      </c>
      <c r="J688" s="2"/>
      <c r="K688" s="2">
        <v>33</v>
      </c>
      <c r="L688" s="2">
        <v>0</v>
      </c>
      <c r="M688" s="2">
        <v>0</v>
      </c>
      <c r="N688" s="2">
        <v>8</v>
      </c>
      <c r="O688" s="2">
        <v>5</v>
      </c>
      <c r="P688" s="2">
        <v>20</v>
      </c>
      <c r="Q688" s="2" t="s">
        <v>3036</v>
      </c>
      <c r="R688" s="2" t="s">
        <v>3037</v>
      </c>
      <c r="S688" s="4">
        <v>44945</v>
      </c>
    </row>
    <row r="689" spans="1:19" ht="12.5" hidden="1" x14ac:dyDescent="0.25">
      <c r="A689" s="14" t="str">
        <f>HYPERLINK("https://gerandofalcoes.my.salesforce.com/0014P00003YSp8eQAD", "0014P00003YSp8eQAD")</f>
        <v>0014P00003YSp8eQAD</v>
      </c>
      <c r="B689" s="2" t="s">
        <v>2309</v>
      </c>
      <c r="C689" s="2" t="s">
        <v>1800</v>
      </c>
      <c r="D689" s="2" t="s">
        <v>2</v>
      </c>
      <c r="E689" s="2">
        <v>29</v>
      </c>
      <c r="F689" s="2">
        <v>0</v>
      </c>
      <c r="G689" s="2">
        <v>3</v>
      </c>
      <c r="H689" s="2">
        <v>350000</v>
      </c>
      <c r="I689" s="2">
        <v>0</v>
      </c>
      <c r="J689" s="2" t="s">
        <v>1671</v>
      </c>
      <c r="K689" s="2">
        <v>43</v>
      </c>
      <c r="L689" s="2">
        <v>15</v>
      </c>
      <c r="M689" s="2">
        <v>0</v>
      </c>
      <c r="N689" s="2">
        <v>8</v>
      </c>
      <c r="O689" s="2">
        <v>20</v>
      </c>
      <c r="P689" s="2">
        <v>0</v>
      </c>
      <c r="Q689" s="2" t="s">
        <v>2310</v>
      </c>
      <c r="R689" s="2" t="s">
        <v>2311</v>
      </c>
      <c r="S689" s="4">
        <v>44837</v>
      </c>
    </row>
    <row r="690" spans="1:19" ht="12.5" x14ac:dyDescent="0.25">
      <c r="A690" s="14" t="str">
        <f>HYPERLINK("https://gerandofalcoes.my.salesforce.com/0014P00003YSp8fQAD", "0014P00003YSp8fQAD")</f>
        <v>0014P00003YSp8fQAD</v>
      </c>
      <c r="B690" s="2" t="s">
        <v>1713</v>
      </c>
      <c r="C690" s="2" t="s">
        <v>423</v>
      </c>
      <c r="D690" s="2" t="s">
        <v>2</v>
      </c>
      <c r="E690" s="2">
        <v>38</v>
      </c>
      <c r="F690" s="2">
        <v>7</v>
      </c>
      <c r="G690" s="2">
        <v>5</v>
      </c>
      <c r="H690" s="2">
        <v>19685789</v>
      </c>
      <c r="I690" s="2">
        <v>215</v>
      </c>
      <c r="J690" s="2" t="s">
        <v>1650</v>
      </c>
      <c r="K690" s="2">
        <v>72</v>
      </c>
      <c r="L690" s="2">
        <v>15</v>
      </c>
      <c r="M690" s="2">
        <v>10</v>
      </c>
      <c r="N690" s="2">
        <v>10</v>
      </c>
      <c r="O690" s="2">
        <v>25</v>
      </c>
      <c r="P690" s="2">
        <v>12</v>
      </c>
      <c r="Q690" s="2" t="s">
        <v>1714</v>
      </c>
      <c r="R690" s="2" t="s">
        <v>1715</v>
      </c>
      <c r="S690" s="4">
        <v>44837</v>
      </c>
    </row>
    <row r="691" spans="1:19" ht="12.5" hidden="1" x14ac:dyDescent="0.25">
      <c r="A691" s="14" t="str">
        <f>HYPERLINK("https://gerandofalcoes.my.salesforce.com/0014P00003YSp8gQAD", "0014P00003YSp8gQAD")</f>
        <v>0014P00003YSp8gQAD</v>
      </c>
      <c r="B691" s="2" t="s">
        <v>2635</v>
      </c>
      <c r="C691" s="2" t="s">
        <v>1684</v>
      </c>
      <c r="D691" s="2" t="s">
        <v>2</v>
      </c>
      <c r="E691" s="2">
        <v>18</v>
      </c>
      <c r="F691" s="2">
        <v>4</v>
      </c>
      <c r="G691" s="2">
        <v>2</v>
      </c>
      <c r="H691" s="2">
        <v>2000</v>
      </c>
      <c r="I691" s="2">
        <v>70</v>
      </c>
      <c r="J691" s="2" t="s">
        <v>1779</v>
      </c>
      <c r="K691" s="2">
        <v>31</v>
      </c>
      <c r="L691" s="2">
        <v>10</v>
      </c>
      <c r="M691" s="2">
        <v>5</v>
      </c>
      <c r="N691" s="2">
        <v>6</v>
      </c>
      <c r="O691" s="2">
        <v>5</v>
      </c>
      <c r="P691" s="2">
        <v>5</v>
      </c>
      <c r="Q691" s="2" t="s">
        <v>2636</v>
      </c>
      <c r="R691" s="2" t="s">
        <v>2636</v>
      </c>
      <c r="S691" s="4">
        <v>44837</v>
      </c>
    </row>
    <row r="692" spans="1:19" ht="12.5" x14ac:dyDescent="0.25">
      <c r="A692" s="14" t="str">
        <f>HYPERLINK("https://gerandofalcoes.my.salesforce.com/0014P00003YSp8hQAD", "0014P00003YSp8hQAD")</f>
        <v>0014P00003YSp8hQAD</v>
      </c>
      <c r="B692" s="2" t="s">
        <v>2842</v>
      </c>
      <c r="C692" s="2" t="s">
        <v>423</v>
      </c>
      <c r="D692" s="2" t="s">
        <v>2</v>
      </c>
      <c r="E692" s="2">
        <v>11</v>
      </c>
      <c r="F692" s="2">
        <v>10</v>
      </c>
      <c r="G692" s="2">
        <v>2</v>
      </c>
      <c r="H692" s="2">
        <v>90000</v>
      </c>
      <c r="I692" s="2">
        <v>0</v>
      </c>
      <c r="J692" s="2" t="s">
        <v>1779</v>
      </c>
      <c r="K692" s="2">
        <v>36</v>
      </c>
      <c r="L692" s="2">
        <v>10</v>
      </c>
      <c r="M692" s="2">
        <v>10</v>
      </c>
      <c r="N692" s="2">
        <v>6</v>
      </c>
      <c r="O692" s="2">
        <v>10</v>
      </c>
      <c r="P692" s="2">
        <v>0</v>
      </c>
      <c r="Q692" s="2" t="s">
        <v>2843</v>
      </c>
      <c r="R692" s="2" t="s">
        <v>2843</v>
      </c>
      <c r="S692" s="4">
        <v>44837</v>
      </c>
    </row>
    <row r="693" spans="1:19" ht="12.5" x14ac:dyDescent="0.25">
      <c r="A693" s="14" t="str">
        <f>HYPERLINK("https://gerandofalcoes.my.salesforce.com/0014P00003YSp8iQAD", "0014P00003YSp8iQAD")</f>
        <v>0014P00003YSp8iQAD</v>
      </c>
      <c r="B693" s="2" t="s">
        <v>1770</v>
      </c>
      <c r="C693" s="2" t="s">
        <v>423</v>
      </c>
      <c r="D693" s="2" t="s">
        <v>2</v>
      </c>
      <c r="E693" s="2">
        <v>41</v>
      </c>
      <c r="F693" s="2">
        <v>5</v>
      </c>
      <c r="G693" s="2">
        <v>5</v>
      </c>
      <c r="H693" s="2">
        <v>1386827</v>
      </c>
      <c r="I693" s="2">
        <v>40</v>
      </c>
      <c r="J693" s="2" t="s">
        <v>1671</v>
      </c>
      <c r="K693" s="2">
        <v>60</v>
      </c>
      <c r="L693" s="2">
        <v>15</v>
      </c>
      <c r="M693" s="2">
        <v>5</v>
      </c>
      <c r="N693" s="2">
        <v>10</v>
      </c>
      <c r="O693" s="2">
        <v>25</v>
      </c>
      <c r="P693" s="2">
        <v>5</v>
      </c>
      <c r="Q693" s="2" t="s">
        <v>1771</v>
      </c>
      <c r="R693" s="2" t="s">
        <v>1772</v>
      </c>
      <c r="S693" s="4">
        <v>44837</v>
      </c>
    </row>
    <row r="694" spans="1:19" ht="12.5" hidden="1" x14ac:dyDescent="0.25">
      <c r="A694" s="14" t="str">
        <f>HYPERLINK("https://gerandofalcoes.my.salesforce.com/0014P00003YSp8kQAD", "0014P00003YSp8kQAD")</f>
        <v>0014P00003YSp8kQAD</v>
      </c>
      <c r="B694" s="2" t="s">
        <v>2295</v>
      </c>
      <c r="C694" s="2" t="s">
        <v>1800</v>
      </c>
      <c r="D694" s="2" t="s">
        <v>2</v>
      </c>
      <c r="E694" s="2">
        <v>29</v>
      </c>
      <c r="F694" s="2">
        <v>2</v>
      </c>
      <c r="G694" s="2">
        <v>2</v>
      </c>
      <c r="H694" s="2">
        <v>12000</v>
      </c>
      <c r="I694" s="2">
        <v>300</v>
      </c>
      <c r="J694" s="2" t="s">
        <v>1671</v>
      </c>
      <c r="K694" s="2">
        <v>46</v>
      </c>
      <c r="L694" s="2">
        <v>15</v>
      </c>
      <c r="M694" s="2">
        <v>5</v>
      </c>
      <c r="N694" s="2">
        <v>6</v>
      </c>
      <c r="O694" s="2">
        <v>5</v>
      </c>
      <c r="P694" s="2">
        <v>15</v>
      </c>
      <c r="Q694" s="2" t="s">
        <v>2296</v>
      </c>
      <c r="R694" s="2" t="s">
        <v>2297</v>
      </c>
      <c r="S694" s="4">
        <v>44837</v>
      </c>
    </row>
    <row r="695" spans="1:19" ht="12.5" x14ac:dyDescent="0.25">
      <c r="A695" s="14" t="str">
        <f>HYPERLINK("https://gerandofalcoes.my.salesforce.com/0014P00003YSp8lQAD", "0014P00003YSp8lQAD")</f>
        <v>0014P00003YSp8lQAD</v>
      </c>
      <c r="B695" s="2" t="s">
        <v>2775</v>
      </c>
      <c r="C695" s="2" t="s">
        <v>423</v>
      </c>
      <c r="D695" s="2" t="s">
        <v>2</v>
      </c>
      <c r="E695" s="2">
        <v>33</v>
      </c>
      <c r="F695" s="2">
        <v>0</v>
      </c>
      <c r="G695" s="2">
        <v>5</v>
      </c>
      <c r="H695" s="2">
        <v>111840</v>
      </c>
      <c r="I695" s="2">
        <v>30</v>
      </c>
      <c r="J695" s="2" t="s">
        <v>1671</v>
      </c>
      <c r="K695" s="2">
        <v>45</v>
      </c>
      <c r="L695" s="2">
        <v>15</v>
      </c>
      <c r="M695" s="2">
        <v>0</v>
      </c>
      <c r="N695" s="2">
        <v>10</v>
      </c>
      <c r="O695" s="2">
        <v>15</v>
      </c>
      <c r="P695" s="2">
        <v>5</v>
      </c>
      <c r="Q695" s="2" t="s">
        <v>2776</v>
      </c>
      <c r="R695" s="2" t="s">
        <v>2776</v>
      </c>
      <c r="S695" s="4">
        <v>44837</v>
      </c>
    </row>
    <row r="696" spans="1:19" ht="12.5" hidden="1" x14ac:dyDescent="0.25">
      <c r="A696" s="14" t="str">
        <f>HYPERLINK("https://gerandofalcoes.my.salesforce.com/0014P00003YSp8mQAD", "0014P00003YSp8mQAD")</f>
        <v>0014P00003YSp8mQAD</v>
      </c>
      <c r="B696" s="2" t="s">
        <v>2599</v>
      </c>
      <c r="C696" s="2" t="s">
        <v>1800</v>
      </c>
      <c r="D696" s="2" t="s">
        <v>2</v>
      </c>
      <c r="E696" s="2">
        <v>19</v>
      </c>
      <c r="F696" s="2">
        <v>11</v>
      </c>
      <c r="G696" s="2">
        <v>4</v>
      </c>
      <c r="H696" s="2">
        <v>700</v>
      </c>
      <c r="I696" s="2">
        <v>160</v>
      </c>
      <c r="J696" s="2" t="s">
        <v>1671</v>
      </c>
      <c r="K696" s="2">
        <v>49</v>
      </c>
      <c r="L696" s="2">
        <v>10</v>
      </c>
      <c r="M696" s="2">
        <v>12</v>
      </c>
      <c r="N696" s="2">
        <v>10</v>
      </c>
      <c r="O696" s="2">
        <v>5</v>
      </c>
      <c r="P696" s="2">
        <v>12</v>
      </c>
      <c r="Q696" s="2" t="s">
        <v>2600</v>
      </c>
      <c r="R696" s="2" t="s">
        <v>2600</v>
      </c>
      <c r="S696" s="4">
        <v>44837</v>
      </c>
    </row>
    <row r="697" spans="1:19" ht="12.5" x14ac:dyDescent="0.25">
      <c r="A697" s="14" t="str">
        <f>HYPERLINK("https://gerandofalcoes.my.salesforce.com/0014P00003YSp8nQAD", "0014P00003YSp8nQAD")</f>
        <v>0014P00003YSp8nQAD</v>
      </c>
      <c r="B697" s="2" t="s">
        <v>2028</v>
      </c>
      <c r="C697" s="2" t="s">
        <v>423</v>
      </c>
      <c r="D697" s="2" t="s">
        <v>2</v>
      </c>
      <c r="E697" s="2">
        <v>37.01</v>
      </c>
      <c r="F697" s="2">
        <v>6</v>
      </c>
      <c r="G697" s="2">
        <v>2</v>
      </c>
      <c r="H697" s="2">
        <v>7307750</v>
      </c>
      <c r="I697" s="2">
        <v>55</v>
      </c>
      <c r="J697" s="2" t="s">
        <v>1671</v>
      </c>
      <c r="K697" s="2">
        <v>61</v>
      </c>
      <c r="L697" s="2">
        <v>15</v>
      </c>
      <c r="M697" s="2">
        <v>10</v>
      </c>
      <c r="N697" s="2">
        <v>6</v>
      </c>
      <c r="O697" s="2">
        <v>25</v>
      </c>
      <c r="P697" s="2">
        <v>5</v>
      </c>
      <c r="Q697" s="2" t="s">
        <v>2029</v>
      </c>
      <c r="R697" s="2" t="s">
        <v>2030</v>
      </c>
      <c r="S697" s="4">
        <v>44837</v>
      </c>
    </row>
    <row r="698" spans="1:19" ht="12.5" x14ac:dyDescent="0.25">
      <c r="A698" s="14" t="str">
        <f>HYPERLINK("https://gerandofalcoes.my.salesforce.com/0014P00003YSp8pQAD", "0014P00003YSp8pQAD")</f>
        <v>0014P00003YSp8pQAD</v>
      </c>
      <c r="B698" s="2" t="s">
        <v>2644</v>
      </c>
      <c r="C698" s="2" t="s">
        <v>423</v>
      </c>
      <c r="D698" s="2" t="s">
        <v>2</v>
      </c>
      <c r="E698" s="2">
        <v>18</v>
      </c>
      <c r="F698" s="2">
        <v>0</v>
      </c>
      <c r="G698" s="2">
        <v>2</v>
      </c>
      <c r="H698" s="2">
        <v>3000</v>
      </c>
      <c r="I698" s="2">
        <v>0</v>
      </c>
      <c r="J698" s="2" t="s">
        <v>1779</v>
      </c>
      <c r="K698" s="2">
        <v>21</v>
      </c>
      <c r="L698" s="2">
        <v>10</v>
      </c>
      <c r="M698" s="2">
        <v>0</v>
      </c>
      <c r="N698" s="2">
        <v>6</v>
      </c>
      <c r="O698" s="2">
        <v>5</v>
      </c>
      <c r="P698" s="2">
        <v>0</v>
      </c>
      <c r="Q698" s="2" t="s">
        <v>2645</v>
      </c>
      <c r="R698" s="2" t="s">
        <v>2646</v>
      </c>
      <c r="S698" s="4">
        <v>44837</v>
      </c>
    </row>
    <row r="699" spans="1:19" ht="12.5" x14ac:dyDescent="0.25">
      <c r="A699" s="14" t="str">
        <f>HYPERLINK("https://gerandofalcoes.my.salesforce.com/0014P00003YSp8qQAD", "0014P00003YSp8qQAD")</f>
        <v>0014P00003YSp8qQAD</v>
      </c>
      <c r="B699" s="2" t="s">
        <v>2890</v>
      </c>
      <c r="C699" s="2" t="s">
        <v>423</v>
      </c>
      <c r="D699" s="2" t="s">
        <v>2</v>
      </c>
      <c r="E699" s="2">
        <v>33</v>
      </c>
      <c r="F699" s="2">
        <v>0</v>
      </c>
      <c r="G699" s="2">
        <v>1</v>
      </c>
      <c r="H699" s="2">
        <v>1500</v>
      </c>
      <c r="I699" s="2">
        <v>80</v>
      </c>
      <c r="J699" s="2" t="s">
        <v>1779</v>
      </c>
      <c r="K699" s="2">
        <v>34</v>
      </c>
      <c r="L699" s="2">
        <v>15</v>
      </c>
      <c r="M699" s="2">
        <v>0</v>
      </c>
      <c r="N699" s="2">
        <v>4</v>
      </c>
      <c r="O699" s="2">
        <v>5</v>
      </c>
      <c r="P699" s="2">
        <v>10</v>
      </c>
      <c r="Q699" s="2" t="s">
        <v>2891</v>
      </c>
      <c r="R699" s="2" t="s">
        <v>2892</v>
      </c>
      <c r="S699" s="4">
        <v>44837</v>
      </c>
    </row>
    <row r="700" spans="1:19" ht="12.5" x14ac:dyDescent="0.25">
      <c r="A700" s="14" t="str">
        <f>HYPERLINK("https://gerandofalcoes.my.salesforce.com/0014P00003YSp8rQAD", "0014P00003YSp8rQAD")</f>
        <v>0014P00003YSp8rQAD</v>
      </c>
      <c r="B700" s="2" t="s">
        <v>2365</v>
      </c>
      <c r="C700" s="2" t="s">
        <v>423</v>
      </c>
      <c r="D700" s="2" t="s">
        <v>2</v>
      </c>
      <c r="E700" s="2">
        <v>36</v>
      </c>
      <c r="F700" s="2">
        <v>2</v>
      </c>
      <c r="G700" s="2">
        <v>3</v>
      </c>
      <c r="H700" s="2">
        <v>60000</v>
      </c>
      <c r="I700" s="2">
        <v>120</v>
      </c>
      <c r="J700" s="2" t="s">
        <v>1671</v>
      </c>
      <c r="K700" s="2">
        <v>48</v>
      </c>
      <c r="L700" s="2">
        <v>15</v>
      </c>
      <c r="M700" s="2">
        <v>5</v>
      </c>
      <c r="N700" s="2">
        <v>8</v>
      </c>
      <c r="O700" s="2">
        <v>10</v>
      </c>
      <c r="P700" s="2">
        <v>10</v>
      </c>
      <c r="Q700" s="2" t="s">
        <v>2366</v>
      </c>
      <c r="R700" s="2" t="s">
        <v>2367</v>
      </c>
      <c r="S700" s="4">
        <v>44837</v>
      </c>
    </row>
    <row r="701" spans="1:19" ht="12.5" x14ac:dyDescent="0.25">
      <c r="A701" s="14" t="str">
        <f>HYPERLINK("https://gerandofalcoes.my.salesforce.com/0014P00003YSp8tQAD", "0014P00003YSp8tQAD")</f>
        <v>0014P00003YSp8tQAD</v>
      </c>
      <c r="B701" s="2" t="s">
        <v>2622</v>
      </c>
      <c r="C701" s="2" t="s">
        <v>423</v>
      </c>
      <c r="D701" s="2" t="s">
        <v>2</v>
      </c>
      <c r="E701" s="2">
        <v>18.18</v>
      </c>
      <c r="F701" s="2">
        <v>0</v>
      </c>
      <c r="G701" s="2">
        <v>1</v>
      </c>
      <c r="H701" s="2">
        <v>420000</v>
      </c>
      <c r="I701" s="2">
        <v>0</v>
      </c>
      <c r="J701" s="2" t="s">
        <v>1779</v>
      </c>
      <c r="K701" s="2">
        <v>34</v>
      </c>
      <c r="L701" s="2">
        <v>10</v>
      </c>
      <c r="M701" s="2">
        <v>0</v>
      </c>
      <c r="N701" s="2">
        <v>4</v>
      </c>
      <c r="O701" s="2">
        <v>20</v>
      </c>
      <c r="P701" s="2">
        <v>0</v>
      </c>
      <c r="Q701" s="2" t="s">
        <v>2623</v>
      </c>
      <c r="R701" s="2" t="s">
        <v>2624</v>
      </c>
      <c r="S701" s="4">
        <v>44837</v>
      </c>
    </row>
    <row r="702" spans="1:19" ht="12.5" hidden="1" x14ac:dyDescent="0.25">
      <c r="A702" s="14" t="str">
        <f>HYPERLINK("https://gerandofalcoes.my.salesforce.com/0014P00003YSp8uQAD", "0014P00003YSp8uQAD")</f>
        <v>0014P00003YSp8uQAD</v>
      </c>
      <c r="B702" s="2" t="s">
        <v>2161</v>
      </c>
      <c r="C702" s="2" t="s">
        <v>1800</v>
      </c>
      <c r="D702" s="2" t="s">
        <v>2</v>
      </c>
      <c r="E702" s="2">
        <v>33</v>
      </c>
      <c r="F702" s="2">
        <v>38</v>
      </c>
      <c r="G702" s="2">
        <v>3</v>
      </c>
      <c r="H702" s="2">
        <v>1726721</v>
      </c>
      <c r="I702" s="2">
        <v>1200</v>
      </c>
      <c r="J702" s="2" t="s">
        <v>1654</v>
      </c>
      <c r="K702" s="2">
        <v>83</v>
      </c>
      <c r="L702" s="2">
        <v>15</v>
      </c>
      <c r="M702" s="2">
        <v>15</v>
      </c>
      <c r="N702" s="2">
        <v>8</v>
      </c>
      <c r="O702" s="2">
        <v>25</v>
      </c>
      <c r="P702" s="2">
        <v>20</v>
      </c>
      <c r="Q702" s="2" t="s">
        <v>2162</v>
      </c>
      <c r="R702" s="2" t="s">
        <v>2163</v>
      </c>
      <c r="S702" s="4">
        <v>44837</v>
      </c>
    </row>
    <row r="703" spans="1:19" ht="12.5" x14ac:dyDescent="0.25">
      <c r="A703" s="14" t="str">
        <f>HYPERLINK("https://gerandofalcoes.my.salesforce.com/0014X00002VKCsBQAX", "0014X00002VKCsBQAX")</f>
        <v>0014X00002VKCsBQAX</v>
      </c>
      <c r="B703" s="2" t="s">
        <v>2740</v>
      </c>
      <c r="C703" s="2" t="s">
        <v>423</v>
      </c>
      <c r="D703" s="2" t="s">
        <v>2</v>
      </c>
      <c r="E703" s="2">
        <v>14.54</v>
      </c>
      <c r="F703" s="2">
        <v>1</v>
      </c>
      <c r="G703" s="2">
        <v>1</v>
      </c>
      <c r="H703" s="2">
        <v>68583</v>
      </c>
      <c r="I703" s="2">
        <v>120</v>
      </c>
      <c r="J703" s="2" t="s">
        <v>1779</v>
      </c>
      <c r="K703" s="2">
        <v>39</v>
      </c>
      <c r="L703" s="2">
        <v>10</v>
      </c>
      <c r="M703" s="2">
        <v>5</v>
      </c>
      <c r="N703" s="2">
        <v>4</v>
      </c>
      <c r="O703" s="2">
        <v>10</v>
      </c>
      <c r="P703" s="2">
        <v>10</v>
      </c>
      <c r="Q703" s="2" t="s">
        <v>2741</v>
      </c>
      <c r="R703" s="2" t="s">
        <v>2742</v>
      </c>
      <c r="S703" s="4">
        <v>44837</v>
      </c>
    </row>
    <row r="704" spans="1:19" ht="12.5" x14ac:dyDescent="0.25">
      <c r="A704" s="14" t="str">
        <f>HYPERLINK("https://gerandofalcoes.my.salesforce.com/0014X00002VKCslQAH", "0014X00002VKCslQAH")</f>
        <v>0014X00002VKCslQAH</v>
      </c>
      <c r="B704" s="2" t="s">
        <v>2667</v>
      </c>
      <c r="C704" s="2" t="s">
        <v>423</v>
      </c>
      <c r="D704" s="2" t="s">
        <v>2</v>
      </c>
      <c r="E704" s="2">
        <v>17</v>
      </c>
      <c r="F704" s="2">
        <v>0</v>
      </c>
      <c r="G704" s="2">
        <v>2</v>
      </c>
      <c r="H704" s="2">
        <v>18000</v>
      </c>
      <c r="I704" s="2">
        <v>10</v>
      </c>
      <c r="J704" s="2" t="s">
        <v>1779</v>
      </c>
      <c r="K704" s="2">
        <v>26</v>
      </c>
      <c r="L704" s="2">
        <v>10</v>
      </c>
      <c r="M704" s="2">
        <v>0</v>
      </c>
      <c r="N704" s="2">
        <v>6</v>
      </c>
      <c r="O704" s="2">
        <v>5</v>
      </c>
      <c r="P704" s="2">
        <v>5</v>
      </c>
      <c r="Q704" s="2" t="s">
        <v>2668</v>
      </c>
      <c r="R704" s="2" t="s">
        <v>2669</v>
      </c>
      <c r="S704" s="4">
        <v>44837</v>
      </c>
    </row>
    <row r="705" spans="1:19" ht="12.5" hidden="1" x14ac:dyDescent="0.25">
      <c r="A705" s="14" t="str">
        <f>HYPERLINK("https://gerandofalcoes.my.salesforce.com/0014P00003YSp8vQAD", "0014P00003YSp8vQAD")</f>
        <v>0014P00003YSp8vQAD</v>
      </c>
      <c r="B705" s="2" t="s">
        <v>2019</v>
      </c>
      <c r="C705" s="2" t="s">
        <v>1800</v>
      </c>
      <c r="D705" s="2" t="s">
        <v>2</v>
      </c>
      <c r="E705" s="2">
        <v>38</v>
      </c>
      <c r="F705" s="2">
        <v>2</v>
      </c>
      <c r="G705" s="2">
        <v>2</v>
      </c>
      <c r="H705" s="2">
        <v>5000</v>
      </c>
      <c r="I705" s="2">
        <v>0</v>
      </c>
      <c r="J705" s="2" t="s">
        <v>1779</v>
      </c>
      <c r="K705" s="2">
        <v>31</v>
      </c>
      <c r="L705" s="2">
        <v>15</v>
      </c>
      <c r="M705" s="2">
        <v>5</v>
      </c>
      <c r="N705" s="2">
        <v>6</v>
      </c>
      <c r="O705" s="2">
        <v>5</v>
      </c>
      <c r="P705" s="2">
        <v>0</v>
      </c>
      <c r="Q705" s="2" t="s">
        <v>2020</v>
      </c>
      <c r="R705" s="2" t="s">
        <v>2021</v>
      </c>
      <c r="S705" s="4">
        <v>44837</v>
      </c>
    </row>
    <row r="706" spans="1:19" ht="12.5" x14ac:dyDescent="0.25">
      <c r="A706" s="14" t="str">
        <f>HYPERLINK("https://gerandofalcoes.my.salesforce.com/0014P00003YSp8wQAD", "0014P00003YSp8wQAD")</f>
        <v>0014P00003YSp8wQAD</v>
      </c>
      <c r="B706" s="2" t="s">
        <v>2686</v>
      </c>
      <c r="C706" s="2" t="s">
        <v>423</v>
      </c>
      <c r="D706" s="2" t="s">
        <v>2</v>
      </c>
      <c r="E706" s="2">
        <v>16</v>
      </c>
      <c r="F706" s="2">
        <v>8</v>
      </c>
      <c r="G706" s="2">
        <v>2</v>
      </c>
      <c r="H706" s="2">
        <v>55000</v>
      </c>
      <c r="I706" s="2">
        <v>3000</v>
      </c>
      <c r="J706" s="2" t="s">
        <v>1671</v>
      </c>
      <c r="K706" s="2">
        <v>56</v>
      </c>
      <c r="L706" s="2">
        <v>10</v>
      </c>
      <c r="M706" s="2">
        <v>10</v>
      </c>
      <c r="N706" s="2">
        <v>6</v>
      </c>
      <c r="O706" s="2">
        <v>10</v>
      </c>
      <c r="P706" s="2">
        <v>20</v>
      </c>
      <c r="Q706" s="2" t="s">
        <v>2687</v>
      </c>
      <c r="R706" s="2" t="s">
        <v>2688</v>
      </c>
      <c r="S706" s="4">
        <v>44837</v>
      </c>
    </row>
    <row r="707" spans="1:19" ht="12.5" hidden="1" x14ac:dyDescent="0.25">
      <c r="A707" s="14" t="str">
        <f>HYPERLINK("https://gerandofalcoes.my.salesforce.com/0014P00003YSp8yQAD", "0014P00003YSp8yQAD")</f>
        <v>0014P00003YSp8yQAD</v>
      </c>
      <c r="B707" s="2" t="s">
        <v>2536</v>
      </c>
      <c r="C707" s="2" t="s">
        <v>1800</v>
      </c>
      <c r="D707" s="2" t="s">
        <v>2</v>
      </c>
      <c r="E707" s="2">
        <v>21</v>
      </c>
      <c r="F707" s="2">
        <v>2</v>
      </c>
      <c r="G707" s="2">
        <v>2</v>
      </c>
      <c r="H707" s="2">
        <v>0</v>
      </c>
      <c r="I707" s="2">
        <v>0</v>
      </c>
      <c r="J707" s="2" t="s">
        <v>1779</v>
      </c>
      <c r="K707" s="2">
        <v>21</v>
      </c>
      <c r="L707" s="2">
        <v>10</v>
      </c>
      <c r="M707" s="2">
        <v>5</v>
      </c>
      <c r="N707" s="2">
        <v>6</v>
      </c>
      <c r="O707" s="2">
        <v>0</v>
      </c>
      <c r="P707" s="2">
        <v>0</v>
      </c>
      <c r="Q707" s="2" t="s">
        <v>2537</v>
      </c>
      <c r="R707" s="2" t="s">
        <v>2538</v>
      </c>
      <c r="S707" s="4">
        <v>44837</v>
      </c>
    </row>
    <row r="708" spans="1:19" ht="12.5" x14ac:dyDescent="0.25">
      <c r="A708" s="14" t="str">
        <f>HYPERLINK("https://gerandofalcoes.my.salesforce.com/0014P00003YSp8zQAD", "0014P00003YSp8zQAD")</f>
        <v>0014P00003YSp8zQAD</v>
      </c>
      <c r="B708" s="2" t="s">
        <v>2087</v>
      </c>
      <c r="C708" s="2" t="s">
        <v>423</v>
      </c>
      <c r="D708" s="2" t="s">
        <v>2</v>
      </c>
      <c r="E708" s="2">
        <v>29</v>
      </c>
      <c r="F708" s="2">
        <v>10</v>
      </c>
      <c r="G708" s="2">
        <v>2</v>
      </c>
      <c r="H708" s="2">
        <v>600000</v>
      </c>
      <c r="I708" s="2">
        <v>115</v>
      </c>
      <c r="J708" s="2" t="s">
        <v>1671</v>
      </c>
      <c r="K708" s="2">
        <v>61</v>
      </c>
      <c r="L708" s="2">
        <v>15</v>
      </c>
      <c r="M708" s="2">
        <v>10</v>
      </c>
      <c r="N708" s="2">
        <v>6</v>
      </c>
      <c r="O708" s="2">
        <v>20</v>
      </c>
      <c r="P708" s="2">
        <v>10</v>
      </c>
      <c r="Q708" s="2" t="s">
        <v>2088</v>
      </c>
      <c r="R708" s="2" t="s">
        <v>2089</v>
      </c>
      <c r="S708" s="4">
        <v>44837</v>
      </c>
    </row>
    <row r="709" spans="1:19" ht="12.5" hidden="1" x14ac:dyDescent="0.25">
      <c r="A709" s="14" t="str">
        <f>HYPERLINK("https://gerandofalcoes.my.salesforce.com/0014P00003YSp90QAD", "0014P00003YSp90QAD")</f>
        <v>0014P00003YSp90QAD</v>
      </c>
      <c r="B709" s="2" t="s">
        <v>2175</v>
      </c>
      <c r="C709" s="2" t="s">
        <v>1800</v>
      </c>
      <c r="D709" s="2" t="s">
        <v>2</v>
      </c>
      <c r="E709" s="2">
        <v>33</v>
      </c>
      <c r="F709" s="2">
        <v>41</v>
      </c>
      <c r="G709" s="2">
        <v>4</v>
      </c>
      <c r="H709" s="2">
        <v>0</v>
      </c>
      <c r="I709" s="2">
        <v>98</v>
      </c>
      <c r="J709" s="2" t="s">
        <v>1671</v>
      </c>
      <c r="K709" s="2">
        <v>50</v>
      </c>
      <c r="L709" s="2">
        <v>15</v>
      </c>
      <c r="M709" s="2">
        <v>15</v>
      </c>
      <c r="N709" s="2">
        <v>10</v>
      </c>
      <c r="O709" s="2">
        <v>0</v>
      </c>
      <c r="P709" s="2">
        <v>10</v>
      </c>
      <c r="Q709" s="2" t="s">
        <v>2176</v>
      </c>
      <c r="R709" s="2" t="s">
        <v>2177</v>
      </c>
      <c r="S709" s="4">
        <v>44837</v>
      </c>
    </row>
    <row r="710" spans="1:19" ht="12.5" x14ac:dyDescent="0.25">
      <c r="A710" s="14" t="str">
        <f>HYPERLINK("https://gerandofalcoes.my.salesforce.com/0014P00003YSp91QAD", "0014P00003YSp91QAD")</f>
        <v>0014P00003YSp91QAD</v>
      </c>
      <c r="B710" s="2" t="s">
        <v>2697</v>
      </c>
      <c r="C710" s="2" t="s">
        <v>423</v>
      </c>
      <c r="D710" s="2" t="s">
        <v>2</v>
      </c>
      <c r="E710" s="2">
        <v>19</v>
      </c>
      <c r="F710" s="2">
        <v>8</v>
      </c>
      <c r="G710" s="2">
        <v>1</v>
      </c>
      <c r="H710" s="2">
        <v>24000</v>
      </c>
      <c r="I710" s="2">
        <v>200</v>
      </c>
      <c r="J710" s="2" t="s">
        <v>1671</v>
      </c>
      <c r="K710" s="2">
        <v>41</v>
      </c>
      <c r="L710" s="2">
        <v>10</v>
      </c>
      <c r="M710" s="2">
        <v>10</v>
      </c>
      <c r="N710" s="2">
        <v>4</v>
      </c>
      <c r="O710" s="2">
        <v>5</v>
      </c>
      <c r="P710" s="2">
        <v>12</v>
      </c>
      <c r="Q710" s="2" t="s">
        <v>2698</v>
      </c>
      <c r="R710" s="2" t="s">
        <v>2699</v>
      </c>
      <c r="S710" s="4">
        <v>44837</v>
      </c>
    </row>
    <row r="711" spans="1:19" ht="12.5" x14ac:dyDescent="0.25">
      <c r="A711" s="14" t="str">
        <f>HYPERLINK("https://gerandofalcoes.my.salesforce.com/0014P00003YSp92QAD", "0014P00003YSp92QAD")</f>
        <v>0014P00003YSp92QAD</v>
      </c>
      <c r="B711" s="2" t="s">
        <v>1892</v>
      </c>
      <c r="C711" s="2" t="s">
        <v>423</v>
      </c>
      <c r="D711" s="2" t="s">
        <v>2</v>
      </c>
      <c r="E711" s="2">
        <v>37</v>
      </c>
      <c r="F711" s="2">
        <v>2</v>
      </c>
      <c r="G711" s="2">
        <v>3</v>
      </c>
      <c r="H711" s="2">
        <v>109472</v>
      </c>
      <c r="I711" s="2">
        <v>40</v>
      </c>
      <c r="J711" s="2" t="s">
        <v>1671</v>
      </c>
      <c r="K711" s="2">
        <v>48</v>
      </c>
      <c r="L711" s="2">
        <v>15</v>
      </c>
      <c r="M711" s="2">
        <v>5</v>
      </c>
      <c r="N711" s="2">
        <v>8</v>
      </c>
      <c r="O711" s="2">
        <v>15</v>
      </c>
      <c r="P711" s="2">
        <v>5</v>
      </c>
      <c r="Q711" s="2" t="s">
        <v>1893</v>
      </c>
      <c r="R711" s="2" t="s">
        <v>1894</v>
      </c>
      <c r="S711" s="4">
        <v>44837</v>
      </c>
    </row>
    <row r="712" spans="1:19" ht="12.5" x14ac:dyDescent="0.25">
      <c r="A712" s="14" t="str">
        <f>HYPERLINK("https://gerandofalcoes.my.salesforce.com/0014X00002VKCv8QAH", "0014X00002VKCv8QAH")</f>
        <v>0014X00002VKCv8QAH</v>
      </c>
      <c r="B712" s="2" t="s">
        <v>2343</v>
      </c>
      <c r="C712" s="2" t="s">
        <v>423</v>
      </c>
      <c r="D712" s="2" t="s">
        <v>2</v>
      </c>
      <c r="E712" s="2">
        <v>19</v>
      </c>
      <c r="F712" s="2">
        <v>0</v>
      </c>
      <c r="G712" s="2">
        <v>0</v>
      </c>
      <c r="H712" s="2">
        <v>0</v>
      </c>
      <c r="I712" s="2">
        <v>400</v>
      </c>
      <c r="J712" s="2" t="s">
        <v>1779</v>
      </c>
      <c r="K712" s="2">
        <v>25</v>
      </c>
      <c r="L712" s="2">
        <v>10</v>
      </c>
      <c r="M712" s="2">
        <v>0</v>
      </c>
      <c r="N712" s="2">
        <v>0</v>
      </c>
      <c r="O712" s="2">
        <v>0</v>
      </c>
      <c r="P712" s="2">
        <v>15</v>
      </c>
      <c r="Q712" s="2" t="s">
        <v>2344</v>
      </c>
      <c r="R712" s="2" t="s">
        <v>2345</v>
      </c>
      <c r="S712" s="4">
        <v>44837</v>
      </c>
    </row>
    <row r="713" spans="1:19" ht="12.5" hidden="1" x14ac:dyDescent="0.25">
      <c r="A713" s="14" t="str">
        <f>HYPERLINK("https://gerandofalcoes.my.salesforce.com/0014X00002VKCp4QAH", "0014X00002VKCp4QAH")</f>
        <v>0014X00002VKCp4QAH</v>
      </c>
      <c r="B713" s="2" t="s">
        <v>2518</v>
      </c>
      <c r="C713" s="2" t="s">
        <v>1800</v>
      </c>
      <c r="D713" s="2" t="s">
        <v>2</v>
      </c>
      <c r="E713" s="2">
        <v>21</v>
      </c>
      <c r="F713" s="2">
        <v>0</v>
      </c>
      <c r="G713" s="2">
        <v>2</v>
      </c>
      <c r="H713" s="2">
        <v>0</v>
      </c>
      <c r="I713" s="2">
        <v>70</v>
      </c>
      <c r="J713" s="2" t="s">
        <v>1779</v>
      </c>
      <c r="K713" s="2">
        <v>21</v>
      </c>
      <c r="L713" s="2">
        <v>10</v>
      </c>
      <c r="M713" s="2">
        <v>0</v>
      </c>
      <c r="N713" s="2">
        <v>6</v>
      </c>
      <c r="O713" s="2">
        <v>0</v>
      </c>
      <c r="P713" s="2">
        <v>5</v>
      </c>
      <c r="Q713" s="2" t="s">
        <v>2519</v>
      </c>
      <c r="R713" s="2" t="s">
        <v>2520</v>
      </c>
      <c r="S713" s="4">
        <v>44837</v>
      </c>
    </row>
    <row r="714" spans="1:19" ht="12.5" x14ac:dyDescent="0.25">
      <c r="A714" s="14" t="str">
        <f>HYPERLINK("https://gerandofalcoes.my.salesforce.com/0014X00002VKCucQAH", "0014X00002VKCucQAH")</f>
        <v>0014X00002VKCucQAH</v>
      </c>
      <c r="B714" s="2" t="s">
        <v>2944</v>
      </c>
      <c r="C714" s="2" t="s">
        <v>423</v>
      </c>
      <c r="D714" s="2" t="s">
        <v>2</v>
      </c>
      <c r="E714" s="2">
        <v>30</v>
      </c>
      <c r="F714" s="2">
        <v>0</v>
      </c>
      <c r="G714" s="2">
        <v>1</v>
      </c>
      <c r="H714" s="2">
        <v>300</v>
      </c>
      <c r="I714" s="2">
        <v>0</v>
      </c>
      <c r="J714" s="2" t="s">
        <v>1779</v>
      </c>
      <c r="K714" s="2">
        <v>24</v>
      </c>
      <c r="L714" s="2">
        <v>15</v>
      </c>
      <c r="M714" s="2">
        <v>0</v>
      </c>
      <c r="N714" s="2">
        <v>4</v>
      </c>
      <c r="O714" s="2">
        <v>5</v>
      </c>
      <c r="P714" s="2">
        <v>0</v>
      </c>
      <c r="Q714" s="2" t="s">
        <v>2945</v>
      </c>
      <c r="R714" s="2" t="s">
        <v>2946</v>
      </c>
      <c r="S714" s="4">
        <v>44837</v>
      </c>
    </row>
    <row r="715" spans="1:19" ht="12.5" x14ac:dyDescent="0.25">
      <c r="A715" s="14" t="str">
        <f>HYPERLINK("https://gerandofalcoes.my.salesforce.com/0014X00002VKCpQQAX", "0014X00002VKCpQQAX")</f>
        <v>0014X00002VKCpQQAX</v>
      </c>
      <c r="B715" s="2" t="s">
        <v>2004</v>
      </c>
      <c r="C715" s="2" t="s">
        <v>423</v>
      </c>
      <c r="D715" s="2" t="s">
        <v>2</v>
      </c>
      <c r="E715" s="2">
        <v>38.72</v>
      </c>
      <c r="F715" s="2">
        <v>0</v>
      </c>
      <c r="G715" s="2">
        <v>5</v>
      </c>
      <c r="H715" s="2">
        <v>90250</v>
      </c>
      <c r="I715" s="2">
        <v>125</v>
      </c>
      <c r="J715" s="2" t="s">
        <v>1671</v>
      </c>
      <c r="K715" s="2">
        <v>45</v>
      </c>
      <c r="L715" s="2">
        <v>15</v>
      </c>
      <c r="M715" s="2">
        <v>0</v>
      </c>
      <c r="N715" s="2">
        <v>10</v>
      </c>
      <c r="O715" s="2">
        <v>10</v>
      </c>
      <c r="P715" s="2">
        <v>10</v>
      </c>
      <c r="Q715" s="2" t="s">
        <v>2005</v>
      </c>
      <c r="R715" s="2" t="s">
        <v>2006</v>
      </c>
      <c r="S715" s="4">
        <v>44837</v>
      </c>
    </row>
    <row r="716" spans="1:19" ht="12.5" hidden="1" x14ac:dyDescent="0.25">
      <c r="A716" s="14" t="str">
        <f>HYPERLINK("https://gerandofalcoes.my.salesforce.com/0014P00003YSp94QAD", "0014P00003YSp94QAD")</f>
        <v>0014P00003YSp94QAD</v>
      </c>
      <c r="B716" s="2" t="s">
        <v>2131</v>
      </c>
      <c r="C716" s="2" t="s">
        <v>1800</v>
      </c>
      <c r="D716" s="2" t="s">
        <v>2</v>
      </c>
      <c r="E716" s="2">
        <v>34</v>
      </c>
      <c r="F716" s="2">
        <v>0</v>
      </c>
      <c r="G716" s="2">
        <v>2</v>
      </c>
      <c r="H716" s="2">
        <v>25000</v>
      </c>
      <c r="I716" s="2">
        <v>600</v>
      </c>
      <c r="J716" s="2" t="s">
        <v>1671</v>
      </c>
      <c r="K716" s="2">
        <v>51</v>
      </c>
      <c r="L716" s="2">
        <v>15</v>
      </c>
      <c r="M716" s="2">
        <v>0</v>
      </c>
      <c r="N716" s="2">
        <v>6</v>
      </c>
      <c r="O716" s="2">
        <v>10</v>
      </c>
      <c r="P716" s="2">
        <v>20</v>
      </c>
      <c r="Q716" s="2" t="s">
        <v>2132</v>
      </c>
      <c r="R716" s="2" t="s">
        <v>2132</v>
      </c>
      <c r="S716" s="4">
        <v>44837</v>
      </c>
    </row>
    <row r="717" spans="1:19" ht="12.5" x14ac:dyDescent="0.25">
      <c r="A717" s="14" t="str">
        <f>HYPERLINK("https://gerandofalcoes.my.salesforce.com/0014P00003YSp95QAD", "0014P00003YSp95QAD")</f>
        <v>0014P00003YSp95QAD</v>
      </c>
      <c r="B717" s="2" t="s">
        <v>1861</v>
      </c>
      <c r="C717" s="2" t="s">
        <v>423</v>
      </c>
      <c r="D717" s="2" t="s">
        <v>2</v>
      </c>
      <c r="E717" s="2">
        <v>36</v>
      </c>
      <c r="F717" s="2">
        <v>8</v>
      </c>
      <c r="G717" s="2">
        <v>3</v>
      </c>
      <c r="H717" s="2">
        <v>60127</v>
      </c>
      <c r="I717" s="2">
        <v>841</v>
      </c>
      <c r="J717" s="2" t="s">
        <v>1671</v>
      </c>
      <c r="K717" s="2">
        <v>63</v>
      </c>
      <c r="L717" s="2">
        <v>15</v>
      </c>
      <c r="M717" s="2">
        <v>10</v>
      </c>
      <c r="N717" s="2">
        <v>8</v>
      </c>
      <c r="O717" s="2">
        <v>10</v>
      </c>
      <c r="P717" s="2">
        <v>20</v>
      </c>
      <c r="Q717" s="2" t="s">
        <v>1862</v>
      </c>
      <c r="R717" s="2" t="s">
        <v>1863</v>
      </c>
      <c r="S717" s="4">
        <v>44837</v>
      </c>
    </row>
    <row r="718" spans="1:19" ht="12.5" hidden="1" x14ac:dyDescent="0.25">
      <c r="A718" s="14" t="str">
        <f>HYPERLINK("https://gerandofalcoes.my.salesforce.com/0014P00003YSp97QAD", "0014P00003YSp97QAD")</f>
        <v>0014P00003YSp97QAD</v>
      </c>
      <c r="B718" s="2" t="s">
        <v>2013</v>
      </c>
      <c r="C718" s="2" t="s">
        <v>1800</v>
      </c>
      <c r="D718" s="2" t="s">
        <v>2</v>
      </c>
      <c r="E718" s="2">
        <v>38</v>
      </c>
      <c r="F718" s="2">
        <v>5</v>
      </c>
      <c r="G718" s="2">
        <v>3</v>
      </c>
      <c r="H718" s="2">
        <v>900000</v>
      </c>
      <c r="I718" s="2">
        <v>450</v>
      </c>
      <c r="J718" s="2" t="s">
        <v>1650</v>
      </c>
      <c r="K718" s="2">
        <v>73</v>
      </c>
      <c r="L718" s="2">
        <v>15</v>
      </c>
      <c r="M718" s="2">
        <v>5</v>
      </c>
      <c r="N718" s="2">
        <v>8</v>
      </c>
      <c r="O718" s="2">
        <v>25</v>
      </c>
      <c r="P718" s="2">
        <v>20</v>
      </c>
      <c r="Q718" s="2" t="s">
        <v>2014</v>
      </c>
      <c r="R718" s="2" t="s">
        <v>2015</v>
      </c>
      <c r="S718" s="4">
        <v>44837</v>
      </c>
    </row>
    <row r="719" spans="1:19" ht="12.5" x14ac:dyDescent="0.25">
      <c r="A719" s="14" t="str">
        <f>HYPERLINK("https://gerandofalcoes.my.salesforce.com/0014P00003YSp98QAD", "0014P00003YSp98QAD")</f>
        <v>0014P00003YSp98QAD</v>
      </c>
      <c r="B719" s="2" t="s">
        <v>2010</v>
      </c>
      <c r="C719" s="2" t="s">
        <v>423</v>
      </c>
      <c r="D719" s="2" t="s">
        <v>2</v>
      </c>
      <c r="E719" s="2">
        <v>38</v>
      </c>
      <c r="F719" s="2">
        <v>5</v>
      </c>
      <c r="G719" s="2">
        <v>2</v>
      </c>
      <c r="H719" s="2">
        <v>15000</v>
      </c>
      <c r="I719" s="2">
        <v>500</v>
      </c>
      <c r="J719" s="2" t="s">
        <v>1671</v>
      </c>
      <c r="K719" s="2">
        <v>51</v>
      </c>
      <c r="L719" s="2">
        <v>15</v>
      </c>
      <c r="M719" s="2">
        <v>5</v>
      </c>
      <c r="N719" s="2">
        <v>6</v>
      </c>
      <c r="O719" s="2">
        <v>5</v>
      </c>
      <c r="P719" s="2">
        <v>20</v>
      </c>
      <c r="Q719" s="2" t="s">
        <v>2011</v>
      </c>
      <c r="R719" s="2" t="s">
        <v>2012</v>
      </c>
      <c r="S719" s="4">
        <v>44837</v>
      </c>
    </row>
    <row r="720" spans="1:19" ht="12.5" x14ac:dyDescent="0.25">
      <c r="A720" s="14" t="str">
        <f>HYPERLINK("https://gerandofalcoes.my.salesforce.com/0014P00003YSp99QAD", "0014P00003YSp99QAD")</f>
        <v>0014P00003YSp99QAD</v>
      </c>
      <c r="B720" s="2" t="s">
        <v>1695</v>
      </c>
      <c r="C720" s="2" t="s">
        <v>423</v>
      </c>
      <c r="D720" s="2" t="s">
        <v>2</v>
      </c>
      <c r="E720" s="2">
        <v>41</v>
      </c>
      <c r="F720" s="2">
        <v>0</v>
      </c>
      <c r="G720" s="2">
        <v>5</v>
      </c>
      <c r="H720" s="2">
        <v>68450</v>
      </c>
      <c r="I720" s="2">
        <v>204</v>
      </c>
      <c r="J720" s="2" t="s">
        <v>1671</v>
      </c>
      <c r="K720" s="2">
        <v>47</v>
      </c>
      <c r="L720" s="2">
        <v>15</v>
      </c>
      <c r="M720" s="2">
        <v>0</v>
      </c>
      <c r="N720" s="2">
        <v>10</v>
      </c>
      <c r="O720" s="2">
        <v>10</v>
      </c>
      <c r="P720" s="2">
        <v>12</v>
      </c>
      <c r="Q720" s="2" t="s">
        <v>1696</v>
      </c>
      <c r="R720" s="2" t="s">
        <v>1697</v>
      </c>
      <c r="S720" s="4">
        <v>44837</v>
      </c>
    </row>
    <row r="721" spans="1:19" ht="12.5" x14ac:dyDescent="0.25">
      <c r="A721" s="14" t="str">
        <f>HYPERLINK("https://gerandofalcoes.my.salesforce.com/0014P00003YSp9AQAT", "0014P00003YSp9AQAT")</f>
        <v>0014P00003YSp9AQAT</v>
      </c>
      <c r="B721" s="2" t="s">
        <v>1957</v>
      </c>
      <c r="C721" s="2" t="s">
        <v>423</v>
      </c>
      <c r="D721" s="2" t="s">
        <v>2</v>
      </c>
      <c r="E721" s="2">
        <v>40.99</v>
      </c>
      <c r="F721" s="2">
        <v>0</v>
      </c>
      <c r="G721" s="2">
        <v>4</v>
      </c>
      <c r="H721" s="2">
        <v>45453</v>
      </c>
      <c r="I721" s="2">
        <v>355</v>
      </c>
      <c r="J721" s="2" t="s">
        <v>1671</v>
      </c>
      <c r="K721" s="2">
        <v>50</v>
      </c>
      <c r="L721" s="2">
        <v>15</v>
      </c>
      <c r="M721" s="2">
        <v>0</v>
      </c>
      <c r="N721" s="2">
        <v>10</v>
      </c>
      <c r="O721" s="2">
        <v>10</v>
      </c>
      <c r="P721" s="2">
        <v>15</v>
      </c>
      <c r="Q721" s="2" t="s">
        <v>1958</v>
      </c>
      <c r="R721" s="2" t="s">
        <v>1958</v>
      </c>
      <c r="S721" s="4">
        <v>44837</v>
      </c>
    </row>
    <row r="722" spans="1:19" ht="12.5" hidden="1" x14ac:dyDescent="0.25">
      <c r="A722" s="14" t="str">
        <f>HYPERLINK("https://gerandofalcoes.my.salesforce.com/0014P00003YSp9BQAT", "0014P00003YSp9BQAT")</f>
        <v>0014P00003YSp9BQAT</v>
      </c>
      <c r="B722" s="2" t="s">
        <v>2839</v>
      </c>
      <c r="C722" s="2" t="s">
        <v>1800</v>
      </c>
      <c r="D722" s="2" t="s">
        <v>2</v>
      </c>
      <c r="E722" s="2">
        <v>11</v>
      </c>
      <c r="F722" s="2">
        <v>24</v>
      </c>
      <c r="G722" s="2">
        <v>4</v>
      </c>
      <c r="H722" s="2">
        <v>200</v>
      </c>
      <c r="I722" s="2">
        <v>112</v>
      </c>
      <c r="J722" s="2" t="s">
        <v>1671</v>
      </c>
      <c r="K722" s="2">
        <v>47</v>
      </c>
      <c r="L722" s="2">
        <v>10</v>
      </c>
      <c r="M722" s="2">
        <v>12</v>
      </c>
      <c r="N722" s="2">
        <v>10</v>
      </c>
      <c r="O722" s="2">
        <v>5</v>
      </c>
      <c r="P722" s="2">
        <v>10</v>
      </c>
      <c r="Q722" s="2" t="s">
        <v>2840</v>
      </c>
      <c r="R722" s="2" t="s">
        <v>2841</v>
      </c>
      <c r="S722" s="4">
        <v>44837</v>
      </c>
    </row>
    <row r="723" spans="1:19" ht="12.5" hidden="1" x14ac:dyDescent="0.25">
      <c r="A723" s="14" t="str">
        <f>HYPERLINK("https://gerandofalcoes.my.salesforce.com/0014P00003YSp9CQAT", "0014P00003YSp9CQAT")</f>
        <v>0014P00003YSp9CQAT</v>
      </c>
      <c r="B723" s="2" t="s">
        <v>2103</v>
      </c>
      <c r="C723" s="2" t="s">
        <v>1800</v>
      </c>
      <c r="D723" s="2" t="s">
        <v>2</v>
      </c>
      <c r="E723" s="2">
        <v>35</v>
      </c>
      <c r="F723" s="2">
        <v>1</v>
      </c>
      <c r="G723" s="2">
        <v>2</v>
      </c>
      <c r="H723" s="2">
        <v>120000</v>
      </c>
      <c r="I723" s="2">
        <v>100</v>
      </c>
      <c r="J723" s="2" t="s">
        <v>1671</v>
      </c>
      <c r="K723" s="2">
        <v>51</v>
      </c>
      <c r="L723" s="2">
        <v>15</v>
      </c>
      <c r="M723" s="2">
        <v>5</v>
      </c>
      <c r="N723" s="2">
        <v>6</v>
      </c>
      <c r="O723" s="2">
        <v>15</v>
      </c>
      <c r="P723" s="2">
        <v>10</v>
      </c>
      <c r="Q723" s="2" t="s">
        <v>2104</v>
      </c>
      <c r="R723" s="2" t="s">
        <v>2105</v>
      </c>
      <c r="S723" s="4">
        <v>44837</v>
      </c>
    </row>
    <row r="724" spans="1:19" ht="12.5" hidden="1" x14ac:dyDescent="0.25">
      <c r="A724" s="14" t="str">
        <f>HYPERLINK("https://gerandofalcoes.my.salesforce.com/0014P00003YSp9DQAT", "0014P00003YSp9DQAT")</f>
        <v>0014P00003YSp9DQAT</v>
      </c>
      <c r="B724" s="2" t="s">
        <v>2539</v>
      </c>
      <c r="C724" s="2" t="s">
        <v>1684</v>
      </c>
      <c r="D724" s="2" t="s">
        <v>2</v>
      </c>
      <c r="E724" s="2">
        <v>21</v>
      </c>
      <c r="F724" s="2">
        <v>1</v>
      </c>
      <c r="G724" s="2">
        <v>0</v>
      </c>
      <c r="H724" s="2">
        <v>0</v>
      </c>
      <c r="I724" s="2">
        <v>0</v>
      </c>
      <c r="J724" s="2" t="s">
        <v>1779</v>
      </c>
      <c r="K724" s="2">
        <v>15</v>
      </c>
      <c r="L724" s="2">
        <v>10</v>
      </c>
      <c r="M724" s="2">
        <v>5</v>
      </c>
      <c r="N724" s="2">
        <v>0</v>
      </c>
      <c r="O724" s="2">
        <v>0</v>
      </c>
      <c r="P724" s="2">
        <v>0</v>
      </c>
      <c r="Q724" s="2" t="s">
        <v>2540</v>
      </c>
      <c r="R724" s="2" t="s">
        <v>2540</v>
      </c>
      <c r="S724" s="4">
        <v>44837</v>
      </c>
    </row>
    <row r="725" spans="1:19" ht="12.5" x14ac:dyDescent="0.25">
      <c r="A725" s="14" t="str">
        <f>HYPERLINK("https://gerandofalcoes.my.salesforce.com/0014P00003YSp9EQAT", "0014P00003YSp9EQAT")</f>
        <v>0014P00003YSp9EQAT</v>
      </c>
      <c r="B725" s="2" t="s">
        <v>2279</v>
      </c>
      <c r="C725" s="2" t="s">
        <v>423</v>
      </c>
      <c r="D725" s="2" t="s">
        <v>2</v>
      </c>
      <c r="E725" s="2">
        <v>29.85</v>
      </c>
      <c r="F725" s="2">
        <v>2</v>
      </c>
      <c r="G725" s="2">
        <v>0</v>
      </c>
      <c r="H725" s="2">
        <v>0</v>
      </c>
      <c r="I725" s="2">
        <v>30</v>
      </c>
      <c r="J725" s="2" t="s">
        <v>1779</v>
      </c>
      <c r="K725" s="2">
        <v>25</v>
      </c>
      <c r="L725" s="2">
        <v>15</v>
      </c>
      <c r="M725" s="2">
        <v>5</v>
      </c>
      <c r="N725" s="2">
        <v>0</v>
      </c>
      <c r="O725" s="2">
        <v>0</v>
      </c>
      <c r="P725" s="2">
        <v>5</v>
      </c>
      <c r="Q725" s="2" t="s">
        <v>2280</v>
      </c>
      <c r="R725" s="2" t="s">
        <v>2281</v>
      </c>
      <c r="S725" s="4">
        <v>44837</v>
      </c>
    </row>
    <row r="726" spans="1:19" ht="12.5" x14ac:dyDescent="0.25">
      <c r="A726" s="14" t="str">
        <f>HYPERLINK("https://gerandofalcoes.my.salesforce.com/0014P00003YSp9FQAT", "0014P00003YSp9FQAT")</f>
        <v>0014P00003YSp9FQAT</v>
      </c>
      <c r="B726" s="2" t="s">
        <v>1972</v>
      </c>
      <c r="C726" s="2" t="s">
        <v>423</v>
      </c>
      <c r="D726" s="2" t="s">
        <v>2</v>
      </c>
      <c r="E726" s="2">
        <v>43</v>
      </c>
      <c r="F726" s="2">
        <v>7</v>
      </c>
      <c r="G726" s="2">
        <v>1</v>
      </c>
      <c r="H726" s="2">
        <v>43800</v>
      </c>
      <c r="I726" s="2">
        <v>60</v>
      </c>
      <c r="J726" s="2" t="s">
        <v>1671</v>
      </c>
      <c r="K726" s="2">
        <v>44</v>
      </c>
      <c r="L726" s="2">
        <v>15</v>
      </c>
      <c r="M726" s="2">
        <v>10</v>
      </c>
      <c r="N726" s="2">
        <v>4</v>
      </c>
      <c r="O726" s="2">
        <v>10</v>
      </c>
      <c r="P726" s="2">
        <v>5</v>
      </c>
      <c r="Q726" s="2" t="s">
        <v>1973</v>
      </c>
      <c r="R726" s="2" t="s">
        <v>1974</v>
      </c>
      <c r="S726" s="4">
        <v>44837</v>
      </c>
    </row>
    <row r="727" spans="1:19" ht="12.5" x14ac:dyDescent="0.25">
      <c r="A727" s="14" t="str">
        <f>HYPERLINK("https://gerandofalcoes.my.salesforce.com/0014P00003YSp9HQAT", "0014P00003YSp9HQAT")</f>
        <v>0014P00003YSp9HQAT</v>
      </c>
      <c r="B727" s="2" t="s">
        <v>2147</v>
      </c>
      <c r="C727" s="2" t="s">
        <v>423</v>
      </c>
      <c r="D727" s="2" t="s">
        <v>2</v>
      </c>
      <c r="E727" s="2">
        <v>36.79</v>
      </c>
      <c r="F727" s="2">
        <v>0</v>
      </c>
      <c r="G727" s="2">
        <v>2</v>
      </c>
      <c r="H727" s="2">
        <v>6435</v>
      </c>
      <c r="I727" s="2">
        <v>0</v>
      </c>
      <c r="J727" s="2" t="s">
        <v>1779</v>
      </c>
      <c r="K727" s="2">
        <v>26</v>
      </c>
      <c r="L727" s="2">
        <v>15</v>
      </c>
      <c r="M727" s="2">
        <v>0</v>
      </c>
      <c r="N727" s="2">
        <v>6</v>
      </c>
      <c r="O727" s="2">
        <v>5</v>
      </c>
      <c r="P727" s="2">
        <v>0</v>
      </c>
      <c r="Q727" s="2" t="s">
        <v>2148</v>
      </c>
      <c r="R727" s="2" t="s">
        <v>2149</v>
      </c>
      <c r="S727" s="4">
        <v>44837</v>
      </c>
    </row>
    <row r="728" spans="1:19" ht="12.5" hidden="1" x14ac:dyDescent="0.25">
      <c r="A728" s="14" t="str">
        <f>HYPERLINK("https://gerandofalcoes.my.salesforce.com/0014P00003YSp9IQAT", "0014P00003YSp9IQAT")</f>
        <v>0014P00003YSp9IQAT</v>
      </c>
      <c r="B728" s="2" t="s">
        <v>2425</v>
      </c>
      <c r="C728" s="2" t="s">
        <v>1684</v>
      </c>
      <c r="D728" s="2" t="s">
        <v>2</v>
      </c>
      <c r="E728" s="2">
        <v>25</v>
      </c>
      <c r="F728" s="2">
        <v>0</v>
      </c>
      <c r="G728" s="2">
        <v>0</v>
      </c>
      <c r="H728" s="2">
        <v>0</v>
      </c>
      <c r="I728" s="2">
        <v>0</v>
      </c>
      <c r="J728" s="2" t="s">
        <v>1779</v>
      </c>
      <c r="K728" s="2">
        <v>15</v>
      </c>
      <c r="L728" s="2">
        <v>15</v>
      </c>
      <c r="M728" s="2">
        <v>0</v>
      </c>
      <c r="N728" s="2">
        <v>0</v>
      </c>
      <c r="O728" s="2">
        <v>0</v>
      </c>
      <c r="P728" s="2">
        <v>0</v>
      </c>
      <c r="Q728" s="2" t="s">
        <v>2426</v>
      </c>
      <c r="R728" s="2" t="s">
        <v>2427</v>
      </c>
      <c r="S728" s="4">
        <v>44837</v>
      </c>
    </row>
    <row r="729" spans="1:19" ht="12.5" x14ac:dyDescent="0.25">
      <c r="A729" s="14" t="str">
        <f>HYPERLINK("https://gerandofalcoes.my.salesforce.com/0014P00003YSp9JQAT", "0014P00003YSp9JQAT")</f>
        <v>0014P00003YSp9JQAT</v>
      </c>
      <c r="B729" s="2" t="s">
        <v>2046</v>
      </c>
      <c r="C729" s="2" t="s">
        <v>423</v>
      </c>
      <c r="D729" s="2" t="s">
        <v>2</v>
      </c>
      <c r="E729" s="2">
        <v>37</v>
      </c>
      <c r="F729" s="2">
        <v>4</v>
      </c>
      <c r="G729" s="2">
        <v>4</v>
      </c>
      <c r="H729" s="2">
        <v>125000</v>
      </c>
      <c r="I729" s="2">
        <v>60</v>
      </c>
      <c r="J729" s="2" t="s">
        <v>1671</v>
      </c>
      <c r="K729" s="2">
        <v>50</v>
      </c>
      <c r="L729" s="2">
        <v>15</v>
      </c>
      <c r="M729" s="2">
        <v>5</v>
      </c>
      <c r="N729" s="2">
        <v>10</v>
      </c>
      <c r="O729" s="2">
        <v>15</v>
      </c>
      <c r="P729" s="2">
        <v>5</v>
      </c>
      <c r="Q729" s="2" t="s">
        <v>2047</v>
      </c>
      <c r="R729" s="2" t="s">
        <v>2048</v>
      </c>
      <c r="S729" s="4">
        <v>44837</v>
      </c>
    </row>
    <row r="730" spans="1:19" ht="12.5" x14ac:dyDescent="0.25">
      <c r="A730" s="14" t="str">
        <f>HYPERLINK("https://gerandofalcoes.my.salesforce.com/0014P00003YSp9LQAT", "0014P00003YSp9LQAT")</f>
        <v>0014P00003YSp9LQAT</v>
      </c>
      <c r="B730" s="2" t="s">
        <v>1908</v>
      </c>
      <c r="C730" s="2" t="s">
        <v>423</v>
      </c>
      <c r="D730" s="2" t="s">
        <v>2</v>
      </c>
      <c r="E730" s="2">
        <v>43</v>
      </c>
      <c r="F730" s="2">
        <v>16</v>
      </c>
      <c r="G730" s="2">
        <v>6</v>
      </c>
      <c r="H730" s="2">
        <v>153000</v>
      </c>
      <c r="I730" s="2">
        <v>593</v>
      </c>
      <c r="J730" s="2" t="s">
        <v>1650</v>
      </c>
      <c r="K730" s="2">
        <v>72</v>
      </c>
      <c r="L730" s="2">
        <v>15</v>
      </c>
      <c r="M730" s="2">
        <v>12</v>
      </c>
      <c r="N730" s="2">
        <v>10</v>
      </c>
      <c r="O730" s="2">
        <v>15</v>
      </c>
      <c r="P730" s="2">
        <v>20</v>
      </c>
      <c r="Q730" s="2" t="s">
        <v>1909</v>
      </c>
      <c r="R730" s="2" t="s">
        <v>1909</v>
      </c>
      <c r="S730" s="4">
        <v>44837</v>
      </c>
    </row>
    <row r="731" spans="1:19" ht="12.5" hidden="1" x14ac:dyDescent="0.25">
      <c r="A731" s="14" t="str">
        <f>HYPERLINK("https://gerandofalcoes.my.salesforce.com/0014P00003YSp9MQAT", "0014P00003YSp9MQAT")</f>
        <v>0014P00003YSp9MQAT</v>
      </c>
      <c r="B731" s="2" t="s">
        <v>1887</v>
      </c>
      <c r="C731" s="2" t="s">
        <v>1800</v>
      </c>
      <c r="D731" s="2" t="s">
        <v>2</v>
      </c>
      <c r="E731" s="2">
        <v>44</v>
      </c>
      <c r="F731" s="2">
        <v>2</v>
      </c>
      <c r="G731" s="2">
        <v>2</v>
      </c>
      <c r="H731" s="2">
        <v>9000</v>
      </c>
      <c r="I731" s="2">
        <v>30</v>
      </c>
      <c r="J731" s="2" t="s">
        <v>1779</v>
      </c>
      <c r="K731" s="2">
        <v>36</v>
      </c>
      <c r="L731" s="2">
        <v>15</v>
      </c>
      <c r="M731" s="2">
        <v>5</v>
      </c>
      <c r="N731" s="2">
        <v>6</v>
      </c>
      <c r="O731" s="2">
        <v>5</v>
      </c>
      <c r="P731" s="2">
        <v>5</v>
      </c>
      <c r="Q731" s="2" t="s">
        <v>1888</v>
      </c>
      <c r="R731" s="2" t="s">
        <v>1888</v>
      </c>
      <c r="S731" s="4">
        <v>44837</v>
      </c>
    </row>
    <row r="732" spans="1:19" ht="12.5" x14ac:dyDescent="0.25">
      <c r="A732" s="14" t="str">
        <f>HYPERLINK("https://gerandofalcoes.my.salesforce.com/0014P00003YSp9NQAT", "0014P00003YSp9NQAT")</f>
        <v>0014P00003YSp9NQAT</v>
      </c>
      <c r="B732" s="2" t="s">
        <v>2275</v>
      </c>
      <c r="C732" s="2" t="s">
        <v>423</v>
      </c>
      <c r="D732" s="2" t="s">
        <v>2</v>
      </c>
      <c r="E732" s="2">
        <v>30</v>
      </c>
      <c r="F732" s="2">
        <v>0</v>
      </c>
      <c r="G732" s="2">
        <v>2</v>
      </c>
      <c r="H732" s="2">
        <v>11000</v>
      </c>
      <c r="I732" s="2">
        <v>20</v>
      </c>
      <c r="J732" s="2" t="s">
        <v>1779</v>
      </c>
      <c r="K732" s="2">
        <v>31</v>
      </c>
      <c r="L732" s="2">
        <v>15</v>
      </c>
      <c r="M732" s="2">
        <v>0</v>
      </c>
      <c r="N732" s="2">
        <v>6</v>
      </c>
      <c r="O732" s="2">
        <v>5</v>
      </c>
      <c r="P732" s="2">
        <v>5</v>
      </c>
      <c r="Q732" s="2" t="s">
        <v>2276</v>
      </c>
      <c r="R732" s="2" t="s">
        <v>2276</v>
      </c>
      <c r="S732" s="4">
        <v>44837</v>
      </c>
    </row>
    <row r="733" spans="1:19" ht="12.5" hidden="1" x14ac:dyDescent="0.25">
      <c r="A733" s="14" t="str">
        <f>HYPERLINK("https://gerandofalcoes.my.salesforce.com/0014P00003YSp9OQAT", "0014P00003YSp9OQAT")</f>
        <v>0014P00003YSp9OQAT</v>
      </c>
      <c r="B733" s="2" t="s">
        <v>2593</v>
      </c>
      <c r="C733" s="2" t="s">
        <v>1800</v>
      </c>
      <c r="D733" s="2" t="s">
        <v>2</v>
      </c>
      <c r="E733" s="2">
        <v>19</v>
      </c>
      <c r="F733" s="2">
        <v>0</v>
      </c>
      <c r="G733" s="2">
        <v>8</v>
      </c>
      <c r="H733" s="2">
        <v>15000</v>
      </c>
      <c r="I733" s="2">
        <v>958</v>
      </c>
      <c r="J733" s="2" t="s">
        <v>1671</v>
      </c>
      <c r="K733" s="2">
        <v>45</v>
      </c>
      <c r="L733" s="2">
        <v>10</v>
      </c>
      <c r="M733" s="2">
        <v>0</v>
      </c>
      <c r="N733" s="2">
        <v>10</v>
      </c>
      <c r="O733" s="2">
        <v>5</v>
      </c>
      <c r="P733" s="2">
        <v>20</v>
      </c>
      <c r="Q733" s="2" t="s">
        <v>2594</v>
      </c>
      <c r="R733" s="2" t="s">
        <v>2595</v>
      </c>
      <c r="S733" s="4">
        <v>44837</v>
      </c>
    </row>
    <row r="734" spans="1:19" ht="12.5" x14ac:dyDescent="0.25">
      <c r="A734" s="14" t="str">
        <f>HYPERLINK("https://gerandofalcoes.my.salesforce.com/0014P00003YSpA0QAL", "0014P00003YSpA0QAL")</f>
        <v>0014P00003YSpA0QAL</v>
      </c>
      <c r="B734" s="2" t="s">
        <v>2734</v>
      </c>
      <c r="C734" s="2" t="s">
        <v>423</v>
      </c>
      <c r="D734" s="2" t="s">
        <v>2</v>
      </c>
      <c r="E734" s="2">
        <v>8</v>
      </c>
      <c r="F734" s="2">
        <v>10</v>
      </c>
      <c r="G734" s="2">
        <v>0</v>
      </c>
      <c r="H734" s="2">
        <v>0</v>
      </c>
      <c r="I734" s="2">
        <v>52</v>
      </c>
      <c r="J734" s="2" t="s">
        <v>1779</v>
      </c>
      <c r="K734" s="2">
        <v>25</v>
      </c>
      <c r="L734" s="2">
        <v>10</v>
      </c>
      <c r="M734" s="2">
        <v>10</v>
      </c>
      <c r="N734" s="2">
        <v>0</v>
      </c>
      <c r="O734" s="2">
        <v>0</v>
      </c>
      <c r="P734" s="2">
        <v>5</v>
      </c>
      <c r="Q734" s="2" t="s">
        <v>2735</v>
      </c>
      <c r="R734" s="2" t="s">
        <v>2736</v>
      </c>
      <c r="S734" s="4">
        <v>44837</v>
      </c>
    </row>
    <row r="735" spans="1:19" ht="12.5" hidden="1" x14ac:dyDescent="0.25">
      <c r="A735" s="14" t="str">
        <f>HYPERLINK("https://gerandofalcoes.my.salesforce.com/0014P00003YSpA1QAL", "0014P00003YSpA1QAL")</f>
        <v>0014P00003YSpA1QAL</v>
      </c>
      <c r="B735" s="2" t="s">
        <v>2238</v>
      </c>
      <c r="C735" s="2" t="s">
        <v>1800</v>
      </c>
      <c r="D735" s="2" t="s">
        <v>2</v>
      </c>
      <c r="E735" s="2">
        <v>31</v>
      </c>
      <c r="F735" s="2">
        <v>0</v>
      </c>
      <c r="G735" s="2">
        <v>2</v>
      </c>
      <c r="H735" s="2">
        <v>50000</v>
      </c>
      <c r="I735" s="2">
        <v>41</v>
      </c>
      <c r="J735" s="2" t="s">
        <v>1779</v>
      </c>
      <c r="K735" s="2">
        <v>36</v>
      </c>
      <c r="L735" s="2">
        <v>15</v>
      </c>
      <c r="M735" s="2">
        <v>0</v>
      </c>
      <c r="N735" s="2">
        <v>6</v>
      </c>
      <c r="O735" s="2">
        <v>10</v>
      </c>
      <c r="P735" s="2">
        <v>5</v>
      </c>
      <c r="Q735" s="2" t="s">
        <v>2239</v>
      </c>
      <c r="R735" s="2" t="s">
        <v>2239</v>
      </c>
      <c r="S735" s="4">
        <v>44837</v>
      </c>
    </row>
    <row r="736" spans="1:19" ht="12.5" x14ac:dyDescent="0.25">
      <c r="A736" s="14" t="str">
        <f>HYPERLINK("https://gerandofalcoes.my.salesforce.com/0014P00003YSpA2QAL", "0014P00003YSpA2QAL")</f>
        <v>0014P00003YSpA2QAL</v>
      </c>
      <c r="B736" s="2" t="s">
        <v>2469</v>
      </c>
      <c r="C736" s="2" t="s">
        <v>423</v>
      </c>
      <c r="D736" s="2" t="s">
        <v>2</v>
      </c>
      <c r="E736" s="2">
        <v>23</v>
      </c>
      <c r="F736" s="2">
        <v>0</v>
      </c>
      <c r="G736" s="2">
        <v>2</v>
      </c>
      <c r="H736" s="2">
        <v>12000</v>
      </c>
      <c r="I736" s="2">
        <v>0</v>
      </c>
      <c r="J736" s="2" t="s">
        <v>1779</v>
      </c>
      <c r="K736" s="2">
        <v>21</v>
      </c>
      <c r="L736" s="2">
        <v>10</v>
      </c>
      <c r="M736" s="2">
        <v>0</v>
      </c>
      <c r="N736" s="2">
        <v>6</v>
      </c>
      <c r="O736" s="2">
        <v>5</v>
      </c>
      <c r="P736" s="2">
        <v>0</v>
      </c>
      <c r="Q736" s="2" t="s">
        <v>2470</v>
      </c>
      <c r="R736" s="2" t="s">
        <v>2471</v>
      </c>
      <c r="S736" s="4">
        <v>44837</v>
      </c>
    </row>
    <row r="737" spans="1:19" ht="12.5" hidden="1" x14ac:dyDescent="0.25">
      <c r="A737" s="14" t="str">
        <f>HYPERLINK("https://gerandofalcoes.my.salesforce.com/0014P00003YSpA3QAL", "0014P00003YSpA3QAL")</f>
        <v>0014P00003YSpA3QAL</v>
      </c>
      <c r="B737" s="2" t="s">
        <v>1910</v>
      </c>
      <c r="C737" s="2" t="s">
        <v>1800</v>
      </c>
      <c r="D737" s="2" t="s">
        <v>2</v>
      </c>
      <c r="E737" s="2">
        <v>43</v>
      </c>
      <c r="F737" s="2">
        <v>10</v>
      </c>
      <c r="G737" s="2">
        <v>2</v>
      </c>
      <c r="H737" s="2">
        <v>15000</v>
      </c>
      <c r="I737" s="2">
        <v>100</v>
      </c>
      <c r="J737" s="2" t="s">
        <v>1671</v>
      </c>
      <c r="K737" s="2">
        <v>46</v>
      </c>
      <c r="L737" s="2">
        <v>15</v>
      </c>
      <c r="M737" s="2">
        <v>10</v>
      </c>
      <c r="N737" s="2">
        <v>6</v>
      </c>
      <c r="O737" s="2">
        <v>5</v>
      </c>
      <c r="P737" s="2">
        <v>10</v>
      </c>
      <c r="Q737" s="2" t="s">
        <v>1911</v>
      </c>
      <c r="R737" s="2" t="s">
        <v>1912</v>
      </c>
      <c r="S737" s="4">
        <v>44837</v>
      </c>
    </row>
    <row r="738" spans="1:19" ht="12.5" x14ac:dyDescent="0.25">
      <c r="A738" s="14" t="str">
        <f>HYPERLINK("https://gerandofalcoes.my.salesforce.com/0014P00003YSpA5QAL", "0014P00003YSpA5QAL")</f>
        <v>0014P00003YSpA5QAL</v>
      </c>
      <c r="B738" s="2" t="s">
        <v>1983</v>
      </c>
      <c r="C738" s="2" t="s">
        <v>423</v>
      </c>
      <c r="D738" s="2" t="s">
        <v>2</v>
      </c>
      <c r="E738" s="2">
        <v>39</v>
      </c>
      <c r="F738" s="2">
        <v>2</v>
      </c>
      <c r="G738" s="2">
        <v>5</v>
      </c>
      <c r="H738" s="2">
        <v>90000</v>
      </c>
      <c r="I738" s="2">
        <v>350</v>
      </c>
      <c r="J738" s="2" t="s">
        <v>1671</v>
      </c>
      <c r="K738" s="2">
        <v>55</v>
      </c>
      <c r="L738" s="2">
        <v>15</v>
      </c>
      <c r="M738" s="2">
        <v>5</v>
      </c>
      <c r="N738" s="2">
        <v>10</v>
      </c>
      <c r="O738" s="2">
        <v>10</v>
      </c>
      <c r="P738" s="2">
        <v>15</v>
      </c>
      <c r="Q738" s="2" t="s">
        <v>1984</v>
      </c>
      <c r="R738" s="2" t="s">
        <v>1985</v>
      </c>
      <c r="S738" s="4">
        <v>44837</v>
      </c>
    </row>
    <row r="739" spans="1:19" ht="12.5" x14ac:dyDescent="0.25">
      <c r="A739" s="14" t="str">
        <f>HYPERLINK("https://gerandofalcoes.my.salesforce.com/0014P00003YSpA7QAL", "0014P00003YSpA7QAL")</f>
        <v>0014P00003YSpA7QAL</v>
      </c>
      <c r="B739" s="2" t="s">
        <v>2818</v>
      </c>
      <c r="C739" s="2" t="s">
        <v>423</v>
      </c>
      <c r="D739" s="2" t="s">
        <v>2</v>
      </c>
      <c r="E739" s="2">
        <v>12.03</v>
      </c>
      <c r="F739" s="2">
        <v>1</v>
      </c>
      <c r="G739" s="2">
        <v>1</v>
      </c>
      <c r="H739" s="2">
        <v>200000</v>
      </c>
      <c r="I739" s="2">
        <v>120</v>
      </c>
      <c r="J739" s="2" t="s">
        <v>1671</v>
      </c>
      <c r="K739" s="2">
        <v>44</v>
      </c>
      <c r="L739" s="2">
        <v>10</v>
      </c>
      <c r="M739" s="2">
        <v>5</v>
      </c>
      <c r="N739" s="2">
        <v>4</v>
      </c>
      <c r="O739" s="2">
        <v>15</v>
      </c>
      <c r="P739" s="2">
        <v>10</v>
      </c>
      <c r="Q739" s="2" t="s">
        <v>2819</v>
      </c>
      <c r="R739" s="2" t="s">
        <v>2819</v>
      </c>
      <c r="S739" s="4">
        <v>44837</v>
      </c>
    </row>
    <row r="740" spans="1:19" ht="12.5" hidden="1" x14ac:dyDescent="0.25">
      <c r="A740" s="14" t="str">
        <f>HYPERLINK("https://gerandofalcoes.my.salesforce.com/0014P00003YSpA8QAL", "0014P00003YSpA8QAL")</f>
        <v>0014P00003YSpA8QAL</v>
      </c>
      <c r="B740" s="2" t="s">
        <v>2647</v>
      </c>
      <c r="C740" s="2" t="s">
        <v>1800</v>
      </c>
      <c r="D740" s="2" t="s">
        <v>2</v>
      </c>
      <c r="E740" s="2">
        <v>18</v>
      </c>
      <c r="F740" s="2">
        <v>0</v>
      </c>
      <c r="G740" s="2">
        <v>2</v>
      </c>
      <c r="H740" s="2">
        <v>0</v>
      </c>
      <c r="I740" s="2">
        <v>0</v>
      </c>
      <c r="J740" s="2" t="s">
        <v>1779</v>
      </c>
      <c r="K740" s="2">
        <v>16</v>
      </c>
      <c r="L740" s="2">
        <v>10</v>
      </c>
      <c r="M740" s="2">
        <v>0</v>
      </c>
      <c r="N740" s="2">
        <v>6</v>
      </c>
      <c r="O740" s="2">
        <v>0</v>
      </c>
      <c r="P740" s="2">
        <v>0</v>
      </c>
      <c r="Q740" s="2" t="s">
        <v>2648</v>
      </c>
      <c r="R740" s="2" t="s">
        <v>2648</v>
      </c>
      <c r="S740" s="4">
        <v>44837</v>
      </c>
    </row>
    <row r="741" spans="1:19" ht="12.5" hidden="1" x14ac:dyDescent="0.25">
      <c r="A741" s="14" t="str">
        <f>HYPERLINK("https://gerandofalcoes.my.salesforce.com/0014P00003YSp9xQAD", "0014P00003YSp9xQAD")</f>
        <v>0014P00003YSp9xQAD</v>
      </c>
      <c r="B741" s="2" t="s">
        <v>2330</v>
      </c>
      <c r="C741" s="2" t="s">
        <v>1800</v>
      </c>
      <c r="D741" s="2" t="s">
        <v>2</v>
      </c>
      <c r="E741" s="2">
        <v>28</v>
      </c>
      <c r="F741" s="2">
        <v>0</v>
      </c>
      <c r="G741" s="2">
        <v>2</v>
      </c>
      <c r="H741" s="2">
        <v>120000</v>
      </c>
      <c r="I741" s="2">
        <v>29</v>
      </c>
      <c r="J741" s="2" t="s">
        <v>1671</v>
      </c>
      <c r="K741" s="2">
        <v>41</v>
      </c>
      <c r="L741" s="2">
        <v>15</v>
      </c>
      <c r="M741" s="2">
        <v>0</v>
      </c>
      <c r="N741" s="2">
        <v>6</v>
      </c>
      <c r="O741" s="2">
        <v>15</v>
      </c>
      <c r="P741" s="2">
        <v>5</v>
      </c>
      <c r="Q741" s="2" t="s">
        <v>2331</v>
      </c>
      <c r="R741" s="2" t="s">
        <v>2331</v>
      </c>
      <c r="S741" s="4">
        <v>44837</v>
      </c>
    </row>
    <row r="742" spans="1:19" ht="12.5" x14ac:dyDescent="0.25">
      <c r="A742" s="14" t="str">
        <f>HYPERLINK("https://gerandofalcoes.my.salesforce.com/0014P00003YSpA9QAL", "0014P00003YSpA9QAL")</f>
        <v>0014P00003YSpA9QAL</v>
      </c>
      <c r="B742" s="2" t="s">
        <v>1835</v>
      </c>
      <c r="C742" s="2" t="s">
        <v>423</v>
      </c>
      <c r="D742" s="2" t="s">
        <v>2</v>
      </c>
      <c r="E742" s="2">
        <v>31</v>
      </c>
      <c r="F742" s="2">
        <v>0</v>
      </c>
      <c r="G742" s="2">
        <v>2</v>
      </c>
      <c r="H742" s="2">
        <v>21270</v>
      </c>
      <c r="I742" s="2">
        <v>25</v>
      </c>
      <c r="J742" s="2" t="s">
        <v>1779</v>
      </c>
      <c r="K742" s="2">
        <v>31</v>
      </c>
      <c r="L742" s="2">
        <v>15</v>
      </c>
      <c r="M742" s="2">
        <v>0</v>
      </c>
      <c r="N742" s="2">
        <v>6</v>
      </c>
      <c r="O742" s="2">
        <v>5</v>
      </c>
      <c r="P742" s="2">
        <v>5</v>
      </c>
      <c r="Q742" s="2" t="s">
        <v>1836</v>
      </c>
      <c r="R742" s="2" t="s">
        <v>7152</v>
      </c>
      <c r="S742" s="4">
        <v>44837</v>
      </c>
    </row>
    <row r="743" spans="1:19" ht="12.5" hidden="1" x14ac:dyDescent="0.25">
      <c r="A743" s="14" t="str">
        <f>HYPERLINK("https://gerandofalcoes.my.salesforce.com/0014P00003YSpAAQA1", "0014P00003YSpAAQA1")</f>
        <v>0014P00003YSpAAQA1</v>
      </c>
      <c r="B743" s="2" t="s">
        <v>2428</v>
      </c>
      <c r="C743" s="2" t="s">
        <v>1684</v>
      </c>
      <c r="D743" s="2" t="s">
        <v>2</v>
      </c>
      <c r="E743" s="2">
        <v>25</v>
      </c>
      <c r="F743" s="2">
        <v>0</v>
      </c>
      <c r="G743" s="2">
        <v>0</v>
      </c>
      <c r="H743" s="2">
        <v>0</v>
      </c>
      <c r="I743" s="2">
        <v>0</v>
      </c>
      <c r="J743" s="2" t="s">
        <v>1779</v>
      </c>
      <c r="K743" s="2">
        <v>15</v>
      </c>
      <c r="L743" s="2">
        <v>15</v>
      </c>
      <c r="M743" s="2">
        <v>0</v>
      </c>
      <c r="N743" s="2">
        <v>0</v>
      </c>
      <c r="O743" s="2">
        <v>0</v>
      </c>
      <c r="P743" s="2">
        <v>0</v>
      </c>
      <c r="Q743" s="2" t="s">
        <v>2429</v>
      </c>
      <c r="R743" s="2" t="s">
        <v>2430</v>
      </c>
      <c r="S743" s="4">
        <v>44837</v>
      </c>
    </row>
    <row r="744" spans="1:19" ht="12.5" hidden="1" x14ac:dyDescent="0.25">
      <c r="A744" s="14" t="str">
        <f>HYPERLINK("https://gerandofalcoes.my.salesforce.com/0014P00003YSp9yQAD", "0014P00003YSp9yQAD")</f>
        <v>0014P00003YSp9yQAD</v>
      </c>
      <c r="B744" s="2" t="s">
        <v>2007</v>
      </c>
      <c r="C744" s="2" t="s">
        <v>1800</v>
      </c>
      <c r="D744" s="2" t="s">
        <v>2</v>
      </c>
      <c r="E744" s="2">
        <v>38</v>
      </c>
      <c r="F744" s="2">
        <v>63</v>
      </c>
      <c r="G744" s="2">
        <v>3</v>
      </c>
      <c r="H744" s="2">
        <v>750106</v>
      </c>
      <c r="I744" s="2">
        <v>900</v>
      </c>
      <c r="J744" s="2" t="s">
        <v>1650</v>
      </c>
      <c r="K744" s="2">
        <v>78</v>
      </c>
      <c r="L744" s="2">
        <v>15</v>
      </c>
      <c r="M744" s="2">
        <v>15</v>
      </c>
      <c r="N744" s="2">
        <v>8</v>
      </c>
      <c r="O744" s="2">
        <v>20</v>
      </c>
      <c r="P744" s="2">
        <v>20</v>
      </c>
      <c r="Q744" s="2" t="s">
        <v>2008</v>
      </c>
      <c r="R744" s="2" t="s">
        <v>2009</v>
      </c>
      <c r="S744" s="4">
        <v>44837</v>
      </c>
    </row>
    <row r="745" spans="1:19" ht="12.5" x14ac:dyDescent="0.25">
      <c r="A745" s="14" t="str">
        <f>HYPERLINK("https://gerandofalcoes.my.salesforce.com/0014P00003YSp9zQAD", "0014P00003YSp9zQAD")</f>
        <v>0014P00003YSp9zQAD</v>
      </c>
      <c r="B745" s="2" t="s">
        <v>1776</v>
      </c>
      <c r="C745" s="2" t="s">
        <v>423</v>
      </c>
      <c r="D745" s="2" t="s">
        <v>2</v>
      </c>
      <c r="E745" s="2">
        <v>34</v>
      </c>
      <c r="F745" s="2">
        <v>0</v>
      </c>
      <c r="G745" s="2">
        <v>12</v>
      </c>
      <c r="H745" s="2">
        <v>17000000</v>
      </c>
      <c r="I745" s="2">
        <v>750</v>
      </c>
      <c r="J745" s="2" t="s">
        <v>1650</v>
      </c>
      <c r="K745" s="2">
        <v>70</v>
      </c>
      <c r="L745" s="2">
        <v>15</v>
      </c>
      <c r="M745" s="2">
        <v>0</v>
      </c>
      <c r="N745" s="2">
        <v>10</v>
      </c>
      <c r="O745" s="2">
        <v>25</v>
      </c>
      <c r="P745" s="2">
        <v>20</v>
      </c>
      <c r="Q745" s="2" t="s">
        <v>1777</v>
      </c>
      <c r="R745" s="2" t="s">
        <v>1777</v>
      </c>
      <c r="S745" s="4">
        <v>44837</v>
      </c>
    </row>
    <row r="746" spans="1:19" ht="12.5" hidden="1" x14ac:dyDescent="0.25">
      <c r="A746" s="14" t="str">
        <f>HYPERLINK("https://gerandofalcoes.my.salesforce.com/0014P00003YSpACQA1", "0014P00003YSpACQA1")</f>
        <v>0014P00003YSpACQA1</v>
      </c>
      <c r="B746" s="2" t="s">
        <v>2601</v>
      </c>
      <c r="C746" s="2" t="s">
        <v>1800</v>
      </c>
      <c r="D746" s="2" t="s">
        <v>2</v>
      </c>
      <c r="E746" s="2">
        <v>19</v>
      </c>
      <c r="F746" s="2">
        <v>2</v>
      </c>
      <c r="G746" s="2">
        <v>2</v>
      </c>
      <c r="H746" s="2">
        <v>0</v>
      </c>
      <c r="I746" s="2">
        <v>120</v>
      </c>
      <c r="J746" s="2" t="s">
        <v>1779</v>
      </c>
      <c r="K746" s="2">
        <v>31</v>
      </c>
      <c r="L746" s="2">
        <v>10</v>
      </c>
      <c r="M746" s="2">
        <v>5</v>
      </c>
      <c r="N746" s="2">
        <v>6</v>
      </c>
      <c r="O746" s="2">
        <v>0</v>
      </c>
      <c r="P746" s="2">
        <v>10</v>
      </c>
      <c r="Q746" s="2" t="s">
        <v>2602</v>
      </c>
      <c r="R746" s="2" t="s">
        <v>2602</v>
      </c>
      <c r="S746" s="4">
        <v>44837</v>
      </c>
    </row>
    <row r="747" spans="1:19" ht="12.5" x14ac:dyDescent="0.25">
      <c r="A747" s="14" t="str">
        <f>HYPERLINK("https://gerandofalcoes.my.salesforce.com/0014P00003YSpADQA1", "0014P00003YSpADQA1")</f>
        <v>0014P00003YSpADQA1</v>
      </c>
      <c r="B747" s="2" t="s">
        <v>1736</v>
      </c>
      <c r="C747" s="2" t="s">
        <v>423</v>
      </c>
      <c r="D747" s="2" t="s">
        <v>2</v>
      </c>
      <c r="E747" s="2">
        <v>41</v>
      </c>
      <c r="F747" s="2">
        <v>10</v>
      </c>
      <c r="G747" s="2">
        <v>7</v>
      </c>
      <c r="H747" s="2">
        <v>595384</v>
      </c>
      <c r="I747" s="2">
        <v>246</v>
      </c>
      <c r="J747" s="2" t="s">
        <v>1650</v>
      </c>
      <c r="K747" s="2">
        <v>67</v>
      </c>
      <c r="L747" s="2">
        <v>15</v>
      </c>
      <c r="M747" s="2">
        <v>10</v>
      </c>
      <c r="N747" s="2">
        <v>10</v>
      </c>
      <c r="O747" s="2">
        <v>20</v>
      </c>
      <c r="P747" s="2">
        <v>12</v>
      </c>
      <c r="Q747" s="2" t="s">
        <v>1737</v>
      </c>
      <c r="R747" s="2" t="s">
        <v>1737</v>
      </c>
      <c r="S747" s="4">
        <v>44837</v>
      </c>
    </row>
    <row r="748" spans="1:19" ht="12.5" x14ac:dyDescent="0.25">
      <c r="A748" s="14" t="str">
        <f>HYPERLINK("https://gerandofalcoes.my.salesforce.com/0014P00003YSpAEQA1", "0014P00003YSpAEQA1")</f>
        <v>0014P00003YSpAEQA1</v>
      </c>
      <c r="B748" s="2" t="s">
        <v>2962</v>
      </c>
      <c r="C748" s="2" t="s">
        <v>423</v>
      </c>
      <c r="D748" s="2" t="s">
        <v>2</v>
      </c>
      <c r="E748" s="2">
        <v>17</v>
      </c>
      <c r="F748" s="2">
        <v>0</v>
      </c>
      <c r="G748" s="2">
        <v>0</v>
      </c>
      <c r="H748" s="2">
        <v>0</v>
      </c>
      <c r="I748" s="2">
        <v>300</v>
      </c>
      <c r="J748" s="2" t="s">
        <v>1779</v>
      </c>
      <c r="K748" s="2">
        <v>25</v>
      </c>
      <c r="L748" s="2">
        <v>10</v>
      </c>
      <c r="M748" s="2">
        <v>0</v>
      </c>
      <c r="N748" s="2">
        <v>0</v>
      </c>
      <c r="O748" s="2">
        <v>0</v>
      </c>
      <c r="P748" s="2">
        <v>15</v>
      </c>
      <c r="Q748" s="2" t="s">
        <v>2963</v>
      </c>
      <c r="R748" s="2" t="s">
        <v>2964</v>
      </c>
      <c r="S748" s="4">
        <v>44837</v>
      </c>
    </row>
    <row r="749" spans="1:19" ht="12.5" hidden="1" x14ac:dyDescent="0.25">
      <c r="A749" s="14" t="str">
        <f>HYPERLINK("https://gerandofalcoes.my.salesforce.com/0014P00003YSpAFQA1", "0014P00003YSpAFQA1")</f>
        <v>0014P00003YSpAFQA1</v>
      </c>
      <c r="B749" s="2" t="s">
        <v>2191</v>
      </c>
      <c r="C749" s="2" t="s">
        <v>1684</v>
      </c>
      <c r="D749" s="2" t="s">
        <v>2</v>
      </c>
      <c r="E749" s="2">
        <v>33</v>
      </c>
      <c r="F749" s="2">
        <v>3</v>
      </c>
      <c r="G749" s="2">
        <v>0</v>
      </c>
      <c r="H749" s="2">
        <v>0</v>
      </c>
      <c r="I749" s="2">
        <v>0</v>
      </c>
      <c r="J749" s="2" t="s">
        <v>1779</v>
      </c>
      <c r="K749" s="2">
        <v>20</v>
      </c>
      <c r="L749" s="2">
        <v>15</v>
      </c>
      <c r="M749" s="2">
        <v>5</v>
      </c>
      <c r="N749" s="2">
        <v>0</v>
      </c>
      <c r="O749" s="2">
        <v>0</v>
      </c>
      <c r="P749" s="2">
        <v>0</v>
      </c>
      <c r="Q749" s="2" t="s">
        <v>2192</v>
      </c>
      <c r="R749" s="2" t="s">
        <v>2193</v>
      </c>
      <c r="S749" s="4">
        <v>44837</v>
      </c>
    </row>
    <row r="750" spans="1:19" ht="12.5" x14ac:dyDescent="0.25">
      <c r="A750" s="14" t="str">
        <f>HYPERLINK("https://gerandofalcoes.my.salesforce.com/0014P00003YSpAGQA1", "0014P00003YSpAGQA1")</f>
        <v>0014P00003YSpAGQA1</v>
      </c>
      <c r="B750" s="2" t="s">
        <v>2850</v>
      </c>
      <c r="C750" s="2" t="s">
        <v>423</v>
      </c>
      <c r="D750" s="2" t="s">
        <v>2</v>
      </c>
      <c r="E750" s="2">
        <v>20</v>
      </c>
      <c r="F750" s="2">
        <v>0</v>
      </c>
      <c r="G750" s="2">
        <v>2</v>
      </c>
      <c r="H750" s="2">
        <v>3156570</v>
      </c>
      <c r="I750" s="2">
        <v>120</v>
      </c>
      <c r="J750" s="2" t="s">
        <v>1671</v>
      </c>
      <c r="K750" s="2">
        <v>51</v>
      </c>
      <c r="L750" s="2">
        <v>10</v>
      </c>
      <c r="M750" s="2">
        <v>0</v>
      </c>
      <c r="N750" s="2">
        <v>6</v>
      </c>
      <c r="O750" s="2">
        <v>25</v>
      </c>
      <c r="P750" s="2">
        <v>10</v>
      </c>
      <c r="Q750" s="2" t="s">
        <v>2851</v>
      </c>
      <c r="R750" s="2" t="s">
        <v>2852</v>
      </c>
      <c r="S750" s="4">
        <v>44837</v>
      </c>
    </row>
    <row r="751" spans="1:19" ht="12.5" x14ac:dyDescent="0.25">
      <c r="A751" s="14" t="str">
        <f>HYPERLINK("https://gerandofalcoes.my.salesforce.com/0014P00003YSpAHQA1", "0014P00003YSpAHQA1")</f>
        <v>0014P00003YSpAHQA1</v>
      </c>
      <c r="B751" s="2" t="s">
        <v>1881</v>
      </c>
      <c r="C751" s="2" t="s">
        <v>423</v>
      </c>
      <c r="D751" s="2" t="s">
        <v>2</v>
      </c>
      <c r="E751" s="2">
        <v>44.09</v>
      </c>
      <c r="F751" s="2">
        <v>34</v>
      </c>
      <c r="G751" s="2">
        <v>3</v>
      </c>
      <c r="H751" s="2">
        <v>109250786</v>
      </c>
      <c r="I751" s="2">
        <v>15</v>
      </c>
      <c r="J751" s="2" t="s">
        <v>1650</v>
      </c>
      <c r="K751" s="2">
        <v>68</v>
      </c>
      <c r="L751" s="2">
        <v>15</v>
      </c>
      <c r="M751" s="2">
        <v>15</v>
      </c>
      <c r="N751" s="2">
        <v>8</v>
      </c>
      <c r="O751" s="2">
        <v>25</v>
      </c>
      <c r="P751" s="2">
        <v>5</v>
      </c>
      <c r="Q751" s="2" t="s">
        <v>1882</v>
      </c>
      <c r="R751" s="2" t="s">
        <v>1882</v>
      </c>
      <c r="S751" s="4">
        <v>44837</v>
      </c>
    </row>
    <row r="752" spans="1:19" ht="12.5" x14ac:dyDescent="0.25">
      <c r="A752" s="14" t="str">
        <f>HYPERLINK("https://gerandofalcoes.my.salesforce.com/0014P00003YSpAIQA1", "0014P00003YSpAIQA1")</f>
        <v>0014P00003YSpAIQA1</v>
      </c>
      <c r="B752" s="2" t="s">
        <v>1810</v>
      </c>
      <c r="C752" s="2" t="s">
        <v>423</v>
      </c>
      <c r="D752" s="2" t="s">
        <v>2</v>
      </c>
      <c r="E752" s="2">
        <v>52.5</v>
      </c>
      <c r="F752" s="2">
        <v>0</v>
      </c>
      <c r="G752" s="2">
        <v>3</v>
      </c>
      <c r="H752" s="2">
        <v>17707602</v>
      </c>
      <c r="I752" s="2">
        <v>0</v>
      </c>
      <c r="J752" s="2" t="s">
        <v>1671</v>
      </c>
      <c r="K752" s="2">
        <v>53</v>
      </c>
      <c r="L752" s="2">
        <v>20</v>
      </c>
      <c r="M752" s="2">
        <v>0</v>
      </c>
      <c r="N752" s="2">
        <v>8</v>
      </c>
      <c r="O752" s="2">
        <v>25</v>
      </c>
      <c r="P752" s="2">
        <v>0</v>
      </c>
      <c r="Q752" s="2" t="s">
        <v>1811</v>
      </c>
      <c r="R752" s="2" t="s">
        <v>1812</v>
      </c>
      <c r="S752" s="4">
        <v>44837</v>
      </c>
    </row>
    <row r="753" spans="1:19" ht="12.5" x14ac:dyDescent="0.25">
      <c r="A753" s="14" t="str">
        <f>HYPERLINK("https://gerandofalcoes.my.salesforce.com/0014X00002VKCp5QAH", "0014X00002VKCp5QAH")</f>
        <v>0014X00002VKCp5QAH</v>
      </c>
      <c r="B753" s="2" t="s">
        <v>2289</v>
      </c>
      <c r="C753" s="2" t="s">
        <v>423</v>
      </c>
      <c r="D753" s="2" t="s">
        <v>2</v>
      </c>
      <c r="E753" s="2">
        <v>29</v>
      </c>
      <c r="F753" s="2">
        <v>0</v>
      </c>
      <c r="G753" s="2">
        <v>8</v>
      </c>
      <c r="H753" s="2">
        <v>52000</v>
      </c>
      <c r="I753" s="2">
        <v>2500</v>
      </c>
      <c r="J753" s="2" t="s">
        <v>1671</v>
      </c>
      <c r="K753" s="2">
        <v>55</v>
      </c>
      <c r="L753" s="2">
        <v>15</v>
      </c>
      <c r="M753" s="2">
        <v>0</v>
      </c>
      <c r="N753" s="2">
        <v>10</v>
      </c>
      <c r="O753" s="2">
        <v>10</v>
      </c>
      <c r="P753" s="2">
        <v>20</v>
      </c>
      <c r="Q753" s="2" t="s">
        <v>2290</v>
      </c>
      <c r="R753" s="2" t="s">
        <v>2291</v>
      </c>
      <c r="S753" s="4">
        <v>44837</v>
      </c>
    </row>
    <row r="754" spans="1:19" ht="12.5" x14ac:dyDescent="0.25">
      <c r="A754" s="14" t="str">
        <f>HYPERLINK("https://gerandofalcoes.my.salesforce.com/0014X00002VKCqlQAH", "0014X00002VKCqlQAH")</f>
        <v>0014X00002VKCqlQAH</v>
      </c>
      <c r="B754" s="2" t="s">
        <v>1741</v>
      </c>
      <c r="C754" s="2" t="s">
        <v>423</v>
      </c>
      <c r="D754" s="2" t="s">
        <v>2</v>
      </c>
      <c r="E754" s="2">
        <v>71</v>
      </c>
      <c r="F754" s="2">
        <v>5</v>
      </c>
      <c r="G754" s="2">
        <v>3</v>
      </c>
      <c r="H754" s="2">
        <v>300000</v>
      </c>
      <c r="I754" s="2">
        <v>83</v>
      </c>
      <c r="J754" s="2" t="s">
        <v>1671</v>
      </c>
      <c r="K754" s="2">
        <v>63</v>
      </c>
      <c r="L754" s="2">
        <v>20</v>
      </c>
      <c r="M754" s="2">
        <v>5</v>
      </c>
      <c r="N754" s="2">
        <v>8</v>
      </c>
      <c r="O754" s="2">
        <v>20</v>
      </c>
      <c r="P754" s="2">
        <v>10</v>
      </c>
      <c r="Q754" s="2" t="s">
        <v>1742</v>
      </c>
      <c r="R754" s="2" t="s">
        <v>1743</v>
      </c>
      <c r="S754" s="4">
        <v>44837</v>
      </c>
    </row>
    <row r="755" spans="1:19" ht="12.5" hidden="1" x14ac:dyDescent="0.25">
      <c r="A755" s="14" t="str">
        <f>HYPERLINK("https://gerandofalcoes.my.salesforce.com/0014X00002VKCqaQAH", "0014X00002VKCqaQAH")</f>
        <v>0014X00002VKCqaQAH</v>
      </c>
      <c r="B755" s="2" t="s">
        <v>2277</v>
      </c>
      <c r="C755" s="2" t="s">
        <v>1800</v>
      </c>
      <c r="D755" s="2" t="s">
        <v>2</v>
      </c>
      <c r="E755" s="2">
        <v>30</v>
      </c>
      <c r="F755" s="2">
        <v>0</v>
      </c>
      <c r="G755" s="2">
        <v>2</v>
      </c>
      <c r="H755" s="2">
        <v>0</v>
      </c>
      <c r="I755" s="2">
        <v>10</v>
      </c>
      <c r="J755" s="2" t="s">
        <v>1779</v>
      </c>
      <c r="K755" s="2">
        <v>26</v>
      </c>
      <c r="L755" s="2">
        <v>15</v>
      </c>
      <c r="M755" s="2">
        <v>0</v>
      </c>
      <c r="N755" s="2">
        <v>6</v>
      </c>
      <c r="O755" s="2">
        <v>0</v>
      </c>
      <c r="P755" s="2">
        <v>5</v>
      </c>
      <c r="Q755" s="2" t="s">
        <v>2278</v>
      </c>
      <c r="R755" s="2" t="s">
        <v>2278</v>
      </c>
      <c r="S755" s="4">
        <v>44837</v>
      </c>
    </row>
    <row r="756" spans="1:19" ht="12.5" hidden="1" x14ac:dyDescent="0.25">
      <c r="A756" s="14" t="str">
        <f>HYPERLINK("https://gerandofalcoes.my.salesforce.com/0014X00002VKCqvQAH", "0014X00002VKCqvQAH")</f>
        <v>0014X00002VKCqvQAH</v>
      </c>
      <c r="B756" s="2" t="s">
        <v>2261</v>
      </c>
      <c r="C756" s="2" t="s">
        <v>1800</v>
      </c>
      <c r="D756" s="2" t="s">
        <v>2</v>
      </c>
      <c r="E756" s="2">
        <v>30</v>
      </c>
      <c r="F756" s="2">
        <v>0</v>
      </c>
      <c r="G756" s="2">
        <v>3</v>
      </c>
      <c r="H756" s="2">
        <v>10000</v>
      </c>
      <c r="I756" s="2">
        <v>300</v>
      </c>
      <c r="J756" s="2" t="s">
        <v>1671</v>
      </c>
      <c r="K756" s="2">
        <v>43</v>
      </c>
      <c r="L756" s="2">
        <v>15</v>
      </c>
      <c r="M756" s="2">
        <v>0</v>
      </c>
      <c r="N756" s="2">
        <v>8</v>
      </c>
      <c r="O756" s="2">
        <v>5</v>
      </c>
      <c r="P756" s="2">
        <v>15</v>
      </c>
      <c r="Q756" s="2" t="s">
        <v>2262</v>
      </c>
      <c r="R756" s="2" t="s">
        <v>2263</v>
      </c>
      <c r="S756" s="4">
        <v>44837</v>
      </c>
    </row>
    <row r="757" spans="1:19" ht="12.5" x14ac:dyDescent="0.25">
      <c r="A757" s="14" t="str">
        <f>HYPERLINK("https://gerandofalcoes.my.salesforce.com/0014X00002VKCtpQAH", "0014X00002VKCtpQAH")</f>
        <v>0014X00002VKCtpQAH</v>
      </c>
      <c r="B757" s="2" t="s">
        <v>2616</v>
      </c>
      <c r="C757" s="2" t="s">
        <v>423</v>
      </c>
      <c r="D757" s="2" t="s">
        <v>2</v>
      </c>
      <c r="E757" s="2">
        <v>19</v>
      </c>
      <c r="F757" s="2">
        <v>0</v>
      </c>
      <c r="G757" s="2">
        <v>2</v>
      </c>
      <c r="H757" s="2">
        <v>0</v>
      </c>
      <c r="I757" s="2">
        <v>0</v>
      </c>
      <c r="J757" s="2" t="s">
        <v>1779</v>
      </c>
      <c r="K757" s="2">
        <v>16</v>
      </c>
      <c r="L757" s="2">
        <v>10</v>
      </c>
      <c r="M757" s="2">
        <v>0</v>
      </c>
      <c r="N757" s="2">
        <v>6</v>
      </c>
      <c r="O757" s="2">
        <v>0</v>
      </c>
      <c r="P757" s="2">
        <v>0</v>
      </c>
      <c r="Q757" s="2" t="s">
        <v>2617</v>
      </c>
      <c r="R757" s="2" t="s">
        <v>2618</v>
      </c>
      <c r="S757" s="4">
        <v>44837</v>
      </c>
    </row>
    <row r="758" spans="1:19" ht="12.5" x14ac:dyDescent="0.25">
      <c r="A758" s="14" t="str">
        <f>HYPERLINK("https://gerandofalcoes.my.salesforce.com/0014X00002VKCpkQAH", "0014X00002VKCpkQAH")</f>
        <v>0014X00002VKCpkQAH</v>
      </c>
      <c r="B758" s="2" t="s">
        <v>2096</v>
      </c>
      <c r="C758" s="2" t="s">
        <v>423</v>
      </c>
      <c r="D758" s="2" t="s">
        <v>2</v>
      </c>
      <c r="E758" s="2">
        <v>35</v>
      </c>
      <c r="F758" s="2">
        <v>15</v>
      </c>
      <c r="G758" s="2">
        <v>4</v>
      </c>
      <c r="H758" s="2">
        <v>78000</v>
      </c>
      <c r="I758" s="2">
        <v>240</v>
      </c>
      <c r="J758" s="2" t="s">
        <v>1671</v>
      </c>
      <c r="K758" s="2">
        <v>59</v>
      </c>
      <c r="L758" s="2">
        <v>15</v>
      </c>
      <c r="M758" s="2">
        <v>12</v>
      </c>
      <c r="N758" s="2">
        <v>10</v>
      </c>
      <c r="O758" s="2">
        <v>10</v>
      </c>
      <c r="P758" s="2">
        <v>12</v>
      </c>
      <c r="Q758" s="2" t="s">
        <v>2097</v>
      </c>
      <c r="R758" s="2" t="s">
        <v>2097</v>
      </c>
      <c r="S758" s="4">
        <v>44837</v>
      </c>
    </row>
    <row r="759" spans="1:19" ht="12.5" x14ac:dyDescent="0.25">
      <c r="A759" s="14" t="str">
        <f>HYPERLINK("https://gerandofalcoes.my.salesforce.com/0014X00002VKCs5QAH", "0014X00002VKCs5QAH")</f>
        <v>0014X00002VKCs5QAH</v>
      </c>
      <c r="B759" s="2" t="s">
        <v>2588</v>
      </c>
      <c r="C759" s="2" t="s">
        <v>423</v>
      </c>
      <c r="D759" s="2" t="s">
        <v>2</v>
      </c>
      <c r="E759" s="2">
        <v>42</v>
      </c>
      <c r="F759" s="2">
        <v>0</v>
      </c>
      <c r="G759" s="2">
        <v>3</v>
      </c>
      <c r="H759" s="2">
        <v>140000</v>
      </c>
      <c r="I759" s="2">
        <v>0</v>
      </c>
      <c r="J759" s="2" t="s">
        <v>1779</v>
      </c>
      <c r="K759" s="2">
        <v>38</v>
      </c>
      <c r="L759" s="2">
        <v>15</v>
      </c>
      <c r="M759" s="2">
        <v>0</v>
      </c>
      <c r="N759" s="2">
        <v>8</v>
      </c>
      <c r="O759" s="2">
        <v>15</v>
      </c>
      <c r="P759" s="2">
        <v>0</v>
      </c>
      <c r="Q759" s="2" t="s">
        <v>2589</v>
      </c>
      <c r="R759" s="2" t="s">
        <v>2590</v>
      </c>
      <c r="S759" s="4">
        <v>44837</v>
      </c>
    </row>
    <row r="760" spans="1:19" ht="12.5" x14ac:dyDescent="0.25">
      <c r="A760" s="14" t="str">
        <f>HYPERLINK("https://gerandofalcoes.my.salesforce.com/0014X00002VKCqjQAH", "0014X00002VKCqjQAH")</f>
        <v>0014X00002VKCqjQAH</v>
      </c>
      <c r="B760" s="2" t="s">
        <v>2683</v>
      </c>
      <c r="C760" s="2" t="s">
        <v>423</v>
      </c>
      <c r="D760" s="2" t="s">
        <v>2</v>
      </c>
      <c r="E760" s="2">
        <v>23</v>
      </c>
      <c r="F760" s="2">
        <v>0</v>
      </c>
      <c r="G760" s="2">
        <v>3</v>
      </c>
      <c r="H760" s="2">
        <v>8000</v>
      </c>
      <c r="I760" s="2">
        <v>200</v>
      </c>
      <c r="J760" s="2" t="s">
        <v>1779</v>
      </c>
      <c r="K760" s="2">
        <v>35</v>
      </c>
      <c r="L760" s="2">
        <v>10</v>
      </c>
      <c r="M760" s="2">
        <v>0</v>
      </c>
      <c r="N760" s="2">
        <v>8</v>
      </c>
      <c r="O760" s="2">
        <v>5</v>
      </c>
      <c r="P760" s="2">
        <v>12</v>
      </c>
      <c r="Q760" s="2" t="s">
        <v>2684</v>
      </c>
      <c r="R760" s="2" t="s">
        <v>2685</v>
      </c>
      <c r="S760" s="4">
        <v>44837</v>
      </c>
    </row>
    <row r="761" spans="1:19" ht="12.5" hidden="1" x14ac:dyDescent="0.25">
      <c r="A761" s="14" t="str">
        <f>HYPERLINK("https://gerandofalcoes.my.salesforce.com/0014X00002VKCqoQAH", "0014X00002VKCqoQAH")</f>
        <v>0014X00002VKCqoQAH</v>
      </c>
      <c r="B761" s="2" t="s">
        <v>2076</v>
      </c>
      <c r="C761" s="2" t="s">
        <v>1800</v>
      </c>
      <c r="D761" s="2" t="s">
        <v>2</v>
      </c>
      <c r="E761" s="2">
        <v>36</v>
      </c>
      <c r="F761" s="2">
        <v>1</v>
      </c>
      <c r="G761" s="2">
        <v>7</v>
      </c>
      <c r="H761" s="2">
        <v>13800</v>
      </c>
      <c r="I761" s="2">
        <v>100</v>
      </c>
      <c r="J761" s="2" t="s">
        <v>1671</v>
      </c>
      <c r="K761" s="2">
        <v>45</v>
      </c>
      <c r="L761" s="2">
        <v>15</v>
      </c>
      <c r="M761" s="2">
        <v>5</v>
      </c>
      <c r="N761" s="2">
        <v>10</v>
      </c>
      <c r="O761" s="2">
        <v>5</v>
      </c>
      <c r="P761" s="2">
        <v>10</v>
      </c>
      <c r="Q761" s="2" t="s">
        <v>2077</v>
      </c>
      <c r="R761" s="2" t="s">
        <v>2077</v>
      </c>
      <c r="S761" s="4">
        <v>44837</v>
      </c>
    </row>
    <row r="762" spans="1:19" ht="12.5" x14ac:dyDescent="0.25">
      <c r="A762" s="14" t="str">
        <f>HYPERLINK("https://gerandofalcoes.my.salesforce.com/0014X00002VKCujQAH", "0014X00002VKCujQAH")</f>
        <v>0014X00002VKCujQAH</v>
      </c>
      <c r="B762" s="2" t="s">
        <v>1838</v>
      </c>
      <c r="C762" s="2" t="s">
        <v>423</v>
      </c>
      <c r="D762" s="2" t="s">
        <v>2</v>
      </c>
      <c r="E762" s="2">
        <v>74</v>
      </c>
      <c r="F762" s="2">
        <v>4</v>
      </c>
      <c r="G762" s="2">
        <v>1</v>
      </c>
      <c r="H762" s="2">
        <v>679520</v>
      </c>
      <c r="I762" s="2">
        <v>100</v>
      </c>
      <c r="J762" s="2" t="s">
        <v>1671</v>
      </c>
      <c r="K762" s="2">
        <v>59</v>
      </c>
      <c r="L762" s="2">
        <v>20</v>
      </c>
      <c r="M762" s="2">
        <v>5</v>
      </c>
      <c r="N762" s="2">
        <v>4</v>
      </c>
      <c r="O762" s="2">
        <v>20</v>
      </c>
      <c r="P762" s="2">
        <v>10</v>
      </c>
      <c r="Q762" s="2" t="s">
        <v>1839</v>
      </c>
      <c r="R762" s="2" t="s">
        <v>1840</v>
      </c>
      <c r="S762" s="4">
        <v>44837</v>
      </c>
    </row>
    <row r="763" spans="1:19" ht="12.5" x14ac:dyDescent="0.25">
      <c r="A763" s="14" t="str">
        <f>HYPERLINK("https://gerandofalcoes.my.salesforce.com/0014X00002VKCqOQAX", "0014X00002VKCqOQAX")</f>
        <v>0014X00002VKCqOQAX</v>
      </c>
      <c r="B763" s="2" t="s">
        <v>2521</v>
      </c>
      <c r="C763" s="2" t="s">
        <v>423</v>
      </c>
      <c r="D763" s="2" t="s">
        <v>2</v>
      </c>
      <c r="E763" s="2">
        <v>21</v>
      </c>
      <c r="F763" s="2">
        <v>2</v>
      </c>
      <c r="G763" s="2">
        <v>2</v>
      </c>
      <c r="H763" s="2">
        <v>0</v>
      </c>
      <c r="I763" s="2">
        <v>70</v>
      </c>
      <c r="J763" s="2" t="s">
        <v>1779</v>
      </c>
      <c r="K763" s="2">
        <v>26</v>
      </c>
      <c r="L763" s="2">
        <v>10</v>
      </c>
      <c r="M763" s="2">
        <v>5</v>
      </c>
      <c r="N763" s="2">
        <v>6</v>
      </c>
      <c r="O763" s="2">
        <v>0</v>
      </c>
      <c r="P763" s="2">
        <v>5</v>
      </c>
      <c r="Q763" s="2" t="s">
        <v>2522</v>
      </c>
      <c r="R763" s="2" t="s">
        <v>2522</v>
      </c>
      <c r="S763" s="4">
        <v>44837</v>
      </c>
    </row>
    <row r="764" spans="1:19" ht="12.5" x14ac:dyDescent="0.25">
      <c r="A764" s="14" t="str">
        <f>HYPERLINK("https://gerandofalcoes.my.salesforce.com/0014P00003Ck7X8QAJ", "0014P00003Ck7X8QAJ")</f>
        <v>0014P00003Ck7X8QAJ</v>
      </c>
      <c r="B764" s="2" t="s">
        <v>2809</v>
      </c>
      <c r="C764" s="2" t="s">
        <v>423</v>
      </c>
      <c r="D764" s="2" t="s">
        <v>2</v>
      </c>
      <c r="E764" s="2">
        <v>11</v>
      </c>
      <c r="F764" s="2">
        <v>0</v>
      </c>
      <c r="G764" s="2">
        <v>0</v>
      </c>
      <c r="H764" s="2">
        <v>12550</v>
      </c>
      <c r="I764" s="2">
        <v>50</v>
      </c>
      <c r="J764" s="2" t="s">
        <v>1779</v>
      </c>
      <c r="K764" s="2">
        <v>20</v>
      </c>
      <c r="L764" s="2">
        <v>10</v>
      </c>
      <c r="M764" s="2">
        <v>0</v>
      </c>
      <c r="N764" s="2">
        <v>0</v>
      </c>
      <c r="O764" s="2">
        <v>5</v>
      </c>
      <c r="P764" s="2">
        <v>5</v>
      </c>
      <c r="Q764" s="2" t="s">
        <v>891</v>
      </c>
      <c r="R764" s="2" t="s">
        <v>891</v>
      </c>
      <c r="S764" s="4">
        <v>44837</v>
      </c>
    </row>
    <row r="765" spans="1:19" ht="12.5" x14ac:dyDescent="0.25">
      <c r="A765" s="14" t="str">
        <f>HYPERLINK("https://gerandofalcoes.my.salesforce.com/0014X00002VKCuiQAH", "0014X00002VKCuiQAH")</f>
        <v>0014X00002VKCuiQAH</v>
      </c>
      <c r="B765" s="2" t="s">
        <v>1902</v>
      </c>
      <c r="C765" s="2" t="s">
        <v>423</v>
      </c>
      <c r="D765" s="2" t="s">
        <v>2</v>
      </c>
      <c r="E765" s="2">
        <v>51</v>
      </c>
      <c r="F765" s="2">
        <v>17</v>
      </c>
      <c r="G765" s="2">
        <v>7</v>
      </c>
      <c r="H765" s="2">
        <v>359673</v>
      </c>
      <c r="I765" s="2">
        <v>32</v>
      </c>
      <c r="J765" s="2" t="s">
        <v>1650</v>
      </c>
      <c r="K765" s="2">
        <v>67</v>
      </c>
      <c r="L765" s="2">
        <v>20</v>
      </c>
      <c r="M765" s="2">
        <v>12</v>
      </c>
      <c r="N765" s="2">
        <v>10</v>
      </c>
      <c r="O765" s="2">
        <v>20</v>
      </c>
      <c r="P765" s="2">
        <v>5</v>
      </c>
      <c r="Q765" s="2" t="s">
        <v>1903</v>
      </c>
      <c r="R765" s="2" t="s">
        <v>1904</v>
      </c>
      <c r="S765" s="4">
        <v>44837</v>
      </c>
    </row>
    <row r="766" spans="1:19" ht="12.5" x14ac:dyDescent="0.25">
      <c r="A766" s="14" t="str">
        <f>HYPERLINK("https://gerandofalcoes.my.salesforce.com/0014X00002VKCqJQAX", "0014X00002VKCqJQAX")</f>
        <v>0014X00002VKCqJQAX</v>
      </c>
      <c r="B766" s="2" t="s">
        <v>2868</v>
      </c>
      <c r="C766" s="2" t="s">
        <v>423</v>
      </c>
      <c r="D766" s="2" t="s">
        <v>2</v>
      </c>
      <c r="E766" s="2">
        <v>27</v>
      </c>
      <c r="F766" s="2">
        <v>0</v>
      </c>
      <c r="G766" s="2">
        <v>1</v>
      </c>
      <c r="H766" s="2">
        <v>16278</v>
      </c>
      <c r="I766" s="2">
        <v>100</v>
      </c>
      <c r="J766" s="2" t="s">
        <v>1779</v>
      </c>
      <c r="K766" s="2">
        <v>34</v>
      </c>
      <c r="L766" s="2">
        <v>15</v>
      </c>
      <c r="M766" s="2">
        <v>0</v>
      </c>
      <c r="N766" s="2">
        <v>4</v>
      </c>
      <c r="O766" s="2">
        <v>5</v>
      </c>
      <c r="P766" s="2">
        <v>10</v>
      </c>
      <c r="Q766" s="2" t="s">
        <v>2869</v>
      </c>
      <c r="R766" s="2" t="s">
        <v>2870</v>
      </c>
      <c r="S766" s="4">
        <v>44837</v>
      </c>
    </row>
    <row r="767" spans="1:19" ht="12.5" x14ac:dyDescent="0.25">
      <c r="A767" s="14" t="str">
        <f>HYPERLINK("https://gerandofalcoes.my.salesforce.com/0014X00002VKCu7QAH", "0014X00002VKCu7QAH")</f>
        <v>0014X00002VKCu7QAH</v>
      </c>
      <c r="B767" s="2" t="s">
        <v>2777</v>
      </c>
      <c r="C767" s="2" t="s">
        <v>423</v>
      </c>
      <c r="D767" s="2" t="s">
        <v>2</v>
      </c>
      <c r="E767" s="2">
        <v>20</v>
      </c>
      <c r="F767" s="2">
        <v>4</v>
      </c>
      <c r="G767" s="2">
        <v>2</v>
      </c>
      <c r="H767" s="2">
        <v>64700000</v>
      </c>
      <c r="I767" s="2">
        <v>210</v>
      </c>
      <c r="J767" s="2" t="s">
        <v>1671</v>
      </c>
      <c r="K767" s="2">
        <v>58</v>
      </c>
      <c r="L767" s="2">
        <v>10</v>
      </c>
      <c r="M767" s="2">
        <v>5</v>
      </c>
      <c r="N767" s="2">
        <v>6</v>
      </c>
      <c r="O767" s="2">
        <v>25</v>
      </c>
      <c r="P767" s="2">
        <v>12</v>
      </c>
      <c r="Q767" s="2" t="s">
        <v>2778</v>
      </c>
      <c r="R767" s="2" t="s">
        <v>2779</v>
      </c>
      <c r="S767" s="4">
        <v>44837</v>
      </c>
    </row>
    <row r="768" spans="1:19" ht="12.5" x14ac:dyDescent="0.25">
      <c r="A768" s="14" t="str">
        <f>HYPERLINK("https://gerandofalcoes.my.salesforce.com/0014X00002VKCs0QAH", "0014X00002VKCs0QAH")</f>
        <v>0014X00002VKCs0QAH</v>
      </c>
      <c r="B768" s="2" t="s">
        <v>1918</v>
      </c>
      <c r="C768" s="2" t="s">
        <v>423</v>
      </c>
      <c r="D768" s="2" t="s">
        <v>2</v>
      </c>
      <c r="E768" s="2">
        <v>42.91</v>
      </c>
      <c r="F768" s="2">
        <v>0</v>
      </c>
      <c r="G768" s="2">
        <v>2</v>
      </c>
      <c r="H768" s="2">
        <v>500000</v>
      </c>
      <c r="I768" s="2">
        <v>130</v>
      </c>
      <c r="J768" s="2" t="s">
        <v>1671</v>
      </c>
      <c r="K768" s="2">
        <v>51</v>
      </c>
      <c r="L768" s="2">
        <v>15</v>
      </c>
      <c r="M768" s="2">
        <v>0</v>
      </c>
      <c r="N768" s="2">
        <v>6</v>
      </c>
      <c r="O768" s="2">
        <v>20</v>
      </c>
      <c r="P768" s="2">
        <v>10</v>
      </c>
      <c r="Q768" s="2" t="s">
        <v>1919</v>
      </c>
      <c r="R768" s="2" t="s">
        <v>1920</v>
      </c>
      <c r="S768" s="4">
        <v>44837</v>
      </c>
    </row>
    <row r="769" spans="1:19" ht="12.5" hidden="1" x14ac:dyDescent="0.25">
      <c r="A769" s="14" t="str">
        <f>HYPERLINK("https://gerandofalcoes.my.salesforce.com/0014X00002VKCq8QAH", "0014X00002VKCq8QAH")</f>
        <v>0014X00002VKCq8QAH</v>
      </c>
      <c r="B769" s="2" t="s">
        <v>2721</v>
      </c>
      <c r="C769" s="2" t="s">
        <v>1800</v>
      </c>
      <c r="D769" s="2" t="s">
        <v>2</v>
      </c>
      <c r="E769" s="2">
        <v>15</v>
      </c>
      <c r="F769" s="2">
        <v>0</v>
      </c>
      <c r="G769" s="2">
        <v>3</v>
      </c>
      <c r="H769" s="2">
        <v>7000</v>
      </c>
      <c r="I769" s="2">
        <v>70</v>
      </c>
      <c r="J769" s="2" t="s">
        <v>1779</v>
      </c>
      <c r="K769" s="2">
        <v>28</v>
      </c>
      <c r="L769" s="2">
        <v>10</v>
      </c>
      <c r="M769" s="2">
        <v>0</v>
      </c>
      <c r="N769" s="2">
        <v>8</v>
      </c>
      <c r="O769" s="2">
        <v>5</v>
      </c>
      <c r="P769" s="2">
        <v>5</v>
      </c>
      <c r="Q769" s="2" t="s">
        <v>2722</v>
      </c>
      <c r="R769" s="2" t="s">
        <v>2723</v>
      </c>
      <c r="S769" s="4">
        <v>44837</v>
      </c>
    </row>
    <row r="770" spans="1:19" ht="12.5" x14ac:dyDescent="0.25">
      <c r="A770" s="14" t="str">
        <f>HYPERLINK("https://gerandofalcoes.my.salesforce.com/0014X00002VKCpuQAH", "0014X00002VKCpuQAH")</f>
        <v>0014X00002VKCpuQAH</v>
      </c>
      <c r="B770" s="2" t="s">
        <v>2387</v>
      </c>
      <c r="C770" s="2" t="s">
        <v>423</v>
      </c>
      <c r="D770" s="2" t="s">
        <v>2</v>
      </c>
      <c r="E770" s="2">
        <v>36</v>
      </c>
      <c r="F770" s="2">
        <v>0</v>
      </c>
      <c r="G770" s="2">
        <v>2</v>
      </c>
      <c r="H770" s="2">
        <v>40000</v>
      </c>
      <c r="I770" s="2">
        <v>50</v>
      </c>
      <c r="J770" s="2" t="s">
        <v>1779</v>
      </c>
      <c r="K770" s="2">
        <v>36</v>
      </c>
      <c r="L770" s="2">
        <v>15</v>
      </c>
      <c r="M770" s="2">
        <v>0</v>
      </c>
      <c r="N770" s="2">
        <v>6</v>
      </c>
      <c r="O770" s="2">
        <v>10</v>
      </c>
      <c r="P770" s="2">
        <v>5</v>
      </c>
      <c r="Q770" s="2" t="s">
        <v>2388</v>
      </c>
      <c r="R770" s="2" t="s">
        <v>2389</v>
      </c>
      <c r="S770" s="4">
        <v>44837</v>
      </c>
    </row>
    <row r="771" spans="1:19" ht="12.5" x14ac:dyDescent="0.25">
      <c r="A771" s="14" t="str">
        <f>HYPERLINK("https://gerandofalcoes.my.salesforce.com/0014X00002VKCp1QAH", "0014X00002VKCp1QAH")</f>
        <v>0014X00002VKCp1QAH</v>
      </c>
      <c r="B771" s="2" t="s">
        <v>2223</v>
      </c>
      <c r="C771" s="2" t="s">
        <v>423</v>
      </c>
      <c r="D771" s="2" t="s">
        <v>2</v>
      </c>
      <c r="E771" s="2">
        <v>32</v>
      </c>
      <c r="F771" s="2">
        <v>5</v>
      </c>
      <c r="G771" s="2">
        <v>9</v>
      </c>
      <c r="H771" s="2">
        <v>12000</v>
      </c>
      <c r="I771" s="2">
        <v>60</v>
      </c>
      <c r="J771" s="2" t="s">
        <v>1671</v>
      </c>
      <c r="K771" s="2">
        <v>40</v>
      </c>
      <c r="L771" s="2">
        <v>15</v>
      </c>
      <c r="M771" s="2">
        <v>5</v>
      </c>
      <c r="N771" s="2">
        <v>10</v>
      </c>
      <c r="O771" s="2">
        <v>5</v>
      </c>
      <c r="P771" s="2">
        <v>5</v>
      </c>
      <c r="Q771" s="2" t="s">
        <v>2224</v>
      </c>
      <c r="R771" s="2" t="s">
        <v>2224</v>
      </c>
      <c r="S771" s="4">
        <v>44837</v>
      </c>
    </row>
    <row r="772" spans="1:19" ht="12.5" x14ac:dyDescent="0.25">
      <c r="A772" s="14" t="str">
        <f>HYPERLINK("https://gerandofalcoes.my.salesforce.com/0014X00002VKCtzQAH", "0014X00002VKCtzQAH")</f>
        <v>0014X00002VKCtzQAH</v>
      </c>
      <c r="B772" s="2" t="s">
        <v>2557</v>
      </c>
      <c r="C772" s="2" t="s">
        <v>423</v>
      </c>
      <c r="D772" s="2" t="s">
        <v>2</v>
      </c>
      <c r="E772" s="2">
        <v>20</v>
      </c>
      <c r="F772" s="2">
        <v>0</v>
      </c>
      <c r="G772" s="2">
        <v>2</v>
      </c>
      <c r="H772" s="2">
        <v>55000</v>
      </c>
      <c r="I772" s="2">
        <v>50</v>
      </c>
      <c r="J772" s="2" t="s">
        <v>1779</v>
      </c>
      <c r="K772" s="2">
        <v>31</v>
      </c>
      <c r="L772" s="2">
        <v>10</v>
      </c>
      <c r="M772" s="2">
        <v>0</v>
      </c>
      <c r="N772" s="2">
        <v>6</v>
      </c>
      <c r="O772" s="2">
        <v>10</v>
      </c>
      <c r="P772" s="2">
        <v>5</v>
      </c>
      <c r="Q772" s="2" t="s">
        <v>2558</v>
      </c>
      <c r="R772" s="2" t="s">
        <v>2558</v>
      </c>
      <c r="S772" s="4">
        <v>44837</v>
      </c>
    </row>
    <row r="773" spans="1:19" ht="12.5" x14ac:dyDescent="0.25">
      <c r="A773" s="14" t="str">
        <f>HYPERLINK("https://gerandofalcoes.my.salesforce.com/0014X00002VKCoyQAH", "0014X00002VKCoyQAH")</f>
        <v>0014X00002VKCoyQAH</v>
      </c>
      <c r="B773" s="2" t="s">
        <v>1935</v>
      </c>
      <c r="C773" s="2" t="s">
        <v>423</v>
      </c>
      <c r="D773" s="2" t="s">
        <v>2</v>
      </c>
      <c r="E773" s="2">
        <v>45</v>
      </c>
      <c r="F773" s="2">
        <v>1</v>
      </c>
      <c r="G773" s="2">
        <v>3</v>
      </c>
      <c r="H773" s="2">
        <v>360000</v>
      </c>
      <c r="I773" s="2">
        <v>105</v>
      </c>
      <c r="J773" s="2" t="s">
        <v>1671</v>
      </c>
      <c r="K773" s="2">
        <v>58</v>
      </c>
      <c r="L773" s="2">
        <v>15</v>
      </c>
      <c r="M773" s="2">
        <v>5</v>
      </c>
      <c r="N773" s="2">
        <v>8</v>
      </c>
      <c r="O773" s="2">
        <v>20</v>
      </c>
      <c r="P773" s="2">
        <v>10</v>
      </c>
      <c r="Q773" s="2" t="s">
        <v>1936</v>
      </c>
      <c r="R773" s="2" t="s">
        <v>1937</v>
      </c>
      <c r="S773" s="4">
        <v>44837</v>
      </c>
    </row>
    <row r="774" spans="1:19" ht="12.5" hidden="1" x14ac:dyDescent="0.25">
      <c r="A774" s="14" t="str">
        <f>HYPERLINK("https://gerandofalcoes.my.salesforce.com/0014X00002VKCs4QAH", "0014X00002VKCs4QAH")</f>
        <v>0014X00002VKCs4QAH</v>
      </c>
      <c r="B774" s="2" t="s">
        <v>2487</v>
      </c>
      <c r="C774" s="2" t="s">
        <v>1800</v>
      </c>
      <c r="D774" s="2" t="s">
        <v>2</v>
      </c>
      <c r="E774" s="2">
        <v>22</v>
      </c>
      <c r="F774" s="2">
        <v>0</v>
      </c>
      <c r="G774" s="2">
        <v>2</v>
      </c>
      <c r="H774" s="2">
        <v>0</v>
      </c>
      <c r="I774" s="2">
        <v>10</v>
      </c>
      <c r="J774" s="2" t="s">
        <v>1779</v>
      </c>
      <c r="K774" s="2">
        <v>21</v>
      </c>
      <c r="L774" s="2">
        <v>10</v>
      </c>
      <c r="M774" s="2">
        <v>0</v>
      </c>
      <c r="N774" s="2">
        <v>6</v>
      </c>
      <c r="O774" s="2">
        <v>0</v>
      </c>
      <c r="P774" s="2">
        <v>5</v>
      </c>
      <c r="Q774" s="2" t="s">
        <v>2488</v>
      </c>
      <c r="R774" s="2" t="s">
        <v>2489</v>
      </c>
      <c r="S774" s="4">
        <v>44837</v>
      </c>
    </row>
    <row r="775" spans="1:19" ht="12.5" x14ac:dyDescent="0.25">
      <c r="A775" s="14" t="str">
        <f>HYPERLINK("https://gerandofalcoes.my.salesforce.com/0014X00002VKCpEQAX", "0014X00002VKCpEQAX")</f>
        <v>0014X00002VKCpEQAX</v>
      </c>
      <c r="B775" s="2" t="s">
        <v>2404</v>
      </c>
      <c r="C775" s="2" t="s">
        <v>423</v>
      </c>
      <c r="D775" s="2" t="s">
        <v>2</v>
      </c>
      <c r="E775" s="2">
        <v>25</v>
      </c>
      <c r="F775" s="2">
        <v>11</v>
      </c>
      <c r="G775" s="2">
        <v>2</v>
      </c>
      <c r="H775" s="2">
        <v>40000</v>
      </c>
      <c r="I775" s="2">
        <v>276</v>
      </c>
      <c r="J775" s="2" t="s">
        <v>1671</v>
      </c>
      <c r="K775" s="2">
        <v>55</v>
      </c>
      <c r="L775" s="2">
        <v>15</v>
      </c>
      <c r="M775" s="2">
        <v>12</v>
      </c>
      <c r="N775" s="2">
        <v>6</v>
      </c>
      <c r="O775" s="2">
        <v>10</v>
      </c>
      <c r="P775" s="2">
        <v>12</v>
      </c>
      <c r="Q775" s="2" t="s">
        <v>2405</v>
      </c>
      <c r="R775" s="2" t="s">
        <v>2406</v>
      </c>
      <c r="S775" s="4">
        <v>44837</v>
      </c>
    </row>
    <row r="776" spans="1:19" ht="12.5" hidden="1" x14ac:dyDescent="0.25">
      <c r="A776" s="14" t="str">
        <f>HYPERLINK("https://gerandofalcoes.my.salesforce.com/0014X00002VKCrKQAX", "0014X00002VKCrKQAX")</f>
        <v>0014X00002VKCrKQAX</v>
      </c>
      <c r="B776" s="2" t="s">
        <v>2562</v>
      </c>
      <c r="C776" s="2" t="s">
        <v>1800</v>
      </c>
      <c r="D776" s="2" t="s">
        <v>2</v>
      </c>
      <c r="E776" s="2">
        <v>20</v>
      </c>
      <c r="F776" s="2">
        <v>7</v>
      </c>
      <c r="G776" s="2">
        <v>5</v>
      </c>
      <c r="H776" s="2">
        <v>2000</v>
      </c>
      <c r="I776" s="2">
        <v>20</v>
      </c>
      <c r="J776" s="2" t="s">
        <v>1671</v>
      </c>
      <c r="K776" s="2">
        <v>40</v>
      </c>
      <c r="L776" s="2">
        <v>10</v>
      </c>
      <c r="M776" s="2">
        <v>10</v>
      </c>
      <c r="N776" s="2">
        <v>10</v>
      </c>
      <c r="O776" s="2">
        <v>5</v>
      </c>
      <c r="P776" s="2">
        <v>5</v>
      </c>
      <c r="Q776" s="2" t="s">
        <v>2563</v>
      </c>
      <c r="R776" s="2" t="s">
        <v>2564</v>
      </c>
      <c r="S776" s="4">
        <v>44837</v>
      </c>
    </row>
    <row r="777" spans="1:19" ht="12.5" hidden="1" x14ac:dyDescent="0.25">
      <c r="A777" s="14" t="str">
        <f>HYPERLINK("https://gerandofalcoes.my.salesforce.com/0014X00002VKCt6QAH", "0014X00002VKCt6QAH")</f>
        <v>0014X00002VKCt6QAH</v>
      </c>
      <c r="B777" s="2" t="s">
        <v>2531</v>
      </c>
      <c r="C777" s="2" t="s">
        <v>1800</v>
      </c>
      <c r="D777" s="2" t="s">
        <v>2</v>
      </c>
      <c r="E777" s="2">
        <v>21</v>
      </c>
      <c r="F777" s="2">
        <v>15</v>
      </c>
      <c r="G777" s="2">
        <v>3</v>
      </c>
      <c r="H777" s="2">
        <v>4500</v>
      </c>
      <c r="I777" s="2">
        <v>10</v>
      </c>
      <c r="J777" s="2" t="s">
        <v>1671</v>
      </c>
      <c r="K777" s="2">
        <v>40</v>
      </c>
      <c r="L777" s="2">
        <v>10</v>
      </c>
      <c r="M777" s="2">
        <v>12</v>
      </c>
      <c r="N777" s="2">
        <v>8</v>
      </c>
      <c r="O777" s="2">
        <v>5</v>
      </c>
      <c r="P777" s="2">
        <v>5</v>
      </c>
      <c r="Q777" s="2" t="s">
        <v>2532</v>
      </c>
      <c r="R777" s="2" t="s">
        <v>2533</v>
      </c>
      <c r="S777" s="4">
        <v>44837</v>
      </c>
    </row>
    <row r="778" spans="1:19" ht="12.5" x14ac:dyDescent="0.25">
      <c r="A778" s="14" t="str">
        <f>HYPERLINK("https://gerandofalcoes.my.salesforce.com/0014X00002VKCq6QAH", "0014X00002VKCq6QAH")</f>
        <v>0014X00002VKCq6QAH</v>
      </c>
      <c r="B778" s="2" t="s">
        <v>1773</v>
      </c>
      <c r="C778" s="2" t="s">
        <v>423</v>
      </c>
      <c r="D778" s="2" t="s">
        <v>2</v>
      </c>
      <c r="E778" s="2">
        <v>58.49</v>
      </c>
      <c r="F778" s="2">
        <v>0</v>
      </c>
      <c r="G778" s="2">
        <v>3</v>
      </c>
      <c r="H778" s="2">
        <v>6124615</v>
      </c>
      <c r="I778" s="2">
        <v>0</v>
      </c>
      <c r="J778" s="2" t="s">
        <v>1671</v>
      </c>
      <c r="K778" s="2">
        <v>53</v>
      </c>
      <c r="L778" s="2">
        <v>20</v>
      </c>
      <c r="M778" s="2">
        <v>0</v>
      </c>
      <c r="N778" s="2">
        <v>8</v>
      </c>
      <c r="O778" s="2">
        <v>25</v>
      </c>
      <c r="P778" s="2">
        <v>0</v>
      </c>
      <c r="Q778" s="2" t="s">
        <v>1774</v>
      </c>
      <c r="R778" s="2" t="s">
        <v>1775</v>
      </c>
      <c r="S778" s="4">
        <v>44837</v>
      </c>
    </row>
    <row r="779" spans="1:19" ht="12.5" x14ac:dyDescent="0.25">
      <c r="A779" s="14" t="str">
        <f>HYPERLINK("https://gerandofalcoes.my.salesforce.com/0014X00002VKCqBQAX", "0014X00002VKCqBQAX")</f>
        <v>0014X00002VKCqBQAX</v>
      </c>
      <c r="B779" s="2" t="s">
        <v>1949</v>
      </c>
      <c r="C779" s="2" t="s">
        <v>423</v>
      </c>
      <c r="D779" s="2" t="s">
        <v>2</v>
      </c>
      <c r="E779" s="2">
        <v>41</v>
      </c>
      <c r="F779" s="2">
        <v>6</v>
      </c>
      <c r="G779" s="2">
        <v>1</v>
      </c>
      <c r="H779" s="2">
        <v>109000</v>
      </c>
      <c r="I779" s="2">
        <v>154</v>
      </c>
      <c r="J779" s="2" t="s">
        <v>1671</v>
      </c>
      <c r="K779" s="2">
        <v>56</v>
      </c>
      <c r="L779" s="2">
        <v>15</v>
      </c>
      <c r="M779" s="2">
        <v>10</v>
      </c>
      <c r="N779" s="2">
        <v>4</v>
      </c>
      <c r="O779" s="2">
        <v>15</v>
      </c>
      <c r="P779" s="2">
        <v>12</v>
      </c>
      <c r="Q779" s="2" t="s">
        <v>1950</v>
      </c>
      <c r="R779" s="2" t="s">
        <v>1951</v>
      </c>
      <c r="S779" s="4">
        <v>44837</v>
      </c>
    </row>
    <row r="780" spans="1:19" ht="12.5" x14ac:dyDescent="0.25">
      <c r="A780" s="14" t="str">
        <f>HYPERLINK("https://gerandofalcoes.my.salesforce.com/0014P00003YSpAJQA1", "0014P00003YSpAJQA1")</f>
        <v>0014P00003YSpAJQA1</v>
      </c>
      <c r="B780" s="2" t="s">
        <v>1822</v>
      </c>
      <c r="C780" s="2" t="s">
        <v>423</v>
      </c>
      <c r="D780" s="2" t="s">
        <v>2</v>
      </c>
      <c r="E780" s="2">
        <v>39</v>
      </c>
      <c r="F780" s="2">
        <v>3</v>
      </c>
      <c r="G780" s="2">
        <v>6</v>
      </c>
      <c r="H780" s="2">
        <v>1556030</v>
      </c>
      <c r="I780" s="2">
        <v>200</v>
      </c>
      <c r="J780" s="2" t="s">
        <v>1650</v>
      </c>
      <c r="K780" s="2">
        <v>67</v>
      </c>
      <c r="L780" s="2">
        <v>15</v>
      </c>
      <c r="M780" s="2">
        <v>5</v>
      </c>
      <c r="N780" s="2">
        <v>10</v>
      </c>
      <c r="O780" s="2">
        <v>25</v>
      </c>
      <c r="P780" s="2">
        <v>12</v>
      </c>
      <c r="Q780" s="2" t="s">
        <v>1823</v>
      </c>
      <c r="R780" s="2" t="s">
        <v>1823</v>
      </c>
      <c r="S780" s="4">
        <v>44837</v>
      </c>
    </row>
    <row r="781" spans="1:19" ht="12.5" hidden="1" x14ac:dyDescent="0.25">
      <c r="A781" s="14" t="str">
        <f>HYPERLINK("https://gerandofalcoes.my.salesforce.com/0014P00003YSpAKQA1", "0014P00003YSpAKQA1")</f>
        <v>0014P00003YSpAKQA1</v>
      </c>
      <c r="B781" s="2" t="s">
        <v>2245</v>
      </c>
      <c r="C781" s="2" t="s">
        <v>1684</v>
      </c>
      <c r="D781" s="2" t="s">
        <v>2</v>
      </c>
      <c r="E781" s="2">
        <v>31</v>
      </c>
      <c r="F781" s="2">
        <v>0</v>
      </c>
      <c r="G781" s="2">
        <v>2</v>
      </c>
      <c r="H781" s="2">
        <v>15000</v>
      </c>
      <c r="I781" s="2">
        <v>0</v>
      </c>
      <c r="J781" s="2" t="s">
        <v>1779</v>
      </c>
      <c r="K781" s="2">
        <v>26</v>
      </c>
      <c r="L781" s="2">
        <v>15</v>
      </c>
      <c r="M781" s="2">
        <v>0</v>
      </c>
      <c r="N781" s="2">
        <v>6</v>
      </c>
      <c r="O781" s="2">
        <v>5</v>
      </c>
      <c r="P781" s="2">
        <v>0</v>
      </c>
      <c r="Q781" s="2" t="s">
        <v>2246</v>
      </c>
      <c r="R781" s="2" t="s">
        <v>2246</v>
      </c>
      <c r="S781" s="4">
        <v>44837</v>
      </c>
    </row>
    <row r="782" spans="1:19" ht="12.5" x14ac:dyDescent="0.25">
      <c r="A782" s="14" t="str">
        <f>HYPERLINK("https://gerandofalcoes.my.salesforce.com/0014P00003YSpALQA1", "0014P00003YSpALQA1")</f>
        <v>0014P00003YSpALQA1</v>
      </c>
      <c r="B782" s="2" t="s">
        <v>2106</v>
      </c>
      <c r="C782" s="2" t="s">
        <v>423</v>
      </c>
      <c r="D782" s="2" t="s">
        <v>2</v>
      </c>
      <c r="E782" s="2">
        <v>35</v>
      </c>
      <c r="F782" s="2">
        <v>7</v>
      </c>
      <c r="G782" s="2">
        <v>6</v>
      </c>
      <c r="H782" s="2">
        <v>83455</v>
      </c>
      <c r="I782" s="2">
        <v>81</v>
      </c>
      <c r="J782" s="2" t="s">
        <v>1671</v>
      </c>
      <c r="K782" s="2">
        <v>55</v>
      </c>
      <c r="L782" s="2">
        <v>15</v>
      </c>
      <c r="M782" s="2">
        <v>10</v>
      </c>
      <c r="N782" s="2">
        <v>10</v>
      </c>
      <c r="O782" s="2">
        <v>10</v>
      </c>
      <c r="P782" s="2">
        <v>10</v>
      </c>
      <c r="Q782" s="2" t="s">
        <v>2107</v>
      </c>
      <c r="R782" s="2" t="s">
        <v>2108</v>
      </c>
      <c r="S782" s="4">
        <v>44837</v>
      </c>
    </row>
    <row r="783" spans="1:19" ht="12.5" hidden="1" x14ac:dyDescent="0.25">
      <c r="A783" s="14" t="str">
        <f>HYPERLINK("https://gerandofalcoes.my.salesforce.com/0014P00003YSpAMQA1", "0014P00003YSpAMQA1")</f>
        <v>0014P00003YSpAMQA1</v>
      </c>
      <c r="B783" s="2" t="s">
        <v>2240</v>
      </c>
      <c r="C783" s="2" t="s">
        <v>1800</v>
      </c>
      <c r="D783" s="2" t="s">
        <v>2</v>
      </c>
      <c r="E783" s="2">
        <v>31</v>
      </c>
      <c r="F783" s="2">
        <v>0</v>
      </c>
      <c r="G783" s="2">
        <v>2</v>
      </c>
      <c r="H783" s="2">
        <v>8000</v>
      </c>
      <c r="I783" s="2">
        <v>21</v>
      </c>
      <c r="J783" s="2" t="s">
        <v>1779</v>
      </c>
      <c r="K783" s="2">
        <v>31</v>
      </c>
      <c r="L783" s="2">
        <v>15</v>
      </c>
      <c r="M783" s="2">
        <v>0</v>
      </c>
      <c r="N783" s="2">
        <v>6</v>
      </c>
      <c r="O783" s="2">
        <v>5</v>
      </c>
      <c r="P783" s="2">
        <v>5</v>
      </c>
      <c r="Q783" s="2" t="s">
        <v>2241</v>
      </c>
      <c r="R783" s="2" t="s">
        <v>2242</v>
      </c>
      <c r="S783" s="4">
        <v>44837</v>
      </c>
    </row>
    <row r="784" spans="1:19" ht="12.5" hidden="1" x14ac:dyDescent="0.25">
      <c r="A784" s="14" t="str">
        <f>HYPERLINK("https://gerandofalcoes.my.salesforce.com/0014P00003YSpA6QAL", "0014P00003YSpA6QAL")</f>
        <v>0014P00003YSpA6QAL</v>
      </c>
      <c r="B784" s="2" t="s">
        <v>2060</v>
      </c>
      <c r="C784" s="2" t="s">
        <v>1800</v>
      </c>
      <c r="D784" s="2" t="s">
        <v>2</v>
      </c>
      <c r="E784" s="2">
        <v>37</v>
      </c>
      <c r="F784" s="2">
        <v>27</v>
      </c>
      <c r="G784" s="2">
        <v>3</v>
      </c>
      <c r="H784" s="2">
        <v>132000</v>
      </c>
      <c r="I784" s="2">
        <v>0</v>
      </c>
      <c r="J784" s="2" t="s">
        <v>1671</v>
      </c>
      <c r="K784" s="2">
        <v>50</v>
      </c>
      <c r="L784" s="2">
        <v>15</v>
      </c>
      <c r="M784" s="2">
        <v>12</v>
      </c>
      <c r="N784" s="2">
        <v>8</v>
      </c>
      <c r="O784" s="2">
        <v>15</v>
      </c>
      <c r="P784" s="2">
        <v>0</v>
      </c>
      <c r="Q784" s="2" t="s">
        <v>2061</v>
      </c>
      <c r="R784" s="2" t="s">
        <v>2061</v>
      </c>
      <c r="S784" s="4">
        <v>44837</v>
      </c>
    </row>
    <row r="785" spans="1:19" ht="12.5" x14ac:dyDescent="0.25">
      <c r="A785" s="14" t="str">
        <f>HYPERLINK("https://gerandofalcoes.my.salesforce.com/0014P00003YSpP9QAL", "0014P00003YSpP9QAL")</f>
        <v>0014P00003YSpP9QAL</v>
      </c>
      <c r="B785" s="2" t="s">
        <v>2752</v>
      </c>
      <c r="C785" s="2" t="s">
        <v>423</v>
      </c>
      <c r="D785" s="2" t="s">
        <v>2</v>
      </c>
      <c r="E785" s="2">
        <v>14</v>
      </c>
      <c r="F785" s="2">
        <v>0</v>
      </c>
      <c r="G785" s="2">
        <v>12</v>
      </c>
      <c r="H785" s="2">
        <v>13000</v>
      </c>
      <c r="I785" s="2">
        <v>208</v>
      </c>
      <c r="J785" s="2" t="s">
        <v>1779</v>
      </c>
      <c r="K785" s="2">
        <v>37</v>
      </c>
      <c r="L785" s="2">
        <v>10</v>
      </c>
      <c r="M785" s="2">
        <v>0</v>
      </c>
      <c r="N785" s="2">
        <v>10</v>
      </c>
      <c r="O785" s="2">
        <v>5</v>
      </c>
      <c r="P785" s="2">
        <v>12</v>
      </c>
      <c r="Q785" s="2" t="s">
        <v>2753</v>
      </c>
      <c r="R785" s="2" t="s">
        <v>2754</v>
      </c>
      <c r="S785" s="4">
        <v>44837</v>
      </c>
    </row>
    <row r="786" spans="1:19" ht="12.5" x14ac:dyDescent="0.25">
      <c r="A786" s="14" t="str">
        <f>HYPERLINK("https://gerandofalcoes.my.salesforce.com/0014P00003AN2GIQA1", "0014P00003AN2GIQA1")</f>
        <v>0014P00003AN2GIQA1</v>
      </c>
      <c r="B786" s="2" t="s">
        <v>1661</v>
      </c>
      <c r="C786" s="2" t="s">
        <v>423</v>
      </c>
      <c r="D786" s="2" t="s">
        <v>27</v>
      </c>
      <c r="E786" s="2">
        <v>95</v>
      </c>
      <c r="F786" s="2">
        <v>5</v>
      </c>
      <c r="G786" s="2">
        <v>3</v>
      </c>
      <c r="H786" s="2">
        <v>133580.48000000001</v>
      </c>
      <c r="I786" s="2">
        <v>82</v>
      </c>
      <c r="J786" s="2" t="s">
        <v>1650</v>
      </c>
      <c r="K786" s="2">
        <v>68</v>
      </c>
      <c r="L786" s="2">
        <v>30</v>
      </c>
      <c r="M786" s="2">
        <v>5</v>
      </c>
      <c r="N786" s="2">
        <v>8</v>
      </c>
      <c r="O786" s="2">
        <v>15</v>
      </c>
      <c r="P786" s="2">
        <v>10</v>
      </c>
      <c r="Q786" s="2" t="s">
        <v>31</v>
      </c>
      <c r="R786" s="2" t="s">
        <v>1662</v>
      </c>
      <c r="S786" s="4">
        <v>44837</v>
      </c>
    </row>
    <row r="787" spans="1:19" ht="12.5" x14ac:dyDescent="0.25">
      <c r="A787" s="14" t="str">
        <f>HYPERLINK("https://gerandofalcoes.my.salesforce.com/0014P00003AN2GJQA1", "0014P00003AN2GJQA1")</f>
        <v>0014P00003AN2GJQA1</v>
      </c>
      <c r="B787" s="2" t="s">
        <v>1720</v>
      </c>
      <c r="C787" s="2" t="s">
        <v>423</v>
      </c>
      <c r="D787" s="2" t="s">
        <v>27</v>
      </c>
      <c r="E787" s="2">
        <v>76</v>
      </c>
      <c r="F787" s="2">
        <v>10</v>
      </c>
      <c r="G787" s="2">
        <v>2</v>
      </c>
      <c r="H787" s="2">
        <v>786451.23</v>
      </c>
      <c r="I787" s="2">
        <v>99</v>
      </c>
      <c r="J787" s="2" t="s">
        <v>1650</v>
      </c>
      <c r="K787" s="2">
        <v>71</v>
      </c>
      <c r="L787" s="2">
        <v>25</v>
      </c>
      <c r="M787" s="2">
        <v>10</v>
      </c>
      <c r="N787" s="2">
        <v>6</v>
      </c>
      <c r="O787" s="2">
        <v>20</v>
      </c>
      <c r="P787" s="2">
        <v>10</v>
      </c>
      <c r="Q787" s="2" t="s">
        <v>35</v>
      </c>
      <c r="R787" s="2" t="s">
        <v>1721</v>
      </c>
      <c r="S787" s="4">
        <v>44837</v>
      </c>
    </row>
    <row r="788" spans="1:19" ht="12.5" x14ac:dyDescent="0.25">
      <c r="A788" s="14" t="str">
        <f>HYPERLINK("https://gerandofalcoes.my.salesforce.com/0014P00003AN2GKQA1", "0014P00003AN2GKQA1")</f>
        <v>0014P00003AN2GKQA1</v>
      </c>
      <c r="B788" s="2" t="s">
        <v>1687</v>
      </c>
      <c r="C788" s="2" t="s">
        <v>423</v>
      </c>
      <c r="D788" s="2" t="s">
        <v>27</v>
      </c>
      <c r="E788" s="2">
        <v>85</v>
      </c>
      <c r="F788" s="2">
        <v>22</v>
      </c>
      <c r="G788" s="2">
        <v>5</v>
      </c>
      <c r="H788" s="2">
        <v>1314918.45</v>
      </c>
      <c r="I788" s="2">
        <v>358</v>
      </c>
      <c r="J788" s="2" t="s">
        <v>1654</v>
      </c>
      <c r="K788" s="2">
        <v>87</v>
      </c>
      <c r="L788" s="2">
        <v>25</v>
      </c>
      <c r="M788" s="2">
        <v>12</v>
      </c>
      <c r="N788" s="2">
        <v>10</v>
      </c>
      <c r="O788" s="2">
        <v>25</v>
      </c>
      <c r="P788" s="2">
        <v>15</v>
      </c>
      <c r="Q788" s="2" t="s">
        <v>28</v>
      </c>
      <c r="R788" s="2" t="s">
        <v>28</v>
      </c>
      <c r="S788" s="4">
        <v>44837</v>
      </c>
    </row>
    <row r="789" spans="1:19" ht="12.5" x14ac:dyDescent="0.25">
      <c r="A789" s="14" t="str">
        <f>HYPERLINK("https://gerandofalcoes.my.salesforce.com/0014X00002VKCu2QAH", "0014X00002VKCu2QAH")</f>
        <v>0014X00002VKCu2QAH</v>
      </c>
      <c r="B789" s="2" t="s">
        <v>2810</v>
      </c>
      <c r="C789" s="2" t="s">
        <v>423</v>
      </c>
      <c r="D789" s="2" t="s">
        <v>2</v>
      </c>
      <c r="E789" s="2">
        <v>41</v>
      </c>
      <c r="F789" s="2">
        <v>0</v>
      </c>
      <c r="G789" s="2">
        <v>2</v>
      </c>
      <c r="H789" s="2">
        <v>3</v>
      </c>
      <c r="I789" s="2">
        <v>300</v>
      </c>
      <c r="J789" s="2" t="s">
        <v>1671</v>
      </c>
      <c r="K789" s="2">
        <v>41</v>
      </c>
      <c r="L789" s="2">
        <v>15</v>
      </c>
      <c r="M789" s="2">
        <v>0</v>
      </c>
      <c r="N789" s="2">
        <v>6</v>
      </c>
      <c r="O789" s="2">
        <v>5</v>
      </c>
      <c r="P789" s="2">
        <v>15</v>
      </c>
      <c r="Q789" s="2" t="s">
        <v>2811</v>
      </c>
      <c r="R789" s="2" t="s">
        <v>2812</v>
      </c>
      <c r="S789" s="4">
        <v>44837</v>
      </c>
    </row>
    <row r="790" spans="1:19" ht="12.5" x14ac:dyDescent="0.25">
      <c r="A790" s="14" t="str">
        <f>HYPERLINK("https://gerandofalcoes.my.salesforce.com/0014X00002VKCsCQAX", "0014X00002VKCsCQAX")</f>
        <v>0014X00002VKCsCQAX</v>
      </c>
      <c r="B790" s="2" t="s">
        <v>2826</v>
      </c>
      <c r="C790" s="2" t="s">
        <v>423</v>
      </c>
      <c r="D790" s="2" t="s">
        <v>2</v>
      </c>
      <c r="E790" s="2">
        <v>11.65</v>
      </c>
      <c r="F790" s="2">
        <v>0</v>
      </c>
      <c r="G790" s="2">
        <v>2</v>
      </c>
      <c r="H790" s="2">
        <v>30000</v>
      </c>
      <c r="I790" s="2">
        <v>70</v>
      </c>
      <c r="J790" s="2" t="s">
        <v>1779</v>
      </c>
      <c r="K790" s="2">
        <v>31</v>
      </c>
      <c r="L790" s="2">
        <v>10</v>
      </c>
      <c r="M790" s="2">
        <v>0</v>
      </c>
      <c r="N790" s="2">
        <v>6</v>
      </c>
      <c r="O790" s="2">
        <v>10</v>
      </c>
      <c r="P790" s="2">
        <v>5</v>
      </c>
      <c r="Q790" s="2" t="s">
        <v>2827</v>
      </c>
      <c r="R790" s="2" t="s">
        <v>2827</v>
      </c>
      <c r="S790" s="4">
        <v>44837</v>
      </c>
    </row>
    <row r="791" spans="1:19" ht="12.5" x14ac:dyDescent="0.25">
      <c r="A791" s="14" t="str">
        <f>HYPERLINK("https://gerandofalcoes.my.salesforce.com/0014X00002VKCseQAH", "0014X00002VKCseQAH")</f>
        <v>0014X00002VKCseQAH</v>
      </c>
      <c r="B791" s="2" t="s">
        <v>2516</v>
      </c>
      <c r="C791" s="2" t="s">
        <v>423</v>
      </c>
      <c r="D791" s="2" t="s">
        <v>2</v>
      </c>
      <c r="E791" s="2">
        <v>21</v>
      </c>
      <c r="F791" s="2">
        <v>0</v>
      </c>
      <c r="G791" s="2">
        <v>4</v>
      </c>
      <c r="H791" s="2">
        <v>6000</v>
      </c>
      <c r="I791" s="2">
        <v>100</v>
      </c>
      <c r="J791" s="2" t="s">
        <v>1779</v>
      </c>
      <c r="K791" s="2">
        <v>35</v>
      </c>
      <c r="L791" s="2">
        <v>10</v>
      </c>
      <c r="M791" s="2">
        <v>0</v>
      </c>
      <c r="N791" s="2">
        <v>10</v>
      </c>
      <c r="O791" s="2">
        <v>5</v>
      </c>
      <c r="P791" s="2">
        <v>10</v>
      </c>
      <c r="Q791" s="2" t="s">
        <v>2517</v>
      </c>
      <c r="R791" s="2" t="s">
        <v>2517</v>
      </c>
      <c r="S791" s="4">
        <v>44837</v>
      </c>
    </row>
    <row r="792" spans="1:19" ht="12.5" x14ac:dyDescent="0.25">
      <c r="A792" s="14" t="str">
        <f>HYPERLINK("https://gerandofalcoes.my.salesforce.com/0014X00002VKCscQAH", "0014X00002VKCscQAH")</f>
        <v>0014X00002VKCscQAH</v>
      </c>
      <c r="B792" s="2" t="s">
        <v>2771</v>
      </c>
      <c r="C792" s="2" t="s">
        <v>423</v>
      </c>
      <c r="D792" s="2" t="s">
        <v>2</v>
      </c>
      <c r="E792" s="2">
        <v>38</v>
      </c>
      <c r="F792" s="2">
        <v>6</v>
      </c>
      <c r="G792" s="2">
        <v>0</v>
      </c>
      <c r="H792" s="2">
        <v>0</v>
      </c>
      <c r="I792" s="2">
        <v>150</v>
      </c>
      <c r="J792" s="2" t="s">
        <v>1779</v>
      </c>
      <c r="K792" s="2">
        <v>37</v>
      </c>
      <c r="L792" s="2">
        <v>15</v>
      </c>
      <c r="M792" s="2">
        <v>10</v>
      </c>
      <c r="N792" s="2">
        <v>0</v>
      </c>
      <c r="O792" s="2">
        <v>0</v>
      </c>
      <c r="P792" s="2">
        <v>12</v>
      </c>
      <c r="Q792" s="2" t="s">
        <v>2772</v>
      </c>
      <c r="R792" s="2" t="s">
        <v>2773</v>
      </c>
      <c r="S792" s="4">
        <v>44837</v>
      </c>
    </row>
    <row r="793" spans="1:19" ht="12.5" x14ac:dyDescent="0.25">
      <c r="A793" s="14" t="str">
        <f>HYPERLINK("https://gerandofalcoes.my.salesforce.com/0014X00002VKCt1QAH", "0014X00002VKCt1QAH")</f>
        <v>0014X00002VKCt1QAH</v>
      </c>
      <c r="B793" s="2" t="s">
        <v>2452</v>
      </c>
      <c r="C793" s="2" t="s">
        <v>423</v>
      </c>
      <c r="D793" s="2" t="s">
        <v>2</v>
      </c>
      <c r="E793" s="2">
        <v>23.64</v>
      </c>
      <c r="F793" s="2">
        <v>0</v>
      </c>
      <c r="G793" s="2">
        <v>1</v>
      </c>
      <c r="H793" s="2">
        <v>48000</v>
      </c>
      <c r="I793" s="2">
        <v>125</v>
      </c>
      <c r="J793" s="2" t="s">
        <v>1779</v>
      </c>
      <c r="K793" s="2">
        <v>34</v>
      </c>
      <c r="L793" s="2">
        <v>10</v>
      </c>
      <c r="M793" s="2">
        <v>0</v>
      </c>
      <c r="N793" s="2">
        <v>4</v>
      </c>
      <c r="O793" s="2">
        <v>10</v>
      </c>
      <c r="P793" s="2">
        <v>10</v>
      </c>
      <c r="Q793" s="2" t="s">
        <v>2453</v>
      </c>
      <c r="R793" s="2" t="s">
        <v>2453</v>
      </c>
      <c r="S793" s="4">
        <v>44837</v>
      </c>
    </row>
    <row r="794" spans="1:19" ht="12.5" x14ac:dyDescent="0.25">
      <c r="A794" s="14" t="str">
        <f>HYPERLINK("https://gerandofalcoes.my.salesforce.com/0014X00002VKCpyQAH", "0014X00002VKCpyQAH")</f>
        <v>0014X00002VKCpyQAH</v>
      </c>
      <c r="B794" s="2" t="s">
        <v>2340</v>
      </c>
      <c r="C794" s="2" t="s">
        <v>423</v>
      </c>
      <c r="D794" s="2" t="s">
        <v>2</v>
      </c>
      <c r="E794" s="2">
        <v>27.22</v>
      </c>
      <c r="F794" s="2">
        <v>0</v>
      </c>
      <c r="G794" s="2">
        <v>3</v>
      </c>
      <c r="H794" s="2">
        <v>20030</v>
      </c>
      <c r="I794" s="2">
        <v>294</v>
      </c>
      <c r="J794" s="2" t="s">
        <v>1671</v>
      </c>
      <c r="K794" s="2">
        <v>40</v>
      </c>
      <c r="L794" s="2">
        <v>15</v>
      </c>
      <c r="M794" s="2">
        <v>0</v>
      </c>
      <c r="N794" s="2">
        <v>8</v>
      </c>
      <c r="O794" s="2">
        <v>5</v>
      </c>
      <c r="P794" s="2">
        <v>12</v>
      </c>
      <c r="Q794" s="2" t="s">
        <v>2341</v>
      </c>
      <c r="R794" s="2" t="s">
        <v>2342</v>
      </c>
      <c r="S794" s="4">
        <v>44837</v>
      </c>
    </row>
    <row r="795" spans="1:19" ht="12.5" x14ac:dyDescent="0.25">
      <c r="A795" s="14" t="str">
        <f>HYPERLINK("https://gerandofalcoes.my.salesforce.com/0014X00002VKCstQAH", "0014X00002VKCstQAH")</f>
        <v>0014X00002VKCstQAH</v>
      </c>
      <c r="B795" s="2" t="s">
        <v>2259</v>
      </c>
      <c r="C795" s="2" t="s">
        <v>423</v>
      </c>
      <c r="D795" s="2" t="s">
        <v>2</v>
      </c>
      <c r="E795" s="2">
        <v>27</v>
      </c>
      <c r="F795" s="2">
        <v>2</v>
      </c>
      <c r="G795" s="2">
        <v>1</v>
      </c>
      <c r="H795" s="2">
        <v>5000</v>
      </c>
      <c r="I795" s="2">
        <v>50</v>
      </c>
      <c r="J795" s="2" t="s">
        <v>1779</v>
      </c>
      <c r="K795" s="2">
        <v>34</v>
      </c>
      <c r="L795" s="2">
        <v>15</v>
      </c>
      <c r="M795" s="2">
        <v>5</v>
      </c>
      <c r="N795" s="2">
        <v>4</v>
      </c>
      <c r="O795" s="2">
        <v>5</v>
      </c>
      <c r="P795" s="2">
        <v>5</v>
      </c>
      <c r="Q795" s="2" t="s">
        <v>2260</v>
      </c>
      <c r="R795" s="2" t="s">
        <v>2260</v>
      </c>
      <c r="S795" s="4">
        <v>44837</v>
      </c>
    </row>
    <row r="796" spans="1:19" ht="12.5" hidden="1" x14ac:dyDescent="0.25">
      <c r="A796" s="14" t="str">
        <f>HYPERLINK("https://gerandofalcoes.my.salesforce.com/0014X00002VKCqEQAX", "0014X00002VKCqEQAX")</f>
        <v>0014X00002VKCqEQAX</v>
      </c>
      <c r="B796" s="2" t="s">
        <v>2349</v>
      </c>
      <c r="C796" s="2" t="s">
        <v>1800</v>
      </c>
      <c r="D796" s="2" t="s">
        <v>2</v>
      </c>
      <c r="E796" s="2">
        <v>27</v>
      </c>
      <c r="F796" s="2">
        <v>0</v>
      </c>
      <c r="G796" s="2">
        <v>6</v>
      </c>
      <c r="H796" s="2">
        <v>18500</v>
      </c>
      <c r="I796" s="2">
        <v>116</v>
      </c>
      <c r="J796" s="2" t="s">
        <v>1671</v>
      </c>
      <c r="K796" s="2">
        <v>40</v>
      </c>
      <c r="L796" s="2">
        <v>15</v>
      </c>
      <c r="M796" s="2">
        <v>0</v>
      </c>
      <c r="N796" s="2">
        <v>10</v>
      </c>
      <c r="O796" s="2">
        <v>5</v>
      </c>
      <c r="P796" s="2">
        <v>10</v>
      </c>
      <c r="Q796" s="2" t="s">
        <v>2350</v>
      </c>
      <c r="R796" s="2" t="s">
        <v>2351</v>
      </c>
      <c r="S796" s="4">
        <v>44837</v>
      </c>
    </row>
    <row r="797" spans="1:19" ht="12.5" x14ac:dyDescent="0.25">
      <c r="A797" s="14" t="str">
        <f>HYPERLINK("https://gerandofalcoes.my.salesforce.com/0014X00002VKCuMQAX", "0014X00002VKCuMQAX")</f>
        <v>0014X00002VKCuMQAX</v>
      </c>
      <c r="B797" s="2" t="s">
        <v>2947</v>
      </c>
      <c r="C797" s="2" t="s">
        <v>423</v>
      </c>
      <c r="D797" s="2" t="s">
        <v>2</v>
      </c>
      <c r="E797" s="2">
        <v>5.54</v>
      </c>
      <c r="F797" s="2">
        <v>0</v>
      </c>
      <c r="G797" s="2">
        <v>1</v>
      </c>
      <c r="H797" s="2">
        <v>0</v>
      </c>
      <c r="I797" s="2">
        <v>420</v>
      </c>
      <c r="J797" s="2" t="s">
        <v>1779</v>
      </c>
      <c r="K797" s="2">
        <v>29</v>
      </c>
      <c r="L797" s="2">
        <v>10</v>
      </c>
      <c r="M797" s="2">
        <v>0</v>
      </c>
      <c r="N797" s="2">
        <v>4</v>
      </c>
      <c r="O797" s="2">
        <v>0</v>
      </c>
      <c r="P797" s="2">
        <v>15</v>
      </c>
      <c r="Q797" s="2" t="s">
        <v>2948</v>
      </c>
      <c r="R797" s="2" t="s">
        <v>2949</v>
      </c>
      <c r="S797" s="4">
        <v>44837</v>
      </c>
    </row>
    <row r="798" spans="1:19" ht="12.5" x14ac:dyDescent="0.25">
      <c r="A798" s="14" t="str">
        <f>HYPERLINK("https://gerandofalcoes.my.salesforce.com/0014X00002VKCqhQAH", "0014X00002VKCqhQAH")</f>
        <v>0014X00002VKCqhQAH</v>
      </c>
      <c r="B798" s="2" t="s">
        <v>2786</v>
      </c>
      <c r="C798" s="2" t="s">
        <v>423</v>
      </c>
      <c r="D798" s="2" t="s">
        <v>2</v>
      </c>
      <c r="E798" s="2">
        <v>48</v>
      </c>
      <c r="F798" s="2">
        <v>0</v>
      </c>
      <c r="G798" s="2">
        <v>0</v>
      </c>
      <c r="H798" s="2">
        <v>0</v>
      </c>
      <c r="I798" s="2">
        <v>300</v>
      </c>
      <c r="J798" s="2" t="s">
        <v>1779</v>
      </c>
      <c r="K798" s="2">
        <v>30</v>
      </c>
      <c r="L798" s="2">
        <v>15</v>
      </c>
      <c r="M798" s="2">
        <v>0</v>
      </c>
      <c r="N798" s="2">
        <v>0</v>
      </c>
      <c r="O798" s="2">
        <v>0</v>
      </c>
      <c r="P798" s="2">
        <v>15</v>
      </c>
      <c r="Q798" s="2" t="s">
        <v>2787</v>
      </c>
      <c r="R798" s="2" t="s">
        <v>2788</v>
      </c>
      <c r="S798" s="4">
        <v>44837</v>
      </c>
    </row>
    <row r="799" spans="1:19" ht="12.5" x14ac:dyDescent="0.25">
      <c r="A799" s="14" t="str">
        <f>HYPERLINK("https://gerandofalcoes.my.salesforce.com/0014X00002VKCqDQAX", "0014X00002VKCqDQAX")</f>
        <v>0014X00002VKCqDQAX</v>
      </c>
      <c r="B799" s="2" t="s">
        <v>2078</v>
      </c>
      <c r="C799" s="2" t="s">
        <v>423</v>
      </c>
      <c r="D799" s="2" t="s">
        <v>2</v>
      </c>
      <c r="E799" s="2">
        <v>36</v>
      </c>
      <c r="F799" s="2">
        <v>0</v>
      </c>
      <c r="G799" s="2">
        <v>2</v>
      </c>
      <c r="H799" s="2">
        <v>12000</v>
      </c>
      <c r="I799" s="2">
        <v>70</v>
      </c>
      <c r="J799" s="2" t="s">
        <v>1779</v>
      </c>
      <c r="K799" s="2">
        <v>31</v>
      </c>
      <c r="L799" s="2">
        <v>15</v>
      </c>
      <c r="M799" s="2">
        <v>0</v>
      </c>
      <c r="N799" s="2">
        <v>6</v>
      </c>
      <c r="O799" s="2">
        <v>5</v>
      </c>
      <c r="P799" s="2">
        <v>5</v>
      </c>
      <c r="Q799" s="2" t="s">
        <v>2079</v>
      </c>
      <c r="R799" s="2" t="s">
        <v>2080</v>
      </c>
      <c r="S799" s="4">
        <v>44837</v>
      </c>
    </row>
    <row r="800" spans="1:19" ht="12.5" hidden="1" x14ac:dyDescent="0.25">
      <c r="A800" s="14" t="str">
        <f>HYPERLINK("https://gerandofalcoes.my.salesforce.com/0014X00002VKCplQAH", "0014X00002VKCplQAH")</f>
        <v>0014X00002VKCplQAH</v>
      </c>
      <c r="B800" s="2" t="s">
        <v>2081</v>
      </c>
      <c r="C800" s="2" t="s">
        <v>1800</v>
      </c>
      <c r="D800" s="2" t="s">
        <v>2</v>
      </c>
      <c r="E800" s="2">
        <v>36</v>
      </c>
      <c r="F800" s="2">
        <v>20</v>
      </c>
      <c r="G800" s="2">
        <v>2</v>
      </c>
      <c r="H800" s="2">
        <v>300000</v>
      </c>
      <c r="I800" s="2">
        <v>50</v>
      </c>
      <c r="J800" s="2" t="s">
        <v>1671</v>
      </c>
      <c r="K800" s="2">
        <v>58</v>
      </c>
      <c r="L800" s="2">
        <v>15</v>
      </c>
      <c r="M800" s="2">
        <v>12</v>
      </c>
      <c r="N800" s="2">
        <v>6</v>
      </c>
      <c r="O800" s="2">
        <v>20</v>
      </c>
      <c r="P800" s="2">
        <v>5</v>
      </c>
      <c r="Q800" s="2" t="s">
        <v>2082</v>
      </c>
      <c r="R800" s="2" t="s">
        <v>2083</v>
      </c>
      <c r="S800" s="4">
        <v>44837</v>
      </c>
    </row>
    <row r="801" spans="1:19" ht="12.5" x14ac:dyDescent="0.25">
      <c r="A801" s="14" t="str">
        <f>HYPERLINK("https://gerandofalcoes.my.salesforce.com/0014X00002VKCqKQAX", "0014X00002VKCqKQAX")</f>
        <v>0014X00002VKCqKQAX</v>
      </c>
      <c r="B801" s="2" t="s">
        <v>2919</v>
      </c>
      <c r="C801" s="2" t="s">
        <v>423</v>
      </c>
      <c r="D801" s="2" t="s">
        <v>2</v>
      </c>
      <c r="E801" s="2">
        <v>21</v>
      </c>
      <c r="F801" s="2">
        <v>0</v>
      </c>
      <c r="G801" s="2">
        <v>1</v>
      </c>
      <c r="H801" s="2">
        <v>7500</v>
      </c>
      <c r="I801" s="2">
        <v>26</v>
      </c>
      <c r="J801" s="2" t="s">
        <v>1779</v>
      </c>
      <c r="K801" s="2">
        <v>24</v>
      </c>
      <c r="L801" s="2">
        <v>10</v>
      </c>
      <c r="M801" s="2">
        <v>0</v>
      </c>
      <c r="N801" s="2">
        <v>4</v>
      </c>
      <c r="O801" s="2">
        <v>5</v>
      </c>
      <c r="P801" s="2">
        <v>5</v>
      </c>
      <c r="Q801" s="2" t="s">
        <v>2920</v>
      </c>
      <c r="R801" s="2" t="s">
        <v>2921</v>
      </c>
      <c r="S801" s="4">
        <v>44837</v>
      </c>
    </row>
    <row r="802" spans="1:19" ht="12.5" x14ac:dyDescent="0.25">
      <c r="A802" s="14" t="str">
        <f>HYPERLINK("https://gerandofalcoes.my.salesforce.com/0014X00002VKCq4QAH", "0014X00002VKCq4QAH")</f>
        <v>0014X00002VKCq4QAH</v>
      </c>
      <c r="B802" s="2" t="s">
        <v>1980</v>
      </c>
      <c r="C802" s="2" t="s">
        <v>423</v>
      </c>
      <c r="D802" s="2" t="s">
        <v>2</v>
      </c>
      <c r="E802" s="2">
        <v>39</v>
      </c>
      <c r="F802" s="2">
        <v>0</v>
      </c>
      <c r="G802" s="2">
        <v>3</v>
      </c>
      <c r="H802" s="2">
        <v>30000</v>
      </c>
      <c r="I802" s="2">
        <v>700</v>
      </c>
      <c r="J802" s="2" t="s">
        <v>1671</v>
      </c>
      <c r="K802" s="2">
        <v>53</v>
      </c>
      <c r="L802" s="2">
        <v>15</v>
      </c>
      <c r="M802" s="2">
        <v>0</v>
      </c>
      <c r="N802" s="2">
        <v>8</v>
      </c>
      <c r="O802" s="2">
        <v>10</v>
      </c>
      <c r="P802" s="2">
        <v>20</v>
      </c>
      <c r="Q802" s="2" t="s">
        <v>1981</v>
      </c>
      <c r="R802" s="2" t="s">
        <v>1982</v>
      </c>
      <c r="S802" s="4">
        <v>44837</v>
      </c>
    </row>
    <row r="803" spans="1:19" ht="12.5" x14ac:dyDescent="0.25">
      <c r="A803" s="14" t="str">
        <f>HYPERLINK("https://gerandofalcoes.my.salesforce.com/0014X00002VKCpfQAH", "0014X00002VKCpfQAH")</f>
        <v>0014X00002VKCpfQAH</v>
      </c>
      <c r="B803" s="2" t="s">
        <v>1868</v>
      </c>
      <c r="C803" s="2" t="s">
        <v>423</v>
      </c>
      <c r="D803" s="2" t="s">
        <v>2</v>
      </c>
      <c r="E803" s="2">
        <v>40</v>
      </c>
      <c r="F803" s="2">
        <v>0</v>
      </c>
      <c r="G803" s="2">
        <v>3</v>
      </c>
      <c r="H803" s="2">
        <v>41307</v>
      </c>
      <c r="I803" s="2">
        <v>120</v>
      </c>
      <c r="J803" s="2" t="s">
        <v>1671</v>
      </c>
      <c r="K803" s="2">
        <v>43</v>
      </c>
      <c r="L803" s="2">
        <v>15</v>
      </c>
      <c r="M803" s="2">
        <v>0</v>
      </c>
      <c r="N803" s="2">
        <v>8</v>
      </c>
      <c r="O803" s="2">
        <v>10</v>
      </c>
      <c r="P803" s="2">
        <v>10</v>
      </c>
      <c r="Q803" s="2" t="s">
        <v>1869</v>
      </c>
      <c r="R803" s="2" t="s">
        <v>1870</v>
      </c>
      <c r="S803" s="4">
        <v>44837</v>
      </c>
    </row>
    <row r="804" spans="1:19" ht="12.5" x14ac:dyDescent="0.25">
      <c r="A804" s="14" t="str">
        <f>HYPERLINK("https://gerandofalcoes.my.salesforce.com/0014X00002VKCtKQAX", "0014X00002VKCtKQAX")</f>
        <v>0014X00002VKCtKQAX</v>
      </c>
      <c r="B804" s="2" t="s">
        <v>2828</v>
      </c>
      <c r="C804" s="2" t="s">
        <v>423</v>
      </c>
      <c r="D804" s="2" t="s">
        <v>2</v>
      </c>
      <c r="E804" s="2">
        <v>25</v>
      </c>
      <c r="F804" s="2">
        <v>8</v>
      </c>
      <c r="G804" s="2">
        <v>12</v>
      </c>
      <c r="H804" s="2">
        <v>5479</v>
      </c>
      <c r="I804" s="2">
        <v>80</v>
      </c>
      <c r="J804" s="2" t="s">
        <v>1671</v>
      </c>
      <c r="K804" s="2">
        <v>50</v>
      </c>
      <c r="L804" s="2">
        <v>15</v>
      </c>
      <c r="M804" s="2">
        <v>10</v>
      </c>
      <c r="N804" s="2">
        <v>10</v>
      </c>
      <c r="O804" s="2">
        <v>5</v>
      </c>
      <c r="P804" s="2">
        <v>10</v>
      </c>
      <c r="Q804" s="2" t="s">
        <v>2829</v>
      </c>
      <c r="R804" s="2" t="s">
        <v>2829</v>
      </c>
      <c r="S804" s="4">
        <v>44837</v>
      </c>
    </row>
    <row r="805" spans="1:19" ht="12.5" hidden="1" x14ac:dyDescent="0.25">
      <c r="A805" s="14" t="str">
        <f>HYPERLINK("https://gerandofalcoes.my.salesforce.com/0014X00002VKCtmQAH", "0014X00002VKCtmQAH")</f>
        <v>0014X00002VKCtmQAH</v>
      </c>
      <c r="B805" s="2" t="s">
        <v>2571</v>
      </c>
      <c r="C805" s="2" t="s">
        <v>1800</v>
      </c>
      <c r="D805" s="2" t="s">
        <v>2</v>
      </c>
      <c r="E805" s="2">
        <v>20</v>
      </c>
      <c r="F805" s="2">
        <v>0</v>
      </c>
      <c r="G805" s="2">
        <v>2</v>
      </c>
      <c r="H805" s="2">
        <v>30000</v>
      </c>
      <c r="I805" s="2">
        <v>0</v>
      </c>
      <c r="J805" s="2" t="s">
        <v>1779</v>
      </c>
      <c r="K805" s="2">
        <v>26</v>
      </c>
      <c r="L805" s="2">
        <v>10</v>
      </c>
      <c r="M805" s="2">
        <v>0</v>
      </c>
      <c r="N805" s="2">
        <v>6</v>
      </c>
      <c r="O805" s="2">
        <v>10</v>
      </c>
      <c r="P805" s="2">
        <v>0</v>
      </c>
      <c r="Q805" s="2" t="s">
        <v>2572</v>
      </c>
      <c r="R805" s="2" t="s">
        <v>2572</v>
      </c>
      <c r="S805" s="4">
        <v>44837</v>
      </c>
    </row>
    <row r="806" spans="1:19" ht="12.5" hidden="1" x14ac:dyDescent="0.25">
      <c r="A806" s="14" t="str">
        <f>HYPERLINK("https://gerandofalcoes.my.salesforce.com/0014X00002VKCq0QAH", "0014X00002VKCq0QAH")</f>
        <v>0014X00002VKCq0QAH</v>
      </c>
      <c r="B806" s="2" t="s">
        <v>2930</v>
      </c>
      <c r="C806" s="2" t="s">
        <v>1800</v>
      </c>
      <c r="D806" s="2" t="s">
        <v>2</v>
      </c>
      <c r="E806" s="2">
        <v>6</v>
      </c>
      <c r="F806" s="2">
        <v>2</v>
      </c>
      <c r="G806" s="2">
        <v>3</v>
      </c>
      <c r="H806" s="2">
        <v>929000</v>
      </c>
      <c r="I806" s="2">
        <v>300</v>
      </c>
      <c r="J806" s="2" t="s">
        <v>1671</v>
      </c>
      <c r="K806" s="2">
        <v>63</v>
      </c>
      <c r="L806" s="2">
        <v>10</v>
      </c>
      <c r="M806" s="2">
        <v>5</v>
      </c>
      <c r="N806" s="2">
        <v>8</v>
      </c>
      <c r="O806" s="2">
        <v>25</v>
      </c>
      <c r="P806" s="2">
        <v>15</v>
      </c>
      <c r="Q806" s="2" t="s">
        <v>2931</v>
      </c>
      <c r="R806" s="2" t="s">
        <v>2932</v>
      </c>
      <c r="S806" s="4">
        <v>44837</v>
      </c>
    </row>
    <row r="807" spans="1:19" ht="12.5" x14ac:dyDescent="0.25">
      <c r="A807" s="14" t="str">
        <f>HYPERLINK("https://gerandofalcoes.my.salesforce.com/0014X00002VKCrRQAX", "0014X00002VKCrRQAX")</f>
        <v>0014X00002VKCrRQAX</v>
      </c>
      <c r="B807" s="2" t="s">
        <v>1864</v>
      </c>
      <c r="C807" s="2" t="s">
        <v>423</v>
      </c>
      <c r="D807" s="2" t="s">
        <v>2</v>
      </c>
      <c r="E807" s="2">
        <v>43</v>
      </c>
      <c r="F807" s="2">
        <v>0</v>
      </c>
      <c r="G807" s="2">
        <v>2</v>
      </c>
      <c r="H807" s="2">
        <v>140300</v>
      </c>
      <c r="I807" s="2">
        <v>238</v>
      </c>
      <c r="J807" s="2" t="s">
        <v>1671</v>
      </c>
      <c r="K807" s="2">
        <v>48</v>
      </c>
      <c r="L807" s="2">
        <v>15</v>
      </c>
      <c r="M807" s="2">
        <v>0</v>
      </c>
      <c r="N807" s="2">
        <v>6</v>
      </c>
      <c r="O807" s="2">
        <v>15</v>
      </c>
      <c r="P807" s="2">
        <v>12</v>
      </c>
      <c r="Q807" s="2" t="s">
        <v>1865</v>
      </c>
      <c r="R807" s="2" t="s">
        <v>1866</v>
      </c>
      <c r="S807" s="4">
        <v>44837</v>
      </c>
    </row>
    <row r="808" spans="1:19" ht="12.5" x14ac:dyDescent="0.25">
      <c r="A808" s="14" t="str">
        <f>HYPERLINK("https://gerandofalcoes.my.salesforce.com/0014X00002VKCutQAH", "0014X00002VKCutQAH")</f>
        <v>0014X00002VKCutQAH</v>
      </c>
      <c r="B808" s="2" t="s">
        <v>2205</v>
      </c>
      <c r="C808" s="2" t="s">
        <v>423</v>
      </c>
      <c r="D808" s="2" t="s">
        <v>2</v>
      </c>
      <c r="E808" s="2">
        <v>45</v>
      </c>
      <c r="F808" s="2">
        <v>8</v>
      </c>
      <c r="G808" s="2">
        <v>3</v>
      </c>
      <c r="H808" s="2">
        <v>60000</v>
      </c>
      <c r="I808" s="2">
        <v>120</v>
      </c>
      <c r="J808" s="2" t="s">
        <v>1671</v>
      </c>
      <c r="K808" s="2">
        <v>53</v>
      </c>
      <c r="L808" s="2">
        <v>15</v>
      </c>
      <c r="M808" s="2">
        <v>10</v>
      </c>
      <c r="N808" s="2">
        <v>8</v>
      </c>
      <c r="O808" s="2">
        <v>10</v>
      </c>
      <c r="P808" s="2">
        <v>10</v>
      </c>
      <c r="Q808" s="2" t="s">
        <v>2206</v>
      </c>
      <c r="R808" s="2" t="s">
        <v>2207</v>
      </c>
      <c r="S808" s="4">
        <v>44837</v>
      </c>
    </row>
    <row r="809" spans="1:19" ht="12.5" x14ac:dyDescent="0.25">
      <c r="A809" s="14" t="str">
        <f>HYPERLINK("https://gerandofalcoes.my.salesforce.com/0014X00002VKCpgQAH", "0014X00002VKCpgQAH")</f>
        <v>0014X00002VKCpgQAH</v>
      </c>
      <c r="B809" s="2" t="s">
        <v>2898</v>
      </c>
      <c r="C809" s="2" t="s">
        <v>423</v>
      </c>
      <c r="D809" s="2" t="s">
        <v>2</v>
      </c>
      <c r="E809" s="2">
        <v>8.61</v>
      </c>
      <c r="F809" s="2">
        <v>1</v>
      </c>
      <c r="G809" s="2">
        <v>1</v>
      </c>
      <c r="H809" s="2">
        <v>1224</v>
      </c>
      <c r="I809" s="2">
        <v>25</v>
      </c>
      <c r="J809" s="2" t="s">
        <v>1779</v>
      </c>
      <c r="K809" s="2">
        <v>29</v>
      </c>
      <c r="L809" s="2">
        <v>10</v>
      </c>
      <c r="M809" s="2">
        <v>5</v>
      </c>
      <c r="N809" s="2">
        <v>4</v>
      </c>
      <c r="O809" s="2">
        <v>5</v>
      </c>
      <c r="P809" s="2">
        <v>5</v>
      </c>
      <c r="Q809" s="2" t="s">
        <v>2899</v>
      </c>
      <c r="R809" s="2" t="s">
        <v>2899</v>
      </c>
      <c r="S809" s="4">
        <v>44837</v>
      </c>
    </row>
    <row r="810" spans="1:19" ht="12.5" x14ac:dyDescent="0.25">
      <c r="A810" s="14" t="str">
        <f>HYPERLINK("https://gerandofalcoes.my.salesforce.com/0014X00002VKCtGQAX", "0014X00002VKCtGQAX")</f>
        <v>0014X00002VKCtGQAX</v>
      </c>
      <c r="B810" s="2" t="s">
        <v>2459</v>
      </c>
      <c r="C810" s="2" t="s">
        <v>423</v>
      </c>
      <c r="D810" s="2" t="s">
        <v>2</v>
      </c>
      <c r="E810" s="2">
        <v>23</v>
      </c>
      <c r="F810" s="2">
        <v>0</v>
      </c>
      <c r="G810" s="2">
        <v>4</v>
      </c>
      <c r="H810" s="2">
        <v>2000</v>
      </c>
      <c r="I810" s="2">
        <v>90</v>
      </c>
      <c r="J810" s="2" t="s">
        <v>1779</v>
      </c>
      <c r="K810" s="2">
        <v>35</v>
      </c>
      <c r="L810" s="2">
        <v>10</v>
      </c>
      <c r="M810" s="2">
        <v>0</v>
      </c>
      <c r="N810" s="2">
        <v>10</v>
      </c>
      <c r="O810" s="2">
        <v>5</v>
      </c>
      <c r="P810" s="2">
        <v>10</v>
      </c>
      <c r="Q810" s="2" t="s">
        <v>2460</v>
      </c>
      <c r="R810" s="2" t="s">
        <v>2461</v>
      </c>
      <c r="S810" s="4">
        <v>44837</v>
      </c>
    </row>
    <row r="811" spans="1:19" ht="12.5" x14ac:dyDescent="0.25">
      <c r="A811" s="14" t="str">
        <f>HYPERLINK("https://gerandofalcoes.my.salesforce.com/0014X00002VKCtkQAH", "0014X00002VKCtkQAH")</f>
        <v>0014X00002VKCtkQAH</v>
      </c>
      <c r="B811" s="2" t="s">
        <v>2200</v>
      </c>
      <c r="C811" s="2" t="s">
        <v>423</v>
      </c>
      <c r="D811" s="2" t="s">
        <v>2</v>
      </c>
      <c r="E811" s="2">
        <v>32.909999999999997</v>
      </c>
      <c r="F811" s="2">
        <v>14</v>
      </c>
      <c r="G811" s="2">
        <v>0</v>
      </c>
      <c r="H811" s="2">
        <v>345000</v>
      </c>
      <c r="I811" s="2">
        <v>300</v>
      </c>
      <c r="J811" s="2" t="s">
        <v>1671</v>
      </c>
      <c r="K811" s="2">
        <v>62</v>
      </c>
      <c r="L811" s="2">
        <v>15</v>
      </c>
      <c r="M811" s="2">
        <v>12</v>
      </c>
      <c r="N811" s="2">
        <v>0</v>
      </c>
      <c r="O811" s="2">
        <v>20</v>
      </c>
      <c r="P811" s="2">
        <v>15</v>
      </c>
      <c r="Q811" s="2" t="s">
        <v>2201</v>
      </c>
      <c r="R811" s="2" t="s">
        <v>2202</v>
      </c>
      <c r="S811" s="4">
        <v>44837</v>
      </c>
    </row>
    <row r="812" spans="1:19" ht="12.5" x14ac:dyDescent="0.25">
      <c r="A812" s="14" t="str">
        <f>HYPERLINK("https://gerandofalcoes.my.salesforce.com/0014X00002VKCpdQAH", "0014X00002VKCpdQAH")</f>
        <v>0014X00002VKCpdQAH</v>
      </c>
      <c r="B812" s="2" t="s">
        <v>1731</v>
      </c>
      <c r="C812" s="2" t="s">
        <v>423</v>
      </c>
      <c r="D812" s="2" t="s">
        <v>2</v>
      </c>
      <c r="E812" s="2">
        <v>71</v>
      </c>
      <c r="F812" s="2">
        <v>22</v>
      </c>
      <c r="G812" s="2">
        <v>3</v>
      </c>
      <c r="H812" s="2">
        <v>1200000</v>
      </c>
      <c r="I812" s="2">
        <v>520</v>
      </c>
      <c r="J812" s="2" t="s">
        <v>1654</v>
      </c>
      <c r="K812" s="2">
        <v>85</v>
      </c>
      <c r="L812" s="2">
        <v>20</v>
      </c>
      <c r="M812" s="2">
        <v>12</v>
      </c>
      <c r="N812" s="2">
        <v>8</v>
      </c>
      <c r="O812" s="2">
        <v>25</v>
      </c>
      <c r="P812" s="2">
        <v>20</v>
      </c>
      <c r="Q812" s="2" t="s">
        <v>1732</v>
      </c>
      <c r="R812" s="2" t="s">
        <v>1733</v>
      </c>
      <c r="S812" s="4">
        <v>44837</v>
      </c>
    </row>
    <row r="813" spans="1:19" ht="12.5" x14ac:dyDescent="0.25">
      <c r="A813" s="14" t="str">
        <f>HYPERLINK("https://gerandofalcoes.my.salesforce.com/0014X00002VKCtyQAH", "0014X00002VKCtyQAH")</f>
        <v>0014X00002VKCtyQAH</v>
      </c>
      <c r="B813" s="2" t="s">
        <v>1750</v>
      </c>
      <c r="C813" s="2" t="s">
        <v>423</v>
      </c>
      <c r="D813" s="2" t="s">
        <v>2</v>
      </c>
      <c r="E813" s="2">
        <v>63</v>
      </c>
      <c r="F813" s="2">
        <v>0</v>
      </c>
      <c r="G813" s="2">
        <v>4</v>
      </c>
      <c r="H813" s="2">
        <v>50000</v>
      </c>
      <c r="I813" s="2">
        <v>45</v>
      </c>
      <c r="J813" s="2" t="s">
        <v>1671</v>
      </c>
      <c r="K813" s="2">
        <v>45</v>
      </c>
      <c r="L813" s="2">
        <v>20</v>
      </c>
      <c r="M813" s="2">
        <v>0</v>
      </c>
      <c r="N813" s="2">
        <v>10</v>
      </c>
      <c r="O813" s="2">
        <v>10</v>
      </c>
      <c r="P813" s="2">
        <v>5</v>
      </c>
      <c r="Q813" s="2" t="s">
        <v>1751</v>
      </c>
      <c r="R813" s="2" t="s">
        <v>1752</v>
      </c>
      <c r="S813" s="4">
        <v>44837</v>
      </c>
    </row>
    <row r="814" spans="1:19" ht="12.5" hidden="1" x14ac:dyDescent="0.25">
      <c r="A814" s="14" t="str">
        <f>HYPERLINK("https://gerandofalcoes.my.salesforce.com/0014X00002VKCrWQAX", "0014X00002VKCrWQAX")</f>
        <v>0014X00002VKCrWQAX</v>
      </c>
      <c r="B814" s="2" t="s">
        <v>2235</v>
      </c>
      <c r="C814" s="2" t="s">
        <v>1800</v>
      </c>
      <c r="D814" s="2" t="s">
        <v>2</v>
      </c>
      <c r="E814" s="2">
        <v>31</v>
      </c>
      <c r="F814" s="2">
        <v>700</v>
      </c>
      <c r="G814" s="2">
        <v>3</v>
      </c>
      <c r="H814" s="2">
        <v>100000</v>
      </c>
      <c r="I814" s="2">
        <v>850</v>
      </c>
      <c r="J814" s="2" t="s">
        <v>1650</v>
      </c>
      <c r="K814" s="2">
        <v>73</v>
      </c>
      <c r="L814" s="2">
        <v>15</v>
      </c>
      <c r="M814" s="2">
        <v>15</v>
      </c>
      <c r="N814" s="2">
        <v>8</v>
      </c>
      <c r="O814" s="2">
        <v>15</v>
      </c>
      <c r="P814" s="2">
        <v>20</v>
      </c>
      <c r="Q814" s="2" t="s">
        <v>2236</v>
      </c>
      <c r="R814" s="2" t="s">
        <v>2237</v>
      </c>
      <c r="S814" s="4">
        <v>44837</v>
      </c>
    </row>
    <row r="815" spans="1:19" ht="12.5" x14ac:dyDescent="0.25">
      <c r="A815" s="14" t="str">
        <f>HYPERLINK("https://gerandofalcoes.my.salesforce.com/0014X00002VKCrkQAH", "0014X00002VKCrkQAH")</f>
        <v>0014X00002VKCrkQAH</v>
      </c>
      <c r="B815" s="2" t="s">
        <v>2093</v>
      </c>
      <c r="C815" s="2" t="s">
        <v>423</v>
      </c>
      <c r="D815" s="2" t="s">
        <v>2</v>
      </c>
      <c r="E815" s="2">
        <v>50</v>
      </c>
      <c r="F815" s="2">
        <v>10</v>
      </c>
      <c r="G815" s="2">
        <v>3</v>
      </c>
      <c r="H815" s="2">
        <v>7986449</v>
      </c>
      <c r="I815" s="2">
        <v>30</v>
      </c>
      <c r="J815" s="2" t="s">
        <v>1650</v>
      </c>
      <c r="K815" s="2">
        <v>68</v>
      </c>
      <c r="L815" s="2">
        <v>20</v>
      </c>
      <c r="M815" s="2">
        <v>10</v>
      </c>
      <c r="N815" s="2">
        <v>8</v>
      </c>
      <c r="O815" s="2">
        <v>25</v>
      </c>
      <c r="P815" s="2">
        <v>5</v>
      </c>
      <c r="Q815" s="2" t="s">
        <v>2094</v>
      </c>
      <c r="R815" s="2" t="s">
        <v>2095</v>
      </c>
      <c r="S815" s="4">
        <v>44837</v>
      </c>
    </row>
    <row r="816" spans="1:19" ht="12.5" x14ac:dyDescent="0.25">
      <c r="A816" s="14" t="str">
        <f>HYPERLINK("https://gerandofalcoes.my.salesforce.com/0014P00003YSp9PQAT", "0014P00003YSp9PQAT")</f>
        <v>0014P00003YSp9PQAT</v>
      </c>
      <c r="B816" s="2" t="s">
        <v>2312</v>
      </c>
      <c r="C816" s="2" t="s">
        <v>423</v>
      </c>
      <c r="D816" s="2" t="s">
        <v>2</v>
      </c>
      <c r="E816" s="2">
        <v>28.92</v>
      </c>
      <c r="F816" s="2">
        <v>1</v>
      </c>
      <c r="G816" s="2">
        <v>2</v>
      </c>
      <c r="H816" s="2">
        <v>105000</v>
      </c>
      <c r="I816" s="2">
        <v>0</v>
      </c>
      <c r="J816" s="2" t="s">
        <v>1671</v>
      </c>
      <c r="K816" s="2">
        <v>41</v>
      </c>
      <c r="L816" s="2">
        <v>15</v>
      </c>
      <c r="M816" s="2">
        <v>5</v>
      </c>
      <c r="N816" s="2">
        <v>6</v>
      </c>
      <c r="O816" s="2">
        <v>15</v>
      </c>
      <c r="P816" s="2">
        <v>0</v>
      </c>
      <c r="Q816" s="2" t="s">
        <v>2313</v>
      </c>
      <c r="R816" s="2" t="s">
        <v>2313</v>
      </c>
      <c r="S816" s="4">
        <v>44837</v>
      </c>
    </row>
    <row r="817" spans="1:19" ht="12.5" x14ac:dyDescent="0.25">
      <c r="A817" s="14" t="str">
        <f>HYPERLINK("https://gerandofalcoes.my.salesforce.com/0014P00003YSp9TQAT", "0014P00003YSp9TQAT")</f>
        <v>0014P00003YSp9TQAT</v>
      </c>
      <c r="B817" s="2" t="s">
        <v>2194</v>
      </c>
      <c r="C817" s="2" t="s">
        <v>423</v>
      </c>
      <c r="D817" s="2" t="s">
        <v>2</v>
      </c>
      <c r="E817" s="2">
        <v>33</v>
      </c>
      <c r="F817" s="2">
        <v>0</v>
      </c>
      <c r="G817" s="2">
        <v>3</v>
      </c>
      <c r="H817" s="2">
        <v>55000</v>
      </c>
      <c r="I817" s="2">
        <v>0</v>
      </c>
      <c r="J817" s="2" t="s">
        <v>1779</v>
      </c>
      <c r="K817" s="2">
        <v>33</v>
      </c>
      <c r="L817" s="2">
        <v>15</v>
      </c>
      <c r="M817" s="2">
        <v>0</v>
      </c>
      <c r="N817" s="2">
        <v>8</v>
      </c>
      <c r="O817" s="2">
        <v>10</v>
      </c>
      <c r="P817" s="2">
        <v>0</v>
      </c>
      <c r="Q817" s="2" t="s">
        <v>2195</v>
      </c>
      <c r="R817" s="2" t="s">
        <v>2196</v>
      </c>
      <c r="S817" s="4">
        <v>44837</v>
      </c>
    </row>
    <row r="818" spans="1:19" ht="12.5" hidden="1" x14ac:dyDescent="0.25">
      <c r="A818" s="14" t="str">
        <f>HYPERLINK("https://gerandofalcoes.my.salesforce.com/0014P00003YSp9UQAT", "0014P00003YSp9UQAT")</f>
        <v>0014P00003YSp9UQAT</v>
      </c>
      <c r="B818" s="2" t="s">
        <v>2133</v>
      </c>
      <c r="C818" s="2" t="s">
        <v>1800</v>
      </c>
      <c r="D818" s="2" t="s">
        <v>2</v>
      </c>
      <c r="E818" s="2">
        <v>34</v>
      </c>
      <c r="F818" s="2">
        <v>39</v>
      </c>
      <c r="G818" s="2">
        <v>2</v>
      </c>
      <c r="H818" s="2">
        <v>2000</v>
      </c>
      <c r="I818" s="2">
        <v>280</v>
      </c>
      <c r="J818" s="2" t="s">
        <v>1671</v>
      </c>
      <c r="K818" s="2">
        <v>53</v>
      </c>
      <c r="L818" s="2">
        <v>15</v>
      </c>
      <c r="M818" s="2">
        <v>15</v>
      </c>
      <c r="N818" s="2">
        <v>6</v>
      </c>
      <c r="O818" s="2">
        <v>5</v>
      </c>
      <c r="P818" s="2">
        <v>12</v>
      </c>
      <c r="Q818" s="2" t="s">
        <v>2134</v>
      </c>
      <c r="R818" s="2" t="s">
        <v>2135</v>
      </c>
      <c r="S818" s="4">
        <v>44837</v>
      </c>
    </row>
    <row r="819" spans="1:19" ht="12.5" x14ac:dyDescent="0.25">
      <c r="A819" s="14" t="str">
        <f>HYPERLINK("https://gerandofalcoes.my.salesforce.com/0014P00003YSp9WQAT", "0014P00003YSp9WQAT")</f>
        <v>0014P00003YSp9WQAT</v>
      </c>
      <c r="B819" s="2" t="s">
        <v>2286</v>
      </c>
      <c r="C819" s="2" t="s">
        <v>423</v>
      </c>
      <c r="D819" s="2" t="s">
        <v>2</v>
      </c>
      <c r="E819" s="2">
        <v>35</v>
      </c>
      <c r="F819" s="2">
        <v>0</v>
      </c>
      <c r="G819" s="2">
        <v>2</v>
      </c>
      <c r="H819" s="2">
        <v>0</v>
      </c>
      <c r="I819" s="2">
        <v>353</v>
      </c>
      <c r="J819" s="2" t="s">
        <v>1779</v>
      </c>
      <c r="K819" s="2">
        <v>36</v>
      </c>
      <c r="L819" s="2">
        <v>15</v>
      </c>
      <c r="M819" s="2">
        <v>0</v>
      </c>
      <c r="N819" s="2">
        <v>6</v>
      </c>
      <c r="O819" s="2">
        <v>0</v>
      </c>
      <c r="P819" s="2">
        <v>15</v>
      </c>
      <c r="Q819" s="2" t="s">
        <v>2287</v>
      </c>
      <c r="R819" s="2" t="s">
        <v>2287</v>
      </c>
      <c r="S819" s="4">
        <v>44837</v>
      </c>
    </row>
    <row r="820" spans="1:19" ht="12.5" x14ac:dyDescent="0.25">
      <c r="A820" s="14" t="str">
        <f>HYPERLINK("https://gerandofalcoes.my.salesforce.com/0014P00003YSp9XQAT", "0014P00003YSp9XQAT")</f>
        <v>0014P00003YSp9XQAT</v>
      </c>
      <c r="B820" s="2" t="s">
        <v>1833</v>
      </c>
      <c r="C820" s="2" t="s">
        <v>423</v>
      </c>
      <c r="D820" s="2" t="s">
        <v>2</v>
      </c>
      <c r="E820" s="2">
        <v>46</v>
      </c>
      <c r="F820" s="2">
        <v>53</v>
      </c>
      <c r="G820" s="2">
        <v>6</v>
      </c>
      <c r="H820" s="2">
        <v>526341644</v>
      </c>
      <c r="I820" s="2">
        <v>501</v>
      </c>
      <c r="J820" s="2" t="s">
        <v>1654</v>
      </c>
      <c r="K820" s="2">
        <v>85</v>
      </c>
      <c r="L820" s="2">
        <v>15</v>
      </c>
      <c r="M820" s="2">
        <v>15</v>
      </c>
      <c r="N820" s="2">
        <v>10</v>
      </c>
      <c r="O820" s="2">
        <v>25</v>
      </c>
      <c r="P820" s="2">
        <v>20</v>
      </c>
      <c r="Q820" s="2" t="s">
        <v>1834</v>
      </c>
      <c r="R820" s="2"/>
      <c r="S820" s="4">
        <v>44837</v>
      </c>
    </row>
    <row r="821" spans="1:19" ht="12.5" x14ac:dyDescent="0.25">
      <c r="A821" s="14" t="str">
        <f>HYPERLINK("https://gerandofalcoes.my.salesforce.com/0014P00003YSp9YQAT", "0014P00003YSp9YQAT")</f>
        <v>0014P00003YSp9YQAT</v>
      </c>
      <c r="B821" s="2" t="s">
        <v>2203</v>
      </c>
      <c r="C821" s="2" t="s">
        <v>423</v>
      </c>
      <c r="D821" s="2" t="s">
        <v>2</v>
      </c>
      <c r="E821" s="2">
        <v>32</v>
      </c>
      <c r="F821" s="2">
        <v>0</v>
      </c>
      <c r="G821" s="2">
        <v>2</v>
      </c>
      <c r="H821" s="2">
        <v>25822</v>
      </c>
      <c r="I821" s="2">
        <v>300</v>
      </c>
      <c r="J821" s="2" t="s">
        <v>1671</v>
      </c>
      <c r="K821" s="2">
        <v>46</v>
      </c>
      <c r="L821" s="2">
        <v>15</v>
      </c>
      <c r="M821" s="2">
        <v>0</v>
      </c>
      <c r="N821" s="2">
        <v>6</v>
      </c>
      <c r="O821" s="2">
        <v>10</v>
      </c>
      <c r="P821" s="2">
        <v>15</v>
      </c>
      <c r="Q821" s="2" t="s">
        <v>2204</v>
      </c>
      <c r="R821" s="2" t="s">
        <v>2204</v>
      </c>
      <c r="S821" s="4">
        <v>44837</v>
      </c>
    </row>
    <row r="822" spans="1:19" ht="12.5" hidden="1" x14ac:dyDescent="0.25">
      <c r="A822" s="14" t="str">
        <f>HYPERLINK("https://gerandofalcoes.my.salesforce.com/0014P00003YSp9ZQAT", "0014P00003YSp9ZQAT")</f>
        <v>0014P00003YSp9ZQAT</v>
      </c>
      <c r="B822" s="2" t="s">
        <v>2381</v>
      </c>
      <c r="C822" s="2" t="s">
        <v>1800</v>
      </c>
      <c r="D822" s="2" t="s">
        <v>2</v>
      </c>
      <c r="E822" s="2">
        <v>26</v>
      </c>
      <c r="F822" s="2">
        <v>2</v>
      </c>
      <c r="G822" s="2">
        <v>0</v>
      </c>
      <c r="H822" s="2">
        <v>0</v>
      </c>
      <c r="I822" s="2">
        <v>0</v>
      </c>
      <c r="J822" s="2" t="s">
        <v>1779</v>
      </c>
      <c r="K822" s="2">
        <v>20</v>
      </c>
      <c r="L822" s="2">
        <v>15</v>
      </c>
      <c r="M822" s="2">
        <v>5</v>
      </c>
      <c r="N822" s="2">
        <v>0</v>
      </c>
      <c r="O822" s="2">
        <v>0</v>
      </c>
      <c r="P822" s="2">
        <v>0</v>
      </c>
      <c r="Q822" s="2" t="s">
        <v>2382</v>
      </c>
      <c r="R822" s="2" t="s">
        <v>2383</v>
      </c>
      <c r="S822" s="4">
        <v>44837</v>
      </c>
    </row>
    <row r="823" spans="1:19" ht="12.5" x14ac:dyDescent="0.25">
      <c r="A823" s="14" t="str">
        <f>HYPERLINK("https://gerandofalcoes.my.salesforce.com/0014P00003YSp9aQAD", "0014P00003YSp9aQAD")</f>
        <v>0014P00003YSp9aQAD</v>
      </c>
      <c r="B823" s="2" t="s">
        <v>2249</v>
      </c>
      <c r="C823" s="2" t="s">
        <v>423</v>
      </c>
      <c r="D823" s="2" t="s">
        <v>2</v>
      </c>
      <c r="E823" s="2">
        <v>30.96</v>
      </c>
      <c r="F823" s="2">
        <v>0</v>
      </c>
      <c r="G823" s="2">
        <v>1</v>
      </c>
      <c r="H823" s="2">
        <v>2500</v>
      </c>
      <c r="I823" s="2">
        <v>50</v>
      </c>
      <c r="J823" s="2" t="s">
        <v>1779</v>
      </c>
      <c r="K823" s="2">
        <v>29</v>
      </c>
      <c r="L823" s="2">
        <v>15</v>
      </c>
      <c r="M823" s="2">
        <v>0</v>
      </c>
      <c r="N823" s="2">
        <v>4</v>
      </c>
      <c r="O823" s="2">
        <v>5</v>
      </c>
      <c r="P823" s="2">
        <v>5</v>
      </c>
      <c r="Q823" s="2" t="s">
        <v>2250</v>
      </c>
      <c r="R823" s="2" t="s">
        <v>2251</v>
      </c>
      <c r="S823" s="4">
        <v>44837</v>
      </c>
    </row>
    <row r="824" spans="1:19" ht="12.5" hidden="1" x14ac:dyDescent="0.25">
      <c r="A824" s="14" t="str">
        <f>HYPERLINK("https://gerandofalcoes.my.salesforce.com/0014P00003YSp9bQAD", "0014P00003YSp9bQAD")</f>
        <v>0014P00003YSp9bQAD</v>
      </c>
      <c r="B824" s="2" t="s">
        <v>2016</v>
      </c>
      <c r="C824" s="2" t="s">
        <v>1800</v>
      </c>
      <c r="D824" s="2" t="s">
        <v>2</v>
      </c>
      <c r="E824" s="2">
        <v>38</v>
      </c>
      <c r="F824" s="2">
        <v>8</v>
      </c>
      <c r="G824" s="2">
        <v>3</v>
      </c>
      <c r="H824" s="2">
        <v>400216</v>
      </c>
      <c r="I824" s="2">
        <v>340</v>
      </c>
      <c r="J824" s="2" t="s">
        <v>1650</v>
      </c>
      <c r="K824" s="2">
        <v>68</v>
      </c>
      <c r="L824" s="2">
        <v>15</v>
      </c>
      <c r="M824" s="2">
        <v>10</v>
      </c>
      <c r="N824" s="2">
        <v>8</v>
      </c>
      <c r="O824" s="2">
        <v>20</v>
      </c>
      <c r="P824" s="2">
        <v>15</v>
      </c>
      <c r="Q824" s="2" t="s">
        <v>2017</v>
      </c>
      <c r="R824" s="2" t="s">
        <v>2018</v>
      </c>
      <c r="S824" s="4">
        <v>44837</v>
      </c>
    </row>
    <row r="825" spans="1:19" ht="12.5" hidden="1" x14ac:dyDescent="0.25">
      <c r="A825" s="14" t="str">
        <f>HYPERLINK("https://gerandofalcoes.my.salesforce.com/0014P00003YSp9cQAD", "0014P00003YSp9cQAD")</f>
        <v>0014P00003YSp9cQAD</v>
      </c>
      <c r="B825" s="2" t="s">
        <v>2603</v>
      </c>
      <c r="C825" s="2" t="s">
        <v>1800</v>
      </c>
      <c r="D825" s="2" t="s">
        <v>2</v>
      </c>
      <c r="E825" s="2">
        <v>19</v>
      </c>
      <c r="F825" s="2">
        <v>2</v>
      </c>
      <c r="G825" s="2">
        <v>4</v>
      </c>
      <c r="H825" s="2">
        <v>2000</v>
      </c>
      <c r="I825" s="2">
        <v>60</v>
      </c>
      <c r="J825" s="2" t="s">
        <v>1779</v>
      </c>
      <c r="K825" s="2">
        <v>35</v>
      </c>
      <c r="L825" s="2">
        <v>10</v>
      </c>
      <c r="M825" s="2">
        <v>5</v>
      </c>
      <c r="N825" s="2">
        <v>10</v>
      </c>
      <c r="O825" s="2">
        <v>5</v>
      </c>
      <c r="P825" s="2">
        <v>5</v>
      </c>
      <c r="Q825" s="2" t="s">
        <v>2604</v>
      </c>
      <c r="R825" s="2" t="s">
        <v>2605</v>
      </c>
      <c r="S825" s="4">
        <v>44837</v>
      </c>
    </row>
    <row r="826" spans="1:19" ht="12.5" hidden="1" x14ac:dyDescent="0.25">
      <c r="A826" s="14" t="str">
        <f>HYPERLINK("https://gerandofalcoes.my.salesforce.com/0014P00003YSp9dQAD", "0014P00003YSp9dQAD")</f>
        <v>0014P00003YSp9dQAD</v>
      </c>
      <c r="B826" s="2" t="s">
        <v>2691</v>
      </c>
      <c r="C826" s="2" t="s">
        <v>1684</v>
      </c>
      <c r="D826" s="2" t="s">
        <v>2</v>
      </c>
      <c r="E826" s="2">
        <v>16</v>
      </c>
      <c r="F826" s="2">
        <v>0</v>
      </c>
      <c r="G826" s="2">
        <v>2</v>
      </c>
      <c r="H826" s="2">
        <v>10000</v>
      </c>
      <c r="I826" s="2">
        <v>0</v>
      </c>
      <c r="J826" s="2" t="s">
        <v>1779</v>
      </c>
      <c r="K826" s="2">
        <v>21</v>
      </c>
      <c r="L826" s="2">
        <v>10</v>
      </c>
      <c r="M826" s="2">
        <v>0</v>
      </c>
      <c r="N826" s="2">
        <v>6</v>
      </c>
      <c r="O826" s="2">
        <v>5</v>
      </c>
      <c r="P826" s="2">
        <v>0</v>
      </c>
      <c r="Q826" s="2" t="s">
        <v>2692</v>
      </c>
      <c r="R826" s="2" t="s">
        <v>2693</v>
      </c>
      <c r="S826" s="4">
        <v>44837</v>
      </c>
    </row>
    <row r="827" spans="1:19" ht="12.5" hidden="1" x14ac:dyDescent="0.25">
      <c r="A827" s="14" t="str">
        <f>HYPERLINK("https://gerandofalcoes.my.salesforce.com/0014P00003YSp9eQAD", "0014P00003YSp9eQAD")</f>
        <v>0014P00003YSp9eQAD</v>
      </c>
      <c r="B827" s="2" t="s">
        <v>2084</v>
      </c>
      <c r="C827" s="2" t="s">
        <v>1800</v>
      </c>
      <c r="D827" s="2" t="s">
        <v>2</v>
      </c>
      <c r="E827" s="2">
        <v>36</v>
      </c>
      <c r="F827" s="2">
        <v>4</v>
      </c>
      <c r="G827" s="2">
        <v>4</v>
      </c>
      <c r="H827" s="2">
        <v>270000</v>
      </c>
      <c r="I827" s="2">
        <v>0</v>
      </c>
      <c r="J827" s="2" t="s">
        <v>1671</v>
      </c>
      <c r="K827" s="2">
        <v>45</v>
      </c>
      <c r="L827" s="2">
        <v>15</v>
      </c>
      <c r="M827" s="2">
        <v>5</v>
      </c>
      <c r="N827" s="2">
        <v>10</v>
      </c>
      <c r="O827" s="2">
        <v>15</v>
      </c>
      <c r="P827" s="2">
        <v>0</v>
      </c>
      <c r="Q827" s="2" t="s">
        <v>2085</v>
      </c>
      <c r="R827" s="2" t="s">
        <v>2086</v>
      </c>
      <c r="S827" s="4">
        <v>44837</v>
      </c>
    </row>
    <row r="828" spans="1:19" ht="12.5" hidden="1" x14ac:dyDescent="0.25">
      <c r="A828" s="14" t="str">
        <f>HYPERLINK("https://gerandofalcoes.my.salesforce.com/0014P00003YSp9RQAT", "0014P00003YSp9RQAT")</f>
        <v>0014P00003YSp9RQAT</v>
      </c>
      <c r="B828" s="2" t="s">
        <v>2208</v>
      </c>
      <c r="C828" s="2" t="s">
        <v>1800</v>
      </c>
      <c r="D828" s="2" t="s">
        <v>2</v>
      </c>
      <c r="E828" s="2">
        <v>32</v>
      </c>
      <c r="F828" s="2">
        <v>0</v>
      </c>
      <c r="G828" s="2">
        <v>4</v>
      </c>
      <c r="H828" s="2">
        <v>45000</v>
      </c>
      <c r="I828" s="2">
        <v>1700</v>
      </c>
      <c r="J828" s="2" t="s">
        <v>1671</v>
      </c>
      <c r="K828" s="2">
        <v>55</v>
      </c>
      <c r="L828" s="2">
        <v>15</v>
      </c>
      <c r="M828" s="2">
        <v>0</v>
      </c>
      <c r="N828" s="2">
        <v>10</v>
      </c>
      <c r="O828" s="2">
        <v>10</v>
      </c>
      <c r="P828" s="2">
        <v>20</v>
      </c>
      <c r="Q828" s="2" t="s">
        <v>2209</v>
      </c>
      <c r="R828" s="2" t="s">
        <v>2210</v>
      </c>
      <c r="S828" s="4">
        <v>44837</v>
      </c>
    </row>
    <row r="829" spans="1:19" ht="12.5" x14ac:dyDescent="0.25">
      <c r="A829" s="14" t="str">
        <f>HYPERLINK("https://gerandofalcoes.my.salesforce.com/0014P00003YSp9SQAT", "0014P00003YSp9SQAT")</f>
        <v>0014P00003YSp9SQAT</v>
      </c>
      <c r="B829" s="2" t="s">
        <v>1844</v>
      </c>
      <c r="C829" s="2" t="s">
        <v>423</v>
      </c>
      <c r="D829" s="2" t="s">
        <v>2</v>
      </c>
      <c r="E829" s="2">
        <v>20</v>
      </c>
      <c r="F829" s="2">
        <v>3</v>
      </c>
      <c r="G829" s="2">
        <v>4</v>
      </c>
      <c r="H829" s="2">
        <v>2855703</v>
      </c>
      <c r="I829" s="2">
        <v>150</v>
      </c>
      <c r="J829" s="2" t="s">
        <v>1671</v>
      </c>
      <c r="K829" s="2">
        <v>62</v>
      </c>
      <c r="L829" s="2">
        <v>10</v>
      </c>
      <c r="M829" s="2">
        <v>5</v>
      </c>
      <c r="N829" s="2">
        <v>10</v>
      </c>
      <c r="O829" s="2">
        <v>25</v>
      </c>
      <c r="P829" s="2">
        <v>12</v>
      </c>
      <c r="Q829" s="2" t="s">
        <v>1845</v>
      </c>
      <c r="R829" s="2" t="s">
        <v>1846</v>
      </c>
      <c r="S829" s="4">
        <v>44837</v>
      </c>
    </row>
    <row r="830" spans="1:19" ht="12.5" x14ac:dyDescent="0.25">
      <c r="A830" s="14" t="str">
        <f>HYPERLINK("https://gerandofalcoes.my.salesforce.com/0014P00003YSp9fQAD", "0014P00003YSp9fQAD")</f>
        <v>0014P00003YSp9fQAD</v>
      </c>
      <c r="B830" s="2" t="s">
        <v>2436</v>
      </c>
      <c r="C830" s="2" t="s">
        <v>423</v>
      </c>
      <c r="D830" s="2" t="s">
        <v>2</v>
      </c>
      <c r="E830" s="2">
        <v>24.24</v>
      </c>
      <c r="F830" s="2">
        <v>0</v>
      </c>
      <c r="G830" s="2">
        <v>0</v>
      </c>
      <c r="H830" s="2">
        <v>0</v>
      </c>
      <c r="I830" s="2">
        <v>114</v>
      </c>
      <c r="J830" s="2" t="s">
        <v>1779</v>
      </c>
      <c r="K830" s="2">
        <v>20</v>
      </c>
      <c r="L830" s="2">
        <v>10</v>
      </c>
      <c r="M830" s="2">
        <v>0</v>
      </c>
      <c r="N830" s="2">
        <v>0</v>
      </c>
      <c r="O830" s="2">
        <v>0</v>
      </c>
      <c r="P830" s="2">
        <v>10</v>
      </c>
      <c r="Q830" s="2" t="s">
        <v>2437</v>
      </c>
      <c r="R830" s="2" t="s">
        <v>2437</v>
      </c>
      <c r="S830" s="4">
        <v>44837</v>
      </c>
    </row>
    <row r="831" spans="1:19" ht="12.5" hidden="1" x14ac:dyDescent="0.25">
      <c r="A831" s="14" t="str">
        <f>HYPERLINK("https://gerandofalcoes.my.salesforce.com/0014P00003YSp9gQAD", "0014P00003YSp9gQAD")</f>
        <v>0014P00003YSp9gQAD</v>
      </c>
      <c r="B831" s="2" t="s">
        <v>2559</v>
      </c>
      <c r="C831" s="2" t="s">
        <v>1800</v>
      </c>
      <c r="D831" s="2" t="s">
        <v>2</v>
      </c>
      <c r="E831" s="2">
        <v>20</v>
      </c>
      <c r="F831" s="2">
        <v>5</v>
      </c>
      <c r="G831" s="2">
        <v>2</v>
      </c>
      <c r="H831" s="2">
        <v>2000</v>
      </c>
      <c r="I831" s="2">
        <v>50</v>
      </c>
      <c r="J831" s="2" t="s">
        <v>1779</v>
      </c>
      <c r="K831" s="2">
        <v>31</v>
      </c>
      <c r="L831" s="2">
        <v>10</v>
      </c>
      <c r="M831" s="2">
        <v>5</v>
      </c>
      <c r="N831" s="2">
        <v>6</v>
      </c>
      <c r="O831" s="2">
        <v>5</v>
      </c>
      <c r="P831" s="2">
        <v>5</v>
      </c>
      <c r="Q831" s="2" t="s">
        <v>2560</v>
      </c>
      <c r="R831" s="2" t="s">
        <v>2561</v>
      </c>
      <c r="S831" s="4">
        <v>44837</v>
      </c>
    </row>
    <row r="832" spans="1:19" ht="12.5" x14ac:dyDescent="0.25">
      <c r="A832" s="14" t="str">
        <f>HYPERLINK("https://gerandofalcoes.my.salesforce.com/0014P00003YSp9hQAD", "0014P00003YSp9hQAD")</f>
        <v>0014P00003YSp9hQAD</v>
      </c>
      <c r="B832" s="2" t="s">
        <v>2433</v>
      </c>
      <c r="C832" s="2" t="s">
        <v>423</v>
      </c>
      <c r="D832" s="2" t="s">
        <v>2</v>
      </c>
      <c r="E832" s="2">
        <v>15</v>
      </c>
      <c r="F832" s="2">
        <v>15</v>
      </c>
      <c r="G832" s="2">
        <v>5</v>
      </c>
      <c r="H832" s="2">
        <v>3886816</v>
      </c>
      <c r="I832" s="2">
        <v>100</v>
      </c>
      <c r="J832" s="2" t="s">
        <v>1650</v>
      </c>
      <c r="K832" s="2">
        <v>67</v>
      </c>
      <c r="L832" s="2">
        <v>10</v>
      </c>
      <c r="M832" s="2">
        <v>12</v>
      </c>
      <c r="N832" s="2">
        <v>10</v>
      </c>
      <c r="O832" s="2">
        <v>25</v>
      </c>
      <c r="P832" s="2">
        <v>10</v>
      </c>
      <c r="Q832" s="2" t="s">
        <v>2434</v>
      </c>
      <c r="R832" s="2" t="s">
        <v>2435</v>
      </c>
      <c r="S832" s="4">
        <v>44837</v>
      </c>
    </row>
    <row r="833" spans="1:19" ht="12.5" x14ac:dyDescent="0.25">
      <c r="A833" s="14" t="str">
        <f>HYPERLINK("https://gerandofalcoes.my.salesforce.com/0014P00003YSp9iQAD", "0014P00003YSp9iQAD")</f>
        <v>0014P00003YSp9iQAD</v>
      </c>
      <c r="B833" s="2" t="s">
        <v>2253</v>
      </c>
      <c r="C833" s="2" t="s">
        <v>423</v>
      </c>
      <c r="D833" s="2" t="s">
        <v>2</v>
      </c>
      <c r="E833" s="2">
        <v>36</v>
      </c>
      <c r="F833" s="2">
        <v>0</v>
      </c>
      <c r="G833" s="2">
        <v>3</v>
      </c>
      <c r="H833" s="2">
        <v>27240</v>
      </c>
      <c r="I833" s="2">
        <v>0</v>
      </c>
      <c r="J833" s="2" t="s">
        <v>1779</v>
      </c>
      <c r="K833" s="2">
        <v>33</v>
      </c>
      <c r="L833" s="2">
        <v>15</v>
      </c>
      <c r="M833" s="2">
        <v>0</v>
      </c>
      <c r="N833" s="2">
        <v>8</v>
      </c>
      <c r="O833" s="2">
        <v>10</v>
      </c>
      <c r="P833" s="2">
        <v>0</v>
      </c>
      <c r="Q833" s="2" t="s">
        <v>2254</v>
      </c>
      <c r="R833" s="2" t="s">
        <v>2255</v>
      </c>
      <c r="S833" s="4">
        <v>44837</v>
      </c>
    </row>
    <row r="834" spans="1:19" ht="12.5" x14ac:dyDescent="0.25">
      <c r="A834" s="14" t="str">
        <f>HYPERLINK("https://gerandofalcoes.my.salesforce.com/0014P00003YSp9jQAD", "0014P00003YSp9jQAD")</f>
        <v>0014P00003YSp9jQAD</v>
      </c>
      <c r="B834" s="2" t="s">
        <v>2270</v>
      </c>
      <c r="C834" s="2" t="s">
        <v>423</v>
      </c>
      <c r="D834" s="2" t="s">
        <v>2</v>
      </c>
      <c r="E834" s="2">
        <v>30</v>
      </c>
      <c r="F834" s="2">
        <v>1</v>
      </c>
      <c r="G834" s="2">
        <v>1</v>
      </c>
      <c r="H834" s="2">
        <v>6000</v>
      </c>
      <c r="I834" s="2">
        <v>110</v>
      </c>
      <c r="J834" s="2" t="s">
        <v>1779</v>
      </c>
      <c r="K834" s="2">
        <v>39</v>
      </c>
      <c r="L834" s="2">
        <v>15</v>
      </c>
      <c r="M834" s="2">
        <v>5</v>
      </c>
      <c r="N834" s="2">
        <v>4</v>
      </c>
      <c r="O834" s="2">
        <v>5</v>
      </c>
      <c r="P834" s="2">
        <v>10</v>
      </c>
      <c r="Q834" s="2" t="s">
        <v>2271</v>
      </c>
      <c r="R834" s="2" t="s">
        <v>2271</v>
      </c>
      <c r="S834" s="4">
        <v>44837</v>
      </c>
    </row>
    <row r="835" spans="1:19" ht="12.5" x14ac:dyDescent="0.25">
      <c r="A835" s="14" t="str">
        <f>HYPERLINK("https://gerandofalcoes.my.salesforce.com/0014P00003YSp9kQAD", "0014P00003YSp9kQAD")</f>
        <v>0014P00003YSp9kQAD</v>
      </c>
      <c r="B835" s="2" t="s">
        <v>1852</v>
      </c>
      <c r="C835" s="2" t="s">
        <v>423</v>
      </c>
      <c r="D835" s="2" t="s">
        <v>2</v>
      </c>
      <c r="E835" s="2">
        <v>29</v>
      </c>
      <c r="F835" s="2">
        <v>8</v>
      </c>
      <c r="G835" s="2">
        <v>3</v>
      </c>
      <c r="H835" s="2">
        <v>668446</v>
      </c>
      <c r="I835" s="2">
        <v>851</v>
      </c>
      <c r="J835" s="2" t="s">
        <v>1650</v>
      </c>
      <c r="K835" s="2">
        <v>73</v>
      </c>
      <c r="L835" s="2">
        <v>15</v>
      </c>
      <c r="M835" s="2">
        <v>10</v>
      </c>
      <c r="N835" s="2">
        <v>8</v>
      </c>
      <c r="O835" s="2">
        <v>20</v>
      </c>
      <c r="P835" s="2">
        <v>20</v>
      </c>
      <c r="Q835" s="2" t="s">
        <v>1853</v>
      </c>
      <c r="R835" s="2" t="s">
        <v>1854</v>
      </c>
      <c r="S835" s="4">
        <v>44837</v>
      </c>
    </row>
    <row r="836" spans="1:19" ht="12.5" x14ac:dyDescent="0.25">
      <c r="A836" s="14" t="str">
        <f>HYPERLINK("https://gerandofalcoes.my.salesforce.com/0014P00003YSp9lQAD", "0014P00003YSp9lQAD")</f>
        <v>0014P00003YSp9lQAD</v>
      </c>
      <c r="B836" s="2" t="s">
        <v>2573</v>
      </c>
      <c r="C836" s="2" t="s">
        <v>423</v>
      </c>
      <c r="D836" s="2" t="s">
        <v>2</v>
      </c>
      <c r="E836" s="2">
        <v>20</v>
      </c>
      <c r="F836" s="2">
        <v>8</v>
      </c>
      <c r="G836" s="2">
        <v>2</v>
      </c>
      <c r="H836" s="2">
        <v>12000</v>
      </c>
      <c r="I836" s="2">
        <v>0</v>
      </c>
      <c r="J836" s="2" t="s">
        <v>1779</v>
      </c>
      <c r="K836" s="2">
        <v>31</v>
      </c>
      <c r="L836" s="2">
        <v>10</v>
      </c>
      <c r="M836" s="2">
        <v>10</v>
      </c>
      <c r="N836" s="2">
        <v>6</v>
      </c>
      <c r="O836" s="2">
        <v>5</v>
      </c>
      <c r="P836" s="2">
        <v>0</v>
      </c>
      <c r="Q836" s="2" t="s">
        <v>2574</v>
      </c>
      <c r="R836" s="2" t="s">
        <v>2575</v>
      </c>
      <c r="S836" s="4">
        <v>44837</v>
      </c>
    </row>
    <row r="837" spans="1:19" ht="12.5" x14ac:dyDescent="0.25">
      <c r="A837" s="14" t="str">
        <f>HYPERLINK("https://gerandofalcoes.my.salesforce.com/0014P00003YSp9mQAD", "0014P00003YSp9mQAD")</f>
        <v>0014P00003YSp9mQAD</v>
      </c>
      <c r="B837" s="2" t="s">
        <v>1665</v>
      </c>
      <c r="C837" s="2" t="s">
        <v>423</v>
      </c>
      <c r="D837" s="2" t="s">
        <v>27</v>
      </c>
      <c r="E837" s="2">
        <v>88.16</v>
      </c>
      <c r="F837" s="2">
        <v>15</v>
      </c>
      <c r="G837" s="2">
        <v>6</v>
      </c>
      <c r="H837" s="2">
        <v>1000000</v>
      </c>
      <c r="I837" s="2">
        <v>767</v>
      </c>
      <c r="J837" s="2" t="s">
        <v>1654</v>
      </c>
      <c r="K837" s="2">
        <v>92</v>
      </c>
      <c r="L837" s="2">
        <v>25</v>
      </c>
      <c r="M837" s="2">
        <v>12</v>
      </c>
      <c r="N837" s="2">
        <v>10</v>
      </c>
      <c r="O837" s="2">
        <v>25</v>
      </c>
      <c r="P837" s="2">
        <v>20</v>
      </c>
      <c r="Q837" s="2" t="s">
        <v>1666</v>
      </c>
      <c r="R837" s="2" t="s">
        <v>1667</v>
      </c>
      <c r="S837" s="4">
        <v>44837</v>
      </c>
    </row>
    <row r="838" spans="1:19" ht="12.5" hidden="1" x14ac:dyDescent="0.25">
      <c r="A838" s="14" t="str">
        <f>HYPERLINK("https://gerandofalcoes.my.salesforce.com/0014P00003YSp9qQAD", "0014P00003YSp9qQAD")</f>
        <v>0014P00003YSp9qQAD</v>
      </c>
      <c r="B838" s="2" t="s">
        <v>2792</v>
      </c>
      <c r="C838" s="2" t="s">
        <v>1800</v>
      </c>
      <c r="D838" s="2" t="s">
        <v>2</v>
      </c>
      <c r="E838" s="2">
        <v>13</v>
      </c>
      <c r="F838" s="2">
        <v>0</v>
      </c>
      <c r="G838" s="2">
        <v>4</v>
      </c>
      <c r="H838" s="2">
        <v>3000</v>
      </c>
      <c r="I838" s="2">
        <v>60</v>
      </c>
      <c r="J838" s="2" t="s">
        <v>1779</v>
      </c>
      <c r="K838" s="2">
        <v>30</v>
      </c>
      <c r="L838" s="2">
        <v>10</v>
      </c>
      <c r="M838" s="2">
        <v>0</v>
      </c>
      <c r="N838" s="2">
        <v>10</v>
      </c>
      <c r="O838" s="2">
        <v>5</v>
      </c>
      <c r="P838" s="2">
        <v>5</v>
      </c>
      <c r="Q838" s="2" t="s">
        <v>2793</v>
      </c>
      <c r="R838" s="2" t="s">
        <v>2794</v>
      </c>
      <c r="S838" s="4">
        <v>44837</v>
      </c>
    </row>
    <row r="839" spans="1:19" ht="12.5" hidden="1" x14ac:dyDescent="0.25">
      <c r="A839" s="14" t="str">
        <f>HYPERLINK("https://gerandofalcoes.my.salesforce.com/0014P00003YSp9rQAD", "0014P00003YSp9rQAD")</f>
        <v>0014P00003YSp9rQAD</v>
      </c>
      <c r="B839" s="2" t="s">
        <v>2070</v>
      </c>
      <c r="C839" s="2" t="s">
        <v>1800</v>
      </c>
      <c r="D839" s="2" t="s">
        <v>2</v>
      </c>
      <c r="E839" s="2">
        <v>36</v>
      </c>
      <c r="F839" s="2">
        <v>7</v>
      </c>
      <c r="G839" s="2">
        <v>3</v>
      </c>
      <c r="H839" s="2">
        <v>0</v>
      </c>
      <c r="I839" s="2">
        <v>120</v>
      </c>
      <c r="J839" s="2" t="s">
        <v>1671</v>
      </c>
      <c r="K839" s="2">
        <v>43</v>
      </c>
      <c r="L839" s="2">
        <v>15</v>
      </c>
      <c r="M839" s="2">
        <v>10</v>
      </c>
      <c r="N839" s="2">
        <v>8</v>
      </c>
      <c r="O839" s="2">
        <v>0</v>
      </c>
      <c r="P839" s="2">
        <v>10</v>
      </c>
      <c r="Q839" s="2" t="s">
        <v>2071</v>
      </c>
      <c r="R839" s="2" t="s">
        <v>2072</v>
      </c>
      <c r="S839" s="4">
        <v>44837</v>
      </c>
    </row>
    <row r="840" spans="1:19" ht="12.5" hidden="1" x14ac:dyDescent="0.25">
      <c r="A840" s="14" t="str">
        <f>HYPERLINK("https://gerandofalcoes.my.salesforce.com/0014P00003YSp9tQAD", "0014P00003YSp9tQAD")</f>
        <v>0014P00003YSp9tQAD</v>
      </c>
      <c r="B840" s="2" t="s">
        <v>2022</v>
      </c>
      <c r="C840" s="2" t="s">
        <v>1684</v>
      </c>
      <c r="D840" s="2" t="s">
        <v>2</v>
      </c>
      <c r="E840" s="2">
        <v>38</v>
      </c>
      <c r="F840" s="2">
        <v>0</v>
      </c>
      <c r="G840" s="2">
        <v>0</v>
      </c>
      <c r="H840" s="2">
        <v>0</v>
      </c>
      <c r="I840" s="2">
        <v>0</v>
      </c>
      <c r="J840" s="2" t="s">
        <v>1779</v>
      </c>
      <c r="K840" s="2">
        <v>15</v>
      </c>
      <c r="L840" s="2">
        <v>15</v>
      </c>
      <c r="M840" s="2">
        <v>0</v>
      </c>
      <c r="N840" s="2">
        <v>0</v>
      </c>
      <c r="O840" s="2">
        <v>0</v>
      </c>
      <c r="P840" s="2">
        <v>0</v>
      </c>
      <c r="Q840" s="2" t="s">
        <v>2023</v>
      </c>
      <c r="R840" s="2" t="s">
        <v>2024</v>
      </c>
      <c r="S840" s="4">
        <v>44837</v>
      </c>
    </row>
    <row r="841" spans="1:19" ht="12.5" x14ac:dyDescent="0.25">
      <c r="A841" s="14" t="str">
        <f>HYPERLINK("https://gerandofalcoes.my.salesforce.com/0014P00003YSp9vQAD", "0014P00003YSp9vQAD")</f>
        <v>0014P00003YSp9vQAD</v>
      </c>
      <c r="B841" s="2" t="s">
        <v>2884</v>
      </c>
      <c r="C841" s="2" t="s">
        <v>423</v>
      </c>
      <c r="D841" s="2" t="s">
        <v>2</v>
      </c>
      <c r="E841" s="2">
        <v>9</v>
      </c>
      <c r="F841" s="2">
        <v>0</v>
      </c>
      <c r="G841" s="2">
        <v>2</v>
      </c>
      <c r="H841" s="2">
        <v>11000</v>
      </c>
      <c r="I841" s="2">
        <v>759</v>
      </c>
      <c r="J841" s="2" t="s">
        <v>1671</v>
      </c>
      <c r="K841" s="2">
        <v>41</v>
      </c>
      <c r="L841" s="2">
        <v>10</v>
      </c>
      <c r="M841" s="2">
        <v>0</v>
      </c>
      <c r="N841" s="2">
        <v>6</v>
      </c>
      <c r="O841" s="2">
        <v>5</v>
      </c>
      <c r="P841" s="2">
        <v>20</v>
      </c>
      <c r="Q841" s="2" t="s">
        <v>2885</v>
      </c>
      <c r="R841" s="2" t="s">
        <v>2886</v>
      </c>
      <c r="S841" s="4">
        <v>44837</v>
      </c>
    </row>
    <row r="842" spans="1:19" ht="12.5" x14ac:dyDescent="0.25">
      <c r="A842" s="14" t="str">
        <f>HYPERLINK("https://gerandofalcoes.my.salesforce.com/0014P00003YSp9wQAD", "0014P00003YSp9wQAD")</f>
        <v>0014P00003YSp9wQAD</v>
      </c>
      <c r="B842" s="2" t="s">
        <v>2497</v>
      </c>
      <c r="C842" s="2" t="s">
        <v>423</v>
      </c>
      <c r="D842" s="2" t="s">
        <v>2</v>
      </c>
      <c r="E842" s="2">
        <v>25</v>
      </c>
      <c r="F842" s="2">
        <v>6</v>
      </c>
      <c r="G842" s="2">
        <v>2</v>
      </c>
      <c r="H842" s="2">
        <v>2600000</v>
      </c>
      <c r="I842" s="2">
        <v>200</v>
      </c>
      <c r="J842" s="2" t="s">
        <v>1650</v>
      </c>
      <c r="K842" s="2">
        <v>68</v>
      </c>
      <c r="L842" s="2">
        <v>15</v>
      </c>
      <c r="M842" s="2">
        <v>10</v>
      </c>
      <c r="N842" s="2">
        <v>6</v>
      </c>
      <c r="O842" s="2">
        <v>25</v>
      </c>
      <c r="P842" s="2">
        <v>12</v>
      </c>
      <c r="Q842" s="2" t="s">
        <v>2498</v>
      </c>
      <c r="R842" s="2" t="s">
        <v>2498</v>
      </c>
      <c r="S842" s="4">
        <v>44837</v>
      </c>
    </row>
    <row r="843" spans="1:19" ht="12.5" x14ac:dyDescent="0.25">
      <c r="A843" s="14" t="str">
        <f>HYPERLINK("https://gerandofalcoes.my.salesforce.com/0014P00003AN2GLQA1", "0014P00003AN2GLQA1")</f>
        <v>0014P00003AN2GLQA1</v>
      </c>
      <c r="B843" s="2" t="s">
        <v>1691</v>
      </c>
      <c r="C843" s="2" t="s">
        <v>423</v>
      </c>
      <c r="D843" s="2" t="s">
        <v>27</v>
      </c>
      <c r="E843" s="2">
        <v>85</v>
      </c>
      <c r="F843" s="2">
        <v>13</v>
      </c>
      <c r="G843" s="2">
        <v>4</v>
      </c>
      <c r="H843" s="2">
        <v>154904.04</v>
      </c>
      <c r="I843" s="2">
        <v>172</v>
      </c>
      <c r="J843" s="2" t="s">
        <v>1650</v>
      </c>
      <c r="K843" s="2">
        <v>74</v>
      </c>
      <c r="L843" s="2">
        <v>25</v>
      </c>
      <c r="M843" s="2">
        <v>12</v>
      </c>
      <c r="N843" s="2">
        <v>10</v>
      </c>
      <c r="O843" s="2">
        <v>15</v>
      </c>
      <c r="P843" s="2">
        <v>12</v>
      </c>
      <c r="Q843" s="2" t="s">
        <v>29</v>
      </c>
      <c r="R843" s="2" t="s">
        <v>29</v>
      </c>
      <c r="S843" s="4">
        <v>44837</v>
      </c>
    </row>
    <row r="844" spans="1:19" ht="12.5" x14ac:dyDescent="0.25">
      <c r="A844" s="14" t="str">
        <f>HYPERLINK("https://gerandofalcoes.my.salesforce.com/0014P00003AN2GMQA1", "0014P00003AN2GMQA1")</f>
        <v>0014P00003AN2GMQA1</v>
      </c>
      <c r="B844" s="2" t="s">
        <v>1730</v>
      </c>
      <c r="C844" s="2" t="s">
        <v>423</v>
      </c>
      <c r="D844" s="2" t="s">
        <v>27</v>
      </c>
      <c r="E844" s="2">
        <v>71</v>
      </c>
      <c r="F844" s="2">
        <v>7</v>
      </c>
      <c r="G844" s="2">
        <v>2</v>
      </c>
      <c r="H844" s="2">
        <v>225804.57</v>
      </c>
      <c r="I844" s="2">
        <v>93</v>
      </c>
      <c r="J844" s="2" t="s">
        <v>1671</v>
      </c>
      <c r="K844" s="2">
        <v>61</v>
      </c>
      <c r="L844" s="2">
        <v>20</v>
      </c>
      <c r="M844" s="2">
        <v>10</v>
      </c>
      <c r="N844" s="2">
        <v>6</v>
      </c>
      <c r="O844" s="2">
        <v>15</v>
      </c>
      <c r="P844" s="2">
        <v>10</v>
      </c>
      <c r="Q844" s="2" t="s">
        <v>39</v>
      </c>
      <c r="R844" s="2" t="s">
        <v>39</v>
      </c>
      <c r="S844" s="4">
        <v>44837</v>
      </c>
    </row>
    <row r="845" spans="1:19" ht="12.5" x14ac:dyDescent="0.25">
      <c r="A845" s="14" t="str">
        <f>HYPERLINK("https://gerandofalcoes.my.salesforce.com/0014P00003AN2GNQA1", "0014P00003AN2GNQA1")</f>
        <v>0014P00003AN2GNQA1</v>
      </c>
      <c r="B845" s="2" t="s">
        <v>1655</v>
      </c>
      <c r="C845" s="2" t="s">
        <v>423</v>
      </c>
      <c r="D845" s="2" t="s">
        <v>27</v>
      </c>
      <c r="E845" s="2">
        <v>96</v>
      </c>
      <c r="F845" s="2">
        <v>22</v>
      </c>
      <c r="G845" s="2">
        <v>4</v>
      </c>
      <c r="H845" s="2">
        <v>392688.36</v>
      </c>
      <c r="I845" s="2">
        <v>341</v>
      </c>
      <c r="J845" s="2" t="s">
        <v>1654</v>
      </c>
      <c r="K845" s="2">
        <v>87</v>
      </c>
      <c r="L845" s="2">
        <v>30</v>
      </c>
      <c r="M845" s="2">
        <v>12</v>
      </c>
      <c r="N845" s="2">
        <v>10</v>
      </c>
      <c r="O845" s="2">
        <v>20</v>
      </c>
      <c r="P845" s="2">
        <v>15</v>
      </c>
      <c r="Q845" s="2" t="s">
        <v>43</v>
      </c>
      <c r="R845" s="2" t="s">
        <v>43</v>
      </c>
      <c r="S845" s="4">
        <v>44837</v>
      </c>
    </row>
    <row r="846" spans="1:19" ht="12.5" x14ac:dyDescent="0.25">
      <c r="A846" s="14" t="str">
        <f>HYPERLINK("https://gerandofalcoes.my.salesforce.com/0014P00003AN2GOQA1", "0014P00003AN2GOQA1")</f>
        <v>0014P00003AN2GOQA1</v>
      </c>
      <c r="B846" s="2" t="s">
        <v>1710</v>
      </c>
      <c r="C846" s="2" t="s">
        <v>423</v>
      </c>
      <c r="D846" s="2" t="s">
        <v>27</v>
      </c>
      <c r="E846" s="2">
        <v>79</v>
      </c>
      <c r="F846" s="2">
        <v>10</v>
      </c>
      <c r="G846" s="2">
        <v>3</v>
      </c>
      <c r="H846" s="2">
        <v>230836.02</v>
      </c>
      <c r="I846" s="2">
        <v>124</v>
      </c>
      <c r="J846" s="2" t="s">
        <v>1650</v>
      </c>
      <c r="K846" s="2">
        <v>68</v>
      </c>
      <c r="L846" s="2">
        <v>25</v>
      </c>
      <c r="M846" s="2">
        <v>10</v>
      </c>
      <c r="N846" s="2">
        <v>8</v>
      </c>
      <c r="O846" s="2">
        <v>15</v>
      </c>
      <c r="P846" s="2">
        <v>10</v>
      </c>
      <c r="Q846" s="2" t="s">
        <v>46</v>
      </c>
      <c r="R846" s="2" t="s">
        <v>1711</v>
      </c>
      <c r="S846" s="4">
        <v>44837</v>
      </c>
    </row>
    <row r="847" spans="1:19" ht="12.5" x14ac:dyDescent="0.25">
      <c r="A847" s="14" t="str">
        <f>HYPERLINK("https://gerandofalcoes.my.salesforce.com/0014P00003AN2GPQA1", "0014P00003AN2GPQA1")</f>
        <v>0014P00003AN2GPQA1</v>
      </c>
      <c r="B847" s="2" t="s">
        <v>1653</v>
      </c>
      <c r="C847" s="2" t="s">
        <v>423</v>
      </c>
      <c r="D847" s="2" t="s">
        <v>27</v>
      </c>
      <c r="E847" s="2">
        <v>97</v>
      </c>
      <c r="F847" s="2">
        <v>33</v>
      </c>
      <c r="G847" s="2">
        <v>4</v>
      </c>
      <c r="H847" s="2">
        <v>1500734.93</v>
      </c>
      <c r="I847" s="2">
        <v>378</v>
      </c>
      <c r="J847" s="2" t="s">
        <v>1654</v>
      </c>
      <c r="K847" s="2">
        <v>95</v>
      </c>
      <c r="L847" s="2">
        <v>30</v>
      </c>
      <c r="M847" s="2">
        <v>15</v>
      </c>
      <c r="N847" s="2">
        <v>10</v>
      </c>
      <c r="O847" s="2">
        <v>25</v>
      </c>
      <c r="P847" s="2">
        <v>15</v>
      </c>
      <c r="Q847" s="2" t="s">
        <v>36</v>
      </c>
      <c r="R847" s="2" t="s">
        <v>553</v>
      </c>
      <c r="S847" s="4">
        <v>44837</v>
      </c>
    </row>
    <row r="848" spans="1:19" ht="12.5" x14ac:dyDescent="0.25">
      <c r="A848" s="14" t="str">
        <f>HYPERLINK("https://gerandofalcoes.my.salesforce.com/0014P00003AN2etQAD", "0014P00003AN2etQAD")</f>
        <v>0014P00003AN2etQAD</v>
      </c>
      <c r="B848" s="2" t="s">
        <v>2288</v>
      </c>
      <c r="C848" s="2" t="s">
        <v>423</v>
      </c>
      <c r="D848" s="2" t="s">
        <v>2</v>
      </c>
      <c r="E848" s="2">
        <v>85</v>
      </c>
      <c r="F848" s="2">
        <v>10</v>
      </c>
      <c r="G848" s="2">
        <v>4</v>
      </c>
      <c r="H848" s="2">
        <v>180000</v>
      </c>
      <c r="I848" s="2">
        <v>320</v>
      </c>
      <c r="J848" s="2" t="s">
        <v>1650</v>
      </c>
      <c r="K848" s="2">
        <v>75</v>
      </c>
      <c r="L848" s="2">
        <v>25</v>
      </c>
      <c r="M848" s="2">
        <v>10</v>
      </c>
      <c r="N848" s="2">
        <v>10</v>
      </c>
      <c r="O848" s="2">
        <v>15</v>
      </c>
      <c r="P848" s="2">
        <v>15</v>
      </c>
      <c r="Q848" s="2" t="s">
        <v>572</v>
      </c>
      <c r="R848" s="2" t="s">
        <v>572</v>
      </c>
      <c r="S848" s="4">
        <v>44837</v>
      </c>
    </row>
    <row r="849" spans="1:19" ht="12.5" hidden="1" x14ac:dyDescent="0.25">
      <c r="A849" s="14" t="str">
        <f>HYPERLINK("https://gerandofalcoes.my.salesforce.com/0014X00002VKCp3QAH", "0014X00002VKCp3QAH")</f>
        <v>0014X00002VKCp3QAH</v>
      </c>
      <c r="B849" s="2" t="s">
        <v>2247</v>
      </c>
      <c r="C849" s="2" t="s">
        <v>1800</v>
      </c>
      <c r="D849" s="2" t="s">
        <v>2</v>
      </c>
      <c r="E849" s="2">
        <v>31</v>
      </c>
      <c r="F849" s="2">
        <v>0</v>
      </c>
      <c r="G849" s="2">
        <v>3</v>
      </c>
      <c r="H849" s="2">
        <v>0</v>
      </c>
      <c r="I849" s="2">
        <v>0</v>
      </c>
      <c r="J849" s="2" t="s">
        <v>1779</v>
      </c>
      <c r="K849" s="2">
        <v>23</v>
      </c>
      <c r="L849" s="2">
        <v>15</v>
      </c>
      <c r="M849" s="2">
        <v>0</v>
      </c>
      <c r="N849" s="2">
        <v>8</v>
      </c>
      <c r="O849" s="2">
        <v>0</v>
      </c>
      <c r="P849" s="2">
        <v>0</v>
      </c>
      <c r="Q849" s="2" t="s">
        <v>2248</v>
      </c>
      <c r="R849" s="2" t="s">
        <v>2248</v>
      </c>
      <c r="S849" s="4">
        <v>44837</v>
      </c>
    </row>
    <row r="850" spans="1:19" ht="12.5" x14ac:dyDescent="0.25">
      <c r="A850" s="14" t="str">
        <f>HYPERLINK("https://gerandofalcoes.my.salesforce.com/0014X00002VKCsIQAX", "0014X00002VKCsIQAX")</f>
        <v>0014X00002VKCsIQAX</v>
      </c>
      <c r="B850" s="2" t="s">
        <v>2585</v>
      </c>
      <c r="C850" s="2" t="s">
        <v>423</v>
      </c>
      <c r="D850" s="2" t="s">
        <v>2</v>
      </c>
      <c r="E850" s="2">
        <v>28</v>
      </c>
      <c r="F850" s="2">
        <v>0</v>
      </c>
      <c r="G850" s="2">
        <v>890</v>
      </c>
      <c r="H850" s="2">
        <v>14400</v>
      </c>
      <c r="I850" s="2">
        <v>80</v>
      </c>
      <c r="J850" s="2" t="s">
        <v>1671</v>
      </c>
      <c r="K850" s="2">
        <v>40</v>
      </c>
      <c r="L850" s="2">
        <v>15</v>
      </c>
      <c r="M850" s="2">
        <v>0</v>
      </c>
      <c r="N850" s="2">
        <v>10</v>
      </c>
      <c r="O850" s="2">
        <v>5</v>
      </c>
      <c r="P850" s="2">
        <v>10</v>
      </c>
      <c r="Q850" s="2" t="s">
        <v>2586</v>
      </c>
      <c r="R850" s="2" t="s">
        <v>2587</v>
      </c>
      <c r="S850" s="4">
        <v>44837</v>
      </c>
    </row>
    <row r="851" spans="1:19" ht="12.5" x14ac:dyDescent="0.25">
      <c r="A851" s="14" t="str">
        <f>HYPERLINK("https://gerandofalcoes.my.salesforce.com/0014X00002VKCshQAH", "0014X00002VKCshQAH")</f>
        <v>0014X00002VKCshQAH</v>
      </c>
      <c r="B851" s="2" t="s">
        <v>2893</v>
      </c>
      <c r="C851" s="2" t="s">
        <v>423</v>
      </c>
      <c r="D851" s="2" t="s">
        <v>2</v>
      </c>
      <c r="E851" s="2">
        <v>25</v>
      </c>
      <c r="F851" s="2">
        <v>0</v>
      </c>
      <c r="G851" s="2">
        <v>2</v>
      </c>
      <c r="H851" s="2">
        <v>25000</v>
      </c>
      <c r="I851" s="2">
        <v>83</v>
      </c>
      <c r="J851" s="2" t="s">
        <v>1671</v>
      </c>
      <c r="K851" s="2">
        <v>41</v>
      </c>
      <c r="L851" s="2">
        <v>15</v>
      </c>
      <c r="M851" s="2">
        <v>0</v>
      </c>
      <c r="N851" s="2">
        <v>6</v>
      </c>
      <c r="O851" s="2">
        <v>10</v>
      </c>
      <c r="P851" s="2">
        <v>10</v>
      </c>
      <c r="Q851" s="2" t="s">
        <v>2894</v>
      </c>
      <c r="R851" s="2" t="s">
        <v>2895</v>
      </c>
      <c r="S851" s="4">
        <v>44837</v>
      </c>
    </row>
    <row r="852" spans="1:19" ht="12.5" x14ac:dyDescent="0.25">
      <c r="A852" s="14" t="str">
        <f>HYPERLINK("https://gerandofalcoes.my.salesforce.com/0014X00002VKCuEQAX", "0014X00002VKCuEQAX")</f>
        <v>0014X00002VKCuEQAX</v>
      </c>
      <c r="B852" s="2" t="s">
        <v>1977</v>
      </c>
      <c r="C852" s="2" t="s">
        <v>423</v>
      </c>
      <c r="D852" s="2" t="s">
        <v>2</v>
      </c>
      <c r="E852" s="2">
        <v>39.159999999999997</v>
      </c>
      <c r="F852" s="2">
        <v>5</v>
      </c>
      <c r="G852" s="2">
        <v>4</v>
      </c>
      <c r="H852" s="2">
        <v>120000</v>
      </c>
      <c r="I852" s="2">
        <v>5</v>
      </c>
      <c r="J852" s="2" t="s">
        <v>1671</v>
      </c>
      <c r="K852" s="2">
        <v>50</v>
      </c>
      <c r="L852" s="2">
        <v>15</v>
      </c>
      <c r="M852" s="2">
        <v>5</v>
      </c>
      <c r="N852" s="2">
        <v>10</v>
      </c>
      <c r="O852" s="2">
        <v>15</v>
      </c>
      <c r="P852" s="2">
        <v>5</v>
      </c>
      <c r="Q852" s="2" t="s">
        <v>1978</v>
      </c>
      <c r="R852" s="2" t="s">
        <v>1979</v>
      </c>
      <c r="S852" s="4">
        <v>44837</v>
      </c>
    </row>
    <row r="853" spans="1:19" ht="12.5" x14ac:dyDescent="0.25">
      <c r="A853" s="14" t="str">
        <f>HYPERLINK("https://gerandofalcoes.my.salesforce.com/0014X00002VKCsjQAH", "0014X00002VKCsjQAH")</f>
        <v>0014X00002VKCsjQAH</v>
      </c>
      <c r="B853" s="2" t="s">
        <v>2576</v>
      </c>
      <c r="C853" s="2" t="s">
        <v>423</v>
      </c>
      <c r="D853" s="2" t="s">
        <v>2</v>
      </c>
      <c r="E853" s="2">
        <v>49</v>
      </c>
      <c r="F853" s="2">
        <v>0</v>
      </c>
      <c r="G853" s="2">
        <v>1</v>
      </c>
      <c r="H853" s="2">
        <v>1251382</v>
      </c>
      <c r="I853" s="2">
        <v>0</v>
      </c>
      <c r="J853" s="2" t="s">
        <v>1779</v>
      </c>
      <c r="K853" s="2">
        <v>29</v>
      </c>
      <c r="L853" s="2">
        <v>0</v>
      </c>
      <c r="M853" s="2">
        <v>0</v>
      </c>
      <c r="N853" s="2">
        <v>4</v>
      </c>
      <c r="O853" s="2">
        <v>25</v>
      </c>
      <c r="P853" s="2">
        <v>0</v>
      </c>
      <c r="Q853" s="2" t="s">
        <v>2577</v>
      </c>
      <c r="R853" s="2" t="s">
        <v>2578</v>
      </c>
      <c r="S853" s="4">
        <v>44837</v>
      </c>
    </row>
    <row r="854" spans="1:19" ht="12.5" x14ac:dyDescent="0.25">
      <c r="A854" s="14" t="str">
        <f>HYPERLINK("https://gerandofalcoes.my.salesforce.com/0014X00002VKCsyQAH", "0014X00002VKCsyQAH")</f>
        <v>0014X00002VKCsyQAH</v>
      </c>
      <c r="B854" s="2" t="s">
        <v>1877</v>
      </c>
      <c r="C854" s="2" t="s">
        <v>423</v>
      </c>
      <c r="D854" s="2" t="s">
        <v>2</v>
      </c>
      <c r="E854" s="2">
        <v>44.41</v>
      </c>
      <c r="F854" s="2">
        <v>0</v>
      </c>
      <c r="G854" s="2">
        <v>2</v>
      </c>
      <c r="H854" s="2">
        <v>9000</v>
      </c>
      <c r="I854" s="2">
        <v>157</v>
      </c>
      <c r="J854" s="2" t="s">
        <v>1779</v>
      </c>
      <c r="K854" s="2">
        <v>38</v>
      </c>
      <c r="L854" s="2">
        <v>15</v>
      </c>
      <c r="M854" s="2">
        <v>0</v>
      </c>
      <c r="N854" s="2">
        <v>6</v>
      </c>
      <c r="O854" s="2">
        <v>5</v>
      </c>
      <c r="P854" s="2">
        <v>12</v>
      </c>
      <c r="Q854" s="2" t="s">
        <v>1878</v>
      </c>
      <c r="R854" s="2" t="s">
        <v>1878</v>
      </c>
      <c r="S854" s="4">
        <v>44837</v>
      </c>
    </row>
    <row r="855" spans="1:19" ht="12.5" hidden="1" x14ac:dyDescent="0.25">
      <c r="A855" s="14" t="str">
        <f>HYPERLINK("https://gerandofalcoes.my.salesforce.com/0014X00002VKCt7QAH", "0014X00002VKCt7QAH")</f>
        <v>0014X00002VKCt7QAH</v>
      </c>
      <c r="B855" s="2" t="s">
        <v>2410</v>
      </c>
      <c r="C855" s="2" t="s">
        <v>1800</v>
      </c>
      <c r="D855" s="2" t="s">
        <v>2</v>
      </c>
      <c r="E855" s="2">
        <v>25</v>
      </c>
      <c r="F855" s="2">
        <v>0</v>
      </c>
      <c r="G855" s="2">
        <v>3</v>
      </c>
      <c r="H855" s="2">
        <v>11000</v>
      </c>
      <c r="I855" s="2">
        <v>100</v>
      </c>
      <c r="J855" s="2" t="s">
        <v>1779</v>
      </c>
      <c r="K855" s="2">
        <v>38</v>
      </c>
      <c r="L855" s="2">
        <v>15</v>
      </c>
      <c r="M855" s="2">
        <v>0</v>
      </c>
      <c r="N855" s="2">
        <v>8</v>
      </c>
      <c r="O855" s="2">
        <v>5</v>
      </c>
      <c r="P855" s="2">
        <v>10</v>
      </c>
      <c r="Q855" s="2" t="s">
        <v>2411</v>
      </c>
      <c r="R855" s="2" t="s">
        <v>2412</v>
      </c>
      <c r="S855" s="4">
        <v>44837</v>
      </c>
    </row>
    <row r="856" spans="1:19" ht="12.5" x14ac:dyDescent="0.25">
      <c r="A856" s="14" t="str">
        <f>HYPERLINK("https://gerandofalcoes.my.salesforce.com/0014X00002VKCtYQAX", "0014X00002VKCtYQAX")</f>
        <v>0014X00002VKCtYQAX</v>
      </c>
      <c r="B856" s="2" t="s">
        <v>2125</v>
      </c>
      <c r="C856" s="2" t="s">
        <v>423</v>
      </c>
      <c r="D856" s="2" t="s">
        <v>2</v>
      </c>
      <c r="E856" s="2">
        <v>34.43</v>
      </c>
      <c r="F856" s="2">
        <v>3</v>
      </c>
      <c r="G856" s="2">
        <v>2</v>
      </c>
      <c r="H856" s="2">
        <v>7000</v>
      </c>
      <c r="I856" s="2">
        <v>70</v>
      </c>
      <c r="J856" s="2" t="s">
        <v>1779</v>
      </c>
      <c r="K856" s="2">
        <v>36</v>
      </c>
      <c r="L856" s="2">
        <v>15</v>
      </c>
      <c r="M856" s="2">
        <v>5</v>
      </c>
      <c r="N856" s="2">
        <v>6</v>
      </c>
      <c r="O856" s="2">
        <v>5</v>
      </c>
      <c r="P856" s="2">
        <v>5</v>
      </c>
      <c r="Q856" s="2" t="s">
        <v>2126</v>
      </c>
      <c r="R856" s="2" t="s">
        <v>2126</v>
      </c>
      <c r="S856" s="4">
        <v>44837</v>
      </c>
    </row>
    <row r="857" spans="1:19" ht="12.5" x14ac:dyDescent="0.25">
      <c r="A857" s="14" t="str">
        <f>HYPERLINK("https://gerandofalcoes.my.salesforce.com/0014X00002VKCp9QAH", "0014X00002VKCp9QAH")</f>
        <v>0014X00002VKCp9QAH</v>
      </c>
      <c r="B857" s="2" t="s">
        <v>2384</v>
      </c>
      <c r="C857" s="2" t="s">
        <v>423</v>
      </c>
      <c r="D857" s="2" t="s">
        <v>2</v>
      </c>
      <c r="E857" s="2">
        <v>26</v>
      </c>
      <c r="F857" s="2">
        <v>17</v>
      </c>
      <c r="G857" s="2">
        <v>5</v>
      </c>
      <c r="H857" s="2">
        <v>0</v>
      </c>
      <c r="I857" s="2">
        <v>0</v>
      </c>
      <c r="J857" s="2" t="s">
        <v>1779</v>
      </c>
      <c r="K857" s="2">
        <v>37</v>
      </c>
      <c r="L857" s="2">
        <v>15</v>
      </c>
      <c r="M857" s="2">
        <v>12</v>
      </c>
      <c r="N857" s="2">
        <v>10</v>
      </c>
      <c r="O857" s="2">
        <v>0</v>
      </c>
      <c r="P857" s="2">
        <v>0</v>
      </c>
      <c r="Q857" s="2" t="s">
        <v>2385</v>
      </c>
      <c r="R857" s="2" t="s">
        <v>2386</v>
      </c>
      <c r="S857" s="4">
        <v>44837</v>
      </c>
    </row>
    <row r="858" spans="1:19" ht="12.5" x14ac:dyDescent="0.25">
      <c r="A858" s="14" t="str">
        <f>HYPERLINK("https://gerandofalcoes.my.salesforce.com/0014X00002VKCqCQAX", "0014X00002VKCqCQAX")</f>
        <v>0014X00002VKCqCQAX</v>
      </c>
      <c r="B858" s="2" t="s">
        <v>2853</v>
      </c>
      <c r="C858" s="2" t="s">
        <v>423</v>
      </c>
      <c r="D858" s="2" t="s">
        <v>2</v>
      </c>
      <c r="E858" s="2">
        <v>18</v>
      </c>
      <c r="F858" s="2">
        <v>0</v>
      </c>
      <c r="G858" s="2">
        <v>0</v>
      </c>
      <c r="H858" s="2">
        <v>63000</v>
      </c>
      <c r="I858" s="2">
        <v>49</v>
      </c>
      <c r="J858" s="2" t="s">
        <v>1779</v>
      </c>
      <c r="K858" s="2">
        <v>25</v>
      </c>
      <c r="L858" s="2">
        <v>10</v>
      </c>
      <c r="M858" s="2">
        <v>0</v>
      </c>
      <c r="N858" s="2">
        <v>0</v>
      </c>
      <c r="O858" s="2">
        <v>10</v>
      </c>
      <c r="P858" s="2">
        <v>5</v>
      </c>
      <c r="Q858" s="2" t="s">
        <v>2854</v>
      </c>
      <c r="R858" s="2" t="s">
        <v>2855</v>
      </c>
      <c r="S858" s="4">
        <v>44837</v>
      </c>
    </row>
    <row r="859" spans="1:19" ht="12.5" x14ac:dyDescent="0.25">
      <c r="A859" s="14" t="str">
        <f>HYPERLINK("https://gerandofalcoes.my.salesforce.com/0014X00002VKCqAQAX", "0014X00002VKCqAQAX")</f>
        <v>0014X00002VKCqAQAX</v>
      </c>
      <c r="B859" s="2" t="s">
        <v>2912</v>
      </c>
      <c r="C859" s="2" t="s">
        <v>423</v>
      </c>
      <c r="D859" s="2" t="s">
        <v>2</v>
      </c>
      <c r="E859" s="2">
        <v>30</v>
      </c>
      <c r="F859" s="2">
        <v>7</v>
      </c>
      <c r="G859" s="2">
        <v>1</v>
      </c>
      <c r="H859" s="2">
        <v>78000</v>
      </c>
      <c r="I859" s="2">
        <v>250</v>
      </c>
      <c r="J859" s="2" t="s">
        <v>1671</v>
      </c>
      <c r="K859" s="2">
        <v>51</v>
      </c>
      <c r="L859" s="2">
        <v>15</v>
      </c>
      <c r="M859" s="2">
        <v>10</v>
      </c>
      <c r="N859" s="2">
        <v>4</v>
      </c>
      <c r="O859" s="2">
        <v>10</v>
      </c>
      <c r="P859" s="2">
        <v>12</v>
      </c>
      <c r="Q859" s="2" t="s">
        <v>2913</v>
      </c>
      <c r="R859" s="2" t="s">
        <v>2913</v>
      </c>
      <c r="S859" s="4">
        <v>44837</v>
      </c>
    </row>
    <row r="860" spans="1:19" ht="12.5" hidden="1" x14ac:dyDescent="0.25">
      <c r="A860" s="14" t="str">
        <f>HYPERLINK("https://gerandofalcoes.my.salesforce.com/0014X00002VKCsEQAX", "0014X00002VKCsEQAX")</f>
        <v>0014X00002VKCsEQAX</v>
      </c>
      <c r="B860" s="2" t="s">
        <v>2051</v>
      </c>
      <c r="C860" s="2" t="s">
        <v>1800</v>
      </c>
      <c r="D860" s="2" t="s">
        <v>2</v>
      </c>
      <c r="E860" s="2">
        <v>37</v>
      </c>
      <c r="F860" s="2">
        <v>2</v>
      </c>
      <c r="G860" s="2">
        <v>3</v>
      </c>
      <c r="H860" s="2">
        <v>1000</v>
      </c>
      <c r="I860" s="2">
        <v>30</v>
      </c>
      <c r="J860" s="2" t="s">
        <v>1779</v>
      </c>
      <c r="K860" s="2">
        <v>38</v>
      </c>
      <c r="L860" s="2">
        <v>15</v>
      </c>
      <c r="M860" s="2">
        <v>5</v>
      </c>
      <c r="N860" s="2">
        <v>8</v>
      </c>
      <c r="O860" s="2">
        <v>5</v>
      </c>
      <c r="P860" s="2">
        <v>5</v>
      </c>
      <c r="Q860" s="2" t="s">
        <v>2052</v>
      </c>
      <c r="R860" s="2" t="s">
        <v>2053</v>
      </c>
      <c r="S860" s="4">
        <v>44837</v>
      </c>
    </row>
    <row r="861" spans="1:19" ht="12.5" x14ac:dyDescent="0.25">
      <c r="A861" s="14" t="str">
        <f>HYPERLINK("https://gerandofalcoes.my.salesforce.com/0014X00002VKCr6QAH", "0014X00002VKCr6QAH")</f>
        <v>0014X00002VKCr6QAH</v>
      </c>
      <c r="B861" s="2" t="s">
        <v>1932</v>
      </c>
      <c r="C861" s="2" t="s">
        <v>423</v>
      </c>
      <c r="D861" s="2" t="s">
        <v>2</v>
      </c>
      <c r="E861" s="2">
        <v>37</v>
      </c>
      <c r="F861" s="2">
        <v>7</v>
      </c>
      <c r="G861" s="2">
        <v>1</v>
      </c>
      <c r="H861" s="2">
        <v>720000</v>
      </c>
      <c r="I861" s="2">
        <v>200</v>
      </c>
      <c r="J861" s="2" t="s">
        <v>1671</v>
      </c>
      <c r="K861" s="2">
        <v>61</v>
      </c>
      <c r="L861" s="2">
        <v>15</v>
      </c>
      <c r="M861" s="2">
        <v>10</v>
      </c>
      <c r="N861" s="2">
        <v>4</v>
      </c>
      <c r="O861" s="2">
        <v>20</v>
      </c>
      <c r="P861" s="2">
        <v>12</v>
      </c>
      <c r="Q861" s="2" t="s">
        <v>1933</v>
      </c>
      <c r="R861" s="2" t="s">
        <v>1934</v>
      </c>
      <c r="S861" s="4">
        <v>44837</v>
      </c>
    </row>
    <row r="862" spans="1:19" ht="12.5" hidden="1" x14ac:dyDescent="0.25">
      <c r="A862" s="14" t="str">
        <f>HYPERLINK("https://gerandofalcoes.my.salesforce.com/0014X00002VKCphQAH", "0014X00002VKCphQAH")</f>
        <v>0014X00002VKCphQAH</v>
      </c>
      <c r="B862" s="2" t="s">
        <v>2298</v>
      </c>
      <c r="C862" s="2" t="s">
        <v>1800</v>
      </c>
      <c r="D862" s="2" t="s">
        <v>2</v>
      </c>
      <c r="E862" s="2">
        <v>29</v>
      </c>
      <c r="F862" s="2">
        <v>0</v>
      </c>
      <c r="G862" s="2">
        <v>3</v>
      </c>
      <c r="H862" s="2">
        <v>30000</v>
      </c>
      <c r="I862" s="2">
        <v>150</v>
      </c>
      <c r="J862" s="2" t="s">
        <v>1671</v>
      </c>
      <c r="K862" s="2">
        <v>45</v>
      </c>
      <c r="L862" s="2">
        <v>15</v>
      </c>
      <c r="M862" s="2">
        <v>0</v>
      </c>
      <c r="N862" s="2">
        <v>8</v>
      </c>
      <c r="O862" s="2">
        <v>10</v>
      </c>
      <c r="P862" s="2">
        <v>12</v>
      </c>
      <c r="Q862" s="2" t="s">
        <v>2299</v>
      </c>
      <c r="R862" s="2" t="s">
        <v>2300</v>
      </c>
      <c r="S862" s="4">
        <v>44837</v>
      </c>
    </row>
    <row r="863" spans="1:19" ht="12.5" x14ac:dyDescent="0.25">
      <c r="A863" s="14" t="str">
        <f>HYPERLINK("https://gerandofalcoes.my.salesforce.com/0014X00002VKCp8QAH", "0014X00002VKCp8QAH")</f>
        <v>0014X00002VKCp8QAH</v>
      </c>
      <c r="B863" s="2" t="s">
        <v>1819</v>
      </c>
      <c r="C863" s="2" t="s">
        <v>423</v>
      </c>
      <c r="D863" s="2" t="s">
        <v>2</v>
      </c>
      <c r="E863" s="2">
        <v>55</v>
      </c>
      <c r="F863" s="2">
        <v>2</v>
      </c>
      <c r="G863" s="2">
        <v>2</v>
      </c>
      <c r="H863" s="2">
        <v>63000</v>
      </c>
      <c r="I863" s="2">
        <v>100</v>
      </c>
      <c r="J863" s="2" t="s">
        <v>1671</v>
      </c>
      <c r="K863" s="2">
        <v>51</v>
      </c>
      <c r="L863" s="2">
        <v>20</v>
      </c>
      <c r="M863" s="2">
        <v>5</v>
      </c>
      <c r="N863" s="2">
        <v>6</v>
      </c>
      <c r="O863" s="2">
        <v>10</v>
      </c>
      <c r="P863" s="2">
        <v>10</v>
      </c>
      <c r="Q863" s="2" t="s">
        <v>1820</v>
      </c>
      <c r="R863" s="2" t="s">
        <v>1821</v>
      </c>
      <c r="S863" s="4">
        <v>44837</v>
      </c>
    </row>
    <row r="864" spans="1:19" ht="12.5" x14ac:dyDescent="0.25">
      <c r="A864" s="14" t="str">
        <f>HYPERLINK("https://gerandofalcoes.my.salesforce.com/0014X00002VKCszQAH", "0014X00002VKCszQAH")</f>
        <v>0014X00002VKCszQAH</v>
      </c>
      <c r="B864" s="2" t="s">
        <v>2473</v>
      </c>
      <c r="C864" s="2" t="s">
        <v>423</v>
      </c>
      <c r="D864" s="2" t="s">
        <v>2</v>
      </c>
      <c r="E864" s="2">
        <v>22.35</v>
      </c>
      <c r="F864" s="2">
        <v>0</v>
      </c>
      <c r="G864" s="2">
        <v>3</v>
      </c>
      <c r="H864" s="2">
        <v>116114</v>
      </c>
      <c r="I864" s="2">
        <v>35</v>
      </c>
      <c r="J864" s="2" t="s">
        <v>1779</v>
      </c>
      <c r="K864" s="2">
        <v>38</v>
      </c>
      <c r="L864" s="2">
        <v>10</v>
      </c>
      <c r="M864" s="2">
        <v>0</v>
      </c>
      <c r="N864" s="2">
        <v>8</v>
      </c>
      <c r="O864" s="2">
        <v>15</v>
      </c>
      <c r="P864" s="2">
        <v>5</v>
      </c>
      <c r="Q864" s="2" t="s">
        <v>2474</v>
      </c>
      <c r="R864" s="2" t="s">
        <v>2475</v>
      </c>
      <c r="S864" s="4">
        <v>44837</v>
      </c>
    </row>
    <row r="865" spans="1:19" ht="12.5" x14ac:dyDescent="0.25">
      <c r="A865" s="14" t="str">
        <f>HYPERLINK("https://gerandofalcoes.my.salesforce.com/0014X00002VKCpBQAX", "0014X00002VKCpBQAX")</f>
        <v>0014X00002VKCpBQAX</v>
      </c>
      <c r="B865" s="2" t="s">
        <v>2504</v>
      </c>
      <c r="C865" s="2" t="s">
        <v>423</v>
      </c>
      <c r="D865" s="2" t="s">
        <v>2</v>
      </c>
      <c r="E865" s="2">
        <v>24</v>
      </c>
      <c r="F865" s="2">
        <v>0</v>
      </c>
      <c r="G865" s="2">
        <v>3</v>
      </c>
      <c r="H865" s="2">
        <v>128350</v>
      </c>
      <c r="I865" s="2">
        <v>160</v>
      </c>
      <c r="J865" s="2" t="s">
        <v>1671</v>
      </c>
      <c r="K865" s="2">
        <v>45</v>
      </c>
      <c r="L865" s="2">
        <v>10</v>
      </c>
      <c r="M865" s="2">
        <v>0</v>
      </c>
      <c r="N865" s="2">
        <v>8</v>
      </c>
      <c r="O865" s="2">
        <v>15</v>
      </c>
      <c r="P865" s="2">
        <v>12</v>
      </c>
      <c r="Q865" s="2" t="s">
        <v>2505</v>
      </c>
      <c r="R865" s="2" t="s">
        <v>2505</v>
      </c>
      <c r="S865" s="4">
        <v>44837</v>
      </c>
    </row>
    <row r="866" spans="1:19" ht="12.5" hidden="1" x14ac:dyDescent="0.25">
      <c r="A866" s="14" t="str">
        <f>HYPERLINK("https://gerandofalcoes.my.salesforce.com/0014X00002VKCtrQAH", "0014X00002VKCtrQAH")</f>
        <v>0014X00002VKCtrQAH</v>
      </c>
      <c r="B866" s="2" t="s">
        <v>1969</v>
      </c>
      <c r="C866" s="2" t="s">
        <v>1800</v>
      </c>
      <c r="D866" s="2" t="s">
        <v>2</v>
      </c>
      <c r="E866" s="2">
        <v>40</v>
      </c>
      <c r="F866" s="2">
        <v>0</v>
      </c>
      <c r="G866" s="2">
        <v>2</v>
      </c>
      <c r="H866" s="2">
        <v>0</v>
      </c>
      <c r="I866" s="2">
        <v>0</v>
      </c>
      <c r="J866" s="2" t="s">
        <v>1779</v>
      </c>
      <c r="K866" s="2">
        <v>21</v>
      </c>
      <c r="L866" s="2">
        <v>15</v>
      </c>
      <c r="M866" s="2">
        <v>0</v>
      </c>
      <c r="N866" s="2">
        <v>6</v>
      </c>
      <c r="O866" s="2">
        <v>0</v>
      </c>
      <c r="P866" s="2">
        <v>0</v>
      </c>
      <c r="Q866" s="2" t="s">
        <v>1970</v>
      </c>
      <c r="R866" s="2" t="s">
        <v>1971</v>
      </c>
      <c r="S866" s="4">
        <v>44837</v>
      </c>
    </row>
    <row r="867" spans="1:19" ht="12.5" x14ac:dyDescent="0.25">
      <c r="A867" s="14" t="str">
        <f>HYPERLINK("https://gerandofalcoes.my.salesforce.com/0014X00002VKCuHQAX", "0014X00002VKCuHQAX")</f>
        <v>0014X00002VKCuHQAX</v>
      </c>
      <c r="B867" s="2" t="s">
        <v>2606</v>
      </c>
      <c r="C867" s="2" t="s">
        <v>423</v>
      </c>
      <c r="D867" s="2" t="s">
        <v>2</v>
      </c>
      <c r="E867" s="2">
        <v>19</v>
      </c>
      <c r="F867" s="2">
        <v>0</v>
      </c>
      <c r="G867" s="2">
        <v>2</v>
      </c>
      <c r="H867" s="2">
        <v>25500</v>
      </c>
      <c r="I867" s="2">
        <v>30</v>
      </c>
      <c r="J867" s="2" t="s">
        <v>1779</v>
      </c>
      <c r="K867" s="2">
        <v>31</v>
      </c>
      <c r="L867" s="2">
        <v>10</v>
      </c>
      <c r="M867" s="2">
        <v>0</v>
      </c>
      <c r="N867" s="2">
        <v>6</v>
      </c>
      <c r="O867" s="2">
        <v>10</v>
      </c>
      <c r="P867" s="2">
        <v>5</v>
      </c>
      <c r="Q867" s="2" t="s">
        <v>2607</v>
      </c>
      <c r="R867" s="2" t="s">
        <v>2608</v>
      </c>
      <c r="S867" s="4">
        <v>44837</v>
      </c>
    </row>
    <row r="868" spans="1:19" ht="12.5" x14ac:dyDescent="0.25">
      <c r="A868" s="14" t="str">
        <f>HYPERLINK("https://gerandofalcoes.my.salesforce.com/0014X00002VKCqbQAH", "0014X00002VKCqbQAH")</f>
        <v>0014X00002VKCqbQAH</v>
      </c>
      <c r="B868" s="2" t="s">
        <v>2040</v>
      </c>
      <c r="C868" s="2" t="s">
        <v>423</v>
      </c>
      <c r="D868" s="2" t="s">
        <v>2</v>
      </c>
      <c r="E868" s="2">
        <v>37</v>
      </c>
      <c r="F868" s="2">
        <v>0</v>
      </c>
      <c r="G868" s="2">
        <v>3</v>
      </c>
      <c r="H868" s="2">
        <v>70000</v>
      </c>
      <c r="I868" s="2">
        <v>100</v>
      </c>
      <c r="J868" s="2" t="s">
        <v>1671</v>
      </c>
      <c r="K868" s="2">
        <v>43</v>
      </c>
      <c r="L868" s="2">
        <v>15</v>
      </c>
      <c r="M868" s="2">
        <v>0</v>
      </c>
      <c r="N868" s="2">
        <v>8</v>
      </c>
      <c r="O868" s="2">
        <v>10</v>
      </c>
      <c r="P868" s="2">
        <v>10</v>
      </c>
      <c r="Q868" s="2" t="s">
        <v>2041</v>
      </c>
      <c r="R868" s="2" t="s">
        <v>2042</v>
      </c>
      <c r="S868" s="4">
        <v>44837</v>
      </c>
    </row>
    <row r="869" spans="1:19" ht="12.5" x14ac:dyDescent="0.25">
      <c r="A869" s="14" t="str">
        <f>HYPERLINK("https://gerandofalcoes.my.salesforce.com/0014X00002VKCsnQAH", "0014X00002VKCsnQAH")</f>
        <v>0014X00002VKCsnQAH</v>
      </c>
      <c r="B869" s="2" t="s">
        <v>1899</v>
      </c>
      <c r="C869" s="2" t="s">
        <v>423</v>
      </c>
      <c r="D869" s="2" t="s">
        <v>2</v>
      </c>
      <c r="E869" s="2">
        <v>55</v>
      </c>
      <c r="F869" s="2">
        <v>7</v>
      </c>
      <c r="G869" s="2">
        <v>6</v>
      </c>
      <c r="H869" s="2">
        <v>130175</v>
      </c>
      <c r="I869" s="2">
        <v>120</v>
      </c>
      <c r="J869" s="2" t="s">
        <v>1650</v>
      </c>
      <c r="K869" s="2">
        <v>65</v>
      </c>
      <c r="L869" s="2">
        <v>20</v>
      </c>
      <c r="M869" s="2">
        <v>10</v>
      </c>
      <c r="N869" s="2">
        <v>10</v>
      </c>
      <c r="O869" s="2">
        <v>15</v>
      </c>
      <c r="P869" s="2">
        <v>10</v>
      </c>
      <c r="Q869" s="2" t="s">
        <v>1900</v>
      </c>
      <c r="R869" s="2" t="s">
        <v>1901</v>
      </c>
      <c r="S869" s="4">
        <v>44837</v>
      </c>
    </row>
    <row r="870" spans="1:19" ht="12.5" hidden="1" x14ac:dyDescent="0.25">
      <c r="A870" s="14" t="str">
        <f>HYPERLINK("https://gerandofalcoes.my.salesforce.com/0014X00002VKCqSQAX", "0014X00002VKCqSQAX")</f>
        <v>0014X00002VKCqSQAX</v>
      </c>
      <c r="B870" s="2" t="s">
        <v>2197</v>
      </c>
      <c r="C870" s="2" t="s">
        <v>1800</v>
      </c>
      <c r="D870" s="2" t="s">
        <v>2</v>
      </c>
      <c r="E870" s="2">
        <v>33</v>
      </c>
      <c r="F870" s="2">
        <v>0</v>
      </c>
      <c r="G870" s="2">
        <v>3</v>
      </c>
      <c r="H870" s="2">
        <v>2160</v>
      </c>
      <c r="I870" s="2">
        <v>0</v>
      </c>
      <c r="J870" s="2" t="s">
        <v>1779</v>
      </c>
      <c r="K870" s="2">
        <v>28</v>
      </c>
      <c r="L870" s="2">
        <v>15</v>
      </c>
      <c r="M870" s="2">
        <v>0</v>
      </c>
      <c r="N870" s="2">
        <v>8</v>
      </c>
      <c r="O870" s="2">
        <v>5</v>
      </c>
      <c r="P870" s="2">
        <v>0</v>
      </c>
      <c r="Q870" s="2" t="s">
        <v>2198</v>
      </c>
      <c r="R870" s="2" t="s">
        <v>2199</v>
      </c>
      <c r="S870" s="4">
        <v>44837</v>
      </c>
    </row>
    <row r="871" spans="1:19" ht="12.5" x14ac:dyDescent="0.25">
      <c r="A871" s="14" t="str">
        <f>HYPERLINK("https://gerandofalcoes.my.salesforce.com/0014X00002VKCubQAH", "0014X00002VKCubQAH")</f>
        <v>0014X00002VKCubQAH</v>
      </c>
      <c r="B871" s="2" t="s">
        <v>2062</v>
      </c>
      <c r="C871" s="2" t="s">
        <v>423</v>
      </c>
      <c r="D871" s="2" t="s">
        <v>2</v>
      </c>
      <c r="E871" s="2">
        <v>37</v>
      </c>
      <c r="F871" s="2">
        <v>3</v>
      </c>
      <c r="G871" s="2">
        <v>3</v>
      </c>
      <c r="H871" s="2">
        <v>3000</v>
      </c>
      <c r="I871" s="2">
        <v>0</v>
      </c>
      <c r="J871" s="2" t="s">
        <v>1779</v>
      </c>
      <c r="K871" s="2">
        <v>33</v>
      </c>
      <c r="L871" s="2">
        <v>15</v>
      </c>
      <c r="M871" s="2">
        <v>5</v>
      </c>
      <c r="N871" s="2">
        <v>8</v>
      </c>
      <c r="O871" s="2">
        <v>5</v>
      </c>
      <c r="P871" s="2">
        <v>0</v>
      </c>
      <c r="Q871" s="2" t="s">
        <v>2063</v>
      </c>
      <c r="R871" s="2" t="s">
        <v>2064</v>
      </c>
      <c r="S871" s="4">
        <v>44837</v>
      </c>
    </row>
    <row r="872" spans="1:19" ht="12.5" x14ac:dyDescent="0.25">
      <c r="A872" s="14" t="str">
        <f>HYPERLINK("https://gerandofalcoes.my.salesforce.com/0014X00002VKCsOQAX", "0014X00002VKCsOQAX")</f>
        <v>0014X00002VKCsOQAX</v>
      </c>
      <c r="B872" s="2" t="s">
        <v>1858</v>
      </c>
      <c r="C872" s="2" t="s">
        <v>423</v>
      </c>
      <c r="D872" s="2" t="s">
        <v>2</v>
      </c>
      <c r="E872" s="2">
        <v>46</v>
      </c>
      <c r="F872" s="2">
        <v>0</v>
      </c>
      <c r="G872" s="2">
        <v>3</v>
      </c>
      <c r="H872" s="2">
        <v>10000</v>
      </c>
      <c r="I872" s="2">
        <v>110</v>
      </c>
      <c r="J872" s="2" t="s">
        <v>1779</v>
      </c>
      <c r="K872" s="2">
        <v>38</v>
      </c>
      <c r="L872" s="2">
        <v>15</v>
      </c>
      <c r="M872" s="2">
        <v>0</v>
      </c>
      <c r="N872" s="2">
        <v>8</v>
      </c>
      <c r="O872" s="2">
        <v>5</v>
      </c>
      <c r="P872" s="2">
        <v>10</v>
      </c>
      <c r="Q872" s="2" t="s">
        <v>1859</v>
      </c>
      <c r="R872" s="2" t="s">
        <v>1860</v>
      </c>
      <c r="S872" s="4">
        <v>44837</v>
      </c>
    </row>
    <row r="873" spans="1:19" ht="12.5" x14ac:dyDescent="0.25">
      <c r="A873" s="14" t="str">
        <f>HYPERLINK("https://gerandofalcoes.my.salesforce.com/0014X00002VKCuuQAH", "0014X00002VKCuuQAH")</f>
        <v>0014X00002VKCuuQAH</v>
      </c>
      <c r="B873" s="2" t="s">
        <v>2933</v>
      </c>
      <c r="C873" s="2" t="s">
        <v>423</v>
      </c>
      <c r="D873" s="2" t="s">
        <v>2</v>
      </c>
      <c r="E873" s="2">
        <v>6</v>
      </c>
      <c r="F873" s="2">
        <v>5</v>
      </c>
      <c r="G873" s="2">
        <v>5</v>
      </c>
      <c r="H873" s="2">
        <v>0</v>
      </c>
      <c r="I873" s="2">
        <v>220</v>
      </c>
      <c r="J873" s="2" t="s">
        <v>1779</v>
      </c>
      <c r="K873" s="2">
        <v>37</v>
      </c>
      <c r="L873" s="2">
        <v>10</v>
      </c>
      <c r="M873" s="2">
        <v>5</v>
      </c>
      <c r="N873" s="2">
        <v>10</v>
      </c>
      <c r="O873" s="2">
        <v>0</v>
      </c>
      <c r="P873" s="2">
        <v>12</v>
      </c>
      <c r="Q873" s="2" t="s">
        <v>2934</v>
      </c>
      <c r="R873" s="2" t="s">
        <v>2934</v>
      </c>
      <c r="S873" s="4">
        <v>44837</v>
      </c>
    </row>
    <row r="874" spans="1:19" ht="12.5" x14ac:dyDescent="0.25">
      <c r="A874" s="14" t="str">
        <f>HYPERLINK("https://gerandofalcoes.my.salesforce.com/0014X00002VKCv6QAH", "0014X00002VKCv6QAH")</f>
        <v>0014X00002VKCv6QAH</v>
      </c>
      <c r="B874" s="2" t="s">
        <v>2941</v>
      </c>
      <c r="C874" s="2" t="s">
        <v>423</v>
      </c>
      <c r="D874" s="2" t="s">
        <v>2</v>
      </c>
      <c r="E874" s="2">
        <v>29</v>
      </c>
      <c r="F874" s="2">
        <v>0</v>
      </c>
      <c r="G874" s="2">
        <v>0</v>
      </c>
      <c r="H874" s="2">
        <v>0</v>
      </c>
      <c r="I874" s="2">
        <v>44</v>
      </c>
      <c r="J874" s="2" t="s">
        <v>1779</v>
      </c>
      <c r="K874" s="2">
        <v>20</v>
      </c>
      <c r="L874" s="2">
        <v>15</v>
      </c>
      <c r="M874" s="2">
        <v>0</v>
      </c>
      <c r="N874" s="2">
        <v>0</v>
      </c>
      <c r="O874" s="2">
        <v>0</v>
      </c>
      <c r="P874" s="2">
        <v>5</v>
      </c>
      <c r="Q874" s="2" t="s">
        <v>2942</v>
      </c>
      <c r="R874" s="2" t="s">
        <v>2943</v>
      </c>
      <c r="S874" s="4">
        <v>44837</v>
      </c>
    </row>
    <row r="875" spans="1:19" ht="12.5" x14ac:dyDescent="0.25">
      <c r="A875" s="14" t="str">
        <f>HYPERLINK("https://gerandofalcoes.my.salesforce.com/0014P00003AN2h4QAD", "0014P00003AN2h4QAD")</f>
        <v>0014P00003AN2h4QAD</v>
      </c>
      <c r="B875" s="2" t="s">
        <v>1698</v>
      </c>
      <c r="C875" s="2" t="s">
        <v>423</v>
      </c>
      <c r="D875" s="2" t="s">
        <v>2</v>
      </c>
      <c r="E875" s="2">
        <v>84.3</v>
      </c>
      <c r="F875" s="2">
        <v>10</v>
      </c>
      <c r="G875" s="2">
        <v>5</v>
      </c>
      <c r="H875" s="2">
        <v>450000</v>
      </c>
      <c r="I875" s="2">
        <v>106</v>
      </c>
      <c r="J875" s="2" t="s">
        <v>1650</v>
      </c>
      <c r="K875" s="2">
        <v>75</v>
      </c>
      <c r="L875" s="2">
        <v>25</v>
      </c>
      <c r="M875" s="2">
        <v>10</v>
      </c>
      <c r="N875" s="2">
        <v>10</v>
      </c>
      <c r="O875" s="2">
        <v>20</v>
      </c>
      <c r="P875" s="2">
        <v>10</v>
      </c>
      <c r="Q875" s="2" t="s">
        <v>595</v>
      </c>
      <c r="R875" s="2" t="s">
        <v>595</v>
      </c>
      <c r="S875" s="4">
        <v>44837</v>
      </c>
    </row>
    <row r="876" spans="1:19" ht="12.5" x14ac:dyDescent="0.25">
      <c r="A876" s="14" t="str">
        <f>HYPERLINK("https://gerandofalcoes.my.salesforce.com/0014P00003AN2h5QAD", "0014P00003AN2h5QAD")</f>
        <v>0014P00003AN2h5QAD</v>
      </c>
      <c r="B876" s="2" t="s">
        <v>1660</v>
      </c>
      <c r="C876" s="2" t="s">
        <v>423</v>
      </c>
      <c r="D876" s="2" t="s">
        <v>27</v>
      </c>
      <c r="E876" s="2">
        <v>95</v>
      </c>
      <c r="F876" s="2">
        <v>25</v>
      </c>
      <c r="G876" s="2">
        <v>3</v>
      </c>
      <c r="H876" s="2">
        <v>1106859.57</v>
      </c>
      <c r="I876" s="2">
        <v>164</v>
      </c>
      <c r="J876" s="2" t="s">
        <v>1654</v>
      </c>
      <c r="K876" s="2">
        <v>87</v>
      </c>
      <c r="L876" s="2">
        <v>30</v>
      </c>
      <c r="M876" s="2">
        <v>12</v>
      </c>
      <c r="N876" s="2">
        <v>8</v>
      </c>
      <c r="O876" s="2">
        <v>25</v>
      </c>
      <c r="P876" s="2">
        <v>12</v>
      </c>
      <c r="Q876" s="2" t="s">
        <v>54</v>
      </c>
      <c r="R876" s="2" t="s">
        <v>54</v>
      </c>
      <c r="S876" s="4">
        <v>44837</v>
      </c>
    </row>
    <row r="877" spans="1:19" ht="12.5" x14ac:dyDescent="0.25">
      <c r="A877" s="14" t="str">
        <f>HYPERLINK("https://gerandofalcoes.my.salesforce.com/0014P00003AN2h6QAD", "0014P00003AN2h6QAD")</f>
        <v>0014P00003AN2h6QAD</v>
      </c>
      <c r="B877" s="2" t="s">
        <v>1649</v>
      </c>
      <c r="C877" s="2" t="s">
        <v>423</v>
      </c>
      <c r="D877" s="2" t="s">
        <v>27</v>
      </c>
      <c r="E877" s="2">
        <v>98</v>
      </c>
      <c r="F877" s="2">
        <v>13</v>
      </c>
      <c r="G877" s="2">
        <v>3</v>
      </c>
      <c r="H877" s="2">
        <v>245092.99</v>
      </c>
      <c r="I877" s="2">
        <v>182</v>
      </c>
      <c r="J877" s="2" t="s">
        <v>1650</v>
      </c>
      <c r="K877" s="2">
        <v>77</v>
      </c>
      <c r="L877" s="2">
        <v>30</v>
      </c>
      <c r="M877" s="2">
        <v>12</v>
      </c>
      <c r="N877" s="2">
        <v>8</v>
      </c>
      <c r="O877" s="2">
        <v>15</v>
      </c>
      <c r="P877" s="2">
        <v>12</v>
      </c>
      <c r="Q877" s="2" t="s">
        <v>1651</v>
      </c>
      <c r="R877" s="2" t="s">
        <v>1652</v>
      </c>
      <c r="S877" s="4">
        <v>44837</v>
      </c>
    </row>
    <row r="878" spans="1:19" ht="12.5" hidden="1" x14ac:dyDescent="0.25">
      <c r="A878" s="14" t="str">
        <f>HYPERLINK("https://gerandofalcoes.my.salesforce.com/0014P00003AN2h7QAD", "0014P00003AN2h7QAD")</f>
        <v>0014P00003AN2h7QAD</v>
      </c>
      <c r="B878" s="2" t="s">
        <v>2988</v>
      </c>
      <c r="C878" s="2" t="s">
        <v>1684</v>
      </c>
      <c r="D878" s="2" t="s">
        <v>2</v>
      </c>
      <c r="E878" s="2"/>
      <c r="F878" s="2">
        <v>0</v>
      </c>
      <c r="G878" s="2">
        <v>0</v>
      </c>
      <c r="H878" s="2">
        <v>0</v>
      </c>
      <c r="I878" s="2">
        <v>130</v>
      </c>
      <c r="J878" s="2" t="s">
        <v>1779</v>
      </c>
      <c r="K878" s="2">
        <v>10</v>
      </c>
      <c r="L878" s="2">
        <v>0</v>
      </c>
      <c r="M878" s="2">
        <v>0</v>
      </c>
      <c r="N878" s="2">
        <v>0</v>
      </c>
      <c r="O878" s="2">
        <v>0</v>
      </c>
      <c r="P878" s="2">
        <v>10</v>
      </c>
      <c r="Q878" s="2" t="s">
        <v>2989</v>
      </c>
      <c r="R878" s="2" t="s">
        <v>602</v>
      </c>
      <c r="S878" s="4">
        <v>44837</v>
      </c>
    </row>
    <row r="879" spans="1:19" ht="12.5" x14ac:dyDescent="0.25">
      <c r="A879" s="14" t="str">
        <f>HYPERLINK("https://gerandofalcoes.my.salesforce.com/0014P00003AN6yVQAT", "0014P00003AN6yVQAT")</f>
        <v>0014P00003AN6yVQAT</v>
      </c>
      <c r="B879" s="2" t="s">
        <v>1798</v>
      </c>
      <c r="C879" s="2" t="s">
        <v>423</v>
      </c>
      <c r="D879" s="2" t="s">
        <v>2</v>
      </c>
      <c r="E879" s="2">
        <v>68</v>
      </c>
      <c r="F879" s="2">
        <v>0</v>
      </c>
      <c r="G879" s="2">
        <v>2</v>
      </c>
      <c r="H879" s="2">
        <v>9586512</v>
      </c>
      <c r="I879" s="2">
        <v>151</v>
      </c>
      <c r="J879" s="2" t="s">
        <v>1671</v>
      </c>
      <c r="K879" s="2">
        <v>63</v>
      </c>
      <c r="L879" s="2">
        <v>20</v>
      </c>
      <c r="M879" s="2">
        <v>0</v>
      </c>
      <c r="N879" s="2">
        <v>6</v>
      </c>
      <c r="O879" s="2">
        <v>25</v>
      </c>
      <c r="P879" s="2">
        <v>12</v>
      </c>
      <c r="Q879" s="2" t="s">
        <v>560</v>
      </c>
      <c r="R879" s="2" t="s">
        <v>560</v>
      </c>
      <c r="S879" s="4">
        <v>44837</v>
      </c>
    </row>
    <row r="880" spans="1:19" ht="12.5" x14ac:dyDescent="0.25">
      <c r="A880" s="14" t="str">
        <f>HYPERLINK("https://gerandofalcoes.my.salesforce.com/0014P00003AN72DQAT", "0014P00003AN72DQAT")</f>
        <v>0014P00003AN72DQAT</v>
      </c>
      <c r="B880" s="2" t="s">
        <v>1722</v>
      </c>
      <c r="C880" s="2" t="s">
        <v>423</v>
      </c>
      <c r="D880" s="2" t="s">
        <v>2</v>
      </c>
      <c r="E880" s="2">
        <v>74</v>
      </c>
      <c r="F880" s="2">
        <v>35</v>
      </c>
      <c r="G880" s="2">
        <v>5</v>
      </c>
      <c r="H880" s="2">
        <v>1000000</v>
      </c>
      <c r="I880" s="2">
        <v>506</v>
      </c>
      <c r="J880" s="2" t="s">
        <v>1654</v>
      </c>
      <c r="K880" s="2">
        <v>90</v>
      </c>
      <c r="L880" s="2">
        <v>20</v>
      </c>
      <c r="M880" s="2">
        <v>15</v>
      </c>
      <c r="N880" s="2">
        <v>10</v>
      </c>
      <c r="O880" s="2">
        <v>25</v>
      </c>
      <c r="P880" s="2">
        <v>20</v>
      </c>
      <c r="Q880" s="2" t="s">
        <v>565</v>
      </c>
      <c r="R880" s="2" t="s">
        <v>565</v>
      </c>
      <c r="S880" s="4">
        <v>44837</v>
      </c>
    </row>
    <row r="881" spans="1:19" ht="12.5" x14ac:dyDescent="0.25">
      <c r="A881" s="14" t="str">
        <f>HYPERLINK("https://gerandofalcoes.my.salesforce.com/0014P00003AN76yQAD", "0014P00003AN76yQAD")</f>
        <v>0014P00003AN76yQAD</v>
      </c>
      <c r="B881" s="2" t="s">
        <v>49</v>
      </c>
      <c r="C881" s="2" t="s">
        <v>423</v>
      </c>
      <c r="D881" s="2" t="s">
        <v>27</v>
      </c>
      <c r="E881" s="2">
        <v>68.069999999999993</v>
      </c>
      <c r="F881" s="2">
        <v>6</v>
      </c>
      <c r="G881" s="2">
        <v>2</v>
      </c>
      <c r="H881" s="2">
        <v>80000</v>
      </c>
      <c r="I881" s="2">
        <v>80</v>
      </c>
      <c r="J881" s="2" t="s">
        <v>1671</v>
      </c>
      <c r="K881" s="2">
        <v>56</v>
      </c>
      <c r="L881" s="2">
        <v>20</v>
      </c>
      <c r="M881" s="2">
        <v>10</v>
      </c>
      <c r="N881" s="2">
        <v>6</v>
      </c>
      <c r="O881" s="2">
        <v>10</v>
      </c>
      <c r="P881" s="2">
        <v>10</v>
      </c>
      <c r="Q881" s="2" t="s">
        <v>1716</v>
      </c>
      <c r="R881" s="2" t="s">
        <v>1716</v>
      </c>
      <c r="S881" s="4">
        <v>44837</v>
      </c>
    </row>
    <row r="882" spans="1:19" ht="12.5" x14ac:dyDescent="0.25">
      <c r="A882" s="14" t="str">
        <f>HYPERLINK("https://gerandofalcoes.my.salesforce.com/0014P00003ERUfsQAH", "0014P00003ERUfsQAH")</f>
        <v>0014P00003ERUfsQAH</v>
      </c>
      <c r="B882" s="2" t="s">
        <v>1668</v>
      </c>
      <c r="C882" s="2" t="s">
        <v>423</v>
      </c>
      <c r="D882" s="2" t="s">
        <v>27</v>
      </c>
      <c r="E882" s="2">
        <v>91</v>
      </c>
      <c r="F882" s="2">
        <v>30</v>
      </c>
      <c r="G882" s="2">
        <v>4</v>
      </c>
      <c r="H882" s="2">
        <v>155230.70000000001</v>
      </c>
      <c r="I882" s="2">
        <v>782</v>
      </c>
      <c r="J882" s="2" t="s">
        <v>1654</v>
      </c>
      <c r="K882" s="2">
        <v>87</v>
      </c>
      <c r="L882" s="2">
        <v>30</v>
      </c>
      <c r="M882" s="2">
        <v>12</v>
      </c>
      <c r="N882" s="2">
        <v>10</v>
      </c>
      <c r="O882" s="2">
        <v>15</v>
      </c>
      <c r="P882" s="2">
        <v>20</v>
      </c>
      <c r="Q882" s="2" t="s">
        <v>73</v>
      </c>
      <c r="R882" s="2" t="s">
        <v>73</v>
      </c>
      <c r="S882" s="4">
        <v>44837</v>
      </c>
    </row>
    <row r="883" spans="1:19" ht="12.5" hidden="1" x14ac:dyDescent="0.25">
      <c r="A883" s="14" t="str">
        <f>HYPERLINK("https://gerandofalcoes.my.salesforce.com/0014P00003ERakHQAT", "0014P00003ERakHQAT")</f>
        <v>0014P00003ERakHQAT</v>
      </c>
      <c r="B883" s="2" t="s">
        <v>2983</v>
      </c>
      <c r="C883" s="2" t="s">
        <v>1684</v>
      </c>
      <c r="D883" s="2" t="s">
        <v>2</v>
      </c>
      <c r="E883" s="2"/>
      <c r="F883" s="2">
        <v>0</v>
      </c>
      <c r="G883" s="2">
        <v>0</v>
      </c>
      <c r="H883" s="2">
        <v>0</v>
      </c>
      <c r="I883" s="2">
        <v>300</v>
      </c>
      <c r="J883" s="2" t="s">
        <v>1779</v>
      </c>
      <c r="K883" s="2">
        <v>15</v>
      </c>
      <c r="L883" s="2">
        <v>0</v>
      </c>
      <c r="M883" s="2">
        <v>0</v>
      </c>
      <c r="N883" s="2">
        <v>0</v>
      </c>
      <c r="O883" s="2">
        <v>0</v>
      </c>
      <c r="P883" s="2">
        <v>15</v>
      </c>
      <c r="Q883" s="2" t="s">
        <v>2984</v>
      </c>
      <c r="R883" s="2" t="s">
        <v>2984</v>
      </c>
      <c r="S883" s="4">
        <v>44837</v>
      </c>
    </row>
    <row r="884" spans="1:19" ht="12.5" x14ac:dyDescent="0.25">
      <c r="A884" s="14" t="str">
        <f>HYPERLINK("https://gerandofalcoes.my.salesforce.com/0014P00003ERavoQAD", "0014P00003ERavoQAD")</f>
        <v>0014P00003ERavoQAD</v>
      </c>
      <c r="B884" s="2" t="s">
        <v>77</v>
      </c>
      <c r="C884" s="2" t="s">
        <v>423</v>
      </c>
      <c r="D884" s="2" t="s">
        <v>27</v>
      </c>
      <c r="E884" s="2">
        <v>86</v>
      </c>
      <c r="F884" s="2">
        <v>5</v>
      </c>
      <c r="G884" s="2">
        <v>4</v>
      </c>
      <c r="H884" s="2">
        <v>275378.40000000002</v>
      </c>
      <c r="I884" s="2">
        <v>184</v>
      </c>
      <c r="J884" s="2" t="s">
        <v>1650</v>
      </c>
      <c r="K884" s="2">
        <v>67</v>
      </c>
      <c r="L884" s="2">
        <v>25</v>
      </c>
      <c r="M884" s="2">
        <v>5</v>
      </c>
      <c r="N884" s="2">
        <v>10</v>
      </c>
      <c r="O884" s="2">
        <v>15</v>
      </c>
      <c r="P884" s="2">
        <v>12</v>
      </c>
      <c r="Q884" s="2" t="s">
        <v>78</v>
      </c>
      <c r="R884" s="2" t="s">
        <v>78</v>
      </c>
      <c r="S884" s="4">
        <v>44837</v>
      </c>
    </row>
    <row r="885" spans="1:19" ht="12.5" x14ac:dyDescent="0.25">
      <c r="A885" s="14" t="str">
        <f>HYPERLINK("https://gerandofalcoes.my.salesforce.com/0014P00003MjNTIQA3", "0014P00003MjNTIQA3")</f>
        <v>0014P00003MjNTIQA3</v>
      </c>
      <c r="B885" s="2" t="s">
        <v>2976</v>
      </c>
      <c r="C885" s="2" t="s">
        <v>423</v>
      </c>
      <c r="D885" s="2" t="s">
        <v>66</v>
      </c>
      <c r="E885" s="2">
        <v>0</v>
      </c>
      <c r="F885" s="2">
        <v>10</v>
      </c>
      <c r="G885" s="2">
        <v>0</v>
      </c>
      <c r="H885" s="2">
        <v>0</v>
      </c>
      <c r="I885" s="2">
        <v>0</v>
      </c>
      <c r="J885" s="2" t="s">
        <v>1779</v>
      </c>
      <c r="K885" s="2">
        <v>10</v>
      </c>
      <c r="L885" s="2">
        <v>0</v>
      </c>
      <c r="M885" s="2">
        <v>10</v>
      </c>
      <c r="N885" s="2">
        <v>0</v>
      </c>
      <c r="O885" s="2">
        <v>0</v>
      </c>
      <c r="P885" s="2">
        <v>0</v>
      </c>
      <c r="Q885" s="2" t="s">
        <v>862</v>
      </c>
      <c r="R885" s="2" t="s">
        <v>862</v>
      </c>
      <c r="S885" s="4">
        <v>44837</v>
      </c>
    </row>
    <row r="886" spans="1:19" ht="12.5" hidden="1" x14ac:dyDescent="0.25">
      <c r="A886" s="14" t="str">
        <f>HYPERLINK("https://gerandofalcoes.my.salesforce.com/0014P00003MjOsqQAF", "0014P00003MjOsqQAF")</f>
        <v>0014P00003MjOsqQAF</v>
      </c>
      <c r="B886" s="2" t="s">
        <v>2977</v>
      </c>
      <c r="C886" s="2" t="s">
        <v>1684</v>
      </c>
      <c r="D886" s="2" t="s">
        <v>66</v>
      </c>
      <c r="E886" s="2">
        <v>0</v>
      </c>
      <c r="F886" s="2">
        <v>6</v>
      </c>
      <c r="G886" s="2">
        <v>1</v>
      </c>
      <c r="H886" s="2">
        <v>0</v>
      </c>
      <c r="I886" s="2">
        <v>0</v>
      </c>
      <c r="J886" s="2" t="s">
        <v>1779</v>
      </c>
      <c r="K886" s="2">
        <v>14</v>
      </c>
      <c r="L886" s="2">
        <v>0</v>
      </c>
      <c r="M886" s="2">
        <v>10</v>
      </c>
      <c r="N886" s="2">
        <v>4</v>
      </c>
      <c r="O886" s="2">
        <v>0</v>
      </c>
      <c r="P886" s="2">
        <v>0</v>
      </c>
      <c r="Q886" s="2" t="s">
        <v>71</v>
      </c>
      <c r="R886" s="2" t="s">
        <v>870</v>
      </c>
      <c r="S886" s="4">
        <v>44837</v>
      </c>
    </row>
    <row r="887" spans="1:19" ht="12.5" x14ac:dyDescent="0.25">
      <c r="A887" s="14" t="str">
        <f>HYPERLINK("https://gerandofalcoes.my.salesforce.com/0014P00003MjR9oQAF", "0014P00003MjR9oQAF")</f>
        <v>0014P00003MjR9oQAF</v>
      </c>
      <c r="B887" s="2" t="s">
        <v>2978</v>
      </c>
      <c r="C887" s="2" t="s">
        <v>423</v>
      </c>
      <c r="D887" s="2" t="s">
        <v>66</v>
      </c>
      <c r="E887" s="2">
        <v>0</v>
      </c>
      <c r="F887" s="2">
        <v>23</v>
      </c>
      <c r="G887" s="2">
        <v>1</v>
      </c>
      <c r="H887" s="2">
        <v>0</v>
      </c>
      <c r="I887" s="2">
        <v>0</v>
      </c>
      <c r="J887" s="2" t="s">
        <v>1779</v>
      </c>
      <c r="K887" s="2">
        <v>16</v>
      </c>
      <c r="L887" s="2">
        <v>0</v>
      </c>
      <c r="M887" s="2">
        <v>12</v>
      </c>
      <c r="N887" s="2">
        <v>4</v>
      </c>
      <c r="O887" s="2">
        <v>0</v>
      </c>
      <c r="P887" s="2">
        <v>0</v>
      </c>
      <c r="Q887" s="2" t="s">
        <v>67</v>
      </c>
      <c r="R887" s="2" t="s">
        <v>2979</v>
      </c>
      <c r="S887" s="4">
        <v>44837</v>
      </c>
    </row>
    <row r="888" spans="1:19" ht="12.5" x14ac:dyDescent="0.25">
      <c r="A888" s="14" t="str">
        <f>HYPERLINK("https://gerandofalcoes.my.salesforce.com/0014X00002YggkiQAB", "0014X00002YggkiQAB")</f>
        <v>0014X00002YggkiQAB</v>
      </c>
      <c r="B888" s="2" t="s">
        <v>3067</v>
      </c>
      <c r="C888" s="2" t="s">
        <v>423</v>
      </c>
      <c r="D888" s="2" t="s">
        <v>2</v>
      </c>
      <c r="E888" s="2"/>
      <c r="F888" s="2">
        <v>0</v>
      </c>
      <c r="G888" s="2">
        <v>2</v>
      </c>
      <c r="H888" s="2">
        <v>0</v>
      </c>
      <c r="I888" s="2">
        <v>80</v>
      </c>
      <c r="J888" s="2"/>
      <c r="K888" s="2">
        <v>16</v>
      </c>
      <c r="L888" s="2">
        <v>0</v>
      </c>
      <c r="M888" s="2">
        <v>0</v>
      </c>
      <c r="N888" s="2">
        <v>6</v>
      </c>
      <c r="O888" s="2">
        <v>0</v>
      </c>
      <c r="P888" s="2">
        <v>10</v>
      </c>
      <c r="Q888" s="2" t="s">
        <v>3068</v>
      </c>
      <c r="R888" s="2" t="s">
        <v>3068</v>
      </c>
      <c r="S888" s="4">
        <v>44946</v>
      </c>
    </row>
    <row r="889" spans="1:19" ht="12.5" x14ac:dyDescent="0.25">
      <c r="A889" s="14" t="str">
        <f>HYPERLINK("https://gerandofalcoes.my.salesforce.com/0014X00002YggltQAB", "0014X00002YggltQAB")</f>
        <v>0014X00002YggltQAB</v>
      </c>
      <c r="B889" s="2" t="s">
        <v>3142</v>
      </c>
      <c r="C889" s="2" t="s">
        <v>423</v>
      </c>
      <c r="D889" s="2" t="s">
        <v>2</v>
      </c>
      <c r="E889" s="2"/>
      <c r="F889" s="2">
        <v>0</v>
      </c>
      <c r="G889" s="2">
        <v>5</v>
      </c>
      <c r="H889" s="2">
        <v>3000</v>
      </c>
      <c r="I889" s="2">
        <v>10</v>
      </c>
      <c r="J889" s="2"/>
      <c r="K889" s="2">
        <v>20</v>
      </c>
      <c r="L889" s="2">
        <v>0</v>
      </c>
      <c r="M889" s="2">
        <v>0</v>
      </c>
      <c r="N889" s="2">
        <v>10</v>
      </c>
      <c r="O889" s="2">
        <v>5</v>
      </c>
      <c r="P889" s="2">
        <v>5</v>
      </c>
      <c r="Q889" s="2" t="s">
        <v>3143</v>
      </c>
      <c r="R889" s="2" t="s">
        <v>3143</v>
      </c>
      <c r="S889" s="4">
        <v>44949</v>
      </c>
    </row>
    <row r="890" spans="1:19" ht="12.5" x14ac:dyDescent="0.25">
      <c r="A890" s="14" t="str">
        <f>HYPERLINK("https://gerandofalcoes.my.salesforce.com/0014X00002YggntQAB", "0014X00002YggntQAB")</f>
        <v>0014X00002YggntQAB</v>
      </c>
      <c r="B890" s="2" t="s">
        <v>3109</v>
      </c>
      <c r="C890" s="2" t="s">
        <v>423</v>
      </c>
      <c r="D890" s="2" t="s">
        <v>2</v>
      </c>
      <c r="E890" s="2"/>
      <c r="F890" s="2">
        <v>0</v>
      </c>
      <c r="G890" s="2">
        <v>2</v>
      </c>
      <c r="H890" s="2">
        <v>40000</v>
      </c>
      <c r="I890" s="2">
        <v>0</v>
      </c>
      <c r="J890" s="2"/>
      <c r="K890" s="2">
        <v>16</v>
      </c>
      <c r="L890" s="2">
        <v>0</v>
      </c>
      <c r="M890" s="2">
        <v>0</v>
      </c>
      <c r="N890" s="2">
        <v>6</v>
      </c>
      <c r="O890" s="2">
        <v>10</v>
      </c>
      <c r="P890" s="2">
        <v>0</v>
      </c>
      <c r="Q890" s="2" t="s">
        <v>3110</v>
      </c>
      <c r="R890" s="2" t="s">
        <v>3110</v>
      </c>
      <c r="S890" s="4">
        <v>44948</v>
      </c>
    </row>
    <row r="891" spans="1:19" ht="12.5" x14ac:dyDescent="0.25">
      <c r="A891" s="14" t="str">
        <f>HYPERLINK("https://gerandofalcoes.my.salesforce.com/0014X00002YggooQAB", "0014X00002YggooQAB")</f>
        <v>0014X00002YggooQAB</v>
      </c>
      <c r="B891" s="2" t="s">
        <v>3047</v>
      </c>
      <c r="C891" s="2" t="s">
        <v>423</v>
      </c>
      <c r="D891" s="2" t="s">
        <v>2</v>
      </c>
      <c r="E891" s="2"/>
      <c r="F891" s="2">
        <v>1</v>
      </c>
      <c r="G891" s="2">
        <v>3</v>
      </c>
      <c r="H891" s="2">
        <v>19000</v>
      </c>
      <c r="I891" s="2">
        <v>30</v>
      </c>
      <c r="J891" s="2"/>
      <c r="K891" s="2">
        <v>23</v>
      </c>
      <c r="L891" s="2">
        <v>0</v>
      </c>
      <c r="M891" s="2">
        <v>5</v>
      </c>
      <c r="N891" s="2">
        <v>8</v>
      </c>
      <c r="O891" s="2">
        <v>5</v>
      </c>
      <c r="P891" s="2">
        <v>5</v>
      </c>
      <c r="Q891" s="2" t="s">
        <v>3048</v>
      </c>
      <c r="R891" s="2" t="s">
        <v>3049</v>
      </c>
      <c r="S891" s="4">
        <v>44946</v>
      </c>
    </row>
    <row r="892" spans="1:19" ht="12.5" x14ac:dyDescent="0.25">
      <c r="A892" s="14" t="str">
        <f>HYPERLINK("https://gerandofalcoes.my.salesforce.com/0014X00002YggpbQAB", "0014X00002YggpbQAB")</f>
        <v>0014X00002YggpbQAB</v>
      </c>
      <c r="B892" s="2" t="s">
        <v>3038</v>
      </c>
      <c r="C892" s="2" t="s">
        <v>423</v>
      </c>
      <c r="D892" s="2" t="s">
        <v>2</v>
      </c>
      <c r="E892" s="2"/>
      <c r="F892" s="2">
        <v>10</v>
      </c>
      <c r="G892" s="2">
        <v>2</v>
      </c>
      <c r="H892" s="2">
        <v>15000</v>
      </c>
      <c r="I892" s="2">
        <v>240</v>
      </c>
      <c r="J892" s="2"/>
      <c r="K892" s="2">
        <v>33</v>
      </c>
      <c r="L892" s="2">
        <v>0</v>
      </c>
      <c r="M892" s="2">
        <v>10</v>
      </c>
      <c r="N892" s="2">
        <v>6</v>
      </c>
      <c r="O892" s="2">
        <v>5</v>
      </c>
      <c r="P892" s="2">
        <v>12</v>
      </c>
      <c r="Q892" s="2" t="s">
        <v>3039</v>
      </c>
      <c r="R892" s="2" t="s">
        <v>3039</v>
      </c>
      <c r="S892" s="4">
        <v>44945</v>
      </c>
    </row>
    <row r="893" spans="1:19" ht="12.5" x14ac:dyDescent="0.25">
      <c r="A893" s="14" t="str">
        <f>HYPERLINK("https://gerandofalcoes.my.salesforce.com/0014X00002YggmlQAB", "0014X00002YggmlQAB")</f>
        <v>0014X00002YggmlQAB</v>
      </c>
      <c r="B893" s="2" t="s">
        <v>3078</v>
      </c>
      <c r="C893" s="2" t="s">
        <v>423</v>
      </c>
      <c r="D893" s="2" t="s">
        <v>2</v>
      </c>
      <c r="E893" s="2"/>
      <c r="F893" s="2">
        <v>1</v>
      </c>
      <c r="G893" s="2">
        <v>2</v>
      </c>
      <c r="H893" s="2">
        <v>30000</v>
      </c>
      <c r="I893" s="2">
        <v>90</v>
      </c>
      <c r="J893" s="2"/>
      <c r="K893" s="2">
        <v>31</v>
      </c>
      <c r="L893" s="2">
        <v>0</v>
      </c>
      <c r="M893" s="2">
        <v>5</v>
      </c>
      <c r="N893" s="2">
        <v>6</v>
      </c>
      <c r="O893" s="2">
        <v>10</v>
      </c>
      <c r="P893" s="2">
        <v>10</v>
      </c>
      <c r="Q893" s="2" t="s">
        <v>3079</v>
      </c>
      <c r="R893" s="2" t="s">
        <v>3080</v>
      </c>
      <c r="S893" s="4">
        <v>44946</v>
      </c>
    </row>
    <row r="894" spans="1:19" ht="12.5" x14ac:dyDescent="0.25">
      <c r="A894" s="14" t="str">
        <f>HYPERLINK("https://gerandofalcoes.my.salesforce.com/0014X00002YggmBQAR", "0014X00002YggmBQAR")</f>
        <v>0014X00002YggmBQAR</v>
      </c>
      <c r="B894" s="2" t="s">
        <v>3125</v>
      </c>
      <c r="C894" s="2" t="s">
        <v>423</v>
      </c>
      <c r="D894" s="2" t="s">
        <v>2</v>
      </c>
      <c r="E894" s="2"/>
      <c r="F894" s="2">
        <v>5</v>
      </c>
      <c r="G894" s="2">
        <v>8</v>
      </c>
      <c r="H894" s="2">
        <v>35000</v>
      </c>
      <c r="I894" s="2">
        <v>120</v>
      </c>
      <c r="J894" s="2"/>
      <c r="K894" s="2">
        <v>35</v>
      </c>
      <c r="L894" s="2">
        <v>0</v>
      </c>
      <c r="M894" s="2">
        <v>5</v>
      </c>
      <c r="N894" s="2">
        <v>10</v>
      </c>
      <c r="O894" s="2">
        <v>10</v>
      </c>
      <c r="P894" s="2">
        <v>10</v>
      </c>
      <c r="Q894" s="2" t="s">
        <v>3126</v>
      </c>
      <c r="R894" s="2" t="s">
        <v>3127</v>
      </c>
      <c r="S894" s="4">
        <v>44949</v>
      </c>
    </row>
    <row r="895" spans="1:19" ht="12.5" x14ac:dyDescent="0.25">
      <c r="A895" s="14" t="str">
        <f>HYPERLINK("https://gerandofalcoes.my.salesforce.com/0014X00002YgghgQAB", "0014X00002YgghgQAB")</f>
        <v>0014X00002YgghgQAB</v>
      </c>
      <c r="B895" s="2" t="s">
        <v>3093</v>
      </c>
      <c r="C895" s="2" t="s">
        <v>423</v>
      </c>
      <c r="D895" s="2" t="s">
        <v>2</v>
      </c>
      <c r="E895" s="2"/>
      <c r="F895" s="2">
        <v>0</v>
      </c>
      <c r="G895" s="2">
        <v>10</v>
      </c>
      <c r="H895" s="2">
        <v>5000</v>
      </c>
      <c r="I895" s="2">
        <v>132</v>
      </c>
      <c r="J895" s="2"/>
      <c r="K895" s="2">
        <v>25</v>
      </c>
      <c r="L895" s="2">
        <v>0</v>
      </c>
      <c r="M895" s="2">
        <v>0</v>
      </c>
      <c r="N895" s="2">
        <v>10</v>
      </c>
      <c r="O895" s="2">
        <v>5</v>
      </c>
      <c r="P895" s="2">
        <v>10</v>
      </c>
      <c r="Q895" s="2" t="s">
        <v>3094</v>
      </c>
      <c r="R895" s="2" t="s">
        <v>3095</v>
      </c>
      <c r="S895" s="4">
        <v>44947</v>
      </c>
    </row>
    <row r="896" spans="1:19" ht="12.5" x14ac:dyDescent="0.25">
      <c r="A896" s="14" t="str">
        <f>HYPERLINK("https://gerandofalcoes.my.salesforce.com/0014X00002YgggQQAR", "0014X00002YgggQQAR")</f>
        <v>0014X00002YgggQQAR</v>
      </c>
      <c r="B896" s="2" t="s">
        <v>3111</v>
      </c>
      <c r="C896" s="2" t="s">
        <v>423</v>
      </c>
      <c r="D896" s="2" t="s">
        <v>2</v>
      </c>
      <c r="E896" s="2"/>
      <c r="F896" s="2">
        <v>2</v>
      </c>
      <c r="G896" s="2">
        <v>2</v>
      </c>
      <c r="H896" s="2">
        <v>55000</v>
      </c>
      <c r="I896" s="2">
        <v>20</v>
      </c>
      <c r="J896" s="2"/>
      <c r="K896" s="2">
        <v>26</v>
      </c>
      <c r="L896" s="2">
        <v>0</v>
      </c>
      <c r="M896" s="2">
        <v>5</v>
      </c>
      <c r="N896" s="2">
        <v>6</v>
      </c>
      <c r="O896" s="2">
        <v>10</v>
      </c>
      <c r="P896" s="2">
        <v>5</v>
      </c>
      <c r="Q896" s="2" t="s">
        <v>3112</v>
      </c>
      <c r="R896" s="2" t="s">
        <v>3113</v>
      </c>
      <c r="S896" s="4">
        <v>44949</v>
      </c>
    </row>
    <row r="897" spans="1:19" ht="12.5" x14ac:dyDescent="0.25">
      <c r="A897" s="14" t="str">
        <f>HYPERLINK("https://gerandofalcoes.my.salesforce.com/0014X00002YggjvQAB", "0014X00002YggjvQAB")</f>
        <v>0014X00002YggjvQAB</v>
      </c>
      <c r="B897" s="2" t="s">
        <v>3365</v>
      </c>
      <c r="C897" s="2" t="s">
        <v>423</v>
      </c>
      <c r="D897" s="2" t="s">
        <v>2</v>
      </c>
      <c r="E897" s="2"/>
      <c r="F897" s="2">
        <v>6</v>
      </c>
      <c r="G897" s="2">
        <v>2</v>
      </c>
      <c r="H897" s="2">
        <v>13000</v>
      </c>
      <c r="I897" s="2">
        <v>60</v>
      </c>
      <c r="J897" s="2"/>
      <c r="K897" s="2">
        <v>26</v>
      </c>
      <c r="L897" s="2">
        <v>0</v>
      </c>
      <c r="M897" s="2">
        <v>10</v>
      </c>
      <c r="N897" s="2">
        <v>6</v>
      </c>
      <c r="O897" s="2">
        <v>5</v>
      </c>
      <c r="P897" s="2">
        <v>5</v>
      </c>
      <c r="Q897" s="2" t="s">
        <v>3366</v>
      </c>
      <c r="R897" s="2" t="s">
        <v>3366</v>
      </c>
      <c r="S897" s="4">
        <v>44953</v>
      </c>
    </row>
    <row r="898" spans="1:19" ht="12.5" x14ac:dyDescent="0.25">
      <c r="A898" s="14" t="str">
        <f>HYPERLINK("https://gerandofalcoes.my.salesforce.com/0014X00002YggpCQAR", "0014X00002YggpCQAR")</f>
        <v>0014X00002YggpCQAR</v>
      </c>
      <c r="B898" s="2" t="s">
        <v>3120</v>
      </c>
      <c r="C898" s="2" t="s">
        <v>423</v>
      </c>
      <c r="D898" s="2" t="s">
        <v>2</v>
      </c>
      <c r="E898" s="2"/>
      <c r="F898" s="2">
        <v>0</v>
      </c>
      <c r="G898" s="2">
        <v>10</v>
      </c>
      <c r="H898" s="2">
        <v>1100</v>
      </c>
      <c r="I898" s="2">
        <v>0</v>
      </c>
      <c r="J898" s="2"/>
      <c r="K898" s="2">
        <v>15</v>
      </c>
      <c r="L898" s="2">
        <v>0</v>
      </c>
      <c r="M898" s="2">
        <v>0</v>
      </c>
      <c r="N898" s="2">
        <v>10</v>
      </c>
      <c r="O898" s="2">
        <v>5</v>
      </c>
      <c r="P898" s="2">
        <v>0</v>
      </c>
      <c r="Q898" s="2" t="s">
        <v>3121</v>
      </c>
      <c r="R898" s="2" t="s">
        <v>3121</v>
      </c>
      <c r="S898" s="4">
        <v>44949</v>
      </c>
    </row>
    <row r="899" spans="1:19" ht="12.5" x14ac:dyDescent="0.25">
      <c r="A899" s="14" t="str">
        <f>HYPERLINK("https://gerandofalcoes.my.salesforce.com/0014X00002Yggj9QAB", "0014X00002Yggj9QAB")</f>
        <v>0014X00002Yggj9QAB</v>
      </c>
      <c r="B899" s="2" t="s">
        <v>3090</v>
      </c>
      <c r="C899" s="2" t="s">
        <v>423</v>
      </c>
      <c r="D899" s="2" t="s">
        <v>2</v>
      </c>
      <c r="E899" s="2"/>
      <c r="F899" s="2">
        <v>30</v>
      </c>
      <c r="G899" s="2">
        <v>3</v>
      </c>
      <c r="H899" s="2">
        <v>1200000</v>
      </c>
      <c r="I899" s="2">
        <v>0</v>
      </c>
      <c r="J899" s="2"/>
      <c r="K899" s="2">
        <v>45</v>
      </c>
      <c r="L899" s="2">
        <v>0</v>
      </c>
      <c r="M899" s="2">
        <v>12</v>
      </c>
      <c r="N899" s="2">
        <v>8</v>
      </c>
      <c r="O899" s="2">
        <v>25</v>
      </c>
      <c r="P899" s="2">
        <v>0</v>
      </c>
      <c r="Q899" s="2" t="s">
        <v>3091</v>
      </c>
      <c r="R899" s="2" t="s">
        <v>3092</v>
      </c>
      <c r="S899" s="4">
        <v>44946</v>
      </c>
    </row>
    <row r="900" spans="1:19" ht="12.5" x14ac:dyDescent="0.25">
      <c r="A900" s="14" t="str">
        <f>HYPERLINK("https://gerandofalcoes.my.salesforce.com/0014X00002Yggr1QAB", "0014X00002Yggr1QAB")</f>
        <v>0014X00002Yggr1QAB</v>
      </c>
      <c r="B900" s="2" t="s">
        <v>3002</v>
      </c>
      <c r="C900" s="2" t="s">
        <v>423</v>
      </c>
      <c r="D900" s="2" t="s">
        <v>2</v>
      </c>
      <c r="E900" s="2"/>
      <c r="F900" s="2">
        <v>24</v>
      </c>
      <c r="G900" s="2">
        <v>5</v>
      </c>
      <c r="H900" s="2">
        <v>35000</v>
      </c>
      <c r="I900" s="2">
        <v>85</v>
      </c>
      <c r="J900" s="2"/>
      <c r="K900" s="2">
        <v>42</v>
      </c>
      <c r="L900" s="2">
        <v>0</v>
      </c>
      <c r="M900" s="2">
        <v>12</v>
      </c>
      <c r="N900" s="2">
        <v>10</v>
      </c>
      <c r="O900" s="2">
        <v>10</v>
      </c>
      <c r="P900" s="2">
        <v>10</v>
      </c>
      <c r="Q900" s="2" t="s">
        <v>3003</v>
      </c>
      <c r="R900" s="2" t="s">
        <v>3004</v>
      </c>
      <c r="S900" s="4">
        <v>44944</v>
      </c>
    </row>
    <row r="901" spans="1:19" ht="12.5" x14ac:dyDescent="0.25">
      <c r="A901" s="14" t="str">
        <f>HYPERLINK("https://gerandofalcoes.my.salesforce.com/0014X00002YggqdQAB", "0014X00002YggqdQAB")</f>
        <v>0014X00002YggqdQAB</v>
      </c>
      <c r="B901" s="2" t="s">
        <v>3117</v>
      </c>
      <c r="C901" s="2" t="s">
        <v>423</v>
      </c>
      <c r="D901" s="2" t="s">
        <v>2</v>
      </c>
      <c r="E901" s="2"/>
      <c r="F901" s="2">
        <v>1</v>
      </c>
      <c r="G901" s="2">
        <v>3</v>
      </c>
      <c r="H901" s="2">
        <v>1000</v>
      </c>
      <c r="I901" s="2">
        <v>0</v>
      </c>
      <c r="J901" s="2"/>
      <c r="K901" s="2">
        <v>18</v>
      </c>
      <c r="L901" s="2">
        <v>0</v>
      </c>
      <c r="M901" s="2">
        <v>5</v>
      </c>
      <c r="N901" s="2">
        <v>8</v>
      </c>
      <c r="O901" s="2">
        <v>5</v>
      </c>
      <c r="P901" s="2">
        <v>0</v>
      </c>
      <c r="Q901" s="2" t="s">
        <v>3118</v>
      </c>
      <c r="R901" s="2" t="s">
        <v>3119</v>
      </c>
      <c r="S901" s="4">
        <v>44949</v>
      </c>
    </row>
    <row r="902" spans="1:19" ht="12.5" x14ac:dyDescent="0.25">
      <c r="A902" s="14" t="str">
        <f>HYPERLINK("https://gerandofalcoes.my.salesforce.com/0014X00002YggojQAB", "0014X00002YggojQAB")</f>
        <v>0014X00002YggojQAB</v>
      </c>
      <c r="B902" s="2" t="s">
        <v>3136</v>
      </c>
      <c r="C902" s="2" t="s">
        <v>423</v>
      </c>
      <c r="D902" s="2" t="s">
        <v>2</v>
      </c>
      <c r="E902" s="2"/>
      <c r="F902" s="2">
        <v>0</v>
      </c>
      <c r="G902" s="2">
        <v>4</v>
      </c>
      <c r="H902" s="2">
        <v>0</v>
      </c>
      <c r="I902" s="2">
        <v>44</v>
      </c>
      <c r="J902" s="2"/>
      <c r="K902" s="2">
        <v>15</v>
      </c>
      <c r="L902" s="2">
        <v>0</v>
      </c>
      <c r="M902" s="2">
        <v>0</v>
      </c>
      <c r="N902" s="2">
        <v>10</v>
      </c>
      <c r="O902" s="2">
        <v>0</v>
      </c>
      <c r="P902" s="2">
        <v>5</v>
      </c>
      <c r="Q902" s="2" t="s">
        <v>3137</v>
      </c>
      <c r="R902" s="2" t="s">
        <v>3138</v>
      </c>
      <c r="S902" s="4">
        <v>44949</v>
      </c>
    </row>
    <row r="903" spans="1:19" ht="12.5" x14ac:dyDescent="0.25">
      <c r="A903" s="14" t="str">
        <f>HYPERLINK("https://gerandofalcoes.my.salesforce.com/0014X00002YggleQAB", "0014X00002YggleQAB")</f>
        <v>0014X00002YggleQAB</v>
      </c>
      <c r="B903" s="2" t="s">
        <v>3083</v>
      </c>
      <c r="C903" s="2" t="s">
        <v>423</v>
      </c>
      <c r="D903" s="2" t="s">
        <v>2</v>
      </c>
      <c r="E903" s="2"/>
      <c r="F903" s="2">
        <v>0</v>
      </c>
      <c r="G903" s="2">
        <v>2</v>
      </c>
      <c r="H903" s="2">
        <v>50000</v>
      </c>
      <c r="I903" s="2">
        <v>50</v>
      </c>
      <c r="J903" s="2"/>
      <c r="K903" s="2">
        <v>21</v>
      </c>
      <c r="L903" s="2">
        <v>0</v>
      </c>
      <c r="M903" s="2">
        <v>0</v>
      </c>
      <c r="N903" s="2">
        <v>6</v>
      </c>
      <c r="O903" s="2">
        <v>10</v>
      </c>
      <c r="P903" s="2">
        <v>5</v>
      </c>
      <c r="Q903" s="2" t="s">
        <v>3084</v>
      </c>
      <c r="R903" s="2" t="s">
        <v>3084</v>
      </c>
      <c r="S903" s="4">
        <v>44946</v>
      </c>
    </row>
    <row r="904" spans="1:19" ht="12.5" x14ac:dyDescent="0.25">
      <c r="A904" s="14" t="str">
        <f>HYPERLINK("https://gerandofalcoes.my.salesforce.com/0014X00002YggoVQAR", "0014X00002YggoVQAR")</f>
        <v>0014X00002YggoVQAR</v>
      </c>
      <c r="B904" s="2" t="s">
        <v>3101</v>
      </c>
      <c r="C904" s="2" t="s">
        <v>423</v>
      </c>
      <c r="D904" s="2" t="s">
        <v>2</v>
      </c>
      <c r="E904" s="2"/>
      <c r="F904" s="2">
        <v>0</v>
      </c>
      <c r="G904" s="2">
        <v>4</v>
      </c>
      <c r="H904" s="2">
        <v>300</v>
      </c>
      <c r="I904" s="2">
        <v>30</v>
      </c>
      <c r="J904" s="2"/>
      <c r="K904" s="2">
        <v>20</v>
      </c>
      <c r="L904" s="2">
        <v>0</v>
      </c>
      <c r="M904" s="2">
        <v>0</v>
      </c>
      <c r="N904" s="2">
        <v>10</v>
      </c>
      <c r="O904" s="2">
        <v>5</v>
      </c>
      <c r="P904" s="2">
        <v>5</v>
      </c>
      <c r="Q904" s="2" t="s">
        <v>3102</v>
      </c>
      <c r="R904" s="2" t="s">
        <v>3102</v>
      </c>
      <c r="S904" s="4">
        <v>44948</v>
      </c>
    </row>
    <row r="905" spans="1:19" ht="12.5" x14ac:dyDescent="0.25">
      <c r="A905" s="14" t="str">
        <f>HYPERLINK("https://gerandofalcoes.my.salesforce.com/0014X00002YggjeQAB", "0014X00002YggjeQAB")</f>
        <v>0014X00002YggjeQAB</v>
      </c>
      <c r="B905" s="2" t="s">
        <v>3098</v>
      </c>
      <c r="C905" s="2" t="s">
        <v>423</v>
      </c>
      <c r="D905" s="2" t="s">
        <v>2</v>
      </c>
      <c r="E905" s="2"/>
      <c r="F905" s="2">
        <v>5</v>
      </c>
      <c r="G905" s="2">
        <v>3</v>
      </c>
      <c r="H905" s="2">
        <v>26000</v>
      </c>
      <c r="I905" s="2">
        <v>150</v>
      </c>
      <c r="J905" s="2"/>
      <c r="K905" s="2">
        <v>35</v>
      </c>
      <c r="L905" s="2">
        <v>0</v>
      </c>
      <c r="M905" s="2">
        <v>5</v>
      </c>
      <c r="N905" s="2">
        <v>8</v>
      </c>
      <c r="O905" s="2">
        <v>10</v>
      </c>
      <c r="P905" s="2">
        <v>12</v>
      </c>
      <c r="Q905" s="2" t="s">
        <v>3099</v>
      </c>
      <c r="R905" s="2" t="s">
        <v>3100</v>
      </c>
      <c r="S905" s="4">
        <v>44948</v>
      </c>
    </row>
    <row r="906" spans="1:19" ht="12.5" x14ac:dyDescent="0.25">
      <c r="A906" s="14" t="str">
        <f>HYPERLINK("https://gerandofalcoes.my.salesforce.com/0014X00002YgglqQAB", "0014X00002YgglqQAB")</f>
        <v>0014X00002YgglqQAB</v>
      </c>
      <c r="B906" s="2" t="s">
        <v>3062</v>
      </c>
      <c r="C906" s="2" t="s">
        <v>423</v>
      </c>
      <c r="D906" s="2" t="s">
        <v>2</v>
      </c>
      <c r="E906" s="2"/>
      <c r="F906" s="2">
        <v>0</v>
      </c>
      <c r="G906" s="2">
        <v>3</v>
      </c>
      <c r="H906" s="2">
        <v>200</v>
      </c>
      <c r="I906" s="2">
        <v>0</v>
      </c>
      <c r="J906" s="2"/>
      <c r="K906" s="2">
        <v>13</v>
      </c>
      <c r="L906" s="2">
        <v>0</v>
      </c>
      <c r="M906" s="2">
        <v>0</v>
      </c>
      <c r="N906" s="2">
        <v>8</v>
      </c>
      <c r="O906" s="2">
        <v>5</v>
      </c>
      <c r="P906" s="2">
        <v>0</v>
      </c>
      <c r="Q906" s="2" t="s">
        <v>3063</v>
      </c>
      <c r="R906" s="2" t="s">
        <v>3064</v>
      </c>
      <c r="S906" s="4">
        <v>44946</v>
      </c>
    </row>
    <row r="907" spans="1:19" ht="12.5" x14ac:dyDescent="0.25">
      <c r="A907" s="14" t="str">
        <f>HYPERLINK("https://gerandofalcoes.my.salesforce.com/0014X00002VKCtZQAX", "0014X00002VKCtZQAX")</f>
        <v>0014X00002VKCtZQAX</v>
      </c>
      <c r="B907" s="2" t="s">
        <v>3833</v>
      </c>
      <c r="C907" s="2" t="s">
        <v>423</v>
      </c>
      <c r="D907" s="2" t="s">
        <v>2</v>
      </c>
      <c r="E907" s="2">
        <v>10</v>
      </c>
      <c r="F907" s="2">
        <v>0</v>
      </c>
      <c r="G907" s="2">
        <v>0</v>
      </c>
      <c r="H907" s="2">
        <v>200000000</v>
      </c>
      <c r="I907" s="2">
        <v>150</v>
      </c>
      <c r="J907" s="2" t="s">
        <v>1671</v>
      </c>
      <c r="K907" s="2">
        <v>47</v>
      </c>
      <c r="L907" s="2">
        <v>10</v>
      </c>
      <c r="M907" s="2">
        <v>0</v>
      </c>
      <c r="N907" s="2">
        <v>0</v>
      </c>
      <c r="O907" s="2">
        <v>25</v>
      </c>
      <c r="P907" s="2">
        <v>12</v>
      </c>
      <c r="Q907" s="2" t="s">
        <v>3834</v>
      </c>
      <c r="R907" s="2" t="s">
        <v>3834</v>
      </c>
      <c r="S907" s="4">
        <v>45015</v>
      </c>
    </row>
    <row r="908" spans="1:19" ht="12.5" x14ac:dyDescent="0.25">
      <c r="A908" s="14" t="str">
        <f>HYPERLINK("https://gerandofalcoes.my.salesforce.com/0014X00002VKCp2QAH", "0014X00002VKCp2QAH")</f>
        <v>0014X00002VKCp2QAH</v>
      </c>
      <c r="B908" s="2" t="s">
        <v>3828</v>
      </c>
      <c r="C908" s="2" t="s">
        <v>423</v>
      </c>
      <c r="D908" s="2" t="s">
        <v>2</v>
      </c>
      <c r="E908" s="2">
        <v>19</v>
      </c>
      <c r="F908" s="2">
        <v>10</v>
      </c>
      <c r="G908" s="2">
        <v>1</v>
      </c>
      <c r="H908" s="2">
        <v>3300000</v>
      </c>
      <c r="I908" s="2">
        <v>0</v>
      </c>
      <c r="J908" s="2" t="s">
        <v>1671</v>
      </c>
      <c r="K908" s="2">
        <v>49</v>
      </c>
      <c r="L908" s="2">
        <v>10</v>
      </c>
      <c r="M908" s="2">
        <v>10</v>
      </c>
      <c r="N908" s="2">
        <v>4</v>
      </c>
      <c r="O908" s="2">
        <v>25</v>
      </c>
      <c r="P908" s="2">
        <v>0</v>
      </c>
      <c r="Q908" s="2" t="s">
        <v>2917</v>
      </c>
      <c r="R908" s="2" t="s">
        <v>2917</v>
      </c>
      <c r="S908" s="4">
        <v>45015</v>
      </c>
    </row>
    <row r="909" spans="1:19" ht="12.5" x14ac:dyDescent="0.25">
      <c r="A909" s="14" t="str">
        <f>HYPERLINK("https://gerandofalcoes.my.salesforce.com/0014X00002YggkDQAR", "0014X00002YggkDQAR")</f>
        <v>0014X00002YggkDQAR</v>
      </c>
      <c r="B909" s="2" t="s">
        <v>3023</v>
      </c>
      <c r="C909" s="2" t="s">
        <v>423</v>
      </c>
      <c r="D909" s="2" t="s">
        <v>2</v>
      </c>
      <c r="E909" s="2"/>
      <c r="F909" s="2">
        <v>0</v>
      </c>
      <c r="G909" s="2">
        <v>4</v>
      </c>
      <c r="H909" s="2">
        <v>78654</v>
      </c>
      <c r="I909" s="2">
        <v>0</v>
      </c>
      <c r="J909" s="2"/>
      <c r="K909" s="2">
        <v>20</v>
      </c>
      <c r="L909" s="2">
        <v>0</v>
      </c>
      <c r="M909" s="2">
        <v>0</v>
      </c>
      <c r="N909" s="2">
        <v>10</v>
      </c>
      <c r="O909" s="2">
        <v>10</v>
      </c>
      <c r="P909" s="2">
        <v>0</v>
      </c>
      <c r="Q909" s="2" t="s">
        <v>3024</v>
      </c>
      <c r="R909" s="2" t="s">
        <v>3025</v>
      </c>
      <c r="S909" s="4">
        <v>44945</v>
      </c>
    </row>
    <row r="910" spans="1:19" ht="12.5" x14ac:dyDescent="0.25">
      <c r="A910" s="14" t="str">
        <f>HYPERLINK("https://gerandofalcoes.my.salesforce.com/0014X00002VKCsvQAH", "0014X00002VKCsvQAH")</f>
        <v>0014X00002VKCsvQAH</v>
      </c>
      <c r="B910" s="2" t="s">
        <v>2467</v>
      </c>
      <c r="C910" s="2" t="s">
        <v>423</v>
      </c>
      <c r="D910" s="2" t="s">
        <v>2</v>
      </c>
      <c r="E910" s="2">
        <v>23</v>
      </c>
      <c r="F910" s="2">
        <v>4</v>
      </c>
      <c r="G910" s="2">
        <v>0</v>
      </c>
      <c r="H910" s="2">
        <v>15000</v>
      </c>
      <c r="I910" s="2">
        <v>0</v>
      </c>
      <c r="J910" s="2" t="s">
        <v>1779</v>
      </c>
      <c r="K910" s="2">
        <v>20</v>
      </c>
      <c r="L910" s="2">
        <v>10</v>
      </c>
      <c r="M910" s="2">
        <v>5</v>
      </c>
      <c r="N910" s="2">
        <v>0</v>
      </c>
      <c r="O910" s="2">
        <v>5</v>
      </c>
      <c r="P910" s="2">
        <v>0</v>
      </c>
      <c r="Q910" s="2" t="s">
        <v>2468</v>
      </c>
      <c r="R910" s="2" t="s">
        <v>2468</v>
      </c>
      <c r="S910" s="4">
        <v>44837</v>
      </c>
    </row>
    <row r="911" spans="1:19" ht="12.5" x14ac:dyDescent="0.25">
      <c r="A911" s="14" t="str">
        <f>HYPERLINK("https://gerandofalcoes.my.salesforce.com/0014X00002YggpOQAR", "0014X00002YggpOQAR")</f>
        <v>0014X00002YggpOQAR</v>
      </c>
      <c r="B911" s="2" t="s">
        <v>3053</v>
      </c>
      <c r="C911" s="2" t="s">
        <v>423</v>
      </c>
      <c r="D911" s="2" t="s">
        <v>2</v>
      </c>
      <c r="E911" s="2"/>
      <c r="F911" s="2">
        <v>34</v>
      </c>
      <c r="G911" s="2">
        <v>2</v>
      </c>
      <c r="H911" s="2">
        <v>343</v>
      </c>
      <c r="I911" s="2">
        <v>64</v>
      </c>
      <c r="J911" s="2"/>
      <c r="K911" s="2">
        <v>31</v>
      </c>
      <c r="L911" s="2">
        <v>0</v>
      </c>
      <c r="M911" s="2">
        <v>15</v>
      </c>
      <c r="N911" s="2">
        <v>6</v>
      </c>
      <c r="O911" s="2">
        <v>5</v>
      </c>
      <c r="P911" s="2">
        <v>5</v>
      </c>
      <c r="Q911" s="2" t="s">
        <v>3054</v>
      </c>
      <c r="R911" s="2" t="s">
        <v>3055</v>
      </c>
      <c r="S911" s="4">
        <v>44946</v>
      </c>
    </row>
    <row r="912" spans="1:19" ht="12.5" x14ac:dyDescent="0.25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4"/>
    </row>
    <row r="913" spans="2:19" ht="12.5" x14ac:dyDescent="0.25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4"/>
    </row>
  </sheetData>
  <autoFilter ref="A1:S911" xr:uid="{00000000-0009-0000-0000-000008000000}">
    <filterColumn colId="2">
      <filters>
        <filter val="Ativo"/>
        <filter val="Conta: Status"/>
      </filters>
    </filterColumn>
  </autoFilter>
  <pageMargins left="0.511811024" right="0.511811024" top="0.78740157499999996" bottom="0.78740157499999996" header="0.31496062000000002" footer="0.31496062000000002"/>
  <pageSetup paperSize="9" orientation="portrait" verticalDpi="597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1</vt:i4>
      </vt:variant>
    </vt:vector>
  </HeadingPairs>
  <TitlesOfParts>
    <vt:vector size="16" baseType="lpstr">
      <vt:lpstr>Líderes</vt:lpstr>
      <vt:lpstr>Auto Refresh Execution Log</vt:lpstr>
      <vt:lpstr>MKT ONGs com nívelamento</vt:lpstr>
      <vt:lpstr>CTG Líder - PROCV</vt:lpstr>
      <vt:lpstr>Tabela Categorização - Oct 1</vt:lpstr>
      <vt:lpstr>Rede - Gerando Falcões</vt:lpstr>
      <vt:lpstr>Tabela Categorização - Sep 1</vt:lpstr>
      <vt:lpstr>Tabela Categorização - Aug 1</vt:lpstr>
      <vt:lpstr>Tabela Categorização - Jul 1</vt:lpstr>
      <vt:lpstr>Tabela Categorização - Jun 1</vt:lpstr>
      <vt:lpstr>Tabela Categorização - May 1</vt:lpstr>
      <vt:lpstr>Tabela Categorização - Apr 1</vt:lpstr>
      <vt:lpstr>Tabela Categorização - Mar 1</vt:lpstr>
      <vt:lpstr>Tabela Categorização - Feb 1</vt:lpstr>
      <vt:lpstr>Tabela Categorização - Jan 1</vt:lpstr>
      <vt:lpstr>coeff_d_615fd5e1_5fd7_418b_a07c_50bb725f3319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GERANDO FALCOES</dc:creator>
  <cp:lastModifiedBy>EDNEI FIALHO LOPES</cp:lastModifiedBy>
  <cp:lastPrinted>2023-11-23T20:16:54Z</cp:lastPrinted>
  <dcterms:created xsi:type="dcterms:W3CDTF">2023-11-08T13:28:54Z</dcterms:created>
  <dcterms:modified xsi:type="dcterms:W3CDTF">2023-11-24T18:38:43Z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fed9c9-9e02-402c-91c6-79672c367b2e_Enabled">
    <vt:lpwstr>true</vt:lpwstr>
  </property>
  <property fmtid="{D5CDD505-2E9C-101B-9397-08002B2CF9AE}" pid="3" name="MSIP_Label_d3fed9c9-9e02-402c-91c6-79672c367b2e_SetDate">
    <vt:lpwstr>2023-11-23T20:12:56Z</vt:lpwstr>
  </property>
  <property fmtid="{D5CDD505-2E9C-101B-9397-08002B2CF9AE}" pid="4" name="MSIP_Label_d3fed9c9-9e02-402c-91c6-79672c367b2e_Method">
    <vt:lpwstr>Standard</vt:lpwstr>
  </property>
  <property fmtid="{D5CDD505-2E9C-101B-9397-08002B2CF9AE}" pid="5" name="MSIP_Label_d3fed9c9-9e02-402c-91c6-79672c367b2e_Name">
    <vt:lpwstr>d3fed9c9-9e02-402c-91c6-79672c367b2e</vt:lpwstr>
  </property>
  <property fmtid="{D5CDD505-2E9C-101B-9397-08002B2CF9AE}" pid="6" name="MSIP_Label_d3fed9c9-9e02-402c-91c6-79672c367b2e_SiteId">
    <vt:lpwstr>ccd25372-eb59-436a-ad74-78a49d784cf3</vt:lpwstr>
  </property>
  <property fmtid="{D5CDD505-2E9C-101B-9397-08002B2CF9AE}" pid="7" name="MSIP_Label_d3fed9c9-9e02-402c-91c6-79672c367b2e_ActionId">
    <vt:lpwstr>33bf49c1-c80b-4f4a-9791-110180e19e1c</vt:lpwstr>
  </property>
  <property fmtid="{D5CDD505-2E9C-101B-9397-08002B2CF9AE}" pid="8" name="MSIP_Label_d3fed9c9-9e02-402c-91c6-79672c367b2e_ContentBits">
    <vt:lpwstr>0</vt:lpwstr>
  </property>
</Properties>
</file>